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tables/table1.xml" ContentType="application/vnd.openxmlformats-officedocument.spreadsheetml.table+xml"/>
  <Override PartName="/xl/queryTables/queryTable2.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queryTables/queryTable4.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queryTables/queryTable5.xml" ContentType="application/vnd.openxmlformats-officedocument.spreadsheetml.queryTable+xml"/>
  <Override PartName="/xl/tables/table8.xml" ContentType="application/vnd.openxmlformats-officedocument.spreadsheetml.table+xml"/>
  <Override PartName="/xl/tables/table9.xml" ContentType="application/vnd.openxmlformats-officedocument.spreadsheetml.table+xml"/>
  <Override PartName="/xl/queryTables/queryTable6.xml" ContentType="application/vnd.openxmlformats-officedocument.spreadsheetml.queryTable+xml"/>
  <Override PartName="/xl/tables/table10.xml" ContentType="application/vnd.openxmlformats-officedocument.spreadsheetml.table+xml"/>
  <Override PartName="/xl/drawings/drawing2.xml" ContentType="application/vnd.openxmlformats-officedocument.drawing+xml"/>
  <Override PartName="/xl/queryTables/queryTable7.xml" ContentType="application/vnd.openxmlformats-officedocument.spreadsheetml.queryTable+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drawings/drawing7.xml" ContentType="application/vnd.openxmlformats-officedocument.drawing+xml"/>
  <Override PartName="/xl/comments2.xml" ContentType="application/vnd.openxmlformats-officedocument.spreadsheetml.comments+xml"/>
  <Override PartName="/xl/charts/chart12.xml" ContentType="application/vnd.openxmlformats-officedocument.drawingml.chart+xml"/>
  <Override PartName="/xl/drawings/drawing8.xml" ContentType="application/vnd.openxmlformats-officedocument.drawingml.chartshapes+xml"/>
  <Override PartName="/xl/charts/chart13.xml" ContentType="application/vnd.openxmlformats-officedocument.drawingml.chart+xml"/>
  <Override PartName="/xl/drawings/drawing9.xml" ContentType="application/vnd.openxmlformats-officedocument.drawingml.chartshape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3.xml" ContentType="application/vnd.openxmlformats-officedocument.spreadsheetml.comments+xml"/>
  <Override PartName="/xl/drawings/drawing10.xml" ContentType="application/vnd.openxmlformats-officedocument.drawing+xml"/>
  <Override PartName="/xl/queryTables/queryTable8.xml" ContentType="application/vnd.openxmlformats-officedocument.spreadsheetml.queryTable+xml"/>
  <Override PartName="/xl/comments4.xml" ContentType="application/vnd.openxmlformats-officedocument.spreadsheetml.comments+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pivotTables/pivotTable137.xml" ContentType="application/vnd.openxmlformats-officedocument.spreadsheetml.pivotTable+xml"/>
  <Override PartName="/xl/pivotTables/pivotTable138.xml" ContentType="application/vnd.openxmlformats-officedocument.spreadsheetml.pivotTable+xml"/>
  <Override PartName="/xl/pivotTables/pivotTable139.xml" ContentType="application/vnd.openxmlformats-officedocument.spreadsheetml.pivotTable+xml"/>
  <Override PartName="/xl/pivotTables/pivotTable140.xml" ContentType="application/vnd.openxmlformats-officedocument.spreadsheetml.pivotTable+xml"/>
  <Override PartName="/xl/pivotTables/pivotTable141.xml" ContentType="application/vnd.openxmlformats-officedocument.spreadsheetml.pivotTable+xml"/>
  <Override PartName="/xl/pivotTables/pivotTable142.xml" ContentType="application/vnd.openxmlformats-officedocument.spreadsheetml.pivotTable+xml"/>
  <Override PartName="/xl/pivotTables/pivotTable143.xml" ContentType="application/vnd.openxmlformats-officedocument.spreadsheetml.pivotTable+xml"/>
  <Override PartName="/xl/pivotTables/pivotTable144.xml" ContentType="application/vnd.openxmlformats-officedocument.spreadsheetml.pivotTable+xml"/>
  <Override PartName="/xl/pivotTables/pivotTable145.xml" ContentType="application/vnd.openxmlformats-officedocument.spreadsheetml.pivotTable+xml"/>
  <Override PartName="/xl/pivotTables/pivotTable146.xml" ContentType="application/vnd.openxmlformats-officedocument.spreadsheetml.pivotTable+xml"/>
  <Override PartName="/xl/pivotTables/pivotTable147.xml" ContentType="application/vnd.openxmlformats-officedocument.spreadsheetml.pivotTable+xml"/>
  <Override PartName="/xl/pivotTables/pivotTable148.xml" ContentType="application/vnd.openxmlformats-officedocument.spreadsheetml.pivotTable+xml"/>
  <Override PartName="/xl/drawings/drawing13.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4.xml" ContentType="application/vnd.openxmlformats-officedocument.drawing+xml"/>
  <Override PartName="/xl/queryTables/queryTable9.xml" ContentType="application/vnd.openxmlformats-officedocument.spreadsheetml.queryTable+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codeName="ThisWorkbook" hidePivotFieldList="1" defaultThemeVersion="124226"/>
  <mc:AlternateContent xmlns:mc="http://schemas.openxmlformats.org/markup-compatibility/2006">
    <mc:Choice Requires="x15">
      <x15ac:absPath xmlns:x15ac="http://schemas.microsoft.com/office/spreadsheetml/2010/11/ac" url="/Users/lanet/Downloads/"/>
    </mc:Choice>
  </mc:AlternateContent>
  <xr:revisionPtr revIDLastSave="0" documentId="8_{1C7E01FC-F60F-154D-9203-647C15F56764}" xr6:coauthVersionLast="47" xr6:coauthVersionMax="47" xr10:uidLastSave="{00000000-0000-0000-0000-000000000000}"/>
  <bookViews>
    <workbookView xWindow="0" yWindow="740" windowWidth="29400" windowHeight="18380" tabRatio="855" activeTab="15" xr2:uid="{00000000-000D-0000-FFFF-FFFF00000000}"/>
  </bookViews>
  <sheets>
    <sheet name="SafetySummary" sheetId="31" state="veryHidden" r:id="rId1"/>
    <sheet name="Query-CAMTOOL" sheetId="65" state="veryHidden" r:id="rId2"/>
    <sheet name="Query-RI" sheetId="66" state="veryHidden" r:id="rId3"/>
    <sheet name="Query-Project" sheetId="69" state="veryHidden" r:id="rId4"/>
    <sheet name="Query-CMS" sheetId="67" state="veryHidden" r:id="rId5"/>
    <sheet name="Query-PMS" sheetId="68" state="veryHidden" r:id="rId6"/>
    <sheet name="ImageQuery" sheetId="46" state="veryHidden" r:id="rId7"/>
    <sheet name="HistoricalImages" sheetId="47" state="veryHidden" r:id="rId8"/>
    <sheet name="RefTables" sheetId="44" state="hidden" r:id="rId9"/>
    <sheet name="Data" sheetId="18" state="hidden" r:id="rId10"/>
    <sheet name="Metadata" sheetId="63" state="hidden" r:id="rId11"/>
    <sheet name="Full Crash Data" sheetId="43" r:id="rId12"/>
    <sheet name="Quick Summary" sheetId="64" r:id="rId13"/>
    <sheet name="Crash Analysis" sheetId="48" r:id="rId14"/>
    <sheet name="Unit 1 Analysis" sheetId="52" r:id="rId15"/>
    <sheet name="RelativeSeverityIndex" sheetId="70" r:id="rId16"/>
    <sheet name="Emphasis Area" sheetId="53" r:id="rId17"/>
    <sheet name="PerformanceMeasures" sheetId="54" state="veryHidden" r:id="rId18"/>
    <sheet name="Proportions" sheetId="58" r:id="rId19"/>
    <sheet name="ProportionsReference" sheetId="72" state="hidden" r:id="rId20"/>
    <sheet name="CrashTree" sheetId="55" r:id="rId21"/>
    <sheet name="Crash Data" sheetId="1" state="hidden" r:id="rId22"/>
    <sheet name="Data Analysis" sheetId="5" state="hidden" r:id="rId23"/>
    <sheet name="Graphical Analysis" sheetId="6" state="hidden" r:id="rId24"/>
    <sheet name="Histograms" sheetId="7" state="hidden" r:id="rId25"/>
    <sheet name="Collision Diagram" sheetId="8" state="hidden" r:id="rId26"/>
    <sheet name="Diagram Data" sheetId="17" state="hidden" r:id="rId27"/>
    <sheet name="Rate Calc Sheet" sheetId="10" state="hidden" r:id="rId28"/>
    <sheet name="Severity Calc Sheet" sheetId="11" state="hidden" r:id="rId29"/>
    <sheet name="RSI_Data" sheetId="71" state="hidden" r:id="rId30"/>
    <sheet name="CRF Table_Rev" sheetId="40" state="hidden" r:id="rId31"/>
    <sheet name="HL_Submission" sheetId="56" state="veryHidden" r:id="rId32"/>
  </sheets>
  <externalReferences>
    <externalReference r:id="rId33"/>
  </externalReferences>
  <definedNames>
    <definedName name="_xlnm._FilterDatabase" localSheetId="21" hidden="1">'Crash Data'!$A$20:$GI$20</definedName>
    <definedName name="_xlnm._FilterDatabase" localSheetId="30" hidden="1">'CRF Table_Rev'!$A$5:$AM$5</definedName>
    <definedName name="_xlnm._FilterDatabase" localSheetId="11" hidden="1">'Full Crash Data'!$A$20:$ET$20</definedName>
    <definedName name="_xlnm._FilterDatabase" localSheetId="31" hidden="1">HL_Submission!$A$2:$AP$2</definedName>
    <definedName name="_xlnm._FilterDatabase" localSheetId="8" hidden="1">RefTables!$A$1:$E$636</definedName>
    <definedName name="_xlnm._FilterDatabase" localSheetId="29" hidden="1">RSI_Data!$A$2:$G$72310</definedName>
    <definedName name="_xlnm._FilterDatabase" localSheetId="0" hidden="1">SafetySummary!$A$17:$HG$17</definedName>
    <definedName name="accidentsnewheadings" localSheetId="21">OFFSET('Full Crash Data'!$B$21,1,0,1,COUNT('Full Crash Data'!$A$20:$EQ$22))</definedName>
    <definedName name="camtoolacc" localSheetId="21">'Crash Data'!$A$20:$BE$22</definedName>
    <definedName name="camtoolacc" localSheetId="26">'Diagram Data'!$Z$2:$AW$2</definedName>
    <definedName name="Code_ID" localSheetId="6">#REF!</definedName>
    <definedName name="Countermeasures" localSheetId="10">OFFSET('[1]CRF Table_Rev'!$AA$6,0,0,COUNTIF('[1]CRF Table_Rev'!$AA$6:$AA$123,"&lt;&gt;0"))</definedName>
    <definedName name="Countermeasures">OFFSET('CRF Table_Rev'!$AA$6,0,0,COUNTIF('CRF Table_Rev'!$AA$6:$AA$123,"&lt;&gt;0"))</definedName>
    <definedName name="CrashAttributes" localSheetId="11">OFFSET('Full Crash Data'!$A$20:$BG$20,0,0,1,COUNTA('Full Crash Data'!$A$20:$BG$20))</definedName>
    <definedName name="CrashAttributes" localSheetId="10">OFFSET('[1]Crash Data'!$A$20:$BI$20,0,0,1,COUNTA('[1]Crash Data'!$A$20:$BI$20))</definedName>
    <definedName name="CrashAttributes">OFFSET('Crash Data'!$A$20:$BI$20,0,0,1,COUNTA('Crash Data'!$A$20:$BI$20))</definedName>
    <definedName name="CrashDataArea">OFFSET('Full Crash Data'!$A$20:$ES$1000000,0,0,COUNTIF('Full Crash Data'!$B$20:$B$1000000,"&gt;0")+1)</definedName>
    <definedName name="GIS_Crash_Analysis_Tool" localSheetId="9">Data!#REF!</definedName>
    <definedName name="Header" localSheetId="6">#REF!</definedName>
    <definedName name="LegacyCrashData">OFFSET('Crash Data'!$A$20:$DL$1000000,0,0,COUNTIF('Crash Data'!$B$20:$B$1000000,"&gt;0")+1)</definedName>
    <definedName name="Level1" localSheetId="6">OFFSET(#REF!,0,0,COUNTA(#REF!))</definedName>
    <definedName name="Level1" localSheetId="10">OFFSET(#REF!,0,0,COUNTA(#REF!))</definedName>
    <definedName name="Level2" localSheetId="6">OFFSET(#REF!,0,0,COUNTA(#REF!))</definedName>
    <definedName name="Level2" localSheetId="10">OFFSET(#REF!,0,0,COUNTA(#REF!))</definedName>
    <definedName name="Level3a" localSheetId="6">OFFSET(#REF!,0,0,COUNTA(#REF!))</definedName>
    <definedName name="Level3a" localSheetId="10">OFFSET(#REF!,0,0,COUNTA(#REF!))</definedName>
    <definedName name="Level3b" localSheetId="6">OFFSET(#REF!,0,0,COUNTA(#REF!))</definedName>
    <definedName name="Level3b" localSheetId="10">OFFSET(#REF!,0,0,COUNTA(#REF!))</definedName>
    <definedName name="Level4a" localSheetId="6">OFFSET(#REF!,0,0,COUNTA(#REF!))</definedName>
    <definedName name="Level4a" localSheetId="10">OFFSET(#REF!,0,0,COUNTA(#REF!))</definedName>
    <definedName name="Level4b" localSheetId="6">OFFSET(#REF!,0,0,COUNTA(#REF!))</definedName>
    <definedName name="Level4b" localSheetId="10">OFFSET(#REF!,0,0,COUNTA(#REF!))</definedName>
    <definedName name="Level4c" localSheetId="6">OFFSET(#REF!,0,0,COUNTA(#REF!))</definedName>
    <definedName name="Level4c" localSheetId="10">OFFSET(#REF!,0,0,COUNTA(#REF!))</definedName>
    <definedName name="Level4d" localSheetId="6">OFFSET(#REF!,0,0,COUNTA(#REF!))</definedName>
    <definedName name="Level4d" localSheetId="10">OFFSET(#REF!,0,0,COUNTA(#REF!))</definedName>
    <definedName name="_xlnm.Print_Area" localSheetId="25">'Collision Diagram'!$A$1:$AJ$62</definedName>
    <definedName name="_xlnm.Print_Area" localSheetId="13">'Crash Analysis'!$A$1:$N$161</definedName>
    <definedName name="_xlnm.Print_Area" localSheetId="22">'Data Analysis'!$A$1:$J$321,'Data Analysis'!$K$1:$N$57</definedName>
    <definedName name="_xlnm.Print_Area" localSheetId="26">'Diagram Data'!$A$1:$Y$41</definedName>
    <definedName name="_xlnm.Print_Area" localSheetId="23">'Graphical Analysis'!$A$1:$AJ$201</definedName>
    <definedName name="_xlnm.Print_Area" localSheetId="24">Histograms!$D$1:$Z$684</definedName>
    <definedName name="_xlnm.Print_Area" localSheetId="12">'Quick Summary'!$A$1:$I$300</definedName>
    <definedName name="_xlnm.Print_Area" localSheetId="27">'Rate Calc Sheet'!$A$1:$N$37</definedName>
    <definedName name="_xlnm.Print_Area" localSheetId="28">'Severity Calc Sheet'!$A$1:$H$30</definedName>
    <definedName name="_xlnm.Print_Area" localSheetId="14">'Unit 1 Analysis'!$A$1:$K$148</definedName>
    <definedName name="_xlnm.Print_Titles" localSheetId="13">'Crash Analysis'!$1:$2</definedName>
    <definedName name="_xlnm.Print_Titles" localSheetId="22">'Data Analysis'!$1:$1</definedName>
    <definedName name="_xlnm.Print_Titles" localSheetId="26">'Diagram Data'!$2:$2</definedName>
    <definedName name="_xlnm.Print_Titles" localSheetId="23">'Graphical Analysis'!$1:$1</definedName>
    <definedName name="_xlnm.Print_Titles" localSheetId="12">'Quick Summary'!$1:$2</definedName>
    <definedName name="_xlnm.Print_Titles" localSheetId="14">'Unit 1 Analysis'!$1:$2</definedName>
    <definedName name="Query___SHSP_QUERY" localSheetId="1" hidden="1">'Query-CAMTOOL'!$A$20:$EM$21</definedName>
    <definedName name="Query___SHSP_QUERY" localSheetId="4" hidden="1">'Query-CMS'!$A$20:$H$21</definedName>
    <definedName name="Query___SHSP_QUERY" localSheetId="5" hidden="1">'Query-PMS'!$A$20:$AB$21</definedName>
    <definedName name="Query___SHSP_QUERY" localSheetId="3" hidden="1">'Query-Project'!$A$20:$BN$21</definedName>
    <definedName name="Query___SHSP_QUERY" localSheetId="2" hidden="1">'Query-RI'!$A$20:$AO$21</definedName>
    <definedName name="Query_from_SYBIQ01PRD" localSheetId="6">ImageQuery!$B$20:$C$27</definedName>
    <definedName name="Query_from_SYBIQ01PRD" localSheetId="0">SafetySummary!$GL$10:$GT$11</definedName>
    <definedName name="RSI_Types">RelativeSeverityIndex!$D$7:$F$7</definedName>
  </definedNames>
  <calcPr calcId="191029"/>
  <pivotCaches>
    <pivotCache cacheId="2" r:id="rId34"/>
    <pivotCache cacheId="3" r:id="rId3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Q328" i="43" l="1"/>
  <c r="EP328" i="43"/>
  <c r="EO328" i="43"/>
  <c r="EQ327" i="43"/>
  <c r="EP327" i="43"/>
  <c r="EO327" i="43"/>
  <c r="EQ326" i="43"/>
  <c r="EP326" i="43"/>
  <c r="EO326" i="43"/>
  <c r="EQ325" i="43"/>
  <c r="EP325" i="43"/>
  <c r="EO325" i="43"/>
  <c r="EQ324" i="43"/>
  <c r="EP324" i="43"/>
  <c r="EO324" i="43"/>
  <c r="EQ323" i="43"/>
  <c r="EP323" i="43"/>
  <c r="EO323" i="43"/>
  <c r="EQ322" i="43"/>
  <c r="EP322" i="43"/>
  <c r="EO322" i="43"/>
  <c r="EQ321" i="43"/>
  <c r="EP321" i="43"/>
  <c r="EO321" i="43"/>
  <c r="EQ320" i="43"/>
  <c r="EP320" i="43"/>
  <c r="EO320" i="43"/>
  <c r="EQ319" i="43"/>
  <c r="EP319" i="43"/>
  <c r="EO319" i="43"/>
  <c r="EQ318" i="43"/>
  <c r="EP318" i="43"/>
  <c r="EO318" i="43"/>
  <c r="EQ317" i="43"/>
  <c r="EP317" i="43"/>
  <c r="EO317" i="43"/>
  <c r="EQ316" i="43"/>
  <c r="EP316" i="43"/>
  <c r="EO316" i="43"/>
  <c r="EQ315" i="43"/>
  <c r="EP315" i="43"/>
  <c r="EO315" i="43"/>
  <c r="EQ314" i="43"/>
  <c r="EP314" i="43"/>
  <c r="EO314" i="43"/>
  <c r="EQ313" i="43"/>
  <c r="EP313" i="43"/>
  <c r="EO313" i="43"/>
  <c r="EQ312" i="43"/>
  <c r="EP312" i="43"/>
  <c r="EO312" i="43"/>
  <c r="EQ311" i="43"/>
  <c r="EP311" i="43"/>
  <c r="EO311" i="43"/>
  <c r="EQ310" i="43"/>
  <c r="EP310" i="43"/>
  <c r="EO310" i="43"/>
  <c r="EQ309" i="43"/>
  <c r="EP309" i="43"/>
  <c r="EO309" i="43"/>
  <c r="EQ308" i="43"/>
  <c r="EP308" i="43"/>
  <c r="EO308" i="43"/>
  <c r="EQ307" i="43"/>
  <c r="EP307" i="43"/>
  <c r="EO307" i="43"/>
  <c r="EQ306" i="43"/>
  <c r="EP306" i="43"/>
  <c r="EO306" i="43"/>
  <c r="EQ305" i="43"/>
  <c r="EP305" i="43"/>
  <c r="EO305" i="43"/>
  <c r="EQ304" i="43"/>
  <c r="EP304" i="43"/>
  <c r="EO304" i="43"/>
  <c r="EQ303" i="43"/>
  <c r="EP303" i="43"/>
  <c r="EO303" i="43"/>
  <c r="EQ302" i="43"/>
  <c r="EP302" i="43"/>
  <c r="EO302" i="43"/>
  <c r="EQ301" i="43"/>
  <c r="EP301" i="43"/>
  <c r="EO301" i="43"/>
  <c r="EQ300" i="43"/>
  <c r="EP300" i="43"/>
  <c r="EO300" i="43"/>
  <c r="EQ299" i="43"/>
  <c r="EP299" i="43"/>
  <c r="EO299" i="43"/>
  <c r="EQ298" i="43"/>
  <c r="EP298" i="43"/>
  <c r="EO298" i="43"/>
  <c r="EQ297" i="43"/>
  <c r="EP297" i="43"/>
  <c r="EO297" i="43"/>
  <c r="EQ296" i="43"/>
  <c r="EP296" i="43"/>
  <c r="EO296" i="43"/>
  <c r="EQ295" i="43"/>
  <c r="EP295" i="43"/>
  <c r="EO295" i="43"/>
  <c r="EQ294" i="43"/>
  <c r="EP294" i="43"/>
  <c r="EO294" i="43"/>
  <c r="EQ293" i="43"/>
  <c r="EP293" i="43"/>
  <c r="EO293" i="43"/>
  <c r="EQ292" i="43"/>
  <c r="EP292" i="43"/>
  <c r="EO292" i="43"/>
  <c r="EQ291" i="43"/>
  <c r="EP291" i="43"/>
  <c r="EO291" i="43"/>
  <c r="EQ290" i="43"/>
  <c r="EP290" i="43"/>
  <c r="EO290" i="43"/>
  <c r="EQ289" i="43"/>
  <c r="EP289" i="43"/>
  <c r="EO289" i="43"/>
  <c r="EQ288" i="43"/>
  <c r="EP288" i="43"/>
  <c r="EO288" i="43"/>
  <c r="EQ287" i="43"/>
  <c r="EP287" i="43"/>
  <c r="EO287" i="43"/>
  <c r="EQ286" i="43"/>
  <c r="EP286" i="43"/>
  <c r="EO286" i="43"/>
  <c r="EQ285" i="43"/>
  <c r="EP285" i="43"/>
  <c r="EO285" i="43"/>
  <c r="EQ284" i="43"/>
  <c r="EP284" i="43"/>
  <c r="EO284" i="43"/>
  <c r="EQ283" i="43"/>
  <c r="EP283" i="43"/>
  <c r="EO283" i="43"/>
  <c r="EQ282" i="43"/>
  <c r="EP282" i="43"/>
  <c r="EO282" i="43"/>
  <c r="EQ281" i="43"/>
  <c r="EP281" i="43"/>
  <c r="EO281" i="43"/>
  <c r="EQ280" i="43"/>
  <c r="EP280" i="43"/>
  <c r="EO280" i="43"/>
  <c r="EQ279" i="43"/>
  <c r="EP279" i="43"/>
  <c r="EO279" i="43"/>
  <c r="EQ278" i="43"/>
  <c r="EP278" i="43"/>
  <c r="EO278" i="43"/>
  <c r="EQ277" i="43"/>
  <c r="EP277" i="43"/>
  <c r="EO277" i="43"/>
  <c r="EQ276" i="43"/>
  <c r="EP276" i="43"/>
  <c r="EO276" i="43"/>
  <c r="EQ275" i="43"/>
  <c r="EP275" i="43"/>
  <c r="EO275" i="43"/>
  <c r="EQ274" i="43"/>
  <c r="EP274" i="43"/>
  <c r="EO274" i="43"/>
  <c r="EQ273" i="43"/>
  <c r="EP273" i="43"/>
  <c r="EO273" i="43"/>
  <c r="EQ272" i="43"/>
  <c r="EP272" i="43"/>
  <c r="EO272" i="43"/>
  <c r="EQ271" i="43"/>
  <c r="EP271" i="43"/>
  <c r="EO271" i="43"/>
  <c r="EQ270" i="43"/>
  <c r="EP270" i="43"/>
  <c r="EO270" i="43"/>
  <c r="EQ269" i="43"/>
  <c r="EP269" i="43"/>
  <c r="EO269" i="43"/>
  <c r="EQ268" i="43"/>
  <c r="EP268" i="43"/>
  <c r="EO268" i="43"/>
  <c r="EQ267" i="43"/>
  <c r="EP267" i="43"/>
  <c r="EO267" i="43"/>
  <c r="EQ266" i="43"/>
  <c r="EP266" i="43"/>
  <c r="EO266" i="43"/>
  <c r="EQ265" i="43"/>
  <c r="EP265" i="43"/>
  <c r="EO265" i="43"/>
  <c r="EQ264" i="43"/>
  <c r="EP264" i="43"/>
  <c r="EO264" i="43"/>
  <c r="EQ263" i="43"/>
  <c r="EP263" i="43"/>
  <c r="EO263" i="43"/>
  <c r="EQ262" i="43"/>
  <c r="EP262" i="43"/>
  <c r="EO262" i="43"/>
  <c r="EQ261" i="43"/>
  <c r="EP261" i="43"/>
  <c r="EO261" i="43"/>
  <c r="EQ260" i="43"/>
  <c r="EP260" i="43"/>
  <c r="EO260" i="43"/>
  <c r="EQ259" i="43"/>
  <c r="EP259" i="43"/>
  <c r="EO259" i="43"/>
  <c r="EQ258" i="43"/>
  <c r="EP258" i="43"/>
  <c r="EO258" i="43"/>
  <c r="EQ257" i="43"/>
  <c r="EP257" i="43"/>
  <c r="EO257" i="43"/>
  <c r="EQ256" i="43"/>
  <c r="EP256" i="43"/>
  <c r="EO256" i="43"/>
  <c r="EQ255" i="43"/>
  <c r="EP255" i="43"/>
  <c r="EO255" i="43"/>
  <c r="EQ254" i="43"/>
  <c r="EP254" i="43"/>
  <c r="EO254" i="43"/>
  <c r="EQ253" i="43"/>
  <c r="EP253" i="43"/>
  <c r="EO253" i="43"/>
  <c r="EQ252" i="43"/>
  <c r="EP252" i="43"/>
  <c r="EO252" i="43"/>
  <c r="EQ251" i="43"/>
  <c r="EP251" i="43"/>
  <c r="EO251" i="43"/>
  <c r="EQ250" i="43"/>
  <c r="EP250" i="43"/>
  <c r="EO250" i="43"/>
  <c r="EQ249" i="43"/>
  <c r="EP249" i="43"/>
  <c r="EO249" i="43"/>
  <c r="EQ248" i="43"/>
  <c r="EP248" i="43"/>
  <c r="EO248" i="43"/>
  <c r="EQ247" i="43"/>
  <c r="EP247" i="43"/>
  <c r="EO247" i="43"/>
  <c r="EQ246" i="43"/>
  <c r="EP246" i="43"/>
  <c r="EO246" i="43"/>
  <c r="EQ245" i="43"/>
  <c r="EP245" i="43"/>
  <c r="EO245" i="43"/>
  <c r="EQ244" i="43"/>
  <c r="EP244" i="43"/>
  <c r="EO244" i="43"/>
  <c r="EQ243" i="43"/>
  <c r="EP243" i="43"/>
  <c r="EO243" i="43"/>
  <c r="EQ242" i="43"/>
  <c r="EP242" i="43"/>
  <c r="EO242" i="43"/>
  <c r="EQ241" i="43"/>
  <c r="EP241" i="43"/>
  <c r="EO241" i="43"/>
  <c r="EQ240" i="43"/>
  <c r="EP240" i="43"/>
  <c r="EO240" i="43"/>
  <c r="EQ239" i="43"/>
  <c r="EP239" i="43"/>
  <c r="EO239" i="43"/>
  <c r="EQ238" i="43"/>
  <c r="EP238" i="43"/>
  <c r="EO238" i="43"/>
  <c r="EQ237" i="43"/>
  <c r="EP237" i="43"/>
  <c r="EO237" i="43"/>
  <c r="EQ236" i="43"/>
  <c r="EP236" i="43"/>
  <c r="EO236" i="43"/>
  <c r="EQ235" i="43"/>
  <c r="EP235" i="43"/>
  <c r="EO235" i="43"/>
  <c r="EQ234" i="43"/>
  <c r="EP234" i="43"/>
  <c r="EO234" i="43"/>
  <c r="EQ233" i="43"/>
  <c r="EP233" i="43"/>
  <c r="EO233" i="43"/>
  <c r="EQ232" i="43"/>
  <c r="EP232" i="43"/>
  <c r="EO232" i="43"/>
  <c r="EQ231" i="43"/>
  <c r="EP231" i="43"/>
  <c r="EO231" i="43"/>
  <c r="EQ230" i="43"/>
  <c r="EP230" i="43"/>
  <c r="EO230" i="43"/>
  <c r="EQ229" i="43"/>
  <c r="EP229" i="43"/>
  <c r="EO229" i="43"/>
  <c r="EQ228" i="43"/>
  <c r="EP228" i="43"/>
  <c r="EO228" i="43"/>
  <c r="EQ227" i="43"/>
  <c r="EP227" i="43"/>
  <c r="EO227" i="43"/>
  <c r="EQ226" i="43"/>
  <c r="EP226" i="43"/>
  <c r="EO226" i="43"/>
  <c r="EQ225" i="43"/>
  <c r="EP225" i="43"/>
  <c r="EO225" i="43"/>
  <c r="EQ224" i="43"/>
  <c r="EP224" i="43"/>
  <c r="EO224" i="43"/>
  <c r="EQ223" i="43"/>
  <c r="EP223" i="43"/>
  <c r="EO223" i="43"/>
  <c r="EQ222" i="43"/>
  <c r="EP222" i="43"/>
  <c r="EO222" i="43"/>
  <c r="EQ221" i="43"/>
  <c r="EP221" i="43"/>
  <c r="EO221" i="43"/>
  <c r="EQ220" i="43"/>
  <c r="EP220" i="43"/>
  <c r="EO220" i="43"/>
  <c r="EQ219" i="43"/>
  <c r="EP219" i="43"/>
  <c r="EO219" i="43"/>
  <c r="EQ218" i="43"/>
  <c r="EP218" i="43"/>
  <c r="EO218" i="43"/>
  <c r="EQ217" i="43"/>
  <c r="EP217" i="43"/>
  <c r="EO217" i="43"/>
  <c r="EQ216" i="43"/>
  <c r="EP216" i="43"/>
  <c r="EO216" i="43"/>
  <c r="EQ215" i="43"/>
  <c r="EP215" i="43"/>
  <c r="EO215" i="43"/>
  <c r="EQ214" i="43"/>
  <c r="EP214" i="43"/>
  <c r="EO214" i="43"/>
  <c r="EQ213" i="43"/>
  <c r="EP213" i="43"/>
  <c r="EO213" i="43"/>
  <c r="EQ212" i="43"/>
  <c r="EP212" i="43"/>
  <c r="EO212" i="43"/>
  <c r="EQ211" i="43"/>
  <c r="EP211" i="43"/>
  <c r="EO211" i="43"/>
  <c r="EQ210" i="43"/>
  <c r="EP210" i="43"/>
  <c r="EO210" i="43"/>
  <c r="EQ209" i="43"/>
  <c r="EP209" i="43"/>
  <c r="EO209" i="43"/>
  <c r="EQ208" i="43"/>
  <c r="EP208" i="43"/>
  <c r="EO208" i="43"/>
  <c r="EQ207" i="43"/>
  <c r="EP207" i="43"/>
  <c r="EO207" i="43"/>
  <c r="EQ206" i="43"/>
  <c r="EP206" i="43"/>
  <c r="EO206" i="43"/>
  <c r="EQ205" i="43"/>
  <c r="EP205" i="43"/>
  <c r="EO205" i="43"/>
  <c r="EQ204" i="43"/>
  <c r="EP204" i="43"/>
  <c r="EO204" i="43"/>
  <c r="EQ203" i="43"/>
  <c r="EP203" i="43"/>
  <c r="EO203" i="43"/>
  <c r="EQ202" i="43"/>
  <c r="EP202" i="43"/>
  <c r="EO202" i="43"/>
  <c r="EQ201" i="43"/>
  <c r="EP201" i="43"/>
  <c r="EO201" i="43"/>
  <c r="EQ200" i="43"/>
  <c r="EP200" i="43"/>
  <c r="EO200" i="43"/>
  <c r="EQ199" i="43"/>
  <c r="EP199" i="43"/>
  <c r="EO199" i="43"/>
  <c r="EQ198" i="43"/>
  <c r="EP198" i="43"/>
  <c r="EO198" i="43"/>
  <c r="EQ197" i="43"/>
  <c r="EP197" i="43"/>
  <c r="EO197" i="43"/>
  <c r="EQ196" i="43"/>
  <c r="EP196" i="43"/>
  <c r="EO196" i="43"/>
  <c r="EQ195" i="43"/>
  <c r="EP195" i="43"/>
  <c r="EO195" i="43"/>
  <c r="EQ194" i="43"/>
  <c r="EP194" i="43"/>
  <c r="EO194" i="43"/>
  <c r="EQ193" i="43"/>
  <c r="EP193" i="43"/>
  <c r="EO193" i="43"/>
  <c r="EQ192" i="43"/>
  <c r="EP192" i="43"/>
  <c r="EO192" i="43"/>
  <c r="EQ191" i="43"/>
  <c r="EP191" i="43"/>
  <c r="EO191" i="43"/>
  <c r="EQ190" i="43"/>
  <c r="EP190" i="43"/>
  <c r="EO190" i="43"/>
  <c r="EQ189" i="43"/>
  <c r="EP189" i="43"/>
  <c r="EO189" i="43"/>
  <c r="EQ188" i="43"/>
  <c r="EP188" i="43"/>
  <c r="EO188" i="43"/>
  <c r="EQ187" i="43"/>
  <c r="EP187" i="43"/>
  <c r="EO187" i="43"/>
  <c r="EQ186" i="43"/>
  <c r="EP186" i="43"/>
  <c r="EO186" i="43"/>
  <c r="EQ185" i="43"/>
  <c r="EP185" i="43"/>
  <c r="EO185" i="43"/>
  <c r="EQ184" i="43"/>
  <c r="EP184" i="43"/>
  <c r="EO184" i="43"/>
  <c r="EQ183" i="43"/>
  <c r="EP183" i="43"/>
  <c r="EO183" i="43"/>
  <c r="EQ182" i="43"/>
  <c r="EP182" i="43"/>
  <c r="EO182" i="43"/>
  <c r="EQ181" i="43"/>
  <c r="EP181" i="43"/>
  <c r="EO181" i="43"/>
  <c r="EQ180" i="43"/>
  <c r="EP180" i="43"/>
  <c r="EO180" i="43"/>
  <c r="EQ179" i="43"/>
  <c r="EP179" i="43"/>
  <c r="EO179" i="43"/>
  <c r="EQ178" i="43"/>
  <c r="EP178" i="43"/>
  <c r="EO178" i="43"/>
  <c r="EQ177" i="43"/>
  <c r="EP177" i="43"/>
  <c r="EO177" i="43"/>
  <c r="EQ176" i="43"/>
  <c r="EP176" i="43"/>
  <c r="EO176" i="43"/>
  <c r="EQ175" i="43"/>
  <c r="EP175" i="43"/>
  <c r="EO175" i="43"/>
  <c r="EQ174" i="43"/>
  <c r="EP174" i="43"/>
  <c r="EO174" i="43"/>
  <c r="EQ173" i="43"/>
  <c r="EP173" i="43"/>
  <c r="EO173" i="43"/>
  <c r="EQ172" i="43"/>
  <c r="EP172" i="43"/>
  <c r="EO172" i="43"/>
  <c r="EQ171" i="43"/>
  <c r="EP171" i="43"/>
  <c r="EO171" i="43"/>
  <c r="EQ170" i="43"/>
  <c r="EP170" i="43"/>
  <c r="EO170" i="43"/>
  <c r="EQ169" i="43"/>
  <c r="EP169" i="43"/>
  <c r="EO169" i="43"/>
  <c r="EQ168" i="43"/>
  <c r="EP168" i="43"/>
  <c r="EO168" i="43"/>
  <c r="EQ167" i="43"/>
  <c r="EP167" i="43"/>
  <c r="EO167" i="43"/>
  <c r="EQ166" i="43"/>
  <c r="EP166" i="43"/>
  <c r="EO166" i="43"/>
  <c r="EQ165" i="43"/>
  <c r="EP165" i="43"/>
  <c r="EO165" i="43"/>
  <c r="EQ164" i="43"/>
  <c r="EP164" i="43"/>
  <c r="EO164" i="43"/>
  <c r="EQ163" i="43"/>
  <c r="EP163" i="43"/>
  <c r="EO163" i="43"/>
  <c r="EQ162" i="43"/>
  <c r="EP162" i="43"/>
  <c r="EO162" i="43"/>
  <c r="EQ161" i="43"/>
  <c r="EP161" i="43"/>
  <c r="EO161" i="43"/>
  <c r="EQ160" i="43"/>
  <c r="EP160" i="43"/>
  <c r="EO160" i="43"/>
  <c r="EQ159" i="43"/>
  <c r="EP159" i="43"/>
  <c r="EO159" i="43"/>
  <c r="EQ158" i="43"/>
  <c r="EP158" i="43"/>
  <c r="EO158" i="43"/>
  <c r="EQ157" i="43"/>
  <c r="EP157" i="43"/>
  <c r="EO157" i="43"/>
  <c r="EQ156" i="43"/>
  <c r="EP156" i="43"/>
  <c r="EO156" i="43"/>
  <c r="EQ155" i="43"/>
  <c r="EP155" i="43"/>
  <c r="EO155" i="43"/>
  <c r="EQ154" i="43"/>
  <c r="EP154" i="43"/>
  <c r="EO154" i="43"/>
  <c r="EQ153" i="43"/>
  <c r="EP153" i="43"/>
  <c r="EO153" i="43"/>
  <c r="EQ152" i="43"/>
  <c r="EP152" i="43"/>
  <c r="EO152" i="43"/>
  <c r="EQ151" i="43"/>
  <c r="EP151" i="43"/>
  <c r="EO151" i="43"/>
  <c r="EQ150" i="43"/>
  <c r="EP150" i="43"/>
  <c r="EO150" i="43"/>
  <c r="EQ149" i="43"/>
  <c r="EP149" i="43"/>
  <c r="EO149" i="43"/>
  <c r="EQ148" i="43"/>
  <c r="EP148" i="43"/>
  <c r="EO148" i="43"/>
  <c r="EQ147" i="43"/>
  <c r="EP147" i="43"/>
  <c r="EO147" i="43"/>
  <c r="EQ146" i="43"/>
  <c r="EP146" i="43"/>
  <c r="EO146" i="43"/>
  <c r="EQ145" i="43"/>
  <c r="EP145" i="43"/>
  <c r="EO145" i="43"/>
  <c r="EQ144" i="43"/>
  <c r="EP144" i="43"/>
  <c r="EO144" i="43"/>
  <c r="EQ143" i="43"/>
  <c r="EP143" i="43"/>
  <c r="EO143" i="43"/>
  <c r="EQ142" i="43"/>
  <c r="EP142" i="43"/>
  <c r="EO142" i="43"/>
  <c r="EQ141" i="43"/>
  <c r="EP141" i="43"/>
  <c r="EO141" i="43"/>
  <c r="EQ140" i="43"/>
  <c r="EP140" i="43"/>
  <c r="EO140" i="43"/>
  <c r="EQ139" i="43"/>
  <c r="EP139" i="43"/>
  <c r="EO139" i="43"/>
  <c r="EQ138" i="43"/>
  <c r="EP138" i="43"/>
  <c r="EO138" i="43"/>
  <c r="EQ137" i="43"/>
  <c r="EP137" i="43"/>
  <c r="EO137" i="43"/>
  <c r="EQ136" i="43"/>
  <c r="EP136" i="43"/>
  <c r="EO136" i="43"/>
  <c r="EQ135" i="43"/>
  <c r="EP135" i="43"/>
  <c r="EO135" i="43"/>
  <c r="EQ134" i="43"/>
  <c r="EP134" i="43"/>
  <c r="EO134" i="43"/>
  <c r="EQ133" i="43"/>
  <c r="EP133" i="43"/>
  <c r="EO133" i="43"/>
  <c r="EQ132" i="43"/>
  <c r="EP132" i="43"/>
  <c r="EO132" i="43"/>
  <c r="EQ131" i="43"/>
  <c r="EP131" i="43"/>
  <c r="EO131" i="43"/>
  <c r="EQ130" i="43"/>
  <c r="EP130" i="43"/>
  <c r="EO130" i="43"/>
  <c r="EQ129" i="43"/>
  <c r="EP129" i="43"/>
  <c r="EO129" i="43"/>
  <c r="EQ128" i="43"/>
  <c r="EP128" i="43"/>
  <c r="EO128" i="43"/>
  <c r="EQ127" i="43"/>
  <c r="EP127" i="43"/>
  <c r="EO127" i="43"/>
  <c r="EQ126" i="43"/>
  <c r="EP126" i="43"/>
  <c r="EO126" i="43"/>
  <c r="EQ125" i="43"/>
  <c r="EP125" i="43"/>
  <c r="EO125" i="43"/>
  <c r="EQ124" i="43"/>
  <c r="EP124" i="43"/>
  <c r="EO124" i="43"/>
  <c r="EQ123" i="43"/>
  <c r="EP123" i="43"/>
  <c r="EO123" i="43"/>
  <c r="EQ122" i="43"/>
  <c r="EP122" i="43"/>
  <c r="EO122" i="43"/>
  <c r="EQ121" i="43"/>
  <c r="EP121" i="43"/>
  <c r="EO121" i="43"/>
  <c r="EQ120" i="43"/>
  <c r="EP120" i="43"/>
  <c r="EO120" i="43"/>
  <c r="EQ119" i="43"/>
  <c r="EP119" i="43"/>
  <c r="EO119" i="43"/>
  <c r="EQ118" i="43"/>
  <c r="EP118" i="43"/>
  <c r="EO118" i="43"/>
  <c r="EQ117" i="43"/>
  <c r="EP117" i="43"/>
  <c r="EO117" i="43"/>
  <c r="EQ116" i="43"/>
  <c r="EP116" i="43"/>
  <c r="EO116" i="43"/>
  <c r="EQ115" i="43"/>
  <c r="EP115" i="43"/>
  <c r="EO115" i="43"/>
  <c r="EQ114" i="43"/>
  <c r="EP114" i="43"/>
  <c r="EO114" i="43"/>
  <c r="EQ113" i="43"/>
  <c r="EP113" i="43"/>
  <c r="EO113" i="43"/>
  <c r="EQ112" i="43"/>
  <c r="EP112" i="43"/>
  <c r="EO112" i="43"/>
  <c r="EQ111" i="43"/>
  <c r="EP111" i="43"/>
  <c r="EO111" i="43"/>
  <c r="EQ110" i="43"/>
  <c r="EP110" i="43"/>
  <c r="EO110" i="43"/>
  <c r="EQ109" i="43"/>
  <c r="EP109" i="43"/>
  <c r="EO109" i="43"/>
  <c r="EQ108" i="43"/>
  <c r="EP108" i="43"/>
  <c r="EO108" i="43"/>
  <c r="EQ107" i="43"/>
  <c r="EP107" i="43"/>
  <c r="EO107" i="43"/>
  <c r="EQ106" i="43"/>
  <c r="EP106" i="43"/>
  <c r="EO106" i="43"/>
  <c r="EQ105" i="43"/>
  <c r="EP105" i="43"/>
  <c r="EO105" i="43"/>
  <c r="EQ104" i="43"/>
  <c r="EP104" i="43"/>
  <c r="EO104" i="43"/>
  <c r="EQ103" i="43"/>
  <c r="EP103" i="43"/>
  <c r="EO103" i="43"/>
  <c r="EQ102" i="43"/>
  <c r="EP102" i="43"/>
  <c r="EO102" i="43"/>
  <c r="EQ101" i="43"/>
  <c r="EP101" i="43"/>
  <c r="EO101" i="43"/>
  <c r="EQ100" i="43"/>
  <c r="EP100" i="43"/>
  <c r="EO100" i="43"/>
  <c r="EQ99" i="43"/>
  <c r="EP99" i="43"/>
  <c r="EO99" i="43"/>
  <c r="EQ98" i="43"/>
  <c r="EP98" i="43"/>
  <c r="EO98" i="43"/>
  <c r="EQ97" i="43"/>
  <c r="EP97" i="43"/>
  <c r="EO97" i="43"/>
  <c r="EQ96" i="43"/>
  <c r="EP96" i="43"/>
  <c r="EO96" i="43"/>
  <c r="EQ95" i="43"/>
  <c r="EP95" i="43"/>
  <c r="EO95" i="43"/>
  <c r="EQ94" i="43"/>
  <c r="EP94" i="43"/>
  <c r="EO94" i="43"/>
  <c r="EQ93" i="43"/>
  <c r="EP93" i="43"/>
  <c r="EO93" i="43"/>
  <c r="EQ92" i="43"/>
  <c r="EP92" i="43"/>
  <c r="EO92" i="43"/>
  <c r="EQ91" i="43"/>
  <c r="EP91" i="43"/>
  <c r="EO91" i="43"/>
  <c r="EQ90" i="43"/>
  <c r="EP90" i="43"/>
  <c r="EO90" i="43"/>
  <c r="EQ89" i="43"/>
  <c r="EP89" i="43"/>
  <c r="EO89" i="43"/>
  <c r="EQ88" i="43"/>
  <c r="EP88" i="43"/>
  <c r="EO88" i="43"/>
  <c r="EQ87" i="43"/>
  <c r="EP87" i="43"/>
  <c r="EO87" i="43"/>
  <c r="EQ86" i="43"/>
  <c r="EP86" i="43"/>
  <c r="EO86" i="43"/>
  <c r="EQ85" i="43"/>
  <c r="EP85" i="43"/>
  <c r="EO85" i="43"/>
  <c r="EQ84" i="43"/>
  <c r="EP84" i="43"/>
  <c r="EO84" i="43"/>
  <c r="EQ83" i="43"/>
  <c r="EP83" i="43"/>
  <c r="EO83" i="43"/>
  <c r="EQ82" i="43"/>
  <c r="EP82" i="43"/>
  <c r="EO82" i="43"/>
  <c r="EQ81" i="43"/>
  <c r="EP81" i="43"/>
  <c r="EO81" i="43"/>
  <c r="EQ80" i="43"/>
  <c r="EP80" i="43"/>
  <c r="EO80" i="43"/>
  <c r="EQ79" i="43"/>
  <c r="EP79" i="43"/>
  <c r="EO79" i="43"/>
  <c r="EQ78" i="43"/>
  <c r="EP78" i="43"/>
  <c r="EO78" i="43"/>
  <c r="EQ77" i="43"/>
  <c r="EP77" i="43"/>
  <c r="EO77" i="43"/>
  <c r="EQ76" i="43"/>
  <c r="EP76" i="43"/>
  <c r="EO76" i="43"/>
  <c r="EQ75" i="43"/>
  <c r="EP75" i="43"/>
  <c r="EO75" i="43"/>
  <c r="EQ74" i="43"/>
  <c r="EP74" i="43"/>
  <c r="EO74" i="43"/>
  <c r="EQ73" i="43"/>
  <c r="EP73" i="43"/>
  <c r="EO73" i="43"/>
  <c r="EQ72" i="43"/>
  <c r="EP72" i="43"/>
  <c r="EO72" i="43"/>
  <c r="EQ71" i="43"/>
  <c r="EP71" i="43"/>
  <c r="EO71" i="43"/>
  <c r="EQ70" i="43"/>
  <c r="EP70" i="43"/>
  <c r="EO70" i="43"/>
  <c r="EQ69" i="43"/>
  <c r="EP69" i="43"/>
  <c r="EO69" i="43"/>
  <c r="EQ68" i="43"/>
  <c r="EP68" i="43"/>
  <c r="EO68" i="43"/>
  <c r="EQ67" i="43"/>
  <c r="EP67" i="43"/>
  <c r="EO67" i="43"/>
  <c r="EQ66" i="43"/>
  <c r="EP66" i="43"/>
  <c r="EO66" i="43"/>
  <c r="EQ65" i="43"/>
  <c r="EP65" i="43"/>
  <c r="EO65" i="43"/>
  <c r="EQ64" i="43"/>
  <c r="EP64" i="43"/>
  <c r="EO64" i="43"/>
  <c r="EQ63" i="43"/>
  <c r="EP63" i="43"/>
  <c r="EO63" i="43"/>
  <c r="EQ62" i="43"/>
  <c r="EP62" i="43"/>
  <c r="EO62" i="43"/>
  <c r="EQ61" i="43"/>
  <c r="EP61" i="43"/>
  <c r="EO61" i="43"/>
  <c r="EQ60" i="43"/>
  <c r="EP60" i="43"/>
  <c r="EO60" i="43"/>
  <c r="EQ59" i="43"/>
  <c r="EP59" i="43"/>
  <c r="EO59" i="43"/>
  <c r="EQ58" i="43"/>
  <c r="EP58" i="43"/>
  <c r="EO58" i="43"/>
  <c r="EQ57" i="43"/>
  <c r="EP57" i="43"/>
  <c r="EO57" i="43"/>
  <c r="EQ56" i="43"/>
  <c r="EP56" i="43"/>
  <c r="EO56" i="43"/>
  <c r="EQ55" i="43"/>
  <c r="EP55" i="43"/>
  <c r="EO55" i="43"/>
  <c r="EQ54" i="43"/>
  <c r="EP54" i="43"/>
  <c r="EO54" i="43"/>
  <c r="EQ53" i="43"/>
  <c r="EP53" i="43"/>
  <c r="EO53" i="43"/>
  <c r="EQ52" i="43"/>
  <c r="EP52" i="43"/>
  <c r="EO52" i="43"/>
  <c r="EQ51" i="43"/>
  <c r="EP51" i="43"/>
  <c r="EO51" i="43"/>
  <c r="EQ50" i="43"/>
  <c r="EP50" i="43"/>
  <c r="EO50" i="43"/>
  <c r="EQ49" i="43"/>
  <c r="EP49" i="43"/>
  <c r="EO49" i="43"/>
  <c r="EQ48" i="43"/>
  <c r="EP48" i="43"/>
  <c r="EO48" i="43"/>
  <c r="EQ47" i="43"/>
  <c r="EP47" i="43"/>
  <c r="EO47" i="43"/>
  <c r="EQ46" i="43"/>
  <c r="EP46" i="43"/>
  <c r="EO46" i="43"/>
  <c r="EQ45" i="43"/>
  <c r="EP45" i="43"/>
  <c r="EO45" i="43"/>
  <c r="EQ44" i="43"/>
  <c r="EP44" i="43"/>
  <c r="EO44" i="43"/>
  <c r="EQ43" i="43"/>
  <c r="EP43" i="43"/>
  <c r="EO43" i="43"/>
  <c r="EQ42" i="43"/>
  <c r="EP42" i="43"/>
  <c r="EO42" i="43"/>
  <c r="EQ41" i="43"/>
  <c r="EP41" i="43"/>
  <c r="EO41" i="43"/>
  <c r="EQ40" i="43"/>
  <c r="EP40" i="43"/>
  <c r="EO40" i="43"/>
  <c r="EQ39" i="43"/>
  <c r="EP39" i="43"/>
  <c r="EO39" i="43"/>
  <c r="EQ38" i="43"/>
  <c r="EP38" i="43"/>
  <c r="EO38" i="43"/>
  <c r="EQ37" i="43"/>
  <c r="EP37" i="43"/>
  <c r="EO37" i="43"/>
  <c r="EQ36" i="43"/>
  <c r="EP36" i="43"/>
  <c r="EO36" i="43"/>
  <c r="EQ35" i="43"/>
  <c r="EP35" i="43"/>
  <c r="EO35" i="43"/>
  <c r="EQ34" i="43"/>
  <c r="EP34" i="43"/>
  <c r="EO34" i="43"/>
  <c r="EQ33" i="43"/>
  <c r="EP33" i="43"/>
  <c r="EO33" i="43"/>
  <c r="EQ32" i="43"/>
  <c r="EP32" i="43"/>
  <c r="EO32" i="43"/>
  <c r="EQ31" i="43"/>
  <c r="EP31" i="43"/>
  <c r="EO31" i="43"/>
  <c r="EQ30" i="43"/>
  <c r="EP30" i="43"/>
  <c r="EO30" i="43"/>
  <c r="EQ29" i="43"/>
  <c r="EP29" i="43"/>
  <c r="EO29" i="43"/>
  <c r="EQ28" i="43"/>
  <c r="EP28" i="43"/>
  <c r="EO28" i="43"/>
  <c r="EQ27" i="43"/>
  <c r="EP27" i="43"/>
  <c r="EO27" i="43"/>
  <c r="EQ26" i="43"/>
  <c r="EP26" i="43"/>
  <c r="EO26" i="43"/>
  <c r="EQ25" i="43"/>
  <c r="EP25" i="43"/>
  <c r="EO25" i="43"/>
  <c r="EQ24" i="43"/>
  <c r="EP24" i="43"/>
  <c r="EO24" i="43"/>
  <c r="EQ23" i="43"/>
  <c r="EP23" i="43"/>
  <c r="EO23" i="43"/>
  <c r="EQ22" i="43"/>
  <c r="EP22" i="43"/>
  <c r="EO22" i="43"/>
  <c r="EQ21" i="43"/>
  <c r="EP21" i="43"/>
  <c r="EO21" i="43"/>
  <c r="A328" i="43"/>
  <c r="A327" i="43"/>
  <c r="A326" i="43"/>
  <c r="A325" i="43"/>
  <c r="A324" i="43"/>
  <c r="A323" i="43"/>
  <c r="A322" i="43"/>
  <c r="A321" i="43"/>
  <c r="A320" i="43"/>
  <c r="A319" i="43"/>
  <c r="A318" i="43"/>
  <c r="A317" i="43"/>
  <c r="A316" i="43"/>
  <c r="A315" i="43"/>
  <c r="A314" i="43"/>
  <c r="A313" i="43"/>
  <c r="A312" i="43"/>
  <c r="A311" i="43"/>
  <c r="A310" i="43"/>
  <c r="A309" i="43"/>
  <c r="A308" i="43"/>
  <c r="A307" i="43"/>
  <c r="A306" i="43"/>
  <c r="A305" i="43"/>
  <c r="A304" i="43"/>
  <c r="A303" i="43"/>
  <c r="A302" i="43"/>
  <c r="A301" i="43"/>
  <c r="A300" i="43"/>
  <c r="A299" i="43"/>
  <c r="A298" i="43"/>
  <c r="A297" i="43"/>
  <c r="A296" i="43"/>
  <c r="A295" i="43"/>
  <c r="A294" i="43"/>
  <c r="A293" i="43"/>
  <c r="A292" i="43"/>
  <c r="A291" i="43"/>
  <c r="A290" i="43"/>
  <c r="A289" i="43"/>
  <c r="A288" i="43"/>
  <c r="A287" i="43"/>
  <c r="A286" i="43"/>
  <c r="A285" i="43"/>
  <c r="A284" i="43"/>
  <c r="A283" i="43"/>
  <c r="A282" i="43"/>
  <c r="A281" i="43"/>
  <c r="A280" i="43"/>
  <c r="A279" i="43"/>
  <c r="A278" i="43"/>
  <c r="A277" i="43"/>
  <c r="A276" i="43"/>
  <c r="A275" i="43"/>
  <c r="A274" i="43"/>
  <c r="A273" i="43"/>
  <c r="A272" i="43"/>
  <c r="A271" i="43"/>
  <c r="A270" i="43"/>
  <c r="A269" i="43"/>
  <c r="A268" i="43"/>
  <c r="A267" i="43"/>
  <c r="A266" i="43"/>
  <c r="A265" i="43"/>
  <c r="A264" i="43"/>
  <c r="A263" i="43"/>
  <c r="A262" i="43"/>
  <c r="A261" i="43"/>
  <c r="A260" i="43"/>
  <c r="A259" i="43"/>
  <c r="A258" i="43"/>
  <c r="A257" i="43"/>
  <c r="A256" i="43"/>
  <c r="A255" i="43"/>
  <c r="A254" i="43"/>
  <c r="A253" i="43"/>
  <c r="A252" i="43"/>
  <c r="A251" i="43"/>
  <c r="A250" i="43"/>
  <c r="A249" i="43"/>
  <c r="A248" i="43"/>
  <c r="A247" i="43"/>
  <c r="A246" i="43"/>
  <c r="A245" i="43"/>
  <c r="A244" i="43"/>
  <c r="A243" i="43"/>
  <c r="A242" i="43"/>
  <c r="A241" i="43"/>
  <c r="A240" i="43"/>
  <c r="A239" i="43"/>
  <c r="A238" i="43"/>
  <c r="A237" i="43"/>
  <c r="A236" i="43"/>
  <c r="A235" i="43"/>
  <c r="A234" i="43"/>
  <c r="A233" i="43"/>
  <c r="A232" i="43"/>
  <c r="A231" i="43"/>
  <c r="A230" i="43"/>
  <c r="A229" i="43"/>
  <c r="A228" i="43"/>
  <c r="A227" i="43"/>
  <c r="A226" i="43"/>
  <c r="A225" i="43"/>
  <c r="A224" i="43"/>
  <c r="A223" i="43"/>
  <c r="A222" i="43"/>
  <c r="A221" i="43"/>
  <c r="A220" i="43"/>
  <c r="A219" i="43"/>
  <c r="A218" i="43"/>
  <c r="A217" i="43"/>
  <c r="A216" i="43"/>
  <c r="A215" i="43"/>
  <c r="A214" i="43"/>
  <c r="A213" i="43"/>
  <c r="A212" i="43"/>
  <c r="A211" i="43"/>
  <c r="A210" i="43"/>
  <c r="A209" i="43"/>
  <c r="A208" i="43"/>
  <c r="A207" i="43"/>
  <c r="A206" i="43"/>
  <c r="A205" i="43"/>
  <c r="A204" i="43"/>
  <c r="A203" i="43"/>
  <c r="A202" i="43"/>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E16" i="58"/>
  <c r="C16" i="58"/>
  <c r="E51" i="58" l="1"/>
  <c r="E52" i="58"/>
  <c r="E53" i="58"/>
  <c r="E54" i="58"/>
  <c r="E55" i="58"/>
  <c r="E56" i="58"/>
  <c r="E57" i="58"/>
  <c r="C51" i="58"/>
  <c r="C52" i="58"/>
  <c r="C53" i="58"/>
  <c r="C54" i="58"/>
  <c r="C55" i="58"/>
  <c r="C56" i="58"/>
  <c r="C57" i="58"/>
  <c r="E41" i="58"/>
  <c r="E42" i="58"/>
  <c r="E43" i="58"/>
  <c r="E44" i="58"/>
  <c r="E45" i="58"/>
  <c r="E40" i="58"/>
  <c r="C45" i="58"/>
  <c r="C44" i="58"/>
  <c r="C43" i="58"/>
  <c r="C42" i="58"/>
  <c r="C41" i="58"/>
  <c r="C40" i="58"/>
  <c r="E50" i="58" l="1"/>
  <c r="C50" i="58"/>
  <c r="E18" i="58" l="1"/>
  <c r="E19" i="58"/>
  <c r="E20" i="58"/>
  <c r="E21" i="58"/>
  <c r="E22" i="58"/>
  <c r="E23" i="58"/>
  <c r="E24" i="58"/>
  <c r="E25" i="58"/>
  <c r="E26" i="58"/>
  <c r="E27" i="58"/>
  <c r="E28" i="58"/>
  <c r="E29" i="58"/>
  <c r="E30" i="58"/>
  <c r="E31" i="58"/>
  <c r="E32" i="58"/>
  <c r="E33" i="58"/>
  <c r="E34" i="58"/>
  <c r="E35" i="58"/>
  <c r="E17" i="58"/>
  <c r="C18" i="58"/>
  <c r="C19" i="58"/>
  <c r="C20" i="58"/>
  <c r="C21" i="58"/>
  <c r="C22" i="58"/>
  <c r="C23" i="58"/>
  <c r="C24" i="58"/>
  <c r="C25" i="58"/>
  <c r="C26" i="58"/>
  <c r="C27" i="58"/>
  <c r="C28" i="58"/>
  <c r="C29" i="58"/>
  <c r="C30" i="58"/>
  <c r="C31" i="58"/>
  <c r="C32" i="58"/>
  <c r="C33" i="58"/>
  <c r="C34" i="58"/>
  <c r="C35" i="58"/>
  <c r="C17" i="58"/>
  <c r="N11" i="58"/>
  <c r="F1" i="71"/>
  <c r="D8" i="70"/>
  <c r="D7" i="58" l="1"/>
  <c r="D8" i="58"/>
  <c r="D9" i="58"/>
  <c r="D10" i="58"/>
  <c r="D6" i="58"/>
  <c r="V2" i="55" l="1"/>
  <c r="C2" i="55" l="1"/>
  <c r="C6" i="64"/>
  <c r="C5" i="64"/>
  <c r="C4" i="64"/>
  <c r="F2" i="48" l="1"/>
  <c r="G3" i="64"/>
  <c r="G1" i="71" l="1"/>
  <c r="E1" i="71" s="1"/>
  <c r="AB10" i="70"/>
  <c r="BD5" i="70"/>
  <c r="BC5" i="70"/>
  <c r="BB5" i="70"/>
  <c r="BA5" i="70"/>
  <c r="D25" i="70"/>
  <c r="D10" i="70" l="1"/>
  <c r="D9" i="70"/>
  <c r="D12" i="70"/>
  <c r="D14" i="70"/>
  <c r="D16" i="70"/>
  <c r="D18" i="70"/>
  <c r="D20" i="70"/>
  <c r="D22" i="70"/>
  <c r="D24" i="70"/>
  <c r="D26" i="70"/>
  <c r="D11" i="70"/>
  <c r="D13" i="70"/>
  <c r="D15" i="70"/>
  <c r="D17" i="70"/>
  <c r="D19" i="70"/>
  <c r="D21" i="70"/>
  <c r="D23" i="70"/>
  <c r="B11" i="67" l="1"/>
  <c r="B10" i="67"/>
  <c r="B9" i="67"/>
  <c r="B8" i="67"/>
  <c r="B7" i="67"/>
  <c r="B6" i="67"/>
  <c r="B11" i="68"/>
  <c r="B10" i="68"/>
  <c r="B9" i="68"/>
  <c r="B8" i="68"/>
  <c r="B7" i="68"/>
  <c r="B6" i="68"/>
  <c r="B11" i="69"/>
  <c r="B10" i="69"/>
  <c r="B9" i="69"/>
  <c r="B8" i="69"/>
  <c r="B7" i="69"/>
  <c r="B6" i="69"/>
  <c r="B7" i="66"/>
  <c r="B8" i="66"/>
  <c r="B9" i="66"/>
  <c r="B10" i="66"/>
  <c r="B11" i="66"/>
  <c r="B6" i="66"/>
  <c r="E9" i="69"/>
  <c r="E9" i="68" l="1"/>
  <c r="E9" i="67" l="1"/>
  <c r="E9" i="66" l="1"/>
  <c r="T14" i="31" l="1"/>
  <c r="S14" i="31"/>
  <c r="R14" i="31"/>
  <c r="Q14" i="31"/>
  <c r="P14" i="31"/>
  <c r="B12" i="65" l="1"/>
  <c r="E9" i="65"/>
  <c r="B12" i="67" l="1"/>
  <c r="B12" i="68"/>
  <c r="B12" i="69"/>
  <c r="B12" i="66"/>
  <c r="AX17" i="31"/>
  <c r="AW17" i="31" l="1"/>
  <c r="B1" i="64"/>
  <c r="AV17" i="31" l="1"/>
  <c r="AU17" i="31" l="1"/>
  <c r="AT17" i="31" l="1"/>
  <c r="ER19" i="43"/>
  <c r="AS17" i="31" l="1"/>
  <c r="M1" i="58"/>
  <c r="L1" i="58"/>
  <c r="AR17" i="31" l="1"/>
  <c r="N1" i="58"/>
  <c r="AQ17" i="31" l="1"/>
  <c r="B25" i="11"/>
  <c r="C25" i="11" s="1"/>
  <c r="B24" i="11"/>
  <c r="C24" i="11" s="1"/>
  <c r="B23" i="11"/>
  <c r="B22" i="11"/>
  <c r="B21" i="11"/>
  <c r="B20" i="11"/>
  <c r="B19" i="11"/>
  <c r="B18" i="11"/>
  <c r="B17" i="11"/>
  <c r="B16" i="11"/>
  <c r="B15" i="11"/>
  <c r="B14" i="11"/>
  <c r="B13" i="11"/>
  <c r="B12" i="11"/>
  <c r="B11" i="11"/>
  <c r="B10" i="11"/>
  <c r="B9" i="11"/>
  <c r="B8" i="11"/>
  <c r="B7" i="11"/>
  <c r="B6" i="11"/>
  <c r="C6" i="11" s="1"/>
  <c r="AP17" i="31" l="1"/>
  <c r="AO17" i="31" l="1"/>
  <c r="E49" i="58" l="1"/>
  <c r="D49" i="58"/>
  <c r="E39" i="58" l="1"/>
  <c r="D39" i="58"/>
  <c r="E15" i="58"/>
  <c r="D15" i="58"/>
  <c r="D5" i="58"/>
  <c r="B5" i="58" l="1"/>
  <c r="B1" i="56" l="1"/>
  <c r="C4" i="54" l="1"/>
  <c r="AC3" i="55" l="1"/>
  <c r="AH3" i="55" s="1"/>
  <c r="AK8" i="54" l="1"/>
  <c r="A17" i="54"/>
  <c r="AD38" i="54" s="1"/>
  <c r="H27" i="54"/>
  <c r="AF7" i="54"/>
  <c r="AN7" i="54"/>
  <c r="AN14" i="54" s="1"/>
  <c r="AN6" i="54"/>
  <c r="AM14" i="54" s="1"/>
  <c r="AN5" i="54"/>
  <c r="AL14" i="54" s="1"/>
  <c r="AN4" i="54"/>
  <c r="AK14" i="54" s="1"/>
  <c r="AF8" i="54" l="1"/>
  <c r="AF9" i="54" l="1"/>
  <c r="AF10" i="54" l="1"/>
  <c r="AF11" i="54" l="1"/>
  <c r="AF12" i="54" l="1"/>
  <c r="AF13" i="54" l="1"/>
  <c r="AF14" i="54" l="1"/>
  <c r="AF15" i="54" l="1"/>
  <c r="AF16" i="54" l="1"/>
  <c r="AF17" i="54" l="1"/>
  <c r="A49" i="53" l="1"/>
  <c r="A73" i="53" s="1"/>
  <c r="B18" i="43" l="1"/>
  <c r="A17" i="43"/>
  <c r="EM18" i="43" l="1"/>
  <c r="C18" i="43" s="1"/>
  <c r="B1" i="48"/>
  <c r="H18" i="43" l="1"/>
  <c r="K18" i="43" s="1"/>
  <c r="AB18" i="43" s="1"/>
  <c r="I18" i="43" s="1"/>
  <c r="AC18" i="43" s="1"/>
  <c r="L18" i="43" s="1"/>
  <c r="P18" i="43" s="1"/>
  <c r="Q18" i="43" s="1"/>
  <c r="R18" i="43" s="1"/>
  <c r="F18" i="43" s="1"/>
  <c r="U18" i="43" s="1"/>
  <c r="V18" i="43" s="1"/>
  <c r="W18" i="43" s="1"/>
  <c r="X18" i="43" s="1"/>
  <c r="Y18" i="43" s="1"/>
  <c r="Z18" i="43" s="1"/>
  <c r="AA18" i="43" s="1"/>
  <c r="G18" i="43" s="1"/>
  <c r="AW18" i="43" s="1"/>
  <c r="AX18" i="43" s="1"/>
  <c r="J18" i="43" s="1"/>
  <c r="AD18" i="43" s="1"/>
  <c r="AE18" i="43" s="1"/>
  <c r="AF18" i="43" s="1"/>
  <c r="AG18" i="43" s="1"/>
  <c r="AH18" i="43" s="1"/>
  <c r="AI18" i="43" s="1"/>
  <c r="AJ18" i="43" s="1"/>
  <c r="AK18" i="43" s="1"/>
  <c r="AL18" i="43" s="1"/>
  <c r="AM18" i="43" s="1"/>
  <c r="AN18" i="43" s="1"/>
  <c r="S18" i="43" s="1"/>
  <c r="AO18" i="43" s="1"/>
  <c r="AP18" i="43" s="1"/>
  <c r="AQ18" i="43" s="1"/>
  <c r="AR18" i="43" s="1"/>
  <c r="AS18" i="43" s="1"/>
  <c r="AT18" i="43" s="1"/>
  <c r="AU18" i="43" s="1"/>
  <c r="AV18" i="43" s="1"/>
  <c r="AY18" i="43" s="1"/>
  <c r="BA18" i="43" s="1"/>
  <c r="BB18" i="43" s="1"/>
  <c r="BC18" i="43" s="1"/>
  <c r="BD18" i="43" s="1"/>
  <c r="BE18" i="43" s="1"/>
  <c r="BG18" i="43" s="1"/>
  <c r="BH18" i="43" s="1"/>
  <c r="BI18" i="43" s="1"/>
  <c r="BF18" i="43" s="1"/>
  <c r="BJ18" i="43" s="1"/>
  <c r="BK18" i="43" s="1"/>
  <c r="BL18" i="43" s="1"/>
  <c r="BM18" i="43" s="1"/>
  <c r="BN18" i="43" s="1"/>
  <c r="BO18" i="43" s="1"/>
  <c r="BP18" i="43" s="1"/>
  <c r="BQ18" i="43" s="1"/>
  <c r="BR18" i="43" s="1"/>
  <c r="BS18" i="43" s="1"/>
  <c r="BT18" i="43" s="1"/>
  <c r="BU18" i="43" s="1"/>
  <c r="BV18" i="43" s="1"/>
  <c r="BW18" i="43" s="1"/>
  <c r="BX18" i="43" s="1"/>
  <c r="BY18" i="43" s="1"/>
  <c r="BZ18" i="43" s="1"/>
  <c r="CA18" i="43" s="1"/>
  <c r="CB18" i="43" s="1"/>
  <c r="D18" i="43" s="1"/>
  <c r="CC18" i="43" s="1"/>
  <c r="CD18" i="43" s="1"/>
  <c r="CE18" i="43" s="1"/>
  <c r="CF18" i="43" s="1"/>
  <c r="CG18" i="43" s="1"/>
  <c r="CH18" i="43" s="1"/>
  <c r="CI18" i="43" s="1"/>
  <c r="CJ18" i="43" s="1"/>
  <c r="CK18" i="43" s="1"/>
  <c r="CL18" i="43" s="1"/>
  <c r="CM18" i="43" s="1"/>
  <c r="CN18" i="43" s="1"/>
  <c r="A1" i="55"/>
  <c r="A2" i="54"/>
  <c r="A1" i="53"/>
  <c r="B1" i="52"/>
  <c r="DU17" i="1"/>
  <c r="DU19" i="1"/>
  <c r="CO18" i="43" l="1"/>
  <c r="CP18" i="43" s="1"/>
  <c r="CQ18" i="43" s="1"/>
  <c r="CR18" i="43" s="1"/>
  <c r="CS18" i="43" s="1"/>
  <c r="CT18" i="43" s="1"/>
  <c r="CU18" i="43" s="1"/>
  <c r="CV18" i="43" s="1"/>
  <c r="CW18" i="43" s="1"/>
  <c r="CX18" i="43" s="1"/>
  <c r="G1" i="52"/>
  <c r="A3" i="46"/>
  <c r="CY18" i="43" l="1"/>
  <c r="CZ18" i="43" s="1"/>
  <c r="DA18" i="43" s="1"/>
  <c r="DB18" i="43" s="1"/>
  <c r="DC18" i="43" s="1"/>
  <c r="DD18" i="43" s="1"/>
  <c r="DE18" i="43" s="1"/>
  <c r="DF18" i="43" s="1"/>
  <c r="DG18" i="43" s="1"/>
  <c r="DH18" i="43" s="1"/>
  <c r="DI18" i="43" s="1"/>
  <c r="DJ18" i="43" s="1"/>
  <c r="B19" i="18"/>
  <c r="B19" i="43" s="1"/>
  <c r="X16" i="31" s="1"/>
  <c r="Z16" i="31" l="1"/>
  <c r="DK18" i="43"/>
  <c r="DL18" i="43" s="1"/>
  <c r="DM18" i="43" s="1"/>
  <c r="DN18" i="43" s="1"/>
  <c r="DO18" i="43" s="1"/>
  <c r="DP18" i="43" s="1"/>
  <c r="DQ18" i="43" s="1"/>
  <c r="DR18" i="43" s="1"/>
  <c r="DS18" i="43" s="1"/>
  <c r="C19" i="18"/>
  <c r="D19" i="18" s="1"/>
  <c r="DT18" i="43" l="1"/>
  <c r="DU18" i="43" s="1"/>
  <c r="DV18" i="43" s="1"/>
  <c r="DW18" i="43" s="1"/>
  <c r="DX18" i="43" s="1"/>
  <c r="DY18" i="43" s="1"/>
  <c r="DZ18" i="43" s="1"/>
  <c r="I1" i="56"/>
  <c r="W1" i="56"/>
  <c r="AE1" i="56"/>
  <c r="AF1" i="56"/>
  <c r="AK1" i="56"/>
  <c r="O1" i="56"/>
  <c r="S1" i="56"/>
  <c r="Y1" i="56"/>
  <c r="L1" i="56"/>
  <c r="K1" i="56"/>
  <c r="AD1" i="56"/>
  <c r="R1" i="56"/>
  <c r="X1" i="56"/>
  <c r="AN1" i="56"/>
  <c r="AH1" i="56"/>
  <c r="AO1" i="56"/>
  <c r="AC1" i="56"/>
  <c r="P1" i="56"/>
  <c r="V1" i="56"/>
  <c r="C19" i="43"/>
  <c r="EN19" i="43"/>
  <c r="B19" i="1"/>
  <c r="N1" i="56" s="1"/>
  <c r="E19" i="18"/>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W2" i="55" l="1"/>
  <c r="AX16" i="31"/>
  <c r="AW16" i="31"/>
  <c r="AV16" i="31"/>
  <c r="AU16" i="31"/>
  <c r="AT16" i="31"/>
  <c r="AS16" i="31"/>
  <c r="AR16" i="31"/>
  <c r="AQ16" i="31"/>
  <c r="AP16" i="31"/>
  <c r="AO16" i="31"/>
  <c r="EA18" i="43"/>
  <c r="EB18" i="43" s="1"/>
  <c r="EC18" i="43" s="1"/>
  <c r="ED18" i="43" s="1"/>
  <c r="EE18" i="43" s="1"/>
  <c r="EF18" i="43" s="1"/>
  <c r="EG18" i="43" s="1"/>
  <c r="EH18" i="43" s="1"/>
  <c r="EI18" i="43" s="1"/>
  <c r="EJ18" i="43" s="1"/>
  <c r="EK18" i="43" s="1"/>
  <c r="M18" i="43" s="1"/>
  <c r="EO18" i="43" s="1"/>
  <c r="EP18" i="43" s="1"/>
  <c r="EQ18" i="43" s="1"/>
  <c r="ER18" i="43" s="1"/>
  <c r="ES18" i="43" s="1"/>
  <c r="ET18" i="43" s="1"/>
  <c r="U1" i="56"/>
  <c r="F1" i="56"/>
  <c r="G1" i="56"/>
  <c r="H1" i="56"/>
  <c r="AQ19" i="1"/>
  <c r="J1" i="56"/>
  <c r="T1" i="56"/>
  <c r="E1" i="56"/>
  <c r="AJ1" i="56"/>
  <c r="AI1" i="56" s="1"/>
  <c r="AG1" i="56"/>
  <c r="Q1" i="56"/>
  <c r="M1" i="56"/>
  <c r="EM19" i="43"/>
  <c r="U19" i="1" s="1"/>
  <c r="B5" i="53"/>
  <c r="BD19" i="1"/>
  <c r="F19" i="18"/>
  <c r="H19" i="43" s="1"/>
  <c r="AX19" i="1" s="1"/>
  <c r="U1" i="1"/>
  <c r="E2" i="55" l="1"/>
  <c r="F2" i="55"/>
  <c r="A19" i="1"/>
  <c r="A19" i="43"/>
  <c r="A16" i="54"/>
  <c r="D5" i="53"/>
  <c r="D23" i="53" s="1"/>
  <c r="B4" i="53"/>
  <c r="B29" i="53"/>
  <c r="C5" i="53"/>
  <c r="C29" i="53" s="1"/>
  <c r="C53" i="53" s="1"/>
  <c r="G19" i="18"/>
  <c r="K19" i="43" s="1"/>
  <c r="AA123" i="40"/>
  <c r="AA120" i="40"/>
  <c r="AA121" i="40"/>
  <c r="AA122" i="40"/>
  <c r="AA113" i="40"/>
  <c r="AA114" i="40"/>
  <c r="AA115" i="40"/>
  <c r="AA116" i="40"/>
  <c r="AA117" i="40"/>
  <c r="AA118" i="40"/>
  <c r="AA119" i="40"/>
  <c r="AA102" i="40"/>
  <c r="AA103" i="40"/>
  <c r="AA104" i="40"/>
  <c r="AA105" i="40"/>
  <c r="AA106" i="40"/>
  <c r="AA107" i="40"/>
  <c r="AA108" i="40"/>
  <c r="AA109" i="40"/>
  <c r="AA110" i="40"/>
  <c r="AA111" i="40"/>
  <c r="AA112" i="40"/>
  <c r="AA75" i="40"/>
  <c r="AA76" i="40"/>
  <c r="AA77" i="40"/>
  <c r="AA78" i="40"/>
  <c r="AA79" i="40"/>
  <c r="AA80" i="40"/>
  <c r="AA81" i="40"/>
  <c r="AA82" i="40"/>
  <c r="AA83" i="40"/>
  <c r="AA84" i="40"/>
  <c r="AA85" i="40"/>
  <c r="AA86" i="40"/>
  <c r="AA87" i="40"/>
  <c r="AA88" i="40"/>
  <c r="AA89" i="40"/>
  <c r="AA90" i="40"/>
  <c r="AA91" i="40"/>
  <c r="AA92" i="40"/>
  <c r="AA93" i="40"/>
  <c r="AA94" i="40"/>
  <c r="AA95" i="40"/>
  <c r="AA96" i="40"/>
  <c r="AA97" i="40"/>
  <c r="AA98" i="40"/>
  <c r="AA99" i="40"/>
  <c r="AA100" i="40"/>
  <c r="AA101" i="40"/>
  <c r="G6" i="55" l="1"/>
  <c r="N19" i="43"/>
  <c r="N17" i="43"/>
  <c r="N16" i="43"/>
  <c r="AC19" i="43"/>
  <c r="AB19" i="43"/>
  <c r="B53" i="53"/>
  <c r="B56" i="53"/>
  <c r="A15" i="54"/>
  <c r="C25" i="54"/>
  <c r="D19" i="1"/>
  <c r="D19" i="53"/>
  <c r="D21" i="53"/>
  <c r="D16" i="53"/>
  <c r="D11" i="53"/>
  <c r="D9" i="53"/>
  <c r="D4" i="53"/>
  <c r="D18" i="53"/>
  <c r="D17" i="53"/>
  <c r="D15" i="53"/>
  <c r="D13" i="53"/>
  <c r="D8" i="53"/>
  <c r="E23" i="53" s="1"/>
  <c r="D20" i="53"/>
  <c r="D12" i="53"/>
  <c r="D10" i="53"/>
  <c r="F5" i="53"/>
  <c r="F23" i="53" s="1"/>
  <c r="D22" i="53"/>
  <c r="D24" i="53"/>
  <c r="D14" i="53"/>
  <c r="D29" i="53"/>
  <c r="E5" i="53"/>
  <c r="E29" i="53" s="1"/>
  <c r="E53" i="53" s="1"/>
  <c r="H19" i="18"/>
  <c r="GI17" i="1"/>
  <c r="GH17" i="1"/>
  <c r="GG17" i="1"/>
  <c r="GF17" i="1"/>
  <c r="GE17" i="1"/>
  <c r="GD17" i="1"/>
  <c r="GC17" i="1"/>
  <c r="GB17" i="1"/>
  <c r="GI16" i="1"/>
  <c r="GH16" i="1"/>
  <c r="GG16" i="1"/>
  <c r="GF16" i="1"/>
  <c r="GE16" i="1"/>
  <c r="GD16" i="1"/>
  <c r="GC16" i="1"/>
  <c r="GB16" i="1"/>
  <c r="GI15" i="1"/>
  <c r="GH15" i="1"/>
  <c r="GG15" i="1"/>
  <c r="GF15" i="1"/>
  <c r="GE15" i="1"/>
  <c r="GD15" i="1"/>
  <c r="GC15" i="1"/>
  <c r="GB15" i="1"/>
  <c r="GI14" i="1"/>
  <c r="GH14" i="1"/>
  <c r="GG14" i="1"/>
  <c r="GF14" i="1"/>
  <c r="GE14" i="1"/>
  <c r="GD14" i="1"/>
  <c r="GD18" i="1" s="1"/>
  <c r="GC14" i="1"/>
  <c r="GB14" i="1"/>
  <c r="GE18" i="1" l="1"/>
  <c r="GI18" i="1"/>
  <c r="GH18" i="1"/>
  <c r="D47" i="53"/>
  <c r="D71" i="53"/>
  <c r="D65" i="53"/>
  <c r="D56" i="53"/>
  <c r="D64" i="53"/>
  <c r="D72" i="53"/>
  <c r="D61" i="53"/>
  <c r="D67" i="53"/>
  <c r="D66" i="53"/>
  <c r="D63" i="53"/>
  <c r="D70" i="53"/>
  <c r="D60" i="53"/>
  <c r="E60" i="53" s="1"/>
  <c r="D53" i="53"/>
  <c r="D57" i="53" s="1"/>
  <c r="D69" i="53"/>
  <c r="D59" i="53"/>
  <c r="D68" i="53"/>
  <c r="D58" i="53"/>
  <c r="D62" i="53"/>
  <c r="E14" i="53"/>
  <c r="E24" i="53"/>
  <c r="E12" i="53"/>
  <c r="E15" i="53"/>
  <c r="E10" i="53"/>
  <c r="E22" i="53"/>
  <c r="E20" i="53"/>
  <c r="E17" i="53"/>
  <c r="E11" i="53"/>
  <c r="D40" i="53"/>
  <c r="D48" i="53"/>
  <c r="D37" i="53"/>
  <c r="D32" i="53"/>
  <c r="D46" i="53"/>
  <c r="D44" i="53"/>
  <c r="D38" i="53"/>
  <c r="D43" i="53"/>
  <c r="D45" i="53"/>
  <c r="D36" i="53"/>
  <c r="D35" i="53"/>
  <c r="D33" i="53"/>
  <c r="D42" i="53"/>
  <c r="D41" i="53"/>
  <c r="D39" i="53"/>
  <c r="D34" i="53"/>
  <c r="F21" i="53"/>
  <c r="F18" i="53"/>
  <c r="F13" i="53"/>
  <c r="F10" i="53"/>
  <c r="F29" i="53"/>
  <c r="F17" i="53"/>
  <c r="F24" i="53"/>
  <c r="F16" i="53"/>
  <c r="F12" i="53"/>
  <c r="F11" i="53"/>
  <c r="F8" i="53"/>
  <c r="G23" i="53" s="1"/>
  <c r="G5" i="53"/>
  <c r="G29" i="53" s="1"/>
  <c r="G53" i="53" s="1"/>
  <c r="F20" i="53"/>
  <c r="F22" i="53"/>
  <c r="F15" i="53"/>
  <c r="F9" i="53"/>
  <c r="F4" i="53"/>
  <c r="F19" i="53"/>
  <c r="F14" i="53"/>
  <c r="H5" i="53"/>
  <c r="H23" i="53" s="1"/>
  <c r="E18" i="53"/>
  <c r="E16" i="53"/>
  <c r="E13" i="53"/>
  <c r="E21" i="53"/>
  <c r="A14" i="54"/>
  <c r="A13" i="54" s="1"/>
  <c r="B15" i="54"/>
  <c r="F15" i="54" s="1"/>
  <c r="E9" i="53"/>
  <c r="E19" i="53"/>
  <c r="I19" i="18"/>
  <c r="I19" i="43" s="1"/>
  <c r="AY19" i="1" s="1"/>
  <c r="GB18" i="1"/>
  <c r="GC18" i="1"/>
  <c r="GG18" i="1"/>
  <c r="GF18" i="1"/>
  <c r="E68" i="53" l="1"/>
  <c r="E59" i="53"/>
  <c r="E61" i="53"/>
  <c r="E69" i="53"/>
  <c r="E70" i="53"/>
  <c r="E62" i="53"/>
  <c r="E63" i="53"/>
  <c r="E67" i="53"/>
  <c r="G14" i="53"/>
  <c r="E72" i="53"/>
  <c r="E57" i="53"/>
  <c r="E64" i="53"/>
  <c r="E65" i="53"/>
  <c r="E58" i="53"/>
  <c r="E66" i="53"/>
  <c r="E71" i="53"/>
  <c r="F71" i="53"/>
  <c r="F47" i="53"/>
  <c r="C15" i="54"/>
  <c r="G15" i="54" s="1"/>
  <c r="E47" i="53"/>
  <c r="E35" i="53"/>
  <c r="E39" i="53"/>
  <c r="E38" i="53"/>
  <c r="F56" i="53"/>
  <c r="F66" i="53"/>
  <c r="F58" i="53"/>
  <c r="F65" i="53"/>
  <c r="F68" i="53"/>
  <c r="F61" i="53"/>
  <c r="F70" i="53"/>
  <c r="F59" i="53"/>
  <c r="F53" i="53"/>
  <c r="F57" i="53" s="1"/>
  <c r="G57" i="53" s="1"/>
  <c r="F67" i="53"/>
  <c r="F64" i="53"/>
  <c r="F63" i="53"/>
  <c r="F62" i="53"/>
  <c r="F72" i="53"/>
  <c r="F60" i="53"/>
  <c r="F69" i="53"/>
  <c r="G15" i="53"/>
  <c r="D15" i="54"/>
  <c r="E42" i="53"/>
  <c r="E45" i="53"/>
  <c r="E46" i="53"/>
  <c r="G9" i="53"/>
  <c r="E34" i="53"/>
  <c r="E33" i="53"/>
  <c r="E43" i="53"/>
  <c r="E40" i="53"/>
  <c r="G22" i="53"/>
  <c r="E41" i="53"/>
  <c r="E36" i="53"/>
  <c r="E44" i="53"/>
  <c r="E37" i="53"/>
  <c r="G19" i="53"/>
  <c r="G11" i="53"/>
  <c r="G20" i="53"/>
  <c r="E48" i="53"/>
  <c r="G17" i="53"/>
  <c r="G18" i="53"/>
  <c r="G12" i="53"/>
  <c r="F48" i="53"/>
  <c r="F41" i="53"/>
  <c r="F39" i="53"/>
  <c r="F35" i="53"/>
  <c r="F32" i="53"/>
  <c r="F43" i="53"/>
  <c r="F45" i="53"/>
  <c r="F33" i="53"/>
  <c r="F38" i="53"/>
  <c r="F46" i="53"/>
  <c r="F44" i="53"/>
  <c r="F40" i="53"/>
  <c r="F34" i="53"/>
  <c r="F42" i="53"/>
  <c r="F36" i="53"/>
  <c r="F37" i="53"/>
  <c r="G21" i="53"/>
  <c r="A12" i="54"/>
  <c r="H18" i="53"/>
  <c r="H19" i="53"/>
  <c r="H14" i="53"/>
  <c r="H11" i="53"/>
  <c r="H9" i="53"/>
  <c r="H4" i="53"/>
  <c r="H21" i="53"/>
  <c r="H24" i="53"/>
  <c r="H16" i="53"/>
  <c r="H13" i="53"/>
  <c r="H17" i="53"/>
  <c r="H12" i="53"/>
  <c r="H29" i="53"/>
  <c r="H22" i="53"/>
  <c r="H20" i="53"/>
  <c r="H15" i="53"/>
  <c r="H10" i="53"/>
  <c r="H8" i="53"/>
  <c r="I5" i="53"/>
  <c r="I29" i="53" s="1"/>
  <c r="I53" i="53" s="1"/>
  <c r="J5" i="53"/>
  <c r="J23" i="53" s="1"/>
  <c r="G16" i="53"/>
  <c r="G10" i="53"/>
  <c r="G24" i="53"/>
  <c r="G13" i="53"/>
  <c r="J19" i="18"/>
  <c r="G69" i="53" l="1"/>
  <c r="G60" i="53"/>
  <c r="G72" i="53"/>
  <c r="G34" i="53"/>
  <c r="G63" i="53"/>
  <c r="G64" i="53"/>
  <c r="G67" i="53"/>
  <c r="G61" i="53"/>
  <c r="G62" i="53"/>
  <c r="G68" i="53"/>
  <c r="H71" i="53"/>
  <c r="H47" i="53"/>
  <c r="G71" i="53"/>
  <c r="B14" i="54"/>
  <c r="F14" i="54" s="1"/>
  <c r="I23" i="53"/>
  <c r="C14" i="54"/>
  <c r="G14" i="54" s="1"/>
  <c r="G47" i="53"/>
  <c r="G66" i="53"/>
  <c r="G59" i="53"/>
  <c r="G65" i="53"/>
  <c r="G70" i="53"/>
  <c r="G58" i="53"/>
  <c r="H67" i="53"/>
  <c r="H59" i="53"/>
  <c r="H66" i="53"/>
  <c r="H58" i="53"/>
  <c r="H53" i="53"/>
  <c r="H57" i="53" s="1"/>
  <c r="H63" i="53"/>
  <c r="H69" i="53"/>
  <c r="H64" i="53"/>
  <c r="H62" i="53"/>
  <c r="H72" i="53"/>
  <c r="H61" i="53"/>
  <c r="H70" i="53"/>
  <c r="H60" i="53"/>
  <c r="H56" i="53"/>
  <c r="H68" i="53"/>
  <c r="H65" i="53"/>
  <c r="G38" i="53"/>
  <c r="D14" i="54"/>
  <c r="G42" i="53"/>
  <c r="G46" i="53"/>
  <c r="G43" i="53"/>
  <c r="G37" i="53"/>
  <c r="G40" i="53"/>
  <c r="G33" i="53"/>
  <c r="G36" i="53"/>
  <c r="G44" i="53"/>
  <c r="G45" i="53"/>
  <c r="I12" i="53"/>
  <c r="I10" i="53"/>
  <c r="I15" i="53"/>
  <c r="I20" i="53"/>
  <c r="J24" i="53"/>
  <c r="J21" i="53"/>
  <c r="J12" i="53"/>
  <c r="J4" i="53"/>
  <c r="J19" i="53"/>
  <c r="J20" i="53"/>
  <c r="J14" i="53"/>
  <c r="J15" i="53"/>
  <c r="J8" i="53"/>
  <c r="L5" i="53"/>
  <c r="L23" i="53" s="1"/>
  <c r="J22" i="53"/>
  <c r="J17" i="53"/>
  <c r="J13" i="53"/>
  <c r="J10" i="53"/>
  <c r="J9" i="53"/>
  <c r="J29" i="53"/>
  <c r="J18" i="53"/>
  <c r="J16" i="53"/>
  <c r="J11" i="53"/>
  <c r="K5" i="53"/>
  <c r="K29" i="53" s="1"/>
  <c r="K53" i="53" s="1"/>
  <c r="I17" i="53"/>
  <c r="I21" i="53"/>
  <c r="I14" i="53"/>
  <c r="G41" i="53"/>
  <c r="L19" i="43"/>
  <c r="I22" i="53"/>
  <c r="I13" i="53"/>
  <c r="I19" i="53"/>
  <c r="B13" i="54"/>
  <c r="F13" i="54" s="1"/>
  <c r="G48" i="53"/>
  <c r="H48" i="53"/>
  <c r="H46" i="53"/>
  <c r="H35" i="53"/>
  <c r="H34" i="53"/>
  <c r="H32" i="53"/>
  <c r="H43" i="53"/>
  <c r="H45" i="53"/>
  <c r="H33" i="53"/>
  <c r="H37" i="53"/>
  <c r="H42" i="53"/>
  <c r="H40" i="53"/>
  <c r="H39" i="53"/>
  <c r="H44" i="53"/>
  <c r="H41" i="53"/>
  <c r="H36" i="53"/>
  <c r="H38" i="53"/>
  <c r="I16" i="53"/>
  <c r="I9" i="53"/>
  <c r="I18" i="53"/>
  <c r="A11" i="54"/>
  <c r="A10" i="54" s="1"/>
  <c r="G35" i="53"/>
  <c r="I24" i="53"/>
  <c r="I11" i="53"/>
  <c r="G39" i="53"/>
  <c r="K19" i="18"/>
  <c r="GK16" i="31"/>
  <c r="M16" i="31" s="1"/>
  <c r="AM53" i="40"/>
  <c r="AL53" i="40"/>
  <c r="AK53" i="40"/>
  <c r="AJ53" i="40"/>
  <c r="AI53" i="40"/>
  <c r="AH53" i="40"/>
  <c r="AG53" i="40"/>
  <c r="AF53" i="40"/>
  <c r="AE53" i="40"/>
  <c r="AA53" i="40"/>
  <c r="Z53" i="40"/>
  <c r="Y53" i="40"/>
  <c r="X53" i="40"/>
  <c r="W53" i="40"/>
  <c r="V53" i="40"/>
  <c r="U53" i="40"/>
  <c r="T53" i="40"/>
  <c r="S53" i="40"/>
  <c r="R53" i="40"/>
  <c r="AM74" i="40"/>
  <c r="AL74" i="40"/>
  <c r="AK74" i="40"/>
  <c r="AJ74" i="40"/>
  <c r="AI74" i="40"/>
  <c r="AH74" i="40"/>
  <c r="AG74" i="40"/>
  <c r="AF74" i="40"/>
  <c r="AE74" i="40"/>
  <c r="AA74" i="40"/>
  <c r="Z74" i="40"/>
  <c r="Y74" i="40"/>
  <c r="X74" i="40"/>
  <c r="W74" i="40"/>
  <c r="V74" i="40"/>
  <c r="U74" i="40"/>
  <c r="T74" i="40"/>
  <c r="S74" i="40"/>
  <c r="R74" i="40"/>
  <c r="AM73" i="40"/>
  <c r="AL73" i="40"/>
  <c r="AK73" i="40"/>
  <c r="AJ73" i="40"/>
  <c r="AI73" i="40"/>
  <c r="AH73" i="40"/>
  <c r="AG73" i="40"/>
  <c r="AF73" i="40"/>
  <c r="AE73" i="40"/>
  <c r="AA73" i="40"/>
  <c r="Z73" i="40"/>
  <c r="Y73" i="40"/>
  <c r="X73" i="40"/>
  <c r="W73" i="40"/>
  <c r="V73" i="40"/>
  <c r="U73" i="40"/>
  <c r="T73" i="40"/>
  <c r="S73" i="40"/>
  <c r="R73" i="40"/>
  <c r="AM72" i="40"/>
  <c r="AL72" i="40"/>
  <c r="AK72" i="40"/>
  <c r="AJ72" i="40"/>
  <c r="AI72" i="40"/>
  <c r="AH72" i="40"/>
  <c r="AG72" i="40"/>
  <c r="AF72" i="40"/>
  <c r="AE72" i="40"/>
  <c r="AA72" i="40"/>
  <c r="Z72" i="40"/>
  <c r="Y72" i="40"/>
  <c r="X72" i="40"/>
  <c r="W72" i="40"/>
  <c r="V72" i="40"/>
  <c r="U72" i="40"/>
  <c r="T72" i="40"/>
  <c r="S72" i="40"/>
  <c r="R72" i="40"/>
  <c r="AM71" i="40"/>
  <c r="AL71" i="40"/>
  <c r="AK71" i="40"/>
  <c r="AJ71" i="40"/>
  <c r="AI71" i="40"/>
  <c r="AH71" i="40"/>
  <c r="AG71" i="40"/>
  <c r="AF71" i="40"/>
  <c r="AE71" i="40"/>
  <c r="AA71" i="40"/>
  <c r="Z71" i="40"/>
  <c r="Y71" i="40"/>
  <c r="X71" i="40"/>
  <c r="W71" i="40"/>
  <c r="V71" i="40"/>
  <c r="U71" i="40"/>
  <c r="T71" i="40"/>
  <c r="S71" i="40"/>
  <c r="R71" i="40"/>
  <c r="AM70" i="40"/>
  <c r="AL70" i="40"/>
  <c r="AK70" i="40"/>
  <c r="AJ70" i="40"/>
  <c r="AI70" i="40"/>
  <c r="AH70" i="40"/>
  <c r="AG70" i="40"/>
  <c r="AF70" i="40"/>
  <c r="AE70" i="40"/>
  <c r="AA70" i="40"/>
  <c r="Z70" i="40"/>
  <c r="Y70" i="40"/>
  <c r="X70" i="40"/>
  <c r="W70" i="40"/>
  <c r="V70" i="40"/>
  <c r="U70" i="40"/>
  <c r="T70" i="40"/>
  <c r="S70" i="40"/>
  <c r="R70" i="40"/>
  <c r="AL31" i="40"/>
  <c r="AH31" i="40"/>
  <c r="AG31" i="40"/>
  <c r="AF31" i="40"/>
  <c r="AE31" i="40"/>
  <c r="AA31" i="40"/>
  <c r="Z31" i="40"/>
  <c r="Y31" i="40"/>
  <c r="U31" i="40"/>
  <c r="T31" i="40"/>
  <c r="S31" i="40"/>
  <c r="R31" i="40"/>
  <c r="AL36" i="40"/>
  <c r="AH36" i="40"/>
  <c r="AG36" i="40"/>
  <c r="AF36" i="40"/>
  <c r="AE36" i="40"/>
  <c r="AA36" i="40"/>
  <c r="Z36" i="40"/>
  <c r="Y36" i="40"/>
  <c r="U36" i="40"/>
  <c r="T36" i="40"/>
  <c r="S36" i="40"/>
  <c r="R36" i="40"/>
  <c r="AM60" i="40"/>
  <c r="AL60" i="40"/>
  <c r="AK60" i="40"/>
  <c r="AJ60" i="40"/>
  <c r="AI60" i="40"/>
  <c r="AH60" i="40"/>
  <c r="AG60" i="40"/>
  <c r="AF60" i="40"/>
  <c r="AE60" i="40"/>
  <c r="AA60" i="40"/>
  <c r="Z60" i="40"/>
  <c r="Y60" i="40"/>
  <c r="X60" i="40"/>
  <c r="W60" i="40"/>
  <c r="V60" i="40"/>
  <c r="U60" i="40"/>
  <c r="T60" i="40"/>
  <c r="S60" i="40"/>
  <c r="R60" i="40"/>
  <c r="AA27" i="40"/>
  <c r="AM26" i="40"/>
  <c r="AL26" i="40"/>
  <c r="AK26" i="40"/>
  <c r="AJ26" i="40"/>
  <c r="AI26" i="40"/>
  <c r="AH26" i="40"/>
  <c r="AG26" i="40"/>
  <c r="AF26" i="40"/>
  <c r="AE26" i="40"/>
  <c r="AA26" i="40"/>
  <c r="AM6" i="40"/>
  <c r="AL6" i="40"/>
  <c r="AK6" i="40"/>
  <c r="AJ6" i="40"/>
  <c r="AI6" i="40"/>
  <c r="AH6" i="40"/>
  <c r="AG6" i="40"/>
  <c r="AF6" i="40"/>
  <c r="AE6" i="40"/>
  <c r="AA6" i="40"/>
  <c r="Z6" i="40"/>
  <c r="Y6" i="40"/>
  <c r="X6" i="40"/>
  <c r="W6" i="40"/>
  <c r="V6" i="40"/>
  <c r="U6" i="40"/>
  <c r="T6" i="40"/>
  <c r="S6" i="40"/>
  <c r="R6" i="40"/>
  <c r="AM33" i="40"/>
  <c r="AL33" i="40"/>
  <c r="AK33" i="40"/>
  <c r="AJ33" i="40"/>
  <c r="AI33" i="40"/>
  <c r="AH33" i="40"/>
  <c r="AG33" i="40"/>
  <c r="AF33" i="40"/>
  <c r="AE33" i="40"/>
  <c r="AA33" i="40"/>
  <c r="AM28" i="40"/>
  <c r="AL28" i="40"/>
  <c r="AK28" i="40"/>
  <c r="AH28" i="40"/>
  <c r="AG28" i="40"/>
  <c r="AF28" i="40"/>
  <c r="AE28" i="40"/>
  <c r="AA28" i="40"/>
  <c r="Z28" i="40"/>
  <c r="Y28" i="40"/>
  <c r="X28" i="40"/>
  <c r="U28" i="40"/>
  <c r="T28" i="40"/>
  <c r="S28" i="40"/>
  <c r="R28" i="40"/>
  <c r="AM29" i="40"/>
  <c r="AL29" i="40"/>
  <c r="AK29" i="40"/>
  <c r="AH29" i="40"/>
  <c r="AG29" i="40"/>
  <c r="AF29" i="40"/>
  <c r="AE29" i="40"/>
  <c r="AA29" i="40"/>
  <c r="Z29" i="40"/>
  <c r="Y29" i="40"/>
  <c r="X29" i="40"/>
  <c r="U29" i="40"/>
  <c r="T29" i="40"/>
  <c r="S29" i="40"/>
  <c r="R29" i="40"/>
  <c r="AM65" i="40"/>
  <c r="AL65" i="40"/>
  <c r="AK65" i="40"/>
  <c r="AJ65" i="40"/>
  <c r="AI65" i="40"/>
  <c r="AG65" i="40"/>
  <c r="AF65" i="40"/>
  <c r="AE65" i="40"/>
  <c r="AA65" i="40"/>
  <c r="Z65" i="40"/>
  <c r="Y65" i="40"/>
  <c r="X65" i="40"/>
  <c r="W65" i="40"/>
  <c r="V65" i="40"/>
  <c r="T65" i="40"/>
  <c r="S65" i="40"/>
  <c r="R65" i="40"/>
  <c r="AM18" i="40"/>
  <c r="AL18" i="40"/>
  <c r="AK18" i="40"/>
  <c r="AJ18" i="40"/>
  <c r="AI18" i="40"/>
  <c r="AH18" i="40"/>
  <c r="AG18" i="40"/>
  <c r="AF18" i="40"/>
  <c r="AE18" i="40"/>
  <c r="AA18" i="40"/>
  <c r="Z18" i="40"/>
  <c r="Y18" i="40"/>
  <c r="X18" i="40"/>
  <c r="W18" i="40"/>
  <c r="V18" i="40"/>
  <c r="U18" i="40"/>
  <c r="T18" i="40"/>
  <c r="S18" i="40"/>
  <c r="R18" i="40"/>
  <c r="AM39" i="40"/>
  <c r="AL39" i="40"/>
  <c r="AK39" i="40"/>
  <c r="AJ39" i="40"/>
  <c r="AI39" i="40"/>
  <c r="AG39" i="40"/>
  <c r="AF39" i="40"/>
  <c r="AE39" i="40"/>
  <c r="AA39" i="40"/>
  <c r="Z39" i="40"/>
  <c r="Y39" i="40"/>
  <c r="X39" i="40"/>
  <c r="W39" i="40"/>
  <c r="V39" i="40"/>
  <c r="T39" i="40"/>
  <c r="S39" i="40"/>
  <c r="R39" i="40"/>
  <c r="AM67" i="40"/>
  <c r="AL67" i="40"/>
  <c r="AK67" i="40"/>
  <c r="AJ67" i="40"/>
  <c r="AI67" i="40"/>
  <c r="AH67" i="40"/>
  <c r="AG67" i="40"/>
  <c r="AF67" i="40"/>
  <c r="AE67" i="40"/>
  <c r="AA67" i="40"/>
  <c r="Z67" i="40"/>
  <c r="Y67" i="40"/>
  <c r="X67" i="40"/>
  <c r="W67" i="40"/>
  <c r="V67" i="40"/>
  <c r="U67" i="40"/>
  <c r="T67" i="40"/>
  <c r="S67" i="40"/>
  <c r="R67" i="40"/>
  <c r="AM48" i="40"/>
  <c r="AL48" i="40"/>
  <c r="AK48" i="40"/>
  <c r="AJ48" i="40"/>
  <c r="AI48" i="40"/>
  <c r="AG48" i="40"/>
  <c r="AF48" i="40"/>
  <c r="AE48" i="40"/>
  <c r="AA48" i="40"/>
  <c r="Z48" i="40"/>
  <c r="Y48" i="40"/>
  <c r="X48" i="40"/>
  <c r="W48" i="40"/>
  <c r="V48" i="40"/>
  <c r="T48" i="40"/>
  <c r="S48" i="40"/>
  <c r="R48" i="40"/>
  <c r="AM38" i="40"/>
  <c r="AL38" i="40"/>
  <c r="AK38" i="40"/>
  <c r="AJ38" i="40"/>
  <c r="AI38" i="40"/>
  <c r="AG38" i="40"/>
  <c r="AF38" i="40"/>
  <c r="AE38" i="40"/>
  <c r="AA38" i="40"/>
  <c r="Z38" i="40"/>
  <c r="Y38" i="40"/>
  <c r="X38" i="40"/>
  <c r="W38" i="40"/>
  <c r="V38" i="40"/>
  <c r="T38" i="40"/>
  <c r="S38" i="40"/>
  <c r="R38" i="40"/>
  <c r="AM25" i="40"/>
  <c r="AL25" i="40"/>
  <c r="AK25" i="40"/>
  <c r="AJ25" i="40"/>
  <c r="AI25" i="40"/>
  <c r="AG25" i="40"/>
  <c r="AF25" i="40"/>
  <c r="AE25" i="40"/>
  <c r="AA25" i="40"/>
  <c r="Z25" i="40"/>
  <c r="Y25" i="40"/>
  <c r="X25" i="40"/>
  <c r="W25" i="40"/>
  <c r="V25" i="40"/>
  <c r="T25" i="40"/>
  <c r="S25" i="40"/>
  <c r="R25" i="40"/>
  <c r="AM41" i="40"/>
  <c r="AL41" i="40"/>
  <c r="AK41" i="40"/>
  <c r="AJ41" i="40"/>
  <c r="AI41" i="40"/>
  <c r="AH41" i="40"/>
  <c r="AG41" i="40"/>
  <c r="AF41" i="40"/>
  <c r="AE41" i="40"/>
  <c r="AA41" i="40"/>
  <c r="AM34" i="40"/>
  <c r="AL34" i="40"/>
  <c r="AK34" i="40"/>
  <c r="AJ34" i="40"/>
  <c r="AI34" i="40"/>
  <c r="AH34" i="40"/>
  <c r="AG34" i="40"/>
  <c r="AF34" i="40"/>
  <c r="AE34" i="40"/>
  <c r="AA34" i="40"/>
  <c r="Z34" i="40"/>
  <c r="Y34" i="40"/>
  <c r="X34" i="40"/>
  <c r="W34" i="40"/>
  <c r="V34" i="40"/>
  <c r="U34" i="40"/>
  <c r="T34" i="40"/>
  <c r="S34" i="40"/>
  <c r="R34" i="40"/>
  <c r="AA32" i="40"/>
  <c r="AM35" i="40"/>
  <c r="AL35" i="40"/>
  <c r="AK35" i="40"/>
  <c r="AJ35" i="40"/>
  <c r="AI35" i="40"/>
  <c r="AH35" i="40"/>
  <c r="AG35" i="40"/>
  <c r="AF35" i="40"/>
  <c r="AE35" i="40"/>
  <c r="AA35" i="40"/>
  <c r="Z35" i="40"/>
  <c r="Y35" i="40"/>
  <c r="X35" i="40"/>
  <c r="W35" i="40"/>
  <c r="V35" i="40"/>
  <c r="U35" i="40"/>
  <c r="T35" i="40"/>
  <c r="S35" i="40"/>
  <c r="R35" i="40"/>
  <c r="AA9" i="40"/>
  <c r="AA52" i="40"/>
  <c r="AM46" i="40"/>
  <c r="AL46" i="40"/>
  <c r="AK46" i="40"/>
  <c r="AJ46" i="40"/>
  <c r="AI46" i="40"/>
  <c r="AH46" i="40"/>
  <c r="AG46" i="40"/>
  <c r="AF46" i="40"/>
  <c r="AE46" i="40"/>
  <c r="AA46" i="40"/>
  <c r="Z46" i="40"/>
  <c r="Y46" i="40"/>
  <c r="X46" i="40"/>
  <c r="W46" i="40"/>
  <c r="V46" i="40"/>
  <c r="U46" i="40"/>
  <c r="T46" i="40"/>
  <c r="S46" i="40"/>
  <c r="R46" i="40"/>
  <c r="AM47" i="40"/>
  <c r="AL47" i="40"/>
  <c r="AK47" i="40"/>
  <c r="AJ47" i="40"/>
  <c r="AI47" i="40"/>
  <c r="AH47" i="40"/>
  <c r="AG47" i="40"/>
  <c r="AF47" i="40"/>
  <c r="AE47" i="40"/>
  <c r="AA47" i="40"/>
  <c r="Z47" i="40"/>
  <c r="Y47" i="40"/>
  <c r="X47" i="40"/>
  <c r="W47" i="40"/>
  <c r="V47" i="40"/>
  <c r="U47" i="40"/>
  <c r="T47" i="40"/>
  <c r="S47" i="40"/>
  <c r="R47" i="40"/>
  <c r="AM68" i="40"/>
  <c r="AL68" i="40"/>
  <c r="AK68" i="40"/>
  <c r="AJ68" i="40"/>
  <c r="AI68" i="40"/>
  <c r="AH68" i="40"/>
  <c r="AG68" i="40"/>
  <c r="AF68" i="40"/>
  <c r="AE68" i="40"/>
  <c r="AA68" i="40"/>
  <c r="Z68" i="40"/>
  <c r="Y68" i="40"/>
  <c r="X68" i="40"/>
  <c r="W68" i="40"/>
  <c r="V68" i="40"/>
  <c r="U68" i="40"/>
  <c r="T68" i="40"/>
  <c r="S68" i="40"/>
  <c r="R68" i="40"/>
  <c r="AM69" i="40"/>
  <c r="AL69" i="40"/>
  <c r="AK69" i="40"/>
  <c r="AJ69" i="40"/>
  <c r="AI69" i="40"/>
  <c r="AH69" i="40"/>
  <c r="AG69" i="40"/>
  <c r="AF69" i="40"/>
  <c r="AE69" i="40"/>
  <c r="AA69" i="40"/>
  <c r="Z69" i="40"/>
  <c r="Y69" i="40"/>
  <c r="X69" i="40"/>
  <c r="W69" i="40"/>
  <c r="V69" i="40"/>
  <c r="U69" i="40"/>
  <c r="T69" i="40"/>
  <c r="S69" i="40"/>
  <c r="R69" i="40"/>
  <c r="AM40" i="40"/>
  <c r="AL40" i="40"/>
  <c r="AK40" i="40"/>
  <c r="AJ40" i="40"/>
  <c r="AI40" i="40"/>
  <c r="AH40" i="40"/>
  <c r="AG40" i="40"/>
  <c r="AF40" i="40"/>
  <c r="AE40" i="40"/>
  <c r="AA40" i="40"/>
  <c r="Z40" i="40"/>
  <c r="Y40" i="40"/>
  <c r="X40" i="40"/>
  <c r="W40" i="40"/>
  <c r="V40" i="40"/>
  <c r="U40" i="40"/>
  <c r="T40" i="40"/>
  <c r="S40" i="40"/>
  <c r="R40" i="40"/>
  <c r="AM56" i="40"/>
  <c r="AL56" i="40"/>
  <c r="AK56" i="40"/>
  <c r="AJ56" i="40"/>
  <c r="AI56" i="40"/>
  <c r="AH56" i="40"/>
  <c r="AG56" i="40"/>
  <c r="AF56" i="40"/>
  <c r="AE56" i="40"/>
  <c r="AA56" i="40"/>
  <c r="Z56" i="40"/>
  <c r="Y56" i="40"/>
  <c r="X56" i="40"/>
  <c r="W56" i="40"/>
  <c r="V56" i="40"/>
  <c r="U56" i="40"/>
  <c r="T56" i="40"/>
  <c r="S56" i="40"/>
  <c r="R56" i="40"/>
  <c r="AM55" i="40"/>
  <c r="AL55" i="40"/>
  <c r="AK55" i="40"/>
  <c r="AJ55" i="40"/>
  <c r="AI55" i="40"/>
  <c r="AH55" i="40"/>
  <c r="AG55" i="40"/>
  <c r="AF55" i="40"/>
  <c r="AE55" i="40"/>
  <c r="AA55" i="40"/>
  <c r="Z55" i="40"/>
  <c r="Y55" i="40"/>
  <c r="X55" i="40"/>
  <c r="W55" i="40"/>
  <c r="V55" i="40"/>
  <c r="U55" i="40"/>
  <c r="T55" i="40"/>
  <c r="S55" i="40"/>
  <c r="R55" i="40"/>
  <c r="AM22" i="40"/>
  <c r="AL22" i="40"/>
  <c r="AK22" i="40"/>
  <c r="AJ22" i="40"/>
  <c r="AI22" i="40"/>
  <c r="AF22" i="40"/>
  <c r="AE22" i="40"/>
  <c r="AA22" i="40"/>
  <c r="Z22" i="40"/>
  <c r="Y22" i="40"/>
  <c r="X22" i="40"/>
  <c r="W22" i="40"/>
  <c r="V22" i="40"/>
  <c r="S22" i="40"/>
  <c r="R22" i="40"/>
  <c r="AM62" i="40"/>
  <c r="AL62" i="40"/>
  <c r="AK62" i="40"/>
  <c r="AJ62" i="40"/>
  <c r="AI62" i="40"/>
  <c r="AH62" i="40"/>
  <c r="AF62" i="40"/>
  <c r="AE62" i="40"/>
  <c r="AA62" i="40"/>
  <c r="Z62" i="40"/>
  <c r="Y62" i="40"/>
  <c r="X62" i="40"/>
  <c r="W62" i="40"/>
  <c r="V62" i="40"/>
  <c r="U62" i="40"/>
  <c r="S62" i="40"/>
  <c r="R62" i="40"/>
  <c r="AM63" i="40"/>
  <c r="AL63" i="40"/>
  <c r="AK63" i="40"/>
  <c r="AJ63" i="40"/>
  <c r="AI63" i="40"/>
  <c r="AH63" i="40"/>
  <c r="AG63" i="40"/>
  <c r="AF63" i="40"/>
  <c r="AE63" i="40"/>
  <c r="AA63" i="40"/>
  <c r="Z63" i="40"/>
  <c r="Y63" i="40"/>
  <c r="X63" i="40"/>
  <c r="W63" i="40"/>
  <c r="V63" i="40"/>
  <c r="U63" i="40"/>
  <c r="T63" i="40"/>
  <c r="S63" i="40"/>
  <c r="R63" i="40"/>
  <c r="AM54" i="40"/>
  <c r="AL54" i="40"/>
  <c r="AK54" i="40"/>
  <c r="AJ54" i="40"/>
  <c r="AI54" i="40"/>
  <c r="AH54" i="40"/>
  <c r="AF54" i="40"/>
  <c r="AE54" i="40"/>
  <c r="AA54" i="40"/>
  <c r="Z54" i="40"/>
  <c r="Y54" i="40"/>
  <c r="X54" i="40"/>
  <c r="W54" i="40"/>
  <c r="V54" i="40"/>
  <c r="U54" i="40"/>
  <c r="S54" i="40"/>
  <c r="R54" i="40"/>
  <c r="Q54" i="40"/>
  <c r="AM10" i="40"/>
  <c r="AL10" i="40"/>
  <c r="AK10" i="40"/>
  <c r="AJ10" i="40"/>
  <c r="AI10" i="40"/>
  <c r="AH10" i="40"/>
  <c r="AF10" i="40"/>
  <c r="AE10" i="40"/>
  <c r="AA10" i="40"/>
  <c r="Z10" i="40"/>
  <c r="Y10" i="40"/>
  <c r="X10" i="40"/>
  <c r="W10" i="40"/>
  <c r="V10" i="40"/>
  <c r="U10" i="40"/>
  <c r="S10" i="40"/>
  <c r="R10" i="40"/>
  <c r="Q10" i="40"/>
  <c r="AM14" i="40"/>
  <c r="AL14" i="40"/>
  <c r="AK14" i="40"/>
  <c r="AJ14" i="40"/>
  <c r="AI14" i="40"/>
  <c r="AF14" i="40"/>
  <c r="AE14" i="40"/>
  <c r="AA14" i="40"/>
  <c r="Z14" i="40"/>
  <c r="X14" i="40"/>
  <c r="W14" i="40"/>
  <c r="V14" i="40"/>
  <c r="S14" i="40"/>
  <c r="R14" i="40"/>
  <c r="Q14" i="40"/>
  <c r="AM17" i="40"/>
  <c r="AK17" i="40"/>
  <c r="AJ17" i="40"/>
  <c r="AI17" i="40"/>
  <c r="AF17" i="40"/>
  <c r="AE17" i="40"/>
  <c r="AA17" i="40"/>
  <c r="Z17" i="40"/>
  <c r="X17" i="40"/>
  <c r="W17" i="40"/>
  <c r="V17" i="40"/>
  <c r="S17" i="40"/>
  <c r="R17" i="40"/>
  <c r="Q17" i="40"/>
  <c r="AM11" i="40"/>
  <c r="AL11" i="40"/>
  <c r="AK11" i="40"/>
  <c r="AJ11" i="40"/>
  <c r="AI11" i="40"/>
  <c r="AH11" i="40"/>
  <c r="AG11" i="40"/>
  <c r="AF11" i="40"/>
  <c r="AE11" i="40"/>
  <c r="AA11" i="40"/>
  <c r="Z11" i="40"/>
  <c r="Y11" i="40"/>
  <c r="X11" i="40"/>
  <c r="W11" i="40"/>
  <c r="V11" i="40"/>
  <c r="U11" i="40"/>
  <c r="T11" i="40"/>
  <c r="S11" i="40"/>
  <c r="R11" i="40"/>
  <c r="AM12" i="40"/>
  <c r="AL12" i="40"/>
  <c r="AK12" i="40"/>
  <c r="AJ12" i="40"/>
  <c r="AI12" i="40"/>
  <c r="AH12" i="40"/>
  <c r="AG12" i="40"/>
  <c r="AF12" i="40"/>
  <c r="AE12" i="40"/>
  <c r="AA12" i="40"/>
  <c r="Z12" i="40"/>
  <c r="Y12" i="40"/>
  <c r="X12" i="40"/>
  <c r="W12" i="40"/>
  <c r="V12" i="40"/>
  <c r="U12" i="40"/>
  <c r="T12" i="40"/>
  <c r="S12" i="40"/>
  <c r="R12" i="40"/>
  <c r="AM16" i="40"/>
  <c r="AL16" i="40"/>
  <c r="AK16" i="40"/>
  <c r="AJ16" i="40"/>
  <c r="AI16" i="40"/>
  <c r="AH16" i="40"/>
  <c r="AG16" i="40"/>
  <c r="AF16" i="40"/>
  <c r="AE16" i="40"/>
  <c r="AA16" i="40"/>
  <c r="Z16" i="40"/>
  <c r="Y16" i="40"/>
  <c r="X16" i="40"/>
  <c r="W16" i="40"/>
  <c r="V16" i="40"/>
  <c r="U16" i="40"/>
  <c r="T16" i="40"/>
  <c r="S16" i="40"/>
  <c r="R16" i="40"/>
  <c r="AM15" i="40"/>
  <c r="AL15" i="40"/>
  <c r="AK15" i="40"/>
  <c r="AJ15" i="40"/>
  <c r="AI15" i="40"/>
  <c r="AH15" i="40"/>
  <c r="AG15" i="40"/>
  <c r="AF15" i="40"/>
  <c r="AE15" i="40"/>
  <c r="AA15" i="40"/>
  <c r="Z15" i="40"/>
  <c r="Y15" i="40"/>
  <c r="X15" i="40"/>
  <c r="W15" i="40"/>
  <c r="V15" i="40"/>
  <c r="U15" i="40"/>
  <c r="T15" i="40"/>
  <c r="S15" i="40"/>
  <c r="R15" i="40"/>
  <c r="AM66" i="40"/>
  <c r="AK66" i="40"/>
  <c r="AJ66" i="40"/>
  <c r="AI66" i="40"/>
  <c r="AF66" i="40"/>
  <c r="AE66" i="40"/>
  <c r="Z66" i="40"/>
  <c r="X66" i="40"/>
  <c r="W66" i="40"/>
  <c r="V66" i="40"/>
  <c r="S66" i="40"/>
  <c r="R66" i="40"/>
  <c r="AM61" i="40"/>
  <c r="AK61" i="40"/>
  <c r="AJ61" i="40"/>
  <c r="AI61" i="40"/>
  <c r="AG61" i="40"/>
  <c r="AF61" i="40"/>
  <c r="AE61" i="40"/>
  <c r="Z61" i="40"/>
  <c r="X61" i="40"/>
  <c r="W61" i="40"/>
  <c r="V61" i="40"/>
  <c r="T61" i="40"/>
  <c r="S61" i="40"/>
  <c r="R61" i="40"/>
  <c r="AM24" i="40"/>
  <c r="AL24" i="40"/>
  <c r="AK24" i="40"/>
  <c r="AJ24" i="40"/>
  <c r="AI24" i="40"/>
  <c r="AH24" i="40"/>
  <c r="AG24" i="40"/>
  <c r="AF24" i="40"/>
  <c r="AE24" i="40"/>
  <c r="AA24" i="40"/>
  <c r="Z24" i="40"/>
  <c r="Y24" i="40"/>
  <c r="X24" i="40"/>
  <c r="W24" i="40"/>
  <c r="V24" i="40"/>
  <c r="U24" i="40"/>
  <c r="T24" i="40"/>
  <c r="S24" i="40"/>
  <c r="R24" i="40"/>
  <c r="AM44" i="40"/>
  <c r="AL44" i="40"/>
  <c r="AK44" i="40"/>
  <c r="AJ44" i="40"/>
  <c r="AI44" i="40"/>
  <c r="AH44" i="40"/>
  <c r="AG44" i="40"/>
  <c r="AF44" i="40"/>
  <c r="AE44" i="40"/>
  <c r="AA44" i="40"/>
  <c r="Z44" i="40"/>
  <c r="Y44" i="40"/>
  <c r="X44" i="40"/>
  <c r="W44" i="40"/>
  <c r="V44" i="40"/>
  <c r="U44" i="40"/>
  <c r="T44" i="40"/>
  <c r="S44" i="40"/>
  <c r="R44" i="40"/>
  <c r="AM45" i="40"/>
  <c r="AL45" i="40"/>
  <c r="AK45" i="40"/>
  <c r="AJ45" i="40"/>
  <c r="AI45" i="40"/>
  <c r="AH45" i="40"/>
  <c r="AG45" i="40"/>
  <c r="AF45" i="40"/>
  <c r="AE45" i="40"/>
  <c r="AA45" i="40"/>
  <c r="Z45" i="40"/>
  <c r="Y45" i="40"/>
  <c r="X45" i="40"/>
  <c r="W45" i="40"/>
  <c r="V45" i="40"/>
  <c r="U45" i="40"/>
  <c r="T45" i="40"/>
  <c r="S45" i="40"/>
  <c r="R45" i="40"/>
  <c r="AA49" i="40"/>
  <c r="AM7" i="40"/>
  <c r="AL7" i="40"/>
  <c r="AK7" i="40"/>
  <c r="AJ7" i="40"/>
  <c r="AI7" i="40"/>
  <c r="AH7" i="40"/>
  <c r="AG7" i="40"/>
  <c r="AF7" i="40"/>
  <c r="AE7" i="40"/>
  <c r="AA7" i="40"/>
  <c r="Z7" i="40"/>
  <c r="Y7" i="40"/>
  <c r="X7" i="40"/>
  <c r="W7" i="40"/>
  <c r="V7" i="40"/>
  <c r="U7" i="40"/>
  <c r="T7" i="40"/>
  <c r="S7" i="40"/>
  <c r="R7" i="40"/>
  <c r="AM8" i="40"/>
  <c r="AL8" i="40"/>
  <c r="AK8" i="40"/>
  <c r="AJ8" i="40"/>
  <c r="AI8" i="40"/>
  <c r="AH8" i="40"/>
  <c r="AG8" i="40"/>
  <c r="AF8" i="40"/>
  <c r="AE8" i="40"/>
  <c r="AA8" i="40"/>
  <c r="Z8" i="40"/>
  <c r="Y8" i="40"/>
  <c r="X8" i="40"/>
  <c r="W8" i="40"/>
  <c r="V8" i="40"/>
  <c r="U8" i="40"/>
  <c r="T8" i="40"/>
  <c r="S8" i="40"/>
  <c r="R8" i="40"/>
  <c r="AM42" i="40"/>
  <c r="AL42" i="40"/>
  <c r="AK42" i="40"/>
  <c r="AJ42" i="40"/>
  <c r="AI42" i="40"/>
  <c r="AH42" i="40"/>
  <c r="AG42" i="40"/>
  <c r="AF42" i="40"/>
  <c r="AE42" i="40"/>
  <c r="AA42" i="40"/>
  <c r="Z42" i="40"/>
  <c r="Y42" i="40"/>
  <c r="X42" i="40"/>
  <c r="W42" i="40"/>
  <c r="V42" i="40"/>
  <c r="U42" i="40"/>
  <c r="T42" i="40"/>
  <c r="S42" i="40"/>
  <c r="R42" i="40"/>
  <c r="AM43" i="40"/>
  <c r="AL43" i="40"/>
  <c r="AK43" i="40"/>
  <c r="AJ43" i="40"/>
  <c r="AI43" i="40"/>
  <c r="AH43" i="40"/>
  <c r="AG43" i="40"/>
  <c r="AF43" i="40"/>
  <c r="AE43" i="40"/>
  <c r="AA43" i="40"/>
  <c r="Z43" i="40"/>
  <c r="Y43" i="40"/>
  <c r="X43" i="40"/>
  <c r="W43" i="40"/>
  <c r="V43" i="40"/>
  <c r="U43" i="40"/>
  <c r="T43" i="40"/>
  <c r="S43" i="40"/>
  <c r="R43" i="40"/>
  <c r="AM51" i="40"/>
  <c r="AL51" i="40"/>
  <c r="AK51" i="40"/>
  <c r="AJ51" i="40"/>
  <c r="AI51" i="40"/>
  <c r="AH51" i="40"/>
  <c r="AG51" i="40"/>
  <c r="AF51" i="40"/>
  <c r="AE51" i="40"/>
  <c r="AA51" i="40"/>
  <c r="Z51" i="40"/>
  <c r="Y51" i="40"/>
  <c r="X51" i="40"/>
  <c r="W51" i="40"/>
  <c r="V51" i="40"/>
  <c r="U51" i="40"/>
  <c r="T51" i="40"/>
  <c r="S51" i="40"/>
  <c r="R51" i="40"/>
  <c r="AM21" i="40"/>
  <c r="AL21" i="40"/>
  <c r="AK21" i="40"/>
  <c r="AJ21" i="40"/>
  <c r="AI21" i="40"/>
  <c r="AH21" i="40"/>
  <c r="AG21" i="40"/>
  <c r="AF21" i="40"/>
  <c r="AE21" i="40"/>
  <c r="AA21" i="40"/>
  <c r="Z21" i="40"/>
  <c r="Y21" i="40"/>
  <c r="X21" i="40"/>
  <c r="W21" i="40"/>
  <c r="V21" i="40"/>
  <c r="U21" i="40"/>
  <c r="T21" i="40"/>
  <c r="S21" i="40"/>
  <c r="R21" i="40"/>
  <c r="AM20" i="40"/>
  <c r="AL20" i="40"/>
  <c r="AK20" i="40"/>
  <c r="AJ20" i="40"/>
  <c r="AI20" i="40"/>
  <c r="AH20" i="40"/>
  <c r="AG20" i="40"/>
  <c r="AF20" i="40"/>
  <c r="AE20" i="40"/>
  <c r="AA20" i="40"/>
  <c r="Z20" i="40"/>
  <c r="Y20" i="40"/>
  <c r="X20" i="40"/>
  <c r="W20" i="40"/>
  <c r="V20" i="40"/>
  <c r="U20" i="40"/>
  <c r="T20" i="40"/>
  <c r="S20" i="40"/>
  <c r="R20" i="40"/>
  <c r="AM19" i="40"/>
  <c r="AL19" i="40"/>
  <c r="AK19" i="40"/>
  <c r="AJ19" i="40"/>
  <c r="AI19" i="40"/>
  <c r="AH19" i="40"/>
  <c r="AG19" i="40"/>
  <c r="AF19" i="40"/>
  <c r="AE19" i="40"/>
  <c r="AA19" i="40"/>
  <c r="Z19" i="40"/>
  <c r="Y19" i="40"/>
  <c r="X19" i="40"/>
  <c r="W19" i="40"/>
  <c r="V19" i="40"/>
  <c r="U19" i="40"/>
  <c r="T19" i="40"/>
  <c r="S19" i="40"/>
  <c r="R19" i="40"/>
  <c r="AM13" i="40"/>
  <c r="AL13" i="40"/>
  <c r="AK13" i="40"/>
  <c r="AJ13" i="40"/>
  <c r="AI13" i="40"/>
  <c r="AH13" i="40"/>
  <c r="AG13" i="40"/>
  <c r="AF13" i="40"/>
  <c r="AE13" i="40"/>
  <c r="AA13" i="40"/>
  <c r="Z13" i="40"/>
  <c r="Y13" i="40"/>
  <c r="X13" i="40"/>
  <c r="W13" i="40"/>
  <c r="V13" i="40"/>
  <c r="U13" i="40"/>
  <c r="T13" i="40"/>
  <c r="S13" i="40"/>
  <c r="R13" i="40"/>
  <c r="AM50" i="40"/>
  <c r="AK50" i="40"/>
  <c r="AJ50" i="40"/>
  <c r="AI50" i="40"/>
  <c r="AH50" i="40"/>
  <c r="AG50" i="40"/>
  <c r="AF50" i="40"/>
  <c r="AE50" i="40"/>
  <c r="AA50" i="40"/>
  <c r="Z50" i="40"/>
  <c r="Y50" i="40"/>
  <c r="X50" i="40"/>
  <c r="W50" i="40"/>
  <c r="V50" i="40"/>
  <c r="U50" i="40"/>
  <c r="T50" i="40"/>
  <c r="S50" i="40"/>
  <c r="R50" i="40"/>
  <c r="AM59" i="40"/>
  <c r="AL59" i="40"/>
  <c r="AK59" i="40"/>
  <c r="AJ59" i="40"/>
  <c r="AI59" i="40"/>
  <c r="AH59" i="40"/>
  <c r="AG59" i="40"/>
  <c r="AF59" i="40"/>
  <c r="AE59" i="40"/>
  <c r="AA59" i="40"/>
  <c r="Z59" i="40"/>
  <c r="Y59" i="40"/>
  <c r="X59" i="40"/>
  <c r="W59" i="40"/>
  <c r="V59" i="40"/>
  <c r="U59" i="40"/>
  <c r="T59" i="40"/>
  <c r="S59" i="40"/>
  <c r="R59" i="40"/>
  <c r="AM23" i="40"/>
  <c r="AL23" i="40"/>
  <c r="AK23" i="40"/>
  <c r="AJ23" i="40"/>
  <c r="AI23" i="40"/>
  <c r="AH23" i="40"/>
  <c r="AG23" i="40"/>
  <c r="AF23" i="40"/>
  <c r="AE23" i="40"/>
  <c r="AA23" i="40"/>
  <c r="Z23" i="40"/>
  <c r="Y23" i="40"/>
  <c r="X23" i="40"/>
  <c r="W23" i="40"/>
  <c r="V23" i="40"/>
  <c r="U23" i="40"/>
  <c r="T23" i="40"/>
  <c r="S23" i="40"/>
  <c r="R23" i="40"/>
  <c r="AM30" i="40"/>
  <c r="AL30" i="40"/>
  <c r="AK30" i="40"/>
  <c r="AJ30" i="40"/>
  <c r="AI30" i="40"/>
  <c r="AH30" i="40"/>
  <c r="AG30" i="40"/>
  <c r="AF30" i="40"/>
  <c r="AE30" i="40"/>
  <c r="AA30" i="40"/>
  <c r="Z30" i="40"/>
  <c r="Y30" i="40"/>
  <c r="X30" i="40"/>
  <c r="W30" i="40"/>
  <c r="V30" i="40"/>
  <c r="U30" i="40"/>
  <c r="T30" i="40"/>
  <c r="S30" i="40"/>
  <c r="R30" i="40"/>
  <c r="AM37" i="40"/>
  <c r="AL37" i="40"/>
  <c r="AK37" i="40"/>
  <c r="AJ37" i="40"/>
  <c r="AI37" i="40"/>
  <c r="AH37" i="40"/>
  <c r="AG37" i="40"/>
  <c r="AF37" i="40"/>
  <c r="AE37" i="40"/>
  <c r="AA37" i="40"/>
  <c r="Z37" i="40"/>
  <c r="Y37" i="40"/>
  <c r="X37" i="40"/>
  <c r="W37" i="40"/>
  <c r="V37" i="40"/>
  <c r="U37" i="40"/>
  <c r="T37" i="40"/>
  <c r="S37" i="40"/>
  <c r="R37" i="40"/>
  <c r="AA64" i="40"/>
  <c r="AM57" i="40"/>
  <c r="AL57" i="40"/>
  <c r="AK57" i="40"/>
  <c r="AJ57" i="40"/>
  <c r="AI57" i="40"/>
  <c r="AH57" i="40"/>
  <c r="AG57" i="40"/>
  <c r="AF57" i="40"/>
  <c r="AE57" i="40"/>
  <c r="AA57" i="40"/>
  <c r="Z57" i="40"/>
  <c r="Y57" i="40"/>
  <c r="X57" i="40"/>
  <c r="W57" i="40"/>
  <c r="V57" i="40"/>
  <c r="U57" i="40"/>
  <c r="T57" i="40"/>
  <c r="S57" i="40"/>
  <c r="R57" i="40"/>
  <c r="AM58" i="40"/>
  <c r="AL58" i="40"/>
  <c r="AK58" i="40"/>
  <c r="AJ58" i="40"/>
  <c r="AI58" i="40"/>
  <c r="AH58" i="40"/>
  <c r="AG58" i="40"/>
  <c r="AF58" i="40"/>
  <c r="AE58" i="40"/>
  <c r="AA58" i="40"/>
  <c r="Z58" i="40"/>
  <c r="Y58" i="40"/>
  <c r="X58" i="40"/>
  <c r="W58" i="40"/>
  <c r="V58" i="40"/>
  <c r="U58" i="40"/>
  <c r="T58" i="40"/>
  <c r="S58" i="40"/>
  <c r="R58" i="40"/>
  <c r="AA5" i="40"/>
  <c r="EI15" i="31"/>
  <c r="GT15" i="31"/>
  <c r="GS15" i="31" s="1"/>
  <c r="B16" i="31"/>
  <c r="K16" i="31"/>
  <c r="Y16" i="31" s="1"/>
  <c r="P16" i="31"/>
  <c r="Q16" i="31"/>
  <c r="R16" i="31"/>
  <c r="S16" i="31"/>
  <c r="T16" i="31"/>
  <c r="EE16" i="31"/>
  <c r="EG16" i="31" s="1"/>
  <c r="GI16" i="31"/>
  <c r="GJ16" i="31" s="1"/>
  <c r="GU16" i="31"/>
  <c r="DX19" i="1"/>
  <c r="DW19" i="1"/>
  <c r="AU1" i="17"/>
  <c r="AT1" i="17"/>
  <c r="T1" i="17"/>
  <c r="N1" i="17"/>
  <c r="AV1" i="17"/>
  <c r="AG1" i="17"/>
  <c r="AF1" i="17"/>
  <c r="AB1" i="17"/>
  <c r="Z1" i="17"/>
  <c r="A1" i="17"/>
  <c r="DX17" i="1"/>
  <c r="DW17" i="1"/>
  <c r="C23" i="11"/>
  <c r="C22" i="11"/>
  <c r="C21" i="11"/>
  <c r="C20" i="11"/>
  <c r="C19" i="11"/>
  <c r="C18" i="11"/>
  <c r="C17" i="11"/>
  <c r="C16" i="11"/>
  <c r="C15" i="11"/>
  <c r="C14" i="11"/>
  <c r="C13" i="11"/>
  <c r="C12" i="11"/>
  <c r="C11" i="11"/>
  <c r="C10" i="11"/>
  <c r="C9" i="11"/>
  <c r="C8" i="11"/>
  <c r="C7" i="11"/>
  <c r="DT19" i="1"/>
  <c r="A26" i="11"/>
  <c r="DV19" i="1"/>
  <c r="DS19" i="1"/>
  <c r="DR19" i="1"/>
  <c r="DQ19" i="1"/>
  <c r="DP19" i="1"/>
  <c r="DH19" i="1"/>
  <c r="DG19" i="1"/>
  <c r="DF19" i="1"/>
  <c r="DE19" i="1"/>
  <c r="CZ19" i="1"/>
  <c r="CY19" i="1"/>
  <c r="CX19" i="1"/>
  <c r="DV17" i="1"/>
  <c r="DT17" i="1"/>
  <c r="DS17" i="1"/>
  <c r="DR17" i="1"/>
  <c r="DQ17" i="1"/>
  <c r="DP17" i="1"/>
  <c r="DH17" i="1"/>
  <c r="DG17" i="1"/>
  <c r="DF17" i="1"/>
  <c r="DE17" i="1"/>
  <c r="CZ17" i="1"/>
  <c r="CY17" i="1"/>
  <c r="CX17" i="1"/>
  <c r="A1" i="6"/>
  <c r="M1" i="6" s="1"/>
  <c r="A1" i="5"/>
  <c r="K1" i="5" s="1"/>
  <c r="Q8" i="10"/>
  <c r="U9" i="10"/>
  <c r="Y10" i="10"/>
  <c r="AP1" i="8"/>
  <c r="AQ1" i="8"/>
  <c r="AP2" i="8"/>
  <c r="AQ2" i="8"/>
  <c r="AP3" i="8"/>
  <c r="AQ3" i="8"/>
  <c r="AP4" i="8"/>
  <c r="AQ4" i="8"/>
  <c r="AP6" i="8"/>
  <c r="AQ6" i="8"/>
  <c r="AP7" i="8"/>
  <c r="AQ7" i="8"/>
  <c r="AP8" i="8"/>
  <c r="AQ8" i="8"/>
  <c r="AP9" i="8"/>
  <c r="AQ9" i="8"/>
  <c r="AP10" i="8"/>
  <c r="AQ10" i="8"/>
  <c r="AP11" i="8"/>
  <c r="AQ11" i="8"/>
  <c r="AP12" i="8"/>
  <c r="AQ12" i="8"/>
  <c r="D1" i="7"/>
  <c r="D571" i="7" s="1"/>
  <c r="I44" i="53" l="1"/>
  <c r="K18" i="53"/>
  <c r="I71" i="53"/>
  <c r="EM16" i="31"/>
  <c r="EK16" i="31"/>
  <c r="EJ16" i="31"/>
  <c r="J71" i="53"/>
  <c r="J47" i="53"/>
  <c r="B12" i="54"/>
  <c r="F12" i="54" s="1"/>
  <c r="K23" i="53"/>
  <c r="C13" i="54"/>
  <c r="G13" i="54" s="1"/>
  <c r="I47" i="53"/>
  <c r="I68" i="53"/>
  <c r="I60" i="53"/>
  <c r="I40" i="53"/>
  <c r="I65" i="53"/>
  <c r="I61" i="53"/>
  <c r="I70" i="53"/>
  <c r="I64" i="53"/>
  <c r="I58" i="53"/>
  <c r="I69" i="53"/>
  <c r="I66" i="53"/>
  <c r="I72" i="53"/>
  <c r="I63" i="53"/>
  <c r="I59" i="53"/>
  <c r="I62" i="53"/>
  <c r="I57" i="53"/>
  <c r="I67" i="53"/>
  <c r="J68" i="53"/>
  <c r="J60" i="53"/>
  <c r="J67" i="53"/>
  <c r="J59" i="53"/>
  <c r="J70" i="53"/>
  <c r="J58" i="53"/>
  <c r="J63" i="53"/>
  <c r="J72" i="53"/>
  <c r="J69" i="53"/>
  <c r="J66" i="53"/>
  <c r="J65" i="53"/>
  <c r="J56" i="53"/>
  <c r="J64" i="53"/>
  <c r="J53" i="53"/>
  <c r="J57" i="53" s="1"/>
  <c r="J62" i="53"/>
  <c r="J61" i="53"/>
  <c r="I36" i="53"/>
  <c r="I37" i="53"/>
  <c r="I42" i="53"/>
  <c r="I45" i="53"/>
  <c r="I41" i="53"/>
  <c r="D13" i="54"/>
  <c r="K10" i="53"/>
  <c r="K13" i="53"/>
  <c r="K16" i="53"/>
  <c r="I38" i="53"/>
  <c r="I39" i="53"/>
  <c r="I33" i="53"/>
  <c r="I34" i="53"/>
  <c r="K11" i="53"/>
  <c r="K9" i="53"/>
  <c r="K22" i="53"/>
  <c r="I35" i="53"/>
  <c r="I43" i="53"/>
  <c r="I46" i="53"/>
  <c r="P19" i="43"/>
  <c r="A9" i="54"/>
  <c r="I48" i="53"/>
  <c r="J41" i="53"/>
  <c r="J48" i="53"/>
  <c r="J39" i="53"/>
  <c r="J35" i="53"/>
  <c r="J32" i="53"/>
  <c r="J44" i="53"/>
  <c r="J46" i="53"/>
  <c r="J33" i="53"/>
  <c r="J38" i="53"/>
  <c r="J43" i="53"/>
  <c r="J40" i="53"/>
  <c r="J34" i="53"/>
  <c r="J45" i="53"/>
  <c r="J42" i="53"/>
  <c r="J36" i="53"/>
  <c r="J37" i="53"/>
  <c r="K17" i="53"/>
  <c r="K15" i="53"/>
  <c r="K14" i="53"/>
  <c r="K12" i="53"/>
  <c r="L20" i="53"/>
  <c r="L21" i="53"/>
  <c r="L14" i="53"/>
  <c r="L4" i="53"/>
  <c r="L24" i="53"/>
  <c r="L18" i="53"/>
  <c r="L16" i="53"/>
  <c r="L13" i="53"/>
  <c r="N5" i="53"/>
  <c r="N23" i="53" s="1"/>
  <c r="L19" i="53"/>
  <c r="L17" i="53"/>
  <c r="L12" i="53"/>
  <c r="L10" i="53"/>
  <c r="L8" i="53"/>
  <c r="L29" i="53"/>
  <c r="L22" i="53"/>
  <c r="L15" i="53"/>
  <c r="L11" i="53"/>
  <c r="L9" i="53"/>
  <c r="M5" i="53"/>
  <c r="M29" i="53" s="1"/>
  <c r="M53" i="53" s="1"/>
  <c r="K20" i="53"/>
  <c r="K21" i="53"/>
  <c r="E19" i="1"/>
  <c r="EO19" i="43"/>
  <c r="K19" i="53"/>
  <c r="K24" i="53"/>
  <c r="CT19" i="1"/>
  <c r="L19" i="18"/>
  <c r="Y1" i="6"/>
  <c r="GV16" i="31"/>
  <c r="GW16" i="31"/>
  <c r="GX16" i="31"/>
  <c r="EO16" i="31"/>
  <c r="EF16" i="31"/>
  <c r="CT17" i="1"/>
  <c r="D343" i="7"/>
  <c r="D172" i="7"/>
  <c r="D286" i="7"/>
  <c r="F37" i="10"/>
  <c r="D628" i="7"/>
  <c r="D58" i="7"/>
  <c r="D514" i="7"/>
  <c r="D229" i="7"/>
  <c r="D400" i="7"/>
  <c r="C26" i="11"/>
  <c r="D457" i="7"/>
  <c r="D115" i="7"/>
  <c r="B26" i="11"/>
  <c r="F17" i="10"/>
  <c r="EH16" i="31"/>
  <c r="EL16" i="31"/>
  <c r="EP16" i="31"/>
  <c r="EN16" i="31"/>
  <c r="EI16" i="31"/>
  <c r="K71" i="53" l="1"/>
  <c r="K61" i="53"/>
  <c r="L47" i="53"/>
  <c r="L71" i="53"/>
  <c r="C12" i="54"/>
  <c r="G12" i="54" s="1"/>
  <c r="K47" i="53"/>
  <c r="B11" i="54"/>
  <c r="F11" i="54" s="1"/>
  <c r="M23" i="53"/>
  <c r="K57" i="53"/>
  <c r="K66" i="53"/>
  <c r="K64" i="53"/>
  <c r="K69" i="53"/>
  <c r="K62" i="53"/>
  <c r="K65" i="53"/>
  <c r="K70" i="53"/>
  <c r="K34" i="53"/>
  <c r="K58" i="53"/>
  <c r="K60" i="53"/>
  <c r="K68" i="53"/>
  <c r="K72" i="53"/>
  <c r="K59" i="53"/>
  <c r="K63" i="53"/>
  <c r="K67" i="53"/>
  <c r="L69" i="53"/>
  <c r="L61" i="53"/>
  <c r="L68" i="53"/>
  <c r="L60" i="53"/>
  <c r="L67" i="53"/>
  <c r="L59" i="53"/>
  <c r="L66" i="53"/>
  <c r="L62" i="53"/>
  <c r="L65" i="53"/>
  <c r="L64" i="53"/>
  <c r="L56" i="53"/>
  <c r="L63" i="53"/>
  <c r="L53" i="53"/>
  <c r="L57" i="53" s="1"/>
  <c r="L58" i="53"/>
  <c r="L72" i="53"/>
  <c r="L70" i="53"/>
  <c r="K37" i="53"/>
  <c r="K38" i="53"/>
  <c r="D12" i="54"/>
  <c r="M11" i="53"/>
  <c r="M9" i="53"/>
  <c r="M22" i="53"/>
  <c r="K45" i="53"/>
  <c r="K44" i="53"/>
  <c r="K36" i="53"/>
  <c r="K40" i="53"/>
  <c r="K33" i="53"/>
  <c r="K42" i="53"/>
  <c r="K43" i="53"/>
  <c r="K46" i="53"/>
  <c r="Q19" i="43"/>
  <c r="EP19" i="43" s="1"/>
  <c r="CQ19" i="1"/>
  <c r="AC1" i="17"/>
  <c r="M19" i="53"/>
  <c r="M18" i="53"/>
  <c r="M21" i="53"/>
  <c r="K39" i="53"/>
  <c r="M15" i="53"/>
  <c r="M10" i="53"/>
  <c r="N17" i="53"/>
  <c r="N22" i="53"/>
  <c r="N16" i="53"/>
  <c r="N15" i="53"/>
  <c r="P5" i="53"/>
  <c r="P23" i="53" s="1"/>
  <c r="N29" i="53"/>
  <c r="O5" i="53"/>
  <c r="O29" i="53" s="1"/>
  <c r="O53" i="53" s="1"/>
  <c r="N20" i="53"/>
  <c r="N18" i="53"/>
  <c r="N12" i="53"/>
  <c r="N10" i="53"/>
  <c r="N8" i="53"/>
  <c r="N24" i="53"/>
  <c r="N14" i="53"/>
  <c r="N11" i="53"/>
  <c r="N9" i="53"/>
  <c r="N4" i="53"/>
  <c r="N21" i="53"/>
  <c r="N19" i="53"/>
  <c r="N13" i="53"/>
  <c r="M24" i="53"/>
  <c r="M20" i="53"/>
  <c r="K48" i="53"/>
  <c r="A8" i="54"/>
  <c r="M12" i="53"/>
  <c r="M13" i="53"/>
  <c r="K41" i="53"/>
  <c r="L46" i="53"/>
  <c r="L44" i="53"/>
  <c r="L33" i="53"/>
  <c r="L38" i="53"/>
  <c r="L32" i="53"/>
  <c r="L42" i="53"/>
  <c r="L43" i="53"/>
  <c r="L40" i="53"/>
  <c r="L34" i="53"/>
  <c r="L45" i="53"/>
  <c r="L48" i="53"/>
  <c r="L36" i="53"/>
  <c r="L37" i="53"/>
  <c r="L41" i="53"/>
  <c r="L39" i="53"/>
  <c r="L35" i="53"/>
  <c r="M17" i="53"/>
  <c r="M16" i="53"/>
  <c r="M14" i="53"/>
  <c r="K35" i="53"/>
  <c r="BB19" i="1"/>
  <c r="C3" i="11"/>
  <c r="M19" i="18"/>
  <c r="M72" i="53" l="1"/>
  <c r="O13" i="53"/>
  <c r="M71" i="53"/>
  <c r="N71" i="53"/>
  <c r="N47" i="53"/>
  <c r="C11" i="54"/>
  <c r="G11" i="54" s="1"/>
  <c r="M47" i="53"/>
  <c r="B10" i="54"/>
  <c r="F10" i="54" s="1"/>
  <c r="O23" i="53"/>
  <c r="M57" i="53"/>
  <c r="M70" i="53"/>
  <c r="M58" i="53"/>
  <c r="M64" i="53"/>
  <c r="M65" i="53"/>
  <c r="M63" i="53"/>
  <c r="M67" i="53"/>
  <c r="M59" i="53"/>
  <c r="M62" i="53"/>
  <c r="M69" i="53"/>
  <c r="M60" i="53"/>
  <c r="M66" i="53"/>
  <c r="M68" i="53"/>
  <c r="M61" i="53"/>
  <c r="N70" i="53"/>
  <c r="N62" i="53"/>
  <c r="N69" i="53"/>
  <c r="N61" i="53"/>
  <c r="N68" i="53"/>
  <c r="N60" i="53"/>
  <c r="N65" i="53"/>
  <c r="N67" i="53"/>
  <c r="N66" i="53"/>
  <c r="N64" i="53"/>
  <c r="N53" i="53"/>
  <c r="N57" i="53" s="1"/>
  <c r="N56" i="53"/>
  <c r="N63" i="53"/>
  <c r="N59" i="53"/>
  <c r="N58" i="53"/>
  <c r="N72" i="53"/>
  <c r="M36" i="53"/>
  <c r="M35" i="53"/>
  <c r="D11" i="54"/>
  <c r="O9" i="53"/>
  <c r="M48" i="53"/>
  <c r="M40" i="53"/>
  <c r="M39" i="53"/>
  <c r="M37" i="53"/>
  <c r="M34" i="53"/>
  <c r="M41" i="53"/>
  <c r="M45" i="53"/>
  <c r="M42" i="53"/>
  <c r="M33" i="53"/>
  <c r="O19" i="53"/>
  <c r="O11" i="53"/>
  <c r="O21" i="53"/>
  <c r="O14" i="53"/>
  <c r="O24" i="53"/>
  <c r="M43" i="53"/>
  <c r="M38" i="53"/>
  <c r="O18" i="53"/>
  <c r="P18" i="53"/>
  <c r="P24" i="53"/>
  <c r="P16" i="53"/>
  <c r="P15" i="53"/>
  <c r="R5" i="53"/>
  <c r="R23" i="53" s="1"/>
  <c r="P8" i="53"/>
  <c r="P13" i="53"/>
  <c r="P4" i="53"/>
  <c r="P21" i="53"/>
  <c r="P19" i="53"/>
  <c r="P12" i="53"/>
  <c r="P10" i="53"/>
  <c r="P29" i="53"/>
  <c r="Q5" i="53"/>
  <c r="Q29" i="53" s="1"/>
  <c r="Q53" i="53" s="1"/>
  <c r="P20" i="53"/>
  <c r="P17" i="53"/>
  <c r="P14" i="53"/>
  <c r="P11" i="53"/>
  <c r="P9" i="53"/>
  <c r="P22" i="53"/>
  <c r="O17" i="53"/>
  <c r="A7" i="54"/>
  <c r="O20" i="53"/>
  <c r="O15" i="53"/>
  <c r="R19" i="43"/>
  <c r="M44" i="53"/>
  <c r="O10" i="53"/>
  <c r="O16" i="53"/>
  <c r="M46" i="53"/>
  <c r="O12" i="53"/>
  <c r="N48" i="53"/>
  <c r="N45" i="53"/>
  <c r="N40" i="53"/>
  <c r="N34" i="53"/>
  <c r="N32" i="53"/>
  <c r="N42" i="53"/>
  <c r="N33" i="53"/>
  <c r="N43" i="53"/>
  <c r="N44" i="53"/>
  <c r="N36" i="53"/>
  <c r="N37" i="53"/>
  <c r="N46" i="53"/>
  <c r="N41" i="53"/>
  <c r="N39" i="53"/>
  <c r="N35" i="53"/>
  <c r="N38" i="53"/>
  <c r="O22" i="53"/>
  <c r="EQ19" i="43"/>
  <c r="BC19" i="1"/>
  <c r="N19" i="18"/>
  <c r="AE19" i="43" s="1"/>
  <c r="O72" i="53" l="1"/>
  <c r="O71" i="53"/>
  <c r="P47" i="53"/>
  <c r="P71" i="53"/>
  <c r="B9" i="54"/>
  <c r="F9" i="54" s="1"/>
  <c r="Q23" i="53"/>
  <c r="C10" i="54"/>
  <c r="G10" i="54" s="1"/>
  <c r="O47" i="53"/>
  <c r="O63" i="53"/>
  <c r="O66" i="53"/>
  <c r="O58" i="53"/>
  <c r="O57" i="53"/>
  <c r="O59" i="53"/>
  <c r="O64" i="53"/>
  <c r="O65" i="53"/>
  <c r="O69" i="53"/>
  <c r="O60" i="53"/>
  <c r="O62" i="53"/>
  <c r="O68" i="53"/>
  <c r="O70" i="53"/>
  <c r="O67" i="53"/>
  <c r="O61" i="53"/>
  <c r="P72" i="53"/>
  <c r="P63" i="53"/>
  <c r="P70" i="53"/>
  <c r="P62" i="53"/>
  <c r="P53" i="53"/>
  <c r="P57" i="53" s="1"/>
  <c r="P69" i="53"/>
  <c r="P61" i="53"/>
  <c r="P64" i="53"/>
  <c r="P67" i="53"/>
  <c r="P56" i="53"/>
  <c r="P60" i="53"/>
  <c r="P59" i="53"/>
  <c r="P58" i="53"/>
  <c r="P68" i="53"/>
  <c r="P66" i="53"/>
  <c r="P65" i="53"/>
  <c r="O41" i="53"/>
  <c r="O35" i="53"/>
  <c r="D10" i="54"/>
  <c r="Q22" i="53"/>
  <c r="Q9" i="53"/>
  <c r="Q11" i="53"/>
  <c r="Q14" i="53"/>
  <c r="O44" i="53"/>
  <c r="Q17" i="53"/>
  <c r="Q19" i="53"/>
  <c r="Q10" i="53"/>
  <c r="O38" i="53"/>
  <c r="O46" i="53"/>
  <c r="O43" i="53"/>
  <c r="O34" i="53"/>
  <c r="Q20" i="53"/>
  <c r="Q12" i="53"/>
  <c r="Q13" i="53"/>
  <c r="O33" i="53"/>
  <c r="O37" i="53"/>
  <c r="O39" i="53"/>
  <c r="O36" i="53"/>
  <c r="O42" i="53"/>
  <c r="Q21" i="53"/>
  <c r="O40" i="53"/>
  <c r="O45" i="53"/>
  <c r="CS19" i="1"/>
  <c r="CR19" i="1"/>
  <c r="O48" i="53"/>
  <c r="P44" i="53"/>
  <c r="P45" i="53"/>
  <c r="P40" i="53"/>
  <c r="P37" i="53"/>
  <c r="P32" i="53"/>
  <c r="P48" i="53"/>
  <c r="P42" i="53"/>
  <c r="P36" i="53"/>
  <c r="P39" i="53"/>
  <c r="P43" i="53"/>
  <c r="P41" i="53"/>
  <c r="P35" i="53"/>
  <c r="P38" i="53"/>
  <c r="P46" i="53"/>
  <c r="P33" i="53"/>
  <c r="P34" i="53"/>
  <c r="R19" i="53"/>
  <c r="R17" i="53"/>
  <c r="R12" i="53"/>
  <c r="T5" i="53"/>
  <c r="T23" i="53" s="1"/>
  <c r="R29" i="53"/>
  <c r="R22" i="53"/>
  <c r="R20" i="53"/>
  <c r="R15" i="53"/>
  <c r="R10" i="53"/>
  <c r="R8" i="53"/>
  <c r="R18" i="53"/>
  <c r="R14" i="53"/>
  <c r="R11" i="53"/>
  <c r="R9" i="53"/>
  <c r="S5" i="53"/>
  <c r="S29" i="53" s="1"/>
  <c r="S53" i="53" s="1"/>
  <c r="R24" i="53"/>
  <c r="R21" i="53"/>
  <c r="R16" i="53"/>
  <c r="R13" i="53"/>
  <c r="R4" i="53"/>
  <c r="Q18" i="53"/>
  <c r="Q15" i="53"/>
  <c r="Q16" i="53"/>
  <c r="T19" i="43"/>
  <c r="AZ19" i="1"/>
  <c r="A6" i="54"/>
  <c r="Q24" i="53"/>
  <c r="O19" i="18"/>
  <c r="AO19" i="43" s="1"/>
  <c r="Q71" i="53" l="1"/>
  <c r="Q38" i="53"/>
  <c r="Q66" i="53"/>
  <c r="Q39" i="53"/>
  <c r="Q68" i="53"/>
  <c r="Q60" i="53"/>
  <c r="R47" i="53"/>
  <c r="R71" i="53"/>
  <c r="C9" i="54"/>
  <c r="G9" i="54" s="1"/>
  <c r="Q47" i="53"/>
  <c r="B8" i="54"/>
  <c r="F8" i="54" s="1"/>
  <c r="S23" i="53"/>
  <c r="Q46" i="53"/>
  <c r="Q43" i="53"/>
  <c r="Q58" i="53"/>
  <c r="Q67" i="53"/>
  <c r="Q65" i="53"/>
  <c r="Q59" i="53"/>
  <c r="Q64" i="53"/>
  <c r="Q62" i="53"/>
  <c r="Q61" i="53"/>
  <c r="Q70" i="53"/>
  <c r="Q69" i="53"/>
  <c r="Q63" i="53"/>
  <c r="Q57" i="53"/>
  <c r="Q72" i="53"/>
  <c r="S16" i="53"/>
  <c r="R64" i="53"/>
  <c r="R72" i="53"/>
  <c r="R63" i="53"/>
  <c r="R56" i="53"/>
  <c r="R70" i="53"/>
  <c r="R62" i="53"/>
  <c r="R60" i="53"/>
  <c r="R67" i="53"/>
  <c r="R65" i="53"/>
  <c r="R61" i="53"/>
  <c r="R59" i="53"/>
  <c r="R69" i="53"/>
  <c r="R58" i="53"/>
  <c r="R68" i="53"/>
  <c r="R66" i="53"/>
  <c r="R53" i="53"/>
  <c r="R57" i="53" s="1"/>
  <c r="Q41" i="53"/>
  <c r="S21" i="53"/>
  <c r="Q34" i="53"/>
  <c r="S9" i="53"/>
  <c r="Q33" i="53"/>
  <c r="Q42" i="53"/>
  <c r="D9" i="54"/>
  <c r="S13" i="53"/>
  <c r="Q35" i="53"/>
  <c r="Q36" i="53"/>
  <c r="S11" i="53"/>
  <c r="Q48" i="53"/>
  <c r="S24" i="53"/>
  <c r="S18" i="53"/>
  <c r="S14" i="53"/>
  <c r="S15" i="53"/>
  <c r="T20" i="53"/>
  <c r="T18" i="53"/>
  <c r="T12" i="53"/>
  <c r="V5" i="53"/>
  <c r="V23" i="53" s="1"/>
  <c r="U5" i="53"/>
  <c r="U29" i="53" s="1"/>
  <c r="U53" i="53" s="1"/>
  <c r="T13" i="53"/>
  <c r="T9" i="53"/>
  <c r="T4" i="53"/>
  <c r="T24" i="53"/>
  <c r="T21" i="53"/>
  <c r="T15" i="53"/>
  <c r="T10" i="53"/>
  <c r="T29" i="53"/>
  <c r="T22" i="53"/>
  <c r="T19" i="53"/>
  <c r="T17" i="53"/>
  <c r="T14" i="53"/>
  <c r="T11" i="53"/>
  <c r="T8" i="53"/>
  <c r="T16" i="53"/>
  <c r="Q44" i="53"/>
  <c r="S20" i="53"/>
  <c r="S12" i="53"/>
  <c r="Q37" i="53"/>
  <c r="S22" i="53"/>
  <c r="S17" i="53"/>
  <c r="Q40" i="53"/>
  <c r="AD7" i="54"/>
  <c r="S10" i="53"/>
  <c r="R41" i="53"/>
  <c r="R43" i="53"/>
  <c r="R40" i="53"/>
  <c r="R38" i="53"/>
  <c r="R32" i="53"/>
  <c r="R45" i="53"/>
  <c r="R33" i="53"/>
  <c r="R44" i="53"/>
  <c r="R42" i="53"/>
  <c r="R36" i="53"/>
  <c r="R34" i="53"/>
  <c r="R35" i="53"/>
  <c r="R48" i="53"/>
  <c r="R39" i="53"/>
  <c r="R37" i="53"/>
  <c r="R46" i="53"/>
  <c r="S19" i="53"/>
  <c r="Q45" i="53"/>
  <c r="P19" i="18"/>
  <c r="ES19" i="43" l="1"/>
  <c r="F19" i="43"/>
  <c r="S58" i="53"/>
  <c r="S68" i="53"/>
  <c r="S62" i="53"/>
  <c r="S59" i="53"/>
  <c r="S61" i="53"/>
  <c r="S48" i="53"/>
  <c r="S65" i="53"/>
  <c r="S64" i="53"/>
  <c r="S70" i="53"/>
  <c r="S69" i="53"/>
  <c r="S57" i="53"/>
  <c r="S67" i="53"/>
  <c r="S66" i="53"/>
  <c r="S60" i="53"/>
  <c r="S71" i="53"/>
  <c r="S72" i="53"/>
  <c r="S63" i="53"/>
  <c r="T47" i="53"/>
  <c r="T71" i="53"/>
  <c r="Q18" i="18"/>
  <c r="R19" i="18" s="1"/>
  <c r="B10" i="58"/>
  <c r="B7" i="54"/>
  <c r="F7" i="54" s="1"/>
  <c r="U23" i="53"/>
  <c r="C8" i="54"/>
  <c r="G8" i="54" s="1"/>
  <c r="S47" i="53"/>
  <c r="B7" i="58"/>
  <c r="B8" i="58"/>
  <c r="B6" i="58"/>
  <c r="B9" i="58"/>
  <c r="T65" i="53"/>
  <c r="T56" i="53"/>
  <c r="T64" i="53"/>
  <c r="T72" i="53"/>
  <c r="T63" i="53"/>
  <c r="T70" i="53"/>
  <c r="T59" i="53"/>
  <c r="T69" i="53"/>
  <c r="T58" i="53"/>
  <c r="T68" i="53"/>
  <c r="T67" i="53"/>
  <c r="T66" i="53"/>
  <c r="T62" i="53"/>
  <c r="T53" i="53"/>
  <c r="T57" i="53" s="1"/>
  <c r="T61" i="53"/>
  <c r="T60" i="53"/>
  <c r="S39" i="53"/>
  <c r="D8" i="54"/>
  <c r="S42" i="53"/>
  <c r="S46" i="53"/>
  <c r="S37" i="53"/>
  <c r="U11" i="53"/>
  <c r="S35" i="53"/>
  <c r="S44" i="53"/>
  <c r="S41" i="53"/>
  <c r="U19" i="53"/>
  <c r="U15" i="53"/>
  <c r="U9" i="53"/>
  <c r="U12" i="53"/>
  <c r="S38" i="53"/>
  <c r="U22" i="53"/>
  <c r="U21" i="53"/>
  <c r="U13" i="53"/>
  <c r="U18" i="53"/>
  <c r="S34" i="53"/>
  <c r="S33" i="53"/>
  <c r="S40" i="53"/>
  <c r="U14" i="53"/>
  <c r="T46" i="53"/>
  <c r="T48" i="53"/>
  <c r="T39" i="53"/>
  <c r="T37" i="53"/>
  <c r="T42" i="53"/>
  <c r="T44" i="53"/>
  <c r="T33" i="53"/>
  <c r="T35" i="53"/>
  <c r="T45" i="53"/>
  <c r="T43" i="53"/>
  <c r="T40" i="53"/>
  <c r="T38" i="53"/>
  <c r="T41" i="53"/>
  <c r="T36" i="53"/>
  <c r="T34" i="53"/>
  <c r="T32" i="53"/>
  <c r="U24" i="53"/>
  <c r="U20" i="53"/>
  <c r="S36" i="53"/>
  <c r="S45" i="53"/>
  <c r="S43" i="53"/>
  <c r="AD8" i="54"/>
  <c r="U16" i="53"/>
  <c r="U17" i="53"/>
  <c r="U10" i="53"/>
  <c r="V17" i="53"/>
  <c r="V18" i="53"/>
  <c r="V13" i="53"/>
  <c r="V8" i="53"/>
  <c r="V20" i="53"/>
  <c r="V22" i="53"/>
  <c r="V11" i="53"/>
  <c r="V15" i="53"/>
  <c r="V9" i="53"/>
  <c r="V24" i="53"/>
  <c r="V16" i="53"/>
  <c r="V14" i="53"/>
  <c r="V4" i="53"/>
  <c r="V21" i="53"/>
  <c r="V19" i="53"/>
  <c r="V12" i="53"/>
  <c r="V10" i="53"/>
  <c r="W5" i="53"/>
  <c r="W29" i="53" s="1"/>
  <c r="W53" i="53" s="1"/>
  <c r="V29" i="53"/>
  <c r="G19" i="43"/>
  <c r="Z25" i="55" l="1"/>
  <c r="Z23" i="55"/>
  <c r="AA18" i="55"/>
  <c r="Z16" i="55"/>
  <c r="AB11" i="55"/>
  <c r="AA21" i="55"/>
  <c r="AA19" i="55"/>
  <c r="Z21" i="55"/>
  <c r="Z14" i="55"/>
  <c r="Z12" i="55"/>
  <c r="Z8" i="55"/>
  <c r="AB19" i="55"/>
  <c r="Z17" i="55"/>
  <c r="AA25" i="55"/>
  <c r="Z13" i="55"/>
  <c r="AB10" i="55"/>
  <c r="AA16" i="55"/>
  <c r="AA20" i="55"/>
  <c r="AA9" i="55"/>
  <c r="AA14" i="55"/>
  <c r="AB12" i="55"/>
  <c r="AB20" i="55"/>
  <c r="Z11" i="55"/>
  <c r="AA8" i="55"/>
  <c r="Z7" i="55"/>
  <c r="AA10" i="55"/>
  <c r="AB24" i="55"/>
  <c r="AA15" i="55"/>
  <c r="AB7" i="55"/>
  <c r="Z22" i="55"/>
  <c r="Z6" i="55"/>
  <c r="AB6" i="55"/>
  <c r="Z15" i="55"/>
  <c r="AA24" i="55"/>
  <c r="AA12" i="55"/>
  <c r="AA7" i="55"/>
  <c r="AA11" i="55"/>
  <c r="Z9" i="55"/>
  <c r="AB16" i="55"/>
  <c r="Z19" i="55"/>
  <c r="Z24" i="55"/>
  <c r="Z18" i="55"/>
  <c r="AA6" i="55"/>
  <c r="AB21" i="55"/>
  <c r="AB8" i="55"/>
  <c r="AB9" i="55"/>
  <c r="AB18" i="55"/>
  <c r="AB25" i="55"/>
  <c r="AA23" i="55"/>
  <c r="AB22" i="55"/>
  <c r="AB14" i="55"/>
  <c r="AA22" i="55"/>
  <c r="AA13" i="55"/>
  <c r="Z10" i="55"/>
  <c r="AA17" i="55"/>
  <c r="AB23" i="55"/>
  <c r="AB17" i="55"/>
  <c r="AB15" i="55"/>
  <c r="Z20" i="55"/>
  <c r="AB13" i="55"/>
  <c r="O19" i="1"/>
  <c r="B1" i="17" s="1"/>
  <c r="AL16" i="31"/>
  <c r="AL13" i="31" s="1"/>
  <c r="G6" i="64"/>
  <c r="AN16" i="31"/>
  <c r="AN13" i="31" s="1"/>
  <c r="G5" i="64"/>
  <c r="AJ16" i="31"/>
  <c r="G4" i="64"/>
  <c r="L2" i="48"/>
  <c r="I2" i="48"/>
  <c r="AK16" i="31"/>
  <c r="AM16" i="31"/>
  <c r="AM13" i="31" s="1"/>
  <c r="U65" i="53"/>
  <c r="U69" i="53"/>
  <c r="U61" i="53"/>
  <c r="U59" i="53"/>
  <c r="U57" i="53"/>
  <c r="U70" i="53"/>
  <c r="U68" i="53"/>
  <c r="U60" i="53"/>
  <c r="U62" i="53"/>
  <c r="U63" i="53"/>
  <c r="U58" i="53"/>
  <c r="U66" i="53"/>
  <c r="U72" i="53"/>
  <c r="U67" i="53"/>
  <c r="U64" i="53"/>
  <c r="B25" i="70"/>
  <c r="C25" i="70" s="1"/>
  <c r="B21" i="70"/>
  <c r="C21" i="70" s="1"/>
  <c r="B17" i="70"/>
  <c r="C17" i="70" s="1"/>
  <c r="B13" i="70"/>
  <c r="C13" i="70" s="1"/>
  <c r="B9" i="70"/>
  <c r="C9" i="70" s="1"/>
  <c r="B18" i="70"/>
  <c r="C18" i="70" s="1"/>
  <c r="B24" i="70"/>
  <c r="C24" i="70" s="1"/>
  <c r="B20" i="70"/>
  <c r="C20" i="70" s="1"/>
  <c r="B16" i="70"/>
  <c r="C16" i="70" s="1"/>
  <c r="B12" i="70"/>
  <c r="C12" i="70" s="1"/>
  <c r="B8" i="70"/>
  <c r="C8" i="70" s="1"/>
  <c r="B10" i="70"/>
  <c r="C10" i="70" s="1"/>
  <c r="B23" i="70"/>
  <c r="C23" i="70" s="1"/>
  <c r="B19" i="70"/>
  <c r="C19" i="70" s="1"/>
  <c r="B15" i="70"/>
  <c r="C15" i="70" s="1"/>
  <c r="B11" i="70"/>
  <c r="C11" i="70" s="1"/>
  <c r="B26" i="70"/>
  <c r="C26" i="70" s="1"/>
  <c r="B22" i="70"/>
  <c r="C22" i="70" s="1"/>
  <c r="B14" i="70"/>
  <c r="C14" i="70" s="1"/>
  <c r="BW16" i="31"/>
  <c r="BS16" i="31"/>
  <c r="BO16" i="31"/>
  <c r="BK16" i="31"/>
  <c r="BG16" i="31"/>
  <c r="BV16" i="31"/>
  <c r="BR16" i="31"/>
  <c r="BN16" i="31"/>
  <c r="BJ16" i="31"/>
  <c r="BF16" i="31"/>
  <c r="BT16" i="31"/>
  <c r="BL16" i="31"/>
  <c r="BH16" i="31"/>
  <c r="BY16" i="31"/>
  <c r="BU16" i="31"/>
  <c r="BQ16" i="31"/>
  <c r="BM16" i="31"/>
  <c r="BI16" i="31"/>
  <c r="BX16" i="31"/>
  <c r="BP16" i="31"/>
  <c r="U71" i="53"/>
  <c r="V71" i="53"/>
  <c r="V47" i="53"/>
  <c r="B6" i="54"/>
  <c r="F6" i="54" s="1"/>
  <c r="W23" i="53"/>
  <c r="C7" i="54"/>
  <c r="G7" i="54" s="1"/>
  <c r="U47" i="53"/>
  <c r="B11" i="53"/>
  <c r="B19" i="53"/>
  <c r="B20" i="53"/>
  <c r="B24" i="53"/>
  <c r="B59" i="53"/>
  <c r="C59" i="53" s="1"/>
  <c r="B68" i="53"/>
  <c r="C68" i="53" s="1"/>
  <c r="B48" i="53"/>
  <c r="B44" i="53"/>
  <c r="B43" i="53"/>
  <c r="B72" i="53"/>
  <c r="C72" i="53" s="1"/>
  <c r="B67" i="53"/>
  <c r="C67" i="53" s="1"/>
  <c r="B35" i="53"/>
  <c r="B11" i="58"/>
  <c r="C6" i="58" s="1"/>
  <c r="V56" i="53"/>
  <c r="V66" i="53"/>
  <c r="V58" i="53"/>
  <c r="V65" i="53"/>
  <c r="V64" i="53"/>
  <c r="V69" i="53"/>
  <c r="V53" i="53"/>
  <c r="V57" i="53" s="1"/>
  <c r="V61" i="53"/>
  <c r="V72" i="53"/>
  <c r="V59" i="53"/>
  <c r="V68" i="53"/>
  <c r="V67" i="53"/>
  <c r="V63" i="53"/>
  <c r="V62" i="53"/>
  <c r="V60" i="53"/>
  <c r="V70" i="53"/>
  <c r="W14" i="53"/>
  <c r="W10" i="53"/>
  <c r="W9" i="53"/>
  <c r="D7" i="54"/>
  <c r="W12" i="53"/>
  <c r="W15" i="53"/>
  <c r="W11" i="53"/>
  <c r="W21" i="53"/>
  <c r="W20" i="53"/>
  <c r="W16" i="53"/>
  <c r="W13" i="53"/>
  <c r="W19" i="53"/>
  <c r="W24" i="53"/>
  <c r="W22" i="53"/>
  <c r="W18" i="53"/>
  <c r="W17" i="53"/>
  <c r="AD9" i="54"/>
  <c r="AE8" i="54"/>
  <c r="AG8" i="54" s="1"/>
  <c r="U34" i="53"/>
  <c r="U40" i="53"/>
  <c r="U33" i="53"/>
  <c r="U39" i="53"/>
  <c r="U36" i="53"/>
  <c r="U43" i="53"/>
  <c r="U44" i="53"/>
  <c r="U48" i="53"/>
  <c r="U41" i="53"/>
  <c r="U45" i="53"/>
  <c r="U42" i="53"/>
  <c r="U46" i="53"/>
  <c r="V48" i="53"/>
  <c r="V41" i="53"/>
  <c r="V38" i="53"/>
  <c r="V36" i="53"/>
  <c r="V32" i="53"/>
  <c r="V37" i="53"/>
  <c r="V43" i="53"/>
  <c r="V45" i="53"/>
  <c r="V33" i="53"/>
  <c r="V34" i="53"/>
  <c r="V39" i="53"/>
  <c r="V46" i="53"/>
  <c r="V44" i="53"/>
  <c r="V40" i="53"/>
  <c r="V35" i="53"/>
  <c r="V42" i="53"/>
  <c r="U38" i="53"/>
  <c r="U35" i="53"/>
  <c r="U37" i="53"/>
  <c r="AR19" i="43"/>
  <c r="C27" i="70" l="1"/>
  <c r="AE7" i="54"/>
  <c r="AG7" i="54" s="1"/>
  <c r="Y19" i="55"/>
  <c r="AB26" i="55"/>
  <c r="Y21" i="55"/>
  <c r="Z26" i="55"/>
  <c r="Y6" i="55"/>
  <c r="Y11" i="55"/>
  <c r="Y13" i="55"/>
  <c r="Y10" i="55"/>
  <c r="Y9" i="55"/>
  <c r="Y22" i="55"/>
  <c r="Y17" i="55"/>
  <c r="Y16" i="55"/>
  <c r="Y20" i="55"/>
  <c r="AA26" i="55"/>
  <c r="Y8" i="55"/>
  <c r="Y18" i="55"/>
  <c r="Y12" i="55"/>
  <c r="Y23" i="55"/>
  <c r="Y24" i="55"/>
  <c r="Y15" i="55"/>
  <c r="Y7" i="55"/>
  <c r="Y14" i="55"/>
  <c r="Y25" i="55"/>
  <c r="AK13" i="31"/>
  <c r="AA16" i="31" s="1"/>
  <c r="W63" i="53"/>
  <c r="W64" i="53"/>
  <c r="W67" i="53"/>
  <c r="W44" i="53"/>
  <c r="W72" i="53"/>
  <c r="W60" i="53"/>
  <c r="W62" i="53"/>
  <c r="W69" i="53"/>
  <c r="W68" i="53"/>
  <c r="W59" i="53"/>
  <c r="W70" i="53"/>
  <c r="W61" i="53"/>
  <c r="W71" i="53"/>
  <c r="B27" i="70"/>
  <c r="B29" i="70" s="1"/>
  <c r="BC16" i="31"/>
  <c r="AY16" i="31"/>
  <c r="BB16" i="31"/>
  <c r="AZ16" i="31"/>
  <c r="BE16" i="31"/>
  <c r="BA16" i="31"/>
  <c r="BD16" i="31"/>
  <c r="C6" i="54"/>
  <c r="G6" i="54" s="1"/>
  <c r="W47" i="53"/>
  <c r="W65" i="53"/>
  <c r="W57" i="53"/>
  <c r="W58" i="53"/>
  <c r="C7" i="58"/>
  <c r="W66" i="53"/>
  <c r="D16" i="54"/>
  <c r="C10" i="58"/>
  <c r="C8" i="58"/>
  <c r="C9" i="58"/>
  <c r="W39" i="53"/>
  <c r="W34" i="53"/>
  <c r="W42" i="53"/>
  <c r="W40" i="53"/>
  <c r="W33" i="53"/>
  <c r="W46" i="53"/>
  <c r="W35" i="53"/>
  <c r="D6" i="54"/>
  <c r="W45" i="53"/>
  <c r="W43" i="53"/>
  <c r="W37" i="53"/>
  <c r="AC11" i="54"/>
  <c r="W38" i="53"/>
  <c r="W41" i="53"/>
  <c r="W48" i="53"/>
  <c r="W36" i="53"/>
  <c r="AD10" i="54"/>
  <c r="AE9" i="54"/>
  <c r="AG9" i="54" s="1"/>
  <c r="S19" i="18"/>
  <c r="BJ19" i="43" s="1"/>
  <c r="AC12" i="54" l="1"/>
  <c r="X14" i="55"/>
  <c r="X18" i="55"/>
  <c r="X16" i="55"/>
  <c r="X10" i="55"/>
  <c r="X6" i="55"/>
  <c r="X7" i="55"/>
  <c r="X23" i="55"/>
  <c r="X17" i="55"/>
  <c r="X13" i="55"/>
  <c r="X19" i="55"/>
  <c r="X25" i="55"/>
  <c r="X15" i="55"/>
  <c r="X12" i="55"/>
  <c r="X22" i="55"/>
  <c r="X9" i="55"/>
  <c r="X11" i="55"/>
  <c r="X21" i="55"/>
  <c r="X24" i="55"/>
  <c r="X8" i="55"/>
  <c r="X20" i="55"/>
  <c r="B17" i="53"/>
  <c r="B65" i="53"/>
  <c r="C65" i="53" s="1"/>
  <c r="B41" i="53"/>
  <c r="AD11" i="54"/>
  <c r="AE10" i="54"/>
  <c r="AG10" i="54" s="1"/>
  <c r="AC13" i="54"/>
  <c r="T19" i="18"/>
  <c r="AD19" i="43" s="1"/>
  <c r="AC14" i="54" l="1"/>
  <c r="AD12" i="54"/>
  <c r="AE11" i="54"/>
  <c r="U19" i="18"/>
  <c r="AW19" i="43" s="1"/>
  <c r="DH16" i="31" s="1"/>
  <c r="B9" i="53" l="1"/>
  <c r="B33" i="53"/>
  <c r="B57" i="53"/>
  <c r="C57" i="53" s="1"/>
  <c r="AG11" i="54"/>
  <c r="AH11" i="54" s="1"/>
  <c r="AC15" i="54"/>
  <c r="AD13" i="54"/>
  <c r="AE12" i="54"/>
  <c r="AG12" i="54" s="1"/>
  <c r="V19" i="18"/>
  <c r="AK19" i="43" s="1"/>
  <c r="AC16" i="54" l="1"/>
  <c r="AC17" i="54" s="1"/>
  <c r="AD14" i="54"/>
  <c r="AE13" i="54"/>
  <c r="AG13" i="54" s="1"/>
  <c r="AH13" i="54" s="1"/>
  <c r="AH12" i="54"/>
  <c r="W19" i="18"/>
  <c r="AF19" i="43" s="1"/>
  <c r="M19" i="1" l="1"/>
  <c r="C1" i="17" s="1"/>
  <c r="N25" i="58"/>
  <c r="O25" i="58" s="1"/>
  <c r="N28" i="58"/>
  <c r="O28" i="58" s="1"/>
  <c r="N33" i="58"/>
  <c r="O33" i="58" s="1"/>
  <c r="N18" i="58"/>
  <c r="O18" i="58" s="1"/>
  <c r="N17" i="58"/>
  <c r="O17" i="58" s="1"/>
  <c r="N23" i="58"/>
  <c r="O23" i="58" s="1"/>
  <c r="N26" i="58"/>
  <c r="O26" i="58" s="1"/>
  <c r="N31" i="58"/>
  <c r="O31" i="58" s="1"/>
  <c r="N34" i="58"/>
  <c r="O34" i="58" s="1"/>
  <c r="N21" i="58"/>
  <c r="O21" i="58" s="1"/>
  <c r="N16" i="58"/>
  <c r="N27" i="58"/>
  <c r="O27" i="58" s="1"/>
  <c r="N20" i="58"/>
  <c r="O20" i="58" s="1"/>
  <c r="N24" i="58"/>
  <c r="O24" i="58" s="1"/>
  <c r="N29" i="58"/>
  <c r="O29" i="58" s="1"/>
  <c r="N32" i="58"/>
  <c r="O32" i="58" s="1"/>
  <c r="N35" i="58"/>
  <c r="O35" i="58" s="1"/>
  <c r="N19" i="58"/>
  <c r="O19" i="58" s="1"/>
  <c r="N22" i="58"/>
  <c r="O22" i="58" s="1"/>
  <c r="N30" i="58"/>
  <c r="O30" i="58" s="1"/>
  <c r="DK19" i="1"/>
  <c r="AI13" i="54"/>
  <c r="AI12" i="54"/>
  <c r="AD15" i="54"/>
  <c r="AE14" i="54"/>
  <c r="AG14" i="54" s="1"/>
  <c r="X19" i="18"/>
  <c r="O16" i="58" l="1"/>
  <c r="D16" i="58" s="1"/>
  <c r="B16" i="58"/>
  <c r="AQ19" i="43"/>
  <c r="Y19" i="18"/>
  <c r="B29" i="58"/>
  <c r="B26" i="58"/>
  <c r="B33" i="58"/>
  <c r="B19" i="58"/>
  <c r="B24" i="58"/>
  <c r="B21" i="58"/>
  <c r="B23" i="58"/>
  <c r="B28" i="58"/>
  <c r="B22" i="58"/>
  <c r="B35" i="58"/>
  <c r="B20" i="58"/>
  <c r="B34" i="58"/>
  <c r="B17" i="58"/>
  <c r="B25" i="58"/>
  <c r="B30" i="58"/>
  <c r="B32" i="58"/>
  <c r="B27" i="58"/>
  <c r="B31" i="58"/>
  <c r="B18" i="58"/>
  <c r="AE15" i="54"/>
  <c r="AG15" i="54" s="1"/>
  <c r="AD16" i="54"/>
  <c r="AH14" i="54"/>
  <c r="Z19" i="18" l="1"/>
  <c r="V19" i="43"/>
  <c r="D18" i="58"/>
  <c r="D29" i="58"/>
  <c r="D20" i="58"/>
  <c r="D23" i="58"/>
  <c r="D33" i="58"/>
  <c r="D27" i="58"/>
  <c r="D25" i="58"/>
  <c r="D35" i="58"/>
  <c r="D21" i="58"/>
  <c r="D26" i="58"/>
  <c r="D31" i="58"/>
  <c r="D32" i="58"/>
  <c r="D17" i="58"/>
  <c r="D22" i="58"/>
  <c r="D24" i="58"/>
  <c r="D30" i="58"/>
  <c r="D34" i="58"/>
  <c r="D28" i="58"/>
  <c r="D19" i="58"/>
  <c r="AE16" i="54"/>
  <c r="AG16" i="54" s="1"/>
  <c r="AH16" i="54" s="1"/>
  <c r="AD17" i="54"/>
  <c r="AI14" i="54"/>
  <c r="AH15" i="54"/>
  <c r="AI15" i="54" s="1"/>
  <c r="AH16" i="31" l="1"/>
  <c r="G8" i="55"/>
  <c r="AT19" i="1"/>
  <c r="W1" i="17" s="1"/>
  <c r="B32" i="53"/>
  <c r="AA19" i="18"/>
  <c r="EI19" i="43"/>
  <c r="AI16" i="54"/>
  <c r="AD18" i="54"/>
  <c r="AD19" i="54" s="1"/>
  <c r="AD20" i="54" s="1"/>
  <c r="AD21" i="54" s="1"/>
  <c r="AD22" i="54" s="1"/>
  <c r="AD23" i="54" s="1"/>
  <c r="AD24" i="54" s="1"/>
  <c r="AD25" i="54" s="1"/>
  <c r="AD26" i="54" s="1"/>
  <c r="AD27" i="54" s="1"/>
  <c r="AD28" i="54" s="1"/>
  <c r="AD29" i="54" s="1"/>
  <c r="AD30" i="54" s="1"/>
  <c r="AD31" i="54" s="1"/>
  <c r="AD32" i="54" s="1"/>
  <c r="AD33" i="54" s="1"/>
  <c r="AD34" i="54" s="1"/>
  <c r="AD35" i="54" s="1"/>
  <c r="AD36" i="54" s="1"/>
  <c r="AD37" i="54" s="1"/>
  <c r="AK9" i="54"/>
  <c r="C16" i="54" l="1"/>
  <c r="G16" i="54" s="1"/>
  <c r="C48" i="53"/>
  <c r="C43" i="53"/>
  <c r="C35" i="53"/>
  <c r="C44" i="53"/>
  <c r="C41" i="53"/>
  <c r="C33" i="53"/>
  <c r="AB19" i="18"/>
  <c r="EG19" i="43"/>
  <c r="AC19" i="18" l="1"/>
  <c r="EH19" i="43"/>
  <c r="AD19" i="18" l="1"/>
  <c r="AE19" i="18" s="1"/>
  <c r="AF19" i="18" s="1"/>
  <c r="AG19" i="18" s="1"/>
  <c r="AL19" i="43"/>
  <c r="AO12" i="54"/>
  <c r="AJ14" i="54"/>
  <c r="AK11" i="54"/>
  <c r="AH19" i="18" l="1"/>
  <c r="AU19" i="43"/>
  <c r="N42" i="58" l="1"/>
  <c r="N43" i="58"/>
  <c r="N44" i="58"/>
  <c r="N40" i="58"/>
  <c r="O40" i="58" s="1"/>
  <c r="N41" i="58"/>
  <c r="N45" i="58"/>
  <c r="CQ16" i="31"/>
  <c r="CM16" i="31"/>
  <c r="CP16" i="31"/>
  <c r="CN16" i="31"/>
  <c r="CO16" i="31"/>
  <c r="CR16" i="31"/>
  <c r="O42" i="58"/>
  <c r="AI19" i="18"/>
  <c r="D19" i="43"/>
  <c r="B45" i="58" l="1"/>
  <c r="B40" i="58"/>
  <c r="B44" i="58"/>
  <c r="B43" i="58"/>
  <c r="B41" i="58"/>
  <c r="B42" i="58"/>
  <c r="O41" i="58"/>
  <c r="O43" i="58"/>
  <c r="AJ19" i="18"/>
  <c r="AN19" i="43"/>
  <c r="EL19" i="43" s="1"/>
  <c r="AK19" i="18" l="1"/>
  <c r="AP19" i="43"/>
  <c r="F19" i="1"/>
  <c r="D1" i="17" s="1"/>
  <c r="AL19" i="18" l="1"/>
  <c r="AG19" i="43"/>
  <c r="BE19" i="1"/>
  <c r="AW1" i="17" s="1"/>
  <c r="AM19" i="18" l="1"/>
  <c r="Y19" i="43"/>
  <c r="K19" i="1"/>
  <c r="E1" i="17" s="1"/>
  <c r="AN19" i="18" l="1"/>
  <c r="W19" i="43"/>
  <c r="J19" i="1"/>
  <c r="F1" i="17" s="1"/>
  <c r="AU19" i="1" l="1"/>
  <c r="X1" i="17" s="1"/>
  <c r="AI16" i="31"/>
  <c r="AO19" i="18"/>
  <c r="AA19" i="43"/>
  <c r="N19" i="1" s="1"/>
  <c r="AH1" i="17" s="1"/>
  <c r="AP19" i="18" l="1"/>
  <c r="S19" i="43"/>
  <c r="BA19" i="1" s="1"/>
  <c r="AQ19" i="18" l="1"/>
  <c r="AR19" i="18" s="1"/>
  <c r="J19" i="43"/>
  <c r="R19" i="1" l="1"/>
  <c r="I1" i="17" s="1"/>
  <c r="DC16" i="31"/>
  <c r="CY16" i="31"/>
  <c r="CU16" i="31"/>
  <c r="DF16" i="31"/>
  <c r="DB16" i="31"/>
  <c r="CX16" i="31"/>
  <c r="CT16" i="31"/>
  <c r="CZ16" i="31"/>
  <c r="CV16" i="31"/>
  <c r="DE16" i="31"/>
  <c r="DA16" i="31"/>
  <c r="CW16" i="31"/>
  <c r="CS16" i="31"/>
  <c r="DD16" i="31"/>
  <c r="AS19" i="18"/>
  <c r="AH19" i="43"/>
  <c r="L19" i="1"/>
  <c r="G1" i="17" s="1"/>
  <c r="O44" i="58" l="1"/>
  <c r="O45" i="58"/>
  <c r="AT19" i="18"/>
  <c r="AX19" i="43"/>
  <c r="D45" i="58" l="1"/>
  <c r="D41" i="58"/>
  <c r="D42" i="58"/>
  <c r="D43" i="58"/>
  <c r="D44" i="58"/>
  <c r="D40" i="58"/>
  <c r="DI16" i="31"/>
  <c r="D11" i="55"/>
  <c r="AZ22" i="55"/>
  <c r="BA24" i="55"/>
  <c r="AT24" i="55"/>
  <c r="AV12" i="55"/>
  <c r="L17" i="55"/>
  <c r="AG25" i="55"/>
  <c r="AL25" i="55" s="1"/>
  <c r="AE14" i="55"/>
  <c r="AP13" i="55"/>
  <c r="AG12" i="55"/>
  <c r="AL12" i="55" s="1"/>
  <c r="AQ21" i="55"/>
  <c r="B19" i="55"/>
  <c r="AY24" i="55"/>
  <c r="AG20" i="55"/>
  <c r="AL20" i="55" s="1"/>
  <c r="BA9" i="55"/>
  <c r="BA18" i="55"/>
  <c r="AP12" i="55"/>
  <c r="AT13" i="55"/>
  <c r="L19" i="55"/>
  <c r="I18" i="55"/>
  <c r="AZ21" i="55"/>
  <c r="BA15" i="55"/>
  <c r="AG22" i="55"/>
  <c r="AL22" i="55" s="1"/>
  <c r="B17" i="55"/>
  <c r="AF12" i="55"/>
  <c r="AK12" i="55" s="1"/>
  <c r="AQ16" i="55"/>
  <c r="AG13" i="55"/>
  <c r="AL13" i="55" s="1"/>
  <c r="AF20" i="55"/>
  <c r="AK20" i="55" s="1"/>
  <c r="AP11" i="55"/>
  <c r="AO13" i="55"/>
  <c r="AE22" i="55"/>
  <c r="AE16" i="55"/>
  <c r="AE23" i="55"/>
  <c r="AF7" i="55"/>
  <c r="AK7" i="55" s="1"/>
  <c r="AQ23" i="55"/>
  <c r="AQ11" i="55"/>
  <c r="AQ12" i="55"/>
  <c r="AE10" i="55"/>
  <c r="BA21" i="55"/>
  <c r="AQ14" i="55"/>
  <c r="AY13" i="55"/>
  <c r="AE15" i="55"/>
  <c r="AV20" i="55"/>
  <c r="AT8" i="55"/>
  <c r="BA14" i="55"/>
  <c r="AT17" i="55"/>
  <c r="AF6" i="55"/>
  <c r="AY25" i="55"/>
  <c r="AP24" i="55"/>
  <c r="AP14" i="55"/>
  <c r="AG21" i="55"/>
  <c r="AL21" i="55" s="1"/>
  <c r="AE9" i="55"/>
  <c r="AP9" i="55"/>
  <c r="AG6" i="55"/>
  <c r="AP15" i="55"/>
  <c r="AT19" i="55"/>
  <c r="AU14" i="55"/>
  <c r="AG23" i="55"/>
  <c r="AL23" i="55" s="1"/>
  <c r="AU7" i="55"/>
  <c r="AZ9" i="55"/>
  <c r="I19" i="55"/>
  <c r="AQ13" i="55"/>
  <c r="AQ19" i="55"/>
  <c r="AQ8" i="55"/>
  <c r="AO20" i="55"/>
  <c r="AU21" i="55"/>
  <c r="AU13" i="55"/>
  <c r="AZ25" i="55"/>
  <c r="AT21" i="55"/>
  <c r="AT22" i="55"/>
  <c r="AU22" i="55"/>
  <c r="AY6" i="55"/>
  <c r="AU11" i="55"/>
  <c r="AT20" i="55"/>
  <c r="AV22" i="55"/>
  <c r="AO12" i="55"/>
  <c r="AP6" i="55"/>
  <c r="AP20" i="55"/>
  <c r="AO18" i="55"/>
  <c r="AG17" i="55"/>
  <c r="AL17" i="55" s="1"/>
  <c r="AG8" i="55"/>
  <c r="AL8" i="55" s="1"/>
  <c r="AU10" i="55"/>
  <c r="D13" i="55"/>
  <c r="AT16" i="55"/>
  <c r="AZ12" i="55"/>
  <c r="AF11" i="55"/>
  <c r="AK11" i="55" s="1"/>
  <c r="L18" i="55"/>
  <c r="AT9" i="55"/>
  <c r="AT18" i="55"/>
  <c r="AU8" i="55"/>
  <c r="AY12" i="55"/>
  <c r="AO9" i="55"/>
  <c r="AE17" i="55"/>
  <c r="AQ20" i="55"/>
  <c r="AO22" i="55"/>
  <c r="AG15" i="55"/>
  <c r="AL15" i="55" s="1"/>
  <c r="AP25" i="55"/>
  <c r="J11" i="55"/>
  <c r="AF16" i="55"/>
  <c r="AK16" i="55" s="1"/>
  <c r="AO23" i="55"/>
  <c r="AO16" i="55"/>
  <c r="AE12" i="55"/>
  <c r="AO11" i="55"/>
  <c r="AV14" i="55"/>
  <c r="AZ24" i="55"/>
  <c r="AQ22" i="55"/>
  <c r="AG11" i="55"/>
  <c r="AL11" i="55" s="1"/>
  <c r="AQ18" i="55"/>
  <c r="AU15" i="55"/>
  <c r="AV6" i="55"/>
  <c r="AU23" i="55"/>
  <c r="AZ11" i="55"/>
  <c r="AY7" i="55"/>
  <c r="AU25" i="55"/>
  <c r="BA25" i="55"/>
  <c r="AZ20" i="55"/>
  <c r="AU20" i="55"/>
  <c r="AQ7" i="55"/>
  <c r="AE24" i="55"/>
  <c r="AO8" i="55"/>
  <c r="AO10" i="55"/>
  <c r="AP16" i="55"/>
  <c r="AG16" i="55"/>
  <c r="AL16" i="55" s="1"/>
  <c r="AY15" i="55"/>
  <c r="J12" i="55"/>
  <c r="AV21" i="55"/>
  <c r="AF21" i="55"/>
  <c r="AK21" i="55" s="1"/>
  <c r="AV19" i="55"/>
  <c r="AV17" i="55"/>
  <c r="AU6" i="55"/>
  <c r="AQ6" i="55"/>
  <c r="AE19" i="55"/>
  <c r="AT23" i="55"/>
  <c r="AF24" i="55"/>
  <c r="AK24" i="55" s="1"/>
  <c r="BA16" i="55"/>
  <c r="BA17" i="55"/>
  <c r="AU9" i="55"/>
  <c r="AT14" i="55"/>
  <c r="AY8" i="55"/>
  <c r="AT7" i="55"/>
  <c r="AZ7" i="55"/>
  <c r="AU12" i="55"/>
  <c r="AU24" i="55"/>
  <c r="AV18" i="55"/>
  <c r="AO15" i="55"/>
  <c r="AP23" i="55"/>
  <c r="AE18" i="55"/>
  <c r="AG24" i="55"/>
  <c r="AL24" i="55" s="1"/>
  <c r="AF8" i="55"/>
  <c r="AK8" i="55" s="1"/>
  <c r="AZ18" i="55"/>
  <c r="AV7" i="55"/>
  <c r="BA8" i="55"/>
  <c r="B18" i="55"/>
  <c r="AF22" i="55"/>
  <c r="AK22" i="55" s="1"/>
  <c r="AU17" i="55"/>
  <c r="AZ8" i="55"/>
  <c r="AV10" i="55"/>
  <c r="AV11" i="55"/>
  <c r="AO19" i="55"/>
  <c r="AE6" i="55"/>
  <c r="AG19" i="55"/>
  <c r="AL19" i="55" s="1"/>
  <c r="AO6" i="55"/>
  <c r="AE13" i="55"/>
  <c r="AQ15" i="55"/>
  <c r="J13" i="55"/>
  <c r="AF9" i="55"/>
  <c r="AK9" i="55" s="1"/>
  <c r="AE25" i="55"/>
  <c r="AV25" i="55"/>
  <c r="AF10" i="55"/>
  <c r="AK10" i="55" s="1"/>
  <c r="AU16" i="55"/>
  <c r="AV23" i="55"/>
  <c r="AY20" i="55"/>
  <c r="AT15" i="55"/>
  <c r="BA12" i="55"/>
  <c r="AT11" i="55"/>
  <c r="AF18" i="55"/>
  <c r="AK18" i="55" s="1"/>
  <c r="AT6" i="55"/>
  <c r="AP18" i="55"/>
  <c r="AV13" i="55"/>
  <c r="AY18" i="55"/>
  <c r="AZ13" i="55"/>
  <c r="AV9" i="55"/>
  <c r="BA11" i="55"/>
  <c r="AV15" i="55"/>
  <c r="BA10" i="55"/>
  <c r="AZ6" i="55"/>
  <c r="AT10" i="55"/>
  <c r="AV24" i="55"/>
  <c r="AE11" i="55"/>
  <c r="AF17" i="55"/>
  <c r="AK17" i="55" s="1"/>
  <c r="AF19" i="55"/>
  <c r="AK19" i="55" s="1"/>
  <c r="AF13" i="55"/>
  <c r="AK13" i="55" s="1"/>
  <c r="AO7" i="55"/>
  <c r="AT12" i="55"/>
  <c r="AQ17" i="55"/>
  <c r="AY16" i="55"/>
  <c r="BA19" i="55"/>
  <c r="AT25" i="55"/>
  <c r="AZ15" i="55"/>
  <c r="AY23" i="55"/>
  <c r="BA7" i="55"/>
  <c r="AZ17" i="55"/>
  <c r="BA6" i="55"/>
  <c r="AY11" i="55"/>
  <c r="AE20" i="55"/>
  <c r="AF14" i="55"/>
  <c r="AK14" i="55" s="1"/>
  <c r="AQ10" i="55"/>
  <c r="AP21" i="55"/>
  <c r="BE21" i="55" s="1"/>
  <c r="AP10" i="55"/>
  <c r="AO21" i="55"/>
  <c r="AO24" i="55"/>
  <c r="AZ10" i="55"/>
  <c r="AY17" i="55"/>
  <c r="BA13" i="55"/>
  <c r="BA22" i="55"/>
  <c r="AZ19" i="55"/>
  <c r="BA23" i="55"/>
  <c r="AZ16" i="55"/>
  <c r="AY14" i="55"/>
  <c r="AP17" i="55"/>
  <c r="BE17" i="55" s="1"/>
  <c r="AG18" i="55"/>
  <c r="AL18" i="55" s="1"/>
  <c r="AQ25" i="55"/>
  <c r="AE7" i="55"/>
  <c r="AE21" i="55"/>
  <c r="AF15" i="55"/>
  <c r="AK15" i="55" s="1"/>
  <c r="AY10" i="55"/>
  <c r="AQ24" i="55"/>
  <c r="AU18" i="55"/>
  <c r="AO25" i="55"/>
  <c r="AV8" i="55"/>
  <c r="AZ14" i="55"/>
  <c r="AY19" i="55"/>
  <c r="AY21" i="55"/>
  <c r="AV16" i="55"/>
  <c r="AZ23" i="55"/>
  <c r="AP22" i="55"/>
  <c r="AO17" i="55"/>
  <c r="AG10" i="55"/>
  <c r="AL10" i="55" s="1"/>
  <c r="AQ9" i="55"/>
  <c r="AO14" i="55"/>
  <c r="AE8" i="55"/>
  <c r="AP8" i="55"/>
  <c r="AG9" i="55"/>
  <c r="AL9" i="55" s="1"/>
  <c r="AY9" i="55"/>
  <c r="AX9" i="55" s="1"/>
  <c r="AP7" i="55"/>
  <c r="BE7" i="55" s="1"/>
  <c r="I17" i="55"/>
  <c r="AF23" i="55"/>
  <c r="AK23" i="55" s="1"/>
  <c r="AP19" i="55"/>
  <c r="BA20" i="55"/>
  <c r="AU19" i="55"/>
  <c r="AY22" i="55"/>
  <c r="AG7" i="55"/>
  <c r="AL7" i="55" s="1"/>
  <c r="AF25" i="55"/>
  <c r="AK25" i="55" s="1"/>
  <c r="AG14" i="55"/>
  <c r="AL14" i="55" s="1"/>
  <c r="AU19" i="18"/>
  <c r="AM19" i="43" s="1"/>
  <c r="AI19" i="43"/>
  <c r="B10" i="53"/>
  <c r="B58" i="53"/>
  <c r="C58" i="53" s="1"/>
  <c r="B34" i="53"/>
  <c r="C34" i="53" s="1"/>
  <c r="AV19" i="18"/>
  <c r="O19" i="55" l="1"/>
  <c r="Q19" i="55" s="1"/>
  <c r="AX17" i="55"/>
  <c r="E19" i="55"/>
  <c r="BE8" i="55"/>
  <c r="BE19" i="55"/>
  <c r="BF17" i="55"/>
  <c r="BF25" i="55"/>
  <c r="AS25" i="55"/>
  <c r="O18" i="55"/>
  <c r="Q18" i="55" s="1"/>
  <c r="AX11" i="55"/>
  <c r="AX16" i="55"/>
  <c r="AS7" i="55"/>
  <c r="BE22" i="55"/>
  <c r="AX22" i="55"/>
  <c r="AS14" i="55"/>
  <c r="AX21" i="55"/>
  <c r="BF9" i="55"/>
  <c r="BF10" i="55"/>
  <c r="AS11" i="55"/>
  <c r="AX18" i="55"/>
  <c r="BF15" i="55"/>
  <c r="AS10" i="55"/>
  <c r="AS12" i="55"/>
  <c r="BE25" i="55"/>
  <c r="AX19" i="55"/>
  <c r="AD7" i="55"/>
  <c r="AJ7" i="55"/>
  <c r="AI7" i="55" s="1"/>
  <c r="BF7" i="55"/>
  <c r="AV26" i="55"/>
  <c r="AD12" i="55"/>
  <c r="AJ12" i="55"/>
  <c r="AI12" i="55" s="1"/>
  <c r="BF20" i="55"/>
  <c r="BE20" i="55"/>
  <c r="AS22" i="55"/>
  <c r="BF13" i="55"/>
  <c r="AG26" i="55"/>
  <c r="AL6" i="55"/>
  <c r="AL26" i="55" s="1"/>
  <c r="AS17" i="55"/>
  <c r="AD22" i="55"/>
  <c r="AJ22" i="55"/>
  <c r="AI22" i="55" s="1"/>
  <c r="BD17" i="55"/>
  <c r="AN17" i="55"/>
  <c r="BD25" i="55"/>
  <c r="AN25" i="55"/>
  <c r="AD20" i="55"/>
  <c r="AJ20" i="55"/>
  <c r="AI20" i="55" s="1"/>
  <c r="AD11" i="55"/>
  <c r="AJ11" i="55"/>
  <c r="AI11" i="55" s="1"/>
  <c r="AS15" i="55"/>
  <c r="AS23" i="55"/>
  <c r="AN16" i="55"/>
  <c r="BD16" i="55"/>
  <c r="AD17" i="55"/>
  <c r="AJ17" i="55"/>
  <c r="AI17" i="55" s="1"/>
  <c r="BE6" i="55"/>
  <c r="AP26" i="55"/>
  <c r="AS21" i="55"/>
  <c r="BE9" i="55"/>
  <c r="AD10" i="55"/>
  <c r="AJ10" i="55"/>
  <c r="AI10" i="55" s="1"/>
  <c r="AN13" i="55"/>
  <c r="BD13" i="55"/>
  <c r="AX20" i="55"/>
  <c r="AD19" i="55"/>
  <c r="AJ19" i="55"/>
  <c r="AI19" i="55" s="1"/>
  <c r="AX15" i="55"/>
  <c r="BF18" i="55"/>
  <c r="AN23" i="55"/>
  <c r="BD23" i="55"/>
  <c r="AN9" i="55"/>
  <c r="BD9" i="55"/>
  <c r="AS16" i="55"/>
  <c r="BD12" i="55"/>
  <c r="AN12" i="55"/>
  <c r="AD9" i="55"/>
  <c r="AJ9" i="55"/>
  <c r="AI9" i="55" s="1"/>
  <c r="AS8" i="55"/>
  <c r="BF12" i="55"/>
  <c r="BE11" i="55"/>
  <c r="AX24" i="55"/>
  <c r="BF24" i="55"/>
  <c r="AX14" i="55"/>
  <c r="BD24" i="55"/>
  <c r="AN24" i="55"/>
  <c r="BA26" i="55"/>
  <c r="AD13" i="55"/>
  <c r="AJ13" i="55"/>
  <c r="AI13" i="55" s="1"/>
  <c r="AD18" i="55"/>
  <c r="AJ18" i="55"/>
  <c r="AI18" i="55" s="1"/>
  <c r="AX8" i="55"/>
  <c r="BF6" i="55"/>
  <c r="AQ26" i="55"/>
  <c r="AX12" i="55"/>
  <c r="BF11" i="55"/>
  <c r="AS24" i="55"/>
  <c r="AX10" i="55"/>
  <c r="BD21" i="55"/>
  <c r="AN21" i="55"/>
  <c r="AZ26" i="55"/>
  <c r="BE18" i="55"/>
  <c r="AO26" i="55"/>
  <c r="AN6" i="55"/>
  <c r="BD6" i="55"/>
  <c r="BE23" i="55"/>
  <c r="AU26" i="55"/>
  <c r="BE16" i="55"/>
  <c r="BF22" i="55"/>
  <c r="O17" i="55"/>
  <c r="Q17" i="55" s="1"/>
  <c r="AS20" i="55"/>
  <c r="BE14" i="55"/>
  <c r="BF23" i="55"/>
  <c r="BF21" i="55"/>
  <c r="BE10" i="55"/>
  <c r="AN7" i="55"/>
  <c r="BD7" i="55"/>
  <c r="AS6" i="55"/>
  <c r="AT26" i="55"/>
  <c r="AN15" i="55"/>
  <c r="BD15" i="55"/>
  <c r="AN10" i="55"/>
  <c r="BD10" i="55"/>
  <c r="AX7" i="55"/>
  <c r="AS18" i="55"/>
  <c r="AN20" i="55"/>
  <c r="BD20" i="55"/>
  <c r="BE24" i="55"/>
  <c r="AD15" i="55"/>
  <c r="AJ15" i="55"/>
  <c r="AI15" i="55" s="1"/>
  <c r="BF16" i="55"/>
  <c r="AS13" i="55"/>
  <c r="AD21" i="55"/>
  <c r="AJ21" i="55"/>
  <c r="AI21" i="55" s="1"/>
  <c r="AX23" i="55"/>
  <c r="AD6" i="55"/>
  <c r="AE26" i="55"/>
  <c r="AJ6" i="55"/>
  <c r="BD8" i="55"/>
  <c r="AN8" i="55"/>
  <c r="AS9" i="55"/>
  <c r="AY26" i="55"/>
  <c r="AX6" i="55"/>
  <c r="BF8" i="55"/>
  <c r="AS19" i="55"/>
  <c r="AX25" i="55"/>
  <c r="AX13" i="55"/>
  <c r="AD23" i="55"/>
  <c r="AJ23" i="55"/>
  <c r="AI23" i="55" s="1"/>
  <c r="BE12" i="55"/>
  <c r="BE13" i="55"/>
  <c r="E17" i="55"/>
  <c r="AD8" i="55"/>
  <c r="AJ8" i="55"/>
  <c r="AI8" i="55" s="1"/>
  <c r="AN14" i="55"/>
  <c r="BD14" i="55"/>
  <c r="AD25" i="55"/>
  <c r="AJ25" i="55"/>
  <c r="AI25" i="55" s="1"/>
  <c r="AN19" i="55"/>
  <c r="BD19" i="55"/>
  <c r="AD24" i="55"/>
  <c r="AJ24" i="55"/>
  <c r="AI24" i="55" s="1"/>
  <c r="AN11" i="55"/>
  <c r="BD11" i="55"/>
  <c r="AN22" i="55"/>
  <c r="BD22" i="55"/>
  <c r="BD18" i="55"/>
  <c r="AN18" i="55"/>
  <c r="BF19" i="55"/>
  <c r="BE15" i="55"/>
  <c r="AF26" i="55"/>
  <c r="AK6" i="55"/>
  <c r="AK26" i="55" s="1"/>
  <c r="BF14" i="55"/>
  <c r="AD16" i="55"/>
  <c r="AJ16" i="55"/>
  <c r="AI16" i="55" s="1"/>
  <c r="AD14" i="55"/>
  <c r="AJ14" i="55"/>
  <c r="AI14" i="55" s="1"/>
  <c r="AW19" i="18"/>
  <c r="AX19" i="18" s="1"/>
  <c r="BF19" i="43" s="1"/>
  <c r="DQ16" i="31" s="1"/>
  <c r="ET19" i="43"/>
  <c r="BC17" i="55" l="1"/>
  <c r="AY19" i="18"/>
  <c r="BC10" i="55"/>
  <c r="BC7" i="55"/>
  <c r="BC18" i="55"/>
  <c r="BC11" i="55"/>
  <c r="AR11" i="55"/>
  <c r="BC9" i="55"/>
  <c r="AW6" i="55"/>
  <c r="BC20" i="55"/>
  <c r="AM22" i="55"/>
  <c r="AC25" i="55"/>
  <c r="AR9" i="55"/>
  <c r="BC25" i="55"/>
  <c r="BC8" i="55"/>
  <c r="BC21" i="55"/>
  <c r="AW23" i="55"/>
  <c r="AM15" i="55"/>
  <c r="AW8" i="55"/>
  <c r="BC24" i="55"/>
  <c r="AM23" i="55"/>
  <c r="AW16" i="55"/>
  <c r="BE26" i="55"/>
  <c r="AC11" i="55"/>
  <c r="BD26" i="55"/>
  <c r="BC6" i="55"/>
  <c r="AW10" i="55"/>
  <c r="AW14" i="55"/>
  <c r="AC9" i="55"/>
  <c r="BC13" i="55"/>
  <c r="AC22" i="55"/>
  <c r="AM11" i="55"/>
  <c r="AM20" i="55"/>
  <c r="AR6" i="55"/>
  <c r="AR20" i="55"/>
  <c r="AM6" i="55"/>
  <c r="AW22" i="55"/>
  <c r="AC18" i="55"/>
  <c r="AM12" i="55"/>
  <c r="AW15" i="55"/>
  <c r="AM13" i="55"/>
  <c r="AC17" i="55"/>
  <c r="AC20" i="55"/>
  <c r="AR17" i="55"/>
  <c r="AC12" i="55"/>
  <c r="AM8" i="55"/>
  <c r="AW19" i="55"/>
  <c r="AR18" i="55"/>
  <c r="AR24" i="55"/>
  <c r="AW11" i="55"/>
  <c r="BC12" i="55"/>
  <c r="BC16" i="55"/>
  <c r="AW17" i="55"/>
  <c r="BC14" i="55"/>
  <c r="AC24" i="55"/>
  <c r="AR13" i="55"/>
  <c r="AW7" i="55"/>
  <c r="AM7" i="55"/>
  <c r="AC13" i="55"/>
  <c r="AW24" i="55"/>
  <c r="AR16" i="55"/>
  <c r="AC19" i="55"/>
  <c r="AC10" i="55"/>
  <c r="AM16" i="55"/>
  <c r="AM25" i="55"/>
  <c r="AW13" i="55"/>
  <c r="AM18" i="55"/>
  <c r="BC19" i="55"/>
  <c r="AC8" i="55"/>
  <c r="AW25" i="55"/>
  <c r="AI6" i="55"/>
  <c r="AH6" i="55" s="1"/>
  <c r="AJ26" i="55"/>
  <c r="AW12" i="55"/>
  <c r="AR10" i="55"/>
  <c r="AR7" i="55"/>
  <c r="AR23" i="55"/>
  <c r="AR25" i="55"/>
  <c r="AC21" i="55"/>
  <c r="AM14" i="55"/>
  <c r="AM19" i="55"/>
  <c r="AW9" i="55"/>
  <c r="AR19" i="55"/>
  <c r="AM10" i="55"/>
  <c r="AW21" i="55"/>
  <c r="AR12" i="55"/>
  <c r="AM9" i="55"/>
  <c r="AW20" i="55"/>
  <c r="AR21" i="55"/>
  <c r="AR15" i="55"/>
  <c r="AM17" i="55"/>
  <c r="AR22" i="55"/>
  <c r="AC23" i="55"/>
  <c r="AC14" i="55"/>
  <c r="AC16" i="55"/>
  <c r="BC22" i="55"/>
  <c r="AC6" i="55"/>
  <c r="AC15" i="55"/>
  <c r="BC15" i="55"/>
  <c r="AR14" i="55"/>
  <c r="AM21" i="55"/>
  <c r="BF26" i="55"/>
  <c r="AM24" i="55"/>
  <c r="AR8" i="55"/>
  <c r="BC23" i="55"/>
  <c r="AW18" i="55"/>
  <c r="AC7" i="55"/>
  <c r="B15" i="53"/>
  <c r="B63" i="53"/>
  <c r="C63" i="53" s="1"/>
  <c r="B39" i="53"/>
  <c r="C39" i="53" s="1"/>
  <c r="AZ19" i="18"/>
  <c r="BZ19" i="43"/>
  <c r="AH15" i="55" l="1"/>
  <c r="BB23" i="55"/>
  <c r="BB21" i="55"/>
  <c r="BB8" i="55"/>
  <c r="AH25" i="55"/>
  <c r="AH14" i="55"/>
  <c r="BB7" i="55"/>
  <c r="L31" i="55"/>
  <c r="BB11" i="55"/>
  <c r="BB13" i="55"/>
  <c r="AH21" i="55"/>
  <c r="K29" i="55"/>
  <c r="BB10" i="55"/>
  <c r="I32" i="55"/>
  <c r="I26" i="55"/>
  <c r="I35" i="55"/>
  <c r="I36" i="55"/>
  <c r="H34" i="55"/>
  <c r="I25" i="55"/>
  <c r="I30" i="55"/>
  <c r="H24" i="55"/>
  <c r="I27" i="55"/>
  <c r="I37" i="55"/>
  <c r="I31" i="55"/>
  <c r="H29" i="55"/>
  <c r="AH22" i="55"/>
  <c r="L32" i="55"/>
  <c r="BB16" i="55"/>
  <c r="L30" i="55"/>
  <c r="B35" i="55"/>
  <c r="B30" i="55"/>
  <c r="B27" i="55"/>
  <c r="B32" i="55"/>
  <c r="B37" i="55"/>
  <c r="B26" i="55"/>
  <c r="B36" i="55"/>
  <c r="A34" i="55"/>
  <c r="B25" i="55"/>
  <c r="B31" i="55"/>
  <c r="A24" i="55"/>
  <c r="A29" i="55"/>
  <c r="BB22" i="55"/>
  <c r="BB25" i="55"/>
  <c r="AH10" i="55"/>
  <c r="AH18" i="55"/>
  <c r="K24" i="55"/>
  <c r="AH19" i="55"/>
  <c r="AH12" i="55"/>
  <c r="L26" i="55"/>
  <c r="L35" i="55"/>
  <c r="BB18" i="55"/>
  <c r="BB12" i="55"/>
  <c r="AH23" i="55"/>
  <c r="BB6" i="55"/>
  <c r="L37" i="55"/>
  <c r="L27" i="55"/>
  <c r="BB17" i="55"/>
  <c r="AH16" i="55"/>
  <c r="BB9" i="55"/>
  <c r="BB19" i="55"/>
  <c r="AH24" i="55"/>
  <c r="AH20" i="55"/>
  <c r="AH9" i="55"/>
  <c r="L25" i="55"/>
  <c r="K34" i="55"/>
  <c r="AH11" i="55"/>
  <c r="BB15" i="55"/>
  <c r="AH7" i="55"/>
  <c r="AH8" i="55"/>
  <c r="BB14" i="55"/>
  <c r="AH13" i="55"/>
  <c r="AH17" i="55"/>
  <c r="BB20" i="55"/>
  <c r="BB24" i="55"/>
  <c r="L36" i="55"/>
  <c r="BA19" i="18"/>
  <c r="AY19" i="43"/>
  <c r="DJ16" i="31" s="1"/>
  <c r="E30" i="55" l="1"/>
  <c r="D24" i="55"/>
  <c r="E25" i="55"/>
  <c r="E26" i="55"/>
  <c r="E27" i="55"/>
  <c r="D34" i="55"/>
  <c r="E37" i="55"/>
  <c r="E36" i="55"/>
  <c r="E31" i="55"/>
  <c r="D29" i="55"/>
  <c r="E32" i="55"/>
  <c r="O25" i="55"/>
  <c r="N24" i="55"/>
  <c r="N29" i="55"/>
  <c r="O36" i="55"/>
  <c r="O30" i="55"/>
  <c r="O32" i="55"/>
  <c r="O31" i="55"/>
  <c r="O27" i="55"/>
  <c r="O26" i="55"/>
  <c r="N34" i="55"/>
  <c r="O37" i="55"/>
  <c r="O35" i="55"/>
  <c r="E35" i="55"/>
  <c r="AB19" i="1"/>
  <c r="O1" i="17" s="1"/>
  <c r="B12" i="53"/>
  <c r="B36" i="53"/>
  <c r="C36" i="53" s="1"/>
  <c r="B60" i="53"/>
  <c r="C60" i="53" s="1"/>
  <c r="BB19" i="18"/>
  <c r="BK19" i="43"/>
  <c r="C19" i="1"/>
  <c r="AA1" i="17" s="1"/>
  <c r="BC19" i="18" l="1"/>
  <c r="BA19" i="43"/>
  <c r="DL16" i="31" s="1"/>
  <c r="AC19" i="1" l="1"/>
  <c r="AN1" i="17" s="1"/>
  <c r="B22" i="53"/>
  <c r="B46" i="53"/>
  <c r="C46" i="53" s="1"/>
  <c r="B70" i="53"/>
  <c r="C70" i="53" s="1"/>
  <c r="BD19" i="18"/>
  <c r="BO19" i="43"/>
  <c r="BE19" i="18" l="1"/>
  <c r="BH19" i="43"/>
  <c r="BF19" i="18" l="1"/>
  <c r="BL19" i="43"/>
  <c r="BG19" i="18" l="1"/>
  <c r="BM19" i="43"/>
  <c r="BH19" i="18" l="1"/>
  <c r="BN19" i="43"/>
  <c r="BI19" i="18" l="1"/>
  <c r="BQ19" i="43"/>
  <c r="BJ19" i="18" l="1"/>
  <c r="BP19" i="43"/>
  <c r="BK19" i="18" l="1"/>
  <c r="BR19" i="43"/>
  <c r="G19" i="1" s="1"/>
  <c r="AD1" i="17" l="1"/>
  <c r="BL19" i="18"/>
  <c r="CA19" i="43"/>
  <c r="O19" i="43" s="1"/>
  <c r="BM19" i="18" l="1"/>
  <c r="BC19" i="43"/>
  <c r="DN16" i="31" s="1"/>
  <c r="B18" i="53" l="1"/>
  <c r="B42" i="53"/>
  <c r="C42" i="53" s="1"/>
  <c r="B66" i="53"/>
  <c r="C66" i="53" s="1"/>
  <c r="BN19" i="18"/>
  <c r="BV19" i="43"/>
  <c r="BO19" i="18" l="1"/>
  <c r="BS19" i="43"/>
  <c r="BP19" i="18" l="1"/>
  <c r="BT19" i="43"/>
  <c r="BQ19" i="18" l="1"/>
  <c r="CB19" i="43"/>
  <c r="BR19" i="18" l="1"/>
  <c r="BX19" i="43"/>
  <c r="BS19" i="18" l="1"/>
  <c r="BW19" i="43"/>
  <c r="BT19" i="18" l="1"/>
  <c r="BY19" i="43"/>
  <c r="H19" i="1" l="1"/>
  <c r="AE1" i="17" s="1"/>
  <c r="BU19" i="18"/>
  <c r="BU19" i="43"/>
  <c r="BV19" i="18" l="1"/>
  <c r="BB19" i="43"/>
  <c r="DM16" i="31" s="1"/>
  <c r="BW19" i="18" l="1"/>
  <c r="BE19" i="43"/>
  <c r="DP16" i="31" s="1"/>
  <c r="B16" i="53" l="1"/>
  <c r="B40" i="53"/>
  <c r="C40" i="53" s="1"/>
  <c r="B64" i="53"/>
  <c r="C64" i="53" s="1"/>
  <c r="BX19" i="18"/>
  <c r="BD19" i="43"/>
  <c r="DO16" i="31" s="1"/>
  <c r="B14" i="53" l="1"/>
  <c r="B62" i="53"/>
  <c r="C62" i="53" s="1"/>
  <c r="B38" i="53"/>
  <c r="C38" i="53" s="1"/>
  <c r="BY19" i="18"/>
  <c r="U19" i="43"/>
  <c r="G7" i="55" l="1"/>
  <c r="D12" i="55"/>
  <c r="E18" i="55" s="1"/>
  <c r="AG16" i="31"/>
  <c r="AF16" i="31"/>
  <c r="AS19" i="1"/>
  <c r="V1" i="17" s="1"/>
  <c r="B8" i="53"/>
  <c r="BZ19" i="18"/>
  <c r="BI19" i="43"/>
  <c r="C14" i="53" l="1"/>
  <c r="B16" i="54"/>
  <c r="C20" i="53"/>
  <c r="C11" i="53"/>
  <c r="C19" i="53"/>
  <c r="C24" i="53"/>
  <c r="C17" i="53"/>
  <c r="C9" i="53"/>
  <c r="C10" i="53"/>
  <c r="C15" i="53"/>
  <c r="C12" i="53"/>
  <c r="C22" i="53"/>
  <c r="C18" i="53"/>
  <c r="C16" i="53"/>
  <c r="CA19" i="18"/>
  <c r="BG19" i="43"/>
  <c r="B21" i="53" l="1"/>
  <c r="C21" i="53" s="1"/>
  <c r="B69" i="53"/>
  <c r="C69" i="53" s="1"/>
  <c r="B45" i="53"/>
  <c r="C45" i="53" s="1"/>
  <c r="F16" i="54"/>
  <c r="D18" i="54"/>
  <c r="AE17" i="54"/>
  <c r="AG17" i="54" s="1"/>
  <c r="AH17" i="54" s="1"/>
  <c r="CB19" i="18"/>
  <c r="AJ19" i="43"/>
  <c r="AO7" i="54" l="1"/>
  <c r="AN18" i="54" s="1"/>
  <c r="AL5" i="54"/>
  <c r="AM18" i="54"/>
  <c r="AL18" i="54"/>
  <c r="AI17" i="54"/>
  <c r="D24" i="54" s="1"/>
  <c r="AK18" i="54"/>
  <c r="AL6" i="54"/>
  <c r="AJ18" i="54"/>
  <c r="D25" i="54"/>
  <c r="AJ6" i="54"/>
  <c r="AJ5" i="54"/>
  <c r="CC19" i="18"/>
  <c r="AT19" i="43" s="1"/>
  <c r="X19" i="43"/>
  <c r="AV19" i="1" s="1"/>
  <c r="Y1" i="17" s="1"/>
  <c r="N57" i="58" l="1"/>
  <c r="N51" i="58"/>
  <c r="N56" i="58"/>
  <c r="N53" i="58"/>
  <c r="N50" i="58"/>
  <c r="N54" i="58"/>
  <c r="N52" i="58"/>
  <c r="N55" i="58"/>
  <c r="CC16" i="31"/>
  <c r="CE16" i="31"/>
  <c r="CA16" i="31"/>
  <c r="CD16" i="31"/>
  <c r="BZ16" i="31"/>
  <c r="CF16" i="31"/>
  <c r="CB16" i="31"/>
  <c r="CG16" i="31"/>
  <c r="E26" i="54"/>
  <c r="AK19" i="54"/>
  <c r="AK20" i="54" s="1"/>
  <c r="AK21" i="54" s="1"/>
  <c r="AK22" i="54" s="1"/>
  <c r="AK23" i="54" s="1"/>
  <c r="AK24" i="54" s="1"/>
  <c r="AK25" i="54" s="1"/>
  <c r="AK26" i="54" s="1"/>
  <c r="AK27" i="54" s="1"/>
  <c r="AK28" i="54" s="1"/>
  <c r="AK29" i="54" s="1"/>
  <c r="AK30" i="54" s="1"/>
  <c r="AK31" i="54" s="1"/>
  <c r="AK32" i="54" s="1"/>
  <c r="AK33" i="54" s="1"/>
  <c r="AK34" i="54" s="1"/>
  <c r="AK35" i="54" s="1"/>
  <c r="AK36" i="54" s="1"/>
  <c r="AK37" i="54" s="1"/>
  <c r="E27" i="54" s="1"/>
  <c r="AO9" i="54" s="1"/>
  <c r="AJ19" i="54"/>
  <c r="AJ20" i="54" s="1"/>
  <c r="AJ21" i="54" s="1"/>
  <c r="AJ22" i="54" s="1"/>
  <c r="AJ23" i="54" s="1"/>
  <c r="AJ24" i="54" s="1"/>
  <c r="AJ25" i="54" s="1"/>
  <c r="AJ26" i="54" s="1"/>
  <c r="AJ27" i="54" s="1"/>
  <c r="AJ28" i="54" s="1"/>
  <c r="AJ29" i="54" s="1"/>
  <c r="AJ30" i="54" s="1"/>
  <c r="AJ31" i="54" s="1"/>
  <c r="AJ32" i="54" s="1"/>
  <c r="AJ33" i="54" s="1"/>
  <c r="AJ34" i="54" s="1"/>
  <c r="AJ35" i="54" s="1"/>
  <c r="AJ36" i="54" s="1"/>
  <c r="AJ37" i="54" s="1"/>
  <c r="D27" i="54" s="1"/>
  <c r="AO8" i="54" s="1"/>
  <c r="D26" i="54"/>
  <c r="AL19" i="54"/>
  <c r="AL20" i="54" s="1"/>
  <c r="AL21" i="54" s="1"/>
  <c r="AL22" i="54" s="1"/>
  <c r="AL23" i="54" s="1"/>
  <c r="AL24" i="54" s="1"/>
  <c r="AL25" i="54" s="1"/>
  <c r="AL26" i="54" s="1"/>
  <c r="AL27" i="54" s="1"/>
  <c r="AL28" i="54" s="1"/>
  <c r="AL29" i="54" s="1"/>
  <c r="AL30" i="54" s="1"/>
  <c r="AL31" i="54" s="1"/>
  <c r="AL32" i="54" s="1"/>
  <c r="AL33" i="54" s="1"/>
  <c r="AL34" i="54" s="1"/>
  <c r="AL35" i="54" s="1"/>
  <c r="AL36" i="54" s="1"/>
  <c r="AL37" i="54" s="1"/>
  <c r="F27" i="54" s="1"/>
  <c r="AO10" i="54" s="1"/>
  <c r="F26" i="54"/>
  <c r="AM19" i="54"/>
  <c r="AM20" i="54" s="1"/>
  <c r="AM21" i="54" s="1"/>
  <c r="AM22" i="54" s="1"/>
  <c r="AM23" i="54" s="1"/>
  <c r="AM24" i="54" s="1"/>
  <c r="AM25" i="54" s="1"/>
  <c r="AM26" i="54" s="1"/>
  <c r="AM27" i="54" s="1"/>
  <c r="AM28" i="54" s="1"/>
  <c r="AM29" i="54" s="1"/>
  <c r="AM30" i="54" s="1"/>
  <c r="AM31" i="54" s="1"/>
  <c r="AM32" i="54" s="1"/>
  <c r="AM33" i="54" s="1"/>
  <c r="AM34" i="54" s="1"/>
  <c r="AM35" i="54" s="1"/>
  <c r="AM36" i="54" s="1"/>
  <c r="AM37" i="54" s="1"/>
  <c r="G27" i="54" s="1"/>
  <c r="AO11" i="54" s="1"/>
  <c r="G26" i="54"/>
  <c r="AH20" i="54"/>
  <c r="AH24" i="54"/>
  <c r="AH28" i="54"/>
  <c r="AH32" i="54"/>
  <c r="AH36" i="54"/>
  <c r="AH22" i="54"/>
  <c r="AH23" i="54"/>
  <c r="AH31" i="54"/>
  <c r="AH19" i="54"/>
  <c r="AH38" i="54"/>
  <c r="AH25" i="54"/>
  <c r="AH29" i="54"/>
  <c r="AH33" i="54"/>
  <c r="AH37" i="54"/>
  <c r="AH26" i="54"/>
  <c r="AH34" i="54"/>
  <c r="AH18" i="54"/>
  <c r="AI18" i="54" s="1"/>
  <c r="AH27" i="54"/>
  <c r="AH21" i="54"/>
  <c r="AH30" i="54"/>
  <c r="AH35" i="54"/>
  <c r="AN19" i="54"/>
  <c r="AN20" i="54" s="1"/>
  <c r="AN21" i="54" s="1"/>
  <c r="AN22" i="54" s="1"/>
  <c r="AN23" i="54" s="1"/>
  <c r="AN24" i="54" s="1"/>
  <c r="AN25" i="54" s="1"/>
  <c r="AN26" i="54" s="1"/>
  <c r="AN27" i="54" s="1"/>
  <c r="AN28" i="54" s="1"/>
  <c r="AN29" i="54" s="1"/>
  <c r="AN30" i="54" s="1"/>
  <c r="AN31" i="54" s="1"/>
  <c r="AN32" i="54" s="1"/>
  <c r="AN33" i="54" s="1"/>
  <c r="AN34" i="54" s="1"/>
  <c r="AN35" i="54" s="1"/>
  <c r="AN36" i="54" s="1"/>
  <c r="H26" i="54"/>
  <c r="AG20" i="54"/>
  <c r="AG23" i="54"/>
  <c r="AG27" i="54"/>
  <c r="AG31" i="54"/>
  <c r="AG35" i="54"/>
  <c r="AG18" i="54"/>
  <c r="AG24" i="54"/>
  <c r="AG28" i="54"/>
  <c r="AG32" i="54"/>
  <c r="AG36" i="54"/>
  <c r="AG38" i="54"/>
  <c r="AG21" i="54"/>
  <c r="AG25" i="54"/>
  <c r="AG29" i="54"/>
  <c r="AG33" i="54"/>
  <c r="AG37" i="54"/>
  <c r="AG19" i="54"/>
  <c r="AG22" i="54"/>
  <c r="AG26" i="54"/>
  <c r="AG30" i="54"/>
  <c r="AG34" i="54"/>
  <c r="CD19" i="18"/>
  <c r="AI30" i="54" l="1"/>
  <c r="O54" i="58"/>
  <c r="B54" i="58"/>
  <c r="B50" i="58"/>
  <c r="O50" i="58"/>
  <c r="B53" i="58"/>
  <c r="O53" i="58"/>
  <c r="B56" i="58"/>
  <c r="O56" i="58"/>
  <c r="B52" i="58"/>
  <c r="O52" i="58"/>
  <c r="O51" i="58"/>
  <c r="B51" i="58"/>
  <c r="O55" i="58"/>
  <c r="B55" i="58"/>
  <c r="O57" i="58"/>
  <c r="B57" i="58"/>
  <c r="AI21" i="54"/>
  <c r="AI26" i="54"/>
  <c r="AI35" i="54"/>
  <c r="AI33" i="54"/>
  <c r="AI37" i="54"/>
  <c r="AI25" i="54"/>
  <c r="AI23" i="54"/>
  <c r="AI28" i="54"/>
  <c r="AI24" i="54"/>
  <c r="AI19" i="54"/>
  <c r="AI36" i="54"/>
  <c r="AI20" i="54"/>
  <c r="AI34" i="54"/>
  <c r="AI29" i="54"/>
  <c r="AI31" i="54"/>
  <c r="AI32" i="54"/>
  <c r="AI27" i="54"/>
  <c r="AI22" i="54"/>
  <c r="Q19" i="1"/>
  <c r="H1" i="17" s="1"/>
  <c r="CE19" i="18"/>
  <c r="AV19" i="43"/>
  <c r="D57" i="58" l="1"/>
  <c r="D56" i="58"/>
  <c r="D53" i="58"/>
  <c r="D51" i="58"/>
  <c r="D50" i="58"/>
  <c r="D52" i="58"/>
  <c r="D55" i="58"/>
  <c r="D54" i="58"/>
  <c r="AR19" i="1"/>
  <c r="U1" i="17" s="1"/>
  <c r="DG16" i="31"/>
  <c r="CI16" i="31"/>
  <c r="CL16" i="31"/>
  <c r="CH16" i="31"/>
  <c r="CK16" i="31"/>
  <c r="CJ16" i="31"/>
  <c r="CF19" i="18"/>
  <c r="EK19" i="43" s="1"/>
  <c r="EJ19" i="43"/>
  <c r="CG19" i="18" l="1"/>
  <c r="CH19" i="18" s="1"/>
  <c r="CI19" i="18" l="1"/>
  <c r="M19" i="43"/>
  <c r="CJ19" i="18" l="1"/>
  <c r="CW19" i="43"/>
  <c r="Y19" i="1" s="1"/>
  <c r="AK1" i="17" s="1"/>
  <c r="CK19" i="18" l="1"/>
  <c r="CC19" i="43"/>
  <c r="CL19" i="18" l="1"/>
  <c r="CN19" i="43"/>
  <c r="S19" i="1" l="1"/>
  <c r="J1" i="17" s="1"/>
  <c r="EA16" i="31"/>
  <c r="DW16" i="31"/>
  <c r="DS16" i="31"/>
  <c r="DZ16" i="31"/>
  <c r="DV16" i="31"/>
  <c r="DR16" i="31"/>
  <c r="DT16" i="31"/>
  <c r="DY16" i="31"/>
  <c r="DU16" i="31"/>
  <c r="DX16" i="31"/>
  <c r="CM19" i="18"/>
  <c r="CE19" i="43"/>
  <c r="W19" i="1" s="1"/>
  <c r="L1" i="17" l="1"/>
  <c r="DA19" i="1"/>
  <c r="CN19" i="18"/>
  <c r="CY19" i="43" s="1"/>
  <c r="CF19" i="43"/>
  <c r="X19" i="1" s="1"/>
  <c r="M1" i="17" l="1"/>
  <c r="DC19" i="1"/>
  <c r="CO19" i="18"/>
  <c r="CP19" i="18" l="1"/>
  <c r="CQ19" i="18" s="1"/>
  <c r="CX19" i="43"/>
  <c r="Z19" i="1" s="1"/>
  <c r="AL1" i="17" s="1"/>
  <c r="CR19" i="18" l="1"/>
  <c r="CS19" i="18" s="1"/>
  <c r="AZ19" i="43"/>
  <c r="DK16" i="31" s="1"/>
  <c r="B23" i="53" l="1"/>
  <c r="C23" i="53" s="1"/>
  <c r="B47" i="53"/>
  <c r="C47" i="53" s="1"/>
  <c r="B71" i="53"/>
  <c r="C71" i="53" s="1"/>
  <c r="CT19" i="18"/>
  <c r="CV19" i="43"/>
  <c r="CU19" i="18" l="1"/>
  <c r="CV19" i="18" l="1"/>
  <c r="CO19" i="43"/>
  <c r="CW19" i="18" l="1"/>
  <c r="CX19" i="18" s="1"/>
  <c r="CL19" i="43" s="1"/>
  <c r="CD19" i="43"/>
  <c r="CY19" i="18" l="1"/>
  <c r="AE19" i="1"/>
  <c r="AP1" i="17" s="1"/>
  <c r="CZ19" i="18" l="1"/>
  <c r="CP19" i="43" s="1"/>
  <c r="CM19" i="43"/>
  <c r="T19" i="1" s="1"/>
  <c r="K1" i="17" s="1"/>
  <c r="DA19" i="18" l="1"/>
  <c r="CQ19" i="43" s="1"/>
  <c r="DB19" i="18" l="1"/>
  <c r="CR19" i="43" s="1"/>
  <c r="DC19" i="18" l="1"/>
  <c r="CS19" i="43" s="1"/>
  <c r="DD19" i="18" l="1"/>
  <c r="CT19" i="43" s="1"/>
  <c r="DE19" i="18" l="1"/>
  <c r="CU19" i="43" s="1"/>
  <c r="DF19" i="18" l="1"/>
  <c r="DG19" i="18" l="1"/>
  <c r="CJ19" i="43"/>
  <c r="DH19" i="18" l="1"/>
  <c r="CH19" i="43"/>
  <c r="AA19" i="1" s="1"/>
  <c r="AM1" i="17" s="1"/>
  <c r="DI19" i="18" l="1"/>
  <c r="CG19" i="43"/>
  <c r="DJ19" i="18" l="1"/>
  <c r="CI19" i="43"/>
  <c r="V19" i="1" s="1"/>
  <c r="AJ1" i="17" s="1"/>
  <c r="DK19" i="18" l="1"/>
  <c r="CK19" i="43"/>
  <c r="AD19" i="1" s="1"/>
  <c r="AO1" i="17" s="1"/>
  <c r="DL19" i="18" l="1"/>
  <c r="DR19" i="43"/>
  <c r="AI19" i="1" s="1"/>
  <c r="AR1" i="17" s="1"/>
  <c r="DM19" i="18" l="1"/>
  <c r="DJ19" i="43"/>
  <c r="AF19" i="1" s="1"/>
  <c r="P1" i="17" s="1"/>
  <c r="DN19" i="18" l="1"/>
  <c r="DA19" i="43"/>
  <c r="AK19" i="1" s="1"/>
  <c r="R1" i="17" l="1"/>
  <c r="DB19" i="1"/>
  <c r="DO19" i="18"/>
  <c r="DB19" i="43"/>
  <c r="AL19" i="1" s="1"/>
  <c r="S1" i="17" l="1"/>
  <c r="DD19" i="1"/>
  <c r="DP19" i="18"/>
  <c r="DT19" i="43"/>
  <c r="DQ19" i="18" l="1"/>
  <c r="DS19" i="43"/>
  <c r="AJ19" i="1" s="1"/>
  <c r="AS1" i="17" s="1"/>
  <c r="DR19" i="18" l="1"/>
  <c r="DQ19" i="43"/>
  <c r="DS19" i="18" l="1"/>
  <c r="CZ19" i="43"/>
  <c r="DT19" i="18" l="1"/>
  <c r="DH19" i="43"/>
  <c r="DU19" i="18" l="1"/>
  <c r="DK19" i="43" s="1"/>
  <c r="DI19" i="43"/>
  <c r="AG19" i="1" s="1"/>
  <c r="Q1" i="17" s="1"/>
  <c r="DV19" i="18" l="1"/>
  <c r="DL19" i="43" s="1"/>
  <c r="DW19" i="18" l="1"/>
  <c r="DM19" i="43" s="1"/>
  <c r="DX19" i="18" l="1"/>
  <c r="DN19" i="43" s="1"/>
  <c r="DY19" i="18" l="1"/>
  <c r="DO19" i="43" s="1"/>
  <c r="DZ19" i="18" l="1"/>
  <c r="DP19" i="43" s="1"/>
  <c r="EA19" i="18" l="1"/>
  <c r="EB19" i="18" l="1"/>
  <c r="DF19" i="43"/>
  <c r="EC19" i="18" l="1"/>
  <c r="DD19" i="43"/>
  <c r="ED19" i="18" l="1"/>
  <c r="DC19" i="43"/>
  <c r="EE19" i="18" l="1"/>
  <c r="DE19" i="43"/>
  <c r="AH19" i="1" s="1"/>
  <c r="AQ1" i="17" s="1"/>
  <c r="EF19" i="18" l="1"/>
  <c r="DG19" i="43"/>
  <c r="EG19" i="18" l="1"/>
  <c r="DZ19" i="43"/>
  <c r="DU19" i="43" l="1"/>
  <c r="EH19" i="18"/>
  <c r="DY19" i="43" l="1"/>
  <c r="EI19" i="18"/>
  <c r="EA19" i="43" l="1"/>
  <c r="EJ19" i="18"/>
  <c r="EB19" i="43" s="1"/>
  <c r="EK19" i="18" l="1"/>
  <c r="EC19" i="43" s="1"/>
  <c r="EL19" i="18" l="1"/>
  <c r="ED19" i="43" s="1"/>
  <c r="EM19" i="18" l="1"/>
  <c r="EE19" i="43" s="1"/>
  <c r="EN19" i="18" l="1"/>
  <c r="EF19" i="43" s="1"/>
  <c r="EO19" i="18" l="1"/>
  <c r="EP19" i="18" l="1"/>
  <c r="DX19" i="43"/>
  <c r="EQ19" i="18" l="1"/>
  <c r="DV19" i="43"/>
  <c r="ER19" i="18" l="1"/>
  <c r="DW19" i="43"/>
  <c r="ES19" i="18" l="1"/>
  <c r="AS19" i="43" s="1"/>
  <c r="P19" i="1" s="1"/>
  <c r="AI1" i="17" s="1"/>
  <c r="Z19" i="43"/>
  <c r="B13" i="53" l="1"/>
  <c r="C13" i="53" s="1"/>
  <c r="B61" i="53"/>
  <c r="C61" i="53" s="1"/>
  <c r="B37" i="53"/>
  <c r="C37" i="5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jhughes3</author>
    <author>JHH</author>
  </authors>
  <commentList>
    <comment ref="F7" authorId="0" shapeId="0" xr:uid="{00000000-0006-0000-0000-000001000000}">
      <text>
        <r>
          <rPr>
            <b/>
            <sz val="8"/>
            <color indexed="81"/>
            <rFont val="Tahoma"/>
            <family val="2"/>
          </rPr>
          <t>If the Master Document File Name or File Path is Left BLANK, the File will NOT be Saved After the Data Has Been Run and Must be Saved Manually!</t>
        </r>
      </text>
    </comment>
    <comment ref="F8" authorId="0" shapeId="0" xr:uid="{00000000-0006-0000-0000-000002000000}">
      <text>
        <r>
          <rPr>
            <b/>
            <sz val="8"/>
            <color indexed="81"/>
            <rFont val="Tahoma"/>
            <family val="2"/>
          </rPr>
          <t>If the Master Document File Name or File Path is Left BLANK, the File will NOT be Saved After the Data Has Been Run and Must be Saved Manually!</t>
        </r>
      </text>
    </comment>
    <comment ref="A17" authorId="1" shapeId="0" xr:uid="{00000000-0006-0000-0000-000003000000}">
      <text>
        <r>
          <rPr>
            <b/>
            <sz val="8"/>
            <color indexed="81"/>
            <rFont val="Tahoma"/>
            <family val="2"/>
          </rPr>
          <t>Mark with an "X" to run data for specified section</t>
        </r>
      </text>
    </comment>
    <comment ref="B17" authorId="1" shapeId="0" xr:uid="{00000000-0006-0000-0000-000004000000}">
      <text>
        <r>
          <rPr>
            <b/>
            <sz val="8"/>
            <color indexed="81"/>
            <rFont val="Tahoma"/>
            <family val="2"/>
          </rPr>
          <t>Mark with an "X" to create a CAM Tool file for each specified section</t>
        </r>
      </text>
    </comment>
    <comment ref="C17" authorId="1" shapeId="0" xr:uid="{00000000-0006-0000-0000-000005000000}">
      <text>
        <r>
          <rPr>
            <b/>
            <sz val="8"/>
            <color indexed="81"/>
            <rFont val="Tahoma"/>
            <family val="2"/>
          </rPr>
          <t>Do not leave blank.
Can have duplicates if all part of one project.
Ideal format is Numerical.</t>
        </r>
      </text>
    </comment>
    <comment ref="D17" authorId="1" shapeId="0" xr:uid="{00000000-0006-0000-0000-000006000000}">
      <text>
        <r>
          <rPr>
            <b/>
            <sz val="8"/>
            <color indexed="81"/>
            <rFont val="Tahoma"/>
            <family val="2"/>
          </rPr>
          <t>Mark with an "S" for Section or "I" for Intersection</t>
        </r>
      </text>
    </comment>
    <comment ref="E17" authorId="1" shapeId="0" xr:uid="{00000000-0006-0000-0000-000007000000}">
      <text>
        <r>
          <rPr>
            <b/>
            <sz val="8"/>
            <color indexed="81"/>
            <rFont val="Tahoma"/>
            <family val="2"/>
          </rPr>
          <t xml:space="preserve">Mark with: 
Rural Non-Freeway
Urban Non-Freeway
Freeway
</t>
        </r>
      </text>
    </comment>
    <comment ref="F17" authorId="0" shapeId="0" xr:uid="{00000000-0006-0000-0000-000008000000}">
      <text>
        <r>
          <rPr>
            <b/>
            <sz val="8"/>
            <color indexed="81"/>
            <rFont val="Tahoma"/>
            <family val="2"/>
          </rPr>
          <t xml:space="preserve">Enter NLFID:
Ex:   SFRAUS00040**C </t>
        </r>
      </text>
    </comment>
    <comment ref="K17" authorId="0" shapeId="0" xr:uid="{00000000-0006-0000-0000-000009000000}">
      <text>
        <r>
          <rPr>
            <b/>
            <sz val="8"/>
            <color indexed="81"/>
            <rFont val="Tahoma"/>
            <family val="2"/>
          </rPr>
          <t>If "Intersection" is selected, then the section length will be converted to 1-mile for project calculation purposes.  Cells highlighted in Yellow have the adjusted intersection length.</t>
        </r>
      </text>
    </comment>
    <comment ref="L17" authorId="1" shapeId="0" xr:uid="{00000000-0006-0000-0000-00000A000000}">
      <text>
        <r>
          <rPr>
            <b/>
            <sz val="8"/>
            <color indexed="81"/>
            <rFont val="Tahoma"/>
            <family val="2"/>
          </rPr>
          <t>Make sure folder exists and a "\" is put at the end of the folder name!
Ex:   C:\Temp\</t>
        </r>
      </text>
    </comment>
    <comment ref="N17" authorId="0" shapeId="0" xr:uid="{00000000-0006-0000-0000-00000B000000}">
      <text>
        <r>
          <rPr>
            <b/>
            <sz val="8"/>
            <color indexed="81"/>
            <rFont val="Tahoma"/>
            <family val="2"/>
          </rPr>
          <t>Summary crash data will not run if "U" is specified - typically not all of the unlogged crashes will be associated with the desired section.</t>
        </r>
      </text>
    </comment>
    <comment ref="O17" authorId="0" shapeId="0" xr:uid="{00000000-0006-0000-0000-00000C000000}">
      <text>
        <r>
          <rPr>
            <b/>
            <sz val="8"/>
            <color indexed="81"/>
            <rFont val="Tahoma"/>
            <family val="2"/>
          </rPr>
          <t>If left blank, all crash data will be run on the section (Default).  
If "A" is entered, animal crashes will be excluded from the data. 
If "W" is entered, work zone crashes will be excluded from the data. 
If "B" is entered, both animal and work zone crashes will be excluded from the data.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Derek Troyer</author>
  </authors>
  <commentList>
    <comment ref="D5" authorId="0" shapeId="0" xr:uid="{00000000-0006-0000-1000-000001000000}">
      <text>
        <r>
          <rPr>
            <sz val="9"/>
            <color indexed="81"/>
            <rFont val="Tahoma"/>
            <family val="2"/>
          </rPr>
          <t xml:space="preserve">This is an approximation based on the data available in GCAT.
</t>
        </r>
      </text>
    </comment>
    <comment ref="AI10" authorId="0" shapeId="0" xr:uid="{00000000-0006-0000-1000-000002000000}">
      <text>
        <r>
          <rPr>
            <b/>
            <sz val="9"/>
            <color indexed="81"/>
            <rFont val="Tahoma"/>
            <family val="2"/>
          </rPr>
          <t xml:space="preserve">Actual Average reduction per year. This takes the percentage that the 5 year rolling average decreased from the previous year.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Derek Troyer</author>
  </authors>
  <commentList>
    <comment ref="V5" authorId="0" shapeId="0" xr:uid="{00000000-0006-0000-1100-000001000000}">
      <text>
        <r>
          <rPr>
            <b/>
            <sz val="9"/>
            <color indexed="81"/>
            <rFont val="Tahoma"/>
            <family val="2"/>
          </rPr>
          <t>Derek Troyer:</t>
        </r>
        <r>
          <rPr>
            <sz val="9"/>
            <color indexed="81"/>
            <rFont val="Tahoma"/>
            <family val="2"/>
          </rPr>
          <t xml:space="preserve">
Based on 2016 crash type frequency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jgnatows</author>
    <author>Michael Mcneill</author>
  </authors>
  <commentList>
    <comment ref="E19" authorId="0" shapeId="0" xr:uid="{00000000-0006-0000-1200-000001000000}">
      <text>
        <r>
          <rPr>
            <b/>
            <sz val="8"/>
            <color indexed="81"/>
            <rFont val="Tahoma"/>
            <family val="2"/>
          </rPr>
          <t>Straight Line Mileage -- traditional ODOT log point system</t>
        </r>
        <r>
          <rPr>
            <sz val="8"/>
            <color indexed="81"/>
            <rFont val="Tahoma"/>
            <family val="2"/>
          </rPr>
          <t xml:space="preserve">
</t>
        </r>
      </text>
    </comment>
    <comment ref="F19" authorId="0" shapeId="0" xr:uid="{00000000-0006-0000-1200-000002000000}">
      <text>
        <r>
          <rPr>
            <b/>
            <sz val="8"/>
            <color indexed="81"/>
            <rFont val="Tahoma"/>
            <family val="2"/>
          </rPr>
          <t xml:space="preserve">Date the crash occurred (YYYYMMDD)
</t>
        </r>
      </text>
    </comment>
    <comment ref="G19" authorId="0" shapeId="0" xr:uid="{00000000-0006-0000-1200-000003000000}">
      <text>
        <r>
          <rPr>
            <b/>
            <sz val="8"/>
            <color indexed="81"/>
            <rFont val="Tahoma"/>
            <family val="2"/>
          </rPr>
          <t>ODOT derived street name or route number that the crash occurred on.</t>
        </r>
      </text>
    </comment>
    <comment ref="H19" authorId="0" shapeId="0" xr:uid="{00000000-0006-0000-1200-000004000000}">
      <text>
        <r>
          <rPr>
            <b/>
            <sz val="8"/>
            <color indexed="81"/>
            <rFont val="Tahoma"/>
            <family val="2"/>
          </rPr>
          <t>This is the name of the ODOT derived reference used to identify the crash location.</t>
        </r>
      </text>
    </comment>
    <comment ref="I19" authorId="0" shapeId="0" xr:uid="{00000000-0006-0000-1200-000005000000}">
      <text>
        <r>
          <rPr>
            <b/>
            <sz val="8"/>
            <color indexed="81"/>
            <rFont val="Tahoma"/>
            <family val="2"/>
          </rPr>
          <t xml:space="preserve">The distance between the reference given and the crash location, in miles.  This is a number with two implied decimals.  Example: 1 is 0.01 miles.
</t>
        </r>
      </text>
    </comment>
    <comment ref="K19" authorId="0" shapeId="0" xr:uid="{00000000-0006-0000-1200-000006000000}">
      <text>
        <r>
          <rPr>
            <b/>
            <sz val="8"/>
            <color indexed="81"/>
            <rFont val="Tahoma"/>
            <family val="2"/>
          </rPr>
          <t>The hour of the day the crash occurred in 24 hour Military Time.</t>
        </r>
      </text>
    </comment>
    <comment ref="L19" authorId="0" shapeId="0" xr:uid="{00000000-0006-0000-1200-000007000000}">
      <text>
        <r>
          <rPr>
            <b/>
            <sz val="8"/>
            <color indexed="81"/>
            <rFont val="Tahoma"/>
            <family val="2"/>
          </rPr>
          <t>0 = LIGHT-NOT-STATED,                                        1= DAYLIGHT, 
2 = DAWN,                                        3 = DUSK, 
4 = DARK-NO-LIGHTS,                              5 = DARK-LIGHTED, 
6 = OTHER.</t>
        </r>
      </text>
    </comment>
    <comment ref="M19" authorId="0" shapeId="0" xr:uid="{00000000-0006-0000-1200-000008000000}">
      <text>
        <r>
          <rPr>
            <b/>
            <sz val="8"/>
            <color indexed="81"/>
            <rFont val="Tahoma"/>
            <family val="2"/>
          </rPr>
          <t xml:space="preserve">ODOT Derived Type of Crash Values:
ANGLE                         
ANIMAL                        
BACKING                       
FIXED OBJECT                  
HEAD ON                       
LEFT TURN                     
NOT STATED                    
OTHER NON-COLLISION           
OTHER NON-VEHICLE             
OTHER OBJECT                  
OVERTURNING                   
PARKED VEHICLE                
PEDALCYCLES                   
PEDESTRIAN                    
REAR END                      
SIDESWIPE - MEETING           
SIDESWIPE - PASSING           
TRAIN                         </t>
        </r>
      </text>
    </comment>
    <comment ref="N19" authorId="0" shapeId="0" xr:uid="{00000000-0006-0000-1200-000009000000}">
      <text>
        <r>
          <rPr>
            <b/>
            <sz val="8"/>
            <color indexed="81"/>
            <rFont val="Tahoma"/>
            <family val="2"/>
          </rPr>
          <t xml:space="preserve">The number of units involved in the crash as reported by the enforcement officer. 
</t>
        </r>
      </text>
    </comment>
    <comment ref="O19" authorId="0" shapeId="0" xr:uid="{00000000-0006-0000-1200-00000A000000}">
      <text>
        <r>
          <rPr>
            <b/>
            <sz val="8"/>
            <color indexed="81"/>
            <rFont val="Tahoma"/>
            <family val="2"/>
          </rPr>
          <t>1  Fatal crash
2  Injury crash
3  Property damage only crash</t>
        </r>
        <r>
          <rPr>
            <sz val="8"/>
            <color indexed="81"/>
            <rFont val="Tahoma"/>
            <family val="2"/>
          </rPr>
          <t xml:space="preserve">
</t>
        </r>
      </text>
    </comment>
    <comment ref="P19" authorId="0" shapeId="0" xr:uid="{00000000-0006-0000-1200-00000B000000}">
      <text>
        <r>
          <rPr>
            <b/>
            <sz val="8"/>
            <color indexed="81"/>
            <rFont val="Tahoma"/>
            <family val="2"/>
          </rPr>
          <t>0  Weather not stated,                                              1  No adverse weather conditions, 
2 Rain,               
3 Snow, 
4 Fog, 
5 Heavy Wind,                                  6 Other weather condition</t>
        </r>
        <r>
          <rPr>
            <sz val="8"/>
            <color indexed="81"/>
            <rFont val="Tahoma"/>
            <family val="2"/>
          </rPr>
          <t xml:space="preserve">
</t>
        </r>
      </text>
    </comment>
    <comment ref="Q19" authorId="0" shapeId="0" xr:uid="{00000000-0006-0000-1200-00000C000000}">
      <text>
        <r>
          <rPr>
            <b/>
            <sz val="8"/>
            <color indexed="81"/>
            <rFont val="Tahoma"/>
            <family val="2"/>
          </rPr>
          <t>0  Not stated, 
1  Road dry, 
2  Road wet,                  
3 Snow on Road, 
4 Ice on Road,                               5 Mud-sand on road, 
6 Other road condition</t>
        </r>
      </text>
    </comment>
    <comment ref="R19" authorId="0" shapeId="0" xr:uid="{00000000-0006-0000-1200-00000D000000}">
      <text>
        <r>
          <rPr>
            <b/>
            <sz val="8"/>
            <color indexed="81"/>
            <rFont val="Tahoma"/>
            <family val="2"/>
          </rPr>
          <t>The ODOT derived code which indicates the type of location where the first harmful event occurred, as identified by the enforcement officer.</t>
        </r>
        <r>
          <rPr>
            <sz val="8"/>
            <color indexed="81"/>
            <rFont val="Tahoma"/>
            <family val="2"/>
          </rPr>
          <t xml:space="preserve">
</t>
        </r>
        <r>
          <rPr>
            <b/>
            <sz val="8"/>
            <color indexed="81"/>
            <rFont val="Tahoma"/>
            <family val="2"/>
          </rPr>
          <t>INTERSECTION
NON-INTERSECTION
INTERSECTION RELATED
RAILROAD CROSSING
LOCATION NOT STATED
BRIDGE PASSING OVER
BRIDGE PASSING UNDER
DRIVEWAY ACCESS</t>
        </r>
      </text>
    </comment>
    <comment ref="S19" authorId="0" shapeId="0" xr:uid="{00000000-0006-0000-1200-00000E000000}">
      <text>
        <r>
          <rPr>
            <b/>
            <sz val="8"/>
            <color indexed="81"/>
            <rFont val="Tahoma"/>
            <family val="2"/>
          </rPr>
          <t xml:space="preserve">The code which best described the activity that had the most causative bearing on the crash, as reported by the enforcement officer, for unit. 
CONTRIBUTING_FACTOR1_TXT Values:
DEBRIS ON ROAD                
DOWNED TRAFFIC SIGN OR DEVICE 
DRIVER INATTENTION            
DROVE OFF ROAD-REASON UNKNOWN 
EXCESSIVE SPEED               
FAILURE TO CONTROL            
FAILURE TO YIELD              
FOLLOWING TOO CLOSE           
IMPROPER BACKING              
IMPROPER LANE CHANGE          
IMPROPER PASSING              
IMPROPER START FROM PARKED POS
IMPROPER TURNING              
LEFT OF CENTER                
LOAD SHIFT - FALL - SPILL     
NO DRIVER ERRORS              
OTHER DRIVER ERROR            
PAVEMENT DEFECT               
RAN RED LIGHT                 
RAN STOP SIGN OR YIELD SIGN   
STOPPED - PARKED ILLEGALLY    
VEHICLE DEFECT                
VIEW OBSTRUCTED               </t>
        </r>
        <r>
          <rPr>
            <sz val="8"/>
            <color indexed="81"/>
            <rFont val="Tahoma"/>
            <family val="2"/>
          </rPr>
          <t xml:space="preserve">
</t>
        </r>
      </text>
    </comment>
    <comment ref="T19" authorId="0" shapeId="0" xr:uid="{00000000-0006-0000-1200-00000F000000}">
      <text>
        <r>
          <rPr>
            <b/>
            <sz val="8"/>
            <color indexed="81"/>
            <rFont val="Tahoma"/>
            <family val="2"/>
          </rPr>
          <t xml:space="preserve">Indicates the activity of the driver or non-motorist for the specified unit, as reported by the enforcement officer.
ACTION TXT Values:
ACTION NOT STATED             
BACKING                       
CHANGING LANES                
DRIVERLESS VEHICLE            
GOING STRAIGHT                
MAKING U TURN                 
MERGING/EXITING RAMP          
OTHER ACTION                  
OUT OF CONTROL                
PARKED                        
PARKING/UNPARKING             
PASSING                       
STOPPED IN TRAFFIC            
SWERVING                      
TURNING LEFT                  
TURNING RIGHT                 
</t>
        </r>
      </text>
    </comment>
    <comment ref="U19" authorId="1" shapeId="0" xr:uid="{00000000-0006-0000-1200-000010000000}">
      <text>
        <r>
          <rPr>
            <b/>
            <sz val="9"/>
            <color indexed="81"/>
            <rFont val="Tahoma"/>
            <family val="2"/>
          </rPr>
          <t>Formula copied down for 500 records</t>
        </r>
      </text>
    </comment>
    <comment ref="V19" authorId="0" shapeId="0" xr:uid="{00000000-0006-0000-1200-000011000000}">
      <text>
        <r>
          <rPr>
            <b/>
            <sz val="8"/>
            <color indexed="81"/>
            <rFont val="Tahoma"/>
            <family val="2"/>
          </rPr>
          <t xml:space="preserve">The code used to identify the type of unit involved.  
VEHICLE_TYPE1_TXT Values:
AMBULANCE RESCUE              
ANIMAL WITH BUGGY             
ANIMAL WITH RIDER             
BICYCLE                       
CHURCH BUS                    
COMPACT                       
CONSTRUCTION EQUIPMENT        
FARM EQUIPMENT                
FARM VEHICLE                  
FIFTH WHEEL OR HOT SPOT       
FIRE TRUCK                    
FULL-SIZE                     
MID-SIZE                      
MOTOR HOME                    
MOTORCYCLE - 351CC-750CC      
MOTORIZED BICYCLE             
OTHER VEHICLE                 
PANEL TRUCK                   
PICKUP TRUCK                  
POLICE VEHICLE                
PUBLIC BUS                    
SCHOOL BUS                    
SNOWMOBILE                    
STRAIGHT TRUCK                
STRAIGHT TRUCK TRAILER        
SUB-COMPACT                   
TAXI                          
TRACTOR DOUBLE TRAILER        
TRACTOR SEMI TRAILER          
TRAIN                         
TRIPLE TRAILER                
TRUCK TRACTOR                 
VEHICLE NOT STATED            </t>
        </r>
        <r>
          <rPr>
            <sz val="8"/>
            <color indexed="81"/>
            <rFont val="Tahoma"/>
            <family val="2"/>
          </rPr>
          <t xml:space="preserve">
</t>
        </r>
      </text>
    </comment>
    <comment ref="W19" authorId="0" shapeId="0" xr:uid="{00000000-0006-0000-1200-000012000000}">
      <text>
        <r>
          <rPr>
            <b/>
            <sz val="8"/>
            <color indexed="81"/>
            <rFont val="Tahoma"/>
            <family val="2"/>
          </rPr>
          <t>The direction the unit was coming from, prior to the crash.</t>
        </r>
        <r>
          <rPr>
            <sz val="8"/>
            <color indexed="81"/>
            <rFont val="Tahoma"/>
            <family val="2"/>
          </rPr>
          <t xml:space="preserve">
</t>
        </r>
      </text>
    </comment>
    <comment ref="X19" authorId="0" shapeId="0" xr:uid="{00000000-0006-0000-1200-000013000000}">
      <text>
        <r>
          <rPr>
            <b/>
            <sz val="8"/>
            <color indexed="81"/>
            <rFont val="Tahoma"/>
            <family val="2"/>
          </rPr>
          <t xml:space="preserve">The direction the unit was going to, prior to the crash. </t>
        </r>
      </text>
    </comment>
    <comment ref="AA19" authorId="0" shapeId="0" xr:uid="{00000000-0006-0000-1200-000014000000}">
      <text>
        <r>
          <rPr>
            <b/>
            <sz val="8"/>
            <color indexed="81"/>
            <rFont val="Tahoma"/>
            <family val="2"/>
          </rPr>
          <t xml:space="preserve">Indicates the type of traffic control for the driver or non-motorist for unit, as reported by the enforcement officer.
TRAFFIC_CONTROL1_TXT Values:
CONSTRUCTION BARRICADES       
CROSSWALK LINES               
NO TRAFFIC CONTROL DRIVER     
OTHER TRAFFIC CONTROL         
PAVEMENT MARKINGS             
RAILROAD CROSSBUCKS           
RAILROAD FLASHERS             
RAILROAD GATES                
SCHOOL ZONE                   
STOP SIGN                     
TRAFFIC CONTROL NOT STATED    
TRAFFIC FLASHERS              
TRAFFIC OFFICER               
TRAFFIC SIGNAL                
WALK/DONT WALK DEVICE         
YIELD SIGN                    
</t>
        </r>
        <r>
          <rPr>
            <sz val="8"/>
            <color indexed="81"/>
            <rFont val="Tahoma"/>
            <family val="2"/>
          </rPr>
          <t xml:space="preserve">
</t>
        </r>
      </text>
    </comment>
    <comment ref="AB19" authorId="0" shapeId="0" xr:uid="{00000000-0006-0000-1200-000015000000}">
      <text>
        <r>
          <rPr>
            <b/>
            <sz val="8"/>
            <color indexed="81"/>
            <rFont val="Tahoma"/>
            <family val="2"/>
          </rPr>
          <t xml:space="preserve">Indicates driver or non-motorist alcohol involvement for unit, as reported by the enforcement officer.
 DRIVER_ALCOHOL1_TXT Values:
ALCOHOL NOT STATED            
HBD - ABILITY IMPAIRED        
HBD - ABILITY NOT IMPAIRED    
HBD - ABILITY UNKNOWN         
NO ALCOHOL DETECTED           
  </t>
        </r>
      </text>
    </comment>
    <comment ref="AC19" authorId="0" shapeId="0" xr:uid="{00000000-0006-0000-1200-000016000000}">
      <text>
        <r>
          <rPr>
            <b/>
            <sz val="8"/>
            <color indexed="81"/>
            <rFont val="Tahoma"/>
            <family val="2"/>
          </rPr>
          <t xml:space="preserve">Indicates driver or non-motorist drug involvement for unit, as reported by the enforcement officer.
DRIVER_DRUGS1_TXT Values:
DRUGS NOT STATED              
NO DRUGS DETECTED             
USING PRESCRIBED DRUG         
</t>
        </r>
      </text>
    </comment>
    <comment ref="AD19" authorId="0" shapeId="0" xr:uid="{00000000-0006-0000-1200-000017000000}">
      <text>
        <r>
          <rPr>
            <b/>
            <sz val="8"/>
            <color indexed="81"/>
            <rFont val="Tahoma"/>
            <family val="2"/>
          </rPr>
          <t>The estimated speed of specified unit, as reported by the enforcement officer. 0  Vehicle speed not stated, 1-  Under 20, 
2 - Speed 21-25,                       3 - Speed 26 - 35, 
4 - Speed 36-45,                            5 - Speed 46-55, 
6 - Speed 56- 65,                           7 - Speed 66 - 75, 
8 - Over 75,                                   9 - Speed is stopped.</t>
        </r>
        <r>
          <rPr>
            <sz val="8"/>
            <color indexed="81"/>
            <rFont val="Tahoma"/>
            <family val="2"/>
          </rPr>
          <t xml:space="preserve">
</t>
        </r>
      </text>
    </comment>
    <comment ref="AE19" authorId="0" shapeId="0" xr:uid="{00000000-0006-0000-1200-000018000000}">
      <text>
        <r>
          <rPr>
            <b/>
            <sz val="8"/>
            <color indexed="81"/>
            <rFont val="Tahoma"/>
            <family val="2"/>
          </rPr>
          <t>The posted speed for unit.
0 - Posted speed not stated,                                     1 - Posted under twenty,  
2 - Posted twenty-five,   
3 - Posted thirty, 
4 - Posted thirty-five,                  5-  Posted fourty, 
6  - Posted fourty-five,                7 -  Posted fifty, 
8- Posted fifty-five,                        9 -  Posted over fifty-five (65)</t>
        </r>
      </text>
    </comment>
    <comment ref="AF19" authorId="0" shapeId="0" xr:uid="{00000000-0006-0000-1200-000019000000}">
      <text>
        <r>
          <rPr>
            <b/>
            <sz val="8"/>
            <color indexed="81"/>
            <rFont val="Tahoma"/>
            <family val="2"/>
          </rPr>
          <t xml:space="preserve">The code which best described the activity that had the most causative bearing on the crash, as reported by the enforcement officer, for unit. 
CONTRIBUTING_FACTOR2_TXT Values:
DEBRIS ON ROAD                
DOWNED TRAFFIC SIGN OR DEVICE 
DRIVER INATTENTION            
DROVE OFF ROAD-REASON UNKNOWN 
EXCESSIVE SPEED               
FAILURE TO CONTROL            
FAILURE TO YIELD              
FOLLOWING TOO CLOSE           
IMPROPER BACKING              
IMPROPER LANE CHANGE          
IMPROPER PASSING              
IMPROPER START FROM PARKED POS
IMPROPER TURNING              
LEFT OF CENTER                
LOAD SHIFT - FALL - SPILL     
NO DRIVER ERRORS              
OTHER DRIVER ERROR            
PAVEMENT DEFECT               
RAN RED LIGHT                 
RAN STOP SIGN OR YIELD SIGN   
STOPPED - PARKED ILLEGALLY    
VEHICLE DEFECT                
VIEW OBSTRUCTED               
</t>
        </r>
      </text>
    </comment>
    <comment ref="AG19" authorId="0" shapeId="0" xr:uid="{00000000-0006-0000-1200-00001A000000}">
      <text>
        <r>
          <rPr>
            <b/>
            <sz val="8"/>
            <color indexed="81"/>
            <rFont val="Tahoma"/>
            <family val="2"/>
          </rPr>
          <t xml:space="preserve">Indicates the activity of the driver or non-motorist for the specified unit, as reported by the enforcement officer.
ACTION TXT Values:
ACTION NOT STATED             
BACKING                       
CHANGING LANES                
DRIVERLESS VEHICLE            
GOING STRAIGHT                
MAKING U TURN                 
MERGING/EXITING RAMP          
OTHER ACTION                  
OUT OF CONTROL                
PARKED                        
PARKING/UNPARKING             
PASSING                       
STOPPED IN TRAFFIC            
SWERVING                      
TURNING LEFT                  
TURNING RIGHT   </t>
        </r>
      </text>
    </comment>
    <comment ref="AH19" authorId="0" shapeId="0" xr:uid="{00000000-0006-0000-1200-00001B000000}">
      <text>
        <r>
          <rPr>
            <b/>
            <sz val="8"/>
            <color indexed="81"/>
            <rFont val="Tahoma"/>
            <family val="2"/>
          </rPr>
          <t xml:space="preserve">The code used to identify the type of unit involved.  
VEHICLE_TYPE2_TXT Values:
AMBULANCE RESCUE              
ANIMAL WITH BUGGY             
ANIMAL WITH RIDER             
BICYCLE                       
CHURCH BUS                    
COMPACT                       
CONSTRUCTION EQUIPMENT        
FARM EQUIPMENT                
FARM VEHICLE                  
FIFTH WHEEL OR HOT SPOT       
FIRE TRUCK                    
FULL-SIZE                     
MID-SIZE                      
MOTOR HOME                    
MOTORCYCLE - 351CC-750CC      
MOTORIZED BICYCLE             
OTHER VEHICLE                 
PANEL TRUCK                   
PICKUP TRUCK                  
POLICE VEHICLE                
PUBLIC BUS                    
SCHOOL BUS                    
SNOWMOBILE                    
STRAIGHT TRUCK                
STRAIGHT TRUCK TRAILER        
SUB-COMPACT                   
TAXI                          
TRACTOR DOUBLE TRAILER        
TRACTOR SEMI TRAILER          
TRAIN                         
TRIPLE TRAILER                
TRUCK TRACTOR                 
VEHICLE NOT STATED            
</t>
        </r>
      </text>
    </comment>
    <comment ref="AK19" authorId="0" shapeId="0" xr:uid="{00000000-0006-0000-1200-00001C000000}">
      <text>
        <r>
          <rPr>
            <b/>
            <sz val="8"/>
            <color indexed="81"/>
            <rFont val="Tahoma"/>
            <family val="2"/>
          </rPr>
          <t>The direction the unit was coming from, prior to the crash.</t>
        </r>
      </text>
    </comment>
    <comment ref="AL19" authorId="0" shapeId="0" xr:uid="{00000000-0006-0000-1200-00001D000000}">
      <text>
        <r>
          <rPr>
            <b/>
            <sz val="8"/>
            <color indexed="81"/>
            <rFont val="Tahoma"/>
            <family val="2"/>
          </rPr>
          <t xml:space="preserve">The direction the unit was going to, prior to the crash. </t>
        </r>
      </text>
    </comment>
    <comment ref="AM19" authorId="0" shapeId="0" xr:uid="{00000000-0006-0000-1200-00001E000000}">
      <text>
        <r>
          <rPr>
            <b/>
            <sz val="8"/>
            <color indexed="81"/>
            <rFont val="Tahoma"/>
            <family val="2"/>
          </rPr>
          <t xml:space="preserve">Indicates driver or non-motorist alcohol involvement for unit, as reported by the enforcement officer.
 DRIVER_ALCOHOL2_TXT Values:
ALCOHOL NOT STATED            
HBD - ABILITY IMPAIRED        
HBD - ABILITY NOT IMPAIRED    
HBD - ABILITY UNKNOWN         
NO ALCOHOL DETECTED      </t>
        </r>
        <r>
          <rPr>
            <sz val="8"/>
            <color indexed="81"/>
            <rFont val="Tahoma"/>
            <family val="2"/>
          </rPr>
          <t xml:space="preserve">
</t>
        </r>
      </text>
    </comment>
    <comment ref="AN19" authorId="0" shapeId="0" xr:uid="{00000000-0006-0000-1200-00001F000000}">
      <text>
        <r>
          <rPr>
            <b/>
            <sz val="8"/>
            <color indexed="81"/>
            <rFont val="Tahoma"/>
            <family val="2"/>
          </rPr>
          <t xml:space="preserve">Indicates driver or non-motorist drug involvement for unit, as reported by the enforcement officer.
DRIVER_DRUGS2_TXT Values:
DRUGS NOT STATED              
NO DRUGS DETECTED             
USING PRESCRIBED DRUG        </t>
        </r>
        <r>
          <rPr>
            <sz val="8"/>
            <color indexed="81"/>
            <rFont val="Tahoma"/>
            <family val="2"/>
          </rPr>
          <t xml:space="preserve">
</t>
        </r>
      </text>
    </comment>
    <comment ref="AO19" authorId="0" shapeId="0" xr:uid="{00000000-0006-0000-1200-000020000000}">
      <text>
        <r>
          <rPr>
            <b/>
            <sz val="8"/>
            <color indexed="81"/>
            <rFont val="Tahoma"/>
            <family val="2"/>
          </rPr>
          <t>Special area not stated
School zone
Construction/maintenance area</t>
        </r>
        <r>
          <rPr>
            <sz val="8"/>
            <color indexed="81"/>
            <rFont val="Tahoma"/>
            <family val="2"/>
          </rPr>
          <t xml:space="preserve">
</t>
        </r>
      </text>
    </comment>
    <comment ref="AP19" authorId="0" shapeId="0" xr:uid="{00000000-0006-0000-1200-000021000000}">
      <text>
        <r>
          <rPr>
            <b/>
            <sz val="8"/>
            <color indexed="81"/>
            <rFont val="Tahoma"/>
            <family val="2"/>
          </rPr>
          <t xml:space="preserve">Animal not stated, Deer hit, Farm animal hit, Other animal hit
</t>
        </r>
        <r>
          <rPr>
            <sz val="8"/>
            <color indexed="81"/>
            <rFont val="Tahoma"/>
            <family val="2"/>
          </rPr>
          <t xml:space="preserve">
</t>
        </r>
      </text>
    </comment>
    <comment ref="AR19" authorId="0" shapeId="0" xr:uid="{00000000-0006-0000-1200-000022000000}">
      <text>
        <r>
          <rPr>
            <b/>
            <sz val="8"/>
            <color indexed="81"/>
            <rFont val="Tahoma"/>
            <family val="2"/>
          </rPr>
          <t>0  Contour not stated,                      1  Straight level, 
2 Straight grade,                            3 Curve level, 
4 Curve grade</t>
        </r>
        <r>
          <rPr>
            <sz val="8"/>
            <color indexed="81"/>
            <rFont val="Tahoma"/>
            <family val="2"/>
          </rPr>
          <t xml:space="preserve">
</t>
        </r>
      </text>
    </comment>
    <comment ref="AS19" authorId="0" shapeId="0" xr:uid="{00000000-0006-0000-1200-000023000000}">
      <text>
        <r>
          <rPr>
            <b/>
            <sz val="8"/>
            <color indexed="81"/>
            <rFont val="Tahoma"/>
            <family val="2"/>
          </rPr>
          <t xml:space="preserve">The total number of fatal injuries occurring from this crash.
</t>
        </r>
      </text>
    </comment>
    <comment ref="AT19" authorId="0" shapeId="0" xr:uid="{00000000-0006-0000-1200-000024000000}">
      <text>
        <r>
          <rPr>
            <b/>
            <sz val="8"/>
            <color indexed="81"/>
            <rFont val="Tahoma"/>
            <family val="2"/>
          </rPr>
          <t>The total number of injuries occurring from this crash classified as serious visible or incapacitating injury.  These injuries prevent the individuals from continuing the normal activities they were capable of performing before the injury occurred.</t>
        </r>
      </text>
    </comment>
    <comment ref="AU19" authorId="0" shapeId="0" xr:uid="{00000000-0006-0000-1200-000025000000}">
      <text>
        <r>
          <rPr>
            <b/>
            <sz val="8"/>
            <color indexed="81"/>
            <rFont val="Tahoma"/>
            <family val="2"/>
          </rPr>
          <t>The total number of injuries occurring from this crash classified as minor visible or non-incapacitating injury.  These injuries are evident to any observer at the scene but are other than fatal or serious visible.</t>
        </r>
      </text>
    </comment>
    <comment ref="AV19" authorId="0" shapeId="0" xr:uid="{00000000-0006-0000-1200-000026000000}">
      <text>
        <r>
          <rPr>
            <b/>
            <sz val="8"/>
            <color indexed="81"/>
            <rFont val="Tahoma"/>
            <family val="2"/>
          </rPr>
          <t>The total number of injuries occurring from this crash classified as not visible but  possible or suspected because of behavior or claim.</t>
        </r>
      </text>
    </comment>
    <comment ref="AW19" authorId="0" shapeId="0" xr:uid="{00000000-0006-0000-1200-000027000000}">
      <text>
        <r>
          <rPr>
            <b/>
            <sz val="8"/>
            <color indexed="81"/>
            <rFont val="Tahoma"/>
            <family val="2"/>
          </rPr>
          <t xml:space="preserve">The direction of the crash location from the reference given. Example: W - the crash location is west of the given reference. </t>
        </r>
      </text>
    </comment>
    <comment ref="AX19" authorId="0" shapeId="0" xr:uid="{00000000-0006-0000-1200-000028000000}">
      <text>
        <r>
          <rPr>
            <b/>
            <sz val="8"/>
            <color indexed="81"/>
            <rFont val="Tahoma"/>
            <family val="2"/>
          </rPr>
          <t>The Ohio Department of Transportation District number in which the crash occurred.</t>
        </r>
        <r>
          <rPr>
            <sz val="8"/>
            <color indexed="81"/>
            <rFont val="Tahoma"/>
            <family val="2"/>
          </rPr>
          <t xml:space="preserve">
</t>
        </r>
      </text>
    </comment>
    <comment ref="AY19" authorId="0" shapeId="0" xr:uid="{00000000-0006-0000-1200-000029000000}">
      <text>
        <r>
          <rPr>
            <b/>
            <sz val="8"/>
            <color indexed="81"/>
            <rFont val="Tahoma"/>
            <family val="2"/>
          </rPr>
          <t>The three letter abbreviation for the county</t>
        </r>
      </text>
    </comment>
    <comment ref="AZ19" authorId="0" shapeId="0" xr:uid="{00000000-0006-0000-1200-00002A000000}">
      <text>
        <r>
          <rPr>
            <b/>
            <sz val="8"/>
            <color indexed="81"/>
            <rFont val="Tahoma"/>
            <family val="2"/>
          </rPr>
          <t>1= City, 2 = Village, 3 = Township</t>
        </r>
      </text>
    </comment>
    <comment ref="BA19" authorId="0" shapeId="0" xr:uid="{00000000-0006-0000-1200-00002B000000}">
      <text>
        <r>
          <rPr>
            <b/>
            <sz val="8"/>
            <color indexed="81"/>
            <rFont val="Tahoma"/>
            <family val="2"/>
          </rPr>
          <t>Name of city, village, or township</t>
        </r>
      </text>
    </comment>
    <comment ref="E21" authorId="0" shapeId="0" xr:uid="{F16344A5-AB0D-4F57-9128-AB7D5CDB9C30}">
      <text>
        <r>
          <rPr>
            <b/>
            <sz val="8"/>
            <color indexed="81"/>
            <rFont val="Tahoma"/>
            <family val="2"/>
          </rPr>
          <t>Straight Line Mileage -- traditional ODOT log point system</t>
        </r>
        <r>
          <rPr>
            <sz val="8"/>
            <color indexed="81"/>
            <rFont val="Tahoma"/>
            <family val="2"/>
          </rPr>
          <t xml:space="preserve">
</t>
        </r>
      </text>
    </comment>
    <comment ref="F21" authorId="0" shapeId="0" xr:uid="{878E0AFC-7B23-49A6-8477-0EE674821BDA}">
      <text>
        <r>
          <rPr>
            <b/>
            <sz val="8"/>
            <color indexed="81"/>
            <rFont val="Tahoma"/>
            <family val="2"/>
          </rPr>
          <t xml:space="preserve">Date the crash occurred (YYYYMMDD)
</t>
        </r>
      </text>
    </comment>
    <comment ref="G21" authorId="0" shapeId="0" xr:uid="{51014E8D-777A-4DD8-8D99-5562135D8FE9}">
      <text>
        <r>
          <rPr>
            <b/>
            <sz val="8"/>
            <color indexed="81"/>
            <rFont val="Tahoma"/>
            <family val="2"/>
          </rPr>
          <t>ODOT derived street name or route number that the crash occurred on.</t>
        </r>
      </text>
    </comment>
    <comment ref="H21" authorId="0" shapeId="0" xr:uid="{3AB9F72D-9C71-4F59-896A-EB2AA1D8AEA1}">
      <text>
        <r>
          <rPr>
            <b/>
            <sz val="8"/>
            <color indexed="81"/>
            <rFont val="Tahoma"/>
            <family val="2"/>
          </rPr>
          <t>This is the name of the ODOT derived reference used to identify the crash location.</t>
        </r>
      </text>
    </comment>
    <comment ref="I21" authorId="0" shapeId="0" xr:uid="{48149706-118E-4D4E-9F71-D4444E61B0B1}">
      <text>
        <r>
          <rPr>
            <b/>
            <sz val="8"/>
            <color indexed="81"/>
            <rFont val="Tahoma"/>
            <family val="2"/>
          </rPr>
          <t xml:space="preserve">The distance between the reference given and the crash location, in miles.  This is a number with two implied decimals.  Example: 1 is 0.01 miles.
</t>
        </r>
      </text>
    </comment>
    <comment ref="K21" authorId="0" shapeId="0" xr:uid="{5CA722B4-EF63-4D63-BEB9-D1ABB2371058}">
      <text>
        <r>
          <rPr>
            <b/>
            <sz val="8"/>
            <color indexed="81"/>
            <rFont val="Tahoma"/>
            <family val="2"/>
          </rPr>
          <t>The hour of the day the crash occurred in 24 hour Military Time.</t>
        </r>
      </text>
    </comment>
    <comment ref="L21" authorId="0" shapeId="0" xr:uid="{588128BA-D981-4052-8B12-E1B09ECEE805}">
      <text>
        <r>
          <rPr>
            <b/>
            <sz val="8"/>
            <color indexed="81"/>
            <rFont val="Tahoma"/>
            <family val="2"/>
          </rPr>
          <t>0 = LIGHT-NOT-STATED,                                        1= DAYLIGHT, 
2 = DAWN,                                        3 = DUSK, 
4 = DARK-NO-LIGHTS,                              5 = DARK-LIGHTED, 
6 = OTHER.</t>
        </r>
      </text>
    </comment>
    <comment ref="M21" authorId="0" shapeId="0" xr:uid="{051B1969-DF04-4570-8DCE-072FACDF4936}">
      <text>
        <r>
          <rPr>
            <b/>
            <sz val="8"/>
            <color indexed="81"/>
            <rFont val="Tahoma"/>
            <family val="2"/>
          </rPr>
          <t xml:space="preserve">ODOT Derived Type of Crash Values:
ANGLE                         
ANIMAL                        
BACKING                       
FIXED OBJECT                  
HEAD ON                       
LEFT TURN                     
NOT STATED                    
OTHER NON-COLLISION           
OTHER NON-VEHICLE             
OTHER OBJECT                  
OVERTURNING                   
PARKED VEHICLE                
PEDALCYCLES                   
PEDESTRIAN                    
REAR END                      
SIDESWIPE - MEETING           
SIDESWIPE - PASSING           
TRAIN                         </t>
        </r>
      </text>
    </comment>
    <comment ref="N21" authorId="0" shapeId="0" xr:uid="{56B72EBF-4690-4BF4-B5B5-B790B68F507A}">
      <text>
        <r>
          <rPr>
            <b/>
            <sz val="8"/>
            <color indexed="81"/>
            <rFont val="Tahoma"/>
            <family val="2"/>
          </rPr>
          <t xml:space="preserve">The number of units involved in the crash as reported by the enforcement officer. 
</t>
        </r>
      </text>
    </comment>
    <comment ref="O21" authorId="0" shapeId="0" xr:uid="{2CEC377B-59D2-4928-ACC2-EBABB142195D}">
      <text>
        <r>
          <rPr>
            <b/>
            <sz val="8"/>
            <color indexed="81"/>
            <rFont val="Tahoma"/>
            <family val="2"/>
          </rPr>
          <t>1  Fatal crash
2  Injury crash
3  Property damage only crash</t>
        </r>
        <r>
          <rPr>
            <sz val="8"/>
            <color indexed="81"/>
            <rFont val="Tahoma"/>
            <family val="2"/>
          </rPr>
          <t xml:space="preserve">
</t>
        </r>
      </text>
    </comment>
    <comment ref="P21" authorId="0" shapeId="0" xr:uid="{AE8FC8BF-D874-4ED0-99D7-36C8275C2CA4}">
      <text>
        <r>
          <rPr>
            <b/>
            <sz val="8"/>
            <color indexed="81"/>
            <rFont val="Tahoma"/>
            <family val="2"/>
          </rPr>
          <t>0  Weather not stated,                                              1  No adverse weather conditions, 
2 Rain,               
3 Snow, 
4 Fog, 
5 Heavy Wind,                                  6 Other weather condition</t>
        </r>
        <r>
          <rPr>
            <sz val="8"/>
            <color indexed="81"/>
            <rFont val="Tahoma"/>
            <family val="2"/>
          </rPr>
          <t xml:space="preserve">
</t>
        </r>
      </text>
    </comment>
    <comment ref="Q21" authorId="0" shapeId="0" xr:uid="{3BAC4931-0F9A-4DBC-8A7B-820DA2B067FD}">
      <text>
        <r>
          <rPr>
            <b/>
            <sz val="8"/>
            <color indexed="81"/>
            <rFont val="Tahoma"/>
            <family val="2"/>
          </rPr>
          <t>0  Not stated, 
1  Road dry, 
2  Road wet,                  
3 Snow on Road, 
4 Ice on Road,                               5 Mud-sand on road, 
6 Other road condition</t>
        </r>
      </text>
    </comment>
    <comment ref="R21" authorId="0" shapeId="0" xr:uid="{30C0D9D2-55FA-4FE9-B7B8-45EF149E6281}">
      <text>
        <r>
          <rPr>
            <b/>
            <sz val="8"/>
            <color indexed="81"/>
            <rFont val="Tahoma"/>
            <family val="2"/>
          </rPr>
          <t>The ODOT derived code which indicates the type of location where the first harmful event occurred, as identified by the enforcement officer.</t>
        </r>
        <r>
          <rPr>
            <sz val="8"/>
            <color indexed="81"/>
            <rFont val="Tahoma"/>
            <family val="2"/>
          </rPr>
          <t xml:space="preserve">
</t>
        </r>
        <r>
          <rPr>
            <b/>
            <sz val="8"/>
            <color indexed="81"/>
            <rFont val="Tahoma"/>
            <family val="2"/>
          </rPr>
          <t>INTERSECTION
NON-INTERSECTION
INTERSECTION RELATED
RAILROAD CROSSING
LOCATION NOT STATED
BRIDGE PASSING OVER
BRIDGE PASSING UNDER
DRIVEWAY ACCESS</t>
        </r>
      </text>
    </comment>
    <comment ref="S21" authorId="0" shapeId="0" xr:uid="{1B0C6C05-830B-4D16-8645-88F95121FB09}">
      <text>
        <r>
          <rPr>
            <b/>
            <sz val="8"/>
            <color indexed="81"/>
            <rFont val="Tahoma"/>
            <family val="2"/>
          </rPr>
          <t xml:space="preserve">The code which best described the activity that had the most causative bearing on the crash, as reported by the enforcement officer, for unit. 
CONTRIBUTING_FACTOR1_TXT Values:
DEBRIS ON ROAD                
DOWNED TRAFFIC SIGN OR DEVICE 
DRIVER INATTENTION            
DROVE OFF ROAD-REASON UNKNOWN 
EXCESSIVE SPEED               
FAILURE TO CONTROL            
FAILURE TO YIELD              
FOLLOWING TOO CLOSE           
IMPROPER BACKING              
IMPROPER LANE CHANGE          
IMPROPER PASSING              
IMPROPER START FROM PARKED POS
IMPROPER TURNING              
LEFT OF CENTER                
LOAD SHIFT - FALL - SPILL     
NO DRIVER ERRORS              
OTHER DRIVER ERROR            
PAVEMENT DEFECT               
RAN RED LIGHT                 
RAN STOP SIGN OR YIELD SIGN   
STOPPED - PARKED ILLEGALLY    
VEHICLE DEFECT                
VIEW OBSTRUCTED               </t>
        </r>
        <r>
          <rPr>
            <sz val="8"/>
            <color indexed="81"/>
            <rFont val="Tahoma"/>
            <family val="2"/>
          </rPr>
          <t xml:space="preserve">
</t>
        </r>
      </text>
    </comment>
    <comment ref="T21" authorId="0" shapeId="0" xr:uid="{2A23E55B-2F68-40E0-99F3-A17FC8BBD76F}">
      <text>
        <r>
          <rPr>
            <b/>
            <sz val="8"/>
            <color indexed="81"/>
            <rFont val="Tahoma"/>
            <family val="2"/>
          </rPr>
          <t xml:space="preserve">Indicates the activity of the driver or non-motorist for the specified unit, as reported by the enforcement officer.
ACTION TXT Values:
ACTION NOT STATED             
BACKING                       
CHANGING LANES                
DRIVERLESS VEHICLE            
GOING STRAIGHT                
MAKING U TURN                 
MERGING/EXITING RAMP          
OTHER ACTION                  
OUT OF CONTROL                
PARKED                        
PARKING/UNPARKING             
PASSING                       
STOPPED IN TRAFFIC            
SWERVING                      
TURNING LEFT                  
TURNING RIGHT                 
</t>
        </r>
      </text>
    </comment>
    <comment ref="U21" authorId="1" shapeId="0" xr:uid="{E9FAB980-022B-4FC6-B453-25D7D8B64F8E}">
      <text>
        <r>
          <rPr>
            <b/>
            <sz val="9"/>
            <color indexed="81"/>
            <rFont val="Tahoma"/>
            <family val="2"/>
          </rPr>
          <t>Formula copied down for 500 records</t>
        </r>
      </text>
    </comment>
    <comment ref="V21" authorId="0" shapeId="0" xr:uid="{0671B922-2DC0-4606-B47D-88FE02B78FC6}">
      <text>
        <r>
          <rPr>
            <b/>
            <sz val="8"/>
            <color indexed="81"/>
            <rFont val="Tahoma"/>
            <family val="2"/>
          </rPr>
          <t xml:space="preserve">The code used to identify the type of unit involved.  
VEHICLE_TYPE1_TXT Values:
AMBULANCE RESCUE              
ANIMAL WITH BUGGY             
ANIMAL WITH RIDER             
BICYCLE                       
CHURCH BUS                    
COMPACT                       
CONSTRUCTION EQUIPMENT        
FARM EQUIPMENT                
FARM VEHICLE                  
FIFTH WHEEL OR HOT SPOT       
FIRE TRUCK                    
FULL-SIZE                     
MID-SIZE                      
MOTOR HOME                    
MOTORCYCLE - 351CC-750CC      
MOTORIZED BICYCLE             
OTHER VEHICLE                 
PANEL TRUCK                   
PICKUP TRUCK                  
POLICE VEHICLE                
PUBLIC BUS                    
SCHOOL BUS                    
SNOWMOBILE                    
STRAIGHT TRUCK                
STRAIGHT TRUCK TRAILER        
SUB-COMPACT                   
TAXI                          
TRACTOR DOUBLE TRAILER        
TRACTOR SEMI TRAILER          
TRAIN                         
TRIPLE TRAILER                
TRUCK TRACTOR                 
VEHICLE NOT STATED            </t>
        </r>
        <r>
          <rPr>
            <sz val="8"/>
            <color indexed="81"/>
            <rFont val="Tahoma"/>
            <family val="2"/>
          </rPr>
          <t xml:space="preserve">
</t>
        </r>
      </text>
    </comment>
    <comment ref="W21" authorId="0" shapeId="0" xr:uid="{2FAD1F7C-F1D1-435D-BFA3-442577717F1B}">
      <text>
        <r>
          <rPr>
            <b/>
            <sz val="8"/>
            <color indexed="81"/>
            <rFont val="Tahoma"/>
            <family val="2"/>
          </rPr>
          <t>The direction the unit was coming from, prior to the crash.</t>
        </r>
        <r>
          <rPr>
            <sz val="8"/>
            <color indexed="81"/>
            <rFont val="Tahoma"/>
            <family val="2"/>
          </rPr>
          <t xml:space="preserve">
</t>
        </r>
      </text>
    </comment>
    <comment ref="X21" authorId="0" shapeId="0" xr:uid="{98388C75-A62D-40D1-8FEF-1F7752CE47E5}">
      <text>
        <r>
          <rPr>
            <b/>
            <sz val="8"/>
            <color indexed="81"/>
            <rFont val="Tahoma"/>
            <family val="2"/>
          </rPr>
          <t xml:space="preserve">The direction the unit was going to, prior to the crash. </t>
        </r>
      </text>
    </comment>
    <comment ref="AA21" authorId="0" shapeId="0" xr:uid="{78261B7F-D08A-439F-AF6C-DC53F79D2286}">
      <text>
        <r>
          <rPr>
            <b/>
            <sz val="8"/>
            <color indexed="81"/>
            <rFont val="Tahoma"/>
            <family val="2"/>
          </rPr>
          <t xml:space="preserve">Indicates the type of traffic control for the driver or non-motorist for unit, as reported by the enforcement officer.
TRAFFIC_CONTROL1_TXT Values:
CONSTRUCTION BARRICADES       
CROSSWALK LINES               
NO TRAFFIC CONTROL DRIVER     
OTHER TRAFFIC CONTROL         
PAVEMENT MARKINGS             
RAILROAD CROSSBUCKS           
RAILROAD FLASHERS             
RAILROAD GATES                
SCHOOL ZONE                   
STOP SIGN                     
TRAFFIC CONTROL NOT STATED    
TRAFFIC FLASHERS              
TRAFFIC OFFICER               
TRAFFIC SIGNAL                
WALK/DONT WALK DEVICE         
YIELD SIGN                    
</t>
        </r>
        <r>
          <rPr>
            <sz val="8"/>
            <color indexed="81"/>
            <rFont val="Tahoma"/>
            <family val="2"/>
          </rPr>
          <t xml:space="preserve">
</t>
        </r>
      </text>
    </comment>
    <comment ref="AB21" authorId="0" shapeId="0" xr:uid="{78B15E9E-02B6-4A69-9387-F753C19443B3}">
      <text>
        <r>
          <rPr>
            <b/>
            <sz val="8"/>
            <color indexed="81"/>
            <rFont val="Tahoma"/>
            <family val="2"/>
          </rPr>
          <t xml:space="preserve">Indicates driver or non-motorist alcohol involvement for unit, as reported by the enforcement officer.
 DRIVER_ALCOHOL1_TXT Values:
ALCOHOL NOT STATED            
HBD - ABILITY IMPAIRED        
HBD - ABILITY NOT IMPAIRED    
HBD - ABILITY UNKNOWN         
NO ALCOHOL DETECTED           
  </t>
        </r>
      </text>
    </comment>
    <comment ref="AC21" authorId="0" shapeId="0" xr:uid="{10AC0ED0-F971-4E4E-9D9C-69ED9422A20A}">
      <text>
        <r>
          <rPr>
            <b/>
            <sz val="8"/>
            <color indexed="81"/>
            <rFont val="Tahoma"/>
            <family val="2"/>
          </rPr>
          <t xml:space="preserve">Indicates driver or non-motorist drug involvement for unit, as reported by the enforcement officer.
DRIVER_DRUGS1_TXT Values:
DRUGS NOT STATED              
NO DRUGS DETECTED             
USING PRESCRIBED DRUG         
</t>
        </r>
      </text>
    </comment>
    <comment ref="AD21" authorId="0" shapeId="0" xr:uid="{227189A7-6D9E-47AD-BE9D-9B2847D5B6A0}">
      <text>
        <r>
          <rPr>
            <b/>
            <sz val="8"/>
            <color indexed="81"/>
            <rFont val="Tahoma"/>
            <family val="2"/>
          </rPr>
          <t>The estimated speed of specified unit, as reported by the enforcement officer. 0  Vehicle speed not stated, 1-  Under 20, 
2 - Speed 21-25,                       3 - Speed 26 - 35, 
4 - Speed 36-45,                            5 - Speed 46-55, 
6 - Speed 56- 65,                           7 - Speed 66 - 75, 
8 - Over 75,                                   9 - Speed is stopped.</t>
        </r>
        <r>
          <rPr>
            <sz val="8"/>
            <color indexed="81"/>
            <rFont val="Tahoma"/>
            <family val="2"/>
          </rPr>
          <t xml:space="preserve">
</t>
        </r>
      </text>
    </comment>
    <comment ref="AE21" authorId="0" shapeId="0" xr:uid="{F5D7ABEB-F8ED-466A-8E0D-CA5907EC0BE7}">
      <text>
        <r>
          <rPr>
            <b/>
            <sz val="8"/>
            <color indexed="81"/>
            <rFont val="Tahoma"/>
            <family val="2"/>
          </rPr>
          <t>The posted speed for unit.
0 - Posted speed not stated,                                     1 - Posted under twenty,  
2 - Posted twenty-five,   
3 - Posted thirty, 
4 - Posted thirty-five,                  5-  Posted fourty, 
6  - Posted fourty-five,                7 -  Posted fifty, 
8- Posted fifty-five,                        9 -  Posted over fifty-five (65)</t>
        </r>
      </text>
    </comment>
    <comment ref="AF21" authorId="0" shapeId="0" xr:uid="{D319B74D-40B0-4F8F-B56E-0E0898C3338E}">
      <text>
        <r>
          <rPr>
            <b/>
            <sz val="8"/>
            <color indexed="81"/>
            <rFont val="Tahoma"/>
            <family val="2"/>
          </rPr>
          <t xml:space="preserve">The code which best described the activity that had the most causative bearing on the crash, as reported by the enforcement officer, for unit. 
CONTRIBUTING_FACTOR2_TXT Values:
DEBRIS ON ROAD                
DOWNED TRAFFIC SIGN OR DEVICE 
DRIVER INATTENTION            
DROVE OFF ROAD-REASON UNKNOWN 
EXCESSIVE SPEED               
FAILURE TO CONTROL            
FAILURE TO YIELD              
FOLLOWING TOO CLOSE           
IMPROPER BACKING              
IMPROPER LANE CHANGE          
IMPROPER PASSING              
IMPROPER START FROM PARKED POS
IMPROPER TURNING              
LEFT OF CENTER                
LOAD SHIFT - FALL - SPILL     
NO DRIVER ERRORS              
OTHER DRIVER ERROR            
PAVEMENT DEFECT               
RAN RED LIGHT                 
RAN STOP SIGN OR YIELD SIGN   
STOPPED - PARKED ILLEGALLY    
VEHICLE DEFECT                
VIEW OBSTRUCTED               
</t>
        </r>
      </text>
    </comment>
    <comment ref="AG21" authorId="0" shapeId="0" xr:uid="{1AFCC4D7-CA1D-4959-9574-F0B5A0D40ACD}">
      <text>
        <r>
          <rPr>
            <b/>
            <sz val="8"/>
            <color indexed="81"/>
            <rFont val="Tahoma"/>
            <family val="2"/>
          </rPr>
          <t xml:space="preserve">Indicates the activity of the driver or non-motorist for the specified unit, as reported by the enforcement officer.
ACTION TXT Values:
ACTION NOT STATED             
BACKING                       
CHANGING LANES                
DRIVERLESS VEHICLE            
GOING STRAIGHT                
MAKING U TURN                 
MERGING/EXITING RAMP          
OTHER ACTION                  
OUT OF CONTROL                
PARKED                        
PARKING/UNPARKING             
PASSING                       
STOPPED IN TRAFFIC            
SWERVING                      
TURNING LEFT                  
TURNING RIGHT   </t>
        </r>
      </text>
    </comment>
    <comment ref="AH21" authorId="0" shapeId="0" xr:uid="{3662EDD1-9500-448B-9C08-AA2B8DF55BA7}">
      <text>
        <r>
          <rPr>
            <b/>
            <sz val="8"/>
            <color indexed="81"/>
            <rFont val="Tahoma"/>
            <family val="2"/>
          </rPr>
          <t xml:space="preserve">The code used to identify the type of unit involved.  
VEHICLE_TYPE2_TXT Values:
AMBULANCE RESCUE              
ANIMAL WITH BUGGY             
ANIMAL WITH RIDER             
BICYCLE                       
CHURCH BUS                    
COMPACT                       
CONSTRUCTION EQUIPMENT        
FARM EQUIPMENT                
FARM VEHICLE                  
FIFTH WHEEL OR HOT SPOT       
FIRE TRUCK                    
FULL-SIZE                     
MID-SIZE                      
MOTOR HOME                    
MOTORCYCLE - 351CC-750CC      
MOTORIZED BICYCLE             
OTHER VEHICLE                 
PANEL TRUCK                   
PICKUP TRUCK                  
POLICE VEHICLE                
PUBLIC BUS                    
SCHOOL BUS                    
SNOWMOBILE                    
STRAIGHT TRUCK                
STRAIGHT TRUCK TRAILER        
SUB-COMPACT                   
TAXI                          
TRACTOR DOUBLE TRAILER        
TRACTOR SEMI TRAILER          
TRAIN                         
TRIPLE TRAILER                
TRUCK TRACTOR                 
VEHICLE NOT STATED            
</t>
        </r>
      </text>
    </comment>
    <comment ref="AK21" authorId="0" shapeId="0" xr:uid="{26928D98-2579-4BD5-91AF-BB233AAB8FBF}">
      <text>
        <r>
          <rPr>
            <b/>
            <sz val="8"/>
            <color indexed="81"/>
            <rFont val="Tahoma"/>
            <family val="2"/>
          </rPr>
          <t>The direction the unit was coming from, prior to the crash.</t>
        </r>
      </text>
    </comment>
    <comment ref="AL21" authorId="0" shapeId="0" xr:uid="{5460ABA9-7656-4685-8C00-51E5A49FC3A3}">
      <text>
        <r>
          <rPr>
            <b/>
            <sz val="8"/>
            <color indexed="81"/>
            <rFont val="Tahoma"/>
            <family val="2"/>
          </rPr>
          <t xml:space="preserve">The direction the unit was going to, prior to the crash. </t>
        </r>
      </text>
    </comment>
    <comment ref="AM21" authorId="0" shapeId="0" xr:uid="{68DE3476-0AB8-4680-ACAB-E53ACC300971}">
      <text>
        <r>
          <rPr>
            <b/>
            <sz val="8"/>
            <color indexed="81"/>
            <rFont val="Tahoma"/>
            <family val="2"/>
          </rPr>
          <t xml:space="preserve">Indicates driver or non-motorist alcohol involvement for unit, as reported by the enforcement officer.
 DRIVER_ALCOHOL2_TXT Values:
ALCOHOL NOT STATED            
HBD - ABILITY IMPAIRED        
HBD - ABILITY NOT IMPAIRED    
HBD - ABILITY UNKNOWN         
NO ALCOHOL DETECTED      </t>
        </r>
        <r>
          <rPr>
            <sz val="8"/>
            <color indexed="81"/>
            <rFont val="Tahoma"/>
            <family val="2"/>
          </rPr>
          <t xml:space="preserve">
</t>
        </r>
      </text>
    </comment>
    <comment ref="AN21" authorId="0" shapeId="0" xr:uid="{A04AF367-16A6-4F7D-9D93-6AF5066AAA54}">
      <text>
        <r>
          <rPr>
            <b/>
            <sz val="8"/>
            <color indexed="81"/>
            <rFont val="Tahoma"/>
            <family val="2"/>
          </rPr>
          <t xml:space="preserve">Indicates driver or non-motorist drug involvement for unit, as reported by the enforcement officer.
DRIVER_DRUGS2_TXT Values:
DRUGS NOT STATED              
NO DRUGS DETECTED             
USING PRESCRIBED DRUG        </t>
        </r>
        <r>
          <rPr>
            <sz val="8"/>
            <color indexed="81"/>
            <rFont val="Tahoma"/>
            <family val="2"/>
          </rPr>
          <t xml:space="preserve">
</t>
        </r>
      </text>
    </comment>
    <comment ref="AO21" authorId="0" shapeId="0" xr:uid="{7B2DBF0E-6EDD-4D39-B90D-1F0443B26145}">
      <text>
        <r>
          <rPr>
            <b/>
            <sz val="8"/>
            <color indexed="81"/>
            <rFont val="Tahoma"/>
            <family val="2"/>
          </rPr>
          <t>Special area not stated
School zone
Construction/maintenance area</t>
        </r>
        <r>
          <rPr>
            <sz val="8"/>
            <color indexed="81"/>
            <rFont val="Tahoma"/>
            <family val="2"/>
          </rPr>
          <t xml:space="preserve">
</t>
        </r>
      </text>
    </comment>
    <comment ref="AP21" authorId="0" shapeId="0" xr:uid="{29590FED-9339-4B38-9D14-C466F8AB2439}">
      <text>
        <r>
          <rPr>
            <b/>
            <sz val="8"/>
            <color indexed="81"/>
            <rFont val="Tahoma"/>
            <family val="2"/>
          </rPr>
          <t xml:space="preserve">Animal not stated, Deer hit, Farm animal hit, Other animal hit
</t>
        </r>
        <r>
          <rPr>
            <sz val="8"/>
            <color indexed="81"/>
            <rFont val="Tahoma"/>
            <family val="2"/>
          </rPr>
          <t xml:space="preserve">
</t>
        </r>
      </text>
    </comment>
    <comment ref="AR21" authorId="0" shapeId="0" xr:uid="{F324BF67-B728-4153-B1BA-34A14D1C0010}">
      <text>
        <r>
          <rPr>
            <b/>
            <sz val="8"/>
            <color indexed="81"/>
            <rFont val="Tahoma"/>
            <family val="2"/>
          </rPr>
          <t>0  Contour not stated,                      1  Straight level, 
2 Straight grade,                            3 Curve level, 
4 Curve grade</t>
        </r>
        <r>
          <rPr>
            <sz val="8"/>
            <color indexed="81"/>
            <rFont val="Tahoma"/>
            <family val="2"/>
          </rPr>
          <t xml:space="preserve">
</t>
        </r>
      </text>
    </comment>
    <comment ref="AS21" authorId="0" shapeId="0" xr:uid="{67E6E190-EF36-40ED-99BF-F96BA47E1784}">
      <text>
        <r>
          <rPr>
            <b/>
            <sz val="8"/>
            <color indexed="81"/>
            <rFont val="Tahoma"/>
            <family val="2"/>
          </rPr>
          <t xml:space="preserve">The total number of fatal injuries occurring from this crash.
</t>
        </r>
      </text>
    </comment>
    <comment ref="AT21" authorId="0" shapeId="0" xr:uid="{BCE57AD4-62D5-4359-A1DF-F91F92D2041A}">
      <text>
        <r>
          <rPr>
            <b/>
            <sz val="8"/>
            <color indexed="81"/>
            <rFont val="Tahoma"/>
            <family val="2"/>
          </rPr>
          <t>The total number of injuries occurring from this crash classified as serious visible or incapacitating injury.  These injuries prevent the individuals from continuing the normal activities they were capable of performing before the injury occurred.</t>
        </r>
      </text>
    </comment>
    <comment ref="AU21" authorId="0" shapeId="0" xr:uid="{359A458F-91EF-4D91-9CDE-9A1F7CC49A8A}">
      <text>
        <r>
          <rPr>
            <b/>
            <sz val="8"/>
            <color indexed="81"/>
            <rFont val="Tahoma"/>
            <family val="2"/>
          </rPr>
          <t>The total number of injuries occurring from this crash classified as minor visible or non-incapacitating injury.  These injuries are evident to any observer at the scene but are other than fatal or serious visible.</t>
        </r>
      </text>
    </comment>
    <comment ref="AV21" authorId="0" shapeId="0" xr:uid="{84F8475E-C2A6-4AA3-9255-FF28E0B18317}">
      <text>
        <r>
          <rPr>
            <b/>
            <sz val="8"/>
            <color indexed="81"/>
            <rFont val="Tahoma"/>
            <family val="2"/>
          </rPr>
          <t>The total number of injuries occurring from this crash classified as not visible but  possible or suspected because of behavior or claim.</t>
        </r>
      </text>
    </comment>
    <comment ref="AW21" authorId="0" shapeId="0" xr:uid="{4815B550-CE3B-407C-999D-89A49358E6AA}">
      <text>
        <r>
          <rPr>
            <b/>
            <sz val="8"/>
            <color indexed="81"/>
            <rFont val="Tahoma"/>
            <family val="2"/>
          </rPr>
          <t xml:space="preserve">The direction of the crash location from the reference given. Example: W - the crash location is west of the given reference. </t>
        </r>
      </text>
    </comment>
    <comment ref="AX21" authorId="0" shapeId="0" xr:uid="{49F1543B-3FC5-4949-8242-AA14EB0B7569}">
      <text>
        <r>
          <rPr>
            <b/>
            <sz val="8"/>
            <color indexed="81"/>
            <rFont val="Tahoma"/>
            <family val="2"/>
          </rPr>
          <t>The Ohio Department of Transportation District number in which the crash occurred.</t>
        </r>
        <r>
          <rPr>
            <sz val="8"/>
            <color indexed="81"/>
            <rFont val="Tahoma"/>
            <family val="2"/>
          </rPr>
          <t xml:space="preserve">
</t>
        </r>
      </text>
    </comment>
    <comment ref="AY21" authorId="0" shapeId="0" xr:uid="{20CE1311-4E71-4113-AD76-0DB56EBDCB75}">
      <text>
        <r>
          <rPr>
            <b/>
            <sz val="8"/>
            <color indexed="81"/>
            <rFont val="Tahoma"/>
            <family val="2"/>
          </rPr>
          <t>The three letter abbreviation for the county</t>
        </r>
      </text>
    </comment>
    <comment ref="AZ21" authorId="0" shapeId="0" xr:uid="{87BD075F-8574-4D67-B6A8-1DB8873FC022}">
      <text>
        <r>
          <rPr>
            <b/>
            <sz val="8"/>
            <color indexed="81"/>
            <rFont val="Tahoma"/>
            <family val="2"/>
          </rPr>
          <t>1= City, 2 = Village, 3 = Township</t>
        </r>
      </text>
    </comment>
    <comment ref="BA21" authorId="0" shapeId="0" xr:uid="{3B0B68FF-BCD4-48A9-A384-8BB88351D47A}">
      <text>
        <r>
          <rPr>
            <b/>
            <sz val="8"/>
            <color indexed="81"/>
            <rFont val="Tahoma"/>
            <family val="2"/>
          </rPr>
          <t>Name of city, village, or township</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name="camtoolacc1" type="6" refreshedVersion="4" deleted="1" background="1" saveData="1">
    <textPr prompt="0" sourceFile="C:\TEMP\camtoolacc.qrd" tab="0" comma="1">
      <textFields>
        <textField/>
      </textFields>
    </textPr>
  </connection>
  <connection id="2" xr16:uid="{00000000-0015-0000-FFFF-FFFF02000000}" name="camtoolacc11" type="6" refreshedVersion="1" deleted="1" background="1" saveData="1">
    <textPr sourceFile="C:\TEMP\camtoolacc.qrd" tab="0" comma="1">
      <textFields count="56">
        <textField/>
        <textField type="text"/>
        <textField type="text"/>
        <textField type="text"/>
        <textField/>
        <textField/>
        <textField type="text"/>
        <textField type="text"/>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xr16:uid="{00000000-0015-0000-FFFF-FFFF0A000000}" name="ImageQuery" type="1" refreshedVersion="5" savePassword="1" deleted="1" saveData="1">
    <dbPr connection="" command=""/>
    <parameters count="5">
      <parameter name="Parameter1" prompt="Parameter1"/>
      <parameter name="Parameter2" prompt="Parameter2"/>
      <parameter name="Parameter3" prompt="Parameter3"/>
      <parameter name="Parameter4" prompt="Parameter4"/>
      <parameter name="Parameter5" prompt="Parameter5"/>
    </parameters>
  </connection>
  <connection id="4" xr16:uid="{1243B214-3722-4631-8A5A-188CA22EA096}" keepAlive="1" name="Query - OH1_CAMToolQuery" description="Connection to the 'OH1_CAMToolQuery' query in the workbook." type="5" refreshedVersion="6" background="1" saveData="1">
    <dbPr connection="Provider=Microsoft.Mashup.OleDb.1;Data Source=$Workbook$;Location=OH1_CAMToolQuery;Extended Properties=&quot;&quot;" command="SELECT * FROM [OH1_CAMToolQuery]"/>
  </connection>
  <connection id="5" xr16:uid="{5AE54441-22E3-45EE-BFF2-7E5109FEA61E}" keepAlive="1" name="Query - OH1_CongestionQuery" description="Connection to the 'OH1_CongestionQuery' query in the workbook." type="5" refreshedVersion="6" background="1" saveData="1">
    <dbPr connection="Provider=Microsoft.Mashup.OleDb.1;Data Source=$Workbook$;Location=OH1_CongestionQuery;Extended Properties=&quot;&quot;" command="SELECT * FROM [OH1_CongestionQuery]"/>
  </connection>
  <connection id="6" xr16:uid="{821E6ECD-DC08-4BFD-B346-D1A5C61C5E61}" keepAlive="1" name="Query - OH1_PMSQuery" description="Connection to the 'OH1_PMSQuery' query in the workbook." type="5" refreshedVersion="6" background="1" saveData="1">
    <dbPr connection="Provider=Microsoft.Mashup.OleDb.1;Data Source=$Workbook$;Location=OH1_PMSQuery;Extended Properties=&quot;&quot;" command="SELECT * FROM [OH1_PMSQuery]"/>
  </connection>
  <connection id="7" xr16:uid="{3A1ECBC2-1DB0-47ED-96AC-79CD5886D051}" keepAlive="1" name="Query - OH1_ProjectQuery" description="Connection to the 'OH1_ProjectQuery' query in the workbook." type="5" refreshedVersion="6" background="1" saveData="1">
    <dbPr connection="Provider=Microsoft.Mashup.OleDb.1;Data Source=$Workbook$;Location=OH1_ProjectQuery;Extended Properties=&quot;&quot;" command="SELECT * FROM [OH1_ProjectQuery]"/>
  </connection>
  <connection id="8" xr16:uid="{32EF2441-6B1D-4A99-B114-5F0E26CB5571}" keepAlive="1" name="Query - OH1_RIQuery" description="Connection to the 'OH1_RIQuery' query in the workbook." type="5" refreshedVersion="6" background="1" saveData="1">
    <dbPr connection="Provider=Microsoft.Mashup.OleDb.1;Data Source=$Workbook$;Location=OH1_RIQuery;Extended Properties=&quot;&quot;" command="SELECT * FROM [OH1_RIQuery]"/>
  </connection>
  <connection id="9" xr16:uid="{00000000-0015-0000-FFFF-FFFF0E000000}" name="VC_ADT_TADT" type="1" refreshedVersion="3" savePassword="1" deleted="1" background="1" saveData="1">
    <dbPr connection="" command=""/>
    <parameters count="3">
      <parameter name="Parameter1" sqlType="12" parameterType="cell" cell="SafetySummary!$GL$5"/>
      <parameter name="Parameter2" sqlType="12" parameterType="cell" cell="SafetySummary!$GM$5"/>
      <parameter name="Parameter3" sqlType="12" parameterType="cell" cell="SafetySummary!$GN$5"/>
    </parameters>
  </connection>
</connections>
</file>

<file path=xl/sharedStrings.xml><?xml version="1.0" encoding="utf-8"?>
<sst xmlns="http://schemas.openxmlformats.org/spreadsheetml/2006/main" count="78504" uniqueCount="7510">
  <si>
    <t>TIME OF DAY</t>
  </si>
  <si>
    <t>ROADWAY CONDITION</t>
  </si>
  <si>
    <t>CRASH TYPE</t>
  </si>
  <si>
    <t>DAY</t>
  </si>
  <si>
    <t>DAWN/DUSK</t>
  </si>
  <si>
    <t>DARK</t>
  </si>
  <si>
    <t>DRY</t>
  </si>
  <si>
    <t>WET</t>
  </si>
  <si>
    <t>SNOW / ICE</t>
  </si>
  <si>
    <t>REAR END</t>
  </si>
  <si>
    <t>LEFT</t>
  </si>
  <si>
    <t>RIGHT</t>
  </si>
  <si>
    <t>ANGLE</t>
  </si>
  <si>
    <t>HEAD ON</t>
  </si>
  <si>
    <t>SS PASS</t>
  </si>
  <si>
    <t>FIXED OBJ</t>
  </si>
  <si>
    <t>RAN OFF RD</t>
  </si>
  <si>
    <t>PEDESTRIAN</t>
  </si>
  <si>
    <t>OTHER</t>
  </si>
  <si>
    <t>HYPERLINK</t>
  </si>
  <si>
    <t>ACCIDENTS_POINTS_NBR</t>
  </si>
  <si>
    <t>LOCAL_REPORT_NBR</t>
  </si>
  <si>
    <t>LOGPOINT_SLM_NBR</t>
  </si>
  <si>
    <t>CRASH_DT</t>
  </si>
  <si>
    <t>STREET1</t>
  </si>
  <si>
    <t>STREET2_REFERENCE</t>
  </si>
  <si>
    <t>DISTANCE_OFFSET</t>
  </si>
  <si>
    <t>DAY_OF_WEEK_TXT</t>
  </si>
  <si>
    <t>HOUR_OF_DAY</t>
  </si>
  <si>
    <t>LIGHT_CONDITION_TXT</t>
  </si>
  <si>
    <t>TYPE_OF_CRASH_TXT</t>
  </si>
  <si>
    <t>NUMBER_OF_VEHICLES</t>
  </si>
  <si>
    <t>CRASH_SEVERITY_TXT</t>
  </si>
  <si>
    <t>WEATHER_CONDITION_TXT</t>
  </si>
  <si>
    <t>ROAD_CONDITION_TXT</t>
  </si>
  <si>
    <t>LOCATION_TXT</t>
  </si>
  <si>
    <t>CONTRIBUTING_FACTOR1_TXT</t>
  </si>
  <si>
    <t>ACTION1_TXT</t>
  </si>
  <si>
    <t>VEHICLE_TYPE1_TXT</t>
  </si>
  <si>
    <t>DIRECTION_FROM1_TXT</t>
  </si>
  <si>
    <t>DIRECTION_TO1_TXT</t>
  </si>
  <si>
    <t>DRIVER_AGE1</t>
  </si>
  <si>
    <t>DRIVER_GENDER1_TXT</t>
  </si>
  <si>
    <t>TRAFFIC_CONTROL1_TXT</t>
  </si>
  <si>
    <t>DRIVER_ALCOHOL1_TXT</t>
  </si>
  <si>
    <t>DRIVER_DRUGS1_TXT</t>
  </si>
  <si>
    <t>ESTIMATED_SPEED1_TXT</t>
  </si>
  <si>
    <t>POSTED_SPEED1_TXT</t>
  </si>
  <si>
    <t>CONTRIBUTING_FACTOR2_TXT</t>
  </si>
  <si>
    <t>ACTION2_TXT</t>
  </si>
  <si>
    <t>VEHICLE_TYPE2_TXT</t>
  </si>
  <si>
    <t>DRIVER_AGE2</t>
  </si>
  <si>
    <t>DRIVER_GENDER2_TXT</t>
  </si>
  <si>
    <t>DIRECTION_FROM2_TXT</t>
  </si>
  <si>
    <t>DIRECTION_TO2_TXT</t>
  </si>
  <si>
    <t>DRIVER_ALCOHOL2_TXT</t>
  </si>
  <si>
    <t>DRIVER_DRUGS2_TXT</t>
  </si>
  <si>
    <t>SPECIAL_AREA_TXT</t>
  </si>
  <si>
    <t>ANIMAL_TYPE_TXT</t>
  </si>
  <si>
    <t>ROAD_CONTOUR_TXT</t>
  </si>
  <si>
    <t>INJ_TYPE1_FATAL</t>
  </si>
  <si>
    <t>INJ_TYPE2_SERIOUS_VISIBLE</t>
  </si>
  <si>
    <t>INJ_TYPE3_MINOR_VISIBLE</t>
  </si>
  <si>
    <t>INJ_TYPE4_NO_VISIBLE</t>
  </si>
  <si>
    <t>DIRECTION_FROM_REF_TXT</t>
  </si>
  <si>
    <t>DISTRICT_NBR</t>
  </si>
  <si>
    <t>COUNTY_CD</t>
  </si>
  <si>
    <t>TRAFFIC_CRASH_YEAR</t>
  </si>
  <si>
    <t>CRASH_MONTH_NBR</t>
  </si>
  <si>
    <t>INJ/FAT</t>
  </si>
  <si>
    <t>SNOW/ICE</t>
  </si>
  <si>
    <t>PDO</t>
  </si>
  <si>
    <t>I/F</t>
  </si>
  <si>
    <t>Roadview</t>
  </si>
  <si>
    <t>Google</t>
  </si>
  <si>
    <t>Label</t>
  </si>
  <si>
    <t>ID</t>
  </si>
  <si>
    <t>TYPE</t>
  </si>
  <si>
    <t>Zone</t>
  </si>
  <si>
    <t>Day</t>
  </si>
  <si>
    <t>Year</t>
  </si>
  <si>
    <t>Severity</t>
  </si>
  <si>
    <t>DFrom1</t>
  </si>
  <si>
    <t>DFrom2</t>
  </si>
  <si>
    <t>DTo1</t>
  </si>
  <si>
    <t>DTo2</t>
  </si>
  <si>
    <t>StreetOn</t>
  </si>
  <si>
    <t>LogPoint</t>
  </si>
  <si>
    <t>StreetAt</t>
  </si>
  <si>
    <t>RowID</t>
  </si>
  <si>
    <t>Date</t>
  </si>
  <si>
    <t>Hour</t>
  </si>
  <si>
    <t>DocNum</t>
  </si>
  <si>
    <t>Light Cond</t>
  </si>
  <si>
    <t>Road Cond</t>
  </si>
  <si>
    <t>OffsetDirection</t>
  </si>
  <si>
    <t>Symbol</t>
  </si>
  <si>
    <t>Box</t>
  </si>
  <si>
    <t>Offset</t>
  </si>
  <si>
    <t>/</t>
  </si>
  <si>
    <t>Grand Total</t>
  </si>
  <si>
    <t>%</t>
  </si>
  <si>
    <t>DRIVER_DRUGS2</t>
  </si>
  <si>
    <t>Number</t>
  </si>
  <si>
    <t>DRIVER_ALCOHOL2</t>
  </si>
  <si>
    <t>(blank)</t>
  </si>
  <si>
    <t>DIRECTION_TO2</t>
  </si>
  <si>
    <t>DIRECTION_FROM2</t>
  </si>
  <si>
    <t>CONTRIBUTING_FACTOR2</t>
  </si>
  <si>
    <t>ACTION2</t>
  </si>
  <si>
    <t>VEHICLE_TYPE2</t>
  </si>
  <si>
    <t>VEHICLE_TYPE1</t>
  </si>
  <si>
    <t>ESTIMATED_SPEED1</t>
  </si>
  <si>
    <t>POSTED_SPEED1</t>
  </si>
  <si>
    <t>CRASH_SEVERITY</t>
  </si>
  <si>
    <t>TYPE_OF_CRASH</t>
  </si>
  <si>
    <t>DIRECTION_TO1</t>
  </si>
  <si>
    <t>DIRECTION_FROM1</t>
  </si>
  <si>
    <t>DRIVER_DRUGS1</t>
  </si>
  <si>
    <t>DRIVER_ALCOHOL1</t>
  </si>
  <si>
    <t>TRAFFIC_CONTROL1</t>
  </si>
  <si>
    <t>CONTRIBUTING_FACTOR1</t>
  </si>
  <si>
    <t>ACTION1</t>
  </si>
  <si>
    <t>ANIMAL_TYPE</t>
  </si>
  <si>
    <t>SPECIAL_AREA</t>
  </si>
  <si>
    <t>ROAD_CONTOUR</t>
  </si>
  <si>
    <t>LOCATION</t>
  </si>
  <si>
    <t>LIGHT_CONDITION</t>
  </si>
  <si>
    <t>ROAD_CONDITION</t>
  </si>
  <si>
    <t>WEATHER_CONDITION</t>
  </si>
  <si>
    <t>Incapacitating Injuries</t>
  </si>
  <si>
    <t>Fatalities</t>
  </si>
  <si>
    <t>DAY_OF_WEEK</t>
  </si>
  <si>
    <t>Total</t>
  </si>
  <si>
    <t>SEVERITY</t>
  </si>
  <si>
    <t>Count of ACCIDENTS_POINTS_NBR</t>
  </si>
  <si>
    <t>Click for Histogram 12 Graph</t>
  </si>
  <si>
    <t>Click to go to Histogram 12 data</t>
  </si>
  <si>
    <t>Click to go to Histogram 11 data</t>
  </si>
  <si>
    <t>Click to go to Histogram 10 data</t>
  </si>
  <si>
    <t>Click to go to Histogram 9 data</t>
  </si>
  <si>
    <t>Click to go to Histogram 8 data</t>
  </si>
  <si>
    <t>Click to go to Histogram 7 data</t>
  </si>
  <si>
    <t>Click to go to Histogram 6 data</t>
  </si>
  <si>
    <t>Click to go to Histogram 5 data</t>
  </si>
  <si>
    <t>Click to go to Histogram 4 data</t>
  </si>
  <si>
    <t>Click to go to Histogram 3 data</t>
  </si>
  <si>
    <t>Click to go to Histogram 2 data</t>
  </si>
  <si>
    <t>Click to go to Histogram 1 data</t>
  </si>
  <si>
    <t>Copy and paste this call-out box for use on the chart</t>
  </si>
  <si>
    <t>Histogram 12</t>
  </si>
  <si>
    <t>Histogram 11</t>
  </si>
  <si>
    <t>Histogram 10</t>
  </si>
  <si>
    <t>Histogram 9</t>
  </si>
  <si>
    <t>Histogram 8</t>
  </si>
  <si>
    <t>Histogram 7</t>
  </si>
  <si>
    <t>Histogram 6</t>
  </si>
  <si>
    <t>Histogram 5</t>
  </si>
  <si>
    <t>Histogram 4</t>
  </si>
  <si>
    <t>Histogram 3</t>
  </si>
  <si>
    <t>Histogram 2</t>
  </si>
  <si>
    <t>Histogram 1</t>
  </si>
  <si>
    <t>Click Buttons Below to Modify</t>
  </si>
  <si>
    <t>Click for Histogram 11 Graph</t>
  </si>
  <si>
    <t>Click for Histogram 10 Graph</t>
  </si>
  <si>
    <t>Click for Histogram 9 Graph</t>
  </si>
  <si>
    <t>Click for Histogram 8 Graph</t>
  </si>
  <si>
    <t>Click for Histogram 7 Graph</t>
  </si>
  <si>
    <t>Click for Histogram 6 Graph</t>
  </si>
  <si>
    <t>Click for Histogram 5 Graph</t>
  </si>
  <si>
    <t>Click for Histogram 4 Graph</t>
  </si>
  <si>
    <t>Click for Histogram 3 Graph</t>
  </si>
  <si>
    <t>Click for Histogram 2 Graph</t>
  </si>
  <si>
    <t>Click for Histogram 1 Graph</t>
  </si>
  <si>
    <t>Default Bin Size is 0.1 Miles</t>
  </si>
  <si>
    <t>Total Crashes</t>
  </si>
  <si>
    <t>Crash Type</t>
  </si>
  <si>
    <t>Crash Rate per Million Vehicle Miles Traveled (MVMT):</t>
  </si>
  <si>
    <t>Number of Days in Year:</t>
  </si>
  <si>
    <t>Enter Length of Section in Miles</t>
  </si>
  <si>
    <t>Enter Average Daily Traffic on Section (ADT):</t>
  </si>
  <si>
    <t>Enter Number of Years for Crash Data:</t>
  </si>
  <si>
    <t>Enter Number of Crashes on Section:</t>
  </si>
  <si>
    <t>Crash Year Data:</t>
  </si>
  <si>
    <t>ELog:</t>
  </si>
  <si>
    <t>BLog:</t>
  </si>
  <si>
    <t>Route:</t>
  </si>
  <si>
    <t>County:</t>
  </si>
  <si>
    <t>Crash Rate per Million Entering Vehicles (MEV):</t>
  </si>
  <si>
    <t>Enter Number of Intersection Entering Vehicles:</t>
  </si>
  <si>
    <t>Enter Number of Crashes for Intersection:</t>
  </si>
  <si>
    <t xml:space="preserve">Entering Vehicles </t>
  </si>
  <si>
    <t xml:space="preserve">Entering Leg 5 </t>
  </si>
  <si>
    <t xml:space="preserve">Entering Leg 4 </t>
  </si>
  <si>
    <t>R2:</t>
  </si>
  <si>
    <t xml:space="preserve">Entering Leg 3 </t>
  </si>
  <si>
    <t>R1 Log:</t>
  </si>
  <si>
    <t xml:space="preserve">Entering Leg 2 </t>
  </si>
  <si>
    <t>R1:</t>
  </si>
  <si>
    <t xml:space="preserve">Entering Leg 1 </t>
  </si>
  <si>
    <t>RAN OFF ROAD</t>
  </si>
  <si>
    <t xml:space="preserve">   Select Appropriate "Location Type" and Modify the "User Override" Cells in Yellow if Necessary</t>
  </si>
  <si>
    <t>Overturning</t>
  </si>
  <si>
    <t>Freeway</t>
  </si>
  <si>
    <t>Urban Non-Freeway</t>
  </si>
  <si>
    <t>Rural Non-Freeway</t>
  </si>
  <si>
    <t>Train</t>
  </si>
  <si>
    <t>Animal</t>
  </si>
  <si>
    <t>DO NOT MODIFY CELLS IN THIS COLUMN</t>
  </si>
  <si>
    <t>Pedestrian</t>
  </si>
  <si>
    <t>Parked Vehicle</t>
  </si>
  <si>
    <t>Angle</t>
  </si>
  <si>
    <t>Backing</t>
  </si>
  <si>
    <t>Head on</t>
  </si>
  <si>
    <t>Crash Type #</t>
  </si>
  <si>
    <t>Crash Type Severity Calc</t>
  </si>
  <si>
    <t>Auto Fill</t>
  </si>
  <si>
    <t>User Override</t>
  </si>
  <si>
    <t xml:space="preserve">RSI Value = </t>
  </si>
  <si>
    <t>Select Location Type:</t>
  </si>
  <si>
    <t>Location</t>
  </si>
  <si>
    <t>Intersection</t>
  </si>
  <si>
    <t>RSI</t>
  </si>
  <si>
    <t>Crash Rate</t>
  </si>
  <si>
    <t>Length</t>
  </si>
  <si>
    <t>Wet</t>
  </si>
  <si>
    <t>Night</t>
  </si>
  <si>
    <t>All</t>
  </si>
  <si>
    <t>Estimates of Countermeasure Effectiveness Reduction (CRF) Factors</t>
  </si>
  <si>
    <t>Do Not Modify</t>
  </si>
  <si>
    <t>Left Turn</t>
  </si>
  <si>
    <t>FIXED OBJECT</t>
  </si>
  <si>
    <t>ANIMAL</t>
  </si>
  <si>
    <t>SIDESWIPE - PASSING</t>
  </si>
  <si>
    <t>SIDESWIPE - MEETING</t>
  </si>
  <si>
    <t>BACKING</t>
  </si>
  <si>
    <t>PARKED VEHICLE</t>
  </si>
  <si>
    <t>LEFT TURN</t>
  </si>
  <si>
    <t>RIGHT TURN</t>
  </si>
  <si>
    <t>NORTH</t>
  </si>
  <si>
    <t>SOUTH</t>
  </si>
  <si>
    <t>EAST</t>
  </si>
  <si>
    <t>WEST</t>
  </si>
  <si>
    <t>NORTHEAST</t>
  </si>
  <si>
    <t>NORTHWEST</t>
  </si>
  <si>
    <t>SOUTHWEST</t>
  </si>
  <si>
    <t>SOUTHEAST</t>
  </si>
  <si>
    <t>OTHER NON-VEHICLE</t>
  </si>
  <si>
    <t>OVERTURNING</t>
  </si>
  <si>
    <t>NOT STATED</t>
  </si>
  <si>
    <t>PEDALCYCLES</t>
  </si>
  <si>
    <t>TRAIN</t>
  </si>
  <si>
    <t>OTHER OBJECT</t>
  </si>
  <si>
    <t>OTHER NON-COLLISION</t>
  </si>
  <si>
    <t>NLF_ID</t>
  </si>
  <si>
    <t>FILENAME_NME</t>
  </si>
  <si>
    <t>Mashed Map</t>
  </si>
  <si>
    <t>Direction1FromTo</t>
  </si>
  <si>
    <t>UNKNOWN</t>
  </si>
  <si>
    <t>N</t>
  </si>
  <si>
    <t>S</t>
  </si>
  <si>
    <t>E</t>
  </si>
  <si>
    <t>W</t>
  </si>
  <si>
    <t>NW</t>
  </si>
  <si>
    <t>NE</t>
  </si>
  <si>
    <t>SW</t>
  </si>
  <si>
    <t>SE</t>
  </si>
  <si>
    <t>Direction2FromTo</t>
  </si>
  <si>
    <t>LOCAL REPORT NBR</t>
  </si>
  <si>
    <t>CRASH DT</t>
  </si>
  <si>
    <t>STREET2 REFERENCE</t>
  </si>
  <si>
    <t>DISTANCE OFFSET</t>
  </si>
  <si>
    <t>NUMBER OF VEHICLES</t>
  </si>
  <si>
    <t>DRIVER AGE1</t>
  </si>
  <si>
    <t>DRIVER AGE2</t>
  </si>
  <si>
    <t>NLFID</t>
  </si>
  <si>
    <t>ROW ID</t>
  </si>
  <si>
    <t>HOUR</t>
  </si>
  <si>
    <t>LIGHT CONDITION</t>
  </si>
  <si>
    <t>TYPE OF CRASH</t>
  </si>
  <si>
    <t>CRASH SEVERITY</t>
  </si>
  <si>
    <t>WEATHER CONDITION</t>
  </si>
  <si>
    <t>MONTH</t>
  </si>
  <si>
    <t>YEAR</t>
  </si>
  <si>
    <t>ROAD CONDITION</t>
  </si>
  <si>
    <t>CONTRIBUTING FACTOR1</t>
  </si>
  <si>
    <t>DIRECTION FROM1</t>
  </si>
  <si>
    <t>DIRECTION TO1</t>
  </si>
  <si>
    <t>OBJECT STRUCK1</t>
  </si>
  <si>
    <t>VEHICLE TYPE1</t>
  </si>
  <si>
    <t>DRIVER GENDER1</t>
  </si>
  <si>
    <t>TRAFFIC CONTROL1</t>
  </si>
  <si>
    <t>DRIVER ALCOHOL1</t>
  </si>
  <si>
    <t>DRIVER DRUGS1</t>
  </si>
  <si>
    <t>ESTIMATED SPEED1</t>
  </si>
  <si>
    <t>POSTED SPEED1</t>
  </si>
  <si>
    <t>CONTRIBUTING FACTOR2</t>
  </si>
  <si>
    <t>VEHICLE TYPE2</t>
  </si>
  <si>
    <t>DRIVER GENDER2</t>
  </si>
  <si>
    <t>DIRECTION FROM2</t>
  </si>
  <si>
    <t>DIRECTION TO2</t>
  </si>
  <si>
    <t>DRIVER ALCOHOL2</t>
  </si>
  <si>
    <t>DRIVER DRUGS2</t>
  </si>
  <si>
    <t>SPECIAL AREA</t>
  </si>
  <si>
    <t>DIRECTION FROM REF</t>
  </si>
  <si>
    <t>ROAD CONTOUR</t>
  </si>
  <si>
    <t>FATAL</t>
  </si>
  <si>
    <t>SERIOUS INJ</t>
  </si>
  <si>
    <t>MINOR INJ</t>
  </si>
  <si>
    <t>NO VISIBLE INJ</t>
  </si>
  <si>
    <t>ACCIDENT NBR</t>
  </si>
  <si>
    <t>LOGPOINT</t>
  </si>
  <si>
    <t>U</t>
  </si>
  <si>
    <t>Pedalcycles</t>
  </si>
  <si>
    <t>X</t>
  </si>
  <si>
    <t>Y</t>
  </si>
  <si>
    <t>DOCUMENT_NBR</t>
  </si>
  <si>
    <t>COUNTY_LOG_NBR</t>
  </si>
  <si>
    <t>ODOT_LATITUDE_NBR</t>
  </si>
  <si>
    <t>ODOT_LONGITUDE_NBR</t>
  </si>
  <si>
    <t>SEVERITY_BY_TYPE_CD</t>
  </si>
  <si>
    <t>CRASH_TYPE_CD</t>
  </si>
  <si>
    <t>INCAPAC_INJURIES_NBR</t>
  </si>
  <si>
    <t>NON_INCAPAC_INJURIES_NBR</t>
  </si>
  <si>
    <t>POSSIBLE_INJURIES_NBR</t>
  </si>
  <si>
    <t>ODOT_INTERSECTION_REL_IND</t>
  </si>
  <si>
    <t>FUNCTIONAL_CLASS_CD</t>
  </si>
  <si>
    <t>ODOT_MAINTAINED_HWY_IND</t>
  </si>
  <si>
    <t>NLF_COUNTY_CD</t>
  </si>
  <si>
    <t>CRASH_YR</t>
  </si>
  <si>
    <t>DAY_IN_WEEK_CD</t>
  </si>
  <si>
    <t>WEATHER_COND_CD</t>
  </si>
  <si>
    <t>ROAD_COND_PRIMARY_CD</t>
  </si>
  <si>
    <t>ROAD_COND_SECONDARY_CD</t>
  </si>
  <si>
    <t>LIGHT_COND_PRIMARY_CD</t>
  </si>
  <si>
    <t>ROAD_CONTOUR_CD</t>
  </si>
  <si>
    <t>ODPS_ALCOHOL_IND</t>
  </si>
  <si>
    <t>ODPS_DRUG_IND</t>
  </si>
  <si>
    <t>ODPS_SCHOOL_ZONE_IND</t>
  </si>
  <si>
    <t>ODPS_MOTORCYCLE_IND</t>
  </si>
  <si>
    <t>ODPS_SPEED_IND</t>
  </si>
  <si>
    <t>ODPS_WORK_ZONE_IND</t>
  </si>
  <si>
    <t>ODPS_LOC_IN_WORK_ZONE_CD</t>
  </si>
  <si>
    <t>ODPS_TYPE_OF_WORK_ZONE_CD</t>
  </si>
  <si>
    <t>ODPS_LOC_ROAD_SUFFIX_CD</t>
  </si>
  <si>
    <t>ODPS_LOC_ROUTE_PREFIX_CD</t>
  </si>
  <si>
    <t>ODPS_REF_DIRECTION_CD</t>
  </si>
  <si>
    <t>ODPS_REF_SUFFIX_CD</t>
  </si>
  <si>
    <t>ODPS_REF_ROUTE_PREFIX_CD</t>
  </si>
  <si>
    <t>ODPS_REF_POINT_USED_CD</t>
  </si>
  <si>
    <t>LOCAL_REPORT_NUMBER_ID</t>
  </si>
  <si>
    <t>U1_ODPS_UNIT_NBR</t>
  </si>
  <si>
    <t>U1_DIRECTION_FROM_CD</t>
  </si>
  <si>
    <t>U1_DIRECTION_TO_CD</t>
  </si>
  <si>
    <t>U1_TRAFFIC_CONTROL_CD</t>
  </si>
  <si>
    <t>U1_TYPE_OF_UNIT_CD</t>
  </si>
  <si>
    <t>U1_SPECIAL_FUNCTION_CD</t>
  </si>
  <si>
    <t>U1_PRECRASH_ACTION_CD</t>
  </si>
  <si>
    <t>U1_CONT_CIR_PRIMARY_CD</t>
  </si>
  <si>
    <t>U1_CONT_CIR_SECONDARY_CD</t>
  </si>
  <si>
    <t>U1_SEQ_OF_EVENTS_1_CD</t>
  </si>
  <si>
    <t>U1_SEQ_OF_EVENTS_2_CD</t>
  </si>
  <si>
    <t>U1_SEQ_OF_EVENTS_3_CD</t>
  </si>
  <si>
    <t>U1_SEQ_OF_EVENTS_4_CD</t>
  </si>
  <si>
    <t>U1_SEQ_OF_EVENTS_5_CD</t>
  </si>
  <si>
    <t>U1_SEQ_OF_EVENTS_6_CD</t>
  </si>
  <si>
    <t>U1_NON_MOTORIST_LOC_CD</t>
  </si>
  <si>
    <t>U1_AGE_NBR</t>
  </si>
  <si>
    <t>U1_GENDER_CD</t>
  </si>
  <si>
    <t>U1_ALCOH_DRUG_SUSPCTD_CD</t>
  </si>
  <si>
    <t>U1_DISTRACTED_BY_1_CD</t>
  </si>
  <si>
    <t>U1_DISTRACTED_BY_2_CD</t>
  </si>
  <si>
    <t>U2_ODPS_UNIT_NBR</t>
  </si>
  <si>
    <t>U2_DIRECTION_FROM_CD</t>
  </si>
  <si>
    <t>U2_DIRECTION_TO_CD</t>
  </si>
  <si>
    <t>U2_TRAFFIC_CONTROL_CD</t>
  </si>
  <si>
    <t>U2_TYPE_OF_UNIT_CD</t>
  </si>
  <si>
    <t>U2_SPECIAL_FUNCTION_CD</t>
  </si>
  <si>
    <t>U2_PRECRASH_ACTION_CD</t>
  </si>
  <si>
    <t>U2_CONT_CIR_PRIMARY_CD</t>
  </si>
  <si>
    <t>U2_SEQ_OF_EVENTS_1_CD</t>
  </si>
  <si>
    <t>U2_SEQ_OF_EVENTS_2_CD</t>
  </si>
  <si>
    <t>U2_SEQ_OF_EVENTS_3_CD</t>
  </si>
  <si>
    <t>U2_SEQ_OF_EVENTS_4_CD</t>
  </si>
  <si>
    <t>U2_SEQ_OF_EVENTS_5_CD</t>
  </si>
  <si>
    <t>U2_SEQ_OF_EVENTS_6_CD</t>
  </si>
  <si>
    <t>U2_NON_MOTORIST_LOC_CD</t>
  </si>
  <si>
    <t>U2_AGE_NBR</t>
  </si>
  <si>
    <t>U2_GENDER_CD</t>
  </si>
  <si>
    <t>U2_DISTRACTED_BY_1_CD</t>
  </si>
  <si>
    <t>Rear End</t>
  </si>
  <si>
    <t>Not An Intersection</t>
  </si>
  <si>
    <t>Clear</t>
  </si>
  <si>
    <t>No</t>
  </si>
  <si>
    <t>Unknown or Not in Work Zone</t>
  </si>
  <si>
    <t>Mile Post</t>
  </si>
  <si>
    <t>Southwest</t>
  </si>
  <si>
    <t>Northeast</t>
  </si>
  <si>
    <t>None</t>
  </si>
  <si>
    <t>Straight Ahead</t>
  </si>
  <si>
    <t>Motor Vehicle In Transport</t>
  </si>
  <si>
    <t>Unknown</t>
  </si>
  <si>
    <t>Sideswipe - Passing</t>
  </si>
  <si>
    <t>Cloudy</t>
  </si>
  <si>
    <t>Daylight</t>
  </si>
  <si>
    <t>West</t>
  </si>
  <si>
    <t>East</t>
  </si>
  <si>
    <t>Other Improper Action</t>
  </si>
  <si>
    <t>Overtaking/Passing</t>
  </si>
  <si>
    <t>Other Non-Collision</t>
  </si>
  <si>
    <t>North</t>
  </si>
  <si>
    <t>South</t>
  </si>
  <si>
    <t>Cargo/Equipment Loss Or Shift</t>
  </si>
  <si>
    <t>Activity Area</t>
  </si>
  <si>
    <t>Lane Closure</t>
  </si>
  <si>
    <t>Slowing Or Stopped In Traffic</t>
  </si>
  <si>
    <t>Fixed Object</t>
  </si>
  <si>
    <t>Sport Utility Vehicle</t>
  </si>
  <si>
    <t>Ran Off Road Left</t>
  </si>
  <si>
    <t>Sideswipe - Meeting</t>
  </si>
  <si>
    <t>Rain</t>
  </si>
  <si>
    <t>Cross Median</t>
  </si>
  <si>
    <t>House Number</t>
  </si>
  <si>
    <t>Four-Way Intersection</t>
  </si>
  <si>
    <t>Work On Shoulder or Median</t>
  </si>
  <si>
    <t>Unsafe Speed</t>
  </si>
  <si>
    <t>On Ramp</t>
  </si>
  <si>
    <t>Bridge Rail</t>
  </si>
  <si>
    <t>Police</t>
  </si>
  <si>
    <t>Parked</t>
  </si>
  <si>
    <t>Snow</t>
  </si>
  <si>
    <t>Sleet, Hail</t>
  </si>
  <si>
    <t>Ran Off Road Right</t>
  </si>
  <si>
    <t>Stop Sign</t>
  </si>
  <si>
    <t>T-Intersection</t>
  </si>
  <si>
    <t>Making Right Turn</t>
  </si>
  <si>
    <t>Making Left Turn</t>
  </si>
  <si>
    <t>Driveway/Alley Access</t>
  </si>
  <si>
    <t>Head On</t>
  </si>
  <si>
    <t>Changing Lanes</t>
  </si>
  <si>
    <t>Ran Red Light</t>
  </si>
  <si>
    <t>Improper Backing</t>
  </si>
  <si>
    <t>Off Ramp</t>
  </si>
  <si>
    <t>Construction Equipment</t>
  </si>
  <si>
    <t>Entering Traffic Lane</t>
  </si>
  <si>
    <t>Northwest</t>
  </si>
  <si>
    <t>Southeast</t>
  </si>
  <si>
    <t>Fog, Smog, Smoke</t>
  </si>
  <si>
    <t>Vision Obstruction</t>
  </si>
  <si>
    <t>Other Object</t>
  </si>
  <si>
    <t>Parked Motor Vehicle</t>
  </si>
  <si>
    <t>Improper Turn</t>
  </si>
  <si>
    <t>Overturn/Rollover</t>
  </si>
  <si>
    <t>Other</t>
  </si>
  <si>
    <t>Bridge Overhead Structure</t>
  </si>
  <si>
    <t>Other Post, Pole Or Support</t>
  </si>
  <si>
    <t>Lane Shift/Crossover</t>
  </si>
  <si>
    <t>Ran Stop Sign</t>
  </si>
  <si>
    <t>Operating Defective Equipment</t>
  </si>
  <si>
    <t>Guardrail Face</t>
  </si>
  <si>
    <t>Other Fixed Object</t>
  </si>
  <si>
    <t>Curb</t>
  </si>
  <si>
    <t>Blowing Sand, Soil, Dirt, Snow</t>
  </si>
  <si>
    <t>Leaving Traffic Lane</t>
  </si>
  <si>
    <t>Pedestrian/Skater</t>
  </si>
  <si>
    <t>Other Non-Motorist</t>
  </si>
  <si>
    <t>Advance Warning Area</t>
  </si>
  <si>
    <t>Fire/Explosion</t>
  </si>
  <si>
    <t>Yield Sign</t>
  </si>
  <si>
    <t>Median Other Barrier</t>
  </si>
  <si>
    <t>Y-Intersection</t>
  </si>
  <si>
    <t>Transition Area</t>
  </si>
  <si>
    <t>Motorhome</t>
  </si>
  <si>
    <t>Driverless</t>
  </si>
  <si>
    <t>Railroad Grade Crossing</t>
  </si>
  <si>
    <t>Utility Pole</t>
  </si>
  <si>
    <t>Improper Crossing</t>
  </si>
  <si>
    <t>5 Or More Point Intersection</t>
  </si>
  <si>
    <t>Working</t>
  </si>
  <si>
    <t>Intermittent or Moving Work</t>
  </si>
  <si>
    <t>Pedalcycle</t>
  </si>
  <si>
    <t>Ambulance</t>
  </si>
  <si>
    <t>Guardrail End</t>
  </si>
  <si>
    <t>Severe Crosswinds</t>
  </si>
  <si>
    <t>Traffic Circle/Roundabout</t>
  </si>
  <si>
    <t>Crossover</t>
  </si>
  <si>
    <t>Making U-Turn</t>
  </si>
  <si>
    <t>Traffic Sign Post</t>
  </si>
  <si>
    <t>Tree</t>
  </si>
  <si>
    <t>Separation Of Units</t>
  </si>
  <si>
    <t>Place Name Without Reference</t>
  </si>
  <si>
    <t>Light/Luminaries Support</t>
  </si>
  <si>
    <t>Driveway</t>
  </si>
  <si>
    <t>Jackknife</t>
  </si>
  <si>
    <t>Shoulder/Roadside</t>
  </si>
  <si>
    <t>Category Txt</t>
  </si>
  <si>
    <t>Crash Severity</t>
  </si>
  <si>
    <t>Other Non-Vehicle</t>
  </si>
  <si>
    <t>Falling From Or In Vehicle</t>
  </si>
  <si>
    <t>Shared-Use Paths Or Trails</t>
  </si>
  <si>
    <t>Dry</t>
  </si>
  <si>
    <t>Ice</t>
  </si>
  <si>
    <t>Sand, Mud, Dirt, Oil, Gravel</t>
  </si>
  <si>
    <t>Water (Standing, Moving)</t>
  </si>
  <si>
    <t>Slush</t>
  </si>
  <si>
    <t>Dark - Lighted Roadway</t>
  </si>
  <si>
    <t>Dark - Roadway Not Lighted</t>
  </si>
  <si>
    <t>Dark - Unknown Roadway Lighting</t>
  </si>
  <si>
    <t>Straight Level</t>
  </si>
  <si>
    <t>Straight Grade</t>
  </si>
  <si>
    <t>Curve Level</t>
  </si>
  <si>
    <t>Curve Grade</t>
  </si>
  <si>
    <t>Before First Work Zone Warning Sign</t>
  </si>
  <si>
    <t>Termination Area</t>
  </si>
  <si>
    <t>Unknown/Missing</t>
  </si>
  <si>
    <t>2</t>
  </si>
  <si>
    <t>State Line</t>
  </si>
  <si>
    <t>County Line</t>
  </si>
  <si>
    <t>Township Boundary</t>
  </si>
  <si>
    <t>Corporation Limit</t>
  </si>
  <si>
    <t>Taxi</t>
  </si>
  <si>
    <t>Fire</t>
  </si>
  <si>
    <t>Military</t>
  </si>
  <si>
    <t>Public Utility</t>
  </si>
  <si>
    <t>Farm Equipment</t>
  </si>
  <si>
    <t>Golf Cart</t>
  </si>
  <si>
    <t>Standing</t>
  </si>
  <si>
    <t>Immersion</t>
  </si>
  <si>
    <t>Downhill Runaway</t>
  </si>
  <si>
    <t>Impact Attenuator/Crash Cushion</t>
  </si>
  <si>
    <t>Bridge Pier Or Abutment</t>
  </si>
  <si>
    <t>Bridge Parapet</t>
  </si>
  <si>
    <t>Portable Barrier</t>
  </si>
  <si>
    <t>Median Cable Barrier</t>
  </si>
  <si>
    <t>Median Guardrail Barrier</t>
  </si>
  <si>
    <t>Median Concrete Barrier</t>
  </si>
  <si>
    <t>Overhead Sign Post</t>
  </si>
  <si>
    <t>Culvert</t>
  </si>
  <si>
    <t>Ditch</t>
  </si>
  <si>
    <t>Embankment</t>
  </si>
  <si>
    <t>Fence</t>
  </si>
  <si>
    <t>Mailbox</t>
  </si>
  <si>
    <t>Fire Hydrant</t>
  </si>
  <si>
    <t>Bicycle Lane</t>
  </si>
  <si>
    <t>Sidewalk</t>
  </si>
  <si>
    <t>Median/Crossing Island</t>
  </si>
  <si>
    <t>Driveway Access</t>
  </si>
  <si>
    <t>Shared Use Paths or Trails</t>
  </si>
  <si>
    <t>4</t>
  </si>
  <si>
    <t>CrashType</t>
  </si>
  <si>
    <t>NLF ID</t>
  </si>
  <si>
    <t>Filename Nme</t>
  </si>
  <si>
    <t>City Village Twp Cd</t>
  </si>
  <si>
    <t>City Village Twp Nme</t>
  </si>
  <si>
    <t>Latitude Nbr</t>
  </si>
  <si>
    <t>Longitude Nbr</t>
  </si>
  <si>
    <t>BLOG</t>
  </si>
  <si>
    <t>ELOG</t>
  </si>
  <si>
    <t>Current File Name</t>
  </si>
  <si>
    <t>Current File Path</t>
  </si>
  <si>
    <t>Run CAM Tool Crash Data for Desired Sections</t>
  </si>
  <si>
    <t>Run Congestion Model Weighted Average Data for Desired Sections</t>
  </si>
  <si>
    <t>Min(BTRS_LOG_POINTS6.LOGPOINT_COUNTY_NBR)</t>
  </si>
  <si>
    <t>Max(BTRS_LOG_POINTS6.LOGPOINT_COUNTY_NBR)</t>
  </si>
  <si>
    <t>Avg(BTRS_CONGESTION_SEGMENTS6.TOTAL_VOLUME_NBR)</t>
  </si>
  <si>
    <t>Avg(BTRS_CONGESTION_SEGMENTS6.TRUCK_VOLUME_NBR)</t>
  </si>
  <si>
    <t>Avg(BTRS_CONGESTION_SEGMENTS6.VOLUME_CAPACITY_RATIO_NBR)</t>
  </si>
  <si>
    <t>Min(BTRS_LOG_POINTS6.FUNCTIONAL_CLASS_CD)</t>
  </si>
  <si>
    <t>Max(BTRS_LOG_POINTS6.FUNCTIONAL_CLASS_CD)</t>
  </si>
  <si>
    <t>SUM(BTRS_LOG_POINTS6.SECTION_LENGTH_NBR)</t>
  </si>
  <si>
    <t>Run Road Inventory Segment Data (State &amp; Local) for Desired Sections</t>
  </si>
  <si>
    <t>Run Ellis Project Info for Desired Sections</t>
  </si>
  <si>
    <t>Run Current Pavement Condition Data for Desired Sections</t>
  </si>
  <si>
    <t>Run Current Bridge Condition Data for Desired Sections</t>
  </si>
  <si>
    <t>People</t>
  </si>
  <si>
    <t>Road Condition</t>
  </si>
  <si>
    <t>Light Condition</t>
  </si>
  <si>
    <t>Road Contour</t>
  </si>
  <si>
    <t>Require User to Manually Select File Path and Name for Desired Sections Where a CAM Tool is "X"ed in Column B</t>
  </si>
  <si>
    <t>Default is Blank - Logged</t>
  </si>
  <si>
    <t>Do not modify cells below</t>
  </si>
  <si>
    <t>RunNewData</t>
  </si>
  <si>
    <t>CreateCamTool</t>
  </si>
  <si>
    <t>Project_ID 
(Do Not Leave Blank)</t>
  </si>
  <si>
    <t xml:space="preserve">
Default is S - Section
Intersection (I) Or Section (S)</t>
  </si>
  <si>
    <t>Rural Non-Freeway
Urban Non-Freeway
Freeway
Default is Rural Non-Freeway
RSI_Location_Type</t>
  </si>
  <si>
    <t>Example:   SFRAUS00040**C 
NLF_ID</t>
  </si>
  <si>
    <t>BEGIN_LOG</t>
  </si>
  <si>
    <t>END_LOG</t>
  </si>
  <si>
    <t>BEGIN_YEAR</t>
  </si>
  <si>
    <t>END_YEAR</t>
  </si>
  <si>
    <t>FilePath</t>
  </si>
  <si>
    <t>Logged Crashes Only (Default - Leave Blank)
For Logged and Unlogged Enter "U" in This Column</t>
  </si>
  <si>
    <t>Run All Crashes (Default - Leave Blank)
To Exclude Animal Crashes Enter "A" in This Column
To Exclude Work Zone Crashes Enter "W" in This Column
To Exclude Both Animal &amp; Work Zone Crashes Enter "B" in This Column</t>
  </si>
  <si>
    <t>WAADT</t>
  </si>
  <si>
    <t>WATADT</t>
  </si>
  <si>
    <t>WA_VC</t>
  </si>
  <si>
    <t>MinFC</t>
  </si>
  <si>
    <t>MaxFC</t>
  </si>
  <si>
    <t>Crash Density (Crashes Per Mile Per Year)</t>
  </si>
  <si>
    <t>EPDO</t>
  </si>
  <si>
    <t>DAWN</t>
  </si>
  <si>
    <t>PrjID</t>
  </si>
  <si>
    <t>PrjType</t>
  </si>
  <si>
    <t>SumPrjLen</t>
  </si>
  <si>
    <t>SumPrjCrash</t>
  </si>
  <si>
    <t>PrjCrRate</t>
  </si>
  <si>
    <t>PrjCrDensity (Crashes Per Mile Per Year)</t>
  </si>
  <si>
    <t>PrjEPDO</t>
  </si>
  <si>
    <t>PrjRSI</t>
  </si>
  <si>
    <t>PrjADT</t>
  </si>
  <si>
    <t>PrjPercentTruck</t>
  </si>
  <si>
    <t>PrjTADT</t>
  </si>
  <si>
    <t>PrjV/C</t>
  </si>
  <si>
    <t>Row</t>
  </si>
  <si>
    <t>FileName</t>
  </si>
  <si>
    <t>FileName_Path</t>
  </si>
  <si>
    <t>CongLen</t>
  </si>
  <si>
    <t>RSI*Crashes</t>
  </si>
  <si>
    <t>ADT*Miles</t>
  </si>
  <si>
    <t>TADT*Miles</t>
  </si>
  <si>
    <t>V/C*Miles</t>
  </si>
  <si>
    <t>LOGPOINT_COUNTY_BEGIN_NBR</t>
  </si>
  <si>
    <t>LOGPOINT_COUNTY_END_NBR</t>
  </si>
  <si>
    <t>SEGMENT_LENGTH_NBR</t>
  </si>
  <si>
    <t>FED_AID_PRIMARY_CD</t>
  </si>
  <si>
    <t>PRIORITY_SYSTEM_CD</t>
  </si>
  <si>
    <t>LANES_NBR</t>
  </si>
  <si>
    <t>MEDIAN_WIDTH_NBR</t>
  </si>
  <si>
    <t>ROADWAY_WIDTH_NBR</t>
  </si>
  <si>
    <t>ACCESS_CONTROL_CD</t>
  </si>
  <si>
    <t>LANE_WIDTH_NBR</t>
  </si>
  <si>
    <t>SPEED_LIMIT_NBR</t>
  </si>
  <si>
    <t>RT_NME_SPEC_SUFFIX_CD</t>
  </si>
  <si>
    <t>HPMS_MEDIAN_WIDTH_NBR</t>
  </si>
  <si>
    <t>MEDIAN_TYPE_CD</t>
  </si>
  <si>
    <t>PID_NBR</t>
  </si>
  <si>
    <t>AWARD_ENC_REQ_SFY</t>
  </si>
  <si>
    <t>LOCATION_TYPE</t>
  </si>
  <si>
    <t>PRIMARY_LOCATION_IND</t>
  </si>
  <si>
    <t>LATITUDE_BEGIN_NBR</t>
  </si>
  <si>
    <t>LATITUDE_END_NBR</t>
  </si>
  <si>
    <t>LONGITUDE_END_NBR</t>
  </si>
  <si>
    <t>LOCALE_SHORT_NME</t>
  </si>
  <si>
    <t>PROJECT_NME</t>
  </si>
  <si>
    <t>PROJ_STATUS_TXT</t>
  </si>
  <si>
    <t>PROJ_LETTING_TYPE</t>
  </si>
  <si>
    <t>PRIMARY_WORK_CATEGORY</t>
  </si>
  <si>
    <t>TRAC_TIER_SHORT_NME</t>
  </si>
  <si>
    <t>PROGRAM_FAMILY_SHORT_NME</t>
  </si>
  <si>
    <t>PROJECT_MGR_NME</t>
  </si>
  <si>
    <t>ARRA_PROJECT_IND</t>
  </si>
  <si>
    <t>MPO_STIMULUS_ALLOC</t>
  </si>
  <si>
    <t>ODOT_STIMULUS_PROJ</t>
  </si>
  <si>
    <t>RURAL_TRANSIT_STIMULUS_PROJ</t>
  </si>
  <si>
    <t>URBAN_TRANSIT_STIMULUS_PROJ</t>
  </si>
  <si>
    <t>AWARD_AMT</t>
  </si>
  <si>
    <t>COMMITTED_EST_AMT</t>
  </si>
  <si>
    <t>UNCOMMITTED_EST_AMT</t>
  </si>
  <si>
    <t>TOTAL_EST_AMT</t>
  </si>
  <si>
    <t>TOTAL_AWARD_EST_AMT</t>
  </si>
  <si>
    <t>COMMITTED_IND</t>
  </si>
  <si>
    <t>ACT_CUR_AWARD_DT</t>
  </si>
  <si>
    <t>PROJ_START_EST_DT</t>
  </si>
  <si>
    <t>PROJ_START_ACTUAL_DT</t>
  </si>
  <si>
    <t>PROJ_COMPL_EST_DT</t>
  </si>
  <si>
    <t>PROJ_COMPL_ACTUAL_DT</t>
  </si>
  <si>
    <t>ACTUAL_PRIORITY_MILES</t>
  </si>
  <si>
    <t>ACTUAL_URBAN_MILES</t>
  </si>
  <si>
    <t>ACTUAL_GENERAL_MILES</t>
  </si>
  <si>
    <t>TOTAL_LANE_MILES</t>
  </si>
  <si>
    <t>SLM_MILES</t>
  </si>
  <si>
    <t>IMPROVED_PCR</t>
  </si>
  <si>
    <t>PVMNT_TRTMNT_CAT_LONG_NME</t>
  </si>
  <si>
    <t>STRUCTURE_FILE_NBR</t>
  </si>
  <si>
    <t>BRG_STAT_DESC</t>
  </si>
  <si>
    <t>MAJOR_BRG_SW</t>
  </si>
  <si>
    <t>MAINT_RESP_DESC</t>
  </si>
  <si>
    <t>MAIN_STRUC_TYPE</t>
  </si>
  <si>
    <t>MAIN_SPAN_MATL_DESC</t>
  </si>
  <si>
    <t>MAIN_SPAN_TYPE_DESC</t>
  </si>
  <si>
    <t>MAIN_SPAN_DESC</t>
  </si>
  <si>
    <t>DECK_AREA</t>
  </si>
  <si>
    <t>OVRL_STR_LEN</t>
  </si>
  <si>
    <t>SUFF_RATING</t>
  </si>
  <si>
    <t>DEF_FUNC_RATING_DESC</t>
  </si>
  <si>
    <t>BRG_DEF_CD_IND</t>
  </si>
  <si>
    <t>GENERAL_APPRAISAL_IND</t>
  </si>
  <si>
    <t>FLOOR_CONDITION_IND</t>
  </si>
  <si>
    <t>WEARING_SURFACE_IND</t>
  </si>
  <si>
    <t>PAINT_IND</t>
  </si>
  <si>
    <t>GENERAL_APPRAISAL_RATING</t>
  </si>
  <si>
    <t>FLOOR_CONDITION_RATING</t>
  </si>
  <si>
    <t>WEARING_SURFACE_RATING</t>
  </si>
  <si>
    <t>PAINT_CONDITION_RATING</t>
  </si>
  <si>
    <t>SPOT_LOCATION_TYPE</t>
  </si>
  <si>
    <t>SPOT_LOCATION_DESC</t>
  </si>
  <si>
    <t>PCR_NBR</t>
  </si>
  <si>
    <t>DEDUCT_TOTAL_NBR</t>
  </si>
  <si>
    <t>DEDUCT_STRUCTURAL_NBR</t>
  </si>
  <si>
    <t>DIVIDED_UNDIVIDED_IND</t>
  </si>
  <si>
    <t>DIRECTION_TXT</t>
  </si>
  <si>
    <t>PAVEMENT_TYPE_CD</t>
  </si>
  <si>
    <t>PAVEMENT_TYPE_TXT</t>
  </si>
  <si>
    <t>CODE_1</t>
  </si>
  <si>
    <t>CODE_2</t>
  </si>
  <si>
    <t>CODE_3</t>
  </si>
  <si>
    <t>CODE_4</t>
  </si>
  <si>
    <t>CODE_5</t>
  </si>
  <si>
    <t>CODE_6</t>
  </si>
  <si>
    <t>CODE_7</t>
  </si>
  <si>
    <t>CODE_8</t>
  </si>
  <si>
    <t>CODE_9</t>
  </si>
  <si>
    <t>CODE_10</t>
  </si>
  <si>
    <t>CODE_11</t>
  </si>
  <si>
    <t>CODE_12</t>
  </si>
  <si>
    <t>CODE_13</t>
  </si>
  <si>
    <t>CODE_14</t>
  </si>
  <si>
    <t>CODE_15</t>
  </si>
  <si>
    <t>CODE_16</t>
  </si>
  <si>
    <t>CODE_17</t>
  </si>
  <si>
    <t>Property Damage Only Crashes</t>
  </si>
  <si>
    <t>Injury / Fatal Crashes</t>
  </si>
  <si>
    <t>CMF ID</t>
  </si>
  <si>
    <t>Study Title</t>
  </si>
  <si>
    <t>Countermeasure Category</t>
  </si>
  <si>
    <t>Countermeasure</t>
  </si>
  <si>
    <t>Service Life</t>
  </si>
  <si>
    <t>Intersection Related (Y/N)</t>
  </si>
  <si>
    <t>Wet Pavement Related</t>
  </si>
  <si>
    <t>Night Related</t>
  </si>
  <si>
    <t>Ran off Road</t>
  </si>
  <si>
    <t>Publication Year</t>
  </si>
  <si>
    <t>Star Quality Rating</t>
  </si>
  <si>
    <t>Handbook of Road Safety Measures</t>
  </si>
  <si>
    <t>Access management</t>
  </si>
  <si>
    <t>Provide a median - Urban</t>
  </si>
  <si>
    <t>Provide a median - Rural</t>
  </si>
  <si>
    <t>Modeling and Evaluating the Safety Impacts of Access Management (AM) Features in the Las Vegas Valley</t>
  </si>
  <si>
    <t>Replace TWLTL with raised median - Urban Only</t>
  </si>
  <si>
    <t>Yes</t>
  </si>
  <si>
    <t>Analyzing Raised Median Safety Impacts Using Bayesian Methods</t>
  </si>
  <si>
    <t>Install raised median</t>
  </si>
  <si>
    <t>Advanced technology and ITS</t>
  </si>
  <si>
    <t>Install changeable speed warning signs for individual drivers</t>
  </si>
  <si>
    <t>Development of Crash Reduction Factors</t>
  </si>
  <si>
    <t>Alignment</t>
  </si>
  <si>
    <t>Flatten crest vertical curve</t>
  </si>
  <si>
    <t>Highway lighting</t>
  </si>
  <si>
    <t>Provide highway lighting</t>
  </si>
  <si>
    <t>Lighting in intersections</t>
  </si>
  <si>
    <t>Revision of the Hand Book of Road Safety Measures</t>
  </si>
  <si>
    <t>Interchange design</t>
  </si>
  <si>
    <t>Convert at-grade intersection to grade-separated interchange</t>
  </si>
  <si>
    <t>Design diamond, trumpet or cloverleaf interchange with crossroad above freeway</t>
  </si>
  <si>
    <t>Extend acceleration lane by approx. 98 ft (30 m)</t>
  </si>
  <si>
    <t>Extend deceleration lane by approx. 98 ft (30 m)</t>
  </si>
  <si>
    <t>Modify two-lane to one-lane merge/ diverge area</t>
  </si>
  <si>
    <t>Safety Effectiveness of Intersection Left- and Right-Turn Lanes</t>
  </si>
  <si>
    <t>Intersection geometry</t>
  </si>
  <si>
    <t>Installation of left-turn lane on single major road approach - Urban</t>
  </si>
  <si>
    <t>Installation of left-turn lane on single major road approach - Rural</t>
  </si>
  <si>
    <t>Add left-turn lanes to major road approaches at intersections - Urban</t>
  </si>
  <si>
    <t>Add left-turn lanes to major road approaches at intersections - Rural</t>
  </si>
  <si>
    <t>Right-Angle Crash Occurance at Signalized Intersections</t>
  </si>
  <si>
    <t>Introducing zero or positive offset left-turn lane on crossing roadway</t>
  </si>
  <si>
    <t>Installation of right-turn lane on single major road approach - Stop Controlled</t>
  </si>
  <si>
    <t>Installation of right-turn lane on both major road approaches - Signalized</t>
  </si>
  <si>
    <t>Increase triangle sight distance</t>
  </si>
  <si>
    <t>Crash Reductions Related to Traffic Signal Removal in Philadelphia</t>
  </si>
  <si>
    <t>Intersection traffic control</t>
  </si>
  <si>
    <t>Remove an unwarranted signal (one-way streets)</t>
  </si>
  <si>
    <t>Field Evaluation of Two Methods for Restricting Right Turn on Red to Promote Pedestrian Safety</t>
  </si>
  <si>
    <t>Retiming signal change intervals to ITE standards</t>
  </si>
  <si>
    <t>NCHRP Report 572: Applying Roundabouts in the United States</t>
  </si>
  <si>
    <t>Convert two-way stop-controlled intersection to roundabout</t>
  </si>
  <si>
    <t>Convert two-way stop-controlled intersection to roundabout - Rural</t>
  </si>
  <si>
    <t>Observational Before-After Study of the Safety Effect of U.S. Roundabout Conversions Using the Empirical Bayes Method</t>
  </si>
  <si>
    <t>Conversion of stop-controlled intersection into multi-lane roundabout - Urban</t>
  </si>
  <si>
    <t>Conversion of signalized intersection into single- or multi-lane roundabout - Urban</t>
  </si>
  <si>
    <t>Prediction of the Expected Safety Performance of Rural Two-Lane Highways</t>
  </si>
  <si>
    <t>Convert two-way to all-way stop control</t>
  </si>
  <si>
    <t>Accident Modification Factors for Traffic Engineering and ITS Improvements</t>
  </si>
  <si>
    <t>Convert stop-control to signal</t>
  </si>
  <si>
    <t>Change from permitted or permitted-protected to protected - Urban</t>
  </si>
  <si>
    <t>Permit Right-Turn-On-Red</t>
  </si>
  <si>
    <t>Replace Night-Time Flash with Steady Operation</t>
  </si>
  <si>
    <t>Evaluation of the Safety Effectiveness of Selected Treatments at Urban Signalized Intersections</t>
  </si>
  <si>
    <t>Replace 8-inch red signal heads with 12-inch</t>
  </si>
  <si>
    <t>Safety Evaluation of Flashing Beacons at Stop Controlled Intersections</t>
  </si>
  <si>
    <t>Flashing beacons at four leg stop controlled intersections on two lane roads; Standard and actuated beacons</t>
  </si>
  <si>
    <t>On-street parking</t>
  </si>
  <si>
    <t>Prohibit on-street parking - Minor Arterial</t>
  </si>
  <si>
    <t>Prohibit on-street parking - Principal Arterial</t>
  </si>
  <si>
    <t>Safety Effectiveness of the HAWK Pedestrian Crossing Treatment</t>
  </si>
  <si>
    <t>Pedestrians and bicyclists</t>
  </si>
  <si>
    <t>Installation of a High intensity Activated crossWalK (HAWK) pedestrian-activated beacon at an intersection - Urban</t>
  </si>
  <si>
    <t>Railroad grade crossings</t>
  </si>
  <si>
    <t>Upgrading signs to flashing lights and sound signals</t>
  </si>
  <si>
    <t>Collision Frequency Analysis Using Tree-Based Stratification</t>
  </si>
  <si>
    <t>Upgrade signs to flashing lights</t>
  </si>
  <si>
    <t>Installing gates at crossings with signs</t>
  </si>
  <si>
    <t>Installing gates at crossings with flashing lights and sound signals</t>
  </si>
  <si>
    <t>Roadside</t>
  </si>
  <si>
    <t>New guardrail along embankment</t>
  </si>
  <si>
    <t>Change barrier along embankment to less rigid type</t>
  </si>
  <si>
    <t>Install median guardrails on divided highways</t>
  </si>
  <si>
    <t>Install crash cushions at permanent objects</t>
  </si>
  <si>
    <t>Install median barrier</t>
  </si>
  <si>
    <t>Hierarchical Bayesian Modeling for Before and After Studies</t>
  </si>
  <si>
    <t>Installation of cable barriers in freeway medians</t>
  </si>
  <si>
    <t>Crash Reduction Factors for Traffic Engineering and ITS Improvements</t>
  </si>
  <si>
    <t>Roadway</t>
  </si>
  <si>
    <t>Increased pavement friction</t>
  </si>
  <si>
    <t>Safety Evaluation of Installing Center Two-Way Left-Turn Lanes on Two-Lane Roads</t>
  </si>
  <si>
    <t>Install TWLTL (two-way left turn lane) on two lane road</t>
  </si>
  <si>
    <t>Introduce TWLTL (two-way left turn lanes) on rural two lane roads</t>
  </si>
  <si>
    <t>Road diet (Convert 4-lane undivided road to 2-lanes plus turning lane) - Minor Arterial</t>
  </si>
  <si>
    <t>Comparison of empirical Bayes and full Bayes approaches for before_x0013_after road safety evaluations</t>
  </si>
  <si>
    <t>Converting four-lane roadways to three-lane roadways with center turn lane (road diet) - Suburban</t>
  </si>
  <si>
    <t>Safety Evaluation of Multilane Arterials in Florida</t>
  </si>
  <si>
    <t>Resurface pavement</t>
  </si>
  <si>
    <t>NCHRP Report 641: Guidance for the Design and Application of Shoulder and Centerline Rumble Strips</t>
  </si>
  <si>
    <t>Install centerline rumble strips - Urban</t>
  </si>
  <si>
    <t>Install centerline rumble strips - Rural</t>
  </si>
  <si>
    <t>Install edgeline rumble strips - Undivided</t>
  </si>
  <si>
    <t>Roadway delineation</t>
  </si>
  <si>
    <t>Add centerlines on roadway segments (2 lane roadway)</t>
  </si>
  <si>
    <t>Install a combination of edgelines, centerlines and delineators on roadway segments</t>
  </si>
  <si>
    <t>Safety Impact of Cable Barriers on Rural Interstates</t>
  </si>
  <si>
    <t>Install cable median barrier (low or high tension) - Rural</t>
  </si>
  <si>
    <t>Roadway signs and traffic control</t>
  </si>
  <si>
    <t>Provide static combination horizontal alignment / advisory speed signs</t>
  </si>
  <si>
    <t>Safety Evaluation of Improved Curve Delineation</t>
  </si>
  <si>
    <t>Install new fluorescent curve signs or upgrade existing curve signs to fluorescent sheeting - Rural</t>
  </si>
  <si>
    <t>Install chevron signs on horizontal curves - Rural</t>
  </si>
  <si>
    <t>Highway Safety Manual Knowledge Document</t>
  </si>
  <si>
    <t>Shoulder treatments</t>
  </si>
  <si>
    <t>Widen paved shoulder from 3 ft to 4 ft</t>
  </si>
  <si>
    <t>Widen paved shoulder from 3 ft to 5 ft</t>
  </si>
  <si>
    <t>Widen paved shoulder from 3 ft to 6 ft</t>
  </si>
  <si>
    <t>Widen paved shoulder from 3 ft to 7 ft</t>
  </si>
  <si>
    <t>Widen paved shoulder from 3 ft to 8 ft</t>
  </si>
  <si>
    <t>Paved Highway Shoulders and Accident Experience</t>
  </si>
  <si>
    <t>Pave a 3 to 4 ft sod shoulder</t>
  </si>
  <si>
    <t>File Hyperlink</t>
  </si>
  <si>
    <t>Level 1</t>
  </si>
  <si>
    <t>Level2</t>
  </si>
  <si>
    <t>Level3A</t>
  </si>
  <si>
    <t>Level3B</t>
  </si>
  <si>
    <t>Level4A</t>
  </si>
  <si>
    <t>Level4B</t>
  </si>
  <si>
    <t>Level4C</t>
  </si>
  <si>
    <t>Level4D</t>
  </si>
  <si>
    <t>Toggle Map</t>
  </si>
  <si>
    <t xml:space="preserve">         *Statewide crash Rates are only available for sections. Intersections are excluded.</t>
  </si>
  <si>
    <t>2014 Relative Severity Index</t>
  </si>
  <si>
    <t>PUBLIC_URL</t>
  </si>
  <si>
    <t>NO</t>
  </si>
  <si>
    <t>YES</t>
  </si>
  <si>
    <t>Right Turn</t>
  </si>
  <si>
    <t>CRASH_REPORT_LINK</t>
  </si>
  <si>
    <t>NLF_JUR_CD</t>
  </si>
  <si>
    <t>ODOT_FIPS_CD</t>
  </si>
  <si>
    <t>ODPS_TOTAL_FATALITIES_NBR</t>
  </si>
  <si>
    <t>NO_INJURY_REPORTED_NBR</t>
  </si>
  <si>
    <t>UNRESTRAIN_OCCUPANTS</t>
  </si>
  <si>
    <t>NUMBER_OF_UNITS_NBR</t>
  </si>
  <si>
    <t>FHWA_RDWY_DEPARTURE_IND</t>
  </si>
  <si>
    <t>ODOT_CRASH_LOCATION_CD</t>
  </si>
  <si>
    <t>FACILITY_TYPE_CD</t>
  </si>
  <si>
    <t>NHS_CD</t>
  </si>
  <si>
    <t>ODOT_DIV_UNDIV_IND</t>
  </si>
  <si>
    <t>ODOT_LANES_NBR</t>
  </si>
  <si>
    <t>OPER_ACCESS_CONTROL_CD</t>
  </si>
  <si>
    <t>FREEWAY_IND</t>
  </si>
  <si>
    <t>INTERSTATE_IND</t>
  </si>
  <si>
    <t>MAINTENANCE_AUTHORITY_CD</t>
  </si>
  <si>
    <t>ODOT_CITY_VILLAGE_TWP_NME</t>
  </si>
  <si>
    <t>MONTH_OF_CRASH</t>
  </si>
  <si>
    <t>ODPS_SENIOR_DRIVER_IND</t>
  </si>
  <si>
    <t>ODOT_YOUNG_DRIVER_IND</t>
  </si>
  <si>
    <t>DISTRACTED_DRIVER_IND</t>
  </si>
  <si>
    <t>ODPS_CITY_VILLAGE_TWP_NME</t>
  </si>
  <si>
    <t>ODPS_LOC_ROAD_NME</t>
  </si>
  <si>
    <t>ODPS_LOC_DIR_SUFFIX_CD</t>
  </si>
  <si>
    <t>ODPS_LOC_ROUTE_ID</t>
  </si>
  <si>
    <t>ODPS_LOC_ROUTE_SUFFIX_CD</t>
  </si>
  <si>
    <t>ODPS_REF_GIVEN</t>
  </si>
  <si>
    <t>ODPS_REF_DIR_SUFFIX_CD</t>
  </si>
  <si>
    <t>ODPS_REF_ROUTE_ID</t>
  </si>
  <si>
    <t>ODPS_REF_ROUTE_SUFFIX_CD</t>
  </si>
  <si>
    <t>ODPS_ADDRESS_REFERENCE</t>
  </si>
  <si>
    <t>ODPS_MILEPOST_REFERENCE</t>
  </si>
  <si>
    <t>U1_AT_FAULT_IND</t>
  </si>
  <si>
    <t>U1_TURN_CD</t>
  </si>
  <si>
    <t>U1_UNIT_SPEED_NBR</t>
  </si>
  <si>
    <t>U1_POSTED_SPEED_NBR</t>
  </si>
  <si>
    <t>U1_OBJECT_STRUCK</t>
  </si>
  <si>
    <t>U2_TURN_CD</t>
  </si>
  <si>
    <t>U2_UNIT_SPEED_NBR</t>
  </si>
  <si>
    <t>U2_POSTED_SPEED_NBR</t>
  </si>
  <si>
    <t>U3_ODPS_UNIT_NBR</t>
  </si>
  <si>
    <t>U3_TRAFFIC_CONTROL_CD</t>
  </si>
  <si>
    <t>U3_TYPE_OF_UNIT_CD</t>
  </si>
  <si>
    <t>U3_SPECIAL_FUNCTION_CD</t>
  </si>
  <si>
    <t>U3_PRECRASH_ACTION_CD</t>
  </si>
  <si>
    <t>U3_CONT_CIR_PRIMARY_CD</t>
  </si>
  <si>
    <t>U3_SEQ_OF_EVENTS_1_CD</t>
  </si>
  <si>
    <t>U3_SEQ_OF_EVENTS_2_CD</t>
  </si>
  <si>
    <t>U3_SEQ_OF_EVENTS_3_CD</t>
  </si>
  <si>
    <t>U3_SEQ_OF_EVENTS_4_CD</t>
  </si>
  <si>
    <t>U3_SEQ_OF_EVENTS_5_CD</t>
  </si>
  <si>
    <t>U3_SEQ_OF_EVENTS_6_CD</t>
  </si>
  <si>
    <t>INTERSECTION_ID_CURRENT</t>
  </si>
  <si>
    <t>INTERSECTION_LEG_ID</t>
  </si>
  <si>
    <t>INTERCHANGE_ID</t>
  </si>
  <si>
    <t>SA_RAMP_ID</t>
  </si>
  <si>
    <t>SA_SEGMENT_ID</t>
  </si>
  <si>
    <t>STATE_TRUE_LOG_NBR</t>
  </si>
  <si>
    <t>Code Id</t>
  </si>
  <si>
    <t>Code Txt</t>
  </si>
  <si>
    <t>LT</t>
  </si>
  <si>
    <t>NT</t>
  </si>
  <si>
    <t>No Turn</t>
  </si>
  <si>
    <t>RT</t>
  </si>
  <si>
    <t>UT</t>
  </si>
  <si>
    <t>U Turn</t>
  </si>
  <si>
    <t>AREA_CODE</t>
  </si>
  <si>
    <t>AKRON</t>
  </si>
  <si>
    <t>CANTON</t>
  </si>
  <si>
    <t>CINCINNATI</t>
  </si>
  <si>
    <t>CLEVELAND</t>
  </si>
  <si>
    <t>COLUMBUS</t>
  </si>
  <si>
    <t>DAYTON</t>
  </si>
  <si>
    <t>HUNTINGTON-ASHLAND</t>
  </si>
  <si>
    <t>LIMA</t>
  </si>
  <si>
    <t>LORAIN-ELYRIA</t>
  </si>
  <si>
    <t>MANSFIELD</t>
  </si>
  <si>
    <t>MIDDLETOWN</t>
  </si>
  <si>
    <t>NEWARK-HEATH</t>
  </si>
  <si>
    <t>PARKERSBURG-BELPRE</t>
  </si>
  <si>
    <t>SPRINGFIELD</t>
  </si>
  <si>
    <t>TOLEDO</t>
  </si>
  <si>
    <t>STEUBENVILLE-WEIRTON</t>
  </si>
  <si>
    <t>WHEELING-BRIDGEPORT</t>
  </si>
  <si>
    <t>YOUNGSTOWN-WARREN</t>
  </si>
  <si>
    <t>SANDUSKY</t>
  </si>
  <si>
    <t>ADA</t>
  </si>
  <si>
    <t>ALLIANCE</t>
  </si>
  <si>
    <t>ASHLAND</t>
  </si>
  <si>
    <t>ASHTABULA</t>
  </si>
  <si>
    <t>ATHENS</t>
  </si>
  <si>
    <t>BELLEFONTAINE</t>
  </si>
  <si>
    <t>BELLEVUE</t>
  </si>
  <si>
    <t>BOWLING GREEN</t>
  </si>
  <si>
    <t>BRYAN</t>
  </si>
  <si>
    <t>BUCYRUS</t>
  </si>
  <si>
    <t>CAMBRIDGE</t>
  </si>
  <si>
    <t>CELINA</t>
  </si>
  <si>
    <t>CHILLICOTHE</t>
  </si>
  <si>
    <t>CIRCLEVILLE</t>
  </si>
  <si>
    <t>CLYDE</t>
  </si>
  <si>
    <t>COSHOCTON</t>
  </si>
  <si>
    <t>DEFIANCE</t>
  </si>
  <si>
    <t>DELPHOS</t>
  </si>
  <si>
    <t>DOVER-NEW PHILADELPHIA</t>
  </si>
  <si>
    <t>EAST LIVERPOOL</t>
  </si>
  <si>
    <t>EATON</t>
  </si>
  <si>
    <t>FINDLAY</t>
  </si>
  <si>
    <t>FOSTORIA</t>
  </si>
  <si>
    <t>FREMONT</t>
  </si>
  <si>
    <t>GALION</t>
  </si>
  <si>
    <t>GALLIPOLIS</t>
  </si>
  <si>
    <t>GREENFIELD</t>
  </si>
  <si>
    <t>GREENVILLE</t>
  </si>
  <si>
    <t>HILLSBORO</t>
  </si>
  <si>
    <t>JACKSON</t>
  </si>
  <si>
    <t>KENTON</t>
  </si>
  <si>
    <t>LANCASTER</t>
  </si>
  <si>
    <t>LOGAN</t>
  </si>
  <si>
    <t>LONDON</t>
  </si>
  <si>
    <t>MARIETTA</t>
  </si>
  <si>
    <t>MARION</t>
  </si>
  <si>
    <t>MARYSVILLE</t>
  </si>
  <si>
    <t>MT VERNON</t>
  </si>
  <si>
    <t>NAPOLEON</t>
  </si>
  <si>
    <t>NORWALK</t>
  </si>
  <si>
    <t>ORRVILLE</t>
  </si>
  <si>
    <t>OXFORD</t>
  </si>
  <si>
    <t>PIQUA</t>
  </si>
  <si>
    <t>PORT CLINTON</t>
  </si>
  <si>
    <t>PORTSMOUTH</t>
  </si>
  <si>
    <t>ST. MARYS</t>
  </si>
  <si>
    <t>SALEM</t>
  </si>
  <si>
    <t>SHELBY</t>
  </si>
  <si>
    <t>SIDNEY</t>
  </si>
  <si>
    <t>TIFFIN</t>
  </si>
  <si>
    <t>UPPER SANDUSKY</t>
  </si>
  <si>
    <t>URBANA</t>
  </si>
  <si>
    <t>VAN WERT</t>
  </si>
  <si>
    <t>WAPAKONETA</t>
  </si>
  <si>
    <t>WASHINGTON C.H.</t>
  </si>
  <si>
    <t>WAUSEON</t>
  </si>
  <si>
    <t>WILLARD</t>
  </si>
  <si>
    <t>WILMINGTON</t>
  </si>
  <si>
    <t>WOOSTER</t>
  </si>
  <si>
    <t>ZANESVILLE</t>
  </si>
  <si>
    <t>ASHVILLE-S. BLOOMFIELD</t>
  </si>
  <si>
    <t>COLUMBIANA</t>
  </si>
  <si>
    <t>LISBON</t>
  </si>
  <si>
    <t>MAYSVILLE, KY</t>
  </si>
  <si>
    <t>NELSONVILLE</t>
  </si>
  <si>
    <t>NEW BREMEN</t>
  </si>
  <si>
    <t>NEW MARTINSVILLE, WVA</t>
  </si>
  <si>
    <t>OTTAWA-GLANDORF</t>
  </si>
  <si>
    <t>RUSSELLS POINT</t>
  </si>
  <si>
    <t>UNION CITY</t>
  </si>
  <si>
    <t>WAVERLY</t>
  </si>
  <si>
    <t>GARRETTSVILLE</t>
  </si>
  <si>
    <t>SEVILLE</t>
  </si>
  <si>
    <t>CALDWELL</t>
  </si>
  <si>
    <t>CONNEAUT</t>
  </si>
  <si>
    <t>DARBYDALE</t>
  </si>
  <si>
    <t>GENEVA</t>
  </si>
  <si>
    <t>MIDDLEPORT</t>
  </si>
  <si>
    <t>POMEROY</t>
  </si>
  <si>
    <t>CHARDON</t>
  </si>
  <si>
    <t>RICHMOND, IN</t>
  </si>
  <si>
    <t>RURAL</t>
  </si>
  <si>
    <t>Data Not Valid or Not Provided</t>
  </si>
  <si>
    <t>Divided</t>
  </si>
  <si>
    <t>Undivided</t>
  </si>
  <si>
    <t>One Way Roadway</t>
  </si>
  <si>
    <t>Two Way Roadway</t>
  </si>
  <si>
    <t>Couplet</t>
  </si>
  <si>
    <t>Ramp</t>
  </si>
  <si>
    <t>Non-Mainline</t>
  </si>
  <si>
    <t>Non-Inventory</t>
  </si>
  <si>
    <t>Interstate Route</t>
  </si>
  <si>
    <t>Other Freeways or Expressways</t>
  </si>
  <si>
    <t>Other Principal Arterial Roads</t>
  </si>
  <si>
    <t>Minor Arterial Roads</t>
  </si>
  <si>
    <t>Major Collector Roads</t>
  </si>
  <si>
    <t>Minor Collector Roads</t>
  </si>
  <si>
    <t>Local Roads</t>
  </si>
  <si>
    <t>Major Airport</t>
  </si>
  <si>
    <t>Major Port Facility</t>
  </si>
  <si>
    <t>Major Amtrak Station</t>
  </si>
  <si>
    <t>Major Rail/Truck Terminal</t>
  </si>
  <si>
    <t>Major Intercity Bus Terminal</t>
  </si>
  <si>
    <t>Major Public Transit Terminal or Multi-modal Passenger Terminal</t>
  </si>
  <si>
    <t>Major Pipeline Terminal</t>
  </si>
  <si>
    <t>Major Ferry Terminal</t>
  </si>
  <si>
    <t>C</t>
  </si>
  <si>
    <t>Strahnet Connectors</t>
  </si>
  <si>
    <t>H</t>
  </si>
  <si>
    <t>Congressional Corridors</t>
  </si>
  <si>
    <t>National Highway System (regular)</t>
  </si>
  <si>
    <t>Strahnet</t>
  </si>
  <si>
    <t>Multi-lane; median; access at interchange; no direct private access allowed.</t>
  </si>
  <si>
    <t>Access at interchange or public street intersection; no direct private access allowed unless property retains deeded rights and then only for right turn. (left turn may be allowed in certain circumstances)</t>
  </si>
  <si>
    <t>No direct private access if property has other reasonable alternative access or opportunity to obtain such access; when allowed, generally for right turn only.</t>
  </si>
  <si>
    <t>One direct access allowed per parcel; additional access may be allowed if the Department determines it meets access safety, design, and operational standards.</t>
  </si>
  <si>
    <t>Street or Route Without Reference</t>
  </si>
  <si>
    <t>F</t>
  </si>
  <si>
    <t>Female</t>
  </si>
  <si>
    <t>M</t>
  </si>
  <si>
    <t>Male</t>
  </si>
  <si>
    <t>Formatted Text</t>
  </si>
  <si>
    <t>State Highway Agency</t>
  </si>
  <si>
    <t>County Highway Agency</t>
  </si>
  <si>
    <t>Town or Township Highway Agency</t>
  </si>
  <si>
    <t>City or Municipal Highway Agency</t>
  </si>
  <si>
    <t>State Park, Forest, or Reservation Agency</t>
  </si>
  <si>
    <t>Local Park, Forest, or Reservation Agency</t>
  </si>
  <si>
    <t>Other State Agency</t>
  </si>
  <si>
    <t>Other Local Agency</t>
  </si>
  <si>
    <t>Private (other than Railroad)</t>
  </si>
  <si>
    <t>Railroad</t>
  </si>
  <si>
    <t>State Toll Authority</t>
  </si>
  <si>
    <t>Local Toll Authority</t>
  </si>
  <si>
    <t>Other Public Instrumentality (e.g., Airport, School, University)</t>
  </si>
  <si>
    <t>Indian Tribe Nation</t>
  </si>
  <si>
    <t>Other Federal Agency</t>
  </si>
  <si>
    <t>Bureau of Indian Affairs</t>
  </si>
  <si>
    <t>Bureau of Fish and Wildlife</t>
  </si>
  <si>
    <t>U.S. Forest Service</t>
  </si>
  <si>
    <t>National Park Service</t>
  </si>
  <si>
    <t>Tennessee Valley Authority</t>
  </si>
  <si>
    <t>Bureau of Land Management</t>
  </si>
  <si>
    <t>Bureau of Reclamation</t>
  </si>
  <si>
    <t>Corps of Engineers</t>
  </si>
  <si>
    <t>Air Force</t>
  </si>
  <si>
    <t>Navy/Marines</t>
  </si>
  <si>
    <t>Army</t>
  </si>
  <si>
    <t>Nothing Struck</t>
  </si>
  <si>
    <t>DocumentNbr</t>
  </si>
  <si>
    <t>DocsFromData</t>
  </si>
  <si>
    <t>Type 'Heading' Here</t>
  </si>
  <si>
    <t>Notes/Comments Section</t>
  </si>
  <si>
    <t xml:space="preserve"> </t>
  </si>
  <si>
    <t>HistoricalImagePath</t>
  </si>
  <si>
    <t>SALT CREEK TOWNSHIP</t>
  </si>
  <si>
    <t>PAINT TOWNSHIP</t>
  </si>
  <si>
    <t>PRAIRIE TOWNSHIP</t>
  </si>
  <si>
    <t>HARDY TOWNSHIP</t>
  </si>
  <si>
    <t>BERLIN TOWNSHIP</t>
  </si>
  <si>
    <t>WALNUT CREEK TOWNSHIP</t>
  </si>
  <si>
    <t>RIPLEY TOWNSHIP</t>
  </si>
  <si>
    <t>KILLBUCK</t>
  </si>
  <si>
    <t>MONROE TOWNSHIP</t>
  </si>
  <si>
    <t>CLARK TOWNSHIP</t>
  </si>
  <si>
    <t>KNOX TOWNSHIP</t>
  </si>
  <si>
    <t>MILLERSBURG</t>
  </si>
  <si>
    <t>RICHLAND TOWNSHIP</t>
  </si>
  <si>
    <t>NORTON</t>
  </si>
  <si>
    <t>MECHANIC TOWNSHIP</t>
  </si>
  <si>
    <t>HOLMES COUNTY</t>
  </si>
  <si>
    <t>JONES</t>
  </si>
  <si>
    <t>WASHINGTON TOWNSHIP</t>
  </si>
  <si>
    <t>KILLBUCK TOWNSHIP</t>
  </si>
  <si>
    <t>NASHVILLE</t>
  </si>
  <si>
    <t>PORT WASHINGTON</t>
  </si>
  <si>
    <t>JEFFERSON</t>
  </si>
  <si>
    <t>CLAY</t>
  </si>
  <si>
    <t>HOLMESVILLE</t>
  </si>
  <si>
    <t>OAK</t>
  </si>
  <si>
    <t>MONROE</t>
  </si>
  <si>
    <t>CLINTON</t>
  </si>
  <si>
    <t>GLENMONT</t>
  </si>
  <si>
    <t>MASSILLON</t>
  </si>
  <si>
    <t>CRAWFORD</t>
  </si>
  <si>
    <t>CLIFTON</t>
  </si>
  <si>
    <t>CARPENTER</t>
  </si>
  <si>
    <t>HENLEY</t>
  </si>
  <si>
    <t>CARLISLE</t>
  </si>
  <si>
    <t>FRANKLIN</t>
  </si>
  <si>
    <t>LAKEVIEW</t>
  </si>
  <si>
    <t>CLINTON TOWNSHIP</t>
  </si>
  <si>
    <t>PARKVIEW</t>
  </si>
  <si>
    <t>FRANKLIN TOWNSHIP</t>
  </si>
  <si>
    <t>BALTIC</t>
  </si>
  <si>
    <t>RAY</t>
  </si>
  <si>
    <t>ASHLAND COUNTY</t>
  </si>
  <si>
    <t>HARRISON</t>
  </si>
  <si>
    <t>GRANT</t>
  </si>
  <si>
    <t>LOUDONVILLE</t>
  </si>
  <si>
    <t>KEENE TOWNSHIP</t>
  </si>
  <si>
    <t>KEENE</t>
  </si>
  <si>
    <t>BENTON</t>
  </si>
  <si>
    <t>CENTER</t>
  </si>
  <si>
    <t>MADISON</t>
  </si>
  <si>
    <t>FISHER</t>
  </si>
  <si>
    <t>BUCKEYE</t>
  </si>
  <si>
    <t>BLUE JAY</t>
  </si>
  <si>
    <t>CLARK</t>
  </si>
  <si>
    <t>MARTINSVILLE</t>
  </si>
  <si>
    <t>MARTIN</t>
  </si>
  <si>
    <t>GARLAND</t>
  </si>
  <si>
    <t>Jurisdiction Type</t>
  </si>
  <si>
    <t>Local Report Number</t>
  </si>
  <si>
    <t>User Defined</t>
  </si>
  <si>
    <t>ODOT District</t>
  </si>
  <si>
    <t>County Cd</t>
  </si>
  <si>
    <t>County True Log</t>
  </si>
  <si>
    <t>State True Log</t>
  </si>
  <si>
    <t>NLFID Jurisdiction</t>
  </si>
  <si>
    <t>NLFID Route Type</t>
  </si>
  <si>
    <t>ODOT Latitude</t>
  </si>
  <si>
    <t>ODOT Longitude</t>
  </si>
  <si>
    <t>ODOT FIPS</t>
  </si>
  <si>
    <t>Serious Injuries</t>
  </si>
  <si>
    <t>Possible Injuries</t>
  </si>
  <si>
    <t>Non Serious Injuries</t>
  </si>
  <si>
    <t>No Injuries</t>
  </si>
  <si>
    <t>Unrestrained Occupants</t>
  </si>
  <si>
    <t>Number of Units</t>
  </si>
  <si>
    <t>Roadway Departure</t>
  </si>
  <si>
    <t>ODOT Intersection Related</t>
  </si>
  <si>
    <t>ODOT Crash Location</t>
  </si>
  <si>
    <t>Facility Type</t>
  </si>
  <si>
    <t>Urban Area</t>
  </si>
  <si>
    <t>Functional Class</t>
  </si>
  <si>
    <t>NHS</t>
  </si>
  <si>
    <t>Divided Hwy</t>
  </si>
  <si>
    <t>ODOT Number of Lanes</t>
  </si>
  <si>
    <t>Interstate</t>
  </si>
  <si>
    <t>ODOT Maintained</t>
  </si>
  <si>
    <t>Maintenance Authority</t>
  </si>
  <si>
    <t>ODOT FIPS Name</t>
  </si>
  <si>
    <t>Month</t>
  </si>
  <si>
    <t>Day in Week</t>
  </si>
  <si>
    <t>Weather Condition</t>
  </si>
  <si>
    <t>Alcohol Related</t>
  </si>
  <si>
    <t>Drug Related</t>
  </si>
  <si>
    <t>School Zone Related</t>
  </si>
  <si>
    <t>Motorcycle Involved</t>
  </si>
  <si>
    <t>Speed Related</t>
  </si>
  <si>
    <t>Senior Driver Involved</t>
  </si>
  <si>
    <t>Work Zone Related</t>
  </si>
  <si>
    <t>Location in Work Zone</t>
  </si>
  <si>
    <t>Type of Work Zone</t>
  </si>
  <si>
    <t>ODOT Young Driver</t>
  </si>
  <si>
    <t>Distracted Driver</t>
  </si>
  <si>
    <t>ODPS FIPS Name</t>
  </si>
  <si>
    <t>ODPS At Road Name</t>
  </si>
  <si>
    <t>ODPS At Road Name Suffix</t>
  </si>
  <si>
    <t>ODPS At Road Name Directional Suffix</t>
  </si>
  <si>
    <t>ODPS On Road Name Prefix</t>
  </si>
  <si>
    <t>ODPS On Road Name</t>
  </si>
  <si>
    <t>ODPS On Road Name Suffix</t>
  </si>
  <si>
    <t>ODPS On Road Name Directional Suffix</t>
  </si>
  <si>
    <t>ODPS On Route Type</t>
  </si>
  <si>
    <t>ODPS On Route Number</t>
  </si>
  <si>
    <t>ODPS On Route Suffix</t>
  </si>
  <si>
    <t>ODPS At Route Type</t>
  </si>
  <si>
    <t>ODPS At Route Number</t>
  </si>
  <si>
    <t>ODPS At Route Suffix</t>
  </si>
  <si>
    <t>ODPS Mile Post Reference</t>
  </si>
  <si>
    <t>ODPS Address Reference</t>
  </si>
  <si>
    <t>Unit 1 At Fault Ind</t>
  </si>
  <si>
    <t>Unit 1 Direction From Cd</t>
  </si>
  <si>
    <t>Unit 1 Direction To Cd</t>
  </si>
  <si>
    <t>Unit 1 Turn Cd</t>
  </si>
  <si>
    <t>Unit 1 Traffic Control Cd</t>
  </si>
  <si>
    <t>Unit 1 Type Of Unit Cd</t>
  </si>
  <si>
    <t>Unit 1 Special Function Cd</t>
  </si>
  <si>
    <t>Unit 1 Unit Speed Nbr</t>
  </si>
  <si>
    <t>Unit 1 Posted Speed Nbr</t>
  </si>
  <si>
    <t>Unit 1 Precrash Action Cd</t>
  </si>
  <si>
    <t>Unit 1 Cont Cir Primary Cd</t>
  </si>
  <si>
    <t>Unit 1 Object Struck</t>
  </si>
  <si>
    <t>Unit 1 Seq Of Events 1 Cd</t>
  </si>
  <si>
    <t>Unit 1 Seq Of Events 2 Cd</t>
  </si>
  <si>
    <t>Unit 1 Seq Of Events 3 Cd</t>
  </si>
  <si>
    <t>Unit 1 Seq Of Events 4 Cd</t>
  </si>
  <si>
    <t>Unit 1 Seq Of Events 5 Cd</t>
  </si>
  <si>
    <t>Unit 1 Seq Of Events 6 Cd</t>
  </si>
  <si>
    <t>Unit 1 Non Motorist Loc Cd</t>
  </si>
  <si>
    <t>Unit 1 Age Nbr</t>
  </si>
  <si>
    <t>Unit 1 Gender Cd</t>
  </si>
  <si>
    <t>Unit 1 Distracted By 1 Cd</t>
  </si>
  <si>
    <t>Unit 2 Direction From Cd</t>
  </si>
  <si>
    <t>Unit 2 Direction To Cd</t>
  </si>
  <si>
    <t>Unit 2 Turn Cd</t>
  </si>
  <si>
    <t>Unit 2 Traffic Control Cd</t>
  </si>
  <si>
    <t>Unit 2 Type Of Unit Cd</t>
  </si>
  <si>
    <t>Unit 2 Special Function Cd</t>
  </si>
  <si>
    <t>Unit 2 Unit Speed Nbr</t>
  </si>
  <si>
    <t>Unit 2 Posted Speed Nbr</t>
  </si>
  <si>
    <t>Unit 2 Precrash Action Cd</t>
  </si>
  <si>
    <t>Unit 2 Cont Cir Primary Cd</t>
  </si>
  <si>
    <t>Unit 2 Seq Of Events 1 Cd</t>
  </si>
  <si>
    <t>Unit 2 Seq Of Events 2 Cd</t>
  </si>
  <si>
    <t>Unit 2 Seq Of Events 3 Cd</t>
  </si>
  <si>
    <t>Unit 2 Seq Of Events 4 Cd</t>
  </si>
  <si>
    <t>Unit 2 Seq Of Events 5 Cd</t>
  </si>
  <si>
    <t>Unit 2 Seq Of Events 6 Cd</t>
  </si>
  <si>
    <t>Unit 2 Non Motorist Loc Cd</t>
  </si>
  <si>
    <t>Unit 2 Age Nbr</t>
  </si>
  <si>
    <t>Unit 2 Gender Cd</t>
  </si>
  <si>
    <t>Unit 2 Distracted By 1 Cd</t>
  </si>
  <si>
    <t>Unit 3 Traffic Control Cd</t>
  </si>
  <si>
    <t>Unit 3 Type Of Unit Cd</t>
  </si>
  <si>
    <t>Unit 3 Special Function Cd</t>
  </si>
  <si>
    <t>Unit 3 Precrash Action Cd</t>
  </si>
  <si>
    <t>Unit 3 Cont Cir Primary Cd</t>
  </si>
  <si>
    <t>Unit 3 Seq Of Events 1 Cd</t>
  </si>
  <si>
    <t>Unit 3 Seq Of Events 2 Cd</t>
  </si>
  <si>
    <t>Unit 3 Seq Of Events 3 Cd</t>
  </si>
  <si>
    <t>Unit 3 Seq Of Events 4 Cd</t>
  </si>
  <si>
    <t>Unit 3 Seq Of Events 5 Cd</t>
  </si>
  <si>
    <t>Unit 3 Seq Of Events 6 Cd</t>
  </si>
  <si>
    <t>Intersection ID</t>
  </si>
  <si>
    <t>Intersection Leg</t>
  </si>
  <si>
    <t>Interchange ID</t>
  </si>
  <si>
    <t>SA Ramp ID</t>
  </si>
  <si>
    <t>SA Segment ID</t>
  </si>
  <si>
    <t>ODOT FIPS CVT Code</t>
  </si>
  <si>
    <t>ODPS At Road Name Prefix</t>
  </si>
  <si>
    <t>Operational Access Control</t>
  </si>
  <si>
    <t>Unit 1 ODPS Unit Nbr</t>
  </si>
  <si>
    <t>Unit 2 ODPS Unit Nbr</t>
  </si>
  <si>
    <t>Unit 3 ODPS Unit Nbr</t>
  </si>
  <si>
    <t>Fips Nme</t>
  </si>
  <si>
    <t>Cvt Cd</t>
  </si>
  <si>
    <t>ABANAKA</t>
  </si>
  <si>
    <t>VAN</t>
  </si>
  <si>
    <t>ABBEYVILLE</t>
  </si>
  <si>
    <t>ABBOTTSVILLE</t>
  </si>
  <si>
    <t>ABERDEEN</t>
  </si>
  <si>
    <t>ACADEMIA</t>
  </si>
  <si>
    <t>ACHOR</t>
  </si>
  <si>
    <t>ACME</t>
  </si>
  <si>
    <t>ADAIR</t>
  </si>
  <si>
    <t>ADAMS TOWNSHIP</t>
  </si>
  <si>
    <t>ADAMS MILLS</t>
  </si>
  <si>
    <t>ADAMSVILLE</t>
  </si>
  <si>
    <t>ADARIO</t>
  </si>
  <si>
    <t>ADDISON</t>
  </si>
  <si>
    <t>ADDISON TOWNSHIP</t>
  </si>
  <si>
    <t>ADDYSTON</t>
  </si>
  <si>
    <t>ADELPHI</t>
  </si>
  <si>
    <t>ADENA</t>
  </si>
  <si>
    <t>ADRIAN</t>
  </si>
  <si>
    <t>ADVANCE</t>
  </si>
  <si>
    <t>AETNAVILLE</t>
  </si>
  <si>
    <t>AFRICA</t>
  </si>
  <si>
    <t>AFTON</t>
  </si>
  <si>
    <t>AI</t>
  </si>
  <si>
    <t>AID</t>
  </si>
  <si>
    <t>AID TOWNSHIP</t>
  </si>
  <si>
    <t>AINGER</t>
  </si>
  <si>
    <t>AIRHILL</t>
  </si>
  <si>
    <t>AIR LINE JUNCTION</t>
  </si>
  <si>
    <t>ALABAMA HILL</t>
  </si>
  <si>
    <t>ALBANY</t>
  </si>
  <si>
    <t>AL BAR MEADOWS</t>
  </si>
  <si>
    <t>ALBION</t>
  </si>
  <si>
    <t>ALCONY</t>
  </si>
  <si>
    <t>ALDEN</t>
  </si>
  <si>
    <t>ALERT</t>
  </si>
  <si>
    <t>ALEXANDER TOWNSHIP</t>
  </si>
  <si>
    <t>ALEXANDRIA</t>
  </si>
  <si>
    <t>ALEXIS ADDITION</t>
  </si>
  <si>
    <t>ALFRED</t>
  </si>
  <si>
    <t>ALGER</t>
  </si>
  <si>
    <t>ALICE</t>
  </si>
  <si>
    <t>ALIKANNA</t>
  </si>
  <si>
    <t>ALLEDONIA</t>
  </si>
  <si>
    <t>ALLEN TOWNSHIP</t>
  </si>
  <si>
    <t>ALLEN CENTER</t>
  </si>
  <si>
    <t>ALLENSBURG</t>
  </si>
  <si>
    <t>ALLENSVILLE</t>
  </si>
  <si>
    <t>ALLENTOWN</t>
  </si>
  <si>
    <t>ALLIANCE JUNCTION</t>
  </si>
  <si>
    <t>ALMA</t>
  </si>
  <si>
    <t>ALPHA</t>
  </si>
  <si>
    <t>ALPINE TERRACE</t>
  </si>
  <si>
    <t>ALTA</t>
  </si>
  <si>
    <t>ALTAMONT</t>
  </si>
  <si>
    <t>ALTITUDE</t>
  </si>
  <si>
    <t>ALTON</t>
  </si>
  <si>
    <t>ALTOONA</t>
  </si>
  <si>
    <t>ALVADA</t>
  </si>
  <si>
    <t>ALVORDTON</t>
  </si>
  <si>
    <t>AMANDA TOWNSHIP</t>
  </si>
  <si>
    <t>AMANDA</t>
  </si>
  <si>
    <t>AMBERLEY</t>
  </si>
  <si>
    <t>AM-BETH ACRES</t>
  </si>
  <si>
    <t>AMBOY</t>
  </si>
  <si>
    <t>AMBOY TOWNSHIP</t>
  </si>
  <si>
    <t>AMELIA</t>
  </si>
  <si>
    <t>AMERICAN TOWNSHIP</t>
  </si>
  <si>
    <t>AMES TOWNSHIP</t>
  </si>
  <si>
    <t>AMESVILLE</t>
  </si>
  <si>
    <t>AMHERST</t>
  </si>
  <si>
    <t>AMHERST TOWNSHIP</t>
  </si>
  <si>
    <t>AMHERST HEIGHTS</t>
  </si>
  <si>
    <t>AMITY</t>
  </si>
  <si>
    <t>AMLIN</t>
  </si>
  <si>
    <t>AMOY</t>
  </si>
  <si>
    <t>AMSDEN</t>
  </si>
  <si>
    <t>AMSTERDAM</t>
  </si>
  <si>
    <t>ANCOR</t>
  </si>
  <si>
    <t>ANDERSON TOWNSHIP</t>
  </si>
  <si>
    <t>ANDERSON</t>
  </si>
  <si>
    <t>ANDERSON FERRY</t>
  </si>
  <si>
    <t>ANDERSONVILLE</t>
  </si>
  <si>
    <t>ANDIS</t>
  </si>
  <si>
    <t>ANDOVER</t>
  </si>
  <si>
    <t>ANDOVER TOWNSHIP</t>
  </si>
  <si>
    <t>ANGEL</t>
  </si>
  <si>
    <t>ANGUS</t>
  </si>
  <si>
    <t>ANKENYTOWN</t>
  </si>
  <si>
    <t>ANLO</t>
  </si>
  <si>
    <t>ANNA</t>
  </si>
  <si>
    <t>ANNAPOLIS</t>
  </si>
  <si>
    <t>ANSONIA</t>
  </si>
  <si>
    <t>ANTHONY</t>
  </si>
  <si>
    <t>ANTIOCH</t>
  </si>
  <si>
    <t>ANTIQUITY</t>
  </si>
  <si>
    <t>ANTONIS</t>
  </si>
  <si>
    <t>ANTRIM</t>
  </si>
  <si>
    <t>ANTRIM TOWNSHIP</t>
  </si>
  <si>
    <t>ANTWERP</t>
  </si>
  <si>
    <t>APEX</t>
  </si>
  <si>
    <t>APPLE</t>
  </si>
  <si>
    <t>APPLE CREEK</t>
  </si>
  <si>
    <t>WAY</t>
  </si>
  <si>
    <t>APPLE GROVE</t>
  </si>
  <si>
    <t>APPLETON</t>
  </si>
  <si>
    <t>APPLE VALLEY</t>
  </si>
  <si>
    <t>AQUILLA</t>
  </si>
  <si>
    <t>ARABIA</t>
  </si>
  <si>
    <t>ARBAUGH</t>
  </si>
  <si>
    <t>ARBOCREST ACRES</t>
  </si>
  <si>
    <t>ARCADIA</t>
  </si>
  <si>
    <t>ARCANUM</t>
  </si>
  <si>
    <t>ARCHBOLD</t>
  </si>
  <si>
    <t>ARCHER TOWNSHIP</t>
  </si>
  <si>
    <t>ARCHERS FORK</t>
  </si>
  <si>
    <t>ARION</t>
  </si>
  <si>
    <t>ARKOE</t>
  </si>
  <si>
    <t>ARLINGTON</t>
  </si>
  <si>
    <t>ARLINGTON HEIGHTS</t>
  </si>
  <si>
    <t>ARMADALE</t>
  </si>
  <si>
    <t>ARMITAGE</t>
  </si>
  <si>
    <t>ARMSTRONG</t>
  </si>
  <si>
    <t>ARMSTRONGS MILLS</t>
  </si>
  <si>
    <t>ARNHEIM</t>
  </si>
  <si>
    <t>ARNOLD</t>
  </si>
  <si>
    <t>ARTANNA</t>
  </si>
  <si>
    <t>ARTHUR</t>
  </si>
  <si>
    <t>ASBURY</t>
  </si>
  <si>
    <t>ASH</t>
  </si>
  <si>
    <t>ASHLEY</t>
  </si>
  <si>
    <t>ASHLEY CORNER</t>
  </si>
  <si>
    <t>ASH RIDGE</t>
  </si>
  <si>
    <t>ASHTABULA TOWNSHIP</t>
  </si>
  <si>
    <t>ASHTON</t>
  </si>
  <si>
    <t>ASHVILLE</t>
  </si>
  <si>
    <t>ASSUMPTION</t>
  </si>
  <si>
    <t>ASTORIA</t>
  </si>
  <si>
    <t>ATHALIA</t>
  </si>
  <si>
    <t>ATHENS TOWNSHIP</t>
  </si>
  <si>
    <t>ATHERTON</t>
  </si>
  <si>
    <t>ATLANTA</t>
  </si>
  <si>
    <t>ATTICA</t>
  </si>
  <si>
    <t>ATTICA JUNCTION</t>
  </si>
  <si>
    <t>ATWATER</t>
  </si>
  <si>
    <t>ATWATER TOWNSHIP</t>
  </si>
  <si>
    <t>ATWATER CENTER</t>
  </si>
  <si>
    <t>AUBURN</t>
  </si>
  <si>
    <t>AUBURN TOWNSHIP</t>
  </si>
  <si>
    <t>AUBURN CENTER</t>
  </si>
  <si>
    <t>AUBURN CORNERS</t>
  </si>
  <si>
    <t>AUGERBURG</t>
  </si>
  <si>
    <t>AUGLAIZE TOWNSHIP</t>
  </si>
  <si>
    <t>AUGUSTA</t>
  </si>
  <si>
    <t>AUGUSTA TOWNSHIP</t>
  </si>
  <si>
    <t>AUKERMAN</t>
  </si>
  <si>
    <t>AULTMAN</t>
  </si>
  <si>
    <t>AURELIUS TOWNSHIP</t>
  </si>
  <si>
    <t>AURORA</t>
  </si>
  <si>
    <t>AUSTIN</t>
  </si>
  <si>
    <t>AUSTINBURG</t>
  </si>
  <si>
    <t>AUSTINBURG TOWNSHIP</t>
  </si>
  <si>
    <t>AUSTINTOWN</t>
  </si>
  <si>
    <t>AUSTINTOWN TOWNSHIP</t>
  </si>
  <si>
    <t>AUSTIN VILLAGE</t>
  </si>
  <si>
    <t>AUTUMN ACRES</t>
  </si>
  <si>
    <t>AVA</t>
  </si>
  <si>
    <t>AVALON</t>
  </si>
  <si>
    <t>AVLON</t>
  </si>
  <si>
    <t>AVALON HEIGHTS</t>
  </si>
  <si>
    <t>AVERY</t>
  </si>
  <si>
    <t>AVIS</t>
  </si>
  <si>
    <t>AVOCA PARK</t>
  </si>
  <si>
    <t>AVON</t>
  </si>
  <si>
    <t>AVONDALE</t>
  </si>
  <si>
    <t>AVON LAKE</t>
  </si>
  <si>
    <t>AXTEL</t>
  </si>
  <si>
    <t>AYERSVILLE</t>
  </si>
  <si>
    <t>BACHMAN</t>
  </si>
  <si>
    <t>BACON FLAT</t>
  </si>
  <si>
    <t>BADGERTOWN</t>
  </si>
  <si>
    <t>BAILEY</t>
  </si>
  <si>
    <t>BAILEY LAKES</t>
  </si>
  <si>
    <t>BAILEYS MILLS</t>
  </si>
  <si>
    <t>BAINBRIDGE</t>
  </si>
  <si>
    <t>BAINBRIDGE TOWNSHIP</t>
  </si>
  <si>
    <t>BAIRDSTOWN</t>
  </si>
  <si>
    <t>BAKER</t>
  </si>
  <si>
    <t>BAKERSVILLE</t>
  </si>
  <si>
    <t>BALD KNOBS</t>
  </si>
  <si>
    <t>BALDWIN</t>
  </si>
  <si>
    <t>BALLOU</t>
  </si>
  <si>
    <t>BALLVILLE</t>
  </si>
  <si>
    <t>BALLVILLE TOWNSHIP</t>
  </si>
  <si>
    <t>BALTIMORE</t>
  </si>
  <si>
    <t>BANGORVILLE</t>
  </si>
  <si>
    <t>BANGS</t>
  </si>
  <si>
    <t>BANKER HEIGHTS</t>
  </si>
  <si>
    <t>BANNOCK</t>
  </si>
  <si>
    <t>BANNON</t>
  </si>
  <si>
    <t>BANTAM</t>
  </si>
  <si>
    <t>BARBERTON</t>
  </si>
  <si>
    <t>BARCLAY</t>
  </si>
  <si>
    <t>BARDWELL</t>
  </si>
  <si>
    <t>BARLOW</t>
  </si>
  <si>
    <t>BARLOW TOWNSHIP</t>
  </si>
  <si>
    <t>BARNESBURG</t>
  </si>
  <si>
    <t>BARNESVILLE</t>
  </si>
  <si>
    <t>BARNHILL</t>
  </si>
  <si>
    <t>BARRETTS MILLS</t>
  </si>
  <si>
    <t>BARRICK</t>
  </si>
  <si>
    <t>BARRICK CORNERS</t>
  </si>
  <si>
    <t>BARRS MILLS</t>
  </si>
  <si>
    <t>BARTLES</t>
  </si>
  <si>
    <t>BARTLETT</t>
  </si>
  <si>
    <t>BARTLOW TOWNSHIP</t>
  </si>
  <si>
    <t>BARTON</t>
  </si>
  <si>
    <t>BARTRAMVILLE</t>
  </si>
  <si>
    <t>BARWYN ACRES</t>
  </si>
  <si>
    <t>BASCOM</t>
  </si>
  <si>
    <t>BASHAN</t>
  </si>
  <si>
    <t>BATAVIA</t>
  </si>
  <si>
    <t>BATAVIA TOWNSHIP</t>
  </si>
  <si>
    <t>BATEMANTOWN</t>
  </si>
  <si>
    <t>BATES</t>
  </si>
  <si>
    <t>BATESVILLE</t>
  </si>
  <si>
    <t>BATH TOWNSHIP</t>
  </si>
  <si>
    <t>BATH</t>
  </si>
  <si>
    <t>BATH CENTER</t>
  </si>
  <si>
    <t>BATSON</t>
  </si>
  <si>
    <t>BATTLESBURG</t>
  </si>
  <si>
    <t>BAUGHMAN TOWNSHIP</t>
  </si>
  <si>
    <t>BAY TOWNSHIP</t>
  </si>
  <si>
    <t>BAYARD</t>
  </si>
  <si>
    <t>BAYS</t>
  </si>
  <si>
    <t>BAYSHORE</t>
  </si>
  <si>
    <t>BAY VIEW</t>
  </si>
  <si>
    <t>BAY VILLAGE</t>
  </si>
  <si>
    <t>BAZETTA TOWNSHIP</t>
  </si>
  <si>
    <t>BEACH CITY</t>
  </si>
  <si>
    <t>BEACHWOOD</t>
  </si>
  <si>
    <t>BEACON HILL</t>
  </si>
  <si>
    <t>BEALLSVILLE</t>
  </si>
  <si>
    <t>BEALS</t>
  </si>
  <si>
    <t>BEAMSVILLE</t>
  </si>
  <si>
    <t>BEAR CREEK</t>
  </si>
  <si>
    <t>BEARFIELD TOWNSHIP</t>
  </si>
  <si>
    <t>BEARS MILL</t>
  </si>
  <si>
    <t>BEARTOWN</t>
  </si>
  <si>
    <t>BEASLEY FORK</t>
  </si>
  <si>
    <t>BEATTY</t>
  </si>
  <si>
    <t>BEAUMONT</t>
  </si>
  <si>
    <t>BEAVER TOWNSHIP</t>
  </si>
  <si>
    <t>BEAVER</t>
  </si>
  <si>
    <t>BEAVERCREEK</t>
  </si>
  <si>
    <t>BEAVERCREEK TOWNSHIP</t>
  </si>
  <si>
    <t>BEAVERDAM</t>
  </si>
  <si>
    <t>BEAVER DAM STATION</t>
  </si>
  <si>
    <t>BEAVER MILL</t>
  </si>
  <si>
    <t>BEAVER PARK</t>
  </si>
  <si>
    <t>BEAVER POND</t>
  </si>
  <si>
    <t>BEAVERTOWN</t>
  </si>
  <si>
    <t>BECKETT</t>
  </si>
  <si>
    <t>BECKETT RIDGE</t>
  </si>
  <si>
    <t>BECKS MILLS</t>
  </si>
  <si>
    <t>BEDFORD TOWNSHIP</t>
  </si>
  <si>
    <t>BEDFORD</t>
  </si>
  <si>
    <t>BEDFORD HEIGHTS</t>
  </si>
  <si>
    <t>BEEBE</t>
  </si>
  <si>
    <t>BEEBETOWN</t>
  </si>
  <si>
    <t>BEECHGROVE</t>
  </si>
  <si>
    <t>BEECH-MAR</t>
  </si>
  <si>
    <t>BEECHVIEW ESTATES</t>
  </si>
  <si>
    <t>BEECHWOOD</t>
  </si>
  <si>
    <t>BEECHWOOD TRAILS</t>
  </si>
  <si>
    <t>BELDEN</t>
  </si>
  <si>
    <t>BELFAST</t>
  </si>
  <si>
    <t>BELFORT</t>
  </si>
  <si>
    <t>BELKNAP</t>
  </si>
  <si>
    <t>BELLAIRE</t>
  </si>
  <si>
    <t>BELLAIRE GARDENS</t>
  </si>
  <si>
    <t>BELLBROOK</t>
  </si>
  <si>
    <t>BELLE CENTER</t>
  </si>
  <si>
    <t>BELLEPOINT</t>
  </si>
  <si>
    <t>BELLE VALLEY</t>
  </si>
  <si>
    <t>BELLEVE</t>
  </si>
  <si>
    <t>BELLE VERNON</t>
  </si>
  <si>
    <t>BELLEVIEW HEIGHTS</t>
  </si>
  <si>
    <t>BELLVILLE</t>
  </si>
  <si>
    <t>BELMONT</t>
  </si>
  <si>
    <t>BELMONT PARK</t>
  </si>
  <si>
    <t>BELMONT RIDGE</t>
  </si>
  <si>
    <t>BELMORE</t>
  </si>
  <si>
    <t>BELOIT</t>
  </si>
  <si>
    <t>BELPRE</t>
  </si>
  <si>
    <t>BELPRE TOWNSHIP</t>
  </si>
  <si>
    <t>BELVEDERE</t>
  </si>
  <si>
    <t>BENNETTS CORNERS</t>
  </si>
  <si>
    <t>BENNINGTON TOWNSHIP</t>
  </si>
  <si>
    <t>BENTLEYVILLE</t>
  </si>
  <si>
    <t>BENTON TOWNSHIP</t>
  </si>
  <si>
    <t>BENTON RIDGE</t>
  </si>
  <si>
    <t>BENTONVILLE</t>
  </si>
  <si>
    <t>BENWOOD</t>
  </si>
  <si>
    <t>BEREA</t>
  </si>
  <si>
    <t>BEREA STATION</t>
  </si>
  <si>
    <t>BERGHOLZ</t>
  </si>
  <si>
    <t>BERKEY</t>
  </si>
  <si>
    <t>BERKSHIRE</t>
  </si>
  <si>
    <t>BERKSHIRE TOWNSHIP</t>
  </si>
  <si>
    <t>BERLIN</t>
  </si>
  <si>
    <t>BERLIN CENTER STATION</t>
  </si>
  <si>
    <t>BERLIN CENTER</t>
  </si>
  <si>
    <t>BERLIN HEIGHTS</t>
  </si>
  <si>
    <t>BERLIN HEIGHTS STATION</t>
  </si>
  <si>
    <t>BERLINVILLE</t>
  </si>
  <si>
    <t>BERN TOWNSHIP</t>
  </si>
  <si>
    <t>BERNE TOWNSHIP</t>
  </si>
  <si>
    <t>BERNICE</t>
  </si>
  <si>
    <t>BERRYSVILLE</t>
  </si>
  <si>
    <t>BERWICK</t>
  </si>
  <si>
    <t>BESSEMER</t>
  </si>
  <si>
    <t>BETHANY</t>
  </si>
  <si>
    <t>BETHEL TOWNSHIP</t>
  </si>
  <si>
    <t>BETHEL</t>
  </si>
  <si>
    <t>BETHESDA</t>
  </si>
  <si>
    <t>BETHLEHEM TOWNSHIP</t>
  </si>
  <si>
    <t>BETHLEHEM</t>
  </si>
  <si>
    <t>BETTSVILLE</t>
  </si>
  <si>
    <t>BEULAH BEACH</t>
  </si>
  <si>
    <t>BEVAN</t>
  </si>
  <si>
    <t>BEVERLY</t>
  </si>
  <si>
    <t>BEVERLY HILLS</t>
  </si>
  <si>
    <t>BEVIS</t>
  </si>
  <si>
    <t>BEXLEY</t>
  </si>
  <si>
    <t>BIDWELL</t>
  </si>
  <si>
    <t>BIG ISLAND</t>
  </si>
  <si>
    <t>BIG ISLAND TOWNSHIP</t>
  </si>
  <si>
    <t>BIGLICK TOWNSHIP</t>
  </si>
  <si>
    <t>BIG PLAIN</t>
  </si>
  <si>
    <t>BIG PRAIRIE</t>
  </si>
  <si>
    <t>BIG ROCK</t>
  </si>
  <si>
    <t>BIG RUN</t>
  </si>
  <si>
    <t>BIG SPRING TOWNSHIP</t>
  </si>
  <si>
    <t>BIG SPRINGS</t>
  </si>
  <si>
    <t>BILLINGSTOWN</t>
  </si>
  <si>
    <t>BILTMORE GARDENS</t>
  </si>
  <si>
    <t>BINGHAM</t>
  </si>
  <si>
    <t>BIRDS RUN</t>
  </si>
  <si>
    <t>BIRMINGHAM</t>
  </si>
  <si>
    <t>BISHOPVILLE</t>
  </si>
  <si>
    <t>BISMARCK</t>
  </si>
  <si>
    <t>BLACHLEYVILLE</t>
  </si>
  <si>
    <t>BLACKBAND</t>
  </si>
  <si>
    <t>BLACKBERRY CORNER</t>
  </si>
  <si>
    <t>BLACK CREEK TOWNSHIP</t>
  </si>
  <si>
    <t>BLACKFORK</t>
  </si>
  <si>
    <t>BLACKFORK JUNCTION</t>
  </si>
  <si>
    <t>BLACKHAWK</t>
  </si>
  <si>
    <t>BLACK HORSE</t>
  </si>
  <si>
    <t>BLACKJACK</t>
  </si>
  <si>
    <t>BLACKLICK</t>
  </si>
  <si>
    <t>BLACKLICK ESTATES</t>
  </si>
  <si>
    <t>BLACK RUN</t>
  </si>
  <si>
    <t>BLACKTOP</t>
  </si>
  <si>
    <t>BLADEN</t>
  </si>
  <si>
    <t>BLADENSBURG</t>
  </si>
  <si>
    <t>BLAINE</t>
  </si>
  <si>
    <t>BLAINESVILLE</t>
  </si>
  <si>
    <t>BLAIRMONT</t>
  </si>
  <si>
    <t>BLAIRSVILLE</t>
  </si>
  <si>
    <t>BLAKE</t>
  </si>
  <si>
    <t>BLAKESLEE</t>
  </si>
  <si>
    <t>BLANCHARD TOWNSHIP</t>
  </si>
  <si>
    <t>BLANCHARD</t>
  </si>
  <si>
    <t>BLANCHESTER</t>
  </si>
  <si>
    <t>BLANCO</t>
  </si>
  <si>
    <t>BLATCHFORD</t>
  </si>
  <si>
    <t>BLENDON TOWNSHIP</t>
  </si>
  <si>
    <t>BLENDON CORNER</t>
  </si>
  <si>
    <t>BLESSING</t>
  </si>
  <si>
    <t>FAY</t>
  </si>
  <si>
    <t>BLISSFIELD</t>
  </si>
  <si>
    <t>BLOOM TOWNSHIP</t>
  </si>
  <si>
    <t>BLOOM CENTER</t>
  </si>
  <si>
    <t>BLOOMDALE</t>
  </si>
  <si>
    <t>BLOOMER</t>
  </si>
  <si>
    <t>BLOOMFIELD TOWNSHIP</t>
  </si>
  <si>
    <t>BLOOMFIELD</t>
  </si>
  <si>
    <t>BLOOMINGBURG</t>
  </si>
  <si>
    <t>BLOOMINGDALE</t>
  </si>
  <si>
    <t>BLOOMING GROVE</t>
  </si>
  <si>
    <t>BLOOMINGGROVE TOWNSHIP</t>
  </si>
  <si>
    <t>BLOOMINGTON</t>
  </si>
  <si>
    <t>BLOOMINGVILLE</t>
  </si>
  <si>
    <t>BLOOM JUNCTION</t>
  </si>
  <si>
    <t>BLOOMVILLE</t>
  </si>
  <si>
    <t>BLOWVILLE</t>
  </si>
  <si>
    <t>BLUE ASH</t>
  </si>
  <si>
    <t>BLUE BALL</t>
  </si>
  <si>
    <t>BLUEBELL</t>
  </si>
  <si>
    <t>BLUEBIRD BEACH</t>
  </si>
  <si>
    <t>BLUE CREEK</t>
  </si>
  <si>
    <t>BLUE CREEK TOWNSHIP</t>
  </si>
  <si>
    <t>BLUE ROCK</t>
  </si>
  <si>
    <t>BLUE ROCK TOWNSHIP</t>
  </si>
  <si>
    <t>BLUE VALLEY ACRES</t>
  </si>
  <si>
    <t>BLUFFTON</t>
  </si>
  <si>
    <t>BOARDMAN</t>
  </si>
  <si>
    <t>BOARDMAN TOWNSHIP</t>
  </si>
  <si>
    <t>BOBO</t>
  </si>
  <si>
    <t>BODEN</t>
  </si>
  <si>
    <t>BODMAN</t>
  </si>
  <si>
    <t>BOGART</t>
  </si>
  <si>
    <t>BOKESCREEK TOWNSHIP</t>
  </si>
  <si>
    <t>BOLINDALE</t>
  </si>
  <si>
    <t>BOLINS MILLS</t>
  </si>
  <si>
    <t>BOLIVAR</t>
  </si>
  <si>
    <t>BOLTON</t>
  </si>
  <si>
    <t>BONDCLAY</t>
  </si>
  <si>
    <t>BOND HILL</t>
  </si>
  <si>
    <t>BONETA</t>
  </si>
  <si>
    <t>BONN</t>
  </si>
  <si>
    <t>BONO</t>
  </si>
  <si>
    <t>BOOKTOWN</t>
  </si>
  <si>
    <t>BOOKWALTER</t>
  </si>
  <si>
    <t>BOOTH</t>
  </si>
  <si>
    <t>BOSTON</t>
  </si>
  <si>
    <t>BOSTON TOWNSHIP</t>
  </si>
  <si>
    <t>BOSTON HEIGHTS</t>
  </si>
  <si>
    <t>BOTKINS</t>
  </si>
  <si>
    <t>BOTZUM</t>
  </si>
  <si>
    <t>BOUGHTONVILLE</t>
  </si>
  <si>
    <t>BOULEVARD</t>
  </si>
  <si>
    <t>BOURNEVILLE</t>
  </si>
  <si>
    <t>BOWERSTON</t>
  </si>
  <si>
    <t>BOWERSVILLE</t>
  </si>
  <si>
    <t>BOWLING GREEN TOWNSHIP</t>
  </si>
  <si>
    <t>BOWLUSVILLE</t>
  </si>
  <si>
    <t>BOWMANS CORNERS</t>
  </si>
  <si>
    <t>BOYDSVILLE</t>
  </si>
  <si>
    <t>BOYS VILLAGE</t>
  </si>
  <si>
    <t>BRACEVILLE</t>
  </si>
  <si>
    <t>BRACEVILLE TOWNSHIP</t>
  </si>
  <si>
    <t>BRADBURY</t>
  </si>
  <si>
    <t>BRADFORD</t>
  </si>
  <si>
    <t>BRADLEY</t>
  </si>
  <si>
    <t>BRADNER</t>
  </si>
  <si>
    <t>BRADRICK</t>
  </si>
  <si>
    <t>BRADY</t>
  </si>
  <si>
    <t>BRADY TOWNSHIP</t>
  </si>
  <si>
    <t>BRADY LAKE</t>
  </si>
  <si>
    <t>BRADYSVILLE</t>
  </si>
  <si>
    <t>BRAFFETSVILLE</t>
  </si>
  <si>
    <t>BRAILEY</t>
  </si>
  <si>
    <t>BRANCH HILL</t>
  </si>
  <si>
    <t>BRANDON</t>
  </si>
  <si>
    <t>BRANDT</t>
  </si>
  <si>
    <t>BRANDYWINE</t>
  </si>
  <si>
    <t>BRATENAHL</t>
  </si>
  <si>
    <t>BRATTON TOWNSHIP</t>
  </si>
  <si>
    <t>BRECKSVILLE</t>
  </si>
  <si>
    <t>BRECON</t>
  </si>
  <si>
    <t>BREMEN</t>
  </si>
  <si>
    <t>BRENNERSVILLE</t>
  </si>
  <si>
    <t>BRENTWOOD</t>
  </si>
  <si>
    <t>BRENTWOOD LAKE</t>
  </si>
  <si>
    <t>BREWER HEIGHTS</t>
  </si>
  <si>
    <t>BREWSTER</t>
  </si>
  <si>
    <t>BRIARWOOD BEACH</t>
  </si>
  <si>
    <t>BRICE</t>
  </si>
  <si>
    <t>BRICETON</t>
  </si>
  <si>
    <t>BRIDGEPORT</t>
  </si>
  <si>
    <t>BRIDGES</t>
  </si>
  <si>
    <t>BRIDGETOWN</t>
  </si>
  <si>
    <t>BRIDGETOWN NORTH (HISTORICAL)</t>
  </si>
  <si>
    <t>BRIDGEVILLE</t>
  </si>
  <si>
    <t>BRIDGEWATER</t>
  </si>
  <si>
    <t>BRIDGEWATER TOWNSHIP</t>
  </si>
  <si>
    <t>BRIDGEWATER CENTER</t>
  </si>
  <si>
    <t>BRIER HILL</t>
  </si>
  <si>
    <t>BRIGGLESVILLE</t>
  </si>
  <si>
    <t>BRIGGS</t>
  </si>
  <si>
    <t>BRIGGSDALE</t>
  </si>
  <si>
    <t>BRIGHTON</t>
  </si>
  <si>
    <t>BRIGHTON TOWNSHIP</t>
  </si>
  <si>
    <t>BRIGHTWOOD</t>
  </si>
  <si>
    <t>BRILLIANT</t>
  </si>
  <si>
    <t>BRIMFIELD</t>
  </si>
  <si>
    <t>BRIMFIELD TOWNSHIP</t>
  </si>
  <si>
    <t>BRIMFIELD STATION</t>
  </si>
  <si>
    <t>BRINKHAVEN</t>
  </si>
  <si>
    <t>BRINLEY</t>
  </si>
  <si>
    <t>BRISTER</t>
  </si>
  <si>
    <t>BRISTOL</t>
  </si>
  <si>
    <t>BRISTOL TOWNSHIP</t>
  </si>
  <si>
    <t>BRISTOL VILLAGE</t>
  </si>
  <si>
    <t>BRISTOLVILLE</t>
  </si>
  <si>
    <t>BRISTOLVILLE STATION (HISTORICAL)</t>
  </si>
  <si>
    <t>BRITNEY ACRES</t>
  </si>
  <si>
    <t>BRITTAIN</t>
  </si>
  <si>
    <t>BROADACRE</t>
  </si>
  <si>
    <t>BROADVIEW</t>
  </si>
  <si>
    <t>BROADVIEW HEIGHTS</t>
  </si>
  <si>
    <t>BROADWAY</t>
  </si>
  <si>
    <t>BROADWELL</t>
  </si>
  <si>
    <t>BROCK</t>
  </si>
  <si>
    <t>BROCKS CORNER</t>
  </si>
  <si>
    <t>BROKAW</t>
  </si>
  <si>
    <t>BROKEN SWORD</t>
  </si>
  <si>
    <t>BRONSON TOWNSHIP</t>
  </si>
  <si>
    <t>BROOKFIELD TOWNSHIP</t>
  </si>
  <si>
    <t>BROOKFIELD</t>
  </si>
  <si>
    <t>BROOKFIELD CENTER</t>
  </si>
  <si>
    <t>BROOKHILL</t>
  </si>
  <si>
    <t>BROOKLYN</t>
  </si>
  <si>
    <t>BROOKLYN HEIGHTS</t>
  </si>
  <si>
    <t>BROOK PARK</t>
  </si>
  <si>
    <t>BROOKSIDE</t>
  </si>
  <si>
    <t>BROOKSIDE PARK</t>
  </si>
  <si>
    <t>BROOKVILLE</t>
  </si>
  <si>
    <t>BROOKWOOD</t>
  </si>
  <si>
    <t>BROUGHTON</t>
  </si>
  <si>
    <t>BROWN TOWNSHIP</t>
  </si>
  <si>
    <t>BROWN</t>
  </si>
  <si>
    <t>BROWN CORNER</t>
  </si>
  <si>
    <t>BROWNHELM</t>
  </si>
  <si>
    <t>BROWNHELM TOWNSHIP</t>
  </si>
  <si>
    <t>BROWNHELM STATION</t>
  </si>
  <si>
    <t>BROWNS</t>
  </si>
  <si>
    <t>BROWNS CROSSROADS</t>
  </si>
  <si>
    <t>BROWNS HEIGHTS</t>
  </si>
  <si>
    <t>BROWNSTOWN</t>
  </si>
  <si>
    <t>BROWNSVILLE</t>
  </si>
  <si>
    <t>BRUNERSBURG</t>
  </si>
  <si>
    <t>BRUNO</t>
  </si>
  <si>
    <t>BRUNSWICK</t>
  </si>
  <si>
    <t>BRUNSWICK HILLS TOWNSHIP</t>
  </si>
  <si>
    <t>BRUSH CREEK TOWNSHIP</t>
  </si>
  <si>
    <t>BRUSHCREEK TOWNSHIP</t>
  </si>
  <si>
    <t>BRUSH RIDGE</t>
  </si>
  <si>
    <t>BUCHANAN</t>
  </si>
  <si>
    <t>BUCHTEL</t>
  </si>
  <si>
    <t>BUCK TOWNSHIP</t>
  </si>
  <si>
    <t>BUCKEYE LAKE</t>
  </si>
  <si>
    <t>BUCKEYEVILLE</t>
  </si>
  <si>
    <t>BUCKHORN</t>
  </si>
  <si>
    <t>BUCKHORN FURNACE</t>
  </si>
  <si>
    <t>BUCKINGHAM</t>
  </si>
  <si>
    <t>BUCKLAND</t>
  </si>
  <si>
    <t>BUCKS TOWNSHIP</t>
  </si>
  <si>
    <t>BUCKSKIN TOWNSHIP</t>
  </si>
  <si>
    <t>BUCKS MILL</t>
  </si>
  <si>
    <t>BUCYRUS TOWNSHIP</t>
  </si>
  <si>
    <t>BUENA VISTA</t>
  </si>
  <si>
    <t>BUFFALO</t>
  </si>
  <si>
    <t>BUFFALO TOWNSHIP</t>
  </si>
  <si>
    <t>BUFORD</t>
  </si>
  <si>
    <t>BULAH</t>
  </si>
  <si>
    <t>BULAVILLE</t>
  </si>
  <si>
    <t>BULKHEAD</t>
  </si>
  <si>
    <t>BUNDYSBURG</t>
  </si>
  <si>
    <t>BUNKER HILL</t>
  </si>
  <si>
    <t>BURBANK</t>
  </si>
  <si>
    <t>BURGHILL</t>
  </si>
  <si>
    <t>BURGOON</t>
  </si>
  <si>
    <t>BURKETTSVILLE</t>
  </si>
  <si>
    <t>BURKHART</t>
  </si>
  <si>
    <t>BURLINGHAM</t>
  </si>
  <si>
    <t>BURLINGTON</t>
  </si>
  <si>
    <t>BURLINGTON TOWNSHIP</t>
  </si>
  <si>
    <t>BURNETTS CORNERS</t>
  </si>
  <si>
    <t>BURR OAK</t>
  </si>
  <si>
    <t>BURR OAKS HEIGHTS</t>
  </si>
  <si>
    <t>BURSVILLE</t>
  </si>
  <si>
    <t>BURTON</t>
  </si>
  <si>
    <t>BURTON TOWNSHIP</t>
  </si>
  <si>
    <t>BURTON CITY</t>
  </si>
  <si>
    <t>BURTON LAKE</t>
  </si>
  <si>
    <t>BURTON STATION</t>
  </si>
  <si>
    <t>BURTONVILLE</t>
  </si>
  <si>
    <t>BUSENBARK</t>
  </si>
  <si>
    <t>BUSHNELL</t>
  </si>
  <si>
    <t>BUSINESSBURG</t>
  </si>
  <si>
    <t>BUSINESS CORNER</t>
  </si>
  <si>
    <t>BUSY CORNERS</t>
  </si>
  <si>
    <t>BUTLER TOWNSHIP</t>
  </si>
  <si>
    <t>BUTLER</t>
  </si>
  <si>
    <t>BUTLERS MILL</t>
  </si>
  <si>
    <t>BUTLERVILLE</t>
  </si>
  <si>
    <t>BUZZARD ROOST</t>
  </si>
  <si>
    <t>BYER</t>
  </si>
  <si>
    <t>BYESVILLE</t>
  </si>
  <si>
    <t>BYHALIA</t>
  </si>
  <si>
    <t>BYINGTON</t>
  </si>
  <si>
    <t>BYRD TOWNSHIP</t>
  </si>
  <si>
    <t>BYRON</t>
  </si>
  <si>
    <t>CABINET</t>
  </si>
  <si>
    <t>CABLE</t>
  </si>
  <si>
    <t>CADIZ</t>
  </si>
  <si>
    <t>CADIZ TOWNSHIP</t>
  </si>
  <si>
    <t>CADIZ JUNCTION</t>
  </si>
  <si>
    <t>CADMUS</t>
  </si>
  <si>
    <t>CAESARSCREEK TOWNSHIP</t>
  </si>
  <si>
    <t>CAIRO</t>
  </si>
  <si>
    <t>CALAIS</t>
  </si>
  <si>
    <t>CALAMOUTIER</t>
  </si>
  <si>
    <t>CALCUTTA</t>
  </si>
  <si>
    <t>CALEDONIA</t>
  </si>
  <si>
    <t>CALIFORNIA</t>
  </si>
  <si>
    <t>CALLA</t>
  </si>
  <si>
    <t>CAMBA</t>
  </si>
  <si>
    <t>CAMBRIDGE TOWNSHIP</t>
  </si>
  <si>
    <t>CAMDEN TOWNSHIP</t>
  </si>
  <si>
    <t>CAMDEN</t>
  </si>
  <si>
    <t>CAMERON</t>
  </si>
  <si>
    <t>CAMPBELL</t>
  </si>
  <si>
    <t>CAMPBELLSPORT</t>
  </si>
  <si>
    <t>CAMPBELLSTOWN</t>
  </si>
  <si>
    <t>CAMP BENNETT</t>
  </si>
  <si>
    <t>CAMP CALVARY</t>
  </si>
  <si>
    <t>CAMP CREEK TOWNSHIP</t>
  </si>
  <si>
    <t>CAMP CREEK</t>
  </si>
  <si>
    <t>CAMP DENNISON</t>
  </si>
  <si>
    <t>CAMP LUTHER</t>
  </si>
  <si>
    <t>CAMP OYO</t>
  </si>
  <si>
    <t>CAMP PARK</t>
  </si>
  <si>
    <t>CAMP ROOSEVELT</t>
  </si>
  <si>
    <t>CAMP WASHINGTON</t>
  </si>
  <si>
    <t>CANAAN TOWNSHIP</t>
  </si>
  <si>
    <t>CANAAN</t>
  </si>
  <si>
    <t>CANAANVILLE</t>
  </si>
  <si>
    <t>CANAL FULTON</t>
  </si>
  <si>
    <t>CANAL LEWISVILLE</t>
  </si>
  <si>
    <t>CANAL WINCHESTER</t>
  </si>
  <si>
    <t>CANDLEWOOD LAKE</t>
  </si>
  <si>
    <t>CANDY TOWN</t>
  </si>
  <si>
    <t>CANFIELD</t>
  </si>
  <si>
    <t>CANFIELD TOWNSHIP</t>
  </si>
  <si>
    <t>CANNELVILLE</t>
  </si>
  <si>
    <t>CANNON</t>
  </si>
  <si>
    <t>CANNONS CREEK</t>
  </si>
  <si>
    <t>CANTON TOWNSHIP</t>
  </si>
  <si>
    <t>CANTON ROAD</t>
  </si>
  <si>
    <t>CANYON PARK</t>
  </si>
  <si>
    <t>CAPTINA</t>
  </si>
  <si>
    <t>CARBONDALE</t>
  </si>
  <si>
    <t>CARBON HILL</t>
  </si>
  <si>
    <t>CARDINGTON</t>
  </si>
  <si>
    <t>CARDINGTON TOWNSHIP</t>
  </si>
  <si>
    <t>CAREY</t>
  </si>
  <si>
    <t>CAREYTOWN</t>
  </si>
  <si>
    <t>CARLISLE TOWNSHIP</t>
  </si>
  <si>
    <t>CARLTON</t>
  </si>
  <si>
    <t>CARMEL</t>
  </si>
  <si>
    <t>CAROLINE</t>
  </si>
  <si>
    <t>CARRINGTON</t>
  </si>
  <si>
    <t>CARROLL</t>
  </si>
  <si>
    <t>CARROLL TOWNSHIP</t>
  </si>
  <si>
    <t>CARROLLTON</t>
  </si>
  <si>
    <t>CARROTHERS</t>
  </si>
  <si>
    <t>CARRYALL TOWNSHIP</t>
  </si>
  <si>
    <t>CARSEY TOWN</t>
  </si>
  <si>
    <t>CARTHAGE TOWNSHIP</t>
  </si>
  <si>
    <t>CARTHAGE</t>
  </si>
  <si>
    <t>CARTHAGENA</t>
  </si>
  <si>
    <t>CARTHON</t>
  </si>
  <si>
    <t>CARYSVILLE</t>
  </si>
  <si>
    <t>CASS TOWNSHIP</t>
  </si>
  <si>
    <t>CASSELL</t>
  </si>
  <si>
    <t>CASSELLA</t>
  </si>
  <si>
    <t>CASSTOWN</t>
  </si>
  <si>
    <t>CASSVILLE</t>
  </si>
  <si>
    <t>CASTALIA</t>
  </si>
  <si>
    <t>CASTINE</t>
  </si>
  <si>
    <t>CATAWBA</t>
  </si>
  <si>
    <t>CATAWBA ISLAND</t>
  </si>
  <si>
    <t>CATAWBA ISLAND TOWNSHIP</t>
  </si>
  <si>
    <t>CATAWBA STATION</t>
  </si>
  <si>
    <t>CATBIRD</t>
  </si>
  <si>
    <t>CAVALLO</t>
  </si>
  <si>
    <t>CAVETT</t>
  </si>
  <si>
    <t>CAWTHORN</t>
  </si>
  <si>
    <t>CAYWOOD</t>
  </si>
  <si>
    <t>CEBEE</t>
  </si>
  <si>
    <t>CECIL</t>
  </si>
  <si>
    <t>CEDAR CORNERS</t>
  </si>
  <si>
    <t>CEDAR FORK</t>
  </si>
  <si>
    <t>CEDAR GROVE</t>
  </si>
  <si>
    <t>CEDAR HILL</t>
  </si>
  <si>
    <t>CEDAR MILLS</t>
  </si>
  <si>
    <t>CEDAR PARK</t>
  </si>
  <si>
    <t>CEDAR POINT</t>
  </si>
  <si>
    <t>CEDAR RUN</t>
  </si>
  <si>
    <t>CEDAR SPRINGS</t>
  </si>
  <si>
    <t>CEDAR VALLEY</t>
  </si>
  <si>
    <t>CEDARVILLE</t>
  </si>
  <si>
    <t>CEDARVILLE TOWNSHIP</t>
  </si>
  <si>
    <t>CEDRON</t>
  </si>
  <si>
    <t>CELERYVILLE</t>
  </si>
  <si>
    <t>CENTENARY</t>
  </si>
  <si>
    <t>CENTENNIAL</t>
  </si>
  <si>
    <t>CENTER TOWNSHIP</t>
  </si>
  <si>
    <t>CENTER BEND</t>
  </si>
  <si>
    <t>CENTERBURG</t>
  </si>
  <si>
    <t>CENTERPOINT</t>
  </si>
  <si>
    <t>CENTER STATION</t>
  </si>
  <si>
    <t>CENTERTON</t>
  </si>
  <si>
    <t>CENTER VILLAGE</t>
  </si>
  <si>
    <t>CENTERVILLE</t>
  </si>
  <si>
    <t>CENTRAL AVENUE PARK</t>
  </si>
  <si>
    <t>CENTRAL COLLEGE</t>
  </si>
  <si>
    <t>CESSNA TOWNSHIP</t>
  </si>
  <si>
    <t>CEYLON</t>
  </si>
  <si>
    <t>CHAGRIN FALLS</t>
  </si>
  <si>
    <t>CHAGRIN FALLS TOWNSHIP</t>
  </si>
  <si>
    <t>CHAGRIN FALLS PARK</t>
  </si>
  <si>
    <t>CHAGRIN HARBOR</t>
  </si>
  <si>
    <t>CHALFANTS</t>
  </si>
  <si>
    <t>CHAMBERSBURG</t>
  </si>
  <si>
    <t>CHAMPION</t>
  </si>
  <si>
    <t>CHAMPION TOWNSHIP</t>
  </si>
  <si>
    <t>CHAMPION HEIGHTS</t>
  </si>
  <si>
    <t>CHANDLER</t>
  </si>
  <si>
    <t>CHANDLERSVILLE</t>
  </si>
  <si>
    <t>CHAPEL HILL</t>
  </si>
  <si>
    <t>CHAPMAN</t>
  </si>
  <si>
    <t>CHARDON TOWNSHIP</t>
  </si>
  <si>
    <t>CHARITY ROTCH</t>
  </si>
  <si>
    <t>CHARLES MILL</t>
  </si>
  <si>
    <t>CHARLESTOWN</t>
  </si>
  <si>
    <t>CHARLESTOWN TOWNSHIP</t>
  </si>
  <si>
    <t>CHARLOE</t>
  </si>
  <si>
    <t>CHARM</t>
  </si>
  <si>
    <t>CHASE</t>
  </si>
  <si>
    <t>CHASETOWN</t>
  </si>
  <si>
    <t>CHASEVILLE</t>
  </si>
  <si>
    <t>CHASKA BEACH</t>
  </si>
  <si>
    <t>CHATFIELD</t>
  </si>
  <si>
    <t>CHATFIELD TOWNSHIP</t>
  </si>
  <si>
    <t>CHATHAM</t>
  </si>
  <si>
    <t>CHATHAM TOWNSHIP</t>
  </si>
  <si>
    <t>CHATTANOOGA</t>
  </si>
  <si>
    <t>CHAUNCEY</t>
  </si>
  <si>
    <t>CHAUTAUQUA</t>
  </si>
  <si>
    <t>CHENOWETH</t>
  </si>
  <si>
    <t>CHEROKEE</t>
  </si>
  <si>
    <t>CHERRY FORK</t>
  </si>
  <si>
    <t>CHERRY GROVE</t>
  </si>
  <si>
    <t>CHERRY VALLEY</t>
  </si>
  <si>
    <t>CHERRY VALLEY TOWNSHIP</t>
  </si>
  <si>
    <t>CHESAPEAKE</t>
  </si>
  <si>
    <t>CHESHIRE</t>
  </si>
  <si>
    <t>CHESHIRE TOWNSHIP</t>
  </si>
  <si>
    <t>CHESSWOOD ACRES</t>
  </si>
  <si>
    <t>CHESTER TOWNSHIP</t>
  </si>
  <si>
    <t>CHESTER</t>
  </si>
  <si>
    <t>CHESTER CENTER</t>
  </si>
  <si>
    <t>CHESTERFIELD TOWNSHIP</t>
  </si>
  <si>
    <t>CHESTERHILL</t>
  </si>
  <si>
    <t>CHESTERLAND</t>
  </si>
  <si>
    <t>CHESTERVILLE</t>
  </si>
  <si>
    <t>CHEVIOT</t>
  </si>
  <si>
    <t>CHICKASAW</t>
  </si>
  <si>
    <t>CHICKWAN</t>
  </si>
  <si>
    <t>CHILI</t>
  </si>
  <si>
    <t>CHILO</t>
  </si>
  <si>
    <t>CHIPPEWA TOWNSHIP</t>
  </si>
  <si>
    <t>CHIPPEWA LAKE</t>
  </si>
  <si>
    <t>CHIPPEWA LAKE PARK</t>
  </si>
  <si>
    <t>CHIPPEWA-ON-THE-LAKE</t>
  </si>
  <si>
    <t>CHIPPEWA PARK</t>
  </si>
  <si>
    <t>CHOCTAW LAKE</t>
  </si>
  <si>
    <t>CHRISMAN</t>
  </si>
  <si>
    <t>CHRISTIANSBURG</t>
  </si>
  <si>
    <t>CHRISTY</t>
  </si>
  <si>
    <t>CHRISTYTOWN</t>
  </si>
  <si>
    <t>CHUCKERY</t>
  </si>
  <si>
    <t>CHURCHILL</t>
  </si>
  <si>
    <t>CHURCHTOWN</t>
  </si>
  <si>
    <t>CINNAMON LAKE</t>
  </si>
  <si>
    <t>CIRCLE GREEN</t>
  </si>
  <si>
    <t>CIRCLE HILL</t>
  </si>
  <si>
    <t>CIRCLEVILLE TOWNSHIP</t>
  </si>
  <si>
    <t>CITY VIEW HEIGHTS</t>
  </si>
  <si>
    <t>CLAIBORNE</t>
  </si>
  <si>
    <t>CLAIBOURNE TOWNSHIP</t>
  </si>
  <si>
    <t>CLARE</t>
  </si>
  <si>
    <t>CLARIDON</t>
  </si>
  <si>
    <t>CLARIDON TOWNSHIP</t>
  </si>
  <si>
    <t>CLARINGTON</t>
  </si>
  <si>
    <t>CLARION</t>
  </si>
  <si>
    <t>CLARK CORNERS</t>
  </si>
  <si>
    <t>CLARKSBURG</t>
  </si>
  <si>
    <t>CLARKSFIELD</t>
  </si>
  <si>
    <t>CLARKSFIELD TOWNSHIP</t>
  </si>
  <si>
    <t>CLARKSON</t>
  </si>
  <si>
    <t>CLARKSVILLE</t>
  </si>
  <si>
    <t>CLARKTOWN</t>
  </si>
  <si>
    <t>CLAY TOWNSHIP</t>
  </si>
  <si>
    <t>CLAY CENTER</t>
  </si>
  <si>
    <t>CLAYLICK</t>
  </si>
  <si>
    <t>CLAYSVILLE</t>
  </si>
  <si>
    <t>CLAYTON</t>
  </si>
  <si>
    <t>CLAYTON TOWNSHIP</t>
  </si>
  <si>
    <t>CLEAR CREEK TOWNSHIP</t>
  </si>
  <si>
    <t>CLEARCREEK TOWNSHIP</t>
  </si>
  <si>
    <t>CLEARPORT</t>
  </si>
  <si>
    <t>CLEARVIEW</t>
  </si>
  <si>
    <t>CLEMENT</t>
  </si>
  <si>
    <t>CLERMONTVILLE</t>
  </si>
  <si>
    <t>CLERTOMA</t>
  </si>
  <si>
    <t>CLEVELAND HEIGHTS</t>
  </si>
  <si>
    <t>CLEVES</t>
  </si>
  <si>
    <t>CLIFFORD</t>
  </si>
  <si>
    <t>CLIMAX</t>
  </si>
  <si>
    <t>CLINE</t>
  </si>
  <si>
    <t>CLIPPER MILLS</t>
  </si>
  <si>
    <t>CLOUGH HEIGHTS</t>
  </si>
  <si>
    <t>CLOVER</t>
  </si>
  <si>
    <t>CLOVERDALE</t>
  </si>
  <si>
    <t>CLOVER HILL</t>
  </si>
  <si>
    <t>COAL TOWNSHIP</t>
  </si>
  <si>
    <t>COALBURG</t>
  </si>
  <si>
    <t>COALGATE</t>
  </si>
  <si>
    <t>COAL GROVE</t>
  </si>
  <si>
    <t>COAL HILL</t>
  </si>
  <si>
    <t>COALPORT</t>
  </si>
  <si>
    <t>COAL RIDGE</t>
  </si>
  <si>
    <t>COAL RUN</t>
  </si>
  <si>
    <t>COALTON</t>
  </si>
  <si>
    <t>COATS</t>
  </si>
  <si>
    <t>COCKRELL RUN</t>
  </si>
  <si>
    <t>CODDINGVILLE</t>
  </si>
  <si>
    <t>COITSVILLE TOWNSHIP</t>
  </si>
  <si>
    <t>COITSVILLE CENTER</t>
  </si>
  <si>
    <t>COKESBURY CORNERS</t>
  </si>
  <si>
    <t>COLBY</t>
  </si>
  <si>
    <t>COLDSTREAM</t>
  </si>
  <si>
    <t>COLDWATER</t>
  </si>
  <si>
    <t>COLE</t>
  </si>
  <si>
    <t>COLEBROOK</t>
  </si>
  <si>
    <t>COLEBROOK TOWNSHIP</t>
  </si>
  <si>
    <t>COLEMAN</t>
  </si>
  <si>
    <t>COLERAIN</t>
  </si>
  <si>
    <t>COLERAIN TOWNSHIP</t>
  </si>
  <si>
    <t>COLERAIN HEIGHTS</t>
  </si>
  <si>
    <t>COLES PARK</t>
  </si>
  <si>
    <t>COLETOWN</t>
  </si>
  <si>
    <t>COLFAX</t>
  </si>
  <si>
    <t>COLLEGE TOWNSHIP</t>
  </si>
  <si>
    <t>COLLEGE CORNER</t>
  </si>
  <si>
    <t>COLLEGE HILL</t>
  </si>
  <si>
    <t>COLLINS</t>
  </si>
  <si>
    <t>COLLINSVILLE</t>
  </si>
  <si>
    <t>COLLINWOOD</t>
  </si>
  <si>
    <t>COLTON</t>
  </si>
  <si>
    <t>COLUMBIA</t>
  </si>
  <si>
    <t>COLUMBIA TOWNSHIP</t>
  </si>
  <si>
    <t>COLUMBIA CENTER</t>
  </si>
  <si>
    <t>COLUMBIA HILLS CORNERS</t>
  </si>
  <si>
    <t>COLUMBIA STATION</t>
  </si>
  <si>
    <t>COLUMBUS GROVE</t>
  </si>
  <si>
    <t>COMET</t>
  </si>
  <si>
    <t>COMMERCIAL POINT</t>
  </si>
  <si>
    <t>COMPTON PARK</t>
  </si>
  <si>
    <t>COMPTON WOODS</t>
  </si>
  <si>
    <t>COLUMBUS CITY TOWNSHIP</t>
  </si>
  <si>
    <t>CONANT</t>
  </si>
  <si>
    <t>CONCORD TOWNSHIP</t>
  </si>
  <si>
    <t>CONCORD</t>
  </si>
  <si>
    <t>CONCORDE HILLS</t>
  </si>
  <si>
    <t>CONDIT</t>
  </si>
  <si>
    <t>CONESVILLE</t>
  </si>
  <si>
    <t>CONGO</t>
  </si>
  <si>
    <t>CONGRESS TOWNSHIP</t>
  </si>
  <si>
    <t>CONGRESS</t>
  </si>
  <si>
    <t>CONNETT</t>
  </si>
  <si>
    <t>CONNOR</t>
  </si>
  <si>
    <t>CONNORVILLE</t>
  </si>
  <si>
    <t>CONOTTON</t>
  </si>
  <si>
    <t>CONOVER</t>
  </si>
  <si>
    <t>CONSTITUTION</t>
  </si>
  <si>
    <t>CONTINENTAL</t>
  </si>
  <si>
    <t>CONTRERAS</t>
  </si>
  <si>
    <t>CONVERSE STATION</t>
  </si>
  <si>
    <t>CONVERSE</t>
  </si>
  <si>
    <t>CONVOY</t>
  </si>
  <si>
    <t>CONWAY ADDITION</t>
  </si>
  <si>
    <t>COOK</t>
  </si>
  <si>
    <t>COOLVILLE</t>
  </si>
  <si>
    <t>COONEY</t>
  </si>
  <si>
    <t>COONVILLE</t>
  </si>
  <si>
    <t>COOPER</t>
  </si>
  <si>
    <t>COOPERDALE</t>
  </si>
  <si>
    <t>COOPERSVILLE</t>
  </si>
  <si>
    <t>COPLEY</t>
  </si>
  <si>
    <t>COPLEY TOWNSHIP</t>
  </si>
  <si>
    <t>COPLEY JUNCTION</t>
  </si>
  <si>
    <t>CORA</t>
  </si>
  <si>
    <t>CORINTH</t>
  </si>
  <si>
    <t>CORK</t>
  </si>
  <si>
    <t>CORNELION</t>
  </si>
  <si>
    <t>CORNER</t>
  </si>
  <si>
    <t>CORNERSBURG</t>
  </si>
  <si>
    <t>CORNERVILLE</t>
  </si>
  <si>
    <t>CORNING</t>
  </si>
  <si>
    <t>CORRYVILLE</t>
  </si>
  <si>
    <t>CORTLAND</t>
  </si>
  <si>
    <t>CORTSVILLE</t>
  </si>
  <si>
    <t>CORWIN</t>
  </si>
  <si>
    <t>CORYVILLE</t>
  </si>
  <si>
    <t>COSMOS</t>
  </si>
  <si>
    <t>COSTONIA</t>
  </si>
  <si>
    <t>COTILLION VILLAGE</t>
  </si>
  <si>
    <t>COTTAGE GROVE</t>
  </si>
  <si>
    <t>COTTAGE HILL</t>
  </si>
  <si>
    <t>COULTER</t>
  </si>
  <si>
    <t>COUNTRY CLUB ACRES</t>
  </si>
  <si>
    <t>COVEDALE</t>
  </si>
  <si>
    <t>COVENTRY TOWNSHIP</t>
  </si>
  <si>
    <t>COVINGTON</t>
  </si>
  <si>
    <t>COWLESVILLE</t>
  </si>
  <si>
    <t>COW RUN</t>
  </si>
  <si>
    <t>COZADDALE</t>
  </si>
  <si>
    <t>CRABAPPLE</t>
  </si>
  <si>
    <t>CRABTREE</t>
  </si>
  <si>
    <t>CRAIG BEACH</t>
  </si>
  <si>
    <t>CRAIGTON</t>
  </si>
  <si>
    <t>CRANBERRY TOWNSHIP</t>
  </si>
  <si>
    <t>CRANBERRY PRAIRIE</t>
  </si>
  <si>
    <t>CRANE TOWNSHIP</t>
  </si>
  <si>
    <t>CRANENEST</t>
  </si>
  <si>
    <t>CRAVER</t>
  </si>
  <si>
    <t>CRAWFORD TOWNSHIP</t>
  </si>
  <si>
    <t>CRAWFORD CORNERS</t>
  </si>
  <si>
    <t>CRAYON</t>
  </si>
  <si>
    <t>CREAM CITY</t>
  </si>
  <si>
    <t>CREOLA</t>
  </si>
  <si>
    <t>CRESCENT</t>
  </si>
  <si>
    <t>CRESCENTVILLE</t>
  </si>
  <si>
    <t>CRESCEUS FARMS</t>
  </si>
  <si>
    <t>CRESTLINE</t>
  </si>
  <si>
    <t>CRESTLINE TOWNSHIP</t>
  </si>
  <si>
    <t>CRESTON</t>
  </si>
  <si>
    <t>CRESTON VILLAGE TOWNSHIP</t>
  </si>
  <si>
    <t>CRESTWOOD ACRES</t>
  </si>
  <si>
    <t>CRIDERSVILLE</t>
  </si>
  <si>
    <t>CRIMSON</t>
  </si>
  <si>
    <t>CRISSEY</t>
  </si>
  <si>
    <t>CROMERS</t>
  </si>
  <si>
    <t>CROOKED TREE</t>
  </si>
  <si>
    <t>CROOKSVILLE</t>
  </si>
  <si>
    <t>CROSBY TOWNSHIP</t>
  </si>
  <si>
    <t>CROSS CREEK TOWNSHIP</t>
  </si>
  <si>
    <t>CROSSENVILLE</t>
  </si>
  <si>
    <t>CROSSROADS</t>
  </si>
  <si>
    <t>CROSSTOWN</t>
  </si>
  <si>
    <t>CROSSWICK</t>
  </si>
  <si>
    <t>CROSWELL</t>
  </si>
  <si>
    <t>CROTON</t>
  </si>
  <si>
    <t>CROWN CITY</t>
  </si>
  <si>
    <t>CROWNOVER MILL</t>
  </si>
  <si>
    <t>CROWN POINT</t>
  </si>
  <si>
    <t>CRYSTAL LAKES</t>
  </si>
  <si>
    <t>CRYSTAL ROCK</t>
  </si>
  <si>
    <t>CRYSTAL SPRINGS</t>
  </si>
  <si>
    <t>CUBA</t>
  </si>
  <si>
    <t>CULLER MILL</t>
  </si>
  <si>
    <t>CUMBERLAND</t>
  </si>
  <si>
    <t>CUMMINSVILLE</t>
  </si>
  <si>
    <t>CUNNINGHAM</t>
  </si>
  <si>
    <t>CURTICE</t>
  </si>
  <si>
    <t>CUSTAR</t>
  </si>
  <si>
    <t>CUTLER</t>
  </si>
  <si>
    <t>CUYAHOGA FALLS</t>
  </si>
  <si>
    <t>CUYAHOGA HEIGHTS</t>
  </si>
  <si>
    <t>CYCLORAMA HEIGHTS</t>
  </si>
  <si>
    <t>CYGNET</t>
  </si>
  <si>
    <t>CYNTHIAN TOWNSHIP</t>
  </si>
  <si>
    <t>CYNTHIANA</t>
  </si>
  <si>
    <t>DADSVILLE</t>
  </si>
  <si>
    <t>DAGUE</t>
  </si>
  <si>
    <t>DAIRY</t>
  </si>
  <si>
    <t>DALE</t>
  </si>
  <si>
    <t>DALEYVILLE</t>
  </si>
  <si>
    <t>DALLAS TOWNSHIP</t>
  </si>
  <si>
    <t>DALLASBURG</t>
  </si>
  <si>
    <t>DALRYMPLE CORNERS</t>
  </si>
  <si>
    <t>DALTON</t>
  </si>
  <si>
    <t>DALZELL</t>
  </si>
  <si>
    <t>DAMASCUS TOWNSHIP</t>
  </si>
  <si>
    <t>DAMASCUS</t>
  </si>
  <si>
    <t>DANBURY</t>
  </si>
  <si>
    <t>DANBURY TOWNSHIP</t>
  </si>
  <si>
    <t>DANVILLE</t>
  </si>
  <si>
    <t>DARBY TOWNSHIP</t>
  </si>
  <si>
    <t>DARBYVILLE</t>
  </si>
  <si>
    <t>DARLINGTON</t>
  </si>
  <si>
    <t>DARNELL</t>
  </si>
  <si>
    <t>DARROWVILLE</t>
  </si>
  <si>
    <t>DARRTOWN</t>
  </si>
  <si>
    <t>DART</t>
  </si>
  <si>
    <t>DARWIN</t>
  </si>
  <si>
    <t>DAVISVILLE</t>
  </si>
  <si>
    <t>DAWSON</t>
  </si>
  <si>
    <t>DAY HEIGHTS</t>
  </si>
  <si>
    <t>DEANDALE</t>
  </si>
  <si>
    <t>DEAVERTOWN</t>
  </si>
  <si>
    <t>DECATUR</t>
  </si>
  <si>
    <t>DECATUR TOWNSHIP</t>
  </si>
  <si>
    <t>DECATURVILLE</t>
  </si>
  <si>
    <t>DECKER</t>
  </si>
  <si>
    <t>DECLIFF</t>
  </si>
  <si>
    <t>DECROW CORNERS</t>
  </si>
  <si>
    <t>DEER CREEK TOWNSHIP</t>
  </si>
  <si>
    <t>DEERCREEK TOWNSHIP</t>
  </si>
  <si>
    <t>DEERFIELD TOWNSHIP</t>
  </si>
  <si>
    <t>DEERFIELD</t>
  </si>
  <si>
    <t>DEERING</t>
  </si>
  <si>
    <t>DEER PARK</t>
  </si>
  <si>
    <t>DEERSVILLE</t>
  </si>
  <si>
    <t>DEFIANCE TOWNSHIP</t>
  </si>
  <si>
    <t>DEFOREST</t>
  </si>
  <si>
    <t>DEFOREST JUNCTION</t>
  </si>
  <si>
    <t>DE GRAFF</t>
  </si>
  <si>
    <t>DEKALB</t>
  </si>
  <si>
    <t>DELANO</t>
  </si>
  <si>
    <t>DELAWARE TOWNSHIP</t>
  </si>
  <si>
    <t>DELAWARE</t>
  </si>
  <si>
    <t>DELAWARE CITY TOWNSHIP</t>
  </si>
  <si>
    <t>DELHI</t>
  </si>
  <si>
    <t>DELHI TOWNSHIP</t>
  </si>
  <si>
    <t>DELHI HILLS</t>
  </si>
  <si>
    <t>DELIGHTFUL</t>
  </si>
  <si>
    <t>DELISLE</t>
  </si>
  <si>
    <t>DELL</t>
  </si>
  <si>
    <t>DELLROY</t>
  </si>
  <si>
    <t>DELMONT</t>
  </si>
  <si>
    <t>DELPHI</t>
  </si>
  <si>
    <t>DELSHIRE</t>
  </si>
  <si>
    <t>DELTA</t>
  </si>
  <si>
    <t>DENMARK TOWNSHIP</t>
  </si>
  <si>
    <t>DENMARK</t>
  </si>
  <si>
    <t>DENMARK CENTER</t>
  </si>
  <si>
    <t>DENNISON</t>
  </si>
  <si>
    <t>DENSON</t>
  </si>
  <si>
    <t>DENT</t>
  </si>
  <si>
    <t>DENVER</t>
  </si>
  <si>
    <t>DEPEW</t>
  </si>
  <si>
    <t>DERBY</t>
  </si>
  <si>
    <t>DERWENT</t>
  </si>
  <si>
    <t>DESHLER</t>
  </si>
  <si>
    <t>DEUCHER</t>
  </si>
  <si>
    <t>DEUNQUAT</t>
  </si>
  <si>
    <t>DEVIL TOWN</t>
  </si>
  <si>
    <t>DEVOLA</t>
  </si>
  <si>
    <t>DEWEYVILLE</t>
  </si>
  <si>
    <t>DEXTER</t>
  </si>
  <si>
    <t>DEXTER CITY</t>
  </si>
  <si>
    <t>DEYARMONVILLE</t>
  </si>
  <si>
    <t>DIALTON</t>
  </si>
  <si>
    <t>DIAMOND</t>
  </si>
  <si>
    <t>DIGBY</t>
  </si>
  <si>
    <t>DILLIONVALE</t>
  </si>
  <si>
    <t>DILLON FALLS</t>
  </si>
  <si>
    <t>DILLONVALE</t>
  </si>
  <si>
    <t>DILLS</t>
  </si>
  <si>
    <t>DINSMORE TOWNSHIP</t>
  </si>
  <si>
    <t>DIPPLE</t>
  </si>
  <si>
    <t>DIXIE</t>
  </si>
  <si>
    <t>DIXON TOWNSHIP</t>
  </si>
  <si>
    <t>DIXON</t>
  </si>
  <si>
    <t>DOANVILLE</t>
  </si>
  <si>
    <t>DOBBSTON</t>
  </si>
  <si>
    <t>DODDS</t>
  </si>
  <si>
    <t>DODGEVILLE</t>
  </si>
  <si>
    <t>DODO</t>
  </si>
  <si>
    <t>DODSON TOWNSHIP</t>
  </si>
  <si>
    <t>DODSON</t>
  </si>
  <si>
    <t>DODSONVILLE</t>
  </si>
  <si>
    <t>DOHERTY</t>
  </si>
  <si>
    <t>DOLA</t>
  </si>
  <si>
    <t>DOLLY VARDEN</t>
  </si>
  <si>
    <t>DONNELSVILLE</t>
  </si>
  <si>
    <t>DONNERSVILLE</t>
  </si>
  <si>
    <t>DORCAS</t>
  </si>
  <si>
    <t>DOREMA</t>
  </si>
  <si>
    <t>DORNBUSCH</t>
  </si>
  <si>
    <t>DORNINTON</t>
  </si>
  <si>
    <t>DORSET</t>
  </si>
  <si>
    <t>DORSET TOWNSHIP</t>
  </si>
  <si>
    <t>DOUGLAS</t>
  </si>
  <si>
    <t>DOVER TOWNSHIP</t>
  </si>
  <si>
    <t>DOVER</t>
  </si>
  <si>
    <t>DOWLING</t>
  </si>
  <si>
    <t>DOYLESTOWN</t>
  </si>
  <si>
    <t>DRAKE</t>
  </si>
  <si>
    <t>DRAKES</t>
  </si>
  <si>
    <t>DRAKESBURG</t>
  </si>
  <si>
    <t>DRESDEN</t>
  </si>
  <si>
    <t>DREXEL</t>
  </si>
  <si>
    <t>DRIFTWOOD</t>
  </si>
  <si>
    <t>DRINKLE</t>
  </si>
  <si>
    <t>DRY RIDGE</t>
  </si>
  <si>
    <t>DRY RUN</t>
  </si>
  <si>
    <t>DUBLIN</t>
  </si>
  <si>
    <t>DUBLIN TOWNSHIP</t>
  </si>
  <si>
    <t>DUCAT</t>
  </si>
  <si>
    <t>DUCHOUQUET TOWNSHIP</t>
  </si>
  <si>
    <t>DUCK CREEK</t>
  </si>
  <si>
    <t>DUDLEY TOWNSHIP</t>
  </si>
  <si>
    <t>DUDLEY</t>
  </si>
  <si>
    <t>DUFFY</t>
  </si>
  <si>
    <t>DUKE</t>
  </si>
  <si>
    <t>DULL</t>
  </si>
  <si>
    <t>DUMONTVILLE</t>
  </si>
  <si>
    <t>DUNBAR</t>
  </si>
  <si>
    <t>DUNBRIDGE</t>
  </si>
  <si>
    <t>DUNCAN FALLS</t>
  </si>
  <si>
    <t>DUNCANWOOD</t>
  </si>
  <si>
    <t>DUNDAS</t>
  </si>
  <si>
    <t>DUNDEE</t>
  </si>
  <si>
    <t>DUNGANNON</t>
  </si>
  <si>
    <t>DUNGLEN</t>
  </si>
  <si>
    <t>DUNHAM TOWNSHIP</t>
  </si>
  <si>
    <t>DUNKINSVILLE</t>
  </si>
  <si>
    <t>DUNKIRK</t>
  </si>
  <si>
    <t>DUNLAP</t>
  </si>
  <si>
    <t>DUPONT</t>
  </si>
  <si>
    <t>DURANT</t>
  </si>
  <si>
    <t>DURBIN</t>
  </si>
  <si>
    <t>DURGAN</t>
  </si>
  <si>
    <t>DUTCH CORNERS</t>
  </si>
  <si>
    <t>DUTCH RIDGE</t>
  </si>
  <si>
    <t>DUVALL</t>
  </si>
  <si>
    <t>DYESVILLE</t>
  </si>
  <si>
    <t>EAGLE TOWNSHIP</t>
  </si>
  <si>
    <t>EAGLE CITY</t>
  </si>
  <si>
    <t>EAGLE MILLS</t>
  </si>
  <si>
    <t>EAGLE POINT COLONY</t>
  </si>
  <si>
    <t>EAGLEPORT</t>
  </si>
  <si>
    <t>EAGLEVILLE</t>
  </si>
  <si>
    <t>EARLS ISLAND</t>
  </si>
  <si>
    <t>EARLVILLE</t>
  </si>
  <si>
    <t>EAST TOWNSHIP</t>
  </si>
  <si>
    <t>EAST AKRON</t>
  </si>
  <si>
    <t>EAST ALLIANCE</t>
  </si>
  <si>
    <t>EAST ASHTABULA</t>
  </si>
  <si>
    <t>EAST BASS LAKE</t>
  </si>
  <si>
    <t>EAST BATAVIA HEIGHTS</t>
  </si>
  <si>
    <t>EAST CADIZ</t>
  </si>
  <si>
    <t>EAST CAMBRIDGE</t>
  </si>
  <si>
    <t>EAST CANTON</t>
  </si>
  <si>
    <t>EAST CARMEL</t>
  </si>
  <si>
    <t>EAST CLARIDON</t>
  </si>
  <si>
    <t>EAST CLAYTON</t>
  </si>
  <si>
    <t>EAST CLEVELAND</t>
  </si>
  <si>
    <t>EAST COLUMBUS</t>
  </si>
  <si>
    <t>EAST CONNEAUT</t>
  </si>
  <si>
    <t>EAST DANVILLE</t>
  </si>
  <si>
    <t>EAST DAYTON</t>
  </si>
  <si>
    <t>EAST END</t>
  </si>
  <si>
    <t>EAST FAIRFIELD</t>
  </si>
  <si>
    <t>EAST FARMINGTON</t>
  </si>
  <si>
    <t>EAST FULTONHAM</t>
  </si>
  <si>
    <t>EAST GARDENS</t>
  </si>
  <si>
    <t>EAST GOSHEN</t>
  </si>
  <si>
    <t>EAST GREENVILLE</t>
  </si>
  <si>
    <t>EASTLAKE</t>
  </si>
  <si>
    <t>EAST LAWN</t>
  </si>
  <si>
    <t>EAST LETART</t>
  </si>
  <si>
    <t>EAST LEWISTOWN</t>
  </si>
  <si>
    <t>EAST LIBERTY</t>
  </si>
  <si>
    <t>EAST MANSFIELD</t>
  </si>
  <si>
    <t>EAST MILLERSPORT</t>
  </si>
  <si>
    <t>EAST MILLFIELD</t>
  </si>
  <si>
    <t>EAST MONROE</t>
  </si>
  <si>
    <t>EAST NORWALK</t>
  </si>
  <si>
    <t>EAST NORWOOD (HISTORICAL)</t>
  </si>
  <si>
    <t>EASTON</t>
  </si>
  <si>
    <t>EAST ORWELL</t>
  </si>
  <si>
    <t>EAST PALESTINE</t>
  </si>
  <si>
    <t>EASTPORT</t>
  </si>
  <si>
    <t>EAST RICHLAND</t>
  </si>
  <si>
    <t>EAST RINGGOLD</t>
  </si>
  <si>
    <t>EAST ROCHESTER</t>
  </si>
  <si>
    <t>EAST SIDE</t>
  </si>
  <si>
    <t>EAST SPARTA</t>
  </si>
  <si>
    <t>EAST SPRINGFIELD</t>
  </si>
  <si>
    <t>EAST STEELS CORNERS</t>
  </si>
  <si>
    <t>EAST SWANTON</t>
  </si>
  <si>
    <t>EAST TOLEDO</t>
  </si>
  <si>
    <t>EAST TOWNSEND</t>
  </si>
  <si>
    <t>EAST TRUMBULL</t>
  </si>
  <si>
    <t>EAST UNION</t>
  </si>
  <si>
    <t>EAST UNION TOWNSHIP</t>
  </si>
  <si>
    <t>EASTWOOD</t>
  </si>
  <si>
    <t>EATON TOWNSHIP</t>
  </si>
  <si>
    <t>EATON ESTATES</t>
  </si>
  <si>
    <t>EBER</t>
  </si>
  <si>
    <t>ECHO</t>
  </si>
  <si>
    <t>ECHO LAKE GLEN</t>
  </si>
  <si>
    <t>ECKLEY</t>
  </si>
  <si>
    <t>ECKMANSVILLE</t>
  </si>
  <si>
    <t>EDEN TOWNSHIP</t>
  </si>
  <si>
    <t>EDEN</t>
  </si>
  <si>
    <t>EDEN PARK</t>
  </si>
  <si>
    <t>EDENTON</t>
  </si>
  <si>
    <t>EDENVILLE</t>
  </si>
  <si>
    <t>EDGEFIELD</t>
  </si>
  <si>
    <t>EDGEMONT</t>
  </si>
  <si>
    <t>EDGERTON</t>
  </si>
  <si>
    <t>EDGEWATER BEACH</t>
  </si>
  <si>
    <t>EDGEWATER PARK</t>
  </si>
  <si>
    <t>EDGEWOOD</t>
  </si>
  <si>
    <t>EDINBURG</t>
  </si>
  <si>
    <t>EDINBURG TOWNSHIP</t>
  </si>
  <si>
    <t>EDISON</t>
  </si>
  <si>
    <t>EDMUNDS SWITCH</t>
  </si>
  <si>
    <t>EDON</t>
  </si>
  <si>
    <t>EDWARD</t>
  </si>
  <si>
    <t>EDWARDSVILLE</t>
  </si>
  <si>
    <t>EDWINA</t>
  </si>
  <si>
    <t>EGYPT</t>
  </si>
  <si>
    <t>EIFORT</t>
  </si>
  <si>
    <t>EILEEN GARDENS</t>
  </si>
  <si>
    <t>EKERTS CORNERS</t>
  </si>
  <si>
    <t>ELBA</t>
  </si>
  <si>
    <t>ELBERTA BEACH</t>
  </si>
  <si>
    <t>ELDEAN</t>
  </si>
  <si>
    <t>ELDORADO</t>
  </si>
  <si>
    <t>ELENOR</t>
  </si>
  <si>
    <t>ELERY</t>
  </si>
  <si>
    <t>ELGIN</t>
  </si>
  <si>
    <t>ELIDA</t>
  </si>
  <si>
    <t>ELIZABETH TOWNSHIP</t>
  </si>
  <si>
    <t>ELIZABETH</t>
  </si>
  <si>
    <t>ELIZABETHTOWN</t>
  </si>
  <si>
    <t>ELK</t>
  </si>
  <si>
    <t>ELK TOWNSHIP</t>
  </si>
  <si>
    <t>ELK FORK</t>
  </si>
  <si>
    <t>ELK LICK</t>
  </si>
  <si>
    <t>ELKRUN TOWNSHIP</t>
  </si>
  <si>
    <t>ELKTON</t>
  </si>
  <si>
    <t>ELLERTON</t>
  </si>
  <si>
    <t>ELLET</t>
  </si>
  <si>
    <t>ELLIOTT CROSSROADS</t>
  </si>
  <si>
    <t>ELLIOTTVILLE</t>
  </si>
  <si>
    <t>ELLIS</t>
  </si>
  <si>
    <t>ELLISONVILLE</t>
  </si>
  <si>
    <t>ELLISTON</t>
  </si>
  <si>
    <t>ELLSBERRY</t>
  </si>
  <si>
    <t>ELLSWORTH STATION</t>
  </si>
  <si>
    <t>ELLSWORTH</t>
  </si>
  <si>
    <t>ELLSWORTH TOWNSHIP</t>
  </si>
  <si>
    <t>ELM CENTER</t>
  </si>
  <si>
    <t>ELM GROVE</t>
  </si>
  <si>
    <t>ELMIRA</t>
  </si>
  <si>
    <t>ELMORE</t>
  </si>
  <si>
    <t>ELMS ACRES</t>
  </si>
  <si>
    <t>ELMVIEW</t>
  </si>
  <si>
    <t>ELMVILLE</t>
  </si>
  <si>
    <t>ELMWOOD</t>
  </si>
  <si>
    <t>ELMWOOD PLACE</t>
  </si>
  <si>
    <t>ELROY</t>
  </si>
  <si>
    <t>ELTON</t>
  </si>
  <si>
    <t>ELYRIA</t>
  </si>
  <si>
    <t>ELYRIA TOWNSHIP</t>
  </si>
  <si>
    <t>EMERALD</t>
  </si>
  <si>
    <t>EMERALD TOWNSHIP</t>
  </si>
  <si>
    <t>EMERSON</t>
  </si>
  <si>
    <t>EMMETT</t>
  </si>
  <si>
    <t>EMPIRE</t>
  </si>
  <si>
    <t>ENGLAND</t>
  </si>
  <si>
    <t>ENGLEWOOD</t>
  </si>
  <si>
    <t>ENGLISH WOODS</t>
  </si>
  <si>
    <t>ENO</t>
  </si>
  <si>
    <t>ENOCH TOWNSHIP</t>
  </si>
  <si>
    <t>ENON</t>
  </si>
  <si>
    <t>ENTERPRISE</t>
  </si>
  <si>
    <t>EPWORTH</t>
  </si>
  <si>
    <t>EPWORTH HEIGHTS</t>
  </si>
  <si>
    <t>EQUITY</t>
  </si>
  <si>
    <t>ERA</t>
  </si>
  <si>
    <t>ERASTUS</t>
  </si>
  <si>
    <t>ERHART</t>
  </si>
  <si>
    <t>ERIE TOWNSHIP</t>
  </si>
  <si>
    <t>ERIS</t>
  </si>
  <si>
    <t>ERLIN</t>
  </si>
  <si>
    <t>ESPYVILLE</t>
  </si>
  <si>
    <t>ESSELBURN</t>
  </si>
  <si>
    <t>ESSEX</t>
  </si>
  <si>
    <t>ESTO</t>
  </si>
  <si>
    <t>ETNA</t>
  </si>
  <si>
    <t>ETNA TOWNSHIP</t>
  </si>
  <si>
    <t>EUCLID</t>
  </si>
  <si>
    <t>EUREKA</t>
  </si>
  <si>
    <t>EVANSPORT</t>
  </si>
  <si>
    <t>EVANSTON</t>
  </si>
  <si>
    <t>EVANSVILLE</t>
  </si>
  <si>
    <t>EVENDALE</t>
  </si>
  <si>
    <t>EVERETT</t>
  </si>
  <si>
    <t>EWING</t>
  </si>
  <si>
    <t>EWINGTON</t>
  </si>
  <si>
    <t>EXCELLO</t>
  </si>
  <si>
    <t>FAIRBORN</t>
  </si>
  <si>
    <t>FAIRDALE</t>
  </si>
  <si>
    <t>FAIRFAX</t>
  </si>
  <si>
    <t>FAIRFIELD</t>
  </si>
  <si>
    <t>FAIRFIELD TOWNSHIP</t>
  </si>
  <si>
    <t>FAIRFIELD BEACH</t>
  </si>
  <si>
    <t>FAIRHAVEN</t>
  </si>
  <si>
    <t>FAIRHOPE</t>
  </si>
  <si>
    <t>FAIRLAWN</t>
  </si>
  <si>
    <t>FAIRMOUNT</t>
  </si>
  <si>
    <t>FAIR OAKS</t>
  </si>
  <si>
    <t>FAIRPLAY</t>
  </si>
  <si>
    <t>FAIRPOINT</t>
  </si>
  <si>
    <t>FAIRPORT HARBOR</t>
  </si>
  <si>
    <t>FAIRVIEW</t>
  </si>
  <si>
    <t>FAIRVIEW CORNERS</t>
  </si>
  <si>
    <t>FAIRVIEW HEIGHTS</t>
  </si>
  <si>
    <t>FAIRVIEW LANES</t>
  </si>
  <si>
    <t>FAIRVIEW PARK</t>
  </si>
  <si>
    <t>FAIRWIND ACRES</t>
  </si>
  <si>
    <t>FALLS TOWNSHIP</t>
  </si>
  <si>
    <t>FALLSBURG</t>
  </si>
  <si>
    <t>FALLSBURY TOWNSHIP</t>
  </si>
  <si>
    <t>FARGO</t>
  </si>
  <si>
    <t>FARMDALE</t>
  </si>
  <si>
    <t>FARMER</t>
  </si>
  <si>
    <t>FARMER TOWNSHIP</t>
  </si>
  <si>
    <t>FARMERS</t>
  </si>
  <si>
    <t>FARMERSTOWN</t>
  </si>
  <si>
    <t>FARMERSVILLE</t>
  </si>
  <si>
    <t>FARMINGTON</t>
  </si>
  <si>
    <t>FARMINGTON TOWNSHIP</t>
  </si>
  <si>
    <t>FARNHAM</t>
  </si>
  <si>
    <t>FARRINGTON</t>
  </si>
  <si>
    <t>FASHION HEIGHTS</t>
  </si>
  <si>
    <t>FAWCETT</t>
  </si>
  <si>
    <t>FAXON HILLS</t>
  </si>
  <si>
    <t>FAYETTE</t>
  </si>
  <si>
    <t>FAYETTE TOWNSHIP</t>
  </si>
  <si>
    <t>FAYETTEVILLE</t>
  </si>
  <si>
    <t>FEARING TOWNSHIP</t>
  </si>
  <si>
    <t>FEDERAL</t>
  </si>
  <si>
    <t>FEED SPRINGS</t>
  </si>
  <si>
    <t>FEESBURG</t>
  </si>
  <si>
    <t>FELICITY</t>
  </si>
  <si>
    <t>FERNALD</t>
  </si>
  <si>
    <t>FERNBANK</t>
  </si>
  <si>
    <t>FERNELL HEIGHTS</t>
  </si>
  <si>
    <t>FERNWOOD</t>
  </si>
  <si>
    <t>FERRISTOWN</t>
  </si>
  <si>
    <t>FERRY</t>
  </si>
  <si>
    <t>FIAT</t>
  </si>
  <si>
    <t>FIELDS</t>
  </si>
  <si>
    <t>FILBURNS ISLAND</t>
  </si>
  <si>
    <t>FILLMORE</t>
  </si>
  <si>
    <t>FINCASTLE</t>
  </si>
  <si>
    <t>FINNEY</t>
  </si>
  <si>
    <t>FINNEYTOWN</t>
  </si>
  <si>
    <t>FIREMANS PARK</t>
  </si>
  <si>
    <t>FIRESIDE</t>
  </si>
  <si>
    <t>FIRESTONE PARK</t>
  </si>
  <si>
    <t>FITCH</t>
  </si>
  <si>
    <t>FITCHVILLE</t>
  </si>
  <si>
    <t>FITCHVILLE TOWNSHIP</t>
  </si>
  <si>
    <t>FIVE CORNERS</t>
  </si>
  <si>
    <t>FIVE FORKS</t>
  </si>
  <si>
    <t>FIVEMILE</t>
  </si>
  <si>
    <t>FIVE POINTS</t>
  </si>
  <si>
    <t>FLAG</t>
  </si>
  <si>
    <t>FLATIRON</t>
  </si>
  <si>
    <t>FLAT IRON</t>
  </si>
  <si>
    <t>FLAT RIDGE</t>
  </si>
  <si>
    <t>FLATROCK TOWNSHIP</t>
  </si>
  <si>
    <t>FLAT ROCK</t>
  </si>
  <si>
    <t>FLEATOWN</t>
  </si>
  <si>
    <t>FLEETWOOD PARK</t>
  </si>
  <si>
    <t>FLEMING</t>
  </si>
  <si>
    <t>FLEMING FALLS</t>
  </si>
  <si>
    <t>FLETCHER</t>
  </si>
  <si>
    <t>FLICKS CORNERS</t>
  </si>
  <si>
    <t>FLINT</t>
  </si>
  <si>
    <t>FLORA</t>
  </si>
  <si>
    <t>FLORENCE</t>
  </si>
  <si>
    <t>FLORENCE TOWNSHIP</t>
  </si>
  <si>
    <t>FLORIDA</t>
  </si>
  <si>
    <t>FLUSHING</t>
  </si>
  <si>
    <t>FLUSHING TOWNSHIP</t>
  </si>
  <si>
    <t>FLY</t>
  </si>
  <si>
    <t>FOLSOM</t>
  </si>
  <si>
    <t>FOOTVILLE</t>
  </si>
  <si>
    <t>FORAKER</t>
  </si>
  <si>
    <t>FOREST</t>
  </si>
  <si>
    <t>FORESTDALE</t>
  </si>
  <si>
    <t>FOREST HILL</t>
  </si>
  <si>
    <t>FOREST HILLS</t>
  </si>
  <si>
    <t>FOREST HILLS ESTATES</t>
  </si>
  <si>
    <t>FOREST PARK</t>
  </si>
  <si>
    <t>FORESTVILLE</t>
  </si>
  <si>
    <t>FORGY</t>
  </si>
  <si>
    <t>FORT BROWN</t>
  </si>
  <si>
    <t>FORT FIZZLE</t>
  </si>
  <si>
    <t>FORT JEFFERSON</t>
  </si>
  <si>
    <t>FORT JENNINGS</t>
  </si>
  <si>
    <t>FORT LORAMIE</t>
  </si>
  <si>
    <t>FORT MCKINLEY</t>
  </si>
  <si>
    <t>FORT RECOVERY</t>
  </si>
  <si>
    <t>FORT SENECA</t>
  </si>
  <si>
    <t>FORT SHAWNEE</t>
  </si>
  <si>
    <t>FOSTERVILLE</t>
  </si>
  <si>
    <t>FOUNTAIN PARK</t>
  </si>
  <si>
    <t>FOUR BRIDGES</t>
  </si>
  <si>
    <t>FOUR CORNERS</t>
  </si>
  <si>
    <t>FOURMANS CORNERS</t>
  </si>
  <si>
    <t>FOURMILE HOUSE CORNER</t>
  </si>
  <si>
    <t>FOWLER</t>
  </si>
  <si>
    <t>FOWLER TOWNSHIP</t>
  </si>
  <si>
    <t>FOWLERS MILL</t>
  </si>
  <si>
    <t>FOX TOWNSHIP</t>
  </si>
  <si>
    <t>FOX</t>
  </si>
  <si>
    <t>FOX ACRES</t>
  </si>
  <si>
    <t>FOXHUNTER LANE</t>
  </si>
  <si>
    <t>FOXTOWN</t>
  </si>
  <si>
    <t>FRAMPTON</t>
  </si>
  <si>
    <t>FRANK</t>
  </si>
  <si>
    <t>FRANKFORT</t>
  </si>
  <si>
    <t>FRANKLIN FURNACE</t>
  </si>
  <si>
    <t>FRANKLIN JUNCTION</t>
  </si>
  <si>
    <t>FRANKLIN SQUARE</t>
  </si>
  <si>
    <t>FRAZEYSBURG</t>
  </si>
  <si>
    <t>FRAZIER</t>
  </si>
  <si>
    <t>FREDERICK</t>
  </si>
  <si>
    <t>FREDERICKSBURG</t>
  </si>
  <si>
    <t>FREDERICKSDALE</t>
  </si>
  <si>
    <t>FREDERICKTOWN</t>
  </si>
  <si>
    <t>FREDONIA</t>
  </si>
  <si>
    <t>FREEBURG</t>
  </si>
  <si>
    <t>FREEDOM TOWNSHIP</t>
  </si>
  <si>
    <t>FREEDOM</t>
  </si>
  <si>
    <t>FREEDOM STATION</t>
  </si>
  <si>
    <t>FREELAND</t>
  </si>
  <si>
    <t>FREEMANS GARDENS</t>
  </si>
  <si>
    <t>FREEPORT</t>
  </si>
  <si>
    <t>FREEPORT TOWNSHIP</t>
  </si>
  <si>
    <t>FRENCHTOWN</t>
  </si>
  <si>
    <t>FRESNO</t>
  </si>
  <si>
    <t>FRIENDSHIP</t>
  </si>
  <si>
    <t>FRIENDSVILLE</t>
  </si>
  <si>
    <t>FRITCHLEYS CORNERS</t>
  </si>
  <si>
    <t>FROST</t>
  </si>
  <si>
    <t>FRUITDALE</t>
  </si>
  <si>
    <t>FRUIT HILL</t>
  </si>
  <si>
    <t>FRYBURG</t>
  </si>
  <si>
    <t>FRYS CORNERS</t>
  </si>
  <si>
    <t>FRYTOWN</t>
  </si>
  <si>
    <t>FULDA</t>
  </si>
  <si>
    <t>FULLERTOWN</t>
  </si>
  <si>
    <t>FULTON TOWNSHIP</t>
  </si>
  <si>
    <t>FULTON</t>
  </si>
  <si>
    <t>FULTONHAM</t>
  </si>
  <si>
    <t>FUNK</t>
  </si>
  <si>
    <t>FURSVILLE</t>
  </si>
  <si>
    <t>GABELS CORNER</t>
  </si>
  <si>
    <t>GAGE</t>
  </si>
  <si>
    <t>GAGEVILLE</t>
  </si>
  <si>
    <t>GAHANNA</t>
  </si>
  <si>
    <t>GALATEA</t>
  </si>
  <si>
    <t>GALAXY ACRES</t>
  </si>
  <si>
    <t>GALENA</t>
  </si>
  <si>
    <t>GALETOWN</t>
  </si>
  <si>
    <t>GALION CITY TOWNSHIP</t>
  </si>
  <si>
    <t>GALLIA</t>
  </si>
  <si>
    <t>GALLIPOLIS TOWNSHIP</t>
  </si>
  <si>
    <t>GALLOWAY</t>
  </si>
  <si>
    <t>GALLUP</t>
  </si>
  <si>
    <t>GAMBIER</t>
  </si>
  <si>
    <t>GAMBRINUS</t>
  </si>
  <si>
    <t>GANGES</t>
  </si>
  <si>
    <t>GANN</t>
  </si>
  <si>
    <t>GANO</t>
  </si>
  <si>
    <t>GARDEN</t>
  </si>
  <si>
    <t>GARDEN CITY</t>
  </si>
  <si>
    <t>GARDEN ISLE</t>
  </si>
  <si>
    <t>GARDNER</t>
  </si>
  <si>
    <t>GARFIELD</t>
  </si>
  <si>
    <t>GARFIELD HEIGHTS</t>
  </si>
  <si>
    <t>GASPER TOWNSHIP</t>
  </si>
  <si>
    <t>GASVILLE</t>
  </si>
  <si>
    <t>GATES MILLS</t>
  </si>
  <si>
    <t>GATH</t>
  </si>
  <si>
    <t>GATTON ROCK</t>
  </si>
  <si>
    <t>GAVERS</t>
  </si>
  <si>
    <t>GEAUGA LAKE</t>
  </si>
  <si>
    <t>GEEBURG</t>
  </si>
  <si>
    <t>GEM</t>
  </si>
  <si>
    <t>GEM BEACH</t>
  </si>
  <si>
    <t>GENEVA TOWNSHIP</t>
  </si>
  <si>
    <t>GENEVA-ON-THE-LAKE</t>
  </si>
  <si>
    <t>GENOA TOWNSHIP</t>
  </si>
  <si>
    <t>GENOA</t>
  </si>
  <si>
    <t>GENUNG CORNERS</t>
  </si>
  <si>
    <t>GEOGRAPHY HALL</t>
  </si>
  <si>
    <t>GEORGES RUN</t>
  </si>
  <si>
    <t>GEORGESVILLE</t>
  </si>
  <si>
    <t>GEORGETOWN</t>
  </si>
  <si>
    <t>GEPHART</t>
  </si>
  <si>
    <t>GERALD</t>
  </si>
  <si>
    <t>GERMAN TOWNSHIP</t>
  </si>
  <si>
    <t>GERMANO</t>
  </si>
  <si>
    <t>GERMANTOWN</t>
  </si>
  <si>
    <t>GERMANY</t>
  </si>
  <si>
    <t>GETAWAY</t>
  </si>
  <si>
    <t>GETTYSBURG</t>
  </si>
  <si>
    <t>GEYER</t>
  </si>
  <si>
    <t>GHENT</t>
  </si>
  <si>
    <t>GIBISONVILLE</t>
  </si>
  <si>
    <t>GIBSON</t>
  </si>
  <si>
    <t>GIBSON TOWNSHIP</t>
  </si>
  <si>
    <t>GIBSONBURG</t>
  </si>
  <si>
    <t>GIERINGER</t>
  </si>
  <si>
    <t>GILBERT</t>
  </si>
  <si>
    <t>GILBOA</t>
  </si>
  <si>
    <t>GILEAD TOWNSHIP</t>
  </si>
  <si>
    <t>GILLIVAN</t>
  </si>
  <si>
    <t>GILMORE</t>
  </si>
  <si>
    <t>GINGER HILL</t>
  </si>
  <si>
    <t>GINGHAMSBURG</t>
  </si>
  <si>
    <t>GIRARD</t>
  </si>
  <si>
    <t>GIRTON</t>
  </si>
  <si>
    <t>GIST SETTLEMENT</t>
  </si>
  <si>
    <t>GIVENS</t>
  </si>
  <si>
    <t>GLADE</t>
  </si>
  <si>
    <t>GLADSTONE</t>
  </si>
  <si>
    <t>GLANDORF</t>
  </si>
  <si>
    <t>GLASGOW</t>
  </si>
  <si>
    <t>GLASS</t>
  </si>
  <si>
    <t>GLASS ROCK</t>
  </si>
  <si>
    <t>GLENCOE</t>
  </si>
  <si>
    <t>GLENDALE</t>
  </si>
  <si>
    <t>GLENDON</t>
  </si>
  <si>
    <t>GLEN EBON</t>
  </si>
  <si>
    <t>GLEN ECHO</t>
  </si>
  <si>
    <t>GLEN ESTE</t>
  </si>
  <si>
    <t>GLENFORD</t>
  </si>
  <si>
    <t>GLEN JEAN</t>
  </si>
  <si>
    <t>GLEN KARN</t>
  </si>
  <si>
    <t>GLENMOOR</t>
  </si>
  <si>
    <t>GLENMORE</t>
  </si>
  <si>
    <t>GLEN NELL</t>
  </si>
  <si>
    <t>GLEN RIDGE ACRES</t>
  </si>
  <si>
    <t>GLEN ROBBINS</t>
  </si>
  <si>
    <t>GLEN ROY</t>
  </si>
  <si>
    <t>GLEN RUN</t>
  </si>
  <si>
    <t>GLEN SUMMITT</t>
  </si>
  <si>
    <t>GLENVILLE</t>
  </si>
  <si>
    <t>GLENWILLOW</t>
  </si>
  <si>
    <t>GLORIA GLENS PARK</t>
  </si>
  <si>
    <t>GLOUSTER</t>
  </si>
  <si>
    <t>GLYNWOOD</t>
  </si>
  <si>
    <t>GNADENHUTTEN</t>
  </si>
  <si>
    <t>GODDARD CORNERS</t>
  </si>
  <si>
    <t>GOES</t>
  </si>
  <si>
    <t>GOLDA</t>
  </si>
  <si>
    <t>GOLDEN CORNERS</t>
  </si>
  <si>
    <t>GOLDSBORO</t>
  </si>
  <si>
    <t>GOLF MANOR</t>
  </si>
  <si>
    <t>GOLFWAY ACRES</t>
  </si>
  <si>
    <t>GOMER</t>
  </si>
  <si>
    <t>GOOD HOPE</t>
  </si>
  <si>
    <t>GOOD HOPE TOWNSHIP</t>
  </si>
  <si>
    <t>GOODLAND ACRES</t>
  </si>
  <si>
    <t>GOODWIN</t>
  </si>
  <si>
    <t>GOODYEAR HEIGHTS</t>
  </si>
  <si>
    <t>GORDON</t>
  </si>
  <si>
    <t>GORE</t>
  </si>
  <si>
    <t>GORHAM TOWNSHIP</t>
  </si>
  <si>
    <t>GOSHEN TOWNSHIP</t>
  </si>
  <si>
    <t>GOSHEN</t>
  </si>
  <si>
    <t>GOULD</t>
  </si>
  <si>
    <t>GOULD PARK</t>
  </si>
  <si>
    <t>GRACEY</t>
  </si>
  <si>
    <t>GRAFTON</t>
  </si>
  <si>
    <t>GRAFTON TOWNSHIP</t>
  </si>
  <si>
    <t>GRAHAM</t>
  </si>
  <si>
    <t>GRAHAM CORNERS</t>
  </si>
  <si>
    <t>GRAND TOWNSHIP</t>
  </si>
  <si>
    <t>GRAND PRAIRIE TOWNSHIP</t>
  </si>
  <si>
    <t>GRAND RAPIDS</t>
  </si>
  <si>
    <t>GRAND RAPIDS TOWNSHIP</t>
  </si>
  <si>
    <t>GRAND RIVER</t>
  </si>
  <si>
    <t>GRANDVIEW</t>
  </si>
  <si>
    <t>GRANDVIEW TOWNSHIP</t>
  </si>
  <si>
    <t>GRANDVIEW HEIGHTS</t>
  </si>
  <si>
    <t>GRANGE HALL</t>
  </si>
  <si>
    <t>GRANGER</t>
  </si>
  <si>
    <t>GRANGER TOWNSHIP</t>
  </si>
  <si>
    <t>GRANVILLE</t>
  </si>
  <si>
    <t>GRANVILLE TOWNSHIP</t>
  </si>
  <si>
    <t>GRANVILLE SOUTH</t>
  </si>
  <si>
    <t>GRAPE GROVE</t>
  </si>
  <si>
    <t>GRASSY POINT</t>
  </si>
  <si>
    <t>GRATIOT</t>
  </si>
  <si>
    <t>GRATIS</t>
  </si>
  <si>
    <t>GRATIS TOWNSHIP</t>
  </si>
  <si>
    <t>GRAYSON</t>
  </si>
  <si>
    <t>GRAYSVILLE</t>
  </si>
  <si>
    <t>GRAYTOWN</t>
  </si>
  <si>
    <t>GREASY RIDGE</t>
  </si>
  <si>
    <t>GREAT BEND</t>
  </si>
  <si>
    <t>GREAT WESTERN</t>
  </si>
  <si>
    <t>GREEN TOWNSHIP</t>
  </si>
  <si>
    <t>GREEN</t>
  </si>
  <si>
    <t>GREENBRIER</t>
  </si>
  <si>
    <t>GREENBUSH</t>
  </si>
  <si>
    <t>GREEN CAMP</t>
  </si>
  <si>
    <t>GREEN CAMP TOWNSHIP</t>
  </si>
  <si>
    <t>GREENCASTLE</t>
  </si>
  <si>
    <t>GREEN CREEK TOWNSHIP</t>
  </si>
  <si>
    <t>GREEN CREEK</t>
  </si>
  <si>
    <t>GREENDALE</t>
  </si>
  <si>
    <t>GREENE TOWNSHIP</t>
  </si>
  <si>
    <t>GREENE CENTER</t>
  </si>
  <si>
    <t>GREENFIELD TOWNSHIP</t>
  </si>
  <si>
    <t>GREENFIELD VILLAGE</t>
  </si>
  <si>
    <t>GREENFORD</t>
  </si>
  <si>
    <t>GREENHILLS</t>
  </si>
  <si>
    <t>GREENLAND</t>
  </si>
  <si>
    <t>GREEN MEADOWS</t>
  </si>
  <si>
    <t>GREENSBURG TOWNSHIP</t>
  </si>
  <si>
    <t>GREENSBURG</t>
  </si>
  <si>
    <t>GREEN SPRINGS</t>
  </si>
  <si>
    <t>GREENS RUN</t>
  </si>
  <si>
    <t>GREENTOWN</t>
  </si>
  <si>
    <t>GREENTREE CORNERS</t>
  </si>
  <si>
    <t>GREEN VALLEY</t>
  </si>
  <si>
    <t>GREENVILLE TOWNSHIP</t>
  </si>
  <si>
    <t>GREENWICH</t>
  </si>
  <si>
    <t>GREENWICH TOWNSHIP</t>
  </si>
  <si>
    <t>GREENWOOD</t>
  </si>
  <si>
    <t>GREENWOOD ACRES</t>
  </si>
  <si>
    <t>GREER</t>
  </si>
  <si>
    <t>GREGGS</t>
  </si>
  <si>
    <t>GREGGS HILL</t>
  </si>
  <si>
    <t>GREGORY</t>
  </si>
  <si>
    <t>GRELTON</t>
  </si>
  <si>
    <t>GRETNA</t>
  </si>
  <si>
    <t>GRIFFIN</t>
  </si>
  <si>
    <t>GRIFFITH</t>
  </si>
  <si>
    <t>GRIMMS BRIDGE</t>
  </si>
  <si>
    <t>GRODIS CORNER</t>
  </si>
  <si>
    <t>GROESBECK</t>
  </si>
  <si>
    <t>GROOMS</t>
  </si>
  <si>
    <t>GROSVENOR</t>
  </si>
  <si>
    <t>GROTON TOWNSHIP</t>
  </si>
  <si>
    <t>GROVE CITY</t>
  </si>
  <si>
    <t>GROVE CITY COUNTRY CLUB</t>
  </si>
  <si>
    <t>GROVEPORT</t>
  </si>
  <si>
    <t>GROVER HILL</t>
  </si>
  <si>
    <t>GUERNE</t>
  </si>
  <si>
    <t>GUERNSEY</t>
  </si>
  <si>
    <t>GUILFORD</t>
  </si>
  <si>
    <t>GUILFORD TOWNSHIP</t>
  </si>
  <si>
    <t>GUNNERVILLE</t>
  </si>
  <si>
    <t>GURNEYVILLE</t>
  </si>
  <si>
    <t>GUSTAVUS</t>
  </si>
  <si>
    <t>GUSTAVUS TOWNSHIP</t>
  </si>
  <si>
    <t>GUTMAN</t>
  </si>
  <si>
    <t>GUYAN TOWNSHIP</t>
  </si>
  <si>
    <t>GUYSVILLE</t>
  </si>
  <si>
    <t>GYPSUM</t>
  </si>
  <si>
    <t>HACKNEY</t>
  </si>
  <si>
    <t>HAGAN ADDITION</t>
  </si>
  <si>
    <t>HAGEMAN</t>
  </si>
  <si>
    <t>HAGLER</t>
  </si>
  <si>
    <t>HAKES CORNERS</t>
  </si>
  <si>
    <t>HALE TOWNSHIP</t>
  </si>
  <si>
    <t>HALES CREEK</t>
  </si>
  <si>
    <t>HALLETT</t>
  </si>
  <si>
    <t>HALLOCK</t>
  </si>
  <si>
    <t>HALLS CORNERS</t>
  </si>
  <si>
    <t>HALLSVILLE</t>
  </si>
  <si>
    <t>HAMBDEN</t>
  </si>
  <si>
    <t>HAMBDEN TOWNSHIP</t>
  </si>
  <si>
    <t>HAMBURG</t>
  </si>
  <si>
    <t>HAMDEN</t>
  </si>
  <si>
    <t>HAMER TOWNSHIP</t>
  </si>
  <si>
    <t>HAMER</t>
  </si>
  <si>
    <t>HAMERSVILLE</t>
  </si>
  <si>
    <t>HAMETOWN</t>
  </si>
  <si>
    <t>HAMILTON</t>
  </si>
  <si>
    <t>HAMILTON TOWNSHIP</t>
  </si>
  <si>
    <t>HAMILTON MEADOWS</t>
  </si>
  <si>
    <t>HAMLER</t>
  </si>
  <si>
    <t>HAMLET</t>
  </si>
  <si>
    <t>HAMLEY RUN</t>
  </si>
  <si>
    <t>HAMMANSBURG</t>
  </si>
  <si>
    <t>HAMMOND CROSSROAD</t>
  </si>
  <si>
    <t>HAMMONDSVILLE</t>
  </si>
  <si>
    <t>HANCOCK</t>
  </si>
  <si>
    <t>HANERSVILLE</t>
  </si>
  <si>
    <t>HANESVILLE</t>
  </si>
  <si>
    <t>HANFORD</t>
  </si>
  <si>
    <t>HANGING ROCK</t>
  </si>
  <si>
    <t>HANLEY VILLAGE</t>
  </si>
  <si>
    <t>HANNIBAL</t>
  </si>
  <si>
    <t>HANOVER TOWNSHIP</t>
  </si>
  <si>
    <t>HANOVER</t>
  </si>
  <si>
    <t>HANOVERTON</t>
  </si>
  <si>
    <t>HANVILLE CORNERS</t>
  </si>
  <si>
    <t>HAPPY CORNERS</t>
  </si>
  <si>
    <t>HAPPY HOURS ADDITION</t>
  </si>
  <si>
    <t>HARBOR</t>
  </si>
  <si>
    <t>HARBOR HILLS</t>
  </si>
  <si>
    <t>HARBOR VIEW</t>
  </si>
  <si>
    <t>HARD</t>
  </si>
  <si>
    <t>HARDIN STATION</t>
  </si>
  <si>
    <t>HARDIN</t>
  </si>
  <si>
    <t>HARDING TOWNSHIP</t>
  </si>
  <si>
    <t>HARDSCRABBLE</t>
  </si>
  <si>
    <t>HAREWOOD ACRES</t>
  </si>
  <si>
    <t>HARLAN TOWNSHIP</t>
  </si>
  <si>
    <t>HARLAN PARK</t>
  </si>
  <si>
    <t>HARLEM</t>
  </si>
  <si>
    <t>HARLEM TOWNSHIP</t>
  </si>
  <si>
    <t>HARLEM SPRINGS</t>
  </si>
  <si>
    <t>HARLEY</t>
  </si>
  <si>
    <t>HARMAR</t>
  </si>
  <si>
    <t>HARMON</t>
  </si>
  <si>
    <t>HARMONY</t>
  </si>
  <si>
    <t>HARMONY TOWNSHIP</t>
  </si>
  <si>
    <t>HARPER</t>
  </si>
  <si>
    <t>HARPERSFIELD</t>
  </si>
  <si>
    <t>HARPERSFIELD TOWNSHIP</t>
  </si>
  <si>
    <t>HARPSTER</t>
  </si>
  <si>
    <t>HARRIES</t>
  </si>
  <si>
    <t>HARRIETT</t>
  </si>
  <si>
    <t>HARRIETTSVILLE</t>
  </si>
  <si>
    <t>HARRIS TOWNSHIP</t>
  </si>
  <si>
    <t>HARRIS</t>
  </si>
  <si>
    <t>HARRISBURG</t>
  </si>
  <si>
    <t>HARRISON TOWNSHIP</t>
  </si>
  <si>
    <t>HARRISON FURNACE</t>
  </si>
  <si>
    <t>HARRISON MILLS</t>
  </si>
  <si>
    <t>HARRISONVILLE</t>
  </si>
  <si>
    <t>HARRISVILLE</t>
  </si>
  <si>
    <t>HARRISVILLE TOWNSHIP</t>
  </si>
  <si>
    <t>HARROD</t>
  </si>
  <si>
    <t>HARSHASVILLE</t>
  </si>
  <si>
    <t>HARTFORD TOWNSHIP</t>
  </si>
  <si>
    <t>HARTFORD</t>
  </si>
  <si>
    <t>HARTLAND</t>
  </si>
  <si>
    <t>HARTLAND TOWNSHIP</t>
  </si>
  <si>
    <t>HARTLAND STATION</t>
  </si>
  <si>
    <t>HARTLEYVILLE</t>
  </si>
  <si>
    <t>HARTSBURG</t>
  </si>
  <si>
    <t>HARTSGROVE</t>
  </si>
  <si>
    <t>HARTSGROVE TOWNSHIP</t>
  </si>
  <si>
    <t>HARTSHORN</t>
  </si>
  <si>
    <t>HARTVILLE</t>
  </si>
  <si>
    <t>HARTWELL</t>
  </si>
  <si>
    <t>HARVEYSBURG</t>
  </si>
  <si>
    <t>HARWOOD</t>
  </si>
  <si>
    <t>HASELTON</t>
  </si>
  <si>
    <t>HASKINS</t>
  </si>
  <si>
    <t>HASTINGS</t>
  </si>
  <si>
    <t>HATCH</t>
  </si>
  <si>
    <t>HATTON</t>
  </si>
  <si>
    <t>HAVANA</t>
  </si>
  <si>
    <t>HAVEN PARK</t>
  </si>
  <si>
    <t>HAVENS</t>
  </si>
  <si>
    <t>HAVENS CORNERS</t>
  </si>
  <si>
    <t>HAVENSPORT</t>
  </si>
  <si>
    <t>HAVEN VIEW</t>
  </si>
  <si>
    <t>HAVERHILL STATION (HISTORICAL)</t>
  </si>
  <si>
    <t>HAVERHILL</t>
  </si>
  <si>
    <t>HAVILAND</t>
  </si>
  <si>
    <t>HAWKS</t>
  </si>
  <si>
    <t>HAYDEN</t>
  </si>
  <si>
    <t>HAYDENVILLE</t>
  </si>
  <si>
    <t>HAYES CORNERS</t>
  </si>
  <si>
    <t>HAYESVILLE</t>
  </si>
  <si>
    <t>HAYNES</t>
  </si>
  <si>
    <t>HAYS CORNER</t>
  </si>
  <si>
    <t>HAYWARD</t>
  </si>
  <si>
    <t>HAZAEL</t>
  </si>
  <si>
    <t>HAZELWOOD</t>
  </si>
  <si>
    <t>HEATH</t>
  </si>
  <si>
    <t>HEBARDVILLE</t>
  </si>
  <si>
    <t>HEBRON</t>
  </si>
  <si>
    <t>HECLA</t>
  </si>
  <si>
    <t>HECTOR</t>
  </si>
  <si>
    <t>HEDGES</t>
  </si>
  <si>
    <t>HEGEMANNS LANDING</t>
  </si>
  <si>
    <t>HEIDELBERG BEACH</t>
  </si>
  <si>
    <t>HELENA</t>
  </si>
  <si>
    <t>HELMICK</t>
  </si>
  <si>
    <t>HEMLOCK</t>
  </si>
  <si>
    <t>HEMLOCK GROVE</t>
  </si>
  <si>
    <t>HENDRYSBURG</t>
  </si>
  <si>
    <t>HENNINGS MILL</t>
  </si>
  <si>
    <t>HENRIETTA TOWNSHIP</t>
  </si>
  <si>
    <t>HENRIETTA</t>
  </si>
  <si>
    <t>HENRY TOWNSHIP</t>
  </si>
  <si>
    <t>HEPBURN</t>
  </si>
  <si>
    <t>HERBERT CORNERS</t>
  </si>
  <si>
    <t>HEREFORK</t>
  </si>
  <si>
    <t>HERLAN</t>
  </si>
  <si>
    <t>HERMANVILLE</t>
  </si>
  <si>
    <t>HERRICK</t>
  </si>
  <si>
    <t>HESLOP</t>
  </si>
  <si>
    <t>HESSVILLE</t>
  </si>
  <si>
    <t>HESTORIA</t>
  </si>
  <si>
    <t>HEWITT</t>
  </si>
  <si>
    <t>HIBBETTS</t>
  </si>
  <si>
    <t>HICKMAN</t>
  </si>
  <si>
    <t>HICKORY CORNERS</t>
  </si>
  <si>
    <t>HICKORY GROVE</t>
  </si>
  <si>
    <t>HICKORYVILLE</t>
  </si>
  <si>
    <t>HICKS</t>
  </si>
  <si>
    <t>HICKSVILLE</t>
  </si>
  <si>
    <t>HICKSVILLE TOWNSHIP</t>
  </si>
  <si>
    <t>HIDE-A-WAY HILLS</t>
  </si>
  <si>
    <t>HIETT</t>
  </si>
  <si>
    <t>HIGBY</t>
  </si>
  <si>
    <t>HIGGINSPORT</t>
  </si>
  <si>
    <t>HIGH HILL</t>
  </si>
  <si>
    <t>HIGHLAND TOWNSHIP</t>
  </si>
  <si>
    <t>HIGHLAND</t>
  </si>
  <si>
    <t>HIGHLAND STATION</t>
  </si>
  <si>
    <t>HIGHLAND BEND</t>
  </si>
  <si>
    <t>HIGHLAND HEIGHTS</t>
  </si>
  <si>
    <t>HIGHLAND HILLS</t>
  </si>
  <si>
    <t>HIGHLAND HOLIDAY</t>
  </si>
  <si>
    <t>HIGHLAND PARK</t>
  </si>
  <si>
    <t>HIGHLAND TERRACE</t>
  </si>
  <si>
    <t>HIGHLANDTOWN</t>
  </si>
  <si>
    <t>HIGHPOINT</t>
  </si>
  <si>
    <t>HIGHWATER</t>
  </si>
  <si>
    <t>HILL CRAFT ACRES</t>
  </si>
  <si>
    <t>HILLCREST</t>
  </si>
  <si>
    <t>HILL GROVE</t>
  </si>
  <si>
    <t>HILLIAR TOWNSHIP</t>
  </si>
  <si>
    <t>HILLIARD</t>
  </si>
  <si>
    <t>HILLS</t>
  </si>
  <si>
    <t>HILLS AND DALES</t>
  </si>
  <si>
    <t>HILLTOP</t>
  </si>
  <si>
    <t>HILL TOP ACRES</t>
  </si>
  <si>
    <t>HINCKLEY</t>
  </si>
  <si>
    <t>HINCKLEY TOWNSHIP</t>
  </si>
  <si>
    <t>HINTON</t>
  </si>
  <si>
    <t>HIRAM</t>
  </si>
  <si>
    <t>HIRAM TOWNSHIP</t>
  </si>
  <si>
    <t>HIRAM RAPIDS</t>
  </si>
  <si>
    <t>HIRAMSBURG</t>
  </si>
  <si>
    <t>HITCHCOCK</t>
  </si>
  <si>
    <t>HOADLEY</t>
  </si>
  <si>
    <t>HOAGLAND</t>
  </si>
  <si>
    <t>HOAGLIN TOWNSHIP</t>
  </si>
  <si>
    <t>HOAGLIN</t>
  </si>
  <si>
    <t>HOBSON</t>
  </si>
  <si>
    <t>HOBSON JUNCTION</t>
  </si>
  <si>
    <t>HOCKING</t>
  </si>
  <si>
    <t>HOCKING TOWNSHIP</t>
  </si>
  <si>
    <t>HOCKINGPORT</t>
  </si>
  <si>
    <t>HOHMAN</t>
  </si>
  <si>
    <t>HOLDEN</t>
  </si>
  <si>
    <t>HOLGATE</t>
  </si>
  <si>
    <t>HOLIDAY ACRES</t>
  </si>
  <si>
    <t>HOLIDAY CITY</t>
  </si>
  <si>
    <t>HOLIDAY LAKES</t>
  </si>
  <si>
    <t>HOLIDAY VALLEY</t>
  </si>
  <si>
    <t>HOLLAND</t>
  </si>
  <si>
    <t>HOLLANSBURG</t>
  </si>
  <si>
    <t>HOLLISTER</t>
  </si>
  <si>
    <t>HOLLOWAY</t>
  </si>
  <si>
    <t>HOLLOWTOWN</t>
  </si>
  <si>
    <t>HOLLYWOOD ESTATES</t>
  </si>
  <si>
    <t>HOLMES TOWNSHIP</t>
  </si>
  <si>
    <t>HOLT</t>
  </si>
  <si>
    <t>HOMER</t>
  </si>
  <si>
    <t>HOMER TOWNSHIP</t>
  </si>
  <si>
    <t>HOMERVILLE</t>
  </si>
  <si>
    <t>HOMESIDE</t>
  </si>
  <si>
    <t>HOMEWOOD</t>
  </si>
  <si>
    <t>HOMEWORTH</t>
  </si>
  <si>
    <t>HONESTY</t>
  </si>
  <si>
    <t>HONEYTOWN</t>
  </si>
  <si>
    <t>HOOKER</t>
  </si>
  <si>
    <t>HOOKSBURG</t>
  </si>
  <si>
    <t>HOOKS CORNER</t>
  </si>
  <si>
    <t>HOOVEN</t>
  </si>
  <si>
    <t>HOPE</t>
  </si>
  <si>
    <t>HOPEDALE</t>
  </si>
  <si>
    <t>HOPETOWN</t>
  </si>
  <si>
    <t>HOPEWELL</t>
  </si>
  <si>
    <t>HOPEWELL TOWNSHIP</t>
  </si>
  <si>
    <t>HOPKINSVILLE</t>
  </si>
  <si>
    <t>HORATIO</t>
  </si>
  <si>
    <t>HORNER HILL</t>
  </si>
  <si>
    <t>HORNS MILL</t>
  </si>
  <si>
    <t>HORTON</t>
  </si>
  <si>
    <t>HOSKINSVILLE</t>
  </si>
  <si>
    <t>HOUCKTOWN</t>
  </si>
  <si>
    <t>HOUSTON</t>
  </si>
  <si>
    <t>HOWARD</t>
  </si>
  <si>
    <t>HOWARD TOWNSHIP</t>
  </si>
  <si>
    <t>HOWARD FARMS BEACH</t>
  </si>
  <si>
    <t>HOWENSTINE</t>
  </si>
  <si>
    <t>HOWLAND TOWNSHIP</t>
  </si>
  <si>
    <t>HOWLAND CENTER</t>
  </si>
  <si>
    <t>HOWLAND CORNERS</t>
  </si>
  <si>
    <t>HOYTVILLE</t>
  </si>
  <si>
    <t>HUBBARD</t>
  </si>
  <si>
    <t>HUBBARD TOWNSHIP</t>
  </si>
  <si>
    <t>HUBER HEIGHTS</t>
  </si>
  <si>
    <t>HUBER RIDGE</t>
  </si>
  <si>
    <t>HUDSON</t>
  </si>
  <si>
    <t>HUDSON TOWNSHIP</t>
  </si>
  <si>
    <t>HUE</t>
  </si>
  <si>
    <t>HUGHES</t>
  </si>
  <si>
    <t>HULINGTON</t>
  </si>
  <si>
    <t>HULL</t>
  </si>
  <si>
    <t>HULL PRAIRIE</t>
  </si>
  <si>
    <t>HUMBOLDT</t>
  </si>
  <si>
    <t>HUME</t>
  </si>
  <si>
    <t>HUNT</t>
  </si>
  <si>
    <t>HUNTCREST ACRES</t>
  </si>
  <si>
    <t>HUNTER</t>
  </si>
  <si>
    <t>HUNTERDON</t>
  </si>
  <si>
    <t>HUNTERSVILLE</t>
  </si>
  <si>
    <t>HUNTINGTON TOWNSHIP</t>
  </si>
  <si>
    <t>HUNTINGTON</t>
  </si>
  <si>
    <t>HUNTINGTON PARK</t>
  </si>
  <si>
    <t>HUNTING VALLEY</t>
  </si>
  <si>
    <t>HUNTSBURG</t>
  </si>
  <si>
    <t>HUNTSBURG TOWNSHIP</t>
  </si>
  <si>
    <t>HUNTS CORNERS</t>
  </si>
  <si>
    <t>HUNTSVILLE</t>
  </si>
  <si>
    <t>HURFORD</t>
  </si>
  <si>
    <t>HURON</t>
  </si>
  <si>
    <t>HURON TOWNSHIP</t>
  </si>
  <si>
    <t>HUSTEAD</t>
  </si>
  <si>
    <t>HYATTS</t>
  </si>
  <si>
    <t>HYDE PARK</t>
  </si>
  <si>
    <t>IBERIA</t>
  </si>
  <si>
    <t>IDAHO</t>
  </si>
  <si>
    <t>IDEAL</t>
  </si>
  <si>
    <t>IDLEWILD</t>
  </si>
  <si>
    <t>IDLEWOOD</t>
  </si>
  <si>
    <t>ILER</t>
  </si>
  <si>
    <t>ILESBORO</t>
  </si>
  <si>
    <t>IMMERGRUN</t>
  </si>
  <si>
    <t>INDEPENDENCE</t>
  </si>
  <si>
    <t>INDEPENDENCE TOWNSHIP</t>
  </si>
  <si>
    <t>INDIAN CAMP</t>
  </si>
  <si>
    <t>INDIAN KNOLLS</t>
  </si>
  <si>
    <t>INDIAN SPRINGS</t>
  </si>
  <si>
    <t>INDIANVIEW</t>
  </si>
  <si>
    <t>INDUSTRY</t>
  </si>
  <si>
    <t>INFANT OF PRAGUE VILLA</t>
  </si>
  <si>
    <t>INGOMAR</t>
  </si>
  <si>
    <t>INLET</t>
  </si>
  <si>
    <t>IRA</t>
  </si>
  <si>
    <t>IRELAND</t>
  </si>
  <si>
    <t>IRON CITY</t>
  </si>
  <si>
    <t>IRONDALE</t>
  </si>
  <si>
    <t>IRONSPOT</t>
  </si>
  <si>
    <t>IRONTON</t>
  </si>
  <si>
    <t>IRONTON JUNCTION</t>
  </si>
  <si>
    <t>IRONVILLE</t>
  </si>
  <si>
    <t>IRVILLE</t>
  </si>
  <si>
    <t>IRVINGTON</t>
  </si>
  <si>
    <t>IRWIN</t>
  </si>
  <si>
    <t>ISLAND CREEK TOWNSHIP</t>
  </si>
  <si>
    <t>ISLAND VIEW</t>
  </si>
  <si>
    <t>ISLETA</t>
  </si>
  <si>
    <t>ISRAEL TOWNSHIP</t>
  </si>
  <si>
    <t>ITHACA</t>
  </si>
  <si>
    <t>IVORYDALE</t>
  </si>
  <si>
    <t>IVORYDALE JUNCTION</t>
  </si>
  <si>
    <t>JACKSON TOWNSHIP</t>
  </si>
  <si>
    <t>JACKSONBURG</t>
  </si>
  <si>
    <t>JACKSON CENTER</t>
  </si>
  <si>
    <t>JACKSON HEIGHTS</t>
  </si>
  <si>
    <t>JACKSON SPECIAL</t>
  </si>
  <si>
    <t>JACKSONTOWN</t>
  </si>
  <si>
    <t>JACKSONVILLE</t>
  </si>
  <si>
    <t>JACOBSBURG</t>
  </si>
  <si>
    <t>JAITE</t>
  </si>
  <si>
    <t>JAMESTOWN</t>
  </si>
  <si>
    <t>JASPER TOWNSHIP</t>
  </si>
  <si>
    <t>JASPER</t>
  </si>
  <si>
    <t>JASPER MILLS</t>
  </si>
  <si>
    <t>JAYBIRD</t>
  </si>
  <si>
    <t>JEDDOE</t>
  </si>
  <si>
    <t>JEFFERSON TOWNSHIP</t>
  </si>
  <si>
    <t>JEFFERSON ESTATES</t>
  </si>
  <si>
    <t>JEFFERSONVILLE</t>
  </si>
  <si>
    <t>JELLOWAY</t>
  </si>
  <si>
    <t>JENERA</t>
  </si>
  <si>
    <t>JENNINGS TOWNSHIP</t>
  </si>
  <si>
    <t>JERICHO</t>
  </si>
  <si>
    <t>JEROME</t>
  </si>
  <si>
    <t>JEROME TOWNSHIP</t>
  </si>
  <si>
    <t>JEROMESVILLE</t>
  </si>
  <si>
    <t>JERRY CITY</t>
  </si>
  <si>
    <t>JERSEY</t>
  </si>
  <si>
    <t>JERSEY TOWNSHIP</t>
  </si>
  <si>
    <t>JERUSALEM TOWNSHIP</t>
  </si>
  <si>
    <t>JERUSALEM</t>
  </si>
  <si>
    <t>JESSUP</t>
  </si>
  <si>
    <t>JETHRO</t>
  </si>
  <si>
    <t>JEWELL</t>
  </si>
  <si>
    <t>JEWETT</t>
  </si>
  <si>
    <t>JIMTOWN</t>
  </si>
  <si>
    <t>JOBS</t>
  </si>
  <si>
    <t>JOETOWN</t>
  </si>
  <si>
    <t>JOHNSON TOWNSHIP</t>
  </si>
  <si>
    <t>JOHNSON</t>
  </si>
  <si>
    <t>JOHNSONS CORNERS</t>
  </si>
  <si>
    <t>JOHNSTON</t>
  </si>
  <si>
    <t>JOHNSTON TOWNSHIP</t>
  </si>
  <si>
    <t>JOHNSTON CORNERS</t>
  </si>
  <si>
    <t>JOHNSTOWN</t>
  </si>
  <si>
    <t>JOHNSVILLE</t>
  </si>
  <si>
    <t>JONESBORO</t>
  </si>
  <si>
    <t>JONES CITY</t>
  </si>
  <si>
    <t>JONES FARM</t>
  </si>
  <si>
    <t>JONESTOWN</t>
  </si>
  <si>
    <t>JOPPA</t>
  </si>
  <si>
    <t>JORDANVILLE</t>
  </si>
  <si>
    <t>JOY</t>
  </si>
  <si>
    <t>JOYCE</t>
  </si>
  <si>
    <t>JUG RUN</t>
  </si>
  <si>
    <t>JUGS CORNERS</t>
  </si>
  <si>
    <t>JUMBO</t>
  </si>
  <si>
    <t>JUMP</t>
  </si>
  <si>
    <t>JUNCTION</t>
  </si>
  <si>
    <t>JUNCTION CITY</t>
  </si>
  <si>
    <t>JUNIOR FURNACE</t>
  </si>
  <si>
    <t>JUSTUS</t>
  </si>
  <si>
    <t>KALIDA</t>
  </si>
  <si>
    <t>KAMMS CORNER</t>
  </si>
  <si>
    <t>KANAUGA</t>
  </si>
  <si>
    <t>KANSAS</t>
  </si>
  <si>
    <t>KAUKE</t>
  </si>
  <si>
    <t>KEITH</t>
  </si>
  <si>
    <t>KELLEYS ISLAND</t>
  </si>
  <si>
    <t>KELLOGGSVILLE</t>
  </si>
  <si>
    <t>KEMP</t>
  </si>
  <si>
    <t>KENDALL HEIGHTS</t>
  </si>
  <si>
    <t>KENDEIGH CORNER</t>
  </si>
  <si>
    <t>KENILWORTH</t>
  </si>
  <si>
    <t>KENMORE</t>
  </si>
  <si>
    <t>KENNARD</t>
  </si>
  <si>
    <t>KENNEDY HEIGHTS</t>
  </si>
  <si>
    <t>KENNONSBURG</t>
  </si>
  <si>
    <t>KENNVALE</t>
  </si>
  <si>
    <t>KENO</t>
  </si>
  <si>
    <t>KENRICKSVILLE</t>
  </si>
  <si>
    <t>KENRIDGE</t>
  </si>
  <si>
    <t>KENSINGTON</t>
  </si>
  <si>
    <t>KENT</t>
  </si>
  <si>
    <t>KENWOOD</t>
  </si>
  <si>
    <t>KENWOOD HILLS</t>
  </si>
  <si>
    <t>KENWOOD KNOLLS</t>
  </si>
  <si>
    <t>KERR</t>
  </si>
  <si>
    <t>KESSLER</t>
  </si>
  <si>
    <t>KETTERING</t>
  </si>
  <si>
    <t>KETTLERSVILLE</t>
  </si>
  <si>
    <t>KEY</t>
  </si>
  <si>
    <t>KEYSTONE</t>
  </si>
  <si>
    <t>KIDRON STATION</t>
  </si>
  <si>
    <t>KIDRON</t>
  </si>
  <si>
    <t>KIEFERVILLE</t>
  </si>
  <si>
    <t>KILBOURNE</t>
  </si>
  <si>
    <t>KILGORE</t>
  </si>
  <si>
    <t>KILMER</t>
  </si>
  <si>
    <t>KILVERT</t>
  </si>
  <si>
    <t>KIMBALL</t>
  </si>
  <si>
    <t>KIMBERLY</t>
  </si>
  <si>
    <t>KIMBOLTON</t>
  </si>
  <si>
    <t>KINCAID SPRINGS</t>
  </si>
  <si>
    <t>KINDERHOOK</t>
  </si>
  <si>
    <t>KING CORNERS</t>
  </si>
  <si>
    <t>KINGMAN</t>
  </si>
  <si>
    <t>KINGSBURY</t>
  </si>
  <si>
    <t>KINGSCREEK</t>
  </si>
  <si>
    <t>KINGS MILLS</t>
  </si>
  <si>
    <t>KINGS MINE</t>
  </si>
  <si>
    <t>KINGSTON TOWNSHIP</t>
  </si>
  <si>
    <t>KINGSTON</t>
  </si>
  <si>
    <t>KINGSVILLE</t>
  </si>
  <si>
    <t>KINGSVILLE TOWNSHIP</t>
  </si>
  <si>
    <t>KINGSVILLE ON-THE-LAKE</t>
  </si>
  <si>
    <t>KINGSWAY</t>
  </si>
  <si>
    <t>KINSEY</t>
  </si>
  <si>
    <t>KINSMAN</t>
  </si>
  <si>
    <t>KINSMAN TOWNSHIP</t>
  </si>
  <si>
    <t>KINSMAN CENTER</t>
  </si>
  <si>
    <t>KIOUSVILLE</t>
  </si>
  <si>
    <t>KIPLING</t>
  </si>
  <si>
    <t>KIPTON</t>
  </si>
  <si>
    <t>KIRBY</t>
  </si>
  <si>
    <t>KIRBYVILLE</t>
  </si>
  <si>
    <t>KIRKERSVILLE</t>
  </si>
  <si>
    <t>KIRKPATRICK</t>
  </si>
  <si>
    <t>KIRKWOOD TOWNSHIP</t>
  </si>
  <si>
    <t>KIRKWOOD</t>
  </si>
  <si>
    <t>KIRTLAND</t>
  </si>
  <si>
    <t>KIRTLAND HILLS</t>
  </si>
  <si>
    <t>KITCHEN</t>
  </si>
  <si>
    <t>KITTS HILL</t>
  </si>
  <si>
    <t>KLINES CORNER</t>
  </si>
  <si>
    <t>KLONDIKE</t>
  </si>
  <si>
    <t>KNOCKEMSTIFF</t>
  </si>
  <si>
    <t>KNOLLWOOD</t>
  </si>
  <si>
    <t>KNOLLWOOD VILLAGE</t>
  </si>
  <si>
    <t>KNOX</t>
  </si>
  <si>
    <t>KNOXDALE</t>
  </si>
  <si>
    <t>KNOXVILLE</t>
  </si>
  <si>
    <t>KOLMONT</t>
  </si>
  <si>
    <t>KOSSUTH</t>
  </si>
  <si>
    <t>KRUMROY</t>
  </si>
  <si>
    <t>KUNKLE</t>
  </si>
  <si>
    <t>KYGER</t>
  </si>
  <si>
    <t>KYLES</t>
  </si>
  <si>
    <t>LACARNE</t>
  </si>
  <si>
    <t>LA CROFT</t>
  </si>
  <si>
    <t>LADD</t>
  </si>
  <si>
    <t>LAFAYETTE</t>
  </si>
  <si>
    <t>LAFAYETTE TOWNSHIP</t>
  </si>
  <si>
    <t>LAFEUILLE TERRACE</t>
  </si>
  <si>
    <t>LAFFERTY</t>
  </si>
  <si>
    <t>LAGONDA</t>
  </si>
  <si>
    <t>LAGRANGE</t>
  </si>
  <si>
    <t>LAGRANGE TOWNSHIP</t>
  </si>
  <si>
    <t>LAINGS</t>
  </si>
  <si>
    <t>LAKE TOWNSHIP</t>
  </si>
  <si>
    <t>LAKE BUCKHORN</t>
  </si>
  <si>
    <t>LAKE CABLE</t>
  </si>
  <si>
    <t>LAKE DARBY</t>
  </si>
  <si>
    <t>LAKE FORK</t>
  </si>
  <si>
    <t>LAKE LAKENGREN</t>
  </si>
  <si>
    <t>LAKELAND</t>
  </si>
  <si>
    <t>LAKELAND BEACH</t>
  </si>
  <si>
    <t>LAKELINE</t>
  </si>
  <si>
    <t>LAKE LORELEI</t>
  </si>
  <si>
    <t>LAKE LUCERNE</t>
  </si>
  <si>
    <t>LAKE MILTON</t>
  </si>
  <si>
    <t>LAKE MOHAWK</t>
  </si>
  <si>
    <t>LAKEMONT LANDING</t>
  </si>
  <si>
    <t>LAKEMORE</t>
  </si>
  <si>
    <t>LAKE SENECA</t>
  </si>
  <si>
    <t>LAKESIDE</t>
  </si>
  <si>
    <t>LAKE SLAGLE</t>
  </si>
  <si>
    <t>LAKE TOMAHAWK</t>
  </si>
  <si>
    <t>LAKE VIEW</t>
  </si>
  <si>
    <t>LAKE VIEW HEIGHTS</t>
  </si>
  <si>
    <t>LAKEVILLE</t>
  </si>
  <si>
    <t>LAKE WAYNOKA</t>
  </si>
  <si>
    <t>LAKEWOOD</t>
  </si>
  <si>
    <t>LA MAR HEIGHTS</t>
  </si>
  <si>
    <t>LAMB CORNERS</t>
  </si>
  <si>
    <t>LAMIRA</t>
  </si>
  <si>
    <t>LANCASTER CITY TOWNSHIP</t>
  </si>
  <si>
    <t>LANDECK</t>
  </si>
  <si>
    <t>LANDEN</t>
  </si>
  <si>
    <t>LANDIN PARK</t>
  </si>
  <si>
    <t>LANDIS</t>
  </si>
  <si>
    <t>LANE</t>
  </si>
  <si>
    <t>LANGSVILLE</t>
  </si>
  <si>
    <t>LANIER TOWNSHIP</t>
  </si>
  <si>
    <t>LANSING</t>
  </si>
  <si>
    <t>LAPORTE</t>
  </si>
  <si>
    <t>LAPPERELL</t>
  </si>
  <si>
    <t>LA RUE</t>
  </si>
  <si>
    <t>LASHLEY</t>
  </si>
  <si>
    <t>LATCHA</t>
  </si>
  <si>
    <t>LATHAM</t>
  </si>
  <si>
    <t>LATHROP</t>
  </si>
  <si>
    <t>LATIMER</t>
  </si>
  <si>
    <t>LATTASBURG</t>
  </si>
  <si>
    <t>LATTAVILLE</t>
  </si>
  <si>
    <t>LATTY</t>
  </si>
  <si>
    <t>LATTY TOWNSHIP</t>
  </si>
  <si>
    <t>LAURA</t>
  </si>
  <si>
    <t>LAUREL</t>
  </si>
  <si>
    <t>LAUREL TOWNSHIP</t>
  </si>
  <si>
    <t>LAURELVILLE</t>
  </si>
  <si>
    <t>LAWCO</t>
  </si>
  <si>
    <t>LAWNDALE</t>
  </si>
  <si>
    <t>LAWRENCE</t>
  </si>
  <si>
    <t>LAWRENCE TOWNSHIP</t>
  </si>
  <si>
    <t>LAWRENCE FURNACE</t>
  </si>
  <si>
    <t>LAWRENCEVILLE</t>
  </si>
  <si>
    <t>LAWSHE</t>
  </si>
  <si>
    <t>LAWYERDALE ESTATES</t>
  </si>
  <si>
    <t>LAYHIGH</t>
  </si>
  <si>
    <t>LAYLAND</t>
  </si>
  <si>
    <t>LAYMAN</t>
  </si>
  <si>
    <t>LEAPER</t>
  </si>
  <si>
    <t>LEAVITTSBURG</t>
  </si>
  <si>
    <t>LEAVITTSVILLE</t>
  </si>
  <si>
    <t>LEBANON TOWNSHIP</t>
  </si>
  <si>
    <t>LEBANON</t>
  </si>
  <si>
    <t>LECTA</t>
  </si>
  <si>
    <t>LEE TOWNSHIP</t>
  </si>
  <si>
    <t>LEESBURG</t>
  </si>
  <si>
    <t>LEESBURG TOWNSHIP</t>
  </si>
  <si>
    <t>LEES CREEK</t>
  </si>
  <si>
    <t>LEESVILLE</t>
  </si>
  <si>
    <t>LEETONIA</t>
  </si>
  <si>
    <t>LEHMKUHL LANDING</t>
  </si>
  <si>
    <t>LEIPSIC</t>
  </si>
  <si>
    <t>LEIPSIC JUNCTION</t>
  </si>
  <si>
    <t>LEISTVILLE</t>
  </si>
  <si>
    <t>LEITH</t>
  </si>
  <si>
    <t>LEMERT</t>
  </si>
  <si>
    <t>LEMON TOWNSHIP</t>
  </si>
  <si>
    <t>LEMOYNE</t>
  </si>
  <si>
    <t>LENA</t>
  </si>
  <si>
    <t>LENOX TOWNSHIP</t>
  </si>
  <si>
    <t>LENOX CENTER</t>
  </si>
  <si>
    <t>LEO</t>
  </si>
  <si>
    <t>LEON</t>
  </si>
  <si>
    <t>LEONARDSBURG</t>
  </si>
  <si>
    <t>LERADO</t>
  </si>
  <si>
    <t>LEROY TOWNSHIP</t>
  </si>
  <si>
    <t>LESMIL</t>
  </si>
  <si>
    <t>LE SOURDSVILLE</t>
  </si>
  <si>
    <t>LESTER</t>
  </si>
  <si>
    <t>LETART TOWNSHIP</t>
  </si>
  <si>
    <t>LETART FALLS</t>
  </si>
  <si>
    <t>LEVANNA</t>
  </si>
  <si>
    <t>LEWIS TOWNSHIP</t>
  </si>
  <si>
    <t>LEWISBURG</t>
  </si>
  <si>
    <t>LEWIS CENTER</t>
  </si>
  <si>
    <t>LEWISTOWN</t>
  </si>
  <si>
    <t>LEWISVILLE</t>
  </si>
  <si>
    <t>LEXINGTON</t>
  </si>
  <si>
    <t>LEXINGTON TOWNSHIP</t>
  </si>
  <si>
    <t>LEYDA</t>
  </si>
  <si>
    <t>LIBERTY TOWNSHIP</t>
  </si>
  <si>
    <t>LIBERTY</t>
  </si>
  <si>
    <t>LIBERTY CENTER</t>
  </si>
  <si>
    <t>LICK TOWNSHIP</t>
  </si>
  <si>
    <t>LICKING TOWNSHIP</t>
  </si>
  <si>
    <t>LICKING VIEW</t>
  </si>
  <si>
    <t>LICKSKILLET</t>
  </si>
  <si>
    <t>LIGHTSVILLE</t>
  </si>
  <si>
    <t>LILLY CHAPEL</t>
  </si>
  <si>
    <t>LIMA TOWNSHIP (HISTORICAL)</t>
  </si>
  <si>
    <t>LIMAVILLE</t>
  </si>
  <si>
    <t>LIME CITY</t>
  </si>
  <si>
    <t>LIMERICK</t>
  </si>
  <si>
    <t>LIMESTONE</t>
  </si>
  <si>
    <t>LIMESTONE CITY</t>
  </si>
  <si>
    <t>LINCOLN TOWNSHIP</t>
  </si>
  <si>
    <t>LINCOLN HEIGHTS</t>
  </si>
  <si>
    <t>LINCOLN VILLAGE</t>
  </si>
  <si>
    <t>LINCOLNVILLE</t>
  </si>
  <si>
    <t>LINDALE</t>
  </si>
  <si>
    <t>LINDEN</t>
  </si>
  <si>
    <t>LINDENTREE</t>
  </si>
  <si>
    <t>LINDENWALD</t>
  </si>
  <si>
    <t>LINDSEY</t>
  </si>
  <si>
    <t>LINNDALE</t>
  </si>
  <si>
    <t>LINNVILLE</t>
  </si>
  <si>
    <t>LINTON TOWNSHIP</t>
  </si>
  <si>
    <t>LINTON MILLS</t>
  </si>
  <si>
    <t>LINWOOD</t>
  </si>
  <si>
    <t>LINWORTH</t>
  </si>
  <si>
    <t>LIPPINCOTT</t>
  </si>
  <si>
    <t>LISMAN</t>
  </si>
  <si>
    <t>LITCHFIELD</t>
  </si>
  <si>
    <t>LITCHFIELD TOWNSHIP</t>
  </si>
  <si>
    <t>LITHOPOLIS</t>
  </si>
  <si>
    <t>LITTLE CENTER</t>
  </si>
  <si>
    <t>LITTLE CHICAGO</t>
  </si>
  <si>
    <t>LITTLE HOCKING</t>
  </si>
  <si>
    <t>LITTLE MOUNTAIN</t>
  </si>
  <si>
    <t>LITTLE RICHMOND</t>
  </si>
  <si>
    <t>LITTLE SANDUSKY</t>
  </si>
  <si>
    <t>LITTLE WALNUT</t>
  </si>
  <si>
    <t>LITTLE WASHINGTON</t>
  </si>
  <si>
    <t>LITTLE YORK</t>
  </si>
  <si>
    <t>LIVERPOOL TOWNSHIP</t>
  </si>
  <si>
    <t>LLOYD CORNERS</t>
  </si>
  <si>
    <t>LLOYDSVILLE</t>
  </si>
  <si>
    <t>LOCK</t>
  </si>
  <si>
    <t>LOCKBOURNE</t>
  </si>
  <si>
    <t>LOCKHART</t>
  </si>
  <si>
    <t>LOCKINGTON</t>
  </si>
  <si>
    <t>LOCKLAND</t>
  </si>
  <si>
    <t>LOCK PORT</t>
  </si>
  <si>
    <t>LOCK SEVENTEEN</t>
  </si>
  <si>
    <t>LOCK TWO</t>
  </si>
  <si>
    <t>LOCKVILLE STATION</t>
  </si>
  <si>
    <t>LOCKVILLE</t>
  </si>
  <si>
    <t>LOCKWOOD</t>
  </si>
  <si>
    <t>LOCKWOOD CORNERS</t>
  </si>
  <si>
    <t>LOCUST CORNER</t>
  </si>
  <si>
    <t>LOCUST FORK</t>
  </si>
  <si>
    <t>LOCUST GROVE</t>
  </si>
  <si>
    <t>LOCUST LAKE</t>
  </si>
  <si>
    <t>LOCUST POINT</t>
  </si>
  <si>
    <t>LOCUST RIDGE</t>
  </si>
  <si>
    <t>LODI TOWNSHIP</t>
  </si>
  <si>
    <t>LODI</t>
  </si>
  <si>
    <t>LOGAN TOWNSHIP</t>
  </si>
  <si>
    <t>LOGAN ELM VILLAGE</t>
  </si>
  <si>
    <t>LOGANSVILLE</t>
  </si>
  <si>
    <t>LOGTOWN</t>
  </si>
  <si>
    <t>LOMBARDSVILLE</t>
  </si>
  <si>
    <t>LONDONDERRY</t>
  </si>
  <si>
    <t>LONDONDERRY TOWNSHIP</t>
  </si>
  <si>
    <t>LONG</t>
  </si>
  <si>
    <t>LONG BEACH</t>
  </si>
  <si>
    <t>LONG BOTTOM</t>
  </si>
  <si>
    <t>LONGLEY</t>
  </si>
  <si>
    <t>LONG RUN</t>
  </si>
  <si>
    <t>LONGSTRETH</t>
  </si>
  <si>
    <t>LONGVIEW HEIGHTS</t>
  </si>
  <si>
    <t>LONGVUE</t>
  </si>
  <si>
    <t>LOOMIS</t>
  </si>
  <si>
    <t>LORAIN</t>
  </si>
  <si>
    <t>LORAMIE TOWNSHIP</t>
  </si>
  <si>
    <t>LORDSTOWN</t>
  </si>
  <si>
    <t>LORE CITY</t>
  </si>
  <si>
    <t>LOSANTVILLE TRIANGLE</t>
  </si>
  <si>
    <t>LOSTCREEK TOWNSHIP</t>
  </si>
  <si>
    <t>LOTTRIDGE</t>
  </si>
  <si>
    <t>LOUDEN</t>
  </si>
  <si>
    <t>LOUDON TOWNSHIP</t>
  </si>
  <si>
    <t>LOUDON</t>
  </si>
  <si>
    <t>LOUISVILLE</t>
  </si>
  <si>
    <t>LOVELAND</t>
  </si>
  <si>
    <t>LOVELAND PARK</t>
  </si>
  <si>
    <t>LOVELL</t>
  </si>
  <si>
    <t>LOWELL</t>
  </si>
  <si>
    <t>LOWELLVILLE</t>
  </si>
  <si>
    <t>LOWER NEWPORT</t>
  </si>
  <si>
    <t>LOWER SALEM</t>
  </si>
  <si>
    <t>LOW GAP</t>
  </si>
  <si>
    <t>LOYS CORNERS</t>
  </si>
  <si>
    <t>LUCAS</t>
  </si>
  <si>
    <t>LUCASBURG</t>
  </si>
  <si>
    <t>LUCASVILLE</t>
  </si>
  <si>
    <t>LUCERNE</t>
  </si>
  <si>
    <t>LUCKEY</t>
  </si>
  <si>
    <t>LUDINGTON</t>
  </si>
  <si>
    <t>LUDLOW TOWNSHIP</t>
  </si>
  <si>
    <t>LUDLOW FALLS</t>
  </si>
  <si>
    <t>LUHRIG</t>
  </si>
  <si>
    <t>LUKE CHUTE</t>
  </si>
  <si>
    <t>LUMBERTON</t>
  </si>
  <si>
    <t>LUNDA</t>
  </si>
  <si>
    <t>LURAY</t>
  </si>
  <si>
    <t>LUTTRELL</t>
  </si>
  <si>
    <t>LYBRAND</t>
  </si>
  <si>
    <t>LYKENS</t>
  </si>
  <si>
    <t>LYKENS TOWNSHIP</t>
  </si>
  <si>
    <t>LYME TOWNSHIP</t>
  </si>
  <si>
    <t>LYNCHBURG</t>
  </si>
  <si>
    <t>LYNDHURST</t>
  </si>
  <si>
    <t>LYNDON</t>
  </si>
  <si>
    <t>LYNN TOWNSHIP</t>
  </si>
  <si>
    <t>LYNN</t>
  </si>
  <si>
    <t>LYNNS CORNERS</t>
  </si>
  <si>
    <t>LYNNVIEW</t>
  </si>
  <si>
    <t>LYNX</t>
  </si>
  <si>
    <t>LYONS</t>
  </si>
  <si>
    <t>LYRA</t>
  </si>
  <si>
    <t>LYTLE</t>
  </si>
  <si>
    <t>LYTTON</t>
  </si>
  <si>
    <t>MCARTHUR TOWNSHIP</t>
  </si>
  <si>
    <t>MCARTHUR</t>
  </si>
  <si>
    <t>MCAVAN</t>
  </si>
  <si>
    <t>MCCANCE</t>
  </si>
  <si>
    <t>MCCARTYVILLE</t>
  </si>
  <si>
    <t>MCCLAINVILLE</t>
  </si>
  <si>
    <t>MCCLIMANSVILLE</t>
  </si>
  <si>
    <t>MCCLINTOCKSBURG</t>
  </si>
  <si>
    <t>MCCLURE</t>
  </si>
  <si>
    <t>MCCOMB</t>
  </si>
  <si>
    <t>MCCONNELSVILLE</t>
  </si>
  <si>
    <t>MCCOPPIN MILL</t>
  </si>
  <si>
    <t>MCCUNEVILLE</t>
  </si>
  <si>
    <t>MCCUTCHENVILLE</t>
  </si>
  <si>
    <t>MCDANIEL CROSSROAD</t>
  </si>
  <si>
    <t>MCDERMOTT</t>
  </si>
  <si>
    <t>MCDONALD TOWNSHIP</t>
  </si>
  <si>
    <t>MCDONALD</t>
  </si>
  <si>
    <t>MCDONALDSVILLE</t>
  </si>
  <si>
    <t>MACEDON</t>
  </si>
  <si>
    <t>MACEDONIA</t>
  </si>
  <si>
    <t>MCFARLANDS CORNERS</t>
  </si>
  <si>
    <t>MCGAW</t>
  </si>
  <si>
    <t>MCGILL</t>
  </si>
  <si>
    <t>MCGONIGLE</t>
  </si>
  <si>
    <t>MCGUFFEY</t>
  </si>
  <si>
    <t>MCGUFFEY HEIGHTS</t>
  </si>
  <si>
    <t>MCINTYRE</t>
  </si>
  <si>
    <t>MACK</t>
  </si>
  <si>
    <t>MCKAY</t>
  </si>
  <si>
    <t>MCKAYS CORNERS</t>
  </si>
  <si>
    <t>MCKEAN TOWNSHIP</t>
  </si>
  <si>
    <t>MCKENDREE</t>
  </si>
  <si>
    <t>MCKINLEY HEIGHTS</t>
  </si>
  <si>
    <t>MACK NORTH (HISTORICAL)</t>
  </si>
  <si>
    <t>MACKSBURG</t>
  </si>
  <si>
    <t>MACK SOUTH (HISTORICAL)</t>
  </si>
  <si>
    <t>MACKSTOWN</t>
  </si>
  <si>
    <t>MCLEAN TOWNSHIP</t>
  </si>
  <si>
    <t>MCLEISH</t>
  </si>
  <si>
    <t>MCLUNEY</t>
  </si>
  <si>
    <t>MCMORRAN</t>
  </si>
  <si>
    <t>MACOCHEE CASTLE</t>
  </si>
  <si>
    <t>MACON</t>
  </si>
  <si>
    <t>MCVITTY</t>
  </si>
  <si>
    <t>MCZENA</t>
  </si>
  <si>
    <t>MADDEN CORNERS</t>
  </si>
  <si>
    <t>MADEIRA</t>
  </si>
  <si>
    <t>MADISON TOWNSHIP</t>
  </si>
  <si>
    <t>MADISON TOWNSHIP (HISTORICAL)</t>
  </si>
  <si>
    <t>MADISONBURG</t>
  </si>
  <si>
    <t>MADISON HILL</t>
  </si>
  <si>
    <t>MADISON LAKE</t>
  </si>
  <si>
    <t>MADISON MILLS</t>
  </si>
  <si>
    <t>MADISON-ON-THE-LAKE</t>
  </si>
  <si>
    <t>MADISONVILLE</t>
  </si>
  <si>
    <t>MAD RIVER TOWNSHIP</t>
  </si>
  <si>
    <t>MAD RIVER</t>
  </si>
  <si>
    <t>MAGNETIC SPRINGS</t>
  </si>
  <si>
    <t>MAGNOLIA</t>
  </si>
  <si>
    <t>MAHONING</t>
  </si>
  <si>
    <t>MAINEVILLE</t>
  </si>
  <si>
    <t>MAINSVILLE</t>
  </si>
  <si>
    <t>MALAGA</t>
  </si>
  <si>
    <t>MALAGA TOWNSHIP</t>
  </si>
  <si>
    <t>MALINTA</t>
  </si>
  <si>
    <t>MALLET CREEK</t>
  </si>
  <si>
    <t>MALTA</t>
  </si>
  <si>
    <t>MALTA TOWNSHIP</t>
  </si>
  <si>
    <t>MALVERN</t>
  </si>
  <si>
    <t>MANARA</t>
  </si>
  <si>
    <t>MANCHESTER</t>
  </si>
  <si>
    <t>MANCHESTER TOWNSHIP</t>
  </si>
  <si>
    <t>MANDALE</t>
  </si>
  <si>
    <t>MANN</t>
  </si>
  <si>
    <t>MANSFIELD TOWNSHIP</t>
  </si>
  <si>
    <t>MANTUA</t>
  </si>
  <si>
    <t>MANTUA TOWNSHIP</t>
  </si>
  <si>
    <t>MANTUA CENTER</t>
  </si>
  <si>
    <t>MANTUA CORNERS</t>
  </si>
  <si>
    <t>MAPLE CORNER</t>
  </si>
  <si>
    <t>MAPLE GROVE</t>
  </si>
  <si>
    <t>MAPLE HEIGHTS</t>
  </si>
  <si>
    <t>MAPLE RIDGE</t>
  </si>
  <si>
    <t>MAPLESHADE</t>
  </si>
  <si>
    <t>MAPLETON</t>
  </si>
  <si>
    <t>MAPLE VALLEY</t>
  </si>
  <si>
    <t>MAPLEWOOD</t>
  </si>
  <si>
    <t>MAPLEWOOD PARK</t>
  </si>
  <si>
    <t>MARATHON</t>
  </si>
  <si>
    <t>MARBLE CLIFF</t>
  </si>
  <si>
    <t>MARBLE FURNACE</t>
  </si>
  <si>
    <t>MARBLEHEAD</t>
  </si>
  <si>
    <t>MARCY</t>
  </si>
  <si>
    <t>MARENGO</t>
  </si>
  <si>
    <t>MARGARETTA TOWNSHIP</t>
  </si>
  <si>
    <t>MARIA STEIN</t>
  </si>
  <si>
    <t>MARIEMONT</t>
  </si>
  <si>
    <t>MARIETTA TOWNSHIP</t>
  </si>
  <si>
    <t>MARION TOWNSHIP</t>
  </si>
  <si>
    <t>MARK TOWNSHIP</t>
  </si>
  <si>
    <t>MARK CENTER</t>
  </si>
  <si>
    <t>MARLAIN ACRES</t>
  </si>
  <si>
    <t>MARLBORO TOWNSHIP</t>
  </si>
  <si>
    <t>MARLBORO</t>
  </si>
  <si>
    <t>MARL CITY</t>
  </si>
  <si>
    <t>MARNE</t>
  </si>
  <si>
    <t>MARQUAND MILLS</t>
  </si>
  <si>
    <t>MARQUIS</t>
  </si>
  <si>
    <t>MARR</t>
  </si>
  <si>
    <t>MARSEILLES</t>
  </si>
  <si>
    <t>MARSEILLES TOWNSHIP</t>
  </si>
  <si>
    <t>MARSHALL</t>
  </si>
  <si>
    <t>MARSHALL TOWNSHIP</t>
  </si>
  <si>
    <t>MARSHALLVILLE</t>
  </si>
  <si>
    <t>MARTEL</t>
  </si>
  <si>
    <t>MARTINSBURG</t>
  </si>
  <si>
    <t>MARTINS FERRY</t>
  </si>
  <si>
    <t>MARY ANN TOWNSHIP</t>
  </si>
  <si>
    <t>MASON TOWNSHIP</t>
  </si>
  <si>
    <t>MASON</t>
  </si>
  <si>
    <t>MASSIE TOWNSHIP</t>
  </si>
  <si>
    <t>MASSIEVILLE</t>
  </si>
  <si>
    <t>MASURY</t>
  </si>
  <si>
    <t>MATAMORAS</t>
  </si>
  <si>
    <t>MATVILLE</t>
  </si>
  <si>
    <t>MAUD</t>
  </si>
  <si>
    <t>MAUMEE</t>
  </si>
  <si>
    <t>MAUSTOWN</t>
  </si>
  <si>
    <t>MAXIMO</t>
  </si>
  <si>
    <t>MAXVILLE</t>
  </si>
  <si>
    <t>MAYBEE</t>
  </si>
  <si>
    <t>MAYFIELD</t>
  </si>
  <si>
    <t>MAYFIELD HEIGHTS</t>
  </si>
  <si>
    <t>MAYFLOWER VILLAGE</t>
  </si>
  <si>
    <t>MAY HILL</t>
  </si>
  <si>
    <t>MAYNARD</t>
  </si>
  <si>
    <t>MAYSVILLE</t>
  </si>
  <si>
    <t>MEAD TOWNSHIP</t>
  </si>
  <si>
    <t>MEADE</t>
  </si>
  <si>
    <t>MEADOWBROOK</t>
  </si>
  <si>
    <t>MEADOWVALE</t>
  </si>
  <si>
    <t>MECCA</t>
  </si>
  <si>
    <t>MECCA TOWNSHIP</t>
  </si>
  <si>
    <t>MECHANICSBURG</t>
  </si>
  <si>
    <t>MECHANICSTOWN</t>
  </si>
  <si>
    <t>MECHANICSVILLE</t>
  </si>
  <si>
    <t>MEDINA</t>
  </si>
  <si>
    <t>MEDINA TOWNSHIP</t>
  </si>
  <si>
    <t>MEDWAY</t>
  </si>
  <si>
    <t>MEDINA CITY TOWNSHIP</t>
  </si>
  <si>
    <t>MEEKER</t>
  </si>
  <si>
    <t>MEIGS TOWNSHIP</t>
  </si>
  <si>
    <t>MEIGS</t>
  </si>
  <si>
    <t>MEIGSVILLE TOWNSHIP</t>
  </si>
  <si>
    <t>MELBERN</t>
  </si>
  <si>
    <t>MELMORE</t>
  </si>
  <si>
    <t>MELROSE</t>
  </si>
  <si>
    <t>MELVIN</t>
  </si>
  <si>
    <t>MEMPHIS</t>
  </si>
  <si>
    <t>MENDON</t>
  </si>
  <si>
    <t>MENTOR</t>
  </si>
  <si>
    <t>MENTOR HEADLANDS</t>
  </si>
  <si>
    <t>MENTOR-ON-THE-LAKE</t>
  </si>
  <si>
    <t>MENTZER</t>
  </si>
  <si>
    <t>MERCER</t>
  </si>
  <si>
    <t>MERCERVILLE</t>
  </si>
  <si>
    <t>MERMILL</t>
  </si>
  <si>
    <t>MERRIAM</t>
  </si>
  <si>
    <t>MERRITT</t>
  </si>
  <si>
    <t>MERWIN</t>
  </si>
  <si>
    <t>MESOPOTAMIA</t>
  </si>
  <si>
    <t>MESOPOTAMIA TOWNSHIP</t>
  </si>
  <si>
    <t>METAMORA</t>
  </si>
  <si>
    <t>METHAM</t>
  </si>
  <si>
    <t>METZGER</t>
  </si>
  <si>
    <t>MEXICO</t>
  </si>
  <si>
    <t>MEYERS LAKE</t>
  </si>
  <si>
    <t>MIAMI TOWNSHIP</t>
  </si>
  <si>
    <t>MIAMI GROVE</t>
  </si>
  <si>
    <t>MIAMI HEIGHTS</t>
  </si>
  <si>
    <t>MIAMISBURG</t>
  </si>
  <si>
    <t>MIAMITOWN</t>
  </si>
  <si>
    <t>MIAMI VILLA</t>
  </si>
  <si>
    <t>MIAMIVILLE</t>
  </si>
  <si>
    <t>MIDDLE BASS</t>
  </si>
  <si>
    <t>MIDDLEBORO</t>
  </si>
  <si>
    <t>MIDDLEBOURNE</t>
  </si>
  <si>
    <t>MIDDLEBRANCH</t>
  </si>
  <si>
    <t>MIDDLEBURG</t>
  </si>
  <si>
    <t>MIDDLEBURG HEIGHTS</t>
  </si>
  <si>
    <t>MIDDLEBURY TOWNSHIP</t>
  </si>
  <si>
    <t>MIDDLEBURY</t>
  </si>
  <si>
    <t>MIDDLEFIELD</t>
  </si>
  <si>
    <t>MIDDLEFIELD TOWNSHIP</t>
  </si>
  <si>
    <t>MIDDLE POINT</t>
  </si>
  <si>
    <t>MIDDLETON</t>
  </si>
  <si>
    <t>MIDDLETON TOWNSHIP</t>
  </si>
  <si>
    <t>MIDDLETON CORNER</t>
  </si>
  <si>
    <t>MIDLAND</t>
  </si>
  <si>
    <t>MIDVALE</t>
  </si>
  <si>
    <t>MIDWAY</t>
  </si>
  <si>
    <t>MIFFLIN</t>
  </si>
  <si>
    <t>MIFFLIN TOWNSHIP</t>
  </si>
  <si>
    <t>MIFFLINVILLE</t>
  </si>
  <si>
    <t>MILAN</t>
  </si>
  <si>
    <t>MILAN TOWNSHIP</t>
  </si>
  <si>
    <t>MILEY CROSSROADS</t>
  </si>
  <si>
    <t>MILFORD TOWNSHIP</t>
  </si>
  <si>
    <t>MILFORD</t>
  </si>
  <si>
    <t>MILFORD CENTER</t>
  </si>
  <si>
    <t>MILL TOWNSHIP</t>
  </si>
  <si>
    <t>MILLBROOK</t>
  </si>
  <si>
    <t>MILLBURY</t>
  </si>
  <si>
    <t>MILL CREEK TOWNSHIP</t>
  </si>
  <si>
    <t>MILLCREEK TOWNSHIP</t>
  </si>
  <si>
    <t>MILLEDGEVILLE</t>
  </si>
  <si>
    <t>MILLER TOWNSHIP</t>
  </si>
  <si>
    <t>MILLER</t>
  </si>
  <si>
    <t>MILLER CITY</t>
  </si>
  <si>
    <t>MILLER GROVE</t>
  </si>
  <si>
    <t>MILLERS CORNERS</t>
  </si>
  <si>
    <t>MILLERSPORT</t>
  </si>
  <si>
    <t>MILLERSTOWN</t>
  </si>
  <si>
    <t>MILLERSVILLE</t>
  </si>
  <si>
    <t>MILLERTOWN</t>
  </si>
  <si>
    <t>MILLFIELD</t>
  </si>
  <si>
    <t>MILL GROVE</t>
  </si>
  <si>
    <t>MILLIGAN</t>
  </si>
  <si>
    <t>MILLPORT</t>
  </si>
  <si>
    <t>MILL ROCK</t>
  </si>
  <si>
    <t>MILLS</t>
  </si>
  <si>
    <t>MILLSBORO</t>
  </si>
  <si>
    <t>MILLVILLE</t>
  </si>
  <si>
    <t>MILLWOOD TOWNSHIP</t>
  </si>
  <si>
    <t>MILLWOOD</t>
  </si>
  <si>
    <t>MILTON TOWNSHIP</t>
  </si>
  <si>
    <t>MILTON CENTER</t>
  </si>
  <si>
    <t>MILTONSBURG</t>
  </si>
  <si>
    <t>MILTONVILLE</t>
  </si>
  <si>
    <t>MINA</t>
  </si>
  <si>
    <t>MINERAL</t>
  </si>
  <si>
    <t>MINERAL CITY</t>
  </si>
  <si>
    <t>MINERAL RIDGE</t>
  </si>
  <si>
    <t>MINERAL SPRINGS</t>
  </si>
  <si>
    <t>MINERSVILLE</t>
  </si>
  <si>
    <t>MINERTON</t>
  </si>
  <si>
    <t>MINERVA</t>
  </si>
  <si>
    <t>MINERVA JUNCTION</t>
  </si>
  <si>
    <t>MINERVA PARK</t>
  </si>
  <si>
    <t>MINFORD</t>
  </si>
  <si>
    <t>MINGO</t>
  </si>
  <si>
    <t>MINGO JUNCTION</t>
  </si>
  <si>
    <t>MINNEHAN BEND</t>
  </si>
  <si>
    <t>MINSTER</t>
  </si>
  <si>
    <t>MISCO</t>
  </si>
  <si>
    <t>MISHLER</t>
  </si>
  <si>
    <t>MISSISSINAWA TOWNSHIP</t>
  </si>
  <si>
    <t>MITCHAW</t>
  </si>
  <si>
    <t>MITIWANGA</t>
  </si>
  <si>
    <t>MIZERS</t>
  </si>
  <si>
    <t>MOATS</t>
  </si>
  <si>
    <t>MODEST</t>
  </si>
  <si>
    <t>MODOC</t>
  </si>
  <si>
    <t>MOFFITT HEIGHTS</t>
  </si>
  <si>
    <t>MOGADORE</t>
  </si>
  <si>
    <t>MOHAWK VILLAGE</t>
  </si>
  <si>
    <t>MOHICAN TOWNSHIP</t>
  </si>
  <si>
    <t>MOHICANVILLE</t>
  </si>
  <si>
    <t>MOLINE</t>
  </si>
  <si>
    <t>MOMENEETOWN</t>
  </si>
  <si>
    <t>MONCLOVA</t>
  </si>
  <si>
    <t>MONCLOVA TOWNSHIP</t>
  </si>
  <si>
    <t>MONDAY CREEK TOWNSHIP</t>
  </si>
  <si>
    <t>MONDAY CREEK JUNCTION</t>
  </si>
  <si>
    <t>MONFORT HEIGHTS</t>
  </si>
  <si>
    <t>MONFORT HEIGHTS EAST (HISTORICAL)</t>
  </si>
  <si>
    <t>MONFORT HEIGHTS SOUTH (HISTORICAL)</t>
  </si>
  <si>
    <t>MONONCUE</t>
  </si>
  <si>
    <t>MONROE CENTER</t>
  </si>
  <si>
    <t>MONROEFIELD</t>
  </si>
  <si>
    <t>MONROE MILLS</t>
  </si>
  <si>
    <t>MONROEVILLE</t>
  </si>
  <si>
    <t>MONTEREY</t>
  </si>
  <si>
    <t>MONTEREY TOWNSHIP</t>
  </si>
  <si>
    <t>MONTEZUMA</t>
  </si>
  <si>
    <t>MONTGOMERY TOWNSHIP</t>
  </si>
  <si>
    <t>MONTGOMERY</t>
  </si>
  <si>
    <t>MONTGOMERY HEIGHTS</t>
  </si>
  <si>
    <t>MONTICELLO</t>
  </si>
  <si>
    <t>MONTPELIER</t>
  </si>
  <si>
    <t>MONTRA</t>
  </si>
  <si>
    <t>MONTROSE</t>
  </si>
  <si>
    <t>MONTROSE-GHENT</t>
  </si>
  <si>
    <t>MONTVILLE</t>
  </si>
  <si>
    <t>MONTVILLE TOWNSHIP</t>
  </si>
  <si>
    <t>MOOREFIELD TOWNSHIP</t>
  </si>
  <si>
    <t>MOOREFIELD</t>
  </si>
  <si>
    <t>MOORE JUNCTION</t>
  </si>
  <si>
    <t>MOORES FORK</t>
  </si>
  <si>
    <t>MOORES JUNCTION</t>
  </si>
  <si>
    <t>MOORESVILLE</t>
  </si>
  <si>
    <t>MORAINE</t>
  </si>
  <si>
    <t>MORAN</t>
  </si>
  <si>
    <t>MORELAND</t>
  </si>
  <si>
    <t>MORELAND CORNERS</t>
  </si>
  <si>
    <t>MORELAND HILLS</t>
  </si>
  <si>
    <t>MORGAN TOWNSHIP</t>
  </si>
  <si>
    <t>MORGAN CENTER</t>
  </si>
  <si>
    <t>MORGANDALE</t>
  </si>
  <si>
    <t>MORGAN PLACE</t>
  </si>
  <si>
    <t>MORGAN RUN</t>
  </si>
  <si>
    <t>MORGANVILLE</t>
  </si>
  <si>
    <t>MORGANTOWN</t>
  </si>
  <si>
    <t>MORGES</t>
  </si>
  <si>
    <t>MORNING SUN</t>
  </si>
  <si>
    <t>MORNINGVIEW</t>
  </si>
  <si>
    <t>MORRAL</t>
  </si>
  <si>
    <t>MORRIS TOWNSHIP</t>
  </si>
  <si>
    <t>MORRISTOWN</t>
  </si>
  <si>
    <t>MORRISVILLE</t>
  </si>
  <si>
    <t>MORROW</t>
  </si>
  <si>
    <t>MOSCOW</t>
  </si>
  <si>
    <t>MOSS RUN</t>
  </si>
  <si>
    <t>MOULTON</t>
  </si>
  <si>
    <t>MOULTON TOWNSHIP</t>
  </si>
  <si>
    <t>MOULTRIE</t>
  </si>
  <si>
    <t>MOUNDSVILLE</t>
  </si>
  <si>
    <t>MOUNT ADAMS</t>
  </si>
  <si>
    <t>MOUNT AIR</t>
  </si>
  <si>
    <t>MOUNT AIRY</t>
  </si>
  <si>
    <t>MOUNT AIRY CENTER</t>
  </si>
  <si>
    <t>MOUNT AUBURN</t>
  </si>
  <si>
    <t>MOUNT BLANCHARD</t>
  </si>
  <si>
    <t>MOUNT BLANCO</t>
  </si>
  <si>
    <t>MOUNT CARMEL</t>
  </si>
  <si>
    <t>MOUNT CARMEL HEIGHTS</t>
  </si>
  <si>
    <t>MOUNT CARRICK</t>
  </si>
  <si>
    <t>MOUNT CORY</t>
  </si>
  <si>
    <t>MOUNT EATON</t>
  </si>
  <si>
    <t>MOUNT EPHRAIM</t>
  </si>
  <si>
    <t>MOUNT FOREST TRAILS</t>
  </si>
  <si>
    <t>MOUNT GILEAD</t>
  </si>
  <si>
    <t>MOUNT HEALTHY</t>
  </si>
  <si>
    <t>MOUNT HEALTHY HEIGHTS</t>
  </si>
  <si>
    <t>MOUNT HOLLY</t>
  </si>
  <si>
    <t>MOUNT HOPE</t>
  </si>
  <si>
    <t>MOUNT JEFFERSON</t>
  </si>
  <si>
    <t>MOUNT JOY</t>
  </si>
  <si>
    <t>MOUNT LIBERTY</t>
  </si>
  <si>
    <t>MOUNT LOOKOUT</t>
  </si>
  <si>
    <t>MOUNT OLIVE</t>
  </si>
  <si>
    <t>MOUNT ORAB</t>
  </si>
  <si>
    <t>MOUNT PERRY</t>
  </si>
  <si>
    <t>MOUNT PISGAH</t>
  </si>
  <si>
    <t>MOUNT PLEASANT</t>
  </si>
  <si>
    <t>MOUNT PLEASANT TOWNSHIP</t>
  </si>
  <si>
    <t>MOUNT REPOSE</t>
  </si>
  <si>
    <t>MOUNT SAINT JOHN</t>
  </si>
  <si>
    <t>MOUNT SINAI</t>
  </si>
  <si>
    <t>MOUNT STERLING</t>
  </si>
  <si>
    <t>MOUNT SUMMIT</t>
  </si>
  <si>
    <t>MOUNT UNION</t>
  </si>
  <si>
    <t>MOUNT VERNON</t>
  </si>
  <si>
    <t>MOUNT VICTORY</t>
  </si>
  <si>
    <t>MOUNTVIEW</t>
  </si>
  <si>
    <t>MOUNTVILLE</t>
  </si>
  <si>
    <t>MOUNT WASHINGTON</t>
  </si>
  <si>
    <t>MOUNT ZION</t>
  </si>
  <si>
    <t>MOWRYSTOWN</t>
  </si>
  <si>
    <t>MOXAHALA</t>
  </si>
  <si>
    <t>MUDSOCK</t>
  </si>
  <si>
    <t>MUHLENBERG TOWNSHIP</t>
  </si>
  <si>
    <t>MULBERRY</t>
  </si>
  <si>
    <t>MULBERRY GROVE</t>
  </si>
  <si>
    <t>PURDY CORNERS</t>
  </si>
  <si>
    <t>MUNCIE HOLLOW</t>
  </si>
  <si>
    <t>MUNGEN</t>
  </si>
  <si>
    <t>MUNKS CORNERS</t>
  </si>
  <si>
    <t>MUNROE FALLS</t>
  </si>
  <si>
    <t>MUNSON TOWNSHIP</t>
  </si>
  <si>
    <t>MUNSON HILL</t>
  </si>
  <si>
    <t>MUNTANNA</t>
  </si>
  <si>
    <t>MURDOCK</t>
  </si>
  <si>
    <t>MURLIN HEIGHTS</t>
  </si>
  <si>
    <t>MURRAY CITY</t>
  </si>
  <si>
    <t>MUSEVILLE</t>
  </si>
  <si>
    <t>MUSKINGUM TOWNSHIP</t>
  </si>
  <si>
    <t>MUSSELMAN</t>
  </si>
  <si>
    <t>MUTTONVILLE</t>
  </si>
  <si>
    <t>MUTUAL</t>
  </si>
  <si>
    <t>MYERS</t>
  </si>
  <si>
    <t>MYERSVILLE</t>
  </si>
  <si>
    <t>NANKIN</t>
  </si>
  <si>
    <t>NAPIER</t>
  </si>
  <si>
    <t>NAPOLEON TOWNSHIP</t>
  </si>
  <si>
    <t>NARVA</t>
  </si>
  <si>
    <t>NASBY</t>
  </si>
  <si>
    <t>NASHPORT</t>
  </si>
  <si>
    <t>NAVARRE</t>
  </si>
  <si>
    <t>NAYLOR</t>
  </si>
  <si>
    <t>NEALS CORNER</t>
  </si>
  <si>
    <t>NEAPOLIS</t>
  </si>
  <si>
    <t>NEASE SETTLEMENT</t>
  </si>
  <si>
    <t>NEAVE TOWNSHIP</t>
  </si>
  <si>
    <t>NEEDFULL</t>
  </si>
  <si>
    <t>NEEDMORE (HISTORICAL)</t>
  </si>
  <si>
    <t>NEEL</t>
  </si>
  <si>
    <t>NEELYSVILLE</t>
  </si>
  <si>
    <t>NEFFS</t>
  </si>
  <si>
    <t>NEGLEY</t>
  </si>
  <si>
    <t>NELLIE</t>
  </si>
  <si>
    <t>NELSON</t>
  </si>
  <si>
    <t>NELSON TOWNSHIP</t>
  </si>
  <si>
    <t>NEPTUNE</t>
  </si>
  <si>
    <t>NETTLE LAKE</t>
  </si>
  <si>
    <t>NEVADA</t>
  </si>
  <si>
    <t>NEVILLE</t>
  </si>
  <si>
    <t>NEW ALBANY</t>
  </si>
  <si>
    <t>NEW ALEXANDRIA</t>
  </si>
  <si>
    <t>NEW ANTIOCH</t>
  </si>
  <si>
    <t>NEWARK</t>
  </si>
  <si>
    <t>NEWARK TOWNSHIP</t>
  </si>
  <si>
    <t>NEW ATHENS</t>
  </si>
  <si>
    <t>NEW BALTIMORE</t>
  </si>
  <si>
    <t>NEW BAVARIA</t>
  </si>
  <si>
    <t>NEW BEDFORD</t>
  </si>
  <si>
    <t>NEWBERN</t>
  </si>
  <si>
    <t>NEWBERRY TOWNSHIP</t>
  </si>
  <si>
    <t>NEW BLOOMINGTON</t>
  </si>
  <si>
    <t>NEW BOSTON</t>
  </si>
  <si>
    <t>NEW BUFFALO</t>
  </si>
  <si>
    <t>NEWBURGH HEIGHTS</t>
  </si>
  <si>
    <t>NEW BURLINGTON</t>
  </si>
  <si>
    <t>NEWBURY TOWNSHIP</t>
  </si>
  <si>
    <t>NEW CALIFORNIA</t>
  </si>
  <si>
    <t>NEW CARLISLE</t>
  </si>
  <si>
    <t>NEW CASTLE</t>
  </si>
  <si>
    <t>NEWCASTLE</t>
  </si>
  <si>
    <t>NEWCASTLE TOWNSHIP</t>
  </si>
  <si>
    <t>NEW CHICAGO</t>
  </si>
  <si>
    <t>NEW CLEVELAND</t>
  </si>
  <si>
    <t>NEWCOMERSTOWN</t>
  </si>
  <si>
    <t>NEW CONCORD</t>
  </si>
  <si>
    <t>NEW CUMBERLAND</t>
  </si>
  <si>
    <t>NEW DOVER</t>
  </si>
  <si>
    <t>NEWELL</t>
  </si>
  <si>
    <t>NEWELL RUN</t>
  </si>
  <si>
    <t>NEW ENGLAND</t>
  </si>
  <si>
    <t>NEWFAIN</t>
  </si>
  <si>
    <t>NEW FLOODWOOD</t>
  </si>
  <si>
    <t>NEW FRANKLIN</t>
  </si>
  <si>
    <t>NEW GARDEN</t>
  </si>
  <si>
    <t>NEW GERMANY</t>
  </si>
  <si>
    <t>NEW GUILFORD</t>
  </si>
  <si>
    <t>NEW HAGERSTOWN</t>
  </si>
  <si>
    <t>NEW HAMPSHIRE</t>
  </si>
  <si>
    <t>NEW HARMONY</t>
  </si>
  <si>
    <t>NEW HARRISBURG</t>
  </si>
  <si>
    <t>NEW HARRISON</t>
  </si>
  <si>
    <t>NEW HAVEN</t>
  </si>
  <si>
    <t>NEW HAVEN TOWNSHIP</t>
  </si>
  <si>
    <t>NEW HOLLAND</t>
  </si>
  <si>
    <t>NEW HOPE</t>
  </si>
  <si>
    <t>NEW JASPER</t>
  </si>
  <si>
    <t>NEW JASPER TOWNSHIP</t>
  </si>
  <si>
    <t>NEW JERUSALEM</t>
  </si>
  <si>
    <t>NEWKIRK</t>
  </si>
  <si>
    <t>NEW KNOXVILLE</t>
  </si>
  <si>
    <t>NEW LEBANON</t>
  </si>
  <si>
    <t>NEW LEXINGTON</t>
  </si>
  <si>
    <t>NEW LONDON</t>
  </si>
  <si>
    <t>NEW LONDON TOWNSHIP</t>
  </si>
  <si>
    <t>NEW LYME STATION</t>
  </si>
  <si>
    <t>NEW LYME</t>
  </si>
  <si>
    <t>NEW LYME TOWNSHIP</t>
  </si>
  <si>
    <t>NEW MADISON</t>
  </si>
  <si>
    <t>NEWMANS</t>
  </si>
  <si>
    <t>NEWMAN</t>
  </si>
  <si>
    <t>NEW MANSFIELD</t>
  </si>
  <si>
    <t>NEW MARKET</t>
  </si>
  <si>
    <t>NEW MARKET TOWNSHIP</t>
  </si>
  <si>
    <t>NEW MARSHFIELD</t>
  </si>
  <si>
    <t>NEW MARTINSBURG</t>
  </si>
  <si>
    <t>NEW MATAMORAS</t>
  </si>
  <si>
    <t>NEW MIAMI</t>
  </si>
  <si>
    <t>NEW MIDDLETON</t>
  </si>
  <si>
    <t>NEW MIDDLETOWN</t>
  </si>
  <si>
    <t>NEW MOSCOW</t>
  </si>
  <si>
    <t>NEW PALESTINE</t>
  </si>
  <si>
    <t>NEW PARIS</t>
  </si>
  <si>
    <t>NEW PETERSBURG</t>
  </si>
  <si>
    <t>NEW PHILADELPHIA</t>
  </si>
  <si>
    <t>NEW PITTSBURG</t>
  </si>
  <si>
    <t>NEW PITTSBURGH</t>
  </si>
  <si>
    <t>NEW PLYMOUTH</t>
  </si>
  <si>
    <t>NEWPORT</t>
  </si>
  <si>
    <t>NEWPORT TOWNSHIP</t>
  </si>
  <si>
    <t>NEW PRINCETON</t>
  </si>
  <si>
    <t>NEW READING</t>
  </si>
  <si>
    <t>NEW RICHLAND</t>
  </si>
  <si>
    <t>NEW RICHMOND</t>
  </si>
  <si>
    <t>NEW RIEGEL</t>
  </si>
  <si>
    <t>NEW ROCHESTER</t>
  </si>
  <si>
    <t>NEW ROME</t>
  </si>
  <si>
    <t>NEW RUMLEY</t>
  </si>
  <si>
    <t>NEW RUSSIA TOWNSHIP</t>
  </si>
  <si>
    <t>NEW SALEM</t>
  </si>
  <si>
    <t>NEW SALISBURY</t>
  </si>
  <si>
    <t>NEW SOMERSET</t>
  </si>
  <si>
    <t>NEW SPRINGFIELD</t>
  </si>
  <si>
    <t>NEW STARK</t>
  </si>
  <si>
    <t>NEW STRAITSVILLE</t>
  </si>
  <si>
    <t>NEW STRASBURG</t>
  </si>
  <si>
    <t>NEWTON TOWNSHIP</t>
  </si>
  <si>
    <t>NEWTON FALLS</t>
  </si>
  <si>
    <t>NEWTONSVILLE</t>
  </si>
  <si>
    <t>NEWTOWN</t>
  </si>
  <si>
    <t>NEW TOWN</t>
  </si>
  <si>
    <t>NEW VIENNA</t>
  </si>
  <si>
    <t>NEWVILLE</t>
  </si>
  <si>
    <t>NEW WASHINGTON</t>
  </si>
  <si>
    <t>NEW WATERFORD</t>
  </si>
  <si>
    <t>NEW WAY</t>
  </si>
  <si>
    <t>NEW WESTON</t>
  </si>
  <si>
    <t>NEW WESTVILLE</t>
  </si>
  <si>
    <t>NEW WINCHESTER</t>
  </si>
  <si>
    <t>NEY</t>
  </si>
  <si>
    <t>NICHOLSVILLE</t>
  </si>
  <si>
    <t>NILE TOWNSHIP</t>
  </si>
  <si>
    <t>NILES</t>
  </si>
  <si>
    <t>NILES BEACH</t>
  </si>
  <si>
    <t>NILES JUNCTION</t>
  </si>
  <si>
    <t>NIMISHILLEN TOWNSHIP</t>
  </si>
  <si>
    <t>NINEVEH</t>
  </si>
  <si>
    <t>NIPGEN</t>
  </si>
  <si>
    <t>NOBLE TOWNSHIP</t>
  </si>
  <si>
    <t>NOBLE</t>
  </si>
  <si>
    <t>NORRISTOWN</t>
  </si>
  <si>
    <t>NORTH TOWNSHIP</t>
  </si>
  <si>
    <t>NORTH AKRON</t>
  </si>
  <si>
    <t>NORTHAMPTON TOWNSHIP (HISTORICAL)</t>
  </si>
  <si>
    <t>NORTH AUBURN</t>
  </si>
  <si>
    <t>NORTH BALTIMORE</t>
  </si>
  <si>
    <t>NORTH BEND</t>
  </si>
  <si>
    <t>NORTH BENTON</t>
  </si>
  <si>
    <t>NORTH BENTON STATION</t>
  </si>
  <si>
    <t>NORTH BERNE</t>
  </si>
  <si>
    <t>NORTH BLOOMFIELD TOWNSHIP</t>
  </si>
  <si>
    <t>NORTH BLOOMFIELD</t>
  </si>
  <si>
    <t>NORTH BREWSTER</t>
  </si>
  <si>
    <t>NORTH BRISTOL</t>
  </si>
  <si>
    <t>NORTHBROOK</t>
  </si>
  <si>
    <t>NORTH CANTON</t>
  </si>
  <si>
    <t>NORTH COLLEGE HILL</t>
  </si>
  <si>
    <t>NORTH CONDIT</t>
  </si>
  <si>
    <t>NORTH CREEK</t>
  </si>
  <si>
    <t>NORTH EATON</t>
  </si>
  <si>
    <t>NORTH FAIRFIELD</t>
  </si>
  <si>
    <t>NORTHFIELD</t>
  </si>
  <si>
    <t>NORTHFIELD CENTER TOWNSHIP</t>
  </si>
  <si>
    <t>NORTHFIELD CENTER</t>
  </si>
  <si>
    <t>NORTH FORK VILLAGE</t>
  </si>
  <si>
    <t>NORTHGATE</t>
  </si>
  <si>
    <t>NORTH GEORGETOWN</t>
  </si>
  <si>
    <t>NORTH GREENFIELD</t>
  </si>
  <si>
    <t>NORTH HAMPTON</t>
  </si>
  <si>
    <t>NORTH HILLS ESTATES</t>
  </si>
  <si>
    <t>NORTH INDUSTRY</t>
  </si>
  <si>
    <t>NORTH JACKSON</t>
  </si>
  <si>
    <t>NORTH KENOVA</t>
  </si>
  <si>
    <t>NORTH KINGMAN</t>
  </si>
  <si>
    <t>NORTH KINGSVILLE</t>
  </si>
  <si>
    <t>NORTH LAWRENCE</t>
  </si>
  <si>
    <t>NORTH LEWISBURG</t>
  </si>
  <si>
    <t>NORTH LIBERTY</t>
  </si>
  <si>
    <t>NORTH LIMA</t>
  </si>
  <si>
    <t>NORTH MADISON</t>
  </si>
  <si>
    <t>NORTH MONROEVILLE</t>
  </si>
  <si>
    <t>NORTH MORELAND</t>
  </si>
  <si>
    <t>NORTH MOUNT VERNON</t>
  </si>
  <si>
    <t>NORTH OLMSTED</t>
  </si>
  <si>
    <t>NORTH PERRY</t>
  </si>
  <si>
    <t>NORTH RANDALL</t>
  </si>
  <si>
    <t>NORTH RICHMOND</t>
  </si>
  <si>
    <t>NORTHRIDGE</t>
  </si>
  <si>
    <t>NORTH RIDGEVILLE</t>
  </si>
  <si>
    <t>NORTH ROBINSON</t>
  </si>
  <si>
    <t>NORTH ROYALTON</t>
  </si>
  <si>
    <t>NORTH SAGAMORE HEIGHTS</t>
  </si>
  <si>
    <t>NORTH SALEM</t>
  </si>
  <si>
    <t>NORTH SIDE</t>
  </si>
  <si>
    <t>NORTH STAR</t>
  </si>
  <si>
    <t>NORTH UNIONTOWN</t>
  </si>
  <si>
    <t>NORTHUP</t>
  </si>
  <si>
    <t>NORTHVIEW</t>
  </si>
  <si>
    <t>NORTHVILLE</t>
  </si>
  <si>
    <t>NORTHWEST TOWNSHIP</t>
  </si>
  <si>
    <t>NORTHWOOD</t>
  </si>
  <si>
    <t>NORTH WOODBURY</t>
  </si>
  <si>
    <t>NORTH ZANESVILLE</t>
  </si>
  <si>
    <t>NORWALK TOWNSHIP</t>
  </si>
  <si>
    <t>NORWICH TOWNSHIP</t>
  </si>
  <si>
    <t>NORWICH</t>
  </si>
  <si>
    <t>NORWOOD</t>
  </si>
  <si>
    <t>NORWOOD HEIGHTS</t>
  </si>
  <si>
    <t>NOTTINGHAM</t>
  </si>
  <si>
    <t>NOTTINGHAM TOWNSHIP</t>
  </si>
  <si>
    <t>NOVA</t>
  </si>
  <si>
    <t>NOVELTY</t>
  </si>
  <si>
    <t>NUNDA</t>
  </si>
  <si>
    <t>NUTWOOD</t>
  </si>
  <si>
    <t>OAKDALE</t>
  </si>
  <si>
    <t>OAKFIELD</t>
  </si>
  <si>
    <t>OAKGROVE</t>
  </si>
  <si>
    <t>OAK GROVE</t>
  </si>
  <si>
    <t>OAK HARBOR</t>
  </si>
  <si>
    <t>OAK HILL</t>
  </si>
  <si>
    <t>OAK KNOLL</t>
  </si>
  <si>
    <t>OAKLAND</t>
  </si>
  <si>
    <t>OAKLEY</t>
  </si>
  <si>
    <t>OAKLEY SQUARE</t>
  </si>
  <si>
    <t>OAK PARK</t>
  </si>
  <si>
    <t>OAK RIDGE</t>
  </si>
  <si>
    <t>OAK RUN TOWNSHIP</t>
  </si>
  <si>
    <t>OAKSHADE</t>
  </si>
  <si>
    <t>OAKTHORPE</t>
  </si>
  <si>
    <t>OAKVIEW</t>
  </si>
  <si>
    <t>OAKWOOD</t>
  </si>
  <si>
    <t>OBERLIN</t>
  </si>
  <si>
    <t>OBERLIN BEACH</t>
  </si>
  <si>
    <t>OBETZ</t>
  </si>
  <si>
    <t>OCEOLA</t>
  </si>
  <si>
    <t>OCO</t>
  </si>
  <si>
    <t>O'CONNOR POINT</t>
  </si>
  <si>
    <t>OCTA</t>
  </si>
  <si>
    <t>ODELL</t>
  </si>
  <si>
    <t>OGDEN</t>
  </si>
  <si>
    <t>OGONTZ</t>
  </si>
  <si>
    <t>OHIO TOWNSHIP</t>
  </si>
  <si>
    <t>OHIO CITY</t>
  </si>
  <si>
    <t>OHIO FURNACE</t>
  </si>
  <si>
    <t>OHLTOWN</t>
  </si>
  <si>
    <t>OKEANA</t>
  </si>
  <si>
    <t>OKLAHOMA (HISTORICAL)</t>
  </si>
  <si>
    <t>OKOLONA</t>
  </si>
  <si>
    <t>OLDE WEST CHESTER</t>
  </si>
  <si>
    <t>OLD FORT</t>
  </si>
  <si>
    <t>OLD GORE</t>
  </si>
  <si>
    <t>OLDTOWN</t>
  </si>
  <si>
    <t>OLDTOWN FLATS</t>
  </si>
  <si>
    <t>OLD WASHINGTON</t>
  </si>
  <si>
    <t>OLENA</t>
  </si>
  <si>
    <t>OLIVE TOWNSHIP</t>
  </si>
  <si>
    <t>OLIVE BRANCH</t>
  </si>
  <si>
    <t>OLIVE FURNACE</t>
  </si>
  <si>
    <t>OLIVE GREEN</t>
  </si>
  <si>
    <t>OLIVER TOWNSHIP</t>
  </si>
  <si>
    <t>OLIVESBURG</t>
  </si>
  <si>
    <t>OLIVETT</t>
  </si>
  <si>
    <t>OLMSTED TOWNSHIP</t>
  </si>
  <si>
    <t>OLMSTED FALLS</t>
  </si>
  <si>
    <t>OLSZESKI TOWN</t>
  </si>
  <si>
    <t>OMAR</t>
  </si>
  <si>
    <t>OMEGA</t>
  </si>
  <si>
    <t>ONEIDA</t>
  </si>
  <si>
    <t>ONTARIO</t>
  </si>
  <si>
    <t>OPPERMAN</t>
  </si>
  <si>
    <t>ORAN</t>
  </si>
  <si>
    <t>ORANGE TOWNSHIP</t>
  </si>
  <si>
    <t>ORANGE</t>
  </si>
  <si>
    <t>ORANGEBURG (HISTORICAL)</t>
  </si>
  <si>
    <t>ORANGEVILLE</t>
  </si>
  <si>
    <t>ORBISTON</t>
  </si>
  <si>
    <t>ORCHARD BEACH</t>
  </si>
  <si>
    <t>ORCHARD ISLAND</t>
  </si>
  <si>
    <t>OREGON</t>
  </si>
  <si>
    <t>OREGONIA</t>
  </si>
  <si>
    <t>ORETON</t>
  </si>
  <si>
    <t>OREVILLE</t>
  </si>
  <si>
    <t>ORIENT</t>
  </si>
  <si>
    <t>ORLAND</t>
  </si>
  <si>
    <t>ORPHEUS</t>
  </si>
  <si>
    <t>PEORIA</t>
  </si>
  <si>
    <t>ORWELL</t>
  </si>
  <si>
    <t>ORWELL TOWNSHIP</t>
  </si>
  <si>
    <t>OSBORN CORNERS</t>
  </si>
  <si>
    <t>OSCEOLA</t>
  </si>
  <si>
    <t>OSGOOD</t>
  </si>
  <si>
    <t>OSNABURG TOWNSHIP</t>
  </si>
  <si>
    <t>OSTRANDER</t>
  </si>
  <si>
    <t>OTSEGO</t>
  </si>
  <si>
    <t>OTTAWA</t>
  </si>
  <si>
    <t>OTTAWA TOWNSHIP</t>
  </si>
  <si>
    <t>OTTAWA HILLS</t>
  </si>
  <si>
    <t>OTTER</t>
  </si>
  <si>
    <t>OTTERBEIN</t>
  </si>
  <si>
    <t>OTTOKEE</t>
  </si>
  <si>
    <t>OTTOVILLE</t>
  </si>
  <si>
    <t>OTWAY</t>
  </si>
  <si>
    <t>OUTVILLE</t>
  </si>
  <si>
    <t>OVERLOOK HILLS</t>
  </si>
  <si>
    <t>OVERPECK</t>
  </si>
  <si>
    <t>OVERTON</t>
  </si>
  <si>
    <t>OWENS</t>
  </si>
  <si>
    <t>OWENSVILLE</t>
  </si>
  <si>
    <t>OXFORD TOWNSHIP</t>
  </si>
  <si>
    <t>OZARK</t>
  </si>
  <si>
    <t>PADANARAM</t>
  </si>
  <si>
    <t>PADDISON HILLS</t>
  </si>
  <si>
    <t>PADUA</t>
  </si>
  <si>
    <t>PAGE MANOR</t>
  </si>
  <si>
    <t>PAGET</t>
  </si>
  <si>
    <t>PAGETOWN</t>
  </si>
  <si>
    <t>PAGEVILLE</t>
  </si>
  <si>
    <t>PAINESVILLE</t>
  </si>
  <si>
    <t>PAINESVILLE TOWNSHIP</t>
  </si>
  <si>
    <t>PAINESVILLE ON-THE-LAKE</t>
  </si>
  <si>
    <t>PAINTER CREEK</t>
  </si>
  <si>
    <t>PAINTERSVILLE</t>
  </si>
  <si>
    <t>PAINT VALLEY</t>
  </si>
  <si>
    <t>PALERMO</t>
  </si>
  <si>
    <t>PALESTINE</t>
  </si>
  <si>
    <t>PALMER TOWNSHIP</t>
  </si>
  <si>
    <t>PALMYRA</t>
  </si>
  <si>
    <t>PALMYRA TOWNSHIP</t>
  </si>
  <si>
    <t>PALOS</t>
  </si>
  <si>
    <t>PANCOASTBURG</t>
  </si>
  <si>
    <t>PANDORA</t>
  </si>
  <si>
    <t>PANHANDLE</t>
  </si>
  <si>
    <t>PANHANDLE CORNERS</t>
  </si>
  <si>
    <t>PANSY</t>
  </si>
  <si>
    <t>PARADISE</t>
  </si>
  <si>
    <t>PARADISE HILL</t>
  </si>
  <si>
    <t>PARIS TOWNSHIP</t>
  </si>
  <si>
    <t>PARIS</t>
  </si>
  <si>
    <t>PARKERTOWN</t>
  </si>
  <si>
    <t>PARK LAYNE</t>
  </si>
  <si>
    <t>PARKMAN</t>
  </si>
  <si>
    <t>PARKMAN TOWNSHIP</t>
  </si>
  <si>
    <t>PARK PLACE</t>
  </si>
  <si>
    <t>PARK RIDGE ACRES</t>
  </si>
  <si>
    <t>PARKS MILLS</t>
  </si>
  <si>
    <t>PARLETT</t>
  </si>
  <si>
    <t>PARMA</t>
  </si>
  <si>
    <t>PARMA HEIGHTS</t>
  </si>
  <si>
    <t>PARRAL</t>
  </si>
  <si>
    <t>PARROTT</t>
  </si>
  <si>
    <t>PASADENA</t>
  </si>
  <si>
    <t>PASCO</t>
  </si>
  <si>
    <t>PATASKALA</t>
  </si>
  <si>
    <t>PATMOS</t>
  </si>
  <si>
    <t>PATRIOT</t>
  </si>
  <si>
    <t>PATTEN MILLS</t>
  </si>
  <si>
    <t>PATTERSON TOWNSHIP</t>
  </si>
  <si>
    <t>PATTERSON</t>
  </si>
  <si>
    <t>PATTERSONVILLE</t>
  </si>
  <si>
    <t>PATTONSVILLE</t>
  </si>
  <si>
    <t>PATTYTOWN</t>
  </si>
  <si>
    <t>PAULDING</t>
  </si>
  <si>
    <t>PAULDING TOWNSHIP</t>
  </si>
  <si>
    <t>PAVONIA</t>
  </si>
  <si>
    <t>PAWNEE</t>
  </si>
  <si>
    <t>PAXTON TOWNSHIP</t>
  </si>
  <si>
    <t>PAYNE</t>
  </si>
  <si>
    <t>PAYNES CORNER</t>
  </si>
  <si>
    <t>PEASE TOWNSHIP</t>
  </si>
  <si>
    <t>PEBBLE TOWNSHIP</t>
  </si>
  <si>
    <t>PECK</t>
  </si>
  <si>
    <t>PECKS CORNERS</t>
  </si>
  <si>
    <t>PEDRO</t>
  </si>
  <si>
    <t>PEEBLES</t>
  </si>
  <si>
    <t>PEE PEE TOWNSHIP</t>
  </si>
  <si>
    <t>PEKIN</t>
  </si>
  <si>
    <t>PEMBERTON</t>
  </si>
  <si>
    <t>PEMBERVILLE</t>
  </si>
  <si>
    <t>PENFIELD</t>
  </si>
  <si>
    <t>PENFIELD TOWNSHIP</t>
  </si>
  <si>
    <t>PENFIELD JUNCTION</t>
  </si>
  <si>
    <t>PENIEL</t>
  </si>
  <si>
    <t>PENINSULA</t>
  </si>
  <si>
    <t>PENN TOWNSHIP</t>
  </si>
  <si>
    <t>PENNSVILLE</t>
  </si>
  <si>
    <t>PEOLI</t>
  </si>
  <si>
    <t>PEPPER PIKE</t>
  </si>
  <si>
    <t>PERINTOWN</t>
  </si>
  <si>
    <t>PERKINS TOWNSHIP</t>
  </si>
  <si>
    <t>PERKINS CORNERS</t>
  </si>
  <si>
    <t>PERRY TOWNSHIP</t>
  </si>
  <si>
    <t>PERRY</t>
  </si>
  <si>
    <t>PERRY ADDITION</t>
  </si>
  <si>
    <t>PERRY CENTER</t>
  </si>
  <si>
    <t>PERRY HEIGHTS</t>
  </si>
  <si>
    <t>PERRYSBURG</t>
  </si>
  <si>
    <t>PERRYSBURG TOWNSHIP</t>
  </si>
  <si>
    <t>PERRYSVILLE</t>
  </si>
  <si>
    <t>PERRYTON</t>
  </si>
  <si>
    <t>PERU</t>
  </si>
  <si>
    <t>PERU TOWNSHIP</t>
  </si>
  <si>
    <t>PETERSBURG</t>
  </si>
  <si>
    <t>PETERSBURGH</t>
  </si>
  <si>
    <t>PETREA</t>
  </si>
  <si>
    <t>PETROLEUM</t>
  </si>
  <si>
    <t>PETTISVILLE</t>
  </si>
  <si>
    <t>PHALANX</t>
  </si>
  <si>
    <t>PHARISBURG</t>
  </si>
  <si>
    <t>PHEASANT RUN</t>
  </si>
  <si>
    <t>PHERSON</t>
  </si>
  <si>
    <t>PHILLIPSBURG</t>
  </si>
  <si>
    <t>PHILO</t>
  </si>
  <si>
    <t>PHILOTHEA</t>
  </si>
  <si>
    <t>PHONETON</t>
  </si>
  <si>
    <t>PICKAWAY TOWNSHIP</t>
  </si>
  <si>
    <t>PICKERINGTON</t>
  </si>
  <si>
    <t>PICKRELLTOWN</t>
  </si>
  <si>
    <t>PIEDMONT</t>
  </si>
  <si>
    <t>PIERCE TOWNSHIP</t>
  </si>
  <si>
    <t>PIERPONT</t>
  </si>
  <si>
    <t>PIERPONT TOWNSHIP</t>
  </si>
  <si>
    <t>PIGEON CREEK</t>
  </si>
  <si>
    <t>PIGEON RUN</t>
  </si>
  <si>
    <t>PIGEYE</t>
  </si>
  <si>
    <t>PIGTOWN</t>
  </si>
  <si>
    <t>PIKE TOWNSHIP</t>
  </si>
  <si>
    <t>PIKETON</t>
  </si>
  <si>
    <t>PIKEVILLE</t>
  </si>
  <si>
    <t>PINE GAP</t>
  </si>
  <si>
    <t>PINE GROVE</t>
  </si>
  <si>
    <t>PINEGROVE</t>
  </si>
  <si>
    <t>PINEHURST</t>
  </si>
  <si>
    <t>PINE VALLEY</t>
  </si>
  <si>
    <t>PINEY FORK</t>
  </si>
  <si>
    <t>PINHOOK</t>
  </si>
  <si>
    <t>PINK</t>
  </si>
  <si>
    <t>PINKERMAN</t>
  </si>
  <si>
    <t>PIONEER</t>
  </si>
  <si>
    <t>PIPESVILLE</t>
  </si>
  <si>
    <t>PISGAH</t>
  </si>
  <si>
    <t>PITCHIN</t>
  </si>
  <si>
    <t>PITSBURG</t>
  </si>
  <si>
    <t>PITT TOWNSHIP</t>
  </si>
  <si>
    <t>PITTSBURGH JUNCTION</t>
  </si>
  <si>
    <t>PITTSFIELD</t>
  </si>
  <si>
    <t>PITTSFIELD TOWNSHIP</t>
  </si>
  <si>
    <t>PLACID MEADOWS</t>
  </si>
  <si>
    <t>PLAIN TOWNSHIP</t>
  </si>
  <si>
    <t>PLAIN CITY</t>
  </si>
  <si>
    <t>PLAINFIELD</t>
  </si>
  <si>
    <t>PLAINVIEW</t>
  </si>
  <si>
    <t>PLAINVILLE</t>
  </si>
  <si>
    <t>PLANKTON</t>
  </si>
  <si>
    <t>PLANKTOWN</t>
  </si>
  <si>
    <t>PLANO</t>
  </si>
  <si>
    <t>PLANTS</t>
  </si>
  <si>
    <t>PLANTSVILLE</t>
  </si>
  <si>
    <t>PLATFORM</t>
  </si>
  <si>
    <t>PLATTSBURG</t>
  </si>
  <si>
    <t>PLATTSVILLE</t>
  </si>
  <si>
    <t>PLEASANT TOWNSHIP</t>
  </si>
  <si>
    <t>PLEASANT BEND</t>
  </si>
  <si>
    <t>PLEASANT CITY</t>
  </si>
  <si>
    <t>PLEASANT CORNERS</t>
  </si>
  <si>
    <t>PLEASANT GROVE</t>
  </si>
  <si>
    <t>PLEASANT HEIGHTS</t>
  </si>
  <si>
    <t>PLEASANT HILL</t>
  </si>
  <si>
    <t>PLEASANT HILLS</t>
  </si>
  <si>
    <t>PLEASANT HOME</t>
  </si>
  <si>
    <t>PLEASANTON</t>
  </si>
  <si>
    <t>PLEASANT PLAIN</t>
  </si>
  <si>
    <t>PLEASANT RIDGE</t>
  </si>
  <si>
    <t>PLEASANT RUN</t>
  </si>
  <si>
    <t>PLEASANT RUN FARM</t>
  </si>
  <si>
    <t>PLEASANT VALLEY</t>
  </si>
  <si>
    <t>PLEASANT VIEW</t>
  </si>
  <si>
    <t>PLEASANTVILLE</t>
  </si>
  <si>
    <t>PLUMWOOD</t>
  </si>
  <si>
    <t>PLYMOUTH TOWNSHIP</t>
  </si>
  <si>
    <t>PLYMOUTH</t>
  </si>
  <si>
    <t>PLYMOUTH CENTER</t>
  </si>
  <si>
    <t>POAST TOWN</t>
  </si>
  <si>
    <t>POAST TOWN HEIGHTS</t>
  </si>
  <si>
    <t>POE</t>
  </si>
  <si>
    <t>POINT ISABEL</t>
  </si>
  <si>
    <t>POINT PLACE</t>
  </si>
  <si>
    <t>POINT PLEASANT</t>
  </si>
  <si>
    <t>POINT ROCK</t>
  </si>
  <si>
    <t>POINTVIEW</t>
  </si>
  <si>
    <t>POLAND</t>
  </si>
  <si>
    <t>POLAND TOWNSHIP</t>
  </si>
  <si>
    <t>POLAND CENTER</t>
  </si>
  <si>
    <t>POLK</t>
  </si>
  <si>
    <t>POLK TOWNSHIP</t>
  </si>
  <si>
    <t>POLKADOTTE</t>
  </si>
  <si>
    <t>POLO</t>
  </si>
  <si>
    <t>POND RUN</t>
  </si>
  <si>
    <t>PONTIAC</t>
  </si>
  <si>
    <t>POPLAR GROVE</t>
  </si>
  <si>
    <t>POPLAR RIDGE</t>
  </si>
  <si>
    <t>PORTAGE TOWNSHIP</t>
  </si>
  <si>
    <t>PORTAGE</t>
  </si>
  <si>
    <t>PORTAGE LAKES</t>
  </si>
  <si>
    <t>PORTER TOWNSHIP</t>
  </si>
  <si>
    <t>PORTER</t>
  </si>
  <si>
    <t>PORTERFIELD</t>
  </si>
  <si>
    <t>PORTERSVILLE</t>
  </si>
  <si>
    <t>PORT HOMER</t>
  </si>
  <si>
    <t>PORT JEFFERSON</t>
  </si>
  <si>
    <t>PORTLAND</t>
  </si>
  <si>
    <t>PORT UNION</t>
  </si>
  <si>
    <t>PORT WILLIAM</t>
  </si>
  <si>
    <t>POSTBOY</t>
  </si>
  <si>
    <t>POST TOWN</t>
  </si>
  <si>
    <t>POTSDAM</t>
  </si>
  <si>
    <t>POTTERSBURG</t>
  </si>
  <si>
    <t>POTTERY ADDITION</t>
  </si>
  <si>
    <t>POULTON</t>
  </si>
  <si>
    <t>POWELL</t>
  </si>
  <si>
    <t>POWELLSVILLE</t>
  </si>
  <si>
    <t>POWERS</t>
  </si>
  <si>
    <t>POWHATAN POINT</t>
  </si>
  <si>
    <t>POWHATTAN</t>
  </si>
  <si>
    <t>PRATTS</t>
  </si>
  <si>
    <t>PRATTS FORK</t>
  </si>
  <si>
    <t>PRATTSVILLE</t>
  </si>
  <si>
    <t>PRAVO</t>
  </si>
  <si>
    <t>PRENTISS</t>
  </si>
  <si>
    <t>PRESTON ADDITION</t>
  </si>
  <si>
    <t>PRICE HILL</t>
  </si>
  <si>
    <t>PRICETOWN</t>
  </si>
  <si>
    <t>PRIDE</t>
  </si>
  <si>
    <t>PRIMROSE</t>
  </si>
  <si>
    <t>PRINCETON</t>
  </si>
  <si>
    <t>PRITCHARD</t>
  </si>
  <si>
    <t>PROCTORVILLE</t>
  </si>
  <si>
    <t>PROSPECT</t>
  </si>
  <si>
    <t>PROSPECT TOWNSHIP</t>
  </si>
  <si>
    <t>PROVIDENCE TOWNSHIP</t>
  </si>
  <si>
    <t>PROVIDENT</t>
  </si>
  <si>
    <t>PULASKI</t>
  </si>
  <si>
    <t>PULASKI TOWNSHIP</t>
  </si>
  <si>
    <t>PULASKIVILLE</t>
  </si>
  <si>
    <t>PULTNEY TOWNSHIP</t>
  </si>
  <si>
    <t>PURITAN</t>
  </si>
  <si>
    <t>PURITY</t>
  </si>
  <si>
    <t>PUSHETA TOWNSHIP</t>
  </si>
  <si>
    <t>PUT-IN-BAY</t>
  </si>
  <si>
    <t>PUT-IN-BAY TOWNSHIP</t>
  </si>
  <si>
    <t>PYRMONT</t>
  </si>
  <si>
    <t>PYRO</t>
  </si>
  <si>
    <t>QUAKER CITY</t>
  </si>
  <si>
    <t>QUALEY</t>
  </si>
  <si>
    <t>QUEEN ACRES</t>
  </si>
  <si>
    <t>QUEENSBORO</t>
  </si>
  <si>
    <t>QUINCY</t>
  </si>
  <si>
    <t>RACCOON TOWNSHIP</t>
  </si>
  <si>
    <t>RACCOON ISLAND</t>
  </si>
  <si>
    <t>RACINE</t>
  </si>
  <si>
    <t>RADCLIFF</t>
  </si>
  <si>
    <t>RADNOR</t>
  </si>
  <si>
    <t>RADNOR TOWNSHIP</t>
  </si>
  <si>
    <t>RAGERSVILLE</t>
  </si>
  <si>
    <t>RAIDERS RUN</t>
  </si>
  <si>
    <t>RAINBOW</t>
  </si>
  <si>
    <t>RAIN ROCK</t>
  </si>
  <si>
    <t>RAINSBORO</t>
  </si>
  <si>
    <t>RAMSEY</t>
  </si>
  <si>
    <t>RANDALL TERRACE</t>
  </si>
  <si>
    <t>RANDLE</t>
  </si>
  <si>
    <t>RANDOLPH TOWNSHIP (HISTORICAL)</t>
  </si>
  <si>
    <t>RANDOLPH</t>
  </si>
  <si>
    <t>RANDOLPH TOWNSHIP</t>
  </si>
  <si>
    <t>RANGE</t>
  </si>
  <si>
    <t>RANGE TOWNSHIP</t>
  </si>
  <si>
    <t>RANSOM</t>
  </si>
  <si>
    <t>RAPPSBURG</t>
  </si>
  <si>
    <t>RARDEN</t>
  </si>
  <si>
    <t>RARDEN TOWNSHIP</t>
  </si>
  <si>
    <t>RATCHFORD</t>
  </si>
  <si>
    <t>RATCLIFFBURG</t>
  </si>
  <si>
    <t>RATHBONE</t>
  </si>
  <si>
    <t>RAVENNA</t>
  </si>
  <si>
    <t>RAVENNA TOWNSHIP</t>
  </si>
  <si>
    <t>RAWSON</t>
  </si>
  <si>
    <t>RAYLAND</t>
  </si>
  <si>
    <t>RAYMOND</t>
  </si>
  <si>
    <t>RAYS CORNERS</t>
  </si>
  <si>
    <t>READING</t>
  </si>
  <si>
    <t>READING TOWNSHIP</t>
  </si>
  <si>
    <t>RECOVERY TOWNSHIP</t>
  </si>
  <si>
    <t>RED BANK</t>
  </si>
  <si>
    <t>REDBIRD</t>
  </si>
  <si>
    <t>REDBUSH</t>
  </si>
  <si>
    <t>RED DIAMOND</t>
  </si>
  <si>
    <t>REDFIELD</t>
  </si>
  <si>
    <t>REDHAW</t>
  </si>
  <si>
    <t>RED LION</t>
  </si>
  <si>
    <t>REDOAK</t>
  </si>
  <si>
    <t>RED RIVER</t>
  </si>
  <si>
    <t>REDTOWN</t>
  </si>
  <si>
    <t>REED TOWNSHIP</t>
  </si>
  <si>
    <t>REEDS</t>
  </si>
  <si>
    <t>REEDSBURG</t>
  </si>
  <si>
    <t>REEDS MILL</t>
  </si>
  <si>
    <t>REEDSVILLE</t>
  </si>
  <si>
    <t>REEDTOWN</t>
  </si>
  <si>
    <t>REEDURBAN</t>
  </si>
  <si>
    <t>REESVILLE</t>
  </si>
  <si>
    <t>REFORM</t>
  </si>
  <si>
    <t>REGINA HEIGHTS</t>
  </si>
  <si>
    <t>REHM</t>
  </si>
  <si>
    <t>REHOBOTH</t>
  </si>
  <si>
    <t>REILY</t>
  </si>
  <si>
    <t>REILY TOWNSHIP</t>
  </si>
  <si>
    <t>REINERSVILLE</t>
  </si>
  <si>
    <t>RELIEF</t>
  </si>
  <si>
    <t>REMINDERVILLE</t>
  </si>
  <si>
    <t>REMINGTON</t>
  </si>
  <si>
    <t>REMSEN CORNERS</t>
  </si>
  <si>
    <t>RENDCOMB JUNCTION</t>
  </si>
  <si>
    <t>RENDVILLE</t>
  </si>
  <si>
    <t>RENICK</t>
  </si>
  <si>
    <t>RENICK JUNCTION</t>
  </si>
  <si>
    <t>RENO</t>
  </si>
  <si>
    <t>RENO BEACH</t>
  </si>
  <si>
    <t>RENROCK</t>
  </si>
  <si>
    <t>REPUBLIC</t>
  </si>
  <si>
    <t>RESACA</t>
  </si>
  <si>
    <t>RESIDENCE PARK</t>
  </si>
  <si>
    <t>REVENGE</t>
  </si>
  <si>
    <t>REXFORD</t>
  </si>
  <si>
    <t>REYNOLDS</t>
  </si>
  <si>
    <t>REYNOLDSBURG</t>
  </si>
  <si>
    <t>REYNOLDSBURG CITY TOWNSHIP</t>
  </si>
  <si>
    <t>REYNOLDS CORNERS</t>
  </si>
  <si>
    <t>RIALTO</t>
  </si>
  <si>
    <t>RICE</t>
  </si>
  <si>
    <t>RICE TOWNSHIP</t>
  </si>
  <si>
    <t>RICELAND</t>
  </si>
  <si>
    <t>RICES MILLS</t>
  </si>
  <si>
    <t>RICHEY</t>
  </si>
  <si>
    <t>RICHFIELD TOWNSHIP</t>
  </si>
  <si>
    <t>RICHFIELD</t>
  </si>
  <si>
    <t>RICHFIELD CENTER</t>
  </si>
  <si>
    <t>RICHFIELD HEIGHTS</t>
  </si>
  <si>
    <t>RICH HILL</t>
  </si>
  <si>
    <t>RICH HILL TOWNSHIP</t>
  </si>
  <si>
    <t>RICHLAND</t>
  </si>
  <si>
    <t>RICHMOND TOWNSHIP</t>
  </si>
  <si>
    <t>RICHMOND</t>
  </si>
  <si>
    <t>RICHMOND CENTER</t>
  </si>
  <si>
    <t>RICHMOND DALE</t>
  </si>
  <si>
    <t>RICHMOND HEIGHTS</t>
  </si>
  <si>
    <t>RICHVILLE</t>
  </si>
  <si>
    <t>RICHWOOD</t>
  </si>
  <si>
    <t>RICKARD ACRES</t>
  </si>
  <si>
    <t>RIDGE TOWNSHIP</t>
  </si>
  <si>
    <t>RIDGEFIELD TOWNSHIP</t>
  </si>
  <si>
    <t>RIDGELAND</t>
  </si>
  <si>
    <t>RIDGETON</t>
  </si>
  <si>
    <t>RIDGEVILLE TOWNSHIP</t>
  </si>
  <si>
    <t>RIDGEVILLE</t>
  </si>
  <si>
    <t>RIDGEVILLE CORNERS</t>
  </si>
  <si>
    <t>RIDGEWAY</t>
  </si>
  <si>
    <t>RIDGEWOOD HEIGHTS</t>
  </si>
  <si>
    <t>RIGGS</t>
  </si>
  <si>
    <t>RIGRISH ADDITION</t>
  </si>
  <si>
    <t>RILEY TOWNSHIP</t>
  </si>
  <si>
    <t>RIMER</t>
  </si>
  <si>
    <t>RINARD MILLS</t>
  </si>
  <si>
    <t>RINGGOLD</t>
  </si>
  <si>
    <t>RIO GRANDE</t>
  </si>
  <si>
    <t>RIPLEY</t>
  </si>
  <si>
    <t>RISINGSUN</t>
  </si>
  <si>
    <t>RITTENOURS</t>
  </si>
  <si>
    <t>RITTMAN</t>
  </si>
  <si>
    <t>RIVER CORNERS</t>
  </si>
  <si>
    <t>RIVERDALE</t>
  </si>
  <si>
    <t>RIVEREDGE TOWNSHIP (HISTORICAL)</t>
  </si>
  <si>
    <t>RIVER EDGE</t>
  </si>
  <si>
    <t>RIVERLEA</t>
  </si>
  <si>
    <t>RIVERSIDE</t>
  </si>
  <si>
    <t>RIVERSIDE PARK</t>
  </si>
  <si>
    <t>RIVER STYX</t>
  </si>
  <si>
    <t>RIVERVIEW</t>
  </si>
  <si>
    <t>RIVERVIEW HEIGHTS</t>
  </si>
  <si>
    <t>RIVIERA PARK</t>
  </si>
  <si>
    <t>RIX MILLS</t>
  </si>
  <si>
    <t>ROACHESTER</t>
  </si>
  <si>
    <t>ROACHTON</t>
  </si>
  <si>
    <t>ROADS</t>
  </si>
  <si>
    <t>ROAMING SHORES</t>
  </si>
  <si>
    <t>ROANOAKE</t>
  </si>
  <si>
    <t>ROBERTS</t>
  </si>
  <si>
    <t>ROBERTSBURG</t>
  </si>
  <si>
    <t>ROBERTSVILLE</t>
  </si>
  <si>
    <t>ROBINS</t>
  </si>
  <si>
    <t>ROBTOWN</t>
  </si>
  <si>
    <t>ROBYVILLE</t>
  </si>
  <si>
    <t>ROCHESTER</t>
  </si>
  <si>
    <t>ROCHESTER TOWNSHIP</t>
  </si>
  <si>
    <t>ROCK</t>
  </si>
  <si>
    <t>ROCKAWAY</t>
  </si>
  <si>
    <t>ROCKBRIDGE</t>
  </si>
  <si>
    <t>ROCK CAMP</t>
  </si>
  <si>
    <t>ROCK CREEK</t>
  </si>
  <si>
    <t>ROCK CUT</t>
  </si>
  <si>
    <t>ROCKDALE</t>
  </si>
  <si>
    <t>ROCKFORD</t>
  </si>
  <si>
    <t>ROCK HAVEN PARK</t>
  </si>
  <si>
    <t>ROCK HILL</t>
  </si>
  <si>
    <t>ROCKLAND</t>
  </si>
  <si>
    <t>ROCK MILL</t>
  </si>
  <si>
    <t>ROCK MILLS</t>
  </si>
  <si>
    <t>ROCKPORT</t>
  </si>
  <si>
    <t>ROCK SPRINGS</t>
  </si>
  <si>
    <t>ROCKVILLE</t>
  </si>
  <si>
    <t>ROCK WAY</t>
  </si>
  <si>
    <t>ROCKWOOD</t>
  </si>
  <si>
    <t>ROCKY FORK POINT</t>
  </si>
  <si>
    <t>ROCKY HILL</t>
  </si>
  <si>
    <t>ROCKY RIDGE</t>
  </si>
  <si>
    <t>ROCKY RIVER</t>
  </si>
  <si>
    <t>RODNEY</t>
  </si>
  <si>
    <t>ROGERS</t>
  </si>
  <si>
    <t>ROKEBY LOCK</t>
  </si>
  <si>
    <t>ROLANDUS</t>
  </si>
  <si>
    <t>ROLLERSVILLE</t>
  </si>
  <si>
    <t>ROLLING KNOLLS ESTATE</t>
  </si>
  <si>
    <t>ROME</t>
  </si>
  <si>
    <t>ROME TOWNSHIP</t>
  </si>
  <si>
    <t>SCIPIO</t>
  </si>
  <si>
    <t>ROMOHR ACRES</t>
  </si>
  <si>
    <t>ROOTSTOWN</t>
  </si>
  <si>
    <t>ROOTSTOWN TOWNSHIP</t>
  </si>
  <si>
    <t>ROSCOE</t>
  </si>
  <si>
    <t>ROSE TOWNSHIP</t>
  </si>
  <si>
    <t>ROSEDALE</t>
  </si>
  <si>
    <t>ROSE FARM</t>
  </si>
  <si>
    <t>ROSE HILL</t>
  </si>
  <si>
    <t>ROSELAND</t>
  </si>
  <si>
    <t>ROSE LAWN</t>
  </si>
  <si>
    <t>ROSELAWN</t>
  </si>
  <si>
    <t>ROSELMS</t>
  </si>
  <si>
    <t>ROSEMONT</t>
  </si>
  <si>
    <t>ROSEMOOR</t>
  </si>
  <si>
    <t>ROSEMOUNT</t>
  </si>
  <si>
    <t>ROSEVILLE</t>
  </si>
  <si>
    <t>ROSEWOOD</t>
  </si>
  <si>
    <t>ROSS</t>
  </si>
  <si>
    <t>ROSS TOWNSHIP</t>
  </si>
  <si>
    <t>ROSSBURG</t>
  </si>
  <si>
    <t>ROSSEAU</t>
  </si>
  <si>
    <t>ROSSFORD</t>
  </si>
  <si>
    <t>ROSSMOYNE</t>
  </si>
  <si>
    <t>ROSWELL</t>
  </si>
  <si>
    <t>ROUND BOTTOM</t>
  </si>
  <si>
    <t>ROUNDHEAD</t>
  </si>
  <si>
    <t>ROUNDHEAD TOWNSHIP</t>
  </si>
  <si>
    <t>ROUSCULP</t>
  </si>
  <si>
    <t>ROWENTON</t>
  </si>
  <si>
    <t>ROWLESVILLE</t>
  </si>
  <si>
    <t>ROWSBURG</t>
  </si>
  <si>
    <t>ROXABELL</t>
  </si>
  <si>
    <t>ROXANNA</t>
  </si>
  <si>
    <t>ROXBURY</t>
  </si>
  <si>
    <t>ROYALTON</t>
  </si>
  <si>
    <t>ROYALTON TOWNSHIP</t>
  </si>
  <si>
    <t>ROYERSVILLE</t>
  </si>
  <si>
    <t>RUBYVILLE</t>
  </si>
  <si>
    <t>RUDOLPH</t>
  </si>
  <si>
    <t>RUGGLES</t>
  </si>
  <si>
    <t>RUGGLES TOWNSHIP</t>
  </si>
  <si>
    <t>RUGGLES BEACH</t>
  </si>
  <si>
    <t>RUMLEY TOWNSHIP</t>
  </si>
  <si>
    <t>RUMLEY</t>
  </si>
  <si>
    <t>RUPELS</t>
  </si>
  <si>
    <t>RUPERT</t>
  </si>
  <si>
    <t>RURALDALE</t>
  </si>
  <si>
    <t>RUSH TOWNSHIP</t>
  </si>
  <si>
    <t>RUSH CREEK TOWNSHIP</t>
  </si>
  <si>
    <t>RUSHCREEK TOWNSHIP</t>
  </si>
  <si>
    <t>RUSHMORE</t>
  </si>
  <si>
    <t>RUSH RUN</t>
  </si>
  <si>
    <t>RUSHSYLVANIA</t>
  </si>
  <si>
    <t>RUSHTOWN</t>
  </si>
  <si>
    <t>RUSHVILLE</t>
  </si>
  <si>
    <t>RUSSELL TOWNSHIP</t>
  </si>
  <si>
    <t>RUSSELL</t>
  </si>
  <si>
    <t>RUSSELL CENTER</t>
  </si>
  <si>
    <t>RUSSELLS</t>
  </si>
  <si>
    <t>RUSSELLVILLE</t>
  </si>
  <si>
    <t>RUSSIA</t>
  </si>
  <si>
    <t>RUTLAND</t>
  </si>
  <si>
    <t>RUTLAND TOWNSHIP</t>
  </si>
  <si>
    <t>RYAN</t>
  </si>
  <si>
    <t>RYE BEACH</t>
  </si>
  <si>
    <t>SABINA</t>
  </si>
  <si>
    <t>SAGAMORE HILLS</t>
  </si>
  <si>
    <t>SAGAMORE HILLS TOWNSHIP</t>
  </si>
  <si>
    <t>SAINT ALBANS TOWNSHIP</t>
  </si>
  <si>
    <t>SAINT BERNARD</t>
  </si>
  <si>
    <t>SAINT CHARLES</t>
  </si>
  <si>
    <t>SAINT CLAIR TOWNSHIP</t>
  </si>
  <si>
    <t>SAINT CLAIRSVILLE</t>
  </si>
  <si>
    <t>SAINT HENRY</t>
  </si>
  <si>
    <t>SAINT JAMES</t>
  </si>
  <si>
    <t>SAINT JOE</t>
  </si>
  <si>
    <t>SAINT JOHNS</t>
  </si>
  <si>
    <t>SAINT JOSEPH</t>
  </si>
  <si>
    <t>SAINT JOSEPH TOWNSHIP</t>
  </si>
  <si>
    <t>SAINT LOUISVILLE</t>
  </si>
  <si>
    <t>SAINT MARTIN</t>
  </si>
  <si>
    <t>SAINT MARYS</t>
  </si>
  <si>
    <t>SAINT MARYS TOWNSHIP</t>
  </si>
  <si>
    <t>SAINT PARIS</t>
  </si>
  <si>
    <t>SAINT PAUL</t>
  </si>
  <si>
    <t>SAINT PETER</t>
  </si>
  <si>
    <t>SAINT ROSA</t>
  </si>
  <si>
    <t>SAINT STEPHENS</t>
  </si>
  <si>
    <t>SALEM TOWNSHIP</t>
  </si>
  <si>
    <t>SALEM CENTER</t>
  </si>
  <si>
    <t>SALEM HEIGHTS</t>
  </si>
  <si>
    <t>SALESVILLE</t>
  </si>
  <si>
    <t>SALINE TOWNSHIP</t>
  </si>
  <si>
    <t>SALINEVILLE</t>
  </si>
  <si>
    <t>SALISBURY TOWNSHIP</t>
  </si>
  <si>
    <t>SALOW CORNERS</t>
  </si>
  <si>
    <t>SALTAIR</t>
  </si>
  <si>
    <t>SALTCREEK TOWNSHIP</t>
  </si>
  <si>
    <t>SALTILLO</t>
  </si>
  <si>
    <t>SALT LICK TOWNSHIP</t>
  </si>
  <si>
    <t>SALT ROCK TOWNSHIP</t>
  </si>
  <si>
    <t>SALT RUN</t>
  </si>
  <si>
    <t>SAMANTHA</t>
  </si>
  <si>
    <t>SAMPLEVILLE</t>
  </si>
  <si>
    <t>SAND BEACH</t>
  </si>
  <si>
    <t>SANDBURR CORNERS</t>
  </si>
  <si>
    <t>SAND FORK</t>
  </si>
  <si>
    <t>SAND HILL</t>
  </si>
  <si>
    <t>SANDHILL</t>
  </si>
  <si>
    <t>SAND RUN</t>
  </si>
  <si>
    <t>SAND RUN JUNCTION</t>
  </si>
  <si>
    <t>SANDUSKY TOWNSHIP</t>
  </si>
  <si>
    <t>SANDUSKY SOUTH</t>
  </si>
  <si>
    <t>SANDY TOWNSHIP</t>
  </si>
  <si>
    <t>SANDY CORNERS</t>
  </si>
  <si>
    <t>SANDY HILL</t>
  </si>
  <si>
    <t>SANDY SPRINGS</t>
  </si>
  <si>
    <t>SANDYVILLE</t>
  </si>
  <si>
    <t>SAN MARGHERITA</t>
  </si>
  <si>
    <t>SANTA FE</t>
  </si>
  <si>
    <t>SAN TOY</t>
  </si>
  <si>
    <t>SARAHSVILLE</t>
  </si>
  <si>
    <t>SARDINIA</t>
  </si>
  <si>
    <t>SARDIS</t>
  </si>
  <si>
    <t>SARGENTS</t>
  </si>
  <si>
    <t>SAUNDERSVILLE</t>
  </si>
  <si>
    <t>SAVAGEVILLE</t>
  </si>
  <si>
    <t>SAVANNAH</t>
  </si>
  <si>
    <t>SAVONA</t>
  </si>
  <si>
    <t>SAWYERWOOD</t>
  </si>
  <si>
    <t>SAYBROOK</t>
  </si>
  <si>
    <t>SAYBROOK TOWNSHIP</t>
  </si>
  <si>
    <t>SAYBROOK-ON-THE-LAKE</t>
  </si>
  <si>
    <t>SAYLER PARK</t>
  </si>
  <si>
    <t>SAYRE</t>
  </si>
  <si>
    <t>SCHLEGELS GROVE</t>
  </si>
  <si>
    <t>SCHLEY</t>
  </si>
  <si>
    <t>SCHOENBRUNN</t>
  </si>
  <si>
    <t>SCHOOLEY</t>
  </si>
  <si>
    <t>SCHRADER</t>
  </si>
  <si>
    <t>SCHUMM</t>
  </si>
  <si>
    <t>SCIENCE HILL</t>
  </si>
  <si>
    <t>SCIENCEVILLE</t>
  </si>
  <si>
    <t>SCIO</t>
  </si>
  <si>
    <t>SCIOTO</t>
  </si>
  <si>
    <t>SCIOTO TOWNSHIP</t>
  </si>
  <si>
    <t>SCIOTODALE</t>
  </si>
  <si>
    <t>SCIOTO FURNACE</t>
  </si>
  <si>
    <t>SCIOTO VILLAGE</t>
  </si>
  <si>
    <t>SCIOTOVILLE</t>
  </si>
  <si>
    <t>SCIPIO TOWNSHIP</t>
  </si>
  <si>
    <t>SCOTCH RIDGE</t>
  </si>
  <si>
    <t>SCOTLAND</t>
  </si>
  <si>
    <t>SCOTT TOWNSHIP</t>
  </si>
  <si>
    <t>SCOTT</t>
  </si>
  <si>
    <t>SCOTT CORNERS</t>
  </si>
  <si>
    <t>SCOTTOWN</t>
  </si>
  <si>
    <t>SCOTTS CROSSING</t>
  </si>
  <si>
    <t>SCROGGSFIELD</t>
  </si>
  <si>
    <t>SCRUB RIDGE</t>
  </si>
  <si>
    <t>SCUDDER</t>
  </si>
  <si>
    <t>SEAL TOWNSHIP</t>
  </si>
  <si>
    <t>SEAL</t>
  </si>
  <si>
    <t>SEAMAN</t>
  </si>
  <si>
    <t>SEAMERSVILLE</t>
  </si>
  <si>
    <t>SEBASTIAN</t>
  </si>
  <si>
    <t>SEBRING</t>
  </si>
  <si>
    <t>SEDAMSVILLE</t>
  </si>
  <si>
    <t>SEDAN</t>
  </si>
  <si>
    <t>SEGO</t>
  </si>
  <si>
    <t>SELMA</t>
  </si>
  <si>
    <t>SEMPLES</t>
  </si>
  <si>
    <t>SENECA TOWNSHIP</t>
  </si>
  <si>
    <t>SENECAVILLE</t>
  </si>
  <si>
    <t>SENIOR</t>
  </si>
  <si>
    <t>SENTINEL</t>
  </si>
  <si>
    <t>SEVEN HILLS</t>
  </si>
  <si>
    <t>SEVEN MILE</t>
  </si>
  <si>
    <t>SEVILLE VILLAGE TOWNSHIP</t>
  </si>
  <si>
    <t>SEWARD</t>
  </si>
  <si>
    <t>SEWELLSVILLE</t>
  </si>
  <si>
    <t>SHACKLETON</t>
  </si>
  <si>
    <t>SHADE</t>
  </si>
  <si>
    <t>SHADEMOORE</t>
  </si>
  <si>
    <t>SHADE RIVER</t>
  </si>
  <si>
    <t>SHADEVILLE</t>
  </si>
  <si>
    <t>SHADY BEND</t>
  </si>
  <si>
    <t>SHADY GLEN</t>
  </si>
  <si>
    <t>SHADY GROVE</t>
  </si>
  <si>
    <t>SHADYSIDE</t>
  </si>
  <si>
    <t>SHAKER HEIGHTS</t>
  </si>
  <si>
    <t>SHALERSVILLE</t>
  </si>
  <si>
    <t>SHALERSVILLE TOWNSHIP</t>
  </si>
  <si>
    <t>SHANDON STATION</t>
  </si>
  <si>
    <t>SHANDON</t>
  </si>
  <si>
    <t>SHANE</t>
  </si>
  <si>
    <t>SHANESVILLE</t>
  </si>
  <si>
    <t>SHANNON</t>
  </si>
  <si>
    <t>SHARON TOWNSHIP</t>
  </si>
  <si>
    <t>SHARON</t>
  </si>
  <si>
    <t>SHARON CENTER</t>
  </si>
  <si>
    <t>SHARONVILLE</t>
  </si>
  <si>
    <t>SHARPEYE</t>
  </si>
  <si>
    <t>SHARPSBURG</t>
  </si>
  <si>
    <t>SHARPS CROSSING</t>
  </si>
  <si>
    <t>SHAUCK</t>
  </si>
  <si>
    <t>SHAWNEE TOWNSHIP</t>
  </si>
  <si>
    <t>SHAWNEE</t>
  </si>
  <si>
    <t>SHAWNEE HILLS</t>
  </si>
  <si>
    <t>SHAWTOWN</t>
  </si>
  <si>
    <t>SHAY</t>
  </si>
  <si>
    <t>SHEFFIELD TOWNSHIP</t>
  </si>
  <si>
    <t>SHEFFIELD</t>
  </si>
  <si>
    <t>SHEFFIELD CENTER</t>
  </si>
  <si>
    <t>SHEFFIELD LAKE</t>
  </si>
  <si>
    <t>SHELL BEACH</t>
  </si>
  <si>
    <t>SHENANDOAH</t>
  </si>
  <si>
    <t>SHEPHERDSTOWN</t>
  </si>
  <si>
    <t>SHERIDAN</t>
  </si>
  <si>
    <t>SHERMAN TOWNSHIP</t>
  </si>
  <si>
    <t>SHERMAN CORNERS</t>
  </si>
  <si>
    <t>SHERRITTS</t>
  </si>
  <si>
    <t>SHERRODSVILLE</t>
  </si>
  <si>
    <t>SHERWOOD</t>
  </si>
  <si>
    <t>SHERWOOD VILLAGE</t>
  </si>
  <si>
    <t>SHILLINGS MILL</t>
  </si>
  <si>
    <t>SHILOH</t>
  </si>
  <si>
    <t>SHILTOWN</t>
  </si>
  <si>
    <t>SHINROCK</t>
  </si>
  <si>
    <t>SHIPP</t>
  </si>
  <si>
    <t>SHIVELY</t>
  </si>
  <si>
    <t>SHIVELY CORNERS</t>
  </si>
  <si>
    <t>SHORELAND</t>
  </si>
  <si>
    <t>SHORT CREEK TOWNSHIP</t>
  </si>
  <si>
    <t>SHORT LINE JUNCTION</t>
  </si>
  <si>
    <t>SHREVE</t>
  </si>
  <si>
    <t>SHUNK</t>
  </si>
  <si>
    <t>SHYVILLE</t>
  </si>
  <si>
    <t>SIGNAL</t>
  </si>
  <si>
    <t>SILICA</t>
  </si>
  <si>
    <t>SILO</t>
  </si>
  <si>
    <t>SILVERCREEK TOWNSHIP</t>
  </si>
  <si>
    <t>SILVER CREEK (HISTORICAL)</t>
  </si>
  <si>
    <t>SILVER LAKE</t>
  </si>
  <si>
    <t>SILVER RUN</t>
  </si>
  <si>
    <t>SILVERTON</t>
  </si>
  <si>
    <t>SIMONS</t>
  </si>
  <si>
    <t>SINKING SPRING</t>
  </si>
  <si>
    <t>SIPPO</t>
  </si>
  <si>
    <t>SIPPO HEIGHTS</t>
  </si>
  <si>
    <t>SITKA</t>
  </si>
  <si>
    <t>SIVERLY</t>
  </si>
  <si>
    <t>SIX CORNERS</t>
  </si>
  <si>
    <t>SIX MILE</t>
  </si>
  <si>
    <t>SIX POINT</t>
  </si>
  <si>
    <t>SIX POINTS</t>
  </si>
  <si>
    <t>SIXTEEN MILE STAND</t>
  </si>
  <si>
    <t>SKEELS CROSSROADS</t>
  </si>
  <si>
    <t>SKIT</t>
  </si>
  <si>
    <t>SKYLINE ACRES</t>
  </si>
  <si>
    <t>SLABTOWN</t>
  </si>
  <si>
    <t>SLATE MILLS</t>
  </si>
  <si>
    <t>SLATER</t>
  </si>
  <si>
    <t>SLATERS</t>
  </si>
  <si>
    <t>SLICKAWAY</t>
  </si>
  <si>
    <t>SLIGO</t>
  </si>
  <si>
    <t>SLOCUM HEIGHTS</t>
  </si>
  <si>
    <t>SLOCUM</t>
  </si>
  <si>
    <t>SLOUGH</t>
  </si>
  <si>
    <t>SMITH TOWNSHIP</t>
  </si>
  <si>
    <t>SMITH CORNERS</t>
  </si>
  <si>
    <t>SMITHFIELD</t>
  </si>
  <si>
    <t>SMITHFIELD TOWNSHIP</t>
  </si>
  <si>
    <t>SMITH MILL</t>
  </si>
  <si>
    <t>SMITHVILLE</t>
  </si>
  <si>
    <t>SMOKETOWN</t>
  </si>
  <si>
    <t>SMOKY CORNERS</t>
  </si>
  <si>
    <t>SMYRNA</t>
  </si>
  <si>
    <t>SNIVELY</t>
  </si>
  <si>
    <t>SNODES</t>
  </si>
  <si>
    <t>SNOWVILLE</t>
  </si>
  <si>
    <t>SNYDERS MILL</t>
  </si>
  <si>
    <t>SNYDERVILLE</t>
  </si>
  <si>
    <t>SOAPTOWN</t>
  </si>
  <si>
    <t>SOCIALVILLE</t>
  </si>
  <si>
    <t>SODOM</t>
  </si>
  <si>
    <t>SOLON</t>
  </si>
  <si>
    <t>SOMERDALE</t>
  </si>
  <si>
    <t>SOMERFORD TOWNSHIP</t>
  </si>
  <si>
    <t>SOMERS TOWNSHIP</t>
  </si>
  <si>
    <t>SOMERSET TOWNSHIP</t>
  </si>
  <si>
    <t>SOMERSET</t>
  </si>
  <si>
    <t>SOMERTON</t>
  </si>
  <si>
    <t>SOMERVILLE</t>
  </si>
  <si>
    <t>SONORA</t>
  </si>
  <si>
    <t>SOUTH AKRON</t>
  </si>
  <si>
    <t>SOUTH AMHERST</t>
  </si>
  <si>
    <t>SOUTH BAY</t>
  </si>
  <si>
    <t>SOUTH BEACH</t>
  </si>
  <si>
    <t>SOUTH BLOOMFIELD TOWNSHIP</t>
  </si>
  <si>
    <t>SOUTH BLOOMFIELD</t>
  </si>
  <si>
    <t>SOUTH BLOOMINGVILLE</t>
  </si>
  <si>
    <t>SOUTH BROOKLYN</t>
  </si>
  <si>
    <t>SOUTH CANAL</t>
  </si>
  <si>
    <t>SOUTH CHARLESTON</t>
  </si>
  <si>
    <t>SOUTH CLIPPINGER</t>
  </si>
  <si>
    <t>SOUTH CONDIT</t>
  </si>
  <si>
    <t>SOUTH DELTA</t>
  </si>
  <si>
    <t>SOUTH EUCLID</t>
  </si>
  <si>
    <t>SOUTH EXCELLO</t>
  </si>
  <si>
    <t>SOUTH HAMILTON</t>
  </si>
  <si>
    <t>SOUTH HIGHLANDS</t>
  </si>
  <si>
    <t>SOUTH HILL PARK</t>
  </si>
  <si>
    <t>SOUTHINGTON</t>
  </si>
  <si>
    <t>SOUTHINGTON TOWNSHIP</t>
  </si>
  <si>
    <t>SOUTH LEBANON</t>
  </si>
  <si>
    <t>SOUTH LOGAN</t>
  </si>
  <si>
    <t>SOUTH LORAIN</t>
  </si>
  <si>
    <t>SOUTH MADISON</t>
  </si>
  <si>
    <t>SOUTH MIDDLETOWN</t>
  </si>
  <si>
    <t>SOUTH MILFORD</t>
  </si>
  <si>
    <t>SOUTH MOUNT VERNON</t>
  </si>
  <si>
    <t>SOUTH NEWBURY</t>
  </si>
  <si>
    <t>SOUTH OLIVE</t>
  </si>
  <si>
    <t>SOUTH PARK</t>
  </si>
  <si>
    <t>SOUTH PERRY</t>
  </si>
  <si>
    <t>SOUTH PLYMOUTH</t>
  </si>
  <si>
    <t>SOUTH POINT</t>
  </si>
  <si>
    <t>SOUTH RUSSELL</t>
  </si>
  <si>
    <t>SOUTH SALEM</t>
  </si>
  <si>
    <t>SOUTH SHORE PARK</t>
  </si>
  <si>
    <t>SOUTH SIDE</t>
  </si>
  <si>
    <t>SOUTH SOLON</t>
  </si>
  <si>
    <t>SOUTH VIENNA</t>
  </si>
  <si>
    <t>SOUTH WARSAW</t>
  </si>
  <si>
    <t>SOUTH WEBSTER</t>
  </si>
  <si>
    <t>SOUTH WOODBURY</t>
  </si>
  <si>
    <t>SOUTHWORTH</t>
  </si>
  <si>
    <t>SOUTH ZANESVILLE</t>
  </si>
  <si>
    <t>SPANKER</t>
  </si>
  <si>
    <t>SPARGURSVILLE</t>
  </si>
  <si>
    <t>SPARTA</t>
  </si>
  <si>
    <t>SPECHT</t>
  </si>
  <si>
    <t>SPEIDEL</t>
  </si>
  <si>
    <t>SPELLACY</t>
  </si>
  <si>
    <t>SPENCER TOWNSHIP</t>
  </si>
  <si>
    <t>SPENCER</t>
  </si>
  <si>
    <t>SPENCERVILLE</t>
  </si>
  <si>
    <t>SPILLER</t>
  </si>
  <si>
    <t>SPORE</t>
  </si>
  <si>
    <t>SPRAGUE</t>
  </si>
  <si>
    <t>SPRATT</t>
  </si>
  <si>
    <t>SPRENG</t>
  </si>
  <si>
    <t>SPRIGG TOWNSHIP</t>
  </si>
  <si>
    <t>SPRINGBORO</t>
  </si>
  <si>
    <t>SPRINGBROOK</t>
  </si>
  <si>
    <t>SPRINGCREEK TOWNSHIP</t>
  </si>
  <si>
    <t>SPRINGDALE</t>
  </si>
  <si>
    <t>SPRINGFIELD TOWNSHIP</t>
  </si>
  <si>
    <t>SPRING GROVE</t>
  </si>
  <si>
    <t>SPRING MEADOWS</t>
  </si>
  <si>
    <t>SPRING MILL</t>
  </si>
  <si>
    <t>SPRING MOUNTAIN</t>
  </si>
  <si>
    <t>SPRINGVALE</t>
  </si>
  <si>
    <t>SPRING VALLEY</t>
  </si>
  <si>
    <t>SPRING VALLEY TOWNSHIP</t>
  </si>
  <si>
    <t>SPRINGVILLE</t>
  </si>
  <si>
    <t>SPRUCEVALE</t>
  </si>
  <si>
    <t>SQUIRES</t>
  </si>
  <si>
    <t>SQUIRREL TOWN</t>
  </si>
  <si>
    <t>STAFFORD</t>
  </si>
  <si>
    <t>STANBERY PARK</t>
  </si>
  <si>
    <t>STANDARDSBURG</t>
  </si>
  <si>
    <t>STANDLEY</t>
  </si>
  <si>
    <t>STANHOPE</t>
  </si>
  <si>
    <t>STANLEY</t>
  </si>
  <si>
    <t>STANLEYVILLE</t>
  </si>
  <si>
    <t>STANWOOD</t>
  </si>
  <si>
    <t>STARBUCKTOWN</t>
  </si>
  <si>
    <t>STARK CORNERS</t>
  </si>
  <si>
    <t>STARR</t>
  </si>
  <si>
    <t>STARR TOWNSHIP</t>
  </si>
  <si>
    <t>STARRS CORNERS</t>
  </si>
  <si>
    <t>STATE ROAD</t>
  </si>
  <si>
    <t>STATION 15</t>
  </si>
  <si>
    <t>STAUNTON</t>
  </si>
  <si>
    <t>STAUNTON TOWNSHIP</t>
  </si>
  <si>
    <t>STEAMBURG</t>
  </si>
  <si>
    <t>STEAM CORNERS</t>
  </si>
  <si>
    <t>STEAMTOWN</t>
  </si>
  <si>
    <t>STEEL POINT</t>
  </si>
  <si>
    <t>STEEL RUN</t>
  </si>
  <si>
    <t>STEELTON</t>
  </si>
  <si>
    <t>STEINERSVILLE</t>
  </si>
  <si>
    <t>STELLA</t>
  </si>
  <si>
    <t>STELVIDEO</t>
  </si>
  <si>
    <t>STEMPLE</t>
  </si>
  <si>
    <t>STERLING TOWNSHIP</t>
  </si>
  <si>
    <t>STERLING</t>
  </si>
  <si>
    <t>STEUBEN</t>
  </si>
  <si>
    <t>STEUBENVILLE</t>
  </si>
  <si>
    <t>STEUBENVILLE TOWNSHIP</t>
  </si>
  <si>
    <t>STEWART</t>
  </si>
  <si>
    <t>STEWARTSVILLE</t>
  </si>
  <si>
    <t>STILLWATER</t>
  </si>
  <si>
    <t>STILLWATER JUNCTION</t>
  </si>
  <si>
    <t>STILLWELL</t>
  </si>
  <si>
    <t>STOCK TOWNSHIP</t>
  </si>
  <si>
    <t>STOCKDALE</t>
  </si>
  <si>
    <t>STOCKHAM</t>
  </si>
  <si>
    <t>STOCKPORT</t>
  </si>
  <si>
    <t>STOCKTON</t>
  </si>
  <si>
    <t>STOKES TOWNSHIP</t>
  </si>
  <si>
    <t>STONE</t>
  </si>
  <si>
    <t>STONE CREEK</t>
  </si>
  <si>
    <t>STONELICK</t>
  </si>
  <si>
    <t>STONELICK TOWNSHIP</t>
  </si>
  <si>
    <t>STONEVILLE</t>
  </si>
  <si>
    <t>STONEY HILL</t>
  </si>
  <si>
    <t>STONY PRAIRIE</t>
  </si>
  <si>
    <t>STONY RIDGE</t>
  </si>
  <si>
    <t>STORMS</t>
  </si>
  <si>
    <t>STORRS</t>
  </si>
  <si>
    <t>STOUDERTOWN</t>
  </si>
  <si>
    <t>STOUT</t>
  </si>
  <si>
    <t>STOUTSVILLE</t>
  </si>
  <si>
    <t>STOVERTOWN</t>
  </si>
  <si>
    <t>STOW</t>
  </si>
  <si>
    <t>STRAITSVILLE</t>
  </si>
  <si>
    <t>STRASBURG</t>
  </si>
  <si>
    <t>STRATFORD</t>
  </si>
  <si>
    <t>STRATFORD MANOR</t>
  </si>
  <si>
    <t>STRATTON</t>
  </si>
  <si>
    <t>STREETSBORO</t>
  </si>
  <si>
    <t>STRINGER</t>
  </si>
  <si>
    <t>STRINGTOWN</t>
  </si>
  <si>
    <t>STRONGSVILLE</t>
  </si>
  <si>
    <t>STROUPS</t>
  </si>
  <si>
    <t>STRUTHERS</t>
  </si>
  <si>
    <t>STRYKER</t>
  </si>
  <si>
    <t>SUCCESS</t>
  </si>
  <si>
    <t>SUFFIELD</t>
  </si>
  <si>
    <t>SUFFIELD TOWNSHIP</t>
  </si>
  <si>
    <t>SUGAR BUSH KNOLLS</t>
  </si>
  <si>
    <t>SUGAR CREEK TOWNSHIP</t>
  </si>
  <si>
    <t>SUGAR CREEK</t>
  </si>
  <si>
    <t>SUGARCREEK TOWNSHIP</t>
  </si>
  <si>
    <t>SUGARCREEK</t>
  </si>
  <si>
    <t>SUGAR GROVE</t>
  </si>
  <si>
    <t>SUGAR RIDGE</t>
  </si>
  <si>
    <t>SUGAR TREE RIDGE</t>
  </si>
  <si>
    <t>SUGAR VALLEY</t>
  </si>
  <si>
    <t>SUITER</t>
  </si>
  <si>
    <t>SULLIVAN</t>
  </si>
  <si>
    <t>SULLIVAN TOWNSHIP</t>
  </si>
  <si>
    <t>SULPHUR GROVE</t>
  </si>
  <si>
    <t>SULPHUR LICK</t>
  </si>
  <si>
    <t>SULPHUR SPRINGS</t>
  </si>
  <si>
    <t>SUMMERFIELD</t>
  </si>
  <si>
    <t>SUMMERFORD</t>
  </si>
  <si>
    <t>SUMMERSIDE</t>
  </si>
  <si>
    <t>SUMMERSIDE ESTATES</t>
  </si>
  <si>
    <t>SUMMERSVILLE</t>
  </si>
  <si>
    <t>SUMMIT</t>
  </si>
  <si>
    <t>SUMMIT TOWNSHIP</t>
  </si>
  <si>
    <t>SUMMITHILL</t>
  </si>
  <si>
    <t>SUMMIT STATION</t>
  </si>
  <si>
    <t>SUMMITVILLE</t>
  </si>
  <si>
    <t>SUMNER</t>
  </si>
  <si>
    <t>SUNAIRE</t>
  </si>
  <si>
    <t>SUNBURY</t>
  </si>
  <si>
    <t>SUNBURY VILLAGE TOWNSHIP</t>
  </si>
  <si>
    <t>SUNDALE</t>
  </si>
  <si>
    <t>SUNFISH TOWNSHIP</t>
  </si>
  <si>
    <t>SUNNYLAND</t>
  </si>
  <si>
    <t>SUNNYSIDE</t>
  </si>
  <si>
    <t>SUNRISE</t>
  </si>
  <si>
    <t>SUNSBURY TOWNSHIP</t>
  </si>
  <si>
    <t>SUNSET BEACH</t>
  </si>
  <si>
    <t>SUNSET HARBOR</t>
  </si>
  <si>
    <t>SUNSET HEIGHTS</t>
  </si>
  <si>
    <t>SUNSHINE</t>
  </si>
  <si>
    <t>SUPERIOR TOWNSHIP</t>
  </si>
  <si>
    <t>SUTTON TOWNSHIP</t>
  </si>
  <si>
    <t>SWAN TOWNSHIP</t>
  </si>
  <si>
    <t>SWAN CREEK TOWNSHIP</t>
  </si>
  <si>
    <t>SWAN CREEK</t>
  </si>
  <si>
    <t>SWANDER</t>
  </si>
  <si>
    <t>SWANDERS</t>
  </si>
  <si>
    <t>SWANKTOWN</t>
  </si>
  <si>
    <t>SWANS</t>
  </si>
  <si>
    <t>SWANSON</t>
  </si>
  <si>
    <t>SWANTON</t>
  </si>
  <si>
    <t>SWANTON TOWNSHIP</t>
  </si>
  <si>
    <t>SWARTZ MILL</t>
  </si>
  <si>
    <t>SWAZEY</t>
  </si>
  <si>
    <t>SWIFT</t>
  </si>
  <si>
    <t>SWITZER</t>
  </si>
  <si>
    <t>SWITZERLAND TOWNSHIP</t>
  </si>
  <si>
    <t>SYBENE</t>
  </si>
  <si>
    <t>SYCAMORE</t>
  </si>
  <si>
    <t>SYCAMORE TOWNSHIP</t>
  </si>
  <si>
    <t>SYCAMORE VALLEY</t>
  </si>
  <si>
    <t>SYLVANIA</t>
  </si>
  <si>
    <t>SYLVANIA TOWNSHIP</t>
  </si>
  <si>
    <t>SYMMES TOWNSHIP</t>
  </si>
  <si>
    <t>SYMMES CORNER</t>
  </si>
  <si>
    <t>SYRACUSE</t>
  </si>
  <si>
    <t>TABOR</t>
  </si>
  <si>
    <t>TABORVILLE</t>
  </si>
  <si>
    <t>TACOMA</t>
  </si>
  <si>
    <t>TALAWANDA SPRINGS</t>
  </si>
  <si>
    <t>TALLMADGE</t>
  </si>
  <si>
    <t>TAMA</t>
  </si>
  <si>
    <t>TAMPICO</t>
  </si>
  <si>
    <t>TAPPAN</t>
  </si>
  <si>
    <t>TARLTON</t>
  </si>
  <si>
    <t>TATE TOWNSHIP</t>
  </si>
  <si>
    <t>TAWAWA</t>
  </si>
  <si>
    <t>TAYLOR TOWNSHIP</t>
  </si>
  <si>
    <t>TAYLOR CORNERS</t>
  </si>
  <si>
    <t>TAYLOR CREEK</t>
  </si>
  <si>
    <t>TAYLOR CREEK TOWNSHIP</t>
  </si>
  <si>
    <t>TAYLORSBURG</t>
  </si>
  <si>
    <t>TAYLORS CREEK</t>
  </si>
  <si>
    <t>TAYLOR STATION</t>
  </si>
  <si>
    <t>TAYLORSVILLE</t>
  </si>
  <si>
    <t>TAYLORTOWN</t>
  </si>
  <si>
    <t>TEAKWOOD ACRES</t>
  </si>
  <si>
    <t>TEDROW</t>
  </si>
  <si>
    <t>TEEGARDEN</t>
  </si>
  <si>
    <t>TEMPERANCEVILLE</t>
  </si>
  <si>
    <t>TENNYSON</t>
  </si>
  <si>
    <t>TERMINAL JUNCTION</t>
  </si>
  <si>
    <t>TERRACE PARK</t>
  </si>
  <si>
    <t>TERRE HAUTE</t>
  </si>
  <si>
    <t>TEXAS TOWNSHIP</t>
  </si>
  <si>
    <t>TEXAS</t>
  </si>
  <si>
    <t>THACKERY</t>
  </si>
  <si>
    <t>THACHER</t>
  </si>
  <si>
    <t>THE BEND</t>
  </si>
  <si>
    <t>THE EASTERN</t>
  </si>
  <si>
    <t>THE HIGHLANDS</t>
  </si>
  <si>
    <t>THELMA</t>
  </si>
  <si>
    <t>THE PINES</t>
  </si>
  <si>
    <t>THE PLAINS</t>
  </si>
  <si>
    <t>THE POINT</t>
  </si>
  <si>
    <t>THE INDIAN HILL</t>
  </si>
  <si>
    <t>THIVENER</t>
  </si>
  <si>
    <t>THOMASTOWN</t>
  </si>
  <si>
    <t>THOMPSON TOWNSHIP</t>
  </si>
  <si>
    <t>THOMPSON</t>
  </si>
  <si>
    <t>THORN TOWNSHIP</t>
  </si>
  <si>
    <t>THORNPORT</t>
  </si>
  <si>
    <t>THORNVILLE</t>
  </si>
  <si>
    <t>THORPS</t>
  </si>
  <si>
    <t>THREE FORKS</t>
  </si>
  <si>
    <t>THREE LOCKS</t>
  </si>
  <si>
    <t>THRIFTON</t>
  </si>
  <si>
    <t>THURMAN</t>
  </si>
  <si>
    <t>THURSTON</t>
  </si>
  <si>
    <t>TIBBETTS CORNERS</t>
  </si>
  <si>
    <t>TICK RIDGE</t>
  </si>
  <si>
    <t>TIFFIN TOWNSHIP</t>
  </si>
  <si>
    <t>TILTON CROSSROADS</t>
  </si>
  <si>
    <t>TILTONSVILLE</t>
  </si>
  <si>
    <t>TIMBERLAKE</t>
  </si>
  <si>
    <t>TINNEY</t>
  </si>
  <si>
    <t>TIPP CITY</t>
  </si>
  <si>
    <t>TIPPECANOE</t>
  </si>
  <si>
    <t>TIPTON</t>
  </si>
  <si>
    <t>TIRO</t>
  </si>
  <si>
    <t>TIVERTON TOWNSHIP</t>
  </si>
  <si>
    <t>TIVERTON CENTER</t>
  </si>
  <si>
    <t>TOBASCO</t>
  </si>
  <si>
    <t>TOBIAS</t>
  </si>
  <si>
    <t>TOBOSO</t>
  </si>
  <si>
    <t>TOD TOWNSHIP</t>
  </si>
  <si>
    <t>TODDS</t>
  </si>
  <si>
    <t>TOLEDO JUNCTION</t>
  </si>
  <si>
    <t>TOM CORWIN</t>
  </si>
  <si>
    <t>TOMLISON ADDITION</t>
  </si>
  <si>
    <t>TONTOGANY</t>
  </si>
  <si>
    <t>TOOTS CORNERS</t>
  </si>
  <si>
    <t>TOOTS CROSSROADS</t>
  </si>
  <si>
    <t>TOP-OF-THE-RIDGE</t>
  </si>
  <si>
    <t>TORCH</t>
  </si>
  <si>
    <t>TORONTO</t>
  </si>
  <si>
    <t>TOWNSEND TOWNSHIP</t>
  </si>
  <si>
    <t>TOWNWOOD</t>
  </si>
  <si>
    <t>TRADERSVILLE</t>
  </si>
  <si>
    <t>TRAIL</t>
  </si>
  <si>
    <t>TRANQUILITY</t>
  </si>
  <si>
    <t>TREBEIN</t>
  </si>
  <si>
    <t>TREMONT CITY</t>
  </si>
  <si>
    <t>TRENTON</t>
  </si>
  <si>
    <t>TRENTON TOWNSHIP</t>
  </si>
  <si>
    <t>TRIADELPHIA</t>
  </si>
  <si>
    <t>TRILBY</t>
  </si>
  <si>
    <t>TRIMBLE</t>
  </si>
  <si>
    <t>TRIMBLE TOWNSHIP</t>
  </si>
  <si>
    <t>TRINWAY</t>
  </si>
  <si>
    <t>TRIUMPH</t>
  </si>
  <si>
    <t>TROMBLEY</t>
  </si>
  <si>
    <t>TROPIC</t>
  </si>
  <si>
    <t>TROTWOOD</t>
  </si>
  <si>
    <t>TROWBRIDGE</t>
  </si>
  <si>
    <t>TROY TOWNSHIP</t>
  </si>
  <si>
    <t>TROY</t>
  </si>
  <si>
    <t>TROYTON</t>
  </si>
  <si>
    <t>TRUETOWN</t>
  </si>
  <si>
    <t>TRUMBULL</t>
  </si>
  <si>
    <t>TRUMBULL TOWNSHIP</t>
  </si>
  <si>
    <t>TRURO</t>
  </si>
  <si>
    <t>TRURO TOWNSHIP</t>
  </si>
  <si>
    <t>TUCSON</t>
  </si>
  <si>
    <t>TULIP</t>
  </si>
  <si>
    <t>TULLY TOWNSHIP</t>
  </si>
  <si>
    <t>TUNNEL HILL</t>
  </si>
  <si>
    <t>TUPPERS PLAINS</t>
  </si>
  <si>
    <t>TURPIN HILLS</t>
  </si>
  <si>
    <t>TURTLE CREEK TOWNSHIP</t>
  </si>
  <si>
    <t>TURTLECREEK TOWNSHIP</t>
  </si>
  <si>
    <t>TUSCARAWAS TOWNSHIP</t>
  </si>
  <si>
    <t>TUSCARAWAS</t>
  </si>
  <si>
    <t>TUSCULUM</t>
  </si>
  <si>
    <t>TWENTY MILE STAND</t>
  </si>
  <si>
    <t>TWIGHTWEE</t>
  </si>
  <si>
    <t>TWIN TOWNSHIP</t>
  </si>
  <si>
    <t>TWIN LAKES</t>
  </si>
  <si>
    <t>TWINSBURG</t>
  </si>
  <si>
    <t>TWINSBURG TOWNSHIP</t>
  </si>
  <si>
    <t>TWINSBURG HEIGHTS</t>
  </si>
  <si>
    <t>TWIN VALLEY</t>
  </si>
  <si>
    <t>TYLERS CORNERS</t>
  </si>
  <si>
    <t>TYLERSVILLE</t>
  </si>
  <si>
    <t>TYMOCHTEE</t>
  </si>
  <si>
    <t>TYMOCHTEE TOWNSHIP</t>
  </si>
  <si>
    <t>TYNDALL</t>
  </si>
  <si>
    <t>TYRONE</t>
  </si>
  <si>
    <t>TYRRELL</t>
  </si>
  <si>
    <t>UHRICHSVILLE</t>
  </si>
  <si>
    <t>UNION TOWNSHIP</t>
  </si>
  <si>
    <t>WESTCHESTER</t>
  </si>
  <si>
    <t>UNION</t>
  </si>
  <si>
    <t>UNION CITY TOWNSHIP</t>
  </si>
  <si>
    <t>UNION CORNERS</t>
  </si>
  <si>
    <t>UNION FURNACE</t>
  </si>
  <si>
    <t>UNIONPORT</t>
  </si>
  <si>
    <t>UNION RIDGE</t>
  </si>
  <si>
    <t>UNIONTOWN</t>
  </si>
  <si>
    <t>UNIONVALE</t>
  </si>
  <si>
    <t>UNIONVILLE</t>
  </si>
  <si>
    <t>UNIONVILLE CENTER</t>
  </si>
  <si>
    <t>UNIOPOLIS</t>
  </si>
  <si>
    <t>UNITY</t>
  </si>
  <si>
    <t>UNITY TOWNSHIP</t>
  </si>
  <si>
    <t>UNIVERSITY HEIGHTS</t>
  </si>
  <si>
    <t>UPLAND HEIGHTS</t>
  </si>
  <si>
    <t>UPPER TOWNSHIP</t>
  </si>
  <si>
    <t>UPPER ARLINGTON</t>
  </si>
  <si>
    <t>UPPER DAYTON VIEW</t>
  </si>
  <si>
    <t>UPPER LOWELL</t>
  </si>
  <si>
    <t>UPTON</t>
  </si>
  <si>
    <t>URBANA TOWNSHIP</t>
  </si>
  <si>
    <t>URBANCREST</t>
  </si>
  <si>
    <t>URBAN HILL</t>
  </si>
  <si>
    <t>UTICA</t>
  </si>
  <si>
    <t>UTLEY</t>
  </si>
  <si>
    <t>UTOPIA</t>
  </si>
  <si>
    <t>VADIS</t>
  </si>
  <si>
    <t>VAILS CORNERS</t>
  </si>
  <si>
    <t>VALES MILLS</t>
  </si>
  <si>
    <t>VALLEY</t>
  </si>
  <si>
    <t>VALLEY TOWNSHIP</t>
  </si>
  <si>
    <t>VALLEY CITY</t>
  </si>
  <si>
    <t>VALLEY CITY STATION</t>
  </si>
  <si>
    <t>VALLEY CROSSING</t>
  </si>
  <si>
    <t>VALLEY FORD</t>
  </si>
  <si>
    <t>VALLEY GLEN</t>
  </si>
  <si>
    <t>VALLEY HI</t>
  </si>
  <si>
    <t>VALLEY JUNCTION</t>
  </si>
  <si>
    <t>VALLEY VIEW</t>
  </si>
  <si>
    <t>VALLEYVIEW</t>
  </si>
  <si>
    <t>VALLEY VIEW HEIGHTS</t>
  </si>
  <si>
    <t>VALLEYWOOD</t>
  </si>
  <si>
    <t>VALLONIA</t>
  </si>
  <si>
    <t>VANATTA</t>
  </si>
  <si>
    <t>VAN BUREN TOWNSHIP</t>
  </si>
  <si>
    <t>VAN BUREN</t>
  </si>
  <si>
    <t>VANDALIA</t>
  </si>
  <si>
    <t>VANDERHOOF</t>
  </si>
  <si>
    <t>VANDERVORTS CORNERS</t>
  </si>
  <si>
    <t>VANLUE</t>
  </si>
  <si>
    <t>VAN METER</t>
  </si>
  <si>
    <t>VAUCES</t>
  </si>
  <si>
    <t>VAUGHNSVILLE</t>
  </si>
  <si>
    <t>VEGA</t>
  </si>
  <si>
    <t>VENEDOCIA</t>
  </si>
  <si>
    <t>VENICE</t>
  </si>
  <si>
    <t>VENICE TOWNSHIP</t>
  </si>
  <si>
    <t>VENICE HEIGHTS</t>
  </si>
  <si>
    <t>VERA CRUZ</t>
  </si>
  <si>
    <t>VERMILION</t>
  </si>
  <si>
    <t>VERMILION TOWNSHIP</t>
  </si>
  <si>
    <t>VERMILION-ON-THE-LAKE</t>
  </si>
  <si>
    <t>VERMILLION TOWNSHIP</t>
  </si>
  <si>
    <t>VERMONA</t>
  </si>
  <si>
    <t>VERNON TOWNSHIP</t>
  </si>
  <si>
    <t>VERNON</t>
  </si>
  <si>
    <t>VERONA</t>
  </si>
  <si>
    <t>VERSAILLES</t>
  </si>
  <si>
    <t>VESUVIUS FURNACE</t>
  </si>
  <si>
    <t>VETO</t>
  </si>
  <si>
    <t>VICKERY</t>
  </si>
  <si>
    <t>VICKSVILLE</t>
  </si>
  <si>
    <t>VICTORY CAMP</t>
  </si>
  <si>
    <t>VIENNA</t>
  </si>
  <si>
    <t>VIENNA TOWNSHIP</t>
  </si>
  <si>
    <t>VIENNA CENTER</t>
  </si>
  <si>
    <t>VIGO</t>
  </si>
  <si>
    <t>VIKING VILLAGE</t>
  </si>
  <si>
    <t>VILLA</t>
  </si>
  <si>
    <t>VILLA NOVA</t>
  </si>
  <si>
    <t>VINCENT</t>
  </si>
  <si>
    <t>VINTON</t>
  </si>
  <si>
    <t>VINTON TOWNSHIP</t>
  </si>
  <si>
    <t>VIOLET TOWNSHIP</t>
  </si>
  <si>
    <t>VIRGINIA TOWNSHIP</t>
  </si>
  <si>
    <t>VOLUNTEER BAY</t>
  </si>
  <si>
    <t>VULCAN</t>
  </si>
  <si>
    <t>WABASH TOWNSHIP</t>
  </si>
  <si>
    <t>WABASH</t>
  </si>
  <si>
    <t>WACKER HEIGHTS</t>
  </si>
  <si>
    <t>WACO</t>
  </si>
  <si>
    <t>WADE</t>
  </si>
  <si>
    <t>WADSWORTH</t>
  </si>
  <si>
    <t>WADSWORTH TOWNSHIP</t>
  </si>
  <si>
    <t>WAGRAM</t>
  </si>
  <si>
    <t>WAHLSBURG</t>
  </si>
  <si>
    <t>WAINWRIGHT</t>
  </si>
  <si>
    <t>WAITE HILL</t>
  </si>
  <si>
    <t>WAKATOMIKA</t>
  </si>
  <si>
    <t>WAKEFIELD</t>
  </si>
  <si>
    <t>WAKEMAN</t>
  </si>
  <si>
    <t>WAKEMAN TOWNSHIP</t>
  </si>
  <si>
    <t>WALBRIDGE</t>
  </si>
  <si>
    <t>WALDO</t>
  </si>
  <si>
    <t>WALDO TOWNSHIP</t>
  </si>
  <si>
    <t>WALES CORNERS</t>
  </si>
  <si>
    <t>WALHONDING</t>
  </si>
  <si>
    <t>WALLACE HEIGHTS</t>
  </si>
  <si>
    <t>WALLACE MILLS</t>
  </si>
  <si>
    <t>WALNUT TOWNSHIP</t>
  </si>
  <si>
    <t>WALNUT CREEK</t>
  </si>
  <si>
    <t>WALNUT GROVE</t>
  </si>
  <si>
    <t>WALNUT HILLS</t>
  </si>
  <si>
    <t>WALSER</t>
  </si>
  <si>
    <t>WALTON</t>
  </si>
  <si>
    <t>WALTON HILLS</t>
  </si>
  <si>
    <t>WAMSLEY</t>
  </si>
  <si>
    <t>WARD TOWNSHIP</t>
  </si>
  <si>
    <t>WARDWOOD ACRES</t>
  </si>
  <si>
    <t>WARNER</t>
  </si>
  <si>
    <t>WARNOCK</t>
  </si>
  <si>
    <t>WARREN TOWNSHIP</t>
  </si>
  <si>
    <t>WARREN</t>
  </si>
  <si>
    <t>WARRENSBURG</t>
  </si>
  <si>
    <t>WARRENSVILLE</t>
  </si>
  <si>
    <t>WARRENSVILLE HEIGHTS</t>
  </si>
  <si>
    <t>WARRENTON</t>
  </si>
  <si>
    <t>WARRENTOWN</t>
  </si>
  <si>
    <t>WARSAW</t>
  </si>
  <si>
    <t>WARSAW JUNCTION</t>
  </si>
  <si>
    <t>WARWICK</t>
  </si>
  <si>
    <t>WARWICK TOWNSHIP</t>
  </si>
  <si>
    <t>WASHINGTON COURT HOUSE</t>
  </si>
  <si>
    <t>WASHINGTON HALL</t>
  </si>
  <si>
    <t>WASHINGTON MILLS</t>
  </si>
  <si>
    <t>WASHINGTONVILLE</t>
  </si>
  <si>
    <t>WATCH FARM ACRES</t>
  </si>
  <si>
    <t>WATCH HILL</t>
  </si>
  <si>
    <t>WATERFORD</t>
  </si>
  <si>
    <t>WATERFORD TOWNSHIP</t>
  </si>
  <si>
    <t>WATERLOO TOWNSHIP</t>
  </si>
  <si>
    <t>WATERLOO</t>
  </si>
  <si>
    <t>WATERTOWN</t>
  </si>
  <si>
    <t>WATERTOWN TOWNSHIP</t>
  </si>
  <si>
    <t>WATERVILLE</t>
  </si>
  <si>
    <t>WATERVILLE TOWNSHIP</t>
  </si>
  <si>
    <t>WATHEYS</t>
  </si>
  <si>
    <t>WATKINS</t>
  </si>
  <si>
    <t>WATSON</t>
  </si>
  <si>
    <t>WATTSVILLE</t>
  </si>
  <si>
    <t>WAVERLY CITY</t>
  </si>
  <si>
    <t>WAVERLY GABLES</t>
  </si>
  <si>
    <t>WAYLAND</t>
  </si>
  <si>
    <t>WAYNE TOWNSHIP</t>
  </si>
  <si>
    <t>WAYNE</t>
  </si>
  <si>
    <t>WAYNE LAKES</t>
  </si>
  <si>
    <t>WAYNESBURG</t>
  </si>
  <si>
    <t>WAYNESFIELD</t>
  </si>
  <si>
    <t>WAYNESVILLE</t>
  </si>
  <si>
    <t>WEATHERSFIELD TOWNSHIP</t>
  </si>
  <si>
    <t>WEAVERS CORNERS</t>
  </si>
  <si>
    <t>WEBB</t>
  </si>
  <si>
    <t>WEBB SUMMIT</t>
  </si>
  <si>
    <t>WEBERTOWN</t>
  </si>
  <si>
    <t>WEBSTER</t>
  </si>
  <si>
    <t>WEBSTER TOWNSHIP</t>
  </si>
  <si>
    <t>WEGEE</t>
  </si>
  <si>
    <t>WELCOME</t>
  </si>
  <si>
    <t>WELLER TOWNSHIP</t>
  </si>
  <si>
    <t>WELLINGTON</t>
  </si>
  <si>
    <t>WELLINGTON TOWNSHIP</t>
  </si>
  <si>
    <t>WELLMAN</t>
  </si>
  <si>
    <t>WELLS TOWNSHIP</t>
  </si>
  <si>
    <t>WELLSTON</t>
  </si>
  <si>
    <t>WELLSVILLE</t>
  </si>
  <si>
    <t>WELSH</t>
  </si>
  <si>
    <t>WELSHFIELD</t>
  </si>
  <si>
    <t>WELSHTOWN</t>
  </si>
  <si>
    <t>WENDELIN</t>
  </si>
  <si>
    <t>WENGERLAWN</t>
  </si>
  <si>
    <t>WESLEY</t>
  </si>
  <si>
    <t>WESLEY TOWNSHIP</t>
  </si>
  <si>
    <t>WEST TOWNSHIP</t>
  </si>
  <si>
    <t>WEST AKRON</t>
  </si>
  <si>
    <t>WEST ALEXANDRIA</t>
  </si>
  <si>
    <t>WEST ANDOVER</t>
  </si>
  <si>
    <t>WESTARADO</t>
  </si>
  <si>
    <t>WEST AUSTINTOWN</t>
  </si>
  <si>
    <t>WEST BASS LAKE</t>
  </si>
  <si>
    <t>WEST BEDFORD</t>
  </si>
  <si>
    <t>WEST BERLIN</t>
  </si>
  <si>
    <t>WESTBORO</t>
  </si>
  <si>
    <t>WEST BROOKFIELD</t>
  </si>
  <si>
    <t>WEST CANAAN</t>
  </si>
  <si>
    <t>WEST CARLISLE</t>
  </si>
  <si>
    <t>WEST CARROLLTON</t>
  </si>
  <si>
    <t>WEST CHARLESTON</t>
  </si>
  <si>
    <t>WEST CHESTER TOWNSHIP</t>
  </si>
  <si>
    <t>WEST CHESTER</t>
  </si>
  <si>
    <t>WEST CLARKSFIELD</t>
  </si>
  <si>
    <t>WEST COVINGTON</t>
  </si>
  <si>
    <t>WEST DELTA</t>
  </si>
  <si>
    <t>WEST DOVER</t>
  </si>
  <si>
    <t>WEST ELKTON</t>
  </si>
  <si>
    <t>WESTERN RESERVE ESTATES</t>
  </si>
  <si>
    <t>WESTERN STAR</t>
  </si>
  <si>
    <t>WESTERVILLE</t>
  </si>
  <si>
    <t>WESTERVILLE CITY TOWNSHIP</t>
  </si>
  <si>
    <t>WESTFALL</t>
  </si>
  <si>
    <t>WEST FARMINGTON</t>
  </si>
  <si>
    <t>WESTFIELD TOWNSHIP</t>
  </si>
  <si>
    <t>WESTFIELD</t>
  </si>
  <si>
    <t>WESTFIELD CENTER</t>
  </si>
  <si>
    <t>WEST FLORENCE</t>
  </si>
  <si>
    <t>WEST GROVE</t>
  </si>
  <si>
    <t>WEST HILL</t>
  </si>
  <si>
    <t>WESTHILL HEIGHTS</t>
  </si>
  <si>
    <t>WESTHOPE</t>
  </si>
  <si>
    <t>WEST INDEPENDENCE</t>
  </si>
  <si>
    <t>WEST JACKSON</t>
  </si>
  <si>
    <t>WEST JEFFERSON</t>
  </si>
  <si>
    <t>WEST JUNCTION</t>
  </si>
  <si>
    <t>WEST LAFAYETTE</t>
  </si>
  <si>
    <t>WESTLAKE</t>
  </si>
  <si>
    <t>WEST LANCASTER</t>
  </si>
  <si>
    <t>WESTLAND TOWNSHIP</t>
  </si>
  <si>
    <t>WESTLAND</t>
  </si>
  <si>
    <t>WEST LEBANON</t>
  </si>
  <si>
    <t>WEST LEIPSIC</t>
  </si>
  <si>
    <t>WEST LIBERTY</t>
  </si>
  <si>
    <t>WEST LODI</t>
  </si>
  <si>
    <t>WEST LOGAN</t>
  </si>
  <si>
    <t>WEST MANCHESTER</t>
  </si>
  <si>
    <t>WEST MANSFIELD</t>
  </si>
  <si>
    <t>WEST MARIETTA</t>
  </si>
  <si>
    <t>WEST MECCA</t>
  </si>
  <si>
    <t>WEST MIDDLETOWN</t>
  </si>
  <si>
    <t>WEST MILLGROVE</t>
  </si>
  <si>
    <t>WEST MILTON</t>
  </si>
  <si>
    <t>WESTMINSTER</t>
  </si>
  <si>
    <t>WEST NEWTON</t>
  </si>
  <si>
    <t>WESTON</t>
  </si>
  <si>
    <t>WESTON TOWNSHIP</t>
  </si>
  <si>
    <t>WEST PARK</t>
  </si>
  <si>
    <t>WEST POINT</t>
  </si>
  <si>
    <t>WEST PORTSMOUTH</t>
  </si>
  <si>
    <t>WEST RICHFIELD</t>
  </si>
  <si>
    <t>WEST RUSHVILLE</t>
  </si>
  <si>
    <t>WEST SALEM</t>
  </si>
  <si>
    <t>WEST SIDE</t>
  </si>
  <si>
    <t>WEST SONORA</t>
  </si>
  <si>
    <t>WEST STEELS CORNERS</t>
  </si>
  <si>
    <t>WEST TOLEDO</t>
  </si>
  <si>
    <t>WEST UNION</t>
  </si>
  <si>
    <t>WEST UNITY</t>
  </si>
  <si>
    <t>WEST VIEW</t>
  </si>
  <si>
    <t>WESTVILLE</t>
  </si>
  <si>
    <t>WEST WHEELING</t>
  </si>
  <si>
    <t>WEST WILLIAMSFIELD</t>
  </si>
  <si>
    <t>WESTWOOD</t>
  </si>
  <si>
    <t>WETHERINGTON</t>
  </si>
  <si>
    <t>WETZEL</t>
  </si>
  <si>
    <t>WEYERS</t>
  </si>
  <si>
    <t>WEYMOUTH</t>
  </si>
  <si>
    <t>WHARTON</t>
  </si>
  <si>
    <t>WHEAT RIDGE</t>
  </si>
  <si>
    <t>WHEATVILLE</t>
  </si>
  <si>
    <t>WHEELERSBURG</t>
  </si>
  <si>
    <t>WHEELERS MILL</t>
  </si>
  <si>
    <t>WHEELING TOWNSHIP</t>
  </si>
  <si>
    <t>WHEELING CREEK</t>
  </si>
  <si>
    <t>WHERRYS CROSSROADS</t>
  </si>
  <si>
    <t>WHETSTONE TOWNSHIP</t>
  </si>
  <si>
    <t>WHIGVILLE</t>
  </si>
  <si>
    <t>WHIPPLE</t>
  </si>
  <si>
    <t>WHIPPLE HEIGHTS</t>
  </si>
  <si>
    <t>WHISLER</t>
  </si>
  <si>
    <t>WHITE COTTAGE</t>
  </si>
  <si>
    <t>WHITE EYES TOWNSHIP</t>
  </si>
  <si>
    <t>WHITE FOX</t>
  </si>
  <si>
    <t>WHITEHALL</t>
  </si>
  <si>
    <t>WHITEHOUSE</t>
  </si>
  <si>
    <t>WHITE OAK</t>
  </si>
  <si>
    <t>WHITEOAK TOWNSHIP</t>
  </si>
  <si>
    <t>WHITE OAK EAST</t>
  </si>
  <si>
    <t>WHITE OAK MEADOWS</t>
  </si>
  <si>
    <t>WHITE OAK VALLEY</t>
  </si>
  <si>
    <t>WHITE OAK WEST</t>
  </si>
  <si>
    <t>WHITES</t>
  </si>
  <si>
    <t>WHITES LANDING</t>
  </si>
  <si>
    <t>WHITE SULPHUR</t>
  </si>
  <si>
    <t>WHITETREE</t>
  </si>
  <si>
    <t>WHITEVILLE</t>
  </si>
  <si>
    <t>WHITEWATER TOWNSHIP</t>
  </si>
  <si>
    <t>WHITFIELD</t>
  </si>
  <si>
    <t>WHITNEY</t>
  </si>
  <si>
    <t>WICK</t>
  </si>
  <si>
    <t>WICKLIFFE</t>
  </si>
  <si>
    <t>WIDOWVILLE</t>
  </si>
  <si>
    <t>WIGGONSVILLE</t>
  </si>
  <si>
    <t>WIGHTMANS GROVE</t>
  </si>
  <si>
    <t>WILBERFORCE</t>
  </si>
  <si>
    <t>WILBREN</t>
  </si>
  <si>
    <t>WILDARE</t>
  </si>
  <si>
    <t>WILDBROOK ACRES</t>
  </si>
  <si>
    <t>WILGUS</t>
  </si>
  <si>
    <t>WILHELM CORNER</t>
  </si>
  <si>
    <t>WILKESVILLE</t>
  </si>
  <si>
    <t>WILKESVILLE TOWNSHIP</t>
  </si>
  <si>
    <t>WILKINS</t>
  </si>
  <si>
    <t>WILKINS RUN</t>
  </si>
  <si>
    <t>WILLETTSVILLE</t>
  </si>
  <si>
    <t>WILLIAMSBURG</t>
  </si>
  <si>
    <t>WILLIAMSBURG TOWNSHIP</t>
  </si>
  <si>
    <t>WILLIAMS CENTER</t>
  </si>
  <si>
    <t>WILLIAMS CORNERS</t>
  </si>
  <si>
    <t>WILLIAMSDALE</t>
  </si>
  <si>
    <t>WILLIAMSFIELD</t>
  </si>
  <si>
    <t>WILLIAMSFIELD TOWNSHIP</t>
  </si>
  <si>
    <t>WILLIAMSPORT</t>
  </si>
  <si>
    <t>WILLIAMSTOWN</t>
  </si>
  <si>
    <t>WILLISTON</t>
  </si>
  <si>
    <t>WILLOUGHBY</t>
  </si>
  <si>
    <t>WILLOUGHBY HILLS</t>
  </si>
  <si>
    <t>WILLOW</t>
  </si>
  <si>
    <t>WILLOW CREST</t>
  </si>
  <si>
    <t>WILLOWDELL</t>
  </si>
  <si>
    <t>WILLOWICK</t>
  </si>
  <si>
    <t>WILLOWVILLE</t>
  </si>
  <si>
    <t>WILLOW WOOD</t>
  </si>
  <si>
    <t>WILLS TOWNSHIP</t>
  </si>
  <si>
    <t>WILLS CREEK</t>
  </si>
  <si>
    <t>WILLSHIRE</t>
  </si>
  <si>
    <t>WILLSHIRE TOWNSHIP</t>
  </si>
  <si>
    <t>WILMER</t>
  </si>
  <si>
    <t>WILMOT</t>
  </si>
  <si>
    <t>WILSON TOWNSHIP</t>
  </si>
  <si>
    <t>WILSON</t>
  </si>
  <si>
    <t>WINAMEG</t>
  </si>
  <si>
    <t>WINCHESTER</t>
  </si>
  <si>
    <t>WINCHESTER TOWNSHIP</t>
  </si>
  <si>
    <t>WINDFALL</t>
  </si>
  <si>
    <t>WINDHAM</t>
  </si>
  <si>
    <t>WINDHAM TOWNSHIP</t>
  </si>
  <si>
    <t>WINDSOR</t>
  </si>
  <si>
    <t>WINDSOR TOWNSHIP</t>
  </si>
  <si>
    <t>WINDSOR MILLS</t>
  </si>
  <si>
    <t>WINESBURG</t>
  </si>
  <si>
    <t>WINFIELD</t>
  </si>
  <si>
    <t>WINGETT RUN</t>
  </si>
  <si>
    <t>WINGSTON</t>
  </si>
  <si>
    <t>WINKLEPLECK GROVE</t>
  </si>
  <si>
    <t>WINKLERS MILL</t>
  </si>
  <si>
    <t>WINONA</t>
  </si>
  <si>
    <t>WINTERDALE</t>
  </si>
  <si>
    <t>WINTERSET</t>
  </si>
  <si>
    <t>WINTERSVILLE</t>
  </si>
  <si>
    <t>WINTONDALE</t>
  </si>
  <si>
    <t>WINTON PLACE</t>
  </si>
  <si>
    <t>WINTON TERRACE</t>
  </si>
  <si>
    <t>WISTERMAN</t>
  </si>
  <si>
    <t>WITHAMSVILLE</t>
  </si>
  <si>
    <t>WITTENS</t>
  </si>
  <si>
    <t>WOLF</t>
  </si>
  <si>
    <t>WOLFCALE</t>
  </si>
  <si>
    <t>WOLF CREEK</t>
  </si>
  <si>
    <t>WOLFHURST</t>
  </si>
  <si>
    <t>WOLFPEN</t>
  </si>
  <si>
    <t>WOLF RUN</t>
  </si>
  <si>
    <t>WOODBOURNE</t>
  </si>
  <si>
    <t>WOODBOURNE-HYDE PARK</t>
  </si>
  <si>
    <t>WOODINGTON</t>
  </si>
  <si>
    <t>WOODLAND</t>
  </si>
  <si>
    <t>WOODLAND PARK</t>
  </si>
  <si>
    <t>WOODLAWN</t>
  </si>
  <si>
    <t>WOODLYN</t>
  </si>
  <si>
    <t>WOODMERE</t>
  </si>
  <si>
    <t>WOODSDALE</t>
  </si>
  <si>
    <t>WOODSFIELD</t>
  </si>
  <si>
    <t>WOODSIDE</t>
  </si>
  <si>
    <t>WOODSTOCK</t>
  </si>
  <si>
    <t>WOODVIEW PARK</t>
  </si>
  <si>
    <t>WOODVILLE</t>
  </si>
  <si>
    <t>WOODVILLE TOWNSHIP</t>
  </si>
  <si>
    <t>WOODVILLE GARDENS</t>
  </si>
  <si>
    <t>WOODWORTH</t>
  </si>
  <si>
    <t>WOOSTER TOWNSHIP</t>
  </si>
  <si>
    <t>WOOSTER HEIGHTS</t>
  </si>
  <si>
    <t>WORSTVILLE</t>
  </si>
  <si>
    <t>WORTHINGTON</t>
  </si>
  <si>
    <t>WORTHINGTON TOWNSHIP</t>
  </si>
  <si>
    <t>WORTLEY</t>
  </si>
  <si>
    <t>WREN</t>
  </si>
  <si>
    <t>WRIGHT-PATTERSON AIR FORCE BASE</t>
  </si>
  <si>
    <t>WRIGHTSTOWN</t>
  </si>
  <si>
    <t>WRIGHTSVILLE</t>
  </si>
  <si>
    <t>WRIGHTVILLE</t>
  </si>
  <si>
    <t>WYANDOT</t>
  </si>
  <si>
    <t>WYOMING</t>
  </si>
  <si>
    <t>WYOMING MEADOWS</t>
  </si>
  <si>
    <t>XENIA</t>
  </si>
  <si>
    <t>XENIA TOWNSHIP</t>
  </si>
  <si>
    <t>YALE</t>
  </si>
  <si>
    <t>YANKEEBURG</t>
  </si>
  <si>
    <t>YANKEE HILLS</t>
  </si>
  <si>
    <t>YANKEE LAKE</t>
  </si>
  <si>
    <t>YANKEETOWN</t>
  </si>
  <si>
    <t>YARICO</t>
  </si>
  <si>
    <t>YATES CORNERS</t>
  </si>
  <si>
    <t>YATESVILLE</t>
  </si>
  <si>
    <t>YELLOWBUD</t>
  </si>
  <si>
    <t>YELLOW CREEK TOWNSHIP</t>
  </si>
  <si>
    <t>YELLOW CREEK</t>
  </si>
  <si>
    <t>YELLOW SPRINGS</t>
  </si>
  <si>
    <t>YELLOWTOWN</t>
  </si>
  <si>
    <t>YELVERTON</t>
  </si>
  <si>
    <t>YODER</t>
  </si>
  <si>
    <t>YONDOTA</t>
  </si>
  <si>
    <t>YORK TOWNSHIP</t>
  </si>
  <si>
    <t>YORK</t>
  </si>
  <si>
    <t>YORK CENTER</t>
  </si>
  <si>
    <t>YORKSHIRE</t>
  </si>
  <si>
    <t>YORKTOWN</t>
  </si>
  <si>
    <t>YORKVILLE</t>
  </si>
  <si>
    <t>YOST</t>
  </si>
  <si>
    <t>YOUBA</t>
  </si>
  <si>
    <t>YOUNG HICKORY</t>
  </si>
  <si>
    <t>YOUNGS</t>
  </si>
  <si>
    <t>YOUNGS CORNERS</t>
  </si>
  <si>
    <t>YOUNGSTOWN</t>
  </si>
  <si>
    <t>YOUNGSVILLE</t>
  </si>
  <si>
    <t>ZAHNS CORNERS</t>
  </si>
  <si>
    <t>ZALESKI</t>
  </si>
  <si>
    <t>ZANE TOWNSHIP</t>
  </si>
  <si>
    <t>ZANESFIELD</t>
  </si>
  <si>
    <t>ZANESVILLE TERRACE</t>
  </si>
  <si>
    <t>ZENO</t>
  </si>
  <si>
    <t>ZIMMER</t>
  </si>
  <si>
    <t>ZIMMERMAN</t>
  </si>
  <si>
    <t>ZIONTOWN</t>
  </si>
  <si>
    <t>ZOAR</t>
  </si>
  <si>
    <t>ZOARVILLE</t>
  </si>
  <si>
    <t>ZONE</t>
  </si>
  <si>
    <t>ZUCK</t>
  </si>
  <si>
    <t>CUYAHOGA COUNTY</t>
  </si>
  <si>
    <t>GEAUGA COUNTY</t>
  </si>
  <si>
    <t>LAKE COUNTY</t>
  </si>
  <si>
    <t>LORAIN COUNTY</t>
  </si>
  <si>
    <t>MEDINA COUNTY</t>
  </si>
  <si>
    <t>PORTAGE COUNTY</t>
  </si>
  <si>
    <t>SUMMIT COUNTY</t>
  </si>
  <si>
    <t>ADAMS COUNTY</t>
  </si>
  <si>
    <t>ALLEN COUNTY</t>
  </si>
  <si>
    <t>ASHTABULA COUNTY</t>
  </si>
  <si>
    <t>ATHENS COUNTY</t>
  </si>
  <si>
    <t>AUGLAIZE COUNTY</t>
  </si>
  <si>
    <t>BELMONT COUNTY</t>
  </si>
  <si>
    <t>BROWN COUNTY</t>
  </si>
  <si>
    <t>BUTLER COUNTY</t>
  </si>
  <si>
    <t>CARROLL COUNTY</t>
  </si>
  <si>
    <t>CHAMPAIGN COUNTY</t>
  </si>
  <si>
    <t>CLARK COUNTY</t>
  </si>
  <si>
    <t>CLERMONT COUNTY</t>
  </si>
  <si>
    <t>CLINTON COUNTY</t>
  </si>
  <si>
    <t>COLUMBIANA COUNTY</t>
  </si>
  <si>
    <t>COSHOCTON COUNTY</t>
  </si>
  <si>
    <t>CRAWFORD COUNTY</t>
  </si>
  <si>
    <t>DARKE COUNTY</t>
  </si>
  <si>
    <t>DEFIANCE COUNTY</t>
  </si>
  <si>
    <t>DELAWARE COUNTY</t>
  </si>
  <si>
    <t>ERIE COUNTY</t>
  </si>
  <si>
    <t>FAIRFIELD COUNTY</t>
  </si>
  <si>
    <t>FAYETTE COUNTY</t>
  </si>
  <si>
    <t>FRANKLIN COUNTY</t>
  </si>
  <si>
    <t>FULTON COUNTY</t>
  </si>
  <si>
    <t>GALLIA COUNTY</t>
  </si>
  <si>
    <t>GREENE COUNTY</t>
  </si>
  <si>
    <t>GUERNSEY COUNTY</t>
  </si>
  <si>
    <t>HAMILTON COUNTY</t>
  </si>
  <si>
    <t>HANCOCK COUNTY</t>
  </si>
  <si>
    <t>HARDIN COUNTY</t>
  </si>
  <si>
    <t>HARRISON COUNTY</t>
  </si>
  <si>
    <t>HENRY COUNTY</t>
  </si>
  <si>
    <t>HIGHLAND COUNTY</t>
  </si>
  <si>
    <t>HOCKING COUNTY</t>
  </si>
  <si>
    <t>HURON COUNTY</t>
  </si>
  <si>
    <t>JACKSON COUNTY</t>
  </si>
  <si>
    <t>JEFFERSON COUNTY</t>
  </si>
  <si>
    <t>KNOX COUNTY</t>
  </si>
  <si>
    <t>LAWRENCE COUNTY</t>
  </si>
  <si>
    <t>LICKING COUNTY</t>
  </si>
  <si>
    <t>LOGAN COUNTY</t>
  </si>
  <si>
    <t>LUCAS COUNTY</t>
  </si>
  <si>
    <t>MADISON COUNTY</t>
  </si>
  <si>
    <t>MAHONING COUNTY</t>
  </si>
  <si>
    <t>MARION COUNTY</t>
  </si>
  <si>
    <t>MEIGS COUNTY</t>
  </si>
  <si>
    <t>MERCER COUNTY</t>
  </si>
  <si>
    <t>MIAMI COUNTY</t>
  </si>
  <si>
    <t>MONROE COUNTY</t>
  </si>
  <si>
    <t>MONTGOMERY COUNTY</t>
  </si>
  <si>
    <t>MORGAN COUNTY</t>
  </si>
  <si>
    <t>MORROW COUNTY</t>
  </si>
  <si>
    <t>MUSKINGUM COUNTY</t>
  </si>
  <si>
    <t>NOBLE COUNTY</t>
  </si>
  <si>
    <t>OTTAWA COUNTY</t>
  </si>
  <si>
    <t>PAULDING COUNTY</t>
  </si>
  <si>
    <t>PERRY COUNTY</t>
  </si>
  <si>
    <t>PICKAWAY COUNTY</t>
  </si>
  <si>
    <t>PIKE COUNTY</t>
  </si>
  <si>
    <t>PREBLE COUNTY</t>
  </si>
  <si>
    <t>PUTNAM COUNTY</t>
  </si>
  <si>
    <t>RICHLAND COUNTY</t>
  </si>
  <si>
    <t>ROSS COUNTY</t>
  </si>
  <si>
    <t>SANDUSKY COUNTY</t>
  </si>
  <si>
    <t>SCIOTO COUNTY</t>
  </si>
  <si>
    <t>SENECA COUNTY</t>
  </si>
  <si>
    <t>SHELBY COUNTY</t>
  </si>
  <si>
    <t>STARK COUNTY</t>
  </si>
  <si>
    <t>TRUMBULL COUNTY</t>
  </si>
  <si>
    <t>TUSCARAWAS COUNTY</t>
  </si>
  <si>
    <t>UNION COUNTY</t>
  </si>
  <si>
    <t>VAN WERT COUNTY</t>
  </si>
  <si>
    <t>VINTON COUNTY</t>
  </si>
  <si>
    <t>WARREN COUNTY</t>
  </si>
  <si>
    <t>WASHINGTON COUNTY</t>
  </si>
  <si>
    <t>WAYNE COUNTY</t>
  </si>
  <si>
    <t>WILLIAMS COUNTY</t>
  </si>
  <si>
    <t>WOOD COUNTY</t>
  </si>
  <si>
    <t>WYANDOT COUNTY</t>
  </si>
  <si>
    <t>ODOT Fips Cd</t>
  </si>
  <si>
    <t>Township Highway Agency</t>
  </si>
  <si>
    <t>City or Village Highway Agency</t>
  </si>
  <si>
    <t xml:space="preserve">Fatalities </t>
  </si>
  <si>
    <t xml:space="preserve">Serious Injuries </t>
  </si>
  <si>
    <t xml:space="preserve">Year </t>
  </si>
  <si>
    <t>Crash Location</t>
  </si>
  <si>
    <t>Roadway Contour</t>
  </si>
  <si>
    <t>Weather</t>
  </si>
  <si>
    <t>Hour of Day</t>
  </si>
  <si>
    <t>Type of Unit</t>
  </si>
  <si>
    <t>Traffic Control</t>
  </si>
  <si>
    <t>Special Function</t>
  </si>
  <si>
    <t>Target Group</t>
  </si>
  <si>
    <t>% of Total Fatalities</t>
  </si>
  <si>
    <t>Total Fatalities by Year</t>
  </si>
  <si>
    <t>Railroad Crossing</t>
  </si>
  <si>
    <t>Restraints Not Used Driver/Occupants</t>
  </si>
  <si>
    <t>Young Driver Involvement (15-25)</t>
  </si>
  <si>
    <t>Motorcycle Driver/Passenger</t>
  </si>
  <si>
    <t>Pedestrian Involvement</t>
  </si>
  <si>
    <t xml:space="preserve">Bicycle Involvement </t>
  </si>
  <si>
    <t>% of Total Serious Injuries</t>
  </si>
  <si>
    <t>Total Serious Injuries by Year</t>
  </si>
  <si>
    <t>Alcohol Related Involvement</t>
  </si>
  <si>
    <t>Speed Related Involvement</t>
  </si>
  <si>
    <t>Older Driver Involvement (65+)</t>
  </si>
  <si>
    <t>Distracted Drivers</t>
  </si>
  <si>
    <t>Drug Related Involvement</t>
  </si>
  <si>
    <t>Scenarios</t>
  </si>
  <si>
    <t>User Input</t>
  </si>
  <si>
    <t>Annual</t>
  </si>
  <si>
    <t>Calculated</t>
  </si>
  <si>
    <t>Frequnecy</t>
  </si>
  <si>
    <t>Million Veh. Miles Traveled (MVMT)</t>
  </si>
  <si>
    <t>Graph Value</t>
  </si>
  <si>
    <t>Slope:</t>
  </si>
  <si>
    <t>AMATS</t>
  </si>
  <si>
    <t>Frequency</t>
  </si>
  <si>
    <t>Ohio</t>
  </si>
  <si>
    <t>Intercept</t>
  </si>
  <si>
    <t>Bel-O-Mar</t>
  </si>
  <si>
    <t>Rate</t>
  </si>
  <si>
    <t>BHJTS</t>
  </si>
  <si>
    <t>Fatal and Serious Injuries for Non-Motorized Units</t>
  </si>
  <si>
    <t>Fatalites Rate Per 100 MVMT</t>
  </si>
  <si>
    <t>Serious Injuries Rate Per 100 MVMT</t>
  </si>
  <si>
    <t>Chart Title</t>
  </si>
  <si>
    <t>Graph Line 4</t>
  </si>
  <si>
    <t>CCSTS</t>
  </si>
  <si>
    <t>5 Yr Rolling Avg</t>
  </si>
  <si>
    <t>Graph Line 1</t>
  </si>
  <si>
    <t>Graph Line 5</t>
  </si>
  <si>
    <t>Eastgate</t>
  </si>
  <si>
    <t>Percentage Change in Crashes</t>
  </si>
  <si>
    <t>Graph Line 2</t>
  </si>
  <si>
    <t>Graph Line 6</t>
  </si>
  <si>
    <t>ERPC</t>
  </si>
  <si>
    <t>Graph Line 3</t>
  </si>
  <si>
    <t>Graph Line 7</t>
  </si>
  <si>
    <t>KYOVA</t>
  </si>
  <si>
    <t>Graph Line 8</t>
  </si>
  <si>
    <t>LACRPC</t>
  </si>
  <si>
    <t>LCATS</t>
  </si>
  <si>
    <t>MORPC</t>
  </si>
  <si>
    <t>MVRPC</t>
  </si>
  <si>
    <t>NOACA</t>
  </si>
  <si>
    <t>OKI</t>
  </si>
  <si>
    <t xml:space="preserve">1 Year Target: </t>
  </si>
  <si>
    <t>RCRPC</t>
  </si>
  <si>
    <t xml:space="preserve">2 Year Target: </t>
  </si>
  <si>
    <t>SCATS</t>
  </si>
  <si>
    <t xml:space="preserve">3 Year Target: </t>
  </si>
  <si>
    <t>TMACOG</t>
  </si>
  <si>
    <t xml:space="preserve">4 Year Target: </t>
  </si>
  <si>
    <t>WWWIPC</t>
  </si>
  <si>
    <t>Select Performance Measure:</t>
  </si>
  <si>
    <t xml:space="preserve">5 Year Target: </t>
  </si>
  <si>
    <t>Type:</t>
  </si>
  <si>
    <t xml:space="preserve">6 Year Target: </t>
  </si>
  <si>
    <t>Buckeye Hills</t>
  </si>
  <si>
    <t xml:space="preserve">7 Year Target: </t>
  </si>
  <si>
    <t>LUC</t>
  </si>
  <si>
    <t>Annual Reduction Rate Goal^</t>
  </si>
  <si>
    <t xml:space="preserve">8 Year Target: </t>
  </si>
  <si>
    <t>MVPO</t>
  </si>
  <si>
    <t>Calculated Average</t>
  </si>
  <si>
    <t>Option 1</t>
  </si>
  <si>
    <t>Option 2</t>
  </si>
  <si>
    <t>Option 3</t>
  </si>
  <si>
    <t>Towards Zero</t>
  </si>
  <si>
    <t xml:space="preserve">9 Year Target: </t>
  </si>
  <si>
    <t xml:space="preserve">10 Year Target: </t>
  </si>
  <si>
    <t>OVRDC</t>
  </si>
  <si>
    <t xml:space="preserve">11 Year Target: </t>
  </si>
  <si>
    <t xml:space="preserve">12 Year Target: </t>
  </si>
  <si>
    <t xml:space="preserve">20 Year Target: </t>
  </si>
  <si>
    <t xml:space="preserve">13 Year Target: </t>
  </si>
  <si>
    <t>^Based on 5 year rolling averages</t>
  </si>
  <si>
    <t xml:space="preserve">14 Year Target: </t>
  </si>
  <si>
    <t xml:space="preserve">15 Year Target: </t>
  </si>
  <si>
    <t xml:space="preserve">16 Year Target: </t>
  </si>
  <si>
    <t xml:space="preserve">17 Year Target: </t>
  </si>
  <si>
    <t xml:space="preserve">18 Year Target: </t>
  </si>
  <si>
    <t xml:space="preserve">19 Year Target: </t>
  </si>
  <si>
    <t>Prediction Based on Historical Trend Line</t>
  </si>
  <si>
    <t>Begin Year</t>
  </si>
  <si>
    <t>End Year</t>
  </si>
  <si>
    <t>Non-Intersection</t>
  </si>
  <si>
    <t>Signalized</t>
  </si>
  <si>
    <t>Unsignalized</t>
  </si>
  <si>
    <t>Crash Types</t>
  </si>
  <si>
    <t>Crashes</t>
  </si>
  <si>
    <t>Rank</t>
  </si>
  <si>
    <t>Crash</t>
  </si>
  <si>
    <t>Score</t>
  </si>
  <si>
    <t>Rank 1</t>
  </si>
  <si>
    <t>Rank 2</t>
  </si>
  <si>
    <t>Rank 3</t>
  </si>
  <si>
    <t>TIE B</t>
  </si>
  <si>
    <t>PERFORMANCE MEASURE TARGET SETTING TOOL</t>
  </si>
  <si>
    <t xml:space="preserve">Region: </t>
  </si>
  <si>
    <t>Column Labels</t>
  </si>
  <si>
    <t>HL</t>
  </si>
  <si>
    <t>HANDLOG_CD</t>
  </si>
  <si>
    <t>LOGGING_SOURCE_CD</t>
  </si>
  <si>
    <t>ON_STREET_PREFIX</t>
  </si>
  <si>
    <t>ON_STREET_NAME</t>
  </si>
  <si>
    <t>ON_STREET_SUFFIX</t>
  </si>
  <si>
    <t>ON_STREET_DIRECTION_SUFFIX</t>
  </si>
  <si>
    <t>ON_ROUTE_PREFIX</t>
  </si>
  <si>
    <t>ON_ROUTE</t>
  </si>
  <si>
    <t>ON_ROUTE_SUFFIX</t>
  </si>
  <si>
    <t>AT_STREET_PREFIX</t>
  </si>
  <si>
    <t>AT_STREET_NAME</t>
  </si>
  <si>
    <t>AT_STREET_SUFFIX</t>
  </si>
  <si>
    <t>AT_STREET_DIRECTION_SUFFIX</t>
  </si>
  <si>
    <t>AT_ROUTE_PREFIX</t>
  </si>
  <si>
    <t>AT_ROUTE</t>
  </si>
  <si>
    <t>AT_ROUTE_SUFFIX</t>
  </si>
  <si>
    <t>AT_MILEPOST_REFERENCE</t>
  </si>
  <si>
    <t>AT_ADDRESS_REFERENCE</t>
  </si>
  <si>
    <t>ODOT_REF_POINT_USED_CD</t>
  </si>
  <si>
    <t>ODOT_MILES_FROM_REF_NBR</t>
  </si>
  <si>
    <t>ODOT_DIR_FROM_REF_CD</t>
  </si>
  <si>
    <t>GEOCODE_CITY_NAME</t>
  </si>
  <si>
    <t>ODOT_COUNTY_CD</t>
  </si>
  <si>
    <t>INV_NLFID</t>
  </si>
  <si>
    <t>INV_LOG_NBR</t>
  </si>
  <si>
    <t>COMMENTS_TXT</t>
  </si>
  <si>
    <t>OHIO SHSP
EMPHASIS AREAS  (Total Crashes)</t>
  </si>
  <si>
    <t>OHIO SHSP
EMPHASIS AREAS  (Serious Injuries)</t>
  </si>
  <si>
    <t>OHIO SHSP
EMPHASIS AREAS  (Fatalities)</t>
  </si>
  <si>
    <t>Pre-Crash Action</t>
  </si>
  <si>
    <t>Contributing Circumstances</t>
  </si>
  <si>
    <t>Gender</t>
  </si>
  <si>
    <t>Driver Age</t>
  </si>
  <si>
    <t>Distracted By</t>
  </si>
  <si>
    <t>Non-Motorist Location</t>
  </si>
  <si>
    <t>Estimated Speed</t>
  </si>
  <si>
    <t>Posted Speed</t>
  </si>
  <si>
    <t>Unit 1 Crash Summary</t>
  </si>
  <si>
    <t>Crash Summary Sheet</t>
  </si>
  <si>
    <t>Injury Level</t>
  </si>
  <si>
    <t>Select Site Type</t>
  </si>
  <si>
    <t>Site Average</t>
  </si>
  <si>
    <t>Statewide Average</t>
  </si>
  <si>
    <t>Total (%)</t>
  </si>
  <si>
    <t>Type</t>
  </si>
  <si>
    <t>Fatal Crash</t>
  </si>
  <si>
    <t>Property-Damage-Only</t>
  </si>
  <si>
    <t>Crashes by Crash Type</t>
  </si>
  <si>
    <t>Fatal &amp; All Injury (%)</t>
  </si>
  <si>
    <t>Code</t>
  </si>
  <si>
    <t>Crashes by Light Conditions</t>
  </si>
  <si>
    <t>Light Conditions</t>
  </si>
  <si>
    <t>Crashes by Road Conditions</t>
  </si>
  <si>
    <t>Road Conditions</t>
  </si>
  <si>
    <t>Other / Unknown</t>
  </si>
  <si>
    <t>Document Number</t>
  </si>
  <si>
    <t>CRASH_MONTH_YEAR</t>
  </si>
  <si>
    <t>CRASH_DATE</t>
  </si>
  <si>
    <t>CRASH_SEVERITY_CD</t>
  </si>
  <si>
    <t>HOUR_OF_CRASH</t>
  </si>
  <si>
    <t>IS_COMMERCIAL_RELATED</t>
  </si>
  <si>
    <t>ODOT_REF_ROUTE_PREFIX_CD</t>
  </si>
  <si>
    <t>ODPS_LOC_ROAD_DIRECTION_CD</t>
  </si>
  <si>
    <t>SECONDARY_CRASH</t>
  </si>
  <si>
    <t>U1_IS_ALCOHOL_SUSPECTED</t>
  </si>
  <si>
    <t>U1_IS_MARIJUANA_SUSPECTED</t>
  </si>
  <si>
    <t>U1_IS_OTHER_DRUG_SUSPECTED</t>
  </si>
  <si>
    <t>U1_NUMBER_OF_THRU_LANES</t>
  </si>
  <si>
    <t>U1_OPERATINGIN_AUTONOMOUS_MODE</t>
  </si>
  <si>
    <t>ODPS Reference Point Used</t>
  </si>
  <si>
    <t>Marijuana Related</t>
  </si>
  <si>
    <t>Count of Document Number</t>
  </si>
  <si>
    <t>Marijuana Involved</t>
  </si>
  <si>
    <t>Alcohol Involved</t>
  </si>
  <si>
    <t>Other Drugs Involved</t>
  </si>
  <si>
    <t>On Road</t>
  </si>
  <si>
    <t>At Road</t>
  </si>
  <si>
    <t>Object Struck</t>
  </si>
  <si>
    <t>Metadata</t>
  </si>
  <si>
    <t>Column Name</t>
  </si>
  <si>
    <t>Definition</t>
  </si>
  <si>
    <t xml:space="preserve">Unique number assigned to each crash. It will be the same for the crash level record, unit level record and people level record.  The first four numbers will designate the crash year. </t>
  </si>
  <si>
    <t>Calculated field to display the crash image</t>
  </si>
  <si>
    <t>Year of Crash</t>
  </si>
  <si>
    <t>ODOT’s graphic roadway network geometric segments unique identifier upon which the crash occurred</t>
  </si>
  <si>
    <t>Jurisdiction of the section of roadway upon which the crash occurred.</t>
  </si>
  <si>
    <t>County abbreviation for the section of roadway in which the crash occurred.</t>
  </si>
  <si>
    <t>The route type associated with the route upon which the crash occurred.</t>
  </si>
  <si>
    <t>The county based straight line mileage of the route, at which the crash occurred based on three decimals.</t>
  </si>
  <si>
    <t>The angular distance, measured in degrees, north or south from the equator at which the crash occurred and is directly related to ODOT's LRS.</t>
  </si>
  <si>
    <t>Distance East or West on the Earth's surface measured as an arc of the equator (in degrees up to 180 degrees) between the meridian passing through a particular place and a standard or prime meridian, usually the one passing through Greenwich, England, at which the crash occurred and is directly related to ODOT's LRS.</t>
  </si>
  <si>
    <t>Jurisdictional boundary code corresponding to a named place recognized by the U.S. Bureau of the Census based on information provided by State, county, and local governments.</t>
  </si>
  <si>
    <t>Total Number of Fatalities</t>
  </si>
  <si>
    <t>Total Number of Possible Injuries</t>
  </si>
  <si>
    <t>Total Number of no Injuries reported</t>
  </si>
  <si>
    <t>Total number of units involved in the crash</t>
  </si>
  <si>
    <t>ODOT's calculated crash type similar to manner of collision but has been expanded for  engineering purposes.</t>
  </si>
  <si>
    <t>Indicates when a vehicles leaves its lane of travel (left or right).</t>
  </si>
  <si>
    <t>ODOT's calculated intersection related based on ODPS's intersection related flag and if a unit had traffic control that occurs at intersections.</t>
  </si>
  <si>
    <t>The type of location that best describes where the first event of the crash occurred.</t>
  </si>
  <si>
    <t>The operational characteristics of the section of roadway (i.e. one way, two way, ramp).</t>
  </si>
  <si>
    <t>U.S. Census Urban Area Code associated with the section of roadway where the crash occurred.</t>
  </si>
  <si>
    <t>The roadway classes for the FHWA approved Functional Class system.  This is based upon assignment of roads into systems according to the character of service they provide in relation to the total road network upon which the crash occurred.</t>
  </si>
  <si>
    <t>Indicates the Roadway section that is part of the National Highway System upon which the crash occurred.</t>
  </si>
  <si>
    <t>Indicates whether a roadway section is part of a divided highway upon which the crash occurred.</t>
  </si>
  <si>
    <t>The number of lanes in both directions carrying through traffic upon which the crash occurred.</t>
  </si>
  <si>
    <t>The control as it actually exists on the roadway where the crash occurred.</t>
  </si>
  <si>
    <t>Flag that indicates that the crash occurred on a freeway or freeway look a like facility</t>
  </si>
  <si>
    <t>Flag that indicates the crash occurred on an interstate route.</t>
  </si>
  <si>
    <t>Flag that indicates the crash occurred upon a segment of roadway maintained by ODOT.</t>
  </si>
  <si>
    <t>Maintenance Authority Code of the roadway segment on which the crash was located.</t>
  </si>
  <si>
    <t>Jurisdictional boundary named place recognized by the U.S. Bureau of the Census based on information provided by State, county, and local governments.</t>
  </si>
  <si>
    <t>Date of Crash</t>
  </si>
  <si>
    <t>Month of Crash</t>
  </si>
  <si>
    <t>Number associated with the day of week the crash occurred.</t>
  </si>
  <si>
    <t>The prevailing atmospheric conditions at the time of the crash.</t>
  </si>
  <si>
    <t>The alignment and grade characteristics that best describe the roadway at the location of the first event</t>
  </si>
  <si>
    <t>Flag indicating alcohol involved</t>
  </si>
  <si>
    <t>Flag indicating that the crash occurred in an active school zone</t>
  </si>
  <si>
    <t>Flag indicating motorcycle involved</t>
  </si>
  <si>
    <t>Flag indicating excessive speed involved</t>
  </si>
  <si>
    <t>Flag indicating a senor driver (age 65 and older) was involved.</t>
  </si>
  <si>
    <t>Flag indicating the crash occurred in a work zone.</t>
  </si>
  <si>
    <t>Codes indicating where in the work zone the crash occurred.</t>
  </si>
  <si>
    <t>Codes indicating what type of work zone was in place at the time of the crash.</t>
  </si>
  <si>
    <t>Flag indicating a youthful driver (age 15-25) was involved.</t>
  </si>
  <si>
    <t>Flag indicating the driver was distracted</t>
  </si>
  <si>
    <t>The street name prefix or direction upon which the crash occurred</t>
  </si>
  <si>
    <t>The street name upon which the crash occurred</t>
  </si>
  <si>
    <t>The street name suffix upon which the crash occurred</t>
  </si>
  <si>
    <t>ODPS street name directional suffix (i.e. NW, SE) upon which the crash occurred.</t>
  </si>
  <si>
    <t>The route prefix upon which the crash occurred</t>
  </si>
  <si>
    <t>The route ID upon which the crash occurred</t>
  </si>
  <si>
    <t>ODPS routes suffix upon which the crash occurred (state or local).</t>
  </si>
  <si>
    <t>The street name prefix or direction at which the crash occurred</t>
  </si>
  <si>
    <t>Street Name or House Number or Mile Post Number</t>
  </si>
  <si>
    <t>The street name suffix at which the crash occurred.</t>
  </si>
  <si>
    <t>ODPS street name directional suffix (i.e. NW, SE) at which the crash occurred (intersection reference type).</t>
  </si>
  <si>
    <t>The route prefix or type at which the crash occurred</t>
  </si>
  <si>
    <t>The route ID at which the crash occurred.</t>
  </si>
  <si>
    <t>ODPS routes suffix at which the crash occurred (state or local)  (intersection reference type).</t>
  </si>
  <si>
    <t>ODPS address box number at which crash occurred (address reference type)</t>
  </si>
  <si>
    <t>ODPS milepost sign number at which the crash occurred (milepost reference type)</t>
  </si>
  <si>
    <t>Type of reference used (includes converted codes form the 2001 crash report form).</t>
  </si>
  <si>
    <t>The unique identifier within a given year that identifies a given crash within a reporting agency.</t>
  </si>
  <si>
    <t>Flag indicating that ODO Unit 1 (U1) was identified as fault</t>
  </si>
  <si>
    <t>ODPS Unit Number for ODOT Unit 1</t>
  </si>
  <si>
    <t>Direction from which the vehicle/non-motorist was traveling.</t>
  </si>
  <si>
    <t>Direction toward which the vehicle/non-motorist was traveling.</t>
  </si>
  <si>
    <t>ODOT's calculated Unit 1 derived action prior to the crash based on officer provided pre-crash actions or from/to directions.</t>
  </si>
  <si>
    <t>Codes indicating the type of Roadway Traffic Control device for Unit 1.</t>
  </si>
  <si>
    <t>Codes indicating the general configuration or shape of Unit 1 distinguished by characteristics such as number of doors, rows of seats, windows, or roof line.</t>
  </si>
  <si>
    <t>Codes indicating the special function served by Unit 1, whether or not the function is marked on the vehicle.</t>
  </si>
  <si>
    <t>Actual or estimated speed of Unit 1 at time of crash.</t>
  </si>
  <si>
    <t>Posted Speed for Unit 1 at the time of the crash.</t>
  </si>
  <si>
    <t xml:space="preserve">Unit 1's activity immediately prior to the crash. </t>
  </si>
  <si>
    <t>Code indicating that Unit 1 struck an object as part of one of the six sequence of events.  (codes relate solely to sequence of events)</t>
  </si>
  <si>
    <t>Unit 1's sequence 1 of 6 for the events of the crash.</t>
  </si>
  <si>
    <t>Unit 1's sequence 2 of 6 for the events of the crash.</t>
  </si>
  <si>
    <t>Unit 1's sequence 3 of 6 for the events of the crash.</t>
  </si>
  <si>
    <t>Unit 1's sequence 4 of 6 for the events of the crash.</t>
  </si>
  <si>
    <t>Unit 1's sequence 5 of 6 for the events of the crash.</t>
  </si>
  <si>
    <t>Unit 1's sequence 6 of 6 for the events of the crash.</t>
  </si>
  <si>
    <t>The location of the non-motorist with respect to the roadway prior to the time of the crash.</t>
  </si>
  <si>
    <t>Age of the Driver of Unit 1</t>
  </si>
  <si>
    <t>Codes indicating the gender of the Driver of Unit 1</t>
  </si>
  <si>
    <t>Codes indicating the distractions which may have influenced the driver's performance of Unit 1.</t>
  </si>
  <si>
    <t>ODPS number for ODOT Unit 2</t>
  </si>
  <si>
    <t>ODOT's calculated Unit 2 derived action prior to the crash based on officer provided pre-crash actions or from/to directions.</t>
  </si>
  <si>
    <t>Codes indicating the type of Roadway Traffic Control device for Unit 2.</t>
  </si>
  <si>
    <t>Codes indicating the general configuration or shape of Unit 2 distinguished by characteristics such as number of doors, rows of seats, windows, or roof line.</t>
  </si>
  <si>
    <t>Codes indicating the special function served by Unit 2, whether or not the function is marked on the vehicle.</t>
  </si>
  <si>
    <t>Actual or estimated speed of Unit 2 at time of crash.</t>
  </si>
  <si>
    <t>Posted Speed for Unit 2 at the time of the crash.</t>
  </si>
  <si>
    <t xml:space="preserve">Unit 2's activity immediately prior to the crash. </t>
  </si>
  <si>
    <t>Unit 2's sequence 1 of 6 for the events of the crash.</t>
  </si>
  <si>
    <t>Unit 2's sequence 2 of 6 for the events of the crash.</t>
  </si>
  <si>
    <t>Unit 2's sequence 3 of 6 for the events of the crash.</t>
  </si>
  <si>
    <t>Unit 2's sequence 4 of 6 for the events of the crash.</t>
  </si>
  <si>
    <t>Unit 2's sequence 5 of 6 for the events of the crash.</t>
  </si>
  <si>
    <t>Unit 2's sequence 6 of 6 for the events of the crash.</t>
  </si>
  <si>
    <t>Age of the Driver of Unit 2</t>
  </si>
  <si>
    <t>Codes indicating the gender of the Driver of Unit 2</t>
  </si>
  <si>
    <t>Codes indicating the distractions which may have influenced the driver's performance of Unit 2.</t>
  </si>
  <si>
    <t>ODPS number for ODOT Unit 3</t>
  </si>
  <si>
    <t>Codes indicating the type of Roadway Traffic Control device for Unit 3.</t>
  </si>
  <si>
    <t>Codes indicating the general configuration or shape of Unit 3 distinguished by characteristics such as number of doors, rows of seats, windows, or roof line.</t>
  </si>
  <si>
    <t>Codes indicating the special function served by Unit 3, whether or not the function is marked on the vehicle.</t>
  </si>
  <si>
    <t xml:space="preserve">Unit 3's activity immediately prior to the crash. </t>
  </si>
  <si>
    <t>Unit 3's sequence 1 of 6 for the events of the crash.</t>
  </si>
  <si>
    <t>Unit 3's sequence 2 of 6 for the events of the crash.</t>
  </si>
  <si>
    <t>Unit 3's sequence 3 of 6 for the events of the crash.</t>
  </si>
  <si>
    <t>Unit 3's sequence 4 of 6 for the events of the crash.</t>
  </si>
  <si>
    <t>Unit 3's sequence 5 of 6 for the events of the crash.</t>
  </si>
  <si>
    <t>Unit 3's sequence 6 of 6 for the events of the crash.</t>
  </si>
  <si>
    <t>Unique Intersection ID that associates the crash with the intersection referenced or by a spatial join of the crash to the intersection</t>
  </si>
  <si>
    <t>Leg ID of the Intersection upon which the crash occurred (from Intersection Inventory)</t>
  </si>
  <si>
    <t>Unique Interchange ID that associates the crash with the intersection referenced or by a spatial join of the crash to the interchange.</t>
  </si>
  <si>
    <t>Ramp ID from SA Inventory</t>
  </si>
  <si>
    <t>Segment ID from SA Inventory</t>
  </si>
  <si>
    <t>The state based straight line mileage of the route, at which the crash occurred based on three decimals.</t>
  </si>
  <si>
    <t xml:space="preserve">Select Authority: </t>
  </si>
  <si>
    <t>Roundabout</t>
  </si>
  <si>
    <t>Signal</t>
  </si>
  <si>
    <t>Flasher</t>
  </si>
  <si>
    <t>No Control</t>
  </si>
  <si>
    <t>Passenger Car</t>
  </si>
  <si>
    <t>Passenger Van (minivan)</t>
  </si>
  <si>
    <t>Pick up</t>
  </si>
  <si>
    <t>Cargo Van</t>
  </si>
  <si>
    <t>Van (9-15 Seats)</t>
  </si>
  <si>
    <t>Motorcycle 2 Wheeled</t>
  </si>
  <si>
    <t>Motorcycle 3 Wheeled</t>
  </si>
  <si>
    <t>Autocycle</t>
  </si>
  <si>
    <t>Moped or Motorized Bicycle</t>
  </si>
  <si>
    <t>All Terrain Vehicle (ATV/UTV)</t>
  </si>
  <si>
    <t>Snowmobile</t>
  </si>
  <si>
    <t>Single Unit Truck</t>
  </si>
  <si>
    <t>Semi-Tractor</t>
  </si>
  <si>
    <t>Limo (Livery Vehicle)</t>
  </si>
  <si>
    <t>Bus (16+ Passengers)</t>
  </si>
  <si>
    <t>Other Vehicle</t>
  </si>
  <si>
    <t>Heavy Equipment</t>
  </si>
  <si>
    <t>Animal with Rider or Animal Drawn Vehicle</t>
  </si>
  <si>
    <t>Wheelchair (Any type)</t>
  </si>
  <si>
    <t>Bicycle</t>
  </si>
  <si>
    <t>Unknown or Hit/Skip</t>
  </si>
  <si>
    <t>Dawn/Dusk</t>
  </si>
  <si>
    <t>Minor Injury Suspected</t>
  </si>
  <si>
    <t>Injury Possible</t>
  </si>
  <si>
    <t>Failure to Yield</t>
  </si>
  <si>
    <t>Left of Center</t>
  </si>
  <si>
    <t>Improper Lane Change</t>
  </si>
  <si>
    <t>Improper Passing</t>
  </si>
  <si>
    <t>Drove off Road</t>
  </si>
  <si>
    <t>Improper Start From a Parked Position</t>
  </si>
  <si>
    <t>Stopped or Parked Illegally</t>
  </si>
  <si>
    <t>Swerving to Avoid</t>
  </si>
  <si>
    <t>Wrong Way</t>
  </si>
  <si>
    <t>Load shifting/Falling/Spilling</t>
  </si>
  <si>
    <t>Lying in Roadway</t>
  </si>
  <si>
    <t>Not Discernible</t>
  </si>
  <si>
    <t>Opening Door into Roadway</t>
  </si>
  <si>
    <t>Violating License Restriction</t>
  </si>
  <si>
    <t>Not Distracted</t>
  </si>
  <si>
    <t>Manually operating an electronic communication device (testing, typing, dialing)</t>
  </si>
  <si>
    <t>Talking on hands free communication device</t>
  </si>
  <si>
    <t>Talking on hand held communication device</t>
  </si>
  <si>
    <t>Other activity with an electronic device</t>
  </si>
  <si>
    <t>Passenger</t>
  </si>
  <si>
    <t>Other distraction inside the vehicle</t>
  </si>
  <si>
    <t>Other distraction outside the vehicle</t>
  </si>
  <si>
    <t>Intersection – Marked Crosswalk</t>
  </si>
  <si>
    <t>Intersection – Unmarked Crosswalk</t>
  </si>
  <si>
    <t>Intersection – Other</t>
  </si>
  <si>
    <t>Midblock – Marked Crosswalk</t>
  </si>
  <si>
    <t>Travel Lane – Other Location</t>
  </si>
  <si>
    <t>First Responder at Incident Scene</t>
  </si>
  <si>
    <t>Slowing or Stopped In Traffic</t>
  </si>
  <si>
    <t>Negotiating a Curve</t>
  </si>
  <si>
    <t>Entering or Crossing Specified Location</t>
  </si>
  <si>
    <t>Walking, Running, Jogging, Playing</t>
  </si>
  <si>
    <t>Pushing vehicle</t>
  </si>
  <si>
    <t>Approaching or Leaving Vehicle</t>
  </si>
  <si>
    <t>Standing Outside Disabled Vehicle</t>
  </si>
  <si>
    <t>Equipment Failure (Blown Tire, Brake Failure, Etc)</t>
  </si>
  <si>
    <t>Cross Centerline – Opposite direction of travel</t>
  </si>
  <si>
    <t>Railway Vehicle (E.G. Train, Engine)</t>
  </si>
  <si>
    <t>Animal – Farm</t>
  </si>
  <si>
    <t>Animal – Deer</t>
  </si>
  <si>
    <t>Animal – Other</t>
  </si>
  <si>
    <t>Work Zone Maintenance Equipment</t>
  </si>
  <si>
    <t>Struck By Falling, Shifting Car, or Anything Set in Motion By A Motor Vehicle</t>
  </si>
  <si>
    <t>Other Movable Object Collision With Fixed Object – STRUCK</t>
  </si>
  <si>
    <t>Wall</t>
  </si>
  <si>
    <t>Building</t>
  </si>
  <si>
    <t>Tunnel</t>
  </si>
  <si>
    <t>Electronic Ride Sharing</t>
  </si>
  <si>
    <t>School Transport</t>
  </si>
  <si>
    <t>Bus – Transit/Commuter</t>
  </si>
  <si>
    <t>Bus – Charter/Tour</t>
  </si>
  <si>
    <t>Bus – Intercity</t>
  </si>
  <si>
    <t>Bus – Shuttle</t>
  </si>
  <si>
    <t>Bus – Other</t>
  </si>
  <si>
    <t>Farm</t>
  </si>
  <si>
    <t>Mowing</t>
  </si>
  <si>
    <t>Snow Removal</t>
  </si>
  <si>
    <t>Towing</t>
  </si>
  <si>
    <t>Safety Service Patrol</t>
  </si>
  <si>
    <t>Mail Carrier</t>
  </si>
  <si>
    <t>Historical path to display the crash image</t>
  </si>
  <si>
    <t>Indicates the five-level severity of the crash</t>
  </si>
  <si>
    <t>The street name upon which the crash occurred at</t>
  </si>
  <si>
    <t>Jurisdiction Name Related to FIPS Code</t>
  </si>
  <si>
    <t>Total Number of Suspected Serious Injuries</t>
  </si>
  <si>
    <t>Total Number of Suspected Minor Injuries</t>
  </si>
  <si>
    <t>Total number of unrestrained occupants in the crash</t>
  </si>
  <si>
    <t>Hour of Crash</t>
  </si>
  <si>
    <t>The roadway surface condition at the location of the first event.</t>
  </si>
  <si>
    <t>The lighting conditions at the time of the crash</t>
  </si>
  <si>
    <t>Flag indicating marijuana involved</t>
  </si>
  <si>
    <t>Flag indicating other drugs involved</t>
  </si>
  <si>
    <t xml:space="preserve">Actions of Unit 1 that may have contributed to the crash. </t>
  </si>
  <si>
    <t xml:space="preserve">Actions of Unit 2 that may have contributed to the crash. </t>
  </si>
  <si>
    <t xml:space="preserve">Actions of Unit 3 that may have contributed to the crash. </t>
  </si>
  <si>
    <t>Aggregated Jurisdiction</t>
  </si>
  <si>
    <t>Link to Google Maps</t>
  </si>
  <si>
    <t>Link to Mashed Map</t>
  </si>
  <si>
    <t>Link to Pathways Roadviewer</t>
  </si>
  <si>
    <t>Code related to type jurisdiction on the crash report form</t>
  </si>
  <si>
    <t>User Defined - Can be used to code crashes as necessary</t>
  </si>
  <si>
    <t>Crash Report Link</t>
  </si>
  <si>
    <t>Marijuana Involvement</t>
  </si>
  <si>
    <t>Total Crashes by Year</t>
  </si>
  <si>
    <t>% of Total Crashes</t>
  </si>
  <si>
    <t>HSM_Severity</t>
  </si>
  <si>
    <t>HSM_MV_SV</t>
  </si>
  <si>
    <t>*2020 Data is Preliminary</t>
  </si>
  <si>
    <t/>
  </si>
  <si>
    <t>15-19</t>
  </si>
  <si>
    <t>20-24</t>
  </si>
  <si>
    <t>25-29</t>
  </si>
  <si>
    <t>30-34</t>
  </si>
  <si>
    <t>35-39</t>
  </si>
  <si>
    <t>40-44</t>
  </si>
  <si>
    <t>45-49</t>
  </si>
  <si>
    <t>50-54</t>
  </si>
  <si>
    <t>55-59</t>
  </si>
  <si>
    <t>60-64</t>
  </si>
  <si>
    <t>65-69</t>
  </si>
  <si>
    <t>&lt;15</t>
  </si>
  <si>
    <t>RD</t>
  </si>
  <si>
    <t>FRA</t>
  </si>
  <si>
    <t>State</t>
  </si>
  <si>
    <t>US</t>
  </si>
  <si>
    <t>A</t>
  </si>
  <si>
    <t>MAD</t>
  </si>
  <si>
    <t>B</t>
  </si>
  <si>
    <t>SFRAUS00040**C</t>
  </si>
  <si>
    <t>SFRAUS00040**N</t>
  </si>
  <si>
    <t>NATIONAL</t>
  </si>
  <si>
    <t>(1) Fatal</t>
  </si>
  <si>
    <t>(2) Serious Injury Suspected</t>
  </si>
  <si>
    <t>(3) Minor Injury Suspected</t>
  </si>
  <si>
    <t>(4) Injury Possible</t>
  </si>
  <si>
    <t>(5) PDO/No Injury</t>
  </si>
  <si>
    <t>(1) Sunday</t>
  </si>
  <si>
    <t>(2) Monday</t>
  </si>
  <si>
    <t>(3) Tuesday</t>
  </si>
  <si>
    <t>(4) Wednesday</t>
  </si>
  <si>
    <t>(5) Thursday</t>
  </si>
  <si>
    <t>(6) Friday</t>
  </si>
  <si>
    <t>(7) Saturday</t>
  </si>
  <si>
    <t>Day of Week</t>
  </si>
  <si>
    <t>ODOT Location</t>
  </si>
  <si>
    <t>Older Driver (65+)</t>
  </si>
  <si>
    <t>Young Driver (15-25)</t>
  </si>
  <si>
    <t>Intersection Related</t>
  </si>
  <si>
    <t>Unit 1 Pre-Crash Action</t>
  </si>
  <si>
    <t>Unit 1 Contributing Factor</t>
  </si>
  <si>
    <t>Unit 1 Traffic Control</t>
  </si>
  <si>
    <t>Unit 1 Posted Speed</t>
  </si>
  <si>
    <t>Unit 1 Estimated Speed</t>
  </si>
  <si>
    <t>Unit 1 Direction From</t>
  </si>
  <si>
    <t>Unit 1 Direction To</t>
  </si>
  <si>
    <t>Unit 1 Type</t>
  </si>
  <si>
    <t>Unit 1 Special Function</t>
  </si>
  <si>
    <t>Unit 2 Contributing Factor</t>
  </si>
  <si>
    <t>Unit 2 Pre-Crash Action</t>
  </si>
  <si>
    <t>Unit 1 Summary</t>
  </si>
  <si>
    <t>Unit 2 Summary</t>
  </si>
  <si>
    <t>Unit 2 Direction To</t>
  </si>
  <si>
    <t>Unit 2 Direction From</t>
  </si>
  <si>
    <t>Serious Injury Supected</t>
  </si>
  <si>
    <t>Emphasis Area</t>
  </si>
  <si>
    <t>ParameterTable</t>
  </si>
  <si>
    <t>PARAM</t>
  </si>
  <si>
    <t>VALUE</t>
  </si>
  <si>
    <t>Lookup Value</t>
  </si>
  <si>
    <t>CTL_BEGIN_NBR</t>
  </si>
  <si>
    <t xml:space="preserve"> AND CRASH_TYPE_CD NOT IN (9) </t>
  </si>
  <si>
    <t>CTL_END_NBR</t>
  </si>
  <si>
    <t xml:space="preserve"> AND ODPS_WORK_ZONE_IND = 'N' </t>
  </si>
  <si>
    <t>BEGIN_YR</t>
  </si>
  <si>
    <t>END_YR</t>
  </si>
  <si>
    <t>TYPE CODE</t>
  </si>
  <si>
    <t>QUALIFIER</t>
  </si>
  <si>
    <t>User_Defined</t>
  </si>
  <si>
    <t>ON_ROAD</t>
  </si>
  <si>
    <t>AT_ROAD</t>
  </si>
  <si>
    <t>ODOT_CITY_VILLAGE_TWP_CD</t>
  </si>
  <si>
    <t>ODOT_LOC_ROUTE_PREFIX_CD</t>
  </si>
  <si>
    <t>MARIJUANA_IND</t>
  </si>
  <si>
    <t>Jurisdiction_Type</t>
  </si>
  <si>
    <t>US00040</t>
  </si>
  <si>
    <t>64570</t>
  </si>
  <si>
    <t>19234</t>
  </si>
  <si>
    <t>40</t>
  </si>
  <si>
    <t>45</t>
  </si>
  <si>
    <t>Other/Unknown</t>
  </si>
  <si>
    <t>35</t>
  </si>
  <si>
    <t>Traffic Signal</t>
  </si>
  <si>
    <t>0</t>
  </si>
  <si>
    <t>(07) July</t>
  </si>
  <si>
    <t>Pickup</t>
  </si>
  <si>
    <t>52</t>
  </si>
  <si>
    <t>72</t>
  </si>
  <si>
    <t>307306</t>
  </si>
  <si>
    <t>STURBRIDGE RD</t>
  </si>
  <si>
    <t>STURBRIDGE</t>
  </si>
  <si>
    <t>19149668</t>
  </si>
  <si>
    <t>5.371</t>
  </si>
  <si>
    <t>93.191</t>
  </si>
  <si>
    <t>https://hsip.dot.state.oh.us/report/?DOCNBR=20194231263</t>
  </si>
  <si>
    <t>13</t>
  </si>
  <si>
    <t>Following Too Closely/ACDA</t>
  </si>
  <si>
    <t>SURFACE_TYPE_LEFT_CD</t>
  </si>
  <si>
    <t>SURFACE_TYPE_RIGHT_CD</t>
  </si>
  <si>
    <t>SURFACE_WIDTH</t>
  </si>
  <si>
    <t>SHOULDER_PVD_WIDTH_OUT_LT</t>
  </si>
  <si>
    <t>SURFACE_TYPE_LEFT_CD2</t>
  </si>
  <si>
    <t>SURFACE_WIDTH_LEFT</t>
  </si>
  <si>
    <t>SHOULDER_PVD_WIDTH_IN_LT</t>
  </si>
  <si>
    <t>DIVIDED_HWY_IND</t>
  </si>
  <si>
    <t>SHOULDER_PVD_WIDTH_OUT_RT</t>
  </si>
  <si>
    <t>SURFACE_TYPE_RIGHT_CD2</t>
  </si>
  <si>
    <t>SURFACE_WIDTH_RIGHT</t>
  </si>
  <si>
    <t>SHOULDER_PVD_WIDTH_IN_RT</t>
  </si>
  <si>
    <t>MILEAGE_CLASS</t>
  </si>
  <si>
    <t>FIPS_CD</t>
  </si>
  <si>
    <t>STREET_PREFIX_DIR_CD</t>
  </si>
  <si>
    <t>STREET_NAME</t>
  </si>
  <si>
    <t>STREET_SUFFIX_CD</t>
  </si>
  <si>
    <t>STREET_DIR_SUFFIX_CD</t>
  </si>
  <si>
    <t>MUNI_POPULATION</t>
  </si>
  <si>
    <t>AREA_CODE_NBR</t>
  </si>
  <si>
    <t>FUNCTION_CLASS_CD</t>
  </si>
  <si>
    <t>NHS_INTERMODAL_FACILITY_CD</t>
  </si>
  <si>
    <t>ADT_PSNGR_CAR_NBR</t>
  </si>
  <si>
    <t>ADT_TOTAL_NBR</t>
  </si>
  <si>
    <t>ADT_YEAR_NBR</t>
  </si>
  <si>
    <t>G</t>
  </si>
  <si>
    <t>TOTAL_VOLUME_NBR</t>
  </si>
  <si>
    <t>TRUCK_VOLUME_NBR</t>
  </si>
  <si>
    <t>VOLUME_CAPACITY_RATIO_NBR</t>
  </si>
  <si>
    <t>SECTION_LENGTH_NBR</t>
  </si>
  <si>
    <t>D</t>
  </si>
  <si>
    <t xml:space="preserve">UP  </t>
  </si>
  <si>
    <t xml:space="preserve">COMPOSITE           </t>
  </si>
  <si>
    <t>HO</t>
  </si>
  <si>
    <t>LF</t>
  </si>
  <si>
    <t>MF</t>
  </si>
  <si>
    <t>LO</t>
  </si>
  <si>
    <t xml:space="preserve">E </t>
  </si>
  <si>
    <t>LOGPOINT_COUNTY_END_NBR2</t>
  </si>
  <si>
    <t>Road Segment</t>
  </si>
  <si>
    <t>FRA IR 70 0.00</t>
  </si>
  <si>
    <t>Awarded</t>
  </si>
  <si>
    <t>ODOT Let</t>
  </si>
  <si>
    <t>Traffic Control (Safety)</t>
  </si>
  <si>
    <t>POLING, DAVID P</t>
  </si>
  <si>
    <t>CAR</t>
  </si>
  <si>
    <t>SUM</t>
  </si>
  <si>
    <t>BUT</t>
  </si>
  <si>
    <t>MED</t>
  </si>
  <si>
    <t>POR</t>
  </si>
  <si>
    <t>CUY</t>
  </si>
  <si>
    <t>MIA</t>
  </si>
  <si>
    <t>UNI</t>
  </si>
  <si>
    <t>PER</t>
  </si>
  <si>
    <t>GRE</t>
  </si>
  <si>
    <t>LIC</t>
  </si>
  <si>
    <t>LAK</t>
  </si>
  <si>
    <t>WAR</t>
  </si>
  <si>
    <t>DAR</t>
  </si>
  <si>
    <t>MAH</t>
  </si>
  <si>
    <t>WOO</t>
  </si>
  <si>
    <t>STA</t>
  </si>
  <si>
    <t>DEL</t>
  </si>
  <si>
    <t>OTT</t>
  </si>
  <si>
    <t>HAM</t>
  </si>
  <si>
    <t>RIC</t>
  </si>
  <si>
    <t>CLA</t>
  </si>
  <si>
    <t>CHP</t>
  </si>
  <si>
    <t>ALL</t>
  </si>
  <si>
    <t>HOC</t>
  </si>
  <si>
    <t>CLE</t>
  </si>
  <si>
    <t>COL</t>
  </si>
  <si>
    <t>SAN</t>
  </si>
  <si>
    <t>LOR</t>
  </si>
  <si>
    <t>ATH</t>
  </si>
  <si>
    <t>MOT</t>
  </si>
  <si>
    <t>KNO</t>
  </si>
  <si>
    <t>ATB</t>
  </si>
  <si>
    <t>ERI</t>
  </si>
  <si>
    <t>JEF</t>
  </si>
  <si>
    <t>TRU</t>
  </si>
  <si>
    <t>SHE</t>
  </si>
  <si>
    <t>WYA</t>
  </si>
  <si>
    <t>PIC</t>
  </si>
  <si>
    <t>WAS</t>
  </si>
  <si>
    <t>MUS</t>
  </si>
  <si>
    <t>FAI</t>
  </si>
  <si>
    <t>MEG</t>
  </si>
  <si>
    <t>MRG</t>
  </si>
  <si>
    <t>HAN</t>
  </si>
  <si>
    <t>HUR</t>
  </si>
  <si>
    <t>AUG</t>
  </si>
  <si>
    <t>ASD</t>
  </si>
  <si>
    <t>LAW</t>
  </si>
  <si>
    <t>MAR</t>
  </si>
  <si>
    <t>SEN</t>
  </si>
  <si>
    <t>DEF</t>
  </si>
  <si>
    <t>TUS</t>
  </si>
  <si>
    <t>MOE</t>
  </si>
  <si>
    <t>BEL</t>
  </si>
  <si>
    <t>BRO</t>
  </si>
  <si>
    <t>PIK</t>
  </si>
  <si>
    <t>ROS</t>
  </si>
  <si>
    <t>GEA</t>
  </si>
  <si>
    <t>MRW</t>
  </si>
  <si>
    <t>C:\Temp\</t>
  </si>
  <si>
    <t>CAM Tool FS_1.14</t>
  </si>
  <si>
    <t>Relative Severity Index Calculation</t>
  </si>
  <si>
    <t>All Sites</t>
  </si>
  <si>
    <t>NLFID:</t>
  </si>
  <si>
    <t>FindTruck</t>
  </si>
  <si>
    <t>HSM Elements Only</t>
  </si>
  <si>
    <t>Blog:</t>
  </si>
  <si>
    <t>FindVC</t>
  </si>
  <si>
    <t>Observed Elements Only</t>
  </si>
  <si>
    <t>KA</t>
  </si>
  <si>
    <t>O</t>
  </si>
  <si>
    <t>Elog:</t>
  </si>
  <si>
    <t>WAADT:</t>
  </si>
  <si>
    <t>Fill in the Number of Crashes by Crash Type</t>
  </si>
  <si>
    <t>WAADTT:</t>
  </si>
  <si>
    <t>Number of Crashes</t>
  </si>
  <si>
    <t>RSI Multiplier</t>
  </si>
  <si>
    <t>WVCRatio:</t>
  </si>
  <si>
    <t>TotalLength:</t>
  </si>
  <si>
    <t>Functional Class:</t>
  </si>
  <si>
    <t>Truck %:</t>
  </si>
  <si>
    <t>Totals</t>
  </si>
  <si>
    <t>URBAN_AREA</t>
  </si>
  <si>
    <t>CRASH_COST_NBR</t>
  </si>
  <si>
    <t>Crash_Count</t>
  </si>
  <si>
    <t>SCI</t>
  </si>
  <si>
    <t>HIG</t>
  </si>
  <si>
    <t>HAR</t>
  </si>
  <si>
    <t>CRA</t>
  </si>
  <si>
    <t>CLI</t>
  </si>
  <si>
    <t>PUT</t>
  </si>
  <si>
    <t>GUE</t>
  </si>
  <si>
    <t>COS</t>
  </si>
  <si>
    <t>NOB</t>
  </si>
  <si>
    <t>GAL</t>
  </si>
  <si>
    <t>HEN</t>
  </si>
  <si>
    <t>MER</t>
  </si>
  <si>
    <t>FUL</t>
  </si>
  <si>
    <t>JAC</t>
  </si>
  <si>
    <t>PRE</t>
  </si>
  <si>
    <t>HAS</t>
  </si>
  <si>
    <t>HOL</t>
  </si>
  <si>
    <t>LOG</t>
  </si>
  <si>
    <t>WIL</t>
  </si>
  <si>
    <t>PAU</t>
  </si>
  <si>
    <t>VIN</t>
  </si>
  <si>
    <t>Crashes Per Year</t>
  </si>
  <si>
    <t>Percent Injury</t>
  </si>
  <si>
    <t>EPDO Values</t>
  </si>
  <si>
    <t>Multiplier</t>
  </si>
  <si>
    <t>Fatal and All Injury Crashes</t>
  </si>
  <si>
    <t>Drug Related (Inc. Marijuana)</t>
  </si>
  <si>
    <t>Other Injuries</t>
  </si>
  <si>
    <t>Unit 2 Type</t>
  </si>
  <si>
    <t>Unit 2 Special Function</t>
  </si>
  <si>
    <t>Equivalent PDO Index Value</t>
  </si>
  <si>
    <t xml:space="preserve">Select </t>
  </si>
  <si>
    <t>--CRASH_YR,</t>
  </si>
  <si>
    <t>DISTRICT_NBR,</t>
  </si>
  <si>
    <t>NLF_COUNTY_CD,</t>
  </si>
  <si>
    <t>--CASE WHEN ODOT_MAINTAINED_HWY_IND = 'Y' THEN 'Yes'</t>
  </si>
  <si>
    <t>--ELSE 'No' END AS ODOT_MAINTAINED_HWY_IND,</t>
  </si>
  <si>
    <t>ELSE 'Yes' END AS URBAN_AREA,</t>
  </si>
  <si>
    <t>--CASE WHEN FUNCTIONAL_CLASS_CD = 1 THEN 'Interstate Route'</t>
  </si>
  <si>
    <t>--WHEN FUNCTIONAL_CLASS_CD = 2 THEN 'Other Freeways or Expressways'</t>
  </si>
  <si>
    <t>--WHEN FUNCTIONAL_CLASS_CD = 3 THEN 'Other Principal Arterial Roads'</t>
  </si>
  <si>
    <t>--WHEN FUNCTIONAL_CLASS_CD = 4 THEN 'Minor Arterial Roads'</t>
  </si>
  <si>
    <t>--WHEN FUNCTIONAL_CLASS_CD = 5 THEN 'Major Collector Roads'</t>
  </si>
  <si>
    <t>--WHEN FUNCTIONAL_CLASS_CD = 6 THEN 'Minor Collector Roads'</t>
  </si>
  <si>
    <t>--WHEN FUNCTIONAL_CLASS_CD = 7 THEN 'Local Roads' END AS FUNCTIONAL_CLASS_CD,</t>
  </si>
  <si>
    <t>CASE WHEN FREEWAY_IND = 'N' THEN 'No'</t>
  </si>
  <si>
    <t>WHEN FREEWAY_IND = 'Y' THEN 'Yes' END AS FREEWAY_IND,</t>
  </si>
  <si>
    <t>CASE WHEN CRASH_TYPE_CD = 0 THEN 'Unknown'</t>
  </si>
  <si>
    <t>WHEN CRASH_TYPE_CD = 1 THEN 'Head On'</t>
  </si>
  <si>
    <t>WHEN CRASH_TYPE_CD = 2 THEN 'Rear End'</t>
  </si>
  <si>
    <t>WHEN CRASH_TYPE_CD = 3 THEN 'Backing'</t>
  </si>
  <si>
    <t>WHEN CRASH_TYPE_CD = 4 THEN 'Sideswipe - Meeting'</t>
  </si>
  <si>
    <t>WHEN CRASH_TYPE_CD = 5 THEN 'Sideswipe - Passing'</t>
  </si>
  <si>
    <t>WHEN CRASH_TYPE_CD = 6 THEN 'Angle'</t>
  </si>
  <si>
    <t>WHEN CRASH_TYPE_CD = 7 THEN 'Parked Vehicle'</t>
  </si>
  <si>
    <t>WHEN CRASH_TYPE_CD = 8 THEN 'Pedestrian'</t>
  </si>
  <si>
    <t>WHEN CRASH_TYPE_CD = 9 THEN 'Animal'</t>
  </si>
  <si>
    <t>WHEN CRASH_TYPE_CD = 10 THEN 'Train'</t>
  </si>
  <si>
    <t>WHEN CRASH_TYPE_CD = 11 THEN 'Pedalcycles'</t>
  </si>
  <si>
    <t>WHEN CRASH_TYPE_CD = 12 THEN 'Other Non-Vehicle'</t>
  </si>
  <si>
    <t>WHEN CRASH_TYPE_CD = 13 THEN 'Fixed Object'</t>
  </si>
  <si>
    <t>WHEN CRASH_TYPE_CD = 14 THEN 'Other Object'</t>
  </si>
  <si>
    <t>WHEN CRASH_TYPE_CD = 15 THEN 'Falling From Or In Vehicle'</t>
  </si>
  <si>
    <t>WHEN CRASH_TYPE_CD = 16 THEN 'Overturning'</t>
  </si>
  <si>
    <t>WHEN CRASH_TYPE_CD = 17 THEN 'Other Non-Collision'</t>
  </si>
  <si>
    <t>WHEN CRASH_TYPE_CD = 18 THEN 'Left Turn'</t>
  </si>
  <si>
    <t>WHEN CRASH_TYPE_CD = 19 THEN 'Right Turn' END AS CRASH_TYPE_CD,</t>
  </si>
  <si>
    <t>,count(DOCUMENT_NBR) as Crash_Count</t>
  </si>
  <si>
    <t>From warehouse.dbo.oh1_cr_crash_details</t>
  </si>
  <si>
    <t>Group by  --CRASH_YR,</t>
  </si>
  <si>
    <t>AREA_CODE,</t>
  </si>
  <si>
    <t>--ODOT_MAINTAINED_HWY_IND,</t>
  </si>
  <si>
    <t>--FUNCTIONAL_CLASS_CD,</t>
  </si>
  <si>
    <t>FREEWAY_IND,</t>
  </si>
  <si>
    <t>Miles from Reference</t>
  </si>
  <si>
    <t>1</t>
  </si>
  <si>
    <t>3</t>
  </si>
  <si>
    <t>Contour</t>
  </si>
  <si>
    <t>CASE WHEN AREA_CODE = 'CLEVE' THEN 'Yes'</t>
  </si>
  <si>
    <t>WHEN AREA_CODE = 99999 THEN 'No'</t>
  </si>
  <si>
    <t>WHEN AREA_CODE = 'YOUNG' THEN 'Yes'</t>
  </si>
  <si>
    <t>STW</t>
  </si>
  <si>
    <t>SV</t>
  </si>
  <si>
    <t>MV</t>
  </si>
  <si>
    <t>FI</t>
  </si>
  <si>
    <t>February</t>
  </si>
  <si>
    <t>March</t>
  </si>
  <si>
    <t>Fixed Object Total</t>
  </si>
  <si>
    <t>Left Turn Total</t>
  </si>
  <si>
    <t>Rear End Total</t>
  </si>
  <si>
    <t>Angle Total</t>
  </si>
  <si>
    <t>Head On Total</t>
  </si>
  <si>
    <t>Sideswipe - Passing Total</t>
  </si>
  <si>
    <t>Right Turn Total</t>
  </si>
  <si>
    <t>0.543 Total</t>
  </si>
  <si>
    <t>5</t>
  </si>
  <si>
    <t>&gt;70</t>
  </si>
  <si>
    <t>January</t>
  </si>
  <si>
    <t>70-74</t>
  </si>
  <si>
    <t>75-79</t>
  </si>
  <si>
    <t>80-84</t>
  </si>
  <si>
    <t>Pedestrian Total</t>
  </si>
  <si>
    <t>Other Non-Collision Total</t>
  </si>
  <si>
    <t>Pedalcycles Total</t>
  </si>
  <si>
    <t>Overturning Total</t>
  </si>
  <si>
    <t>Train Total</t>
  </si>
  <si>
    <t>Parked Vehicle Total</t>
  </si>
  <si>
    <t>Unknown Total</t>
  </si>
  <si>
    <t>14.592 Total</t>
  </si>
  <si>
    <t xml:space="preserve"> Total</t>
  </si>
  <si>
    <t>0.373 Total</t>
  </si>
  <si>
    <t>0.407 Total</t>
  </si>
  <si>
    <t>35.491 Total</t>
  </si>
  <si>
    <t>3.116 Total</t>
  </si>
  <si>
    <t>5.507 Total</t>
  </si>
  <si>
    <t>11.251 Total</t>
  </si>
  <si>
    <t>1.371 Total</t>
  </si>
  <si>
    <t>7.437 Total</t>
  </si>
  <si>
    <t>18.358 Total</t>
  </si>
  <si>
    <t>2.097 Total</t>
  </si>
  <si>
    <t>0.327 Total</t>
  </si>
  <si>
    <t>0.448 Total</t>
  </si>
  <si>
    <t>10.111 Total</t>
  </si>
  <si>
    <t>13.611 Total</t>
  </si>
  <si>
    <t>2.459 Total</t>
  </si>
  <si>
    <t>0.184 Total</t>
  </si>
  <si>
    <t>7.823 Total</t>
  </si>
  <si>
    <t>16.872 Total</t>
  </si>
  <si>
    <t>3.823 Total</t>
  </si>
  <si>
    <t>15.809 Total</t>
  </si>
  <si>
    <t>2.813 Total</t>
  </si>
  <si>
    <t>11.831 Total</t>
  </si>
  <si>
    <t>23.587 Total</t>
  </si>
  <si>
    <t>8.639 Total</t>
  </si>
  <si>
    <t>0.52 Total</t>
  </si>
  <si>
    <t>20.461 Total</t>
  </si>
  <si>
    <t>1.444 Total</t>
  </si>
  <si>
    <t>1.708 Total</t>
  </si>
  <si>
    <t>2.215 Total</t>
  </si>
  <si>
    <t>1.114 Total</t>
  </si>
  <si>
    <t>2.028 Total</t>
  </si>
  <si>
    <t>0.003 Total</t>
  </si>
  <si>
    <t>28.84 Total</t>
  </si>
  <si>
    <t>4.633 Total</t>
  </si>
  <si>
    <t>1.94 Total</t>
  </si>
  <si>
    <t>18.083 Total</t>
  </si>
  <si>
    <t>6.058 Total</t>
  </si>
  <si>
    <t>4.211 Total</t>
  </si>
  <si>
    <t>23.104 Total</t>
  </si>
  <si>
    <t>6.144 Total</t>
  </si>
  <si>
    <t>25.721 Total</t>
  </si>
  <si>
    <t>0.516 Total</t>
  </si>
  <si>
    <t>0.141 Total</t>
  </si>
  <si>
    <t>4.973 Total</t>
  </si>
  <si>
    <t>0 Total</t>
  </si>
  <si>
    <t>4.027 Total</t>
  </si>
  <si>
    <t>0.316 Total</t>
  </si>
  <si>
    <t>11.082 Total</t>
  </si>
  <si>
    <t>5.443 Total</t>
  </si>
  <si>
    <t>7.587 Total</t>
  </si>
  <si>
    <t>2.282 Total</t>
  </si>
  <si>
    <t>3.725 Total</t>
  </si>
  <si>
    <t>4.244 Total</t>
  </si>
  <si>
    <t>17.144 Total</t>
  </si>
  <si>
    <t>1.942 Total</t>
  </si>
  <si>
    <t>23.067 Total</t>
  </si>
  <si>
    <t>7.952 Total</t>
  </si>
  <si>
    <t>5.201 Total</t>
  </si>
  <si>
    <t>1.398 Total</t>
  </si>
  <si>
    <t>0.843 Total</t>
  </si>
  <si>
    <t>9.83 Total</t>
  </si>
  <si>
    <t>2.663 Total</t>
  </si>
  <si>
    <t>0.325 Total</t>
  </si>
  <si>
    <t>0.35 Total</t>
  </si>
  <si>
    <t>22.464 Total</t>
  </si>
  <si>
    <t>3.679 Total</t>
  </si>
  <si>
    <t>8.759 Total</t>
  </si>
  <si>
    <t>17.724 Total</t>
  </si>
  <si>
    <t>19.574 Total</t>
  </si>
  <si>
    <t>0.796 Total</t>
  </si>
  <si>
    <t>0.933 Total</t>
  </si>
  <si>
    <t>25.722 Total</t>
  </si>
  <si>
    <t>31.138 Total</t>
  </si>
  <si>
    <t>13.16 Total</t>
  </si>
  <si>
    <t>6.083 Total</t>
  </si>
  <si>
    <t>22.093 Total</t>
  </si>
  <si>
    <t>3.214 Total</t>
  </si>
  <si>
    <t>7.18 Total</t>
  </si>
  <si>
    <t>9.101 Total</t>
  </si>
  <si>
    <t>0.832 Total</t>
  </si>
  <si>
    <t>4.823 Total</t>
  </si>
  <si>
    <t>0.922 Total</t>
  </si>
  <si>
    <t>3.357 Total</t>
  </si>
  <si>
    <t>4.272 Total</t>
  </si>
  <si>
    <t>22.011 Total</t>
  </si>
  <si>
    <t>12.354 Total</t>
  </si>
  <si>
    <t>3.106 Total</t>
  </si>
  <si>
    <t>3.347 Total</t>
  </si>
  <si>
    <t>1.2 Total</t>
  </si>
  <si>
    <t>9.97 Total</t>
  </si>
  <si>
    <t>24.6 Total</t>
  </si>
  <si>
    <t>15.5 Total</t>
  </si>
  <si>
    <t>10.108 Total</t>
  </si>
  <si>
    <t>14.87 Total</t>
  </si>
  <si>
    <t>3.751 Total</t>
  </si>
  <si>
    <t>8.056 Total</t>
  </si>
  <si>
    <t>9.826 Total</t>
  </si>
  <si>
    <t>7.418 Total</t>
  </si>
  <si>
    <t>12.493 Total</t>
  </si>
  <si>
    <t>6.209 Total</t>
  </si>
  <si>
    <t>0.202 Total</t>
  </si>
  <si>
    <t>10.792 Total</t>
  </si>
  <si>
    <t>0.5 Total</t>
  </si>
  <si>
    <t>16.947 Total</t>
  </si>
  <si>
    <t>18.8 Total</t>
  </si>
  <si>
    <t>0.924 Total</t>
  </si>
  <si>
    <t>21.348 Total</t>
  </si>
  <si>
    <t>2.684 Total</t>
  </si>
  <si>
    <t>16.8 Total</t>
  </si>
  <si>
    <t>1.739 Total</t>
  </si>
  <si>
    <t>6.949 Total</t>
  </si>
  <si>
    <t>3.261 Total</t>
  </si>
  <si>
    <t>5.075 Total</t>
  </si>
  <si>
    <t>0.657 Total</t>
  </si>
  <si>
    <t>5.242 Total</t>
  </si>
  <si>
    <t>2.698 Total</t>
  </si>
  <si>
    <t>7.446 Total</t>
  </si>
  <si>
    <t>17.276 Total</t>
  </si>
  <si>
    <t>9.924 Total</t>
  </si>
  <si>
    <t>3.291 Total</t>
  </si>
  <si>
    <t>0.754 Total</t>
  </si>
  <si>
    <t>6.387 Total</t>
  </si>
  <si>
    <t>2.762 Total</t>
  </si>
  <si>
    <t>6.981 Total</t>
  </si>
  <si>
    <t>10.88 Total</t>
  </si>
  <si>
    <t>17.4 Total</t>
  </si>
  <si>
    <t>0.993 Total</t>
  </si>
  <si>
    <t>8.018 Total</t>
  </si>
  <si>
    <t>9.98 Total</t>
  </si>
  <si>
    <t>2.367 Total</t>
  </si>
  <si>
    <t>8.184 Total</t>
  </si>
  <si>
    <t>0.371 Total</t>
  </si>
  <si>
    <t>0.158 Total</t>
  </si>
  <si>
    <t>7.01 Total</t>
  </si>
  <si>
    <t>9.858 Total</t>
  </si>
  <si>
    <t>10.648 Total</t>
  </si>
  <si>
    <t>3.786 Total</t>
  </si>
  <si>
    <t>0.706 Total</t>
  </si>
  <si>
    <t>0.266 Total</t>
  </si>
  <si>
    <t>5.602 Total</t>
  </si>
  <si>
    <t>0.002 Total</t>
  </si>
  <si>
    <t>8.517 Total</t>
  </si>
  <si>
    <t>2.295 Total</t>
  </si>
  <si>
    <t>1.361 Total</t>
  </si>
  <si>
    <t>2.126 Total</t>
  </si>
  <si>
    <t>3.176 Total</t>
  </si>
  <si>
    <t>7.719 Total</t>
  </si>
  <si>
    <t>7.682 Total</t>
  </si>
  <si>
    <t>8.702 Total</t>
  </si>
  <si>
    <t>0.568 Total</t>
  </si>
  <si>
    <t>18.545 Total</t>
  </si>
  <si>
    <t>0.352 Total</t>
  </si>
  <si>
    <t>0.355 Total</t>
  </si>
  <si>
    <t>0.15 Total</t>
  </si>
  <si>
    <t>2.172 Total</t>
  </si>
  <si>
    <t>5.301 Total</t>
  </si>
  <si>
    <t>6.872 Total</t>
  </si>
  <si>
    <t>1.296 Total</t>
  </si>
  <si>
    <t>3.924 Total</t>
  </si>
  <si>
    <t>0.847 Total</t>
  </si>
  <si>
    <t>18.212 Total</t>
  </si>
  <si>
    <t>1.834 Total</t>
  </si>
  <si>
    <t>14.118 Total</t>
  </si>
  <si>
    <t>Crash Costs (2024)</t>
  </si>
  <si>
    <t>sum(CASE WHEN CRASH_SEVERITY_CD = '1' THEN 496433</t>
  </si>
  <si>
    <t>WHEN CRASH_SEVERITY_CD = '2' THEN 496433</t>
  </si>
  <si>
    <t>WHEN CRASH_SEVERITY_CD = '3' THEN 74163</t>
  </si>
  <si>
    <t>WHEN CRASH_SEVERITY_CD = '4' THEN 50268</t>
  </si>
  <si>
    <t>ELSE 11328 END ) AS CRASH_COST_NBR -- 2024 VALUES</t>
  </si>
  <si>
    <t>where CRASH_YR BETWEEN 2020 AND 2024</t>
  </si>
  <si>
    <t>version: 20250702</t>
  </si>
  <si>
    <t>Site Subtype</t>
  </si>
  <si>
    <t>TOTAL (%)</t>
  </si>
  <si>
    <t>FI (%)</t>
  </si>
  <si>
    <t>Lighting Conditions</t>
  </si>
  <si>
    <t>Surface Conditions</t>
  </si>
  <si>
    <t>USER INPUT REQUIRED</t>
  </si>
  <si>
    <t>Fatal</t>
  </si>
  <si>
    <t>Serious Injury Suspected</t>
  </si>
  <si>
    <t>PDO/No Injury</t>
  </si>
  <si>
    <t>Crashes by Severity</t>
  </si>
  <si>
    <t>Int; Rural, Divided Rural No Control, Yield, Two Way Stop, Two Way With Flasher  3-Leg</t>
  </si>
  <si>
    <t>Int; Rural, Divided Rural No Control, Yield, Two Way Stop, Two Way With Flasher  4-Leg</t>
  </si>
  <si>
    <t>Int; Rural, Undivided Rural All Way Stop, All way with Flasher  3-Leg</t>
  </si>
  <si>
    <t>Int; Rural, Undivided Rural All Way Stop, All way with Flasher  4-Leg</t>
  </si>
  <si>
    <t>Int; Rural, Undivided Rural Control  5-Leg</t>
  </si>
  <si>
    <t>Int; Rural, Undivided Rural No Control, Yield, Two Way Stop, Two Way With Flasher  3-Leg</t>
  </si>
  <si>
    <t>Int; Rural, Undivided Rural No Control, Yield, Two Way Stop, Two Way With Flasher  4-Leg</t>
  </si>
  <si>
    <t>Int; Rural, Undivided Rural Signal  3-Leg</t>
  </si>
  <si>
    <t>Int; Rural, Undivided Rural Signal  4-Leg</t>
  </si>
  <si>
    <t>Int; Rural, Undivided Rural Yield  3-Leg</t>
  </si>
  <si>
    <t>Int; Urban, Divided Urban No Control, Yield, Two Way Stop, Two Way With Flasher  3-Leg</t>
  </si>
  <si>
    <t>Int; Urban, Divided Urban No Control, Yield, Two Way Stop, Two Way With Flasher  4-Leg</t>
  </si>
  <si>
    <t>Int; Urban, Divided Urban Signal  3-Leg</t>
  </si>
  <si>
    <t>Int; Urban, Divided Urban Signal  4-Leg</t>
  </si>
  <si>
    <t>Int; Urban, Undivided Urban All Way Stop, All Way With Flasher  3-Leg</t>
  </si>
  <si>
    <t>Int; Urban, Undivided Urban All Way Stop, All Way With Flasher  4-Leg</t>
  </si>
  <si>
    <t>Int; Urban, Undivided Urban Control  5-Leg</t>
  </si>
  <si>
    <t>Int; Urban, Undivided Urban No Control, Yield, Two Way Stop, Two Way With Flasher  3-Leg</t>
  </si>
  <si>
    <t>Int; Urban, Undivided Urban No Control, Yield, Two Way Stop, Two Way With Flasher  4-Leg</t>
  </si>
  <si>
    <t>Int; Urban, Undivided Urban Signal  3-Leg</t>
  </si>
  <si>
    <t>Int; Urban, Undivided Urban Signal  4-Leg</t>
  </si>
  <si>
    <t>Int; Urban, Undivided Urban Yield  3-Leg</t>
  </si>
  <si>
    <t>Int; Urban, Undivided Urban Yield  4-Leg</t>
  </si>
  <si>
    <t>Int; Urban, Urban Roundabout Single Lane  4-Leg</t>
  </si>
  <si>
    <t>Seg; Rural, Freeway_Rural_4lane</t>
  </si>
  <si>
    <t>Seg; Rural, Freeway_Rural_4lane_InterchangeArea</t>
  </si>
  <si>
    <t>Seg; Rural, Freeway_Rural_6lane</t>
  </si>
  <si>
    <t>Seg; Rural, Freeway_Rural_6lane_InterchangeArea</t>
  </si>
  <si>
    <t>Seg; Rural, Freeway_Rural_Multilane_Divided</t>
  </si>
  <si>
    <t>Seg; Rural, NonFreeway_Rural_2lane</t>
  </si>
  <si>
    <t>Seg; Rural, NonFreeway_Rural_Multilane_Divided</t>
  </si>
  <si>
    <t>Seg; Rural, NonFreeway_Rural_Multilane_Undivided</t>
  </si>
  <si>
    <t>Seg; Rural, NonFreeway_Rural_OneWay</t>
  </si>
  <si>
    <t>Seg; Urban, Freeway_Urban_4lane</t>
  </si>
  <si>
    <t>Seg; Urban, Freeway_Urban_4lane_InterchangeArea</t>
  </si>
  <si>
    <t>Seg; Urban, Freeway_Urban_6lane</t>
  </si>
  <si>
    <t>Seg; Urban, Freeway_Urban_6lane_InterchangeArea</t>
  </si>
  <si>
    <t>Seg; Urban, Freeway_Urban_8+lane</t>
  </si>
  <si>
    <t>Seg; Urban, Freeway_Urban_8+lane_InterchangeArea</t>
  </si>
  <si>
    <t>Seg; Urban, Freeway_Urban_Multilane_Divided</t>
  </si>
  <si>
    <t>Seg; Urban, Freeway_Urban_under4lane</t>
  </si>
  <si>
    <t>Seg; Urban, NonFreeway_Urban_2lane</t>
  </si>
  <si>
    <t>Seg; Urban, NonFreeway_Urban_Multilane_Divided</t>
  </si>
  <si>
    <t>Seg; Urban, NonFreeway_Urban_Multilane_Undivided</t>
  </si>
  <si>
    <t>Data Set - AASHTOWare Safety - Perp Year 2023 -Years Analyzed (2020-2024) - Date Updated 05/23/2025</t>
  </si>
  <si>
    <t>Urban includes both Urban &amp; Suburban site types</t>
  </si>
  <si>
    <t>Note for Highway Safety Program Staff - this data is pulled from "Proportions Data" file in CAM Tool Development folder</t>
  </si>
  <si>
    <t>Data Updated - August 2025</t>
  </si>
  <si>
    <t>Site Average &gt; Than Statewide Average</t>
  </si>
  <si>
    <t>https://hsip.dot.state.oh.us/api/report/20213005927</t>
  </si>
  <si>
    <t>MLUCMR04109**C</t>
  </si>
  <si>
    <t>f185af66-5b0c-4352-a18c-3faacd0453cc</t>
  </si>
  <si>
    <t>49f4305a-923d-4403-a4b1-b44b96462d8e</t>
  </si>
  <si>
    <t>Toledo</t>
  </si>
  <si>
    <t>MR</t>
  </si>
  <si>
    <t>FRONT</t>
  </si>
  <si>
    <t>ST</t>
  </si>
  <si>
    <t>MAIN</t>
  </si>
  <si>
    <t>https://hsip.dot.state.oh.us/api/report/20213005960</t>
  </si>
  <si>
    <t>18c1c12a-5424-40e7-9b71-de853412d982</t>
  </si>
  <si>
    <t>20562e36-0ef9-4e0d-8ae8-829ff41c9497</t>
  </si>
  <si>
    <t>https://hsip.dot.state.oh.us/api/report/20213007015</t>
  </si>
  <si>
    <t>MLUCMR01547**C</t>
  </si>
  <si>
    <t>0374342e-64ba-443c-b1a2-56be3811247b</t>
  </si>
  <si>
    <t>["1bacf380-3070-47c0-9989-d4a998bb308c","daf26cc2-f78b-4d0b-8fc1-7dd1b3b326a6"]</t>
  </si>
  <si>
    <t>2ND</t>
  </si>
  <si>
    <t>https://hsip.dot.state.oh.us/api/report/20213008495</t>
  </si>
  <si>
    <t>fc3da832-b7e4-4154-ac18-f820785c405d</t>
  </si>
  <si>
    <t>["3fbd2f37-2fce-40f3-a2ac-45dc83d2b3e5","a98b651a-25d6-41aa-8b94-b4a21bece6f0"]</t>
  </si>
  <si>
    <t>OSWALD</t>
  </si>
  <si>
    <t>https://hsip.dot.state.oh.us/api/report/20213010833</t>
  </si>
  <si>
    <t>35b78c52-5a9c-4f16-97ec-b23028435e21</t>
  </si>
  <si>
    <t>41756ca3-acb0-46bf-bd3b-88b044d47129</t>
  </si>
  <si>
    <t>CRAIG BRIDGE</t>
  </si>
  <si>
    <t>https://hsip.dot.state.oh.us/api/report/20213012029</t>
  </si>
  <si>
    <t>https://hsip.dot.state.oh.us/api/report/20213012516</t>
  </si>
  <si>
    <t>["6d38ee78-0299-42a9-95c5-4cbdd959f4a3","a98b651a-25d6-41aa-8b94-b4a21bece6f0"]</t>
  </si>
  <si>
    <t>802ND</t>
  </si>
  <si>
    <t>https://hsip.dot.state.oh.us/api/report/20213012539</t>
  </si>
  <si>
    <t>c56b8e07-dfaf-4015-93f2-40c090350565</t>
  </si>
  <si>
    <t>45d71503-0d56-4e08-8575-91175b0d97ad</t>
  </si>
  <si>
    <t>MARYLAND</t>
  </si>
  <si>
    <t>AVE</t>
  </si>
  <si>
    <t>https://hsip.dot.state.oh.us/api/report/20213034960</t>
  </si>
  <si>
    <t>["9b7ac87c-67c3-451d-ad56-7c3e171ad05c","c415c481-207c-4932-a9a2-d721591aab54"]</t>
  </si>
  <si>
    <t>625TH</t>
  </si>
  <si>
    <t>https://hsip.dot.state.oh.us/api/report/20213036126</t>
  </si>
  <si>
    <t>["a12d61cb-1044-4a2f-a543-28eea551bfed","f1859b18-3e9b-4ba4-bea5-d354032a8d05"]</t>
  </si>
  <si>
    <t>https://hsip.dot.state.oh.us/api/report/20213040177</t>
  </si>
  <si>
    <t>https://hsip.dot.state.oh.us/api/report/20213049449</t>
  </si>
  <si>
    <t>d345e30a-f7cf-4be4-84fc-8e1c7bfbe93f</t>
  </si>
  <si>
    <t>2ff1e7a9-5464-432c-9684-7cc997e909a4</t>
  </si>
  <si>
    <t>https://hsip.dot.state.oh.us/api/report/20213049768</t>
  </si>
  <si>
    <t>96f9a841-3e30-4260-a331-2b56d1962fe7</t>
  </si>
  <si>
    <t>a7f30fd5-d542-4a27-99d0-73cc737ca689</t>
  </si>
  <si>
    <t>https://hsip.dot.state.oh.us/api/report/20213052599</t>
  </si>
  <si>
    <t>21d7647f-deb2-4425-8b20-2054c8f7ac8f</t>
  </si>
  <si>
    <t>cdfee571-cfbd-4bc1-9a52-2434662e880d</t>
  </si>
  <si>
    <t>LICKING</t>
  </si>
  <si>
    <t>https://hsip.dot.state.oh.us/api/report/20213052662</t>
  </si>
  <si>
    <t>9882062c-7e91-4387-9447-b3fbe53ee8ee</t>
  </si>
  <si>
    <t>["4257b7f3-c1ec-4f4b-aee8-c1e595dce98d","af10e42d-ddd1-4089-94d9-8b8d04450ec7"]</t>
  </si>
  <si>
    <t>https://hsip.dot.state.oh.us/api/report/20213053732</t>
  </si>
  <si>
    <t>https://hsip.dot.state.oh.us/api/report/20213056119</t>
  </si>
  <si>
    <t>https://hsip.dot.state.oh.us/api/report/20213058023</t>
  </si>
  <si>
    <t>["708eb25b-33a6-41c0-8906-967426d130a8","aaa84208-d080-468a-b80d-7a56a1725ded"]</t>
  </si>
  <si>
    <t>24TH</t>
  </si>
  <si>
    <t>https://hsip.dot.state.oh.us/api/report/20213060003</t>
  </si>
  <si>
    <t>1b6e2d27-28aa-4d29-9d56-c0ca0977b62a</t>
  </si>
  <si>
    <t>0a6c0cd7-5f17-4844-befe-38193814fecb</t>
  </si>
  <si>
    <t>4TH</t>
  </si>
  <si>
    <t>https://hsip.dot.state.oh.us/api/report/20213063385</t>
  </si>
  <si>
    <t>https://hsip.dot.state.oh.us/api/report/20213063549</t>
  </si>
  <si>
    <t>https://hsip.dot.state.oh.us/api/report/20213066065</t>
  </si>
  <si>
    <t>https://hsip.dot.state.oh.us/api/report/20213066240</t>
  </si>
  <si>
    <t>https://hsip.dot.state.oh.us/api/report/20213079428</t>
  </si>
  <si>
    <t>a82ef17e-a6c8-4ba5-b741-063a716405a0</t>
  </si>
  <si>
    <t>176bbe83-f1c0-49d1-8b69-6dfb300b0841</t>
  </si>
  <si>
    <t>506TH</t>
  </si>
  <si>
    <t>https://hsip.dot.state.oh.us/api/report/20213081732</t>
  </si>
  <si>
    <t>4c9a95ce-7b4f-4e2c-819a-ec6c60a3c2c1</t>
  </si>
  <si>
    <t>["708eb25b-33a6-41c0-8906-967426d130a8","71f20aff-ca81-40f8-8339-dbdb7ad4df01","aaa84208-d080-468a-b80d-7a56a1725ded","ceb44b73-2bf9-4bbc-b8d9-ec34455bae1d"]</t>
  </si>
  <si>
    <t>DR</t>
  </si>
  <si>
    <t>https://hsip.dot.state.oh.us/api/report/20213093581</t>
  </si>
  <si>
    <t>["065f2175-1f8c-4654-af07-fd6f899e5553","41756ca3-acb0-46bf-bd3b-88b044d47129","8d823bba-797a-4dc3-9a88-dcbecaf23b8f"]</t>
  </si>
  <si>
    <t>https://hsip.dot.state.oh.us/api/report/20213094045</t>
  </si>
  <si>
    <t>https://hsip.dot.state.oh.us/api/report/20213095224</t>
  </si>
  <si>
    <t>f77b2740-b3b9-4a0e-982e-d88960db9ff3</t>
  </si>
  <si>
    <t>49a7e46e-4024-4fac-a287-86cbf383e707</t>
  </si>
  <si>
    <t>https://hsip.dot.state.oh.us/api/report/20213098693</t>
  </si>
  <si>
    <t>f8661dbb-7a68-4a07-b74a-a2fc2adf0896</t>
  </si>
  <si>
    <t>baf1360f-a118-4b47-9324-678313429a24</t>
  </si>
  <si>
    <t>DEARBORN</t>
  </si>
  <si>
    <t>https://hsip.dot.state.oh.us/api/report/20213098756</t>
  </si>
  <si>
    <t>https://hsip.dot.state.oh.us/api/report/20213099447</t>
  </si>
  <si>
    <t>https://hsip.dot.state.oh.us/api/report/20213103070</t>
  </si>
  <si>
    <t>efa929cd-e3ee-4669-9b8b-aa2067e4ded9</t>
  </si>
  <si>
    <t>cd7e2838-4fd3-4fb9-9f16-ad955cca693e</t>
  </si>
  <si>
    <t>CARBON</t>
  </si>
  <si>
    <t>https://hsip.dot.state.oh.us/api/report/20213104038</t>
  </si>
  <si>
    <t>https://hsip.dot.state.oh.us/api/report/20213107207</t>
  </si>
  <si>
    <t>https://hsip.dot.state.oh.us/api/report/20213107980</t>
  </si>
  <si>
    <t>https://hsip.dot.state.oh.us/api/report/20213111636</t>
  </si>
  <si>
    <t>https://hsip.dot.state.oh.us/api/report/20213111755</t>
  </si>
  <si>
    <t>https://hsip.dot.state.oh.us/api/report/20213112435</t>
  </si>
  <si>
    <t>https://hsip.dot.state.oh.us/api/report/20213116818</t>
  </si>
  <si>
    <t>193c375f-6605-44f2-8cda-e0ae58e8bb1d</t>
  </si>
  <si>
    <t>["3fbd2f37-2fce-40f3-a2ac-45dc83d2b3e5","d3102ce6-25f3-46f9-b430-524a6c89d6db"]</t>
  </si>
  <si>
    <t>708TH</t>
  </si>
  <si>
    <t>https://hsip.dot.state.oh.us/api/report/20213122273</t>
  </si>
  <si>
    <t>1008TH</t>
  </si>
  <si>
    <t>https://hsip.dot.state.oh.us/api/report/20213123894</t>
  </si>
  <si>
    <t>https://hsip.dot.state.oh.us/api/report/20213131682</t>
  </si>
  <si>
    <t>["20562e36-0ef9-4e0d-8ae8-829ff41c9497","224f71c5-e6d7-410c-8f37-a695875c9c5b"]</t>
  </si>
  <si>
    <t>https://hsip.dot.state.oh.us/api/report/20213133330</t>
  </si>
  <si>
    <t>417TH</t>
  </si>
  <si>
    <t>https://hsip.dot.state.oh.us/api/report/20213133669</t>
  </si>
  <si>
    <t>https://hsip.dot.state.oh.us/api/report/20213134404</t>
  </si>
  <si>
    <t>["49f4305a-923d-4403-a4b1-b44b96462d8e","c415c481-207c-4932-a9a2-d721591aab54"]</t>
  </si>
  <si>
    <t>https://hsip.dot.state.oh.us/api/report/20213136064</t>
  </si>
  <si>
    <t>https://hsip.dot.state.oh.us/api/report/20213146514</t>
  </si>
  <si>
    <t>https://hsip.dot.state.oh.us/api/report/20213153867</t>
  </si>
  <si>
    <t>["6c7e9706-ea0c-4868-bbe1-6854ad1a6794","a7f30fd5-d542-4a27-99d0-73cc737ca689"]</t>
  </si>
  <si>
    <t>https://hsip.dot.state.oh.us/api/report/20213158790</t>
  </si>
  <si>
    <t>["45d71503-0d56-4e08-8575-91175b0d97ad","f43acf1a-9c49-4fc7-8b36-5a6bcd4eee48"]</t>
  </si>
  <si>
    <t>1316TH</t>
  </si>
  <si>
    <t>https://hsip.dot.state.oh.us/api/report/20213159356</t>
  </si>
  <si>
    <t>502ND</t>
  </si>
  <si>
    <t>https://hsip.dot.state.oh.us/api/report/20213160150</t>
  </si>
  <si>
    <t>https://hsip.dot.state.oh.us/api/report/20213162414</t>
  </si>
  <si>
    <t>https://hsip.dot.state.oh.us/api/report/20213165376</t>
  </si>
  <si>
    <t>https://hsip.dot.state.oh.us/api/report/20213168607</t>
  </si>
  <si>
    <t>["9b7ac87c-67c3-451d-ad56-7c3e171ad05c","d3102ce6-25f3-46f9-b430-524a6c89d6db"]</t>
  </si>
  <si>
    <t>PLATT</t>
  </si>
  <si>
    <t>https://hsip.dot.state.oh.us/api/report/20213173644</t>
  </si>
  <si>
    <t>BOERS BOYER</t>
  </si>
  <si>
    <t>https://hsip.dot.state.oh.us/api/report/20213174993</t>
  </si>
  <si>
    <t>https://hsip.dot.state.oh.us/api/report/20213176514</t>
  </si>
  <si>
    <t>https://hsip.dot.state.oh.us/api/report/20213181604</t>
  </si>
  <si>
    <t>https://hsip.dot.state.oh.us/api/report/20213193042</t>
  </si>
  <si>
    <t>https://hsip.dot.state.oh.us/api/report/20213197491</t>
  </si>
  <si>
    <t>https://hsip.dot.state.oh.us/api/report/20213203952</t>
  </si>
  <si>
    <t>https://hsip.dot.state.oh.us/api/report/20213205417</t>
  </si>
  <si>
    <t>https://hsip.dot.state.oh.us/api/report/20213209688</t>
  </si>
  <si>
    <t>["52a76318-b5f9-4a1b-bd58-7a0f70808152","cdfee571-cfbd-4bc1-9a52-2434662e880d"]</t>
  </si>
  <si>
    <t>https://hsip.dot.state.oh.us/api/report/20213212541</t>
  </si>
  <si>
    <t>6fc0c1e0-4e12-486d-9a6f-c25d9fb428c4</t>
  </si>
  <si>
    <t>["4407cbf4-e93d-4128-8328-07f56165c410","6d38ee78-0299-42a9-95c5-4cbdd959f4a3"]</t>
  </si>
  <si>
    <t>MORRISON</t>
  </si>
  <si>
    <t>https://hsip.dot.state.oh.us/api/report/20213215220</t>
  </si>
  <si>
    <t>I 280 E</t>
  </si>
  <si>
    <t>IR</t>
  </si>
  <si>
    <t>https://hsip.dot.state.oh.us/api/report/20213227362</t>
  </si>
  <si>
    <t>https://hsip.dot.state.oh.us/api/report/20213227463</t>
  </si>
  <si>
    <t>https://hsip.dot.state.oh.us/api/report/20213233164</t>
  </si>
  <si>
    <t>596TH</t>
  </si>
  <si>
    <t>https://hsip.dot.state.oh.us/api/report/20213234135</t>
  </si>
  <si>
    <t>https://hsip.dot.state.oh.us/api/report/20213234148</t>
  </si>
  <si>
    <t>d3102ce6-25f3-46f9-b430-524a6c89d6db</t>
  </si>
  <si>
    <t>704TH</t>
  </si>
  <si>
    <t>https://hsip.dot.state.oh.us/api/report/20213241744</t>
  </si>
  <si>
    <t>https://hsip.dot.state.oh.us/api/report/20213242681</t>
  </si>
  <si>
    <t>https://hsip.dot.state.oh.us/api/report/20213244692</t>
  </si>
  <si>
    <t>["018994a6-befa-45bb-baa3-dbd37b23651f","0a6c0cd7-5f17-4844-befe-38193814fecb"]</t>
  </si>
  <si>
    <t>https://hsip.dot.state.oh.us/api/report/20213251588</t>
  </si>
  <si>
    <t>https://hsip.dot.state.oh.us/api/report/20213253934</t>
  </si>
  <si>
    <t>2132b002-8c58-4fb0-b14c-9c29e7802143</t>
  </si>
  <si>
    <t>2c379798-9abb-4a05-990c-3a953fca0285</t>
  </si>
  <si>
    <t>635TH</t>
  </si>
  <si>
    <t>https://hsip.dot.state.oh.us/api/report/20213254491</t>
  </si>
  <si>
    <t>a12d61cb-1044-4a2f-a543-28eea551bfed</t>
  </si>
  <si>
    <t>106TH</t>
  </si>
  <si>
    <t>https://hsip.dot.state.oh.us/api/report/20213254846</t>
  </si>
  <si>
    <t>af10e42d-ddd1-4089-94d9-8b8d04450ec7</t>
  </si>
  <si>
    <t>https://hsip.dot.state.oh.us/api/report/20213255550</t>
  </si>
  <si>
    <t>https://hsip.dot.state.oh.us/api/report/20214037493</t>
  </si>
  <si>
    <t>GLASS CITY</t>
  </si>
  <si>
    <t>PKWY</t>
  </si>
  <si>
    <t>https://hsip.dot.state.oh.us/api/report/20223001047</t>
  </si>
  <si>
    <t>6TH</t>
  </si>
  <si>
    <t>https://hsip.dot.state.oh.us/api/report/20223002651</t>
  </si>
  <si>
    <t>https://hsip.dot.state.oh.us/api/report/20223003751</t>
  </si>
  <si>
    <t>https://hsip.dot.state.oh.us/api/report/20223004317</t>
  </si>
  <si>
    <t>["49a7e46e-4024-4fac-a287-86cbf383e707","cbddf022-4255-4fa7-b891-0112de2f346f"]</t>
  </si>
  <si>
    <t>https://hsip.dot.state.oh.us/api/report/20223024485</t>
  </si>
  <si>
    <t>25ffdc01-bf74-4c50-9cf1-2e82c49a0dd4</t>
  </si>
  <si>
    <t>d60e8e6e-6354-4d92-9f6d-e935d9978c68</t>
  </si>
  <si>
    <t>https://hsip.dot.state.oh.us/api/report/20223028793</t>
  </si>
  <si>
    <t>https://hsip.dot.state.oh.us/api/report/20223034168</t>
  </si>
  <si>
    <t>a035f0e2-ac03-4765-be6b-a6bf5e245c62</t>
  </si>
  <si>
    <t>["161639cc-7a62-4368-91f5-4128888626ad","cdfee571-cfbd-4bc1-9a52-2434662e880d"]</t>
  </si>
  <si>
    <t>1512TH</t>
  </si>
  <si>
    <t>https://hsip.dot.state.oh.us/api/report/20223046428</t>
  </si>
  <si>
    <t>f1859b18-3e9b-4ba4-bea5-d354032a8d05</t>
  </si>
  <si>
    <t>https://hsip.dot.state.oh.us/api/report/20223046868</t>
  </si>
  <si>
    <t>https://hsip.dot.state.oh.us/api/report/20223047488</t>
  </si>
  <si>
    <t>["20562e36-0ef9-4e0d-8ae8-829ff41c9497","257918e3-8333-44e3-9f97-1bac6c469901"]</t>
  </si>
  <si>
    <t>1014TH</t>
  </si>
  <si>
    <t>https://hsip.dot.state.oh.us/api/report/20223052352</t>
  </si>
  <si>
    <t>https://hsip.dot.state.oh.us/api/report/20223055135</t>
  </si>
  <si>
    <t>224f71c5-e6d7-410c-8f37-a695875c9c5b</t>
  </si>
  <si>
    <t>https://hsip.dot.state.oh.us/api/report/20223058731</t>
  </si>
  <si>
    <t>871debc4-514a-4071-84c0-4ba9ffcb312f</t>
  </si>
  <si>
    <t>["692586fa-cc16-40c4-b54e-d8f73bd42244","f72688b1-f375-433c-8039-324cdbcc3b0f"]</t>
  </si>
  <si>
    <t>https://hsip.dot.state.oh.us/api/report/20223060229</t>
  </si>
  <si>
    <t>9b7ac87c-67c3-451d-ad56-7c3e171ad05c</t>
  </si>
  <si>
    <t>https://hsip.dot.state.oh.us/api/report/20223060247</t>
  </si>
  <si>
    <t>https://hsip.dot.state.oh.us/api/report/20223067291</t>
  </si>
  <si>
    <t>https://hsip.dot.state.oh.us/api/report/20223069125</t>
  </si>
  <si>
    <t>52a76318-b5f9-4a1b-bd58-7a0f70808152</t>
  </si>
  <si>
    <t>https://hsip.dot.state.oh.us/api/report/20223074645</t>
  </si>
  <si>
    <t>20d48167-b2f2-423f-8289-1c533c452d7b</t>
  </si>
  <si>
    <t>https://hsip.dot.state.oh.us/api/report/20223075345</t>
  </si>
  <si>
    <t>["5e4f4884-685a-427e-9785-e95b49fdb3fc","af10e42d-ddd1-4089-94d9-8b8d04450ec7"]</t>
  </si>
  <si>
    <t>141ST</t>
  </si>
  <si>
    <t>https://hsip.dot.state.oh.us/api/report/20223083430</t>
  </si>
  <si>
    <t>435TH</t>
  </si>
  <si>
    <t>https://hsip.dot.state.oh.us/api/report/20223085366</t>
  </si>
  <si>
    <t>43db9e3f-3d44-47d9-8846-a5f19bafa218</t>
  </si>
  <si>
    <t>["04bc7faa-c334-4b53-9c3d-f0d6573f3eac","f1859b18-3e9b-4ba4-bea5-d354032a8d05"]</t>
  </si>
  <si>
    <t>117TH</t>
  </si>
  <si>
    <t>https://hsip.dot.state.oh.us/api/report/20223088244</t>
  </si>
  <si>
    <t>https://hsip.dot.state.oh.us/api/report/20223088523</t>
  </si>
  <si>
    <t>https://hsip.dot.state.oh.us/api/report/20223088527</t>
  </si>
  <si>
    <t>4407cbf4-e93d-4128-8328-07f56165c410</t>
  </si>
  <si>
    <t>903RD</t>
  </si>
  <si>
    <t>https://hsip.dot.state.oh.us/api/report/20223101391</t>
  </si>
  <si>
    <t>https://hsip.dot.state.oh.us/api/report/20223111370</t>
  </si>
  <si>
    <t>https://hsip.dot.state.oh.us/api/report/20223119886</t>
  </si>
  <si>
    <t>503RD</t>
  </si>
  <si>
    <t>https://hsip.dot.state.oh.us/api/report/20223133420</t>
  </si>
  <si>
    <t>["161639cc-7a62-4368-91f5-4128888626ad","f281bd11-877a-43cc-a01a-732fc8df3cad"]</t>
  </si>
  <si>
    <t>MARINA</t>
  </si>
  <si>
    <t>https://hsip.dot.state.oh.us/api/report/20223139603</t>
  </si>
  <si>
    <t>https://hsip.dot.state.oh.us/api/report/20223145878</t>
  </si>
  <si>
    <t>ac0ee346-da35-4d31-ba09-44d477551294</t>
  </si>
  <si>
    <t>257918e3-8333-44e3-9f97-1bac6c469901</t>
  </si>
  <si>
    <t>https://hsip.dot.state.oh.us/api/report/20223147139</t>
  </si>
  <si>
    <t>https://hsip.dot.state.oh.us/api/report/20223148176</t>
  </si>
  <si>
    <t>STEEL</t>
  </si>
  <si>
    <t>https://hsip.dot.state.oh.us/api/report/20223152409</t>
  </si>
  <si>
    <t>418TH</t>
  </si>
  <si>
    <t>https://hsip.dot.state.oh.us/api/report/20223159857</t>
  </si>
  <si>
    <t>https://hsip.dot.state.oh.us/api/report/20223161322</t>
  </si>
  <si>
    <t>["baf1360f-a118-4b47-9324-678313429a24","cd7e2838-4fd3-4fb9-9f16-ad955cca693e"]</t>
  </si>
  <si>
    <t>1548TH</t>
  </si>
  <si>
    <t>https://hsip.dot.state.oh.us/api/report/20223164738</t>
  </si>
  <si>
    <t>https://hsip.dot.state.oh.us/api/report/20223165723</t>
  </si>
  <si>
    <t>https://hsip.dot.state.oh.us/api/report/20223166773</t>
  </si>
  <si>
    <t>https://hsip.dot.state.oh.us/api/report/20223176218</t>
  </si>
  <si>
    <t>https://hsip.dot.state.oh.us/api/report/20223180001</t>
  </si>
  <si>
    <t>92b5da11-d3f6-4eba-bb10-f97c5d78cef7</t>
  </si>
  <si>
    <t>["b47c5ac8-f450-4ace-81d3-d1358b2e13ff","f43acf1a-9c49-4fc7-8b36-5a6bcd4eee48"]</t>
  </si>
  <si>
    <t>https://hsip.dot.state.oh.us/api/report/20223181115</t>
  </si>
  <si>
    <t>https://hsip.dot.state.oh.us/api/report/20223181198</t>
  </si>
  <si>
    <t>["71f20aff-ca81-40f8-8339-dbdb7ad4df01","ceb44b73-2bf9-4bbc-b8d9-ec34455bae1d"]</t>
  </si>
  <si>
    <t>https://hsip.dot.state.oh.us/api/report/20223187453</t>
  </si>
  <si>
    <t>https://hsip.dot.state.oh.us/api/report/20223189040</t>
  </si>
  <si>
    <t>https://hsip.dot.state.oh.us/api/report/20223189086</t>
  </si>
  <si>
    <t>https://hsip.dot.state.oh.us/api/report/20223194507</t>
  </si>
  <si>
    <t>1510TH</t>
  </si>
  <si>
    <t>https://hsip.dot.state.oh.us/api/report/20223197560</t>
  </si>
  <si>
    <t>https://hsip.dot.state.oh.us/api/report/20223205198</t>
  </si>
  <si>
    <t>https://hsip.dot.state.oh.us/api/report/20223205718</t>
  </si>
  <si>
    <t>https://hsip.dot.state.oh.us/api/report/20223226822</t>
  </si>
  <si>
    <t>https://hsip.dot.state.oh.us/api/report/20223226839</t>
  </si>
  <si>
    <t>3ce97ba7-ea48-4869-8204-50df393dec21</t>
  </si>
  <si>
    <t>https://hsip.dot.state.oh.us/api/report/20223226883</t>
  </si>
  <si>
    <t>https://hsip.dot.state.oh.us/api/report/20223236779</t>
  </si>
  <si>
    <t>https://hsip.dot.state.oh.us/api/report/20223245333</t>
  </si>
  <si>
    <t>https://hsip.dot.state.oh.us/api/report/20223250119</t>
  </si>
  <si>
    <t>["08e0b845-6f19-4f64-9df4-3abe00dbe0fd","447e9749-e4c2-4352-8e19-e556a485f381"]</t>
  </si>
  <si>
    <t>1299TH</t>
  </si>
  <si>
    <t>https://hsip.dot.state.oh.us/api/report/20223254227</t>
  </si>
  <si>
    <t>f5745f15-a435-4d8e-8bc9-3e6a37c3f4d9</t>
  </si>
  <si>
    <t>03e9c900-f570-485f-90d7-8ab67d117e08</t>
  </si>
  <si>
    <t>DELENCE</t>
  </si>
  <si>
    <t>https://hsip.dot.state.oh.us/api/report/20225079123</t>
  </si>
  <si>
    <t>48-0391-48</t>
  </si>
  <si>
    <t>Front</t>
  </si>
  <si>
    <t>Broadway</t>
  </si>
  <si>
    <t>https://hsip.dot.state.oh.us/api/report/20233007343</t>
  </si>
  <si>
    <t>https://hsip.dot.state.oh.us/api/report/20233013300</t>
  </si>
  <si>
    <t>406TH</t>
  </si>
  <si>
    <t>https://hsip.dot.state.oh.us/api/report/20233014008</t>
  </si>
  <si>
    <t>https://hsip.dot.state.oh.us/api/report/20233019128</t>
  </si>
  <si>
    <t>https://hsip.dot.state.oh.us/api/report/20233019810</t>
  </si>
  <si>
    <t>https://hsip.dot.state.oh.us/api/report/20233021998</t>
  </si>
  <si>
    <t>https://hsip.dot.state.oh.us/api/report/20233028208</t>
  </si>
  <si>
    <t>https://hsip.dot.state.oh.us/api/report/20233035525</t>
  </si>
  <si>
    <t>https://hsip.dot.state.oh.us/api/report/20233036210</t>
  </si>
  <si>
    <t>https://hsip.dot.state.oh.us/api/report/20233040616</t>
  </si>
  <si>
    <t>3fbd2f37-2fce-40f3-a2ac-45dc83d2b3e5</t>
  </si>
  <si>
    <t>https://hsip.dot.state.oh.us/api/report/20233042392</t>
  </si>
  <si>
    <t>https://hsip.dot.state.oh.us/api/report/20233043185</t>
  </si>
  <si>
    <t>227TH</t>
  </si>
  <si>
    <t>https://hsip.dot.state.oh.us/api/report/20233051277</t>
  </si>
  <si>
    <t>https://hsip.dot.state.oh.us/api/report/20233054238</t>
  </si>
  <si>
    <t>https://hsip.dot.state.oh.us/api/report/20233058433</t>
  </si>
  <si>
    <t>https://hsip.dot.state.oh.us/api/report/20233059068</t>
  </si>
  <si>
    <t>https://hsip.dot.state.oh.us/api/report/20233059897</t>
  </si>
  <si>
    <t>https://hsip.dot.state.oh.us/api/report/20233063448</t>
  </si>
  <si>
    <t>Main</t>
  </si>
  <si>
    <t>3RD</t>
  </si>
  <si>
    <t>https://hsip.dot.state.oh.us/api/report/20233066720</t>
  </si>
  <si>
    <t>https://hsip.dot.state.oh.us/api/report/20233070801</t>
  </si>
  <si>
    <t>6d38ee78-0299-42a9-95c5-4cbdd959f4a3</t>
  </si>
  <si>
    <t>https://hsip.dot.state.oh.us/api/report/20233072427</t>
  </si>
  <si>
    <t>https://hsip.dot.state.oh.us/api/report/20233073560</t>
  </si>
  <si>
    <t>https://hsip.dot.state.oh.us/api/report/20233074101</t>
  </si>
  <si>
    <t>https://hsip.dot.state.oh.us/api/report/20233078473</t>
  </si>
  <si>
    <t>a98b651a-25d6-41aa-8b94-b4a21bece6f0</t>
  </si>
  <si>
    <t>801ST</t>
  </si>
  <si>
    <t>https://hsip.dot.state.oh.us/api/report/20233078839</t>
  </si>
  <si>
    <t>https://hsip.dot.state.oh.us/api/report/20233079439</t>
  </si>
  <si>
    <t>https://hsip.dot.state.oh.us/api/report/20233086376</t>
  </si>
  <si>
    <t>https://hsip.dot.state.oh.us/api/report/20233090962</t>
  </si>
  <si>
    <t>https://hsip.dot.state.oh.us/api/report/20233091440</t>
  </si>
  <si>
    <t>https://hsip.dot.state.oh.us/api/report/20233092859</t>
  </si>
  <si>
    <t>https://hsip.dot.state.oh.us/api/report/20233101002</t>
  </si>
  <si>
    <t>https://hsip.dot.state.oh.us/api/report/20233104795</t>
  </si>
  <si>
    <t>https://hsip.dot.state.oh.us/api/report/20233106847</t>
  </si>
  <si>
    <t>https://hsip.dot.state.oh.us/api/report/20233113663</t>
  </si>
  <si>
    <t>482ND</t>
  </si>
  <si>
    <t>https://hsip.dot.state.oh.us/api/report/20233119917</t>
  </si>
  <si>
    <t>https://hsip.dot.state.oh.us/api/report/20233130154</t>
  </si>
  <si>
    <t>https://hsip.dot.state.oh.us/api/report/20233130165</t>
  </si>
  <si>
    <t>https://hsip.dot.state.oh.us/api/report/20233131743</t>
  </si>
  <si>
    <t>https://hsip.dot.state.oh.us/api/report/20233134005</t>
  </si>
  <si>
    <t>75TH</t>
  </si>
  <si>
    <t>https://hsip.dot.state.oh.us/api/report/20233159017</t>
  </si>
  <si>
    <t>https://hsip.dot.state.oh.us/api/report/20233160971</t>
  </si>
  <si>
    <t>https://hsip.dot.state.oh.us/api/report/20233161394</t>
  </si>
  <si>
    <t>["20d48167-b2f2-423f-8289-1c533c452d7b","f281bd11-877a-43cc-a01a-732fc8df3cad"]</t>
  </si>
  <si>
    <t>1540TH</t>
  </si>
  <si>
    <t>https://hsip.dot.state.oh.us/api/report/20233161864</t>
  </si>
  <si>
    <t>https://hsip.dot.state.oh.us/api/report/20233162882</t>
  </si>
  <si>
    <t>https://hsip.dot.state.oh.us/api/report/20233162886</t>
  </si>
  <si>
    <t>https://hsip.dot.state.oh.us/api/report/20233163985</t>
  </si>
  <si>
    <t>https://hsip.dot.state.oh.us/api/report/20233166512</t>
  </si>
  <si>
    <t>https://hsip.dot.state.oh.us/api/report/20233166946</t>
  </si>
  <si>
    <t>808TH</t>
  </si>
  <si>
    <t>https://hsip.dot.state.oh.us/api/report/20233171442</t>
  </si>
  <si>
    <t>https://hsip.dot.state.oh.us/api/report/20233176629</t>
  </si>
  <si>
    <t>https://hsip.dot.state.oh.us/api/report/20233180518</t>
  </si>
  <si>
    <t>https://hsip.dot.state.oh.us/api/report/20233180828</t>
  </si>
  <si>
    <t>https://hsip.dot.state.oh.us/api/report/20233189200</t>
  </si>
  <si>
    <t>https://hsip.dot.state.oh.us/api/report/20233192223</t>
  </si>
  <si>
    <t>https://hsip.dot.state.oh.us/api/report/20233194783</t>
  </si>
  <si>
    <t>https://hsip.dot.state.oh.us/api/report/20233194800</t>
  </si>
  <si>
    <t>https://hsip.dot.state.oh.us/api/report/20233211229</t>
  </si>
  <si>
    <t>https://hsip.dot.state.oh.us/api/report/20233214507</t>
  </si>
  <si>
    <t>412TH</t>
  </si>
  <si>
    <t>https://hsip.dot.state.oh.us/api/report/20233216088</t>
  </si>
  <si>
    <t>https://hsip.dot.state.oh.us/api/report/20233220641</t>
  </si>
  <si>
    <t>https://hsip.dot.state.oh.us/api/report/20233231709</t>
  </si>
  <si>
    <t>https://hsip.dot.state.oh.us/api/report/20233234055</t>
  </si>
  <si>
    <t>["2ff1e7a9-5464-432c-9684-7cc997e909a4","43abead6-c06c-493d-914d-c986b41e1b3d","67c18334-e8e4-4a11-a756-1e38c528fe8f"]</t>
  </si>
  <si>
    <t>https://hsip.dot.state.oh.us/api/report/20233234073</t>
  </si>
  <si>
    <t>https://hsip.dot.state.oh.us/api/report/20233239472</t>
  </si>
  <si>
    <t>https://hsip.dot.state.oh.us/api/report/20243001556</t>
  </si>
  <si>
    <t>https://hsip.dot.state.oh.us/api/report/20243002597</t>
  </si>
  <si>
    <t>https://hsip.dot.state.oh.us/api/report/20243002613</t>
  </si>
  <si>
    <t>["257918e3-8333-44e3-9f97-1bac6c469901","447e9749-e4c2-4352-8e19-e556a485f381"]</t>
  </si>
  <si>
    <t>https://hsip.dot.state.oh.us/api/report/20243005121</t>
  </si>
  <si>
    <t>https://hsip.dot.state.oh.us/api/report/20243010268</t>
  </si>
  <si>
    <t>https://hsip.dot.state.oh.us/api/report/20243013292</t>
  </si>
  <si>
    <t>https://hsip.dot.state.oh.us/api/report/20243018059</t>
  </si>
  <si>
    <t>https://hsip.dot.state.oh.us/api/report/20243023992</t>
  </si>
  <si>
    <t>https://hsip.dot.state.oh.us/api/report/20243027996</t>
  </si>
  <si>
    <t>https://hsip.dot.state.oh.us/api/report/20243031454</t>
  </si>
  <si>
    <t>https://hsip.dot.state.oh.us/api/report/20243036409</t>
  </si>
  <si>
    <t>https://hsip.dot.state.oh.us/api/report/20243037001</t>
  </si>
  <si>
    <t>https://hsip.dot.state.oh.us/api/report/20243037121</t>
  </si>
  <si>
    <t>57160825-881e-47d2-9079-3107ba571e3a</t>
  </si>
  <si>
    <t>603RD</t>
  </si>
  <si>
    <t>https://hsip.dot.state.oh.us/api/report/20243039040</t>
  </si>
  <si>
    <t>https://hsip.dot.state.oh.us/api/report/20243039925</t>
  </si>
  <si>
    <t>https://hsip.dot.state.oh.us/api/report/20243039929</t>
  </si>
  <si>
    <t>https://hsip.dot.state.oh.us/api/report/20243042851</t>
  </si>
  <si>
    <t>https://hsip.dot.state.oh.us/api/report/20243050841</t>
  </si>
  <si>
    <t>https://hsip.dot.state.oh.us/api/report/20243055410</t>
  </si>
  <si>
    <t>https://hsip.dot.state.oh.us/api/report/20243059855</t>
  </si>
  <si>
    <t>https://hsip.dot.state.oh.us/api/report/20243061206</t>
  </si>
  <si>
    <t>https://hsip.dot.state.oh.us/api/report/20243062784</t>
  </si>
  <si>
    <t>https://hsip.dot.state.oh.us/api/report/20243066062</t>
  </si>
  <si>
    <t>https://hsip.dot.state.oh.us/api/report/20243066106</t>
  </si>
  <si>
    <t>https://hsip.dot.state.oh.us/api/report/20243068288</t>
  </si>
  <si>
    <t>https://hsip.dot.state.oh.us/api/report/20243068910</t>
  </si>
  <si>
    <t>https://hsip.dot.state.oh.us/api/report/20243073257</t>
  </si>
  <si>
    <t>https://hsip.dot.state.oh.us/api/report/20243077355</t>
  </si>
  <si>
    <t>https://hsip.dot.state.oh.us/api/report/20243081302</t>
  </si>
  <si>
    <t>https://hsip.dot.state.oh.us/api/report/20243085255</t>
  </si>
  <si>
    <t>https://hsip.dot.state.oh.us/api/report/20243088631</t>
  </si>
  <si>
    <t>https://hsip.dot.state.oh.us/api/report/20243092558</t>
  </si>
  <si>
    <t>https://hsip.dot.state.oh.us/api/report/20243100169</t>
  </si>
  <si>
    <t>404TH</t>
  </si>
  <si>
    <t>https://hsip.dot.state.oh.us/api/report/20243104628</t>
  </si>
  <si>
    <t>90TH</t>
  </si>
  <si>
    <t>https://hsip.dot.state.oh.us/api/report/20243114188</t>
  </si>
  <si>
    <t>https://hsip.dot.state.oh.us/api/report/20243116315</t>
  </si>
  <si>
    <t>https://hsip.dot.state.oh.us/api/report/20243119905</t>
  </si>
  <si>
    <t>https://hsip.dot.state.oh.us/api/report/20243123403</t>
  </si>
  <si>
    <t>https://hsip.dot.state.oh.us/api/report/20243128060</t>
  </si>
  <si>
    <t>https://hsip.dot.state.oh.us/api/report/20243130075</t>
  </si>
  <si>
    <t>https://hsip.dot.state.oh.us/api/report/20243131445</t>
  </si>
  <si>
    <t>https://hsip.dot.state.oh.us/api/report/20243132247</t>
  </si>
  <si>
    <t>["1bc0514f-ae69-4571-96a4-48f58da83052","d60e8e6e-6354-4d92-9f6d-e935d9978c68"]</t>
  </si>
  <si>
    <t>https://hsip.dot.state.oh.us/api/report/20243135830</t>
  </si>
  <si>
    <t>https://hsip.dot.state.oh.us/api/report/20243139528</t>
  </si>
  <si>
    <t>https://hsip.dot.state.oh.us/api/report/20243149835</t>
  </si>
  <si>
    <t>https://hsip.dot.state.oh.us/api/report/20243149838</t>
  </si>
  <si>
    <t>705TH</t>
  </si>
  <si>
    <t>https://hsip.dot.state.oh.us/api/report/20243151429</t>
  </si>
  <si>
    <t>https://hsip.dot.state.oh.us/api/report/20243153260</t>
  </si>
  <si>
    <t>https://hsip.dot.state.oh.us/api/report/20243155157</t>
  </si>
  <si>
    <t>https://hsip.dot.state.oh.us/api/report/20243165321</t>
  </si>
  <si>
    <t>https://hsip.dot.state.oh.us/api/report/20243167077</t>
  </si>
  <si>
    <t>https://hsip.dot.state.oh.us/api/report/20243169512</t>
  </si>
  <si>
    <t>https://hsip.dot.state.oh.us/api/report/20243174355</t>
  </si>
  <si>
    <t>https://hsip.dot.state.oh.us/api/report/20243175929</t>
  </si>
  <si>
    <t>https://hsip.dot.state.oh.us/api/report/20243182773</t>
  </si>
  <si>
    <t>https://hsip.dot.state.oh.us/api/report/20243182839</t>
  </si>
  <si>
    <t>https://hsip.dot.state.oh.us/api/report/20243185618</t>
  </si>
  <si>
    <t>https://hsip.dot.state.oh.us/api/report/20243188447</t>
  </si>
  <si>
    <t>https://hsip.dot.state.oh.us/api/report/20243193876</t>
  </si>
  <si>
    <t>SR</t>
  </si>
  <si>
    <t>https://hsip.dot.state.oh.us/api/report/20243201023</t>
  </si>
  <si>
    <t>https://hsip.dot.state.oh.us/api/report/20243204178</t>
  </si>
  <si>
    <t>https://hsip.dot.state.oh.us/api/report/20243206156</t>
  </si>
  <si>
    <t>https://hsip.dot.state.oh.us/api/report/20243223674</t>
  </si>
  <si>
    <t>https://hsip.dot.state.oh.us/api/report/20243226604</t>
  </si>
  <si>
    <t>https://hsip.dot.state.oh.us/api/report/20243230389</t>
  </si>
  <si>
    <t>https://hsip.dot.state.oh.us/api/report/20243234164</t>
  </si>
  <si>
    <t>https://hsip.dot.state.oh.us/api/report/20243235183</t>
  </si>
  <si>
    <t>https://hsip.dot.state.oh.us/api/report/20243239869</t>
  </si>
  <si>
    <t>https://hsip.dot.state.oh.us/api/report/20243240067</t>
  </si>
  <si>
    <t>331b815f-b17b-4f1c-94f6-572bb9a49820</t>
  </si>
  <si>
    <t>["1bacf380-3070-47c0-9989-d4a998bb308c","c760f004-4e2b-4d73-99e3-6d41dff0c186","daf26cc2-f78b-4d0b-8fc1-7dd1b3b326a6"]</t>
  </si>
  <si>
    <t>https://hsip.dot.state.oh.us/api/report/20243240813</t>
  </si>
  <si>
    <t>https://hsip.dot.state.oh.us/api/report/20243245422</t>
  </si>
  <si>
    <t>https://hsip.dot.state.oh.us/api/report/20253005065</t>
  </si>
  <si>
    <t>https://hsip.dot.state.oh.us/api/report/20253007720</t>
  </si>
  <si>
    <t>https://hsip.dot.state.oh.us/api/report/20253010566</t>
  </si>
  <si>
    <t>1bc0514f-ae69-4571-96a4-48f58da83052</t>
  </si>
  <si>
    <t>https://hsip.dot.state.oh.us/api/report/20253024550</t>
  </si>
  <si>
    <t>1518TH</t>
  </si>
  <si>
    <t>https://hsip.dot.state.oh.us/api/report/20253024819</t>
  </si>
  <si>
    <t>https://hsip.dot.state.oh.us/api/report/20253027883</t>
  </si>
  <si>
    <t>["03e9c900-f570-485f-90d7-8ab67d117e08","4393008d-5e8f-4182-bcd2-5a900a71b24b"]</t>
  </si>
  <si>
    <t>https://hsip.dot.state.oh.us/api/report/20253029333</t>
  </si>
  <si>
    <t>https://hsip.dot.state.oh.us/api/report/20253031746</t>
  </si>
  <si>
    <t>https://hsip.dot.state.oh.us/api/report/20253034628</t>
  </si>
  <si>
    <t>https://hsip.dot.state.oh.us/api/report/20253041667</t>
  </si>
  <si>
    <t>https://hsip.dot.state.oh.us/api/report/20253043551</t>
  </si>
  <si>
    <t>https://hsip.dot.state.oh.us/api/report/20253043621</t>
  </si>
  <si>
    <t>https://hsip.dot.state.oh.us/api/report/20253054919</t>
  </si>
  <si>
    <t>1696TH</t>
  </si>
  <si>
    <t>https://hsip.dot.state.oh.us/api/report/20253060518</t>
  </si>
  <si>
    <t>4393008d-5e8f-4182-bcd2-5a900a71b24b</t>
  </si>
  <si>
    <t>827TH</t>
  </si>
  <si>
    <t>https://hsip.dot.state.oh.us/api/report/20253067576</t>
  </si>
  <si>
    <t>https://hsip.dot.state.oh.us/api/report/20253069589</t>
  </si>
  <si>
    <t>https://hsip.dot.state.oh.us/api/report/20253073823</t>
  </si>
  <si>
    <t>https://hsip.dot.state.oh.us/api/report/20253073929</t>
  </si>
  <si>
    <t>https://hsip.dot.state.oh.us/api/report/20253082183</t>
  </si>
  <si>
    <t>https://hsip.dot.state.oh.us/api/report/20253082265</t>
  </si>
  <si>
    <t>https://hsip.dot.state.oh.us/api/report/20253084870</t>
  </si>
  <si>
    <t>53500cc3-35ae-4900-81f3-55a7b30780c5</t>
  </si>
  <si>
    <t>1600TH</t>
  </si>
  <si>
    <t>https://hsip.dot.state.oh.us/api/report/20253085652</t>
  </si>
  <si>
    <t>https://hsip.dot.state.oh.us/api/report/20253094161</t>
  </si>
  <si>
    <t>https://hsip.dot.state.oh.us/api/report/20253098883</t>
  </si>
  <si>
    <t>https://hsip.dot.state.oh.us/api/report/20253112980</t>
  </si>
  <si>
    <t>https://hsip.dot.state.oh.us/api/report/20253117416</t>
  </si>
  <si>
    <t>https://hsip.dot.state.oh.us/api/report/20253120022</t>
  </si>
  <si>
    <t>https://hsip.dot.state.oh.us/api/report/20253123341</t>
  </si>
  <si>
    <t>["04bc7faa-c334-4b53-9c3d-f0d6573f3eac","5e4f4884-685a-427e-9785-e95b49fdb3fc"]</t>
  </si>
  <si>
    <t>1ST</t>
  </si>
  <si>
    <t>https://hsip.dot.state.oh.us/api/report/20253123378</t>
  </si>
  <si>
    <t>https://hsip.dot.state.oh.us/api/report/20253124795</t>
  </si>
  <si>
    <t>https://hsip.dot.state.oh.us/api/report/20253126146</t>
  </si>
  <si>
    <t>https://hsip.dot.state.oh.us/api/report/20253133598</t>
  </si>
  <si>
    <t>https://hsip.dot.state.oh.us/api/report/20253138882</t>
  </si>
  <si>
    <t>54940fc4-f6d2-4643-851f-cbeefb8e0701</t>
  </si>
  <si>
    <t>["53500cc3-35ae-4900-81f3-55a7b30780c5","7f9e2fba-aab4-4b24-ab16-e4eb30cb437b"]</t>
  </si>
  <si>
    <t>https://hsip.dot.state.oh.us/api/report/20253191734</t>
  </si>
  <si>
    <t>https://hsip.dot.state.oh.us/api/report/20253200844</t>
  </si>
  <si>
    <t>https://hsip.dot.state.oh.us/api/report/20253219582</t>
  </si>
  <si>
    <t>https://hsip.dot.state.oh.us/api/report/20253226407</t>
  </si>
  <si>
    <t>MR4109</t>
  </si>
  <si>
    <t>MAIN ST</t>
  </si>
  <si>
    <t>Local</t>
  </si>
  <si>
    <t>E BROADWAY ST</t>
  </si>
  <si>
    <t>MR1547</t>
  </si>
  <si>
    <t>OSWALD ST</t>
  </si>
  <si>
    <t>CRAIG BRIDGE ST</t>
  </si>
  <si>
    <t>MARYLAND AVE</t>
  </si>
  <si>
    <t>FRONT ST</t>
  </si>
  <si>
    <t>STARR AVE</t>
  </si>
  <si>
    <t>EUCLID AVE</t>
  </si>
  <si>
    <t>LICKING ST</t>
  </si>
  <si>
    <t>2ND ST</t>
  </si>
  <si>
    <t>4TH ST</t>
  </si>
  <si>
    <t>E BROADWAY AVE</t>
  </si>
  <si>
    <t>GREENWOOD AVE</t>
  </si>
  <si>
    <t>DEARBORN AVE</t>
  </si>
  <si>
    <t>CARBON ST</t>
  </si>
  <si>
    <t>RIVERSIDE DR</t>
  </si>
  <si>
    <t>N MAIN ST</t>
  </si>
  <si>
    <t>PLATT ST</t>
  </si>
  <si>
    <t>BOERS BOYER WAY</t>
  </si>
  <si>
    <t>MORRISON DR</t>
  </si>
  <si>
    <t>IR280</t>
  </si>
  <si>
    <t>6TH ST</t>
  </si>
  <si>
    <t>ESSEX ST</t>
  </si>
  <si>
    <t>MASON ST</t>
  </si>
  <si>
    <t>OAK ST</t>
  </si>
  <si>
    <t>STEEL ST</t>
  </si>
  <si>
    <t>ELGIN AVE</t>
  </si>
  <si>
    <t>DELENCE ST</t>
  </si>
  <si>
    <t>E Broadway ST</t>
  </si>
  <si>
    <t>S MARINA DR</t>
  </si>
  <si>
    <t>BROADWAY ST</t>
  </si>
  <si>
    <t>WORTHINGTON ST</t>
  </si>
  <si>
    <t>SR65</t>
  </si>
  <si>
    <t>April</t>
  </si>
  <si>
    <t>May</t>
  </si>
  <si>
    <t>June</t>
  </si>
  <si>
    <t>July</t>
  </si>
  <si>
    <t>August</t>
  </si>
  <si>
    <t>September</t>
  </si>
  <si>
    <t>October</t>
  </si>
  <si>
    <t>November</t>
  </si>
  <si>
    <t>December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</si>
</sst>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44" formatCode="_(&quot;$&quot;* #,##0.00_);_(&quot;$&quot;* \(#,##0.00\);_(&quot;$&quot;* &quot;-&quot;??_);_(@_)"/>
    <numFmt numFmtId="43" formatCode="_(* #,##0.00_);_(* \(#,##0.00\);_(* &quot;-&quot;??_);_(@_)"/>
    <numFmt numFmtId="164" formatCode="0.000000"/>
    <numFmt numFmtId="165" formatCode="0.0%"/>
    <numFmt numFmtId="166" formatCode="&quot;$&quot;#,##0"/>
    <numFmt numFmtId="167" formatCode="0.000"/>
    <numFmt numFmtId="168" formatCode="#,##0.000"/>
  </numFmts>
  <fonts count="13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0"/>
      <color indexed="9"/>
      <name val="Arial"/>
      <family val="2"/>
    </font>
    <font>
      <b/>
      <sz val="10"/>
      <color indexed="8"/>
      <name val="Arial"/>
      <family val="2"/>
    </font>
    <font>
      <b/>
      <sz val="10"/>
      <color indexed="8"/>
      <name val="Arial"/>
      <family val="2"/>
    </font>
    <font>
      <sz val="10"/>
      <name val="Arial"/>
      <family val="2"/>
    </font>
    <font>
      <sz val="10"/>
      <color indexed="9"/>
      <name val="Arial"/>
      <family val="2"/>
    </font>
    <font>
      <u/>
      <sz val="10"/>
      <color indexed="12"/>
      <name val="Arial"/>
      <family val="2"/>
    </font>
    <font>
      <b/>
      <sz val="9"/>
      <color indexed="12"/>
      <name val="Arial"/>
      <family val="2"/>
    </font>
    <font>
      <b/>
      <sz val="10"/>
      <name val="Arial"/>
      <family val="2"/>
    </font>
    <font>
      <b/>
      <u/>
      <sz val="12"/>
      <color indexed="12"/>
      <name val="Arial"/>
      <family val="2"/>
    </font>
    <font>
      <b/>
      <sz val="10"/>
      <color indexed="10"/>
      <name val="Arial"/>
      <family val="2"/>
    </font>
    <font>
      <b/>
      <sz val="14"/>
      <color indexed="12"/>
      <name val="Arial"/>
      <family val="2"/>
    </font>
    <font>
      <sz val="12"/>
      <name val="Arial"/>
      <family val="2"/>
    </font>
    <font>
      <b/>
      <sz val="12"/>
      <name val="Arial"/>
      <family val="2"/>
    </font>
    <font>
      <b/>
      <u/>
      <sz val="8"/>
      <color indexed="12"/>
      <name val="Arial"/>
      <family val="2"/>
    </font>
    <font>
      <b/>
      <u/>
      <sz val="12"/>
      <name val="Arial"/>
      <family val="2"/>
    </font>
    <font>
      <b/>
      <sz val="8"/>
      <color indexed="81"/>
      <name val="Tahoma"/>
      <family val="2"/>
    </font>
    <font>
      <b/>
      <sz val="10"/>
      <color indexed="9"/>
      <name val="Arial"/>
      <family val="2"/>
    </font>
    <font>
      <b/>
      <sz val="10"/>
      <name val="Arial"/>
      <family val="2"/>
    </font>
    <font>
      <b/>
      <sz val="12"/>
      <color indexed="12"/>
      <name val="Arial"/>
      <family val="2"/>
    </font>
    <font>
      <b/>
      <u/>
      <sz val="10"/>
      <color indexed="12"/>
      <name val="Arial"/>
      <family val="2"/>
    </font>
    <font>
      <sz val="9"/>
      <name val="Arial"/>
      <family val="2"/>
    </font>
    <font>
      <sz val="10"/>
      <color indexed="22"/>
      <name val="Arial"/>
      <family val="2"/>
    </font>
    <font>
      <sz val="10"/>
      <name val="Arial"/>
      <family val="2"/>
    </font>
    <font>
      <b/>
      <sz val="14"/>
      <color indexed="61"/>
      <name val="Arial"/>
      <family val="2"/>
    </font>
    <font>
      <sz val="12"/>
      <name val="Arial"/>
      <family val="2"/>
    </font>
    <font>
      <b/>
      <sz val="14"/>
      <name val="Arial"/>
      <family val="2"/>
    </font>
    <font>
      <b/>
      <sz val="16"/>
      <name val="Arial"/>
      <family val="2"/>
    </font>
    <font>
      <sz val="8"/>
      <name val="Arial"/>
      <family val="2"/>
    </font>
    <font>
      <b/>
      <u/>
      <sz val="16"/>
      <name val="Arial"/>
      <family val="2"/>
    </font>
    <font>
      <sz val="8"/>
      <color indexed="81"/>
      <name val="Tahoma"/>
      <family val="2"/>
    </font>
    <font>
      <b/>
      <u/>
      <sz val="11.5"/>
      <color indexed="12"/>
      <name val="Arial"/>
      <family val="2"/>
    </font>
    <font>
      <b/>
      <u/>
      <sz val="11"/>
      <color indexed="12"/>
      <name val="Arial"/>
      <family val="2"/>
    </font>
    <font>
      <sz val="7"/>
      <color indexed="8"/>
      <name val="Arial"/>
      <family val="2"/>
    </font>
    <font>
      <sz val="9"/>
      <color indexed="12"/>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0"/>
      <color theme="1"/>
      <name val="Arial"/>
      <family val="2"/>
    </font>
    <font>
      <b/>
      <sz val="11"/>
      <color theme="1"/>
      <name val="Calibri"/>
      <family val="2"/>
      <scheme val="minor"/>
    </font>
    <font>
      <sz val="10"/>
      <color rgb="FFFF0000"/>
      <name val="Arial"/>
      <family val="2"/>
    </font>
    <font>
      <sz val="11"/>
      <color rgb="FFFF0000"/>
      <name val="Calibri"/>
      <family val="2"/>
      <scheme val="minor"/>
    </font>
    <font>
      <sz val="7"/>
      <color theme="1"/>
      <name val="Arial"/>
      <family val="2"/>
    </font>
    <font>
      <sz val="9"/>
      <color theme="1"/>
      <name val="Calibri"/>
      <family val="2"/>
      <scheme val="minor"/>
    </font>
    <font>
      <sz val="9"/>
      <name val="Calibri"/>
      <family val="2"/>
      <scheme val="minor"/>
    </font>
    <font>
      <i/>
      <sz val="10"/>
      <color theme="1"/>
      <name val="Arial"/>
      <family val="2"/>
    </font>
    <font>
      <sz val="10"/>
      <color theme="1"/>
      <name val="Calibri"/>
      <family val="2"/>
      <scheme val="minor"/>
    </font>
    <font>
      <b/>
      <sz val="10"/>
      <color theme="1"/>
      <name val="Calibri"/>
      <family val="2"/>
      <scheme val="minor"/>
    </font>
    <font>
      <b/>
      <sz val="10"/>
      <name val="Calibri"/>
      <family val="2"/>
      <scheme val="minor"/>
    </font>
    <font>
      <sz val="10"/>
      <color theme="0"/>
      <name val="Calibri"/>
      <family val="2"/>
      <scheme val="minor"/>
    </font>
    <font>
      <sz val="10"/>
      <name val="Calibri"/>
      <family val="2"/>
      <scheme val="minor"/>
    </font>
    <font>
      <sz val="11"/>
      <color indexed="8"/>
      <name val="Calibri"/>
      <family val="2"/>
      <scheme val="minor"/>
    </font>
    <font>
      <b/>
      <strike/>
      <u/>
      <sz val="11"/>
      <color indexed="12"/>
      <name val="Arial"/>
      <family val="2"/>
    </font>
    <font>
      <sz val="10"/>
      <color rgb="FFFFFFFF"/>
      <name val="Arial"/>
      <family val="2"/>
    </font>
    <font>
      <b/>
      <u/>
      <sz val="8"/>
      <color theme="0"/>
      <name val="Arial"/>
      <family val="2"/>
    </font>
    <font>
      <u/>
      <sz val="10"/>
      <color theme="0"/>
      <name val="Arial"/>
      <family val="2"/>
    </font>
    <font>
      <b/>
      <u/>
      <sz val="8"/>
      <name val="Arial"/>
      <family val="2"/>
    </font>
    <font>
      <u/>
      <sz val="10"/>
      <name val="Arial"/>
      <family val="2"/>
    </font>
    <font>
      <b/>
      <sz val="14"/>
      <color rgb="FFFF0000"/>
      <name val="Arial"/>
      <family val="2"/>
    </font>
    <font>
      <b/>
      <sz val="9"/>
      <color indexed="81"/>
      <name val="Tahoma"/>
      <family val="2"/>
    </font>
    <font>
      <b/>
      <sz val="16"/>
      <color rgb="FFFFFFFF"/>
      <name val="Arial"/>
      <family val="2"/>
    </font>
    <font>
      <b/>
      <sz val="16"/>
      <color theme="2" tint="-0.749992370372631"/>
      <name val="Arial"/>
      <family val="2"/>
    </font>
    <font>
      <b/>
      <sz val="16"/>
      <color theme="0"/>
      <name val="Arial"/>
      <family val="2"/>
    </font>
    <font>
      <b/>
      <sz val="14"/>
      <color rgb="FFFFFFFF"/>
      <name val="Arial"/>
      <family val="2"/>
    </font>
    <font>
      <b/>
      <sz val="12"/>
      <color rgb="FFFFFFFF"/>
      <name val="Arial"/>
      <family val="2"/>
    </font>
    <font>
      <b/>
      <sz val="14"/>
      <color theme="1"/>
      <name val="Arial"/>
      <family val="2"/>
    </font>
    <font>
      <sz val="14"/>
      <name val="Arial"/>
      <family val="2"/>
    </font>
    <font>
      <b/>
      <sz val="12"/>
      <color theme="1"/>
      <name val="Arial"/>
      <family val="2"/>
    </font>
    <font>
      <b/>
      <sz val="11"/>
      <color rgb="FFFFFFFF"/>
      <name val="Calibri"/>
      <family val="2"/>
      <scheme val="minor"/>
    </font>
    <font>
      <sz val="11"/>
      <color rgb="FFFFFFFF"/>
      <name val="Calibri"/>
      <family val="2"/>
      <scheme val="minor"/>
    </font>
    <font>
      <i/>
      <sz val="11"/>
      <color theme="1"/>
      <name val="Calibri"/>
      <family val="2"/>
      <scheme val="minor"/>
    </font>
    <font>
      <b/>
      <sz val="14"/>
      <color theme="1"/>
      <name val="Calibri"/>
      <family val="2"/>
      <scheme val="minor"/>
    </font>
    <font>
      <b/>
      <sz val="14"/>
      <name val="Calibri"/>
      <family val="2"/>
      <scheme val="minor"/>
    </font>
    <font>
      <b/>
      <i/>
      <sz val="14"/>
      <color rgb="FFFF0000"/>
      <name val="Calibri"/>
      <family val="2"/>
      <scheme val="minor"/>
    </font>
    <font>
      <b/>
      <sz val="10"/>
      <color rgb="FFFFFFFF"/>
      <name val="Arial"/>
      <family val="2"/>
    </font>
    <font>
      <sz val="9"/>
      <color indexed="81"/>
      <name val="Tahoma"/>
      <family val="2"/>
    </font>
    <font>
      <sz val="12"/>
      <color theme="1"/>
      <name val="Arial"/>
      <family val="2"/>
    </font>
    <font>
      <b/>
      <sz val="18"/>
      <color theme="1"/>
      <name val="Calibri"/>
      <family val="2"/>
      <scheme val="minor"/>
    </font>
    <font>
      <sz val="8"/>
      <color theme="0"/>
      <name val="Arial"/>
      <family val="2"/>
    </font>
    <font>
      <sz val="9"/>
      <color theme="1"/>
      <name val="Arial"/>
      <family val="2"/>
    </font>
    <font>
      <b/>
      <sz val="16"/>
      <color theme="1"/>
      <name val="Trebuchet MS"/>
      <family val="2"/>
    </font>
    <font>
      <sz val="11"/>
      <color theme="1"/>
      <name val="Trebuchet MS"/>
      <family val="2"/>
    </font>
    <font>
      <sz val="10"/>
      <color theme="1"/>
      <name val="Trebuchet MS"/>
      <family val="2"/>
    </font>
    <font>
      <b/>
      <sz val="11"/>
      <color theme="1"/>
      <name val="Trebuchet MS"/>
      <family val="2"/>
    </font>
    <font>
      <sz val="6"/>
      <color theme="1"/>
      <name val="Calibri"/>
      <family val="2"/>
      <scheme val="minor"/>
    </font>
    <font>
      <sz val="10"/>
      <color rgb="FFFF0000"/>
      <name val="Calibri"/>
      <family val="2"/>
      <scheme val="minor"/>
    </font>
    <font>
      <b/>
      <sz val="10"/>
      <color rgb="FFFF0000"/>
      <name val="Calibri"/>
      <family val="2"/>
      <scheme val="minor"/>
    </font>
    <font>
      <b/>
      <sz val="14"/>
      <color rgb="FFFFFFFF"/>
      <name val="Trebuchet MS"/>
      <family val="2"/>
    </font>
    <font>
      <b/>
      <sz val="10"/>
      <name val="Trebuchet MS"/>
      <family val="2"/>
    </font>
    <font>
      <sz val="10"/>
      <name val="Trebuchet MS"/>
      <family val="2"/>
    </font>
    <font>
      <b/>
      <sz val="11"/>
      <name val="Trebuchet MS"/>
      <family val="2"/>
    </font>
    <font>
      <b/>
      <sz val="14"/>
      <name val="Trebuchet MS"/>
      <family val="2"/>
    </font>
    <font>
      <b/>
      <sz val="10"/>
      <color theme="0" tint="-4.9989318521683403E-2"/>
      <name val="Arial"/>
      <family val="2"/>
    </font>
    <font>
      <b/>
      <sz val="14"/>
      <color rgb="FFC12637"/>
      <name val="Arial"/>
      <family val="2"/>
    </font>
    <font>
      <b/>
      <sz val="9"/>
      <color rgb="FFC12637"/>
      <name val="Arial"/>
      <family val="2"/>
    </font>
    <font>
      <b/>
      <sz val="14"/>
      <color rgb="FF009969"/>
      <name val="Arial"/>
      <family val="2"/>
    </font>
    <font>
      <b/>
      <sz val="9"/>
      <color rgb="FFC00000"/>
      <name val="Arial"/>
      <family val="2"/>
    </font>
    <font>
      <b/>
      <sz val="11"/>
      <color rgb="FFC12637"/>
      <name val="Calibri"/>
      <family val="2"/>
      <scheme val="minor"/>
    </font>
    <font>
      <b/>
      <sz val="14"/>
      <color theme="0"/>
      <name val="Calibri"/>
      <family val="2"/>
      <scheme val="minor"/>
    </font>
    <font>
      <sz val="11"/>
      <name val="Calibri"/>
      <family val="2"/>
      <scheme val="minor"/>
    </font>
    <font>
      <i/>
      <sz val="11"/>
      <name val="Calibri"/>
      <family val="2"/>
      <scheme val="minor"/>
    </font>
  </fonts>
  <fills count="89">
    <fill>
      <patternFill patternType="none"/>
    </fill>
    <fill>
      <patternFill patternType="gray125"/>
    </fill>
    <fill>
      <patternFill patternType="solid">
        <fgColor indexed="9"/>
        <bgColor indexed="9"/>
      </patternFill>
    </fill>
    <fill>
      <patternFill patternType="solid">
        <fgColor indexed="22"/>
        <bgColor indexed="64"/>
      </patternFill>
    </fill>
    <fill>
      <patternFill patternType="solid">
        <fgColor indexed="22"/>
        <bgColor indexed="22"/>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8"/>
        <bgColor indexed="64"/>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FF0000"/>
        <bgColor indexed="64"/>
      </patternFill>
    </fill>
    <fill>
      <patternFill patternType="solid">
        <fgColor theme="2" tint="-0.749992370372631"/>
        <bgColor indexed="9"/>
      </patternFill>
    </fill>
    <fill>
      <patternFill patternType="solid">
        <fgColor theme="2" tint="-0.499984740745262"/>
        <bgColor indexed="9"/>
      </patternFill>
    </fill>
    <fill>
      <patternFill patternType="solid">
        <fgColor theme="9" tint="-0.249977111117893"/>
        <bgColor indexed="9"/>
      </patternFill>
    </fill>
    <fill>
      <patternFill patternType="solid">
        <fgColor theme="2" tint="-0.499984740745262"/>
        <bgColor indexed="64"/>
      </patternFill>
    </fill>
    <fill>
      <patternFill patternType="solid">
        <fgColor theme="1" tint="0.14999847407452621"/>
        <bgColor indexed="64"/>
      </patternFill>
    </fill>
    <fill>
      <patternFill patternType="solid">
        <fgColor theme="0"/>
        <bgColor indexed="64"/>
      </patternFill>
    </fill>
    <fill>
      <patternFill patternType="solid">
        <fgColor rgb="FFCDC8A7"/>
        <bgColor indexed="9"/>
      </patternFill>
    </fill>
    <fill>
      <patternFill patternType="solid">
        <fgColor rgb="FFFDF04D"/>
        <bgColor indexed="9"/>
      </patternFill>
    </fill>
    <fill>
      <patternFill patternType="solid">
        <fgColor rgb="FFFFFF99"/>
        <bgColor indexed="64"/>
      </patternFill>
    </fill>
    <fill>
      <patternFill patternType="solid">
        <fgColor theme="6" tint="-0.499984740745262"/>
        <bgColor indexed="64"/>
      </patternFill>
    </fill>
    <fill>
      <patternFill patternType="solid">
        <fgColor rgb="FFB2B2B2"/>
        <bgColor indexed="64"/>
      </patternFill>
    </fill>
    <fill>
      <patternFill patternType="solid">
        <fgColor rgb="FF002060"/>
        <bgColor indexed="64"/>
      </patternFill>
    </fill>
    <fill>
      <patternFill patternType="solid">
        <fgColor theme="5" tint="-0.49998474074526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5"/>
        <bgColor indexed="64"/>
      </patternFill>
    </fill>
    <fill>
      <patternFill patternType="solid">
        <fgColor rgb="FF33CC33"/>
        <bgColor indexed="64"/>
      </patternFill>
    </fill>
    <fill>
      <patternFill patternType="solid">
        <fgColor theme="3" tint="-0.249977111117893"/>
        <bgColor indexed="64"/>
      </patternFill>
    </fill>
    <fill>
      <patternFill patternType="solid">
        <fgColor theme="7" tint="-0.249977111117893"/>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3" tint="0.59999389629810485"/>
        <bgColor indexed="9"/>
      </patternFill>
    </fill>
    <fill>
      <patternFill patternType="solid">
        <fgColor theme="3" tint="-0.499984740745262"/>
        <bgColor indexed="9"/>
      </patternFill>
    </fill>
    <fill>
      <patternFill patternType="solid">
        <fgColor theme="3" tint="-0.499984740745262"/>
        <bgColor indexed="64"/>
      </patternFill>
    </fill>
    <fill>
      <patternFill patternType="solid">
        <fgColor rgb="FF1D1B10"/>
        <bgColor indexed="9"/>
      </patternFill>
    </fill>
    <fill>
      <patternFill patternType="solid">
        <fgColor rgb="FF1D1B10"/>
        <bgColor indexed="64"/>
      </patternFill>
    </fill>
    <fill>
      <patternFill patternType="solid">
        <fgColor rgb="FF494529"/>
        <bgColor indexed="9"/>
      </patternFill>
    </fill>
    <fill>
      <patternFill patternType="solid">
        <fgColor rgb="FF494529"/>
        <bgColor indexed="64"/>
      </patternFill>
    </fill>
    <fill>
      <patternFill patternType="solid">
        <fgColor rgb="FFFFFFCC"/>
        <bgColor indexed="64"/>
      </patternFill>
    </fill>
    <fill>
      <patternFill patternType="solid">
        <fgColor theme="6" tint="0.79998168889431442"/>
        <bgColor indexed="64"/>
      </patternFill>
    </fill>
    <fill>
      <patternFill patternType="lightUp">
        <fgColor theme="1"/>
        <bgColor rgb="FF92D050"/>
      </patternFill>
    </fill>
    <fill>
      <patternFill patternType="solid">
        <fgColor theme="4"/>
        <bgColor indexed="64"/>
      </patternFill>
    </fill>
    <fill>
      <patternFill patternType="solid">
        <fgColor theme="6"/>
        <bgColor indexed="64"/>
      </patternFill>
    </fill>
    <fill>
      <patternFill patternType="solid">
        <fgColor rgb="FF0E3F75"/>
        <bgColor indexed="64"/>
      </patternFill>
    </fill>
    <fill>
      <patternFill patternType="solid">
        <fgColor rgb="FF009969"/>
        <bgColor indexed="64"/>
      </patternFill>
    </fill>
    <fill>
      <patternFill patternType="solid">
        <fgColor rgb="FFEDA0A8"/>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style="thick">
        <color indexed="64"/>
      </top>
      <bottom/>
      <diagonal/>
    </border>
    <border>
      <left style="thick">
        <color indexed="64"/>
      </left>
      <right/>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right style="thick">
        <color indexed="64"/>
      </right>
      <top style="thick">
        <color indexed="64"/>
      </top>
      <bottom/>
      <diagonal/>
    </border>
    <border>
      <left style="thick">
        <color indexed="64"/>
      </left>
      <right/>
      <top style="thick">
        <color indexed="64"/>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style="medium">
        <color indexed="64"/>
      </right>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thick">
        <color indexed="64"/>
      </left>
      <right style="thick">
        <color indexed="64"/>
      </right>
      <top style="thick">
        <color indexed="64"/>
      </top>
      <bottom style="thick">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8"/>
      </left>
      <right style="medium">
        <color indexed="8"/>
      </right>
      <top style="medium">
        <color indexed="64"/>
      </top>
      <bottom style="medium">
        <color indexed="64"/>
      </bottom>
      <diagonal/>
    </border>
    <border>
      <left/>
      <right/>
      <top style="thin">
        <color indexed="8"/>
      </top>
      <bottom/>
      <diagonal/>
    </border>
    <border>
      <left style="medium">
        <color indexed="64"/>
      </left>
      <right/>
      <top style="medium">
        <color indexed="64"/>
      </top>
      <bottom/>
      <diagonal/>
    </border>
    <border>
      <left style="medium">
        <color indexed="8"/>
      </left>
      <right style="medium">
        <color indexed="64"/>
      </right>
      <top style="medium">
        <color indexed="64"/>
      </top>
      <bottom/>
      <diagonal/>
    </border>
    <border>
      <left style="medium">
        <color indexed="64"/>
      </left>
      <right/>
      <top style="thin">
        <color indexed="8"/>
      </top>
      <bottom/>
      <diagonal/>
    </border>
    <border>
      <left style="medium">
        <color indexed="8"/>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ck">
        <color indexed="64"/>
      </left>
      <right/>
      <top style="thin">
        <color indexed="8"/>
      </top>
      <bottom/>
      <diagonal/>
    </border>
    <border>
      <left style="medium">
        <color indexed="8"/>
      </left>
      <right style="medium">
        <color indexed="8"/>
      </right>
      <top/>
      <bottom/>
      <diagonal/>
    </border>
    <border>
      <left style="medium">
        <color indexed="8"/>
      </left>
      <right/>
      <top/>
      <bottom/>
      <diagonal/>
    </border>
    <border>
      <left style="thin">
        <color indexed="65"/>
      </left>
      <right/>
      <top style="medium">
        <color indexed="64"/>
      </top>
      <bottom style="medium">
        <color indexed="64"/>
      </bottom>
      <diagonal/>
    </border>
    <border>
      <left style="medium">
        <color indexed="64"/>
      </left>
      <right style="thick">
        <color indexed="64"/>
      </right>
      <top style="medium">
        <color indexed="64"/>
      </top>
      <bottom style="thick">
        <color indexed="64"/>
      </bottom>
      <diagonal/>
    </border>
    <border>
      <left style="medium">
        <color indexed="8"/>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medium">
        <color indexed="64"/>
      </left>
      <right style="medium">
        <color indexed="64"/>
      </right>
      <top/>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right/>
      <top style="thin">
        <color rgb="FF999999"/>
      </top>
      <bottom/>
      <diagonal/>
    </border>
    <border>
      <left/>
      <right style="thin">
        <color rgb="FF999999"/>
      </right>
      <top style="thin">
        <color rgb="FF999999"/>
      </top>
      <bottom/>
      <diagonal/>
    </border>
    <border>
      <left style="thin">
        <color rgb="FF999999"/>
      </left>
      <right/>
      <top style="medium">
        <color indexed="64"/>
      </top>
      <bottom style="medium">
        <color indexed="64"/>
      </bottom>
      <diagonal/>
    </border>
    <border>
      <left style="medium">
        <color indexed="8"/>
      </left>
      <right style="medium">
        <color indexed="8"/>
      </right>
      <top style="thin">
        <color rgb="FF999999"/>
      </top>
      <bottom/>
      <diagonal/>
    </border>
    <border>
      <left style="medium">
        <color indexed="64"/>
      </left>
      <right/>
      <top style="thin">
        <color rgb="FF999999"/>
      </top>
      <bottom/>
      <diagonal/>
    </border>
    <border>
      <left style="medium">
        <color indexed="8"/>
      </left>
      <right style="medium">
        <color indexed="64"/>
      </right>
      <top style="thin">
        <color rgb="FF999999"/>
      </top>
      <bottom/>
      <diagonal/>
    </border>
    <border>
      <left style="thin">
        <color rgb="FF999999"/>
      </left>
      <right/>
      <top/>
      <bottom/>
      <diagonal/>
    </border>
    <border>
      <left style="thin">
        <color rgb="FF999999"/>
      </left>
      <right style="thin">
        <color rgb="FF999999"/>
      </right>
      <top/>
      <bottom/>
      <diagonal/>
    </border>
    <border>
      <left/>
      <right style="thin">
        <color rgb="FF999999"/>
      </right>
      <top/>
      <bottom/>
      <diagonal/>
    </border>
    <border>
      <left/>
      <right style="thin">
        <color rgb="FF999999"/>
      </right>
      <top style="thin">
        <color rgb="FF999999"/>
      </top>
      <bottom style="thin">
        <color rgb="FF999999"/>
      </bottom>
      <diagonal/>
    </border>
    <border>
      <left/>
      <right style="medium">
        <color indexed="64"/>
      </right>
      <top style="thin">
        <color rgb="FF999999"/>
      </top>
      <bottom/>
      <diagonal/>
    </border>
    <border>
      <left style="thin">
        <color indexed="65"/>
      </left>
      <right/>
      <top style="thin">
        <color rgb="FF999999"/>
      </top>
      <bottom/>
      <diagonal/>
    </border>
    <border>
      <left style="thin">
        <color rgb="FF999999"/>
      </left>
      <right/>
      <top style="thin">
        <color indexed="65"/>
      </top>
      <bottom/>
      <diagonal/>
    </border>
    <border>
      <left style="thin">
        <color indexed="65"/>
      </left>
      <right/>
      <top style="thin">
        <color rgb="FF999999"/>
      </top>
      <bottom style="thin">
        <color rgb="FF999999"/>
      </bottom>
      <diagonal/>
    </border>
    <border>
      <left style="medium">
        <color indexed="8"/>
      </left>
      <right/>
      <top style="thin">
        <color rgb="FF999999"/>
      </top>
      <bottom/>
      <diagonal/>
    </border>
    <border>
      <left style="thin">
        <color indexed="65"/>
      </left>
      <right style="thin">
        <color rgb="FF999999"/>
      </right>
      <top style="thin">
        <color rgb="FF999999"/>
      </top>
      <bottom/>
      <diagonal/>
    </border>
    <border>
      <left/>
      <right/>
      <top style="thin">
        <color rgb="FF999999"/>
      </top>
      <bottom style="thin">
        <color rgb="FF999999"/>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rgb="FF999999"/>
      </left>
      <right style="medium">
        <color indexed="64"/>
      </right>
      <top style="medium">
        <color indexed="64"/>
      </top>
      <bottom style="medium">
        <color indexed="64"/>
      </bottom>
      <diagonal/>
    </border>
    <border>
      <left style="thin">
        <color indexed="64"/>
      </left>
      <right/>
      <top style="thin">
        <color indexed="64"/>
      </top>
      <bottom/>
      <diagonal/>
    </border>
  </borders>
  <cellStyleXfs count="76">
    <xf numFmtId="0" fontId="0" fillId="0" borderId="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5" fillId="34" borderId="0" applyNumberFormat="0" applyBorder="0" applyAlignment="0" applyProtection="0"/>
    <xf numFmtId="0" fontId="56" fillId="35" borderId="47" applyNumberFormat="0" applyAlignment="0" applyProtection="0"/>
    <xf numFmtId="0" fontId="57" fillId="36" borderId="48" applyNumberFormat="0" applyAlignment="0" applyProtection="0"/>
    <xf numFmtId="43" fontId="20" fillId="0" borderId="0" applyFont="0" applyFill="0" applyBorder="0" applyAlignment="0" applyProtection="0"/>
    <xf numFmtId="3" fontId="20" fillId="2" borderId="0" applyFont="0" applyFill="0" applyBorder="0" applyAlignment="0" applyProtection="0"/>
    <xf numFmtId="3" fontId="20" fillId="2"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5" fontId="20" fillId="2" borderId="0" applyFont="0" applyFill="0" applyBorder="0" applyAlignment="0" applyProtection="0"/>
    <xf numFmtId="5" fontId="20" fillId="2" borderId="0" applyFont="0" applyFill="0" applyBorder="0" applyAlignment="0" applyProtection="0"/>
    <xf numFmtId="0" fontId="20" fillId="2" borderId="0" applyFont="0" applyFill="0" applyBorder="0" applyAlignment="0" applyProtection="0"/>
    <xf numFmtId="0" fontId="20" fillId="2" borderId="0" applyFont="0" applyFill="0" applyBorder="0" applyAlignment="0" applyProtection="0"/>
    <xf numFmtId="0" fontId="58" fillId="0" borderId="0" applyNumberFormat="0" applyFill="0" applyBorder="0" applyAlignment="0" applyProtection="0"/>
    <xf numFmtId="2" fontId="20" fillId="2" borderId="0" applyFont="0" applyFill="0" applyBorder="0" applyAlignment="0" applyProtection="0"/>
    <xf numFmtId="2" fontId="20" fillId="2" borderId="0" applyFont="0" applyFill="0" applyBorder="0" applyAlignment="0" applyProtection="0"/>
    <xf numFmtId="0" fontId="59" fillId="37" borderId="0" applyNumberFormat="0" applyBorder="0" applyAlignment="0" applyProtection="0"/>
    <xf numFmtId="0" fontId="60" fillId="0" borderId="49" applyNumberFormat="0" applyFill="0" applyAlignment="0" applyProtection="0"/>
    <xf numFmtId="0" fontId="61" fillId="0" borderId="50" applyNumberFormat="0" applyFill="0" applyAlignment="0" applyProtection="0"/>
    <xf numFmtId="0" fontId="62" fillId="0" borderId="51" applyNumberFormat="0" applyFill="0" applyAlignment="0" applyProtection="0"/>
    <xf numFmtId="0" fontId="62" fillId="0" borderId="0" applyNumberFormat="0" applyFill="0" applyBorder="0" applyAlignment="0" applyProtection="0"/>
    <xf numFmtId="0" fontId="22" fillId="0" borderId="0" applyNumberFormat="0" applyFill="0" applyBorder="0" applyAlignment="0" applyProtection="0">
      <alignment vertical="top"/>
      <protection locked="0"/>
    </xf>
    <xf numFmtId="0" fontId="63" fillId="38" borderId="47" applyNumberFormat="0" applyAlignment="0" applyProtection="0"/>
    <xf numFmtId="0" fontId="64" fillId="0" borderId="52" applyNumberFormat="0" applyFill="0" applyAlignment="0" applyProtection="0"/>
    <xf numFmtId="0" fontId="65" fillId="39" borderId="0" applyNumberFormat="0" applyBorder="0" applyAlignment="0" applyProtection="0"/>
    <xf numFmtId="0" fontId="20" fillId="0" borderId="0"/>
    <xf numFmtId="0" fontId="20" fillId="0" borderId="0">
      <alignment vertical="top"/>
    </xf>
    <xf numFmtId="0" fontId="20" fillId="0" borderId="0">
      <alignment vertical="top"/>
    </xf>
    <xf numFmtId="0" fontId="20" fillId="0" borderId="0"/>
    <xf numFmtId="0" fontId="52" fillId="0" borderId="0"/>
    <xf numFmtId="0" fontId="20" fillId="0" borderId="0"/>
    <xf numFmtId="0" fontId="51" fillId="0" borderId="0"/>
    <xf numFmtId="0" fontId="16" fillId="0" borderId="0"/>
    <xf numFmtId="0" fontId="52" fillId="40" borderId="53" applyNumberFormat="0" applyFont="0" applyAlignment="0" applyProtection="0"/>
    <xf numFmtId="0" fontId="66" fillId="35" borderId="54"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68" fillId="0" borderId="55" applyNumberFormat="0" applyFill="0" applyAlignment="0" applyProtection="0"/>
    <xf numFmtId="0" fontId="70" fillId="0" borderId="0" applyNumberFormat="0" applyFill="0" applyBorder="0" applyAlignment="0" applyProtection="0"/>
    <xf numFmtId="0" fontId="15" fillId="0" borderId="0"/>
    <xf numFmtId="0" fontId="20" fillId="0" borderId="0"/>
    <xf numFmtId="0" fontId="13" fillId="0" borderId="0"/>
    <xf numFmtId="0" fontId="11"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8" fillId="0" borderId="0"/>
    <xf numFmtId="9" fontId="5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cellStyleXfs>
  <cellXfs count="708">
    <xf numFmtId="0" fontId="0" fillId="0" borderId="0" xfId="0"/>
    <xf numFmtId="0" fontId="0" fillId="0" borderId="0" xfId="0" applyProtection="1">
      <protection locked="0"/>
    </xf>
    <xf numFmtId="0" fontId="20" fillId="0" borderId="0" xfId="0" applyFont="1"/>
    <xf numFmtId="0" fontId="21" fillId="0" borderId="0" xfId="0" applyFont="1"/>
    <xf numFmtId="0" fontId="0" fillId="0" borderId="0" xfId="0" applyAlignment="1">
      <alignment horizontal="center"/>
    </xf>
    <xf numFmtId="0" fontId="23" fillId="0" borderId="0" xfId="0" applyFont="1"/>
    <xf numFmtId="0" fontId="22" fillId="0" borderId="0" xfId="45" applyAlignment="1" applyProtection="1"/>
    <xf numFmtId="0" fontId="20" fillId="0" borderId="0" xfId="49"/>
    <xf numFmtId="0" fontId="20" fillId="0" borderId="0" xfId="49" applyAlignment="1">
      <alignment horizontal="center"/>
    </xf>
    <xf numFmtId="0" fontId="21" fillId="0" borderId="0" xfId="49" applyFont="1" applyAlignment="1">
      <alignment horizontal="center"/>
    </xf>
    <xf numFmtId="0" fontId="24" fillId="0" borderId="0" xfId="49" applyFont="1" applyAlignment="1">
      <alignment horizontal="left"/>
    </xf>
    <xf numFmtId="0" fontId="24" fillId="0" borderId="0" xfId="49" applyFont="1" applyProtection="1">
      <protection locked="0"/>
    </xf>
    <xf numFmtId="49" fontId="20" fillId="0" borderId="0" xfId="49" applyNumberFormat="1"/>
    <xf numFmtId="49" fontId="20" fillId="0" borderId="0" xfId="49" applyNumberFormat="1" applyProtection="1">
      <protection locked="0"/>
    </xf>
    <xf numFmtId="0" fontId="20" fillId="0" borderId="0" xfId="49" applyAlignment="1">
      <alignment horizontal="left"/>
    </xf>
    <xf numFmtId="0" fontId="26" fillId="0" borderId="0" xfId="49" applyFont="1" applyAlignment="1">
      <alignment horizontal="left"/>
    </xf>
    <xf numFmtId="0" fontId="24" fillId="0" borderId="0" xfId="49" applyFont="1" applyAlignment="1">
      <alignment horizontal="left" vertical="center"/>
    </xf>
    <xf numFmtId="0" fontId="26" fillId="0" borderId="0" xfId="49" applyFont="1"/>
    <xf numFmtId="0" fontId="27" fillId="0" borderId="0" xfId="49" applyFont="1"/>
    <xf numFmtId="0" fontId="28" fillId="0" borderId="0" xfId="49" applyFont="1"/>
    <xf numFmtId="0" fontId="30" fillId="0" borderId="0" xfId="45" applyFont="1" applyAlignment="1" applyProtection="1"/>
    <xf numFmtId="0" fontId="31" fillId="0" borderId="0" xfId="49" applyFont="1"/>
    <xf numFmtId="0" fontId="24" fillId="0" borderId="0" xfId="49" applyFont="1" applyAlignment="1">
      <alignment horizontal="center"/>
    </xf>
    <xf numFmtId="0" fontId="24" fillId="0" borderId="0" xfId="49" applyFont="1"/>
    <xf numFmtId="165" fontId="19" fillId="0" borderId="0" xfId="49" applyNumberFormat="1" applyFont="1" applyAlignment="1">
      <alignment horizontal="center"/>
    </xf>
    <xf numFmtId="0" fontId="19" fillId="0" borderId="0" xfId="49" applyFont="1"/>
    <xf numFmtId="0" fontId="19" fillId="0" borderId="0" xfId="49" applyFont="1" applyAlignment="1">
      <alignment horizontal="center"/>
    </xf>
    <xf numFmtId="0" fontId="33" fillId="0" borderId="0" xfId="49" applyFont="1" applyAlignment="1">
      <alignment horizontal="center"/>
    </xf>
    <xf numFmtId="0" fontId="34" fillId="0" borderId="0" xfId="49" applyFont="1"/>
    <xf numFmtId="0" fontId="35" fillId="0" borderId="0" xfId="49" applyFont="1"/>
    <xf numFmtId="0" fontId="36" fillId="0" borderId="0" xfId="45" applyFont="1" applyAlignment="1" applyProtection="1"/>
    <xf numFmtId="49" fontId="20" fillId="0" borderId="0" xfId="49" applyNumberFormat="1" applyAlignment="1">
      <alignment horizontal="center"/>
    </xf>
    <xf numFmtId="0" fontId="20" fillId="0" borderId="0" xfId="49" applyAlignment="1">
      <alignment horizontal="center" vertical="center"/>
    </xf>
    <xf numFmtId="0" fontId="37" fillId="0" borderId="0" xfId="49" applyFont="1" applyAlignment="1">
      <alignment horizontal="right" vertical="center"/>
    </xf>
    <xf numFmtId="0" fontId="38" fillId="0" borderId="0" xfId="49" applyFont="1" applyAlignment="1">
      <alignment horizontal="center" vertical="center"/>
    </xf>
    <xf numFmtId="49" fontId="38" fillId="0" borderId="0" xfId="49" applyNumberFormat="1" applyFont="1" applyAlignment="1">
      <alignment horizontal="center" vertical="center"/>
    </xf>
    <xf numFmtId="0" fontId="38" fillId="0" borderId="3" xfId="49" applyFont="1" applyBorder="1" applyAlignment="1">
      <alignment horizontal="center" vertical="center"/>
    </xf>
    <xf numFmtId="0" fontId="38" fillId="0" borderId="4" xfId="49" applyFont="1" applyBorder="1" applyAlignment="1">
      <alignment horizontal="center" vertical="center"/>
    </xf>
    <xf numFmtId="0" fontId="38" fillId="0" borderId="5" xfId="49" applyFont="1" applyBorder="1" applyAlignment="1">
      <alignment horizontal="center" vertical="center"/>
    </xf>
    <xf numFmtId="0" fontId="38" fillId="0" borderId="6" xfId="49" applyFont="1" applyBorder="1" applyAlignment="1">
      <alignment horizontal="center" vertical="center"/>
    </xf>
    <xf numFmtId="49" fontId="38" fillId="0" borderId="6" xfId="49" applyNumberFormat="1" applyFont="1" applyBorder="1" applyAlignment="1">
      <alignment horizontal="center" vertical="center"/>
    </xf>
    <xf numFmtId="0" fontId="38" fillId="0" borderId="7" xfId="49" applyFont="1" applyBorder="1" applyAlignment="1">
      <alignment horizontal="center" vertical="center"/>
    </xf>
    <xf numFmtId="0" fontId="38" fillId="0" borderId="8" xfId="49" applyFont="1" applyBorder="1" applyAlignment="1">
      <alignment horizontal="center" vertical="center"/>
    </xf>
    <xf numFmtId="0" fontId="38" fillId="0" borderId="9" xfId="49" applyFont="1" applyBorder="1" applyAlignment="1">
      <alignment horizontal="center" vertical="center"/>
    </xf>
    <xf numFmtId="0" fontId="38" fillId="0" borderId="10" xfId="49" applyFont="1" applyBorder="1" applyAlignment="1">
      <alignment horizontal="center" vertical="center"/>
    </xf>
    <xf numFmtId="0" fontId="39" fillId="0" borderId="0" xfId="49" applyFont="1"/>
    <xf numFmtId="0" fontId="28" fillId="0" borderId="0" xfId="49" applyFont="1" applyAlignment="1">
      <alignment horizontal="center"/>
    </xf>
    <xf numFmtId="2" fontId="40" fillId="4" borderId="11" xfId="49" applyNumberFormat="1" applyFont="1" applyFill="1" applyBorder="1" applyAlignment="1">
      <alignment horizontal="center" vertical="center"/>
    </xf>
    <xf numFmtId="0" fontId="28" fillId="0" borderId="11" xfId="49" applyFont="1" applyBorder="1" applyAlignment="1">
      <alignment horizontal="center" vertical="center"/>
    </xf>
    <xf numFmtId="2" fontId="28" fillId="0" borderId="11" xfId="49" applyNumberFormat="1" applyFont="1" applyBorder="1" applyAlignment="1">
      <alignment horizontal="center" vertical="center"/>
    </xf>
    <xf numFmtId="3" fontId="28" fillId="5" borderId="11" xfId="49" applyNumberFormat="1" applyFont="1" applyFill="1" applyBorder="1" applyAlignment="1">
      <alignment horizontal="center" vertical="center"/>
    </xf>
    <xf numFmtId="0" fontId="28" fillId="0" borderId="0" xfId="49" applyFont="1" applyAlignment="1">
      <alignment horizontal="right"/>
    </xf>
    <xf numFmtId="0" fontId="39" fillId="0" borderId="12" xfId="49" applyFont="1" applyBorder="1"/>
    <xf numFmtId="0" fontId="28" fillId="0" borderId="12" xfId="49" applyFont="1" applyBorder="1"/>
    <xf numFmtId="0" fontId="28" fillId="0" borderId="0" xfId="49" applyFont="1" applyAlignment="1">
      <alignment horizontal="center" vertical="center"/>
    </xf>
    <xf numFmtId="0" fontId="39" fillId="0" borderId="0" xfId="49" applyFont="1" applyAlignment="1">
      <alignment horizontal="right"/>
    </xf>
    <xf numFmtId="0" fontId="28" fillId="0" borderId="0" xfId="49" applyFont="1" applyProtection="1">
      <protection locked="0"/>
    </xf>
    <xf numFmtId="0" fontId="41" fillId="0" borderId="0" xfId="49" applyFont="1"/>
    <xf numFmtId="0" fontId="29" fillId="0" borderId="0" xfId="49" applyFont="1" applyProtection="1">
      <protection locked="0"/>
    </xf>
    <xf numFmtId="0" fontId="28" fillId="6" borderId="11" xfId="49" applyFont="1" applyFill="1" applyBorder="1" applyProtection="1">
      <protection locked="0"/>
    </xf>
    <xf numFmtId="166" fontId="42" fillId="0" borderId="0" xfId="49" applyNumberFormat="1" applyFont="1" applyAlignment="1" applyProtection="1">
      <alignment horizontal="center"/>
      <protection locked="0"/>
    </xf>
    <xf numFmtId="3" fontId="42" fillId="0" borderId="0" xfId="49" applyNumberFormat="1" applyFont="1" applyAlignment="1" applyProtection="1">
      <alignment horizontal="center"/>
      <protection locked="0"/>
    </xf>
    <xf numFmtId="166" fontId="29" fillId="0" borderId="13" xfId="49" applyNumberFormat="1" applyFont="1" applyBorder="1" applyAlignment="1" applyProtection="1">
      <alignment horizontal="center"/>
      <protection locked="0" hidden="1"/>
    </xf>
    <xf numFmtId="0" fontId="29" fillId="0" borderId="11" xfId="49" applyFont="1" applyBorder="1" applyProtection="1">
      <protection locked="0" hidden="1"/>
    </xf>
    <xf numFmtId="0" fontId="29" fillId="0" borderId="11" xfId="49" applyFont="1" applyBorder="1" applyAlignment="1" applyProtection="1">
      <alignment horizontal="center"/>
      <protection locked="0" hidden="1"/>
    </xf>
    <xf numFmtId="166" fontId="29" fillId="0" borderId="11" xfId="49" applyNumberFormat="1" applyFont="1" applyBorder="1" applyAlignment="1" applyProtection="1">
      <alignment horizontal="center"/>
      <protection locked="0" hidden="1"/>
    </xf>
    <xf numFmtId="0" fontId="29" fillId="6" borderId="11" xfId="49" applyFont="1" applyFill="1" applyBorder="1" applyAlignment="1" applyProtection="1">
      <alignment horizontal="center"/>
      <protection locked="0"/>
    </xf>
    <xf numFmtId="0" fontId="28" fillId="0" borderId="0" xfId="49" applyFont="1" applyAlignment="1" applyProtection="1">
      <alignment horizontal="left"/>
      <protection locked="0"/>
    </xf>
    <xf numFmtId="0" fontId="31" fillId="0" borderId="0" xfId="49" applyFont="1" applyProtection="1">
      <protection locked="0"/>
    </xf>
    <xf numFmtId="0" fontId="29" fillId="0" borderId="14" xfId="49" applyFont="1" applyBorder="1" applyProtection="1">
      <protection locked="0" hidden="1"/>
    </xf>
    <xf numFmtId="0" fontId="29" fillId="0" borderId="14" xfId="49" applyFont="1" applyBorder="1" applyAlignment="1" applyProtection="1">
      <alignment horizontal="center"/>
      <protection locked="0" hidden="1"/>
    </xf>
    <xf numFmtId="166" fontId="29" fillId="0" borderId="15" xfId="49" applyNumberFormat="1" applyFont="1" applyBorder="1" applyAlignment="1" applyProtection="1">
      <alignment horizontal="center"/>
      <protection locked="0" hidden="1"/>
    </xf>
    <xf numFmtId="0" fontId="29" fillId="6" borderId="15" xfId="49" applyFont="1" applyFill="1" applyBorder="1" applyAlignment="1" applyProtection="1">
      <alignment horizontal="center"/>
      <protection locked="0"/>
    </xf>
    <xf numFmtId="0" fontId="28" fillId="0" borderId="2" xfId="49" applyFont="1" applyBorder="1" applyProtection="1">
      <protection locked="0"/>
    </xf>
    <xf numFmtId="0" fontId="29" fillId="0" borderId="16" xfId="49" applyFont="1" applyBorder="1" applyAlignment="1" applyProtection="1">
      <alignment horizontal="center"/>
      <protection locked="0" hidden="1"/>
    </xf>
    <xf numFmtId="0" fontId="29" fillId="0" borderId="17" xfId="49" applyFont="1" applyBorder="1" applyAlignment="1" applyProtection="1">
      <alignment horizontal="center"/>
      <protection locked="0" hidden="1"/>
    </xf>
    <xf numFmtId="0" fontId="29" fillId="0" borderId="17" xfId="49" applyFont="1" applyBorder="1" applyAlignment="1" applyProtection="1">
      <alignment horizontal="center"/>
      <protection locked="0"/>
    </xf>
    <xf numFmtId="0" fontId="28" fillId="0" borderId="0" xfId="49" applyFont="1" applyAlignment="1" applyProtection="1">
      <alignment horizontal="center"/>
      <protection locked="0"/>
    </xf>
    <xf numFmtId="166" fontId="28" fillId="0" borderId="0" xfId="49" applyNumberFormat="1" applyFont="1" applyProtection="1">
      <protection locked="0"/>
    </xf>
    <xf numFmtId="3" fontId="43" fillId="5" borderId="18" xfId="49" applyNumberFormat="1" applyFont="1" applyFill="1" applyBorder="1" applyAlignment="1" applyProtection="1">
      <alignment horizontal="center" vertical="center"/>
      <protection locked="0"/>
    </xf>
    <xf numFmtId="0" fontId="42" fillId="0" borderId="0" xfId="49" applyFont="1" applyAlignment="1" applyProtection="1">
      <alignment horizontal="right"/>
      <protection locked="0"/>
    </xf>
    <xf numFmtId="0" fontId="27" fillId="0" borderId="0" xfId="0" applyFont="1"/>
    <xf numFmtId="0" fontId="18" fillId="3" borderId="23" xfId="0" applyFont="1" applyFill="1" applyBorder="1"/>
    <xf numFmtId="0" fontId="17" fillId="8" borderId="30" xfId="0" applyFont="1" applyFill="1" applyBorder="1" applyAlignment="1">
      <alignment horizontal="left"/>
    </xf>
    <xf numFmtId="0" fontId="17" fillId="8" borderId="31" xfId="0" applyFont="1" applyFill="1" applyBorder="1" applyAlignment="1">
      <alignment horizontal="center"/>
    </xf>
    <xf numFmtId="165" fontId="18" fillId="3" borderId="33" xfId="0" applyNumberFormat="1" applyFont="1" applyFill="1" applyBorder="1" applyAlignment="1">
      <alignment horizontal="center"/>
    </xf>
    <xf numFmtId="0" fontId="18" fillId="3" borderId="23" xfId="0" applyFont="1" applyFill="1" applyBorder="1" applyAlignment="1">
      <alignment horizontal="right"/>
    </xf>
    <xf numFmtId="0" fontId="17" fillId="8" borderId="34" xfId="0" applyFont="1" applyFill="1" applyBorder="1" applyAlignment="1">
      <alignment horizontal="center"/>
    </xf>
    <xf numFmtId="0" fontId="17" fillId="8" borderId="35" xfId="0" applyFont="1" applyFill="1" applyBorder="1" applyAlignment="1">
      <alignment horizontal="center"/>
    </xf>
    <xf numFmtId="0" fontId="17" fillId="8" borderId="36" xfId="0" applyFont="1" applyFill="1" applyBorder="1" applyAlignment="1">
      <alignment horizontal="left"/>
    </xf>
    <xf numFmtId="0" fontId="17" fillId="8" borderId="37" xfId="0" applyFont="1" applyFill="1" applyBorder="1" applyAlignment="1">
      <alignment horizontal="center"/>
    </xf>
    <xf numFmtId="0" fontId="17" fillId="8" borderId="29" xfId="0" applyFont="1" applyFill="1" applyBorder="1" applyAlignment="1">
      <alignment horizontal="left"/>
    </xf>
    <xf numFmtId="0" fontId="18" fillId="3" borderId="38" xfId="0" applyFont="1" applyFill="1" applyBorder="1"/>
    <xf numFmtId="0" fontId="18" fillId="3" borderId="39" xfId="0" applyFont="1" applyFill="1" applyBorder="1"/>
    <xf numFmtId="0" fontId="17" fillId="8" borderId="40" xfId="0" applyFont="1" applyFill="1" applyBorder="1" applyAlignment="1">
      <alignment horizontal="left"/>
    </xf>
    <xf numFmtId="0" fontId="17" fillId="8" borderId="34" xfId="0" applyFont="1" applyFill="1" applyBorder="1" applyAlignment="1">
      <alignment horizontal="left"/>
    </xf>
    <xf numFmtId="0" fontId="18" fillId="3" borderId="2" xfId="0" applyFont="1" applyFill="1" applyBorder="1"/>
    <xf numFmtId="0" fontId="67" fillId="0" borderId="30" xfId="0" applyFont="1" applyBorder="1"/>
    <xf numFmtId="0" fontId="67" fillId="0" borderId="35" xfId="0" applyFont="1" applyBorder="1"/>
    <xf numFmtId="0" fontId="17" fillId="8" borderId="32" xfId="0" applyFont="1" applyFill="1" applyBorder="1" applyAlignment="1">
      <alignment horizontal="left"/>
    </xf>
    <xf numFmtId="0" fontId="17" fillId="8" borderId="20" xfId="0" applyFont="1" applyFill="1" applyBorder="1" applyAlignment="1">
      <alignment horizontal="center"/>
    </xf>
    <xf numFmtId="49" fontId="0" fillId="0" borderId="0" xfId="0" applyNumberFormat="1"/>
    <xf numFmtId="0" fontId="29" fillId="0" borderId="15" xfId="0" applyFont="1" applyBorder="1" applyAlignment="1" applyProtection="1">
      <alignment horizontal="center"/>
      <protection locked="0"/>
    </xf>
    <xf numFmtId="0" fontId="29" fillId="0" borderId="11" xfId="0" applyFont="1" applyBorder="1" applyAlignment="1" applyProtection="1">
      <alignment horizontal="center"/>
      <protection locked="0"/>
    </xf>
    <xf numFmtId="49" fontId="28" fillId="0" borderId="0" xfId="49" applyNumberFormat="1" applyFont="1" applyProtection="1">
      <protection locked="0"/>
    </xf>
    <xf numFmtId="0" fontId="20" fillId="0" borderId="0" xfId="0" applyFont="1" applyAlignment="1">
      <alignment horizontal="center"/>
    </xf>
    <xf numFmtId="0" fontId="72" fillId="0" borderId="0" xfId="0" applyFont="1" applyAlignment="1">
      <alignment horizontal="center"/>
    </xf>
    <xf numFmtId="0" fontId="72" fillId="0" borderId="0" xfId="0" applyFont="1" applyAlignment="1">
      <alignment horizontal="left"/>
    </xf>
    <xf numFmtId="0" fontId="72" fillId="0" borderId="0" xfId="0" applyFont="1"/>
    <xf numFmtId="0" fontId="73" fillId="0" borderId="0" xfId="49" applyFont="1" applyAlignment="1">
      <alignment horizontal="center" wrapText="1"/>
    </xf>
    <xf numFmtId="0" fontId="73" fillId="0" borderId="0" xfId="49" applyFont="1" applyAlignment="1">
      <alignment horizontal="left" wrapText="1"/>
    </xf>
    <xf numFmtId="49" fontId="73" fillId="0" borderId="0" xfId="49" applyNumberFormat="1" applyFont="1" applyAlignment="1">
      <alignment horizontal="center" wrapText="1"/>
    </xf>
    <xf numFmtId="49" fontId="73" fillId="0" borderId="0" xfId="49" applyNumberFormat="1" applyFont="1" applyAlignment="1">
      <alignment horizontal="left" wrapText="1"/>
    </xf>
    <xf numFmtId="0" fontId="72" fillId="0" borderId="0" xfId="0" applyFont="1" applyAlignment="1">
      <alignment wrapText="1"/>
    </xf>
    <xf numFmtId="0" fontId="52" fillId="0" borderId="0" xfId="53" applyAlignment="1">
      <alignment horizontal="left"/>
    </xf>
    <xf numFmtId="0" fontId="52" fillId="0" borderId="0" xfId="53" applyAlignment="1">
      <alignment horizontal="center"/>
    </xf>
    <xf numFmtId="0" fontId="52" fillId="0" borderId="0" xfId="53"/>
    <xf numFmtId="0" fontId="74" fillId="0" borderId="0" xfId="0" applyFont="1"/>
    <xf numFmtId="0" fontId="0" fillId="0" borderId="0" xfId="0" applyAlignment="1">
      <alignment horizontal="left"/>
    </xf>
    <xf numFmtId="49" fontId="20" fillId="0" borderId="0" xfId="49" applyNumberFormat="1" applyAlignment="1">
      <alignment horizontal="left"/>
    </xf>
    <xf numFmtId="49" fontId="0" fillId="0" borderId="0" xfId="0" applyNumberFormat="1" applyAlignment="1">
      <alignment horizontal="left"/>
    </xf>
    <xf numFmtId="49" fontId="52" fillId="0" borderId="0" xfId="53" applyNumberFormat="1" applyAlignment="1">
      <alignment horizontal="left"/>
    </xf>
    <xf numFmtId="2" fontId="52" fillId="0" borderId="0" xfId="53" applyNumberFormat="1" applyAlignment="1">
      <alignment horizontal="left"/>
    </xf>
    <xf numFmtId="2" fontId="0" fillId="0" borderId="0" xfId="0" applyNumberFormat="1" applyAlignment="1">
      <alignment horizontal="center"/>
    </xf>
    <xf numFmtId="0" fontId="75" fillId="0" borderId="0" xfId="0" applyFont="1" applyAlignment="1">
      <alignment horizontal="center"/>
    </xf>
    <xf numFmtId="0" fontId="75" fillId="0" borderId="0" xfId="0" applyFont="1" applyAlignment="1">
      <alignment horizontal="left"/>
    </xf>
    <xf numFmtId="0" fontId="75" fillId="0" borderId="0" xfId="0" applyFont="1"/>
    <xf numFmtId="0" fontId="75" fillId="0" borderId="0" xfId="0" applyFont="1" applyAlignment="1">
      <alignment horizontal="right"/>
    </xf>
    <xf numFmtId="3" fontId="75" fillId="0" borderId="0" xfId="0" applyNumberFormat="1" applyFont="1" applyAlignment="1">
      <alignment horizontal="center"/>
    </xf>
    <xf numFmtId="4" fontId="75" fillId="0" borderId="0" xfId="0" applyNumberFormat="1" applyFont="1" applyAlignment="1">
      <alignment horizontal="center"/>
    </xf>
    <xf numFmtId="166" fontId="75" fillId="0" borderId="0" xfId="0" applyNumberFormat="1" applyFont="1" applyAlignment="1">
      <alignment horizontal="center"/>
    </xf>
    <xf numFmtId="2" fontId="75" fillId="0" borderId="0" xfId="0" applyNumberFormat="1" applyFont="1" applyAlignment="1">
      <alignment horizontal="center"/>
    </xf>
    <xf numFmtId="49" fontId="75" fillId="0" borderId="0" xfId="0" applyNumberFormat="1" applyFont="1"/>
    <xf numFmtId="0" fontId="75" fillId="0" borderId="25" xfId="0" applyFont="1" applyBorder="1" applyAlignment="1">
      <alignment horizontal="left"/>
    </xf>
    <xf numFmtId="0" fontId="75" fillId="0" borderId="25" xfId="0" applyFont="1" applyBorder="1"/>
    <xf numFmtId="0" fontId="76" fillId="0" borderId="0" xfId="0" applyFont="1" applyAlignment="1">
      <alignment horizontal="right"/>
    </xf>
    <xf numFmtId="0" fontId="77" fillId="44" borderId="11" xfId="0" applyFont="1" applyFill="1" applyBorder="1" applyAlignment="1">
      <alignment horizontal="right"/>
    </xf>
    <xf numFmtId="0" fontId="75" fillId="0" borderId="2" xfId="0" applyFont="1" applyBorder="1"/>
    <xf numFmtId="0" fontId="77" fillId="44" borderId="11" xfId="0" applyFont="1" applyFill="1" applyBorder="1" applyAlignment="1">
      <alignment horizontal="center"/>
    </xf>
    <xf numFmtId="167" fontId="75" fillId="0" borderId="0" xfId="0" applyNumberFormat="1" applyFont="1"/>
    <xf numFmtId="3" fontId="75" fillId="0" borderId="0" xfId="0" applyNumberFormat="1" applyFont="1"/>
    <xf numFmtId="167" fontId="0" fillId="0" borderId="0" xfId="0" applyNumberFormat="1"/>
    <xf numFmtId="0" fontId="78" fillId="0" borderId="0" xfId="0" applyFont="1" applyAlignment="1">
      <alignment horizontal="center"/>
    </xf>
    <xf numFmtId="3" fontId="78" fillId="0" borderId="0" xfId="0" applyNumberFormat="1" applyFont="1" applyAlignment="1">
      <alignment horizontal="center"/>
    </xf>
    <xf numFmtId="4" fontId="78" fillId="0" borderId="0" xfId="0" applyNumberFormat="1" applyFont="1" applyAlignment="1">
      <alignment horizontal="center"/>
    </xf>
    <xf numFmtId="166" fontId="78" fillId="0" borderId="0" xfId="0" applyNumberFormat="1" applyFont="1" applyAlignment="1">
      <alignment horizontal="center"/>
    </xf>
    <xf numFmtId="0" fontId="78" fillId="0" borderId="0" xfId="0" applyFont="1"/>
    <xf numFmtId="1" fontId="75" fillId="0" borderId="0" xfId="0" applyNumberFormat="1" applyFont="1" applyAlignment="1">
      <alignment horizontal="center"/>
    </xf>
    <xf numFmtId="0" fontId="79" fillId="8" borderId="0" xfId="0" applyFont="1" applyFill="1" applyAlignment="1">
      <alignment horizontal="center"/>
    </xf>
    <xf numFmtId="0" fontId="77" fillId="44" borderId="43" xfId="0" applyFont="1" applyFill="1" applyBorder="1" applyAlignment="1">
      <alignment horizontal="center"/>
    </xf>
    <xf numFmtId="0" fontId="76" fillId="0" borderId="0" xfId="0" applyFont="1" applyAlignment="1">
      <alignment horizontal="left"/>
    </xf>
    <xf numFmtId="0" fontId="79" fillId="0" borderId="0" xfId="49" applyFont="1" applyAlignment="1" applyProtection="1">
      <alignment horizontal="left"/>
      <protection locked="0"/>
    </xf>
    <xf numFmtId="2" fontId="75" fillId="0" borderId="0" xfId="0" applyNumberFormat="1" applyFont="1"/>
    <xf numFmtId="49" fontId="75" fillId="0" borderId="0" xfId="0" applyNumberFormat="1" applyFont="1" applyAlignment="1">
      <alignment horizontal="center"/>
    </xf>
    <xf numFmtId="49" fontId="75" fillId="0" borderId="0" xfId="0" applyNumberFormat="1" applyFont="1" applyAlignment="1">
      <alignment horizontal="left"/>
    </xf>
    <xf numFmtId="0" fontId="77" fillId="44" borderId="11" xfId="0" applyFont="1" applyFill="1" applyBorder="1"/>
    <xf numFmtId="0" fontId="77" fillId="44" borderId="11" xfId="0" applyFont="1" applyFill="1" applyBorder="1" applyAlignment="1">
      <alignment horizontal="center" wrapText="1"/>
    </xf>
    <xf numFmtId="0" fontId="77" fillId="44" borderId="11" xfId="0" applyFont="1" applyFill="1" applyBorder="1" applyAlignment="1">
      <alignment wrapText="1"/>
    </xf>
    <xf numFmtId="49" fontId="77" fillId="44" borderId="11" xfId="0" applyNumberFormat="1" applyFont="1" applyFill="1" applyBorder="1" applyAlignment="1">
      <alignment horizontal="center" wrapText="1"/>
    </xf>
    <xf numFmtId="49" fontId="77" fillId="44" borderId="11" xfId="0" applyNumberFormat="1" applyFont="1" applyFill="1" applyBorder="1"/>
    <xf numFmtId="0" fontId="76" fillId="0" borderId="11" xfId="0" applyFont="1" applyBorder="1" applyAlignment="1">
      <alignment horizontal="center"/>
    </xf>
    <xf numFmtId="0" fontId="75" fillId="46" borderId="11" xfId="0" applyFont="1" applyFill="1" applyBorder="1" applyAlignment="1">
      <alignment horizontal="center"/>
    </xf>
    <xf numFmtId="0" fontId="75" fillId="0" borderId="22" xfId="0" applyFont="1" applyBorder="1"/>
    <xf numFmtId="0" fontId="75" fillId="0" borderId="21" xfId="0" applyFont="1" applyBorder="1"/>
    <xf numFmtId="3" fontId="75" fillId="47" borderId="11" xfId="0" applyNumberFormat="1" applyFont="1" applyFill="1" applyBorder="1" applyAlignment="1">
      <alignment horizontal="center"/>
    </xf>
    <xf numFmtId="4" fontId="75" fillId="47" borderId="11" xfId="0" applyNumberFormat="1" applyFont="1" applyFill="1" applyBorder="1" applyAlignment="1">
      <alignment horizontal="center"/>
    </xf>
    <xf numFmtId="4" fontId="75" fillId="47" borderId="11" xfId="0" applyNumberFormat="1" applyFont="1" applyFill="1" applyBorder="1" applyAlignment="1">
      <alignment horizontal="center" wrapText="1"/>
    </xf>
    <xf numFmtId="49" fontId="75" fillId="0" borderId="22" xfId="0" applyNumberFormat="1" applyFont="1" applyBorder="1"/>
    <xf numFmtId="0" fontId="75" fillId="48" borderId="23" xfId="0" applyFont="1" applyFill="1" applyBorder="1" applyAlignment="1">
      <alignment horizontal="center" textRotation="90"/>
    </xf>
    <xf numFmtId="0" fontId="75" fillId="48" borderId="21" xfId="0" applyFont="1" applyFill="1" applyBorder="1" applyAlignment="1">
      <alignment horizontal="center" textRotation="90"/>
    </xf>
    <xf numFmtId="49" fontId="75" fillId="48" borderId="23" xfId="0" applyNumberFormat="1" applyFont="1" applyFill="1" applyBorder="1" applyAlignment="1">
      <alignment horizontal="center" textRotation="90"/>
    </xf>
    <xf numFmtId="49" fontId="75" fillId="48" borderId="22" xfId="0" applyNumberFormat="1" applyFont="1" applyFill="1" applyBorder="1" applyAlignment="1">
      <alignment horizontal="center" textRotation="90"/>
    </xf>
    <xf numFmtId="0" fontId="75" fillId="48" borderId="22" xfId="0" applyFont="1" applyFill="1" applyBorder="1" applyAlignment="1">
      <alignment horizontal="center" textRotation="90"/>
    </xf>
    <xf numFmtId="49" fontId="75" fillId="48" borderId="21" xfId="0" applyNumberFormat="1" applyFont="1" applyFill="1" applyBorder="1" applyAlignment="1">
      <alignment horizontal="center" textRotation="90"/>
    </xf>
    <xf numFmtId="49" fontId="75" fillId="0" borderId="22" xfId="0" applyNumberFormat="1" applyFont="1" applyBorder="1" applyAlignment="1">
      <alignment horizontal="center"/>
    </xf>
    <xf numFmtId="0" fontId="75" fillId="43" borderId="11" xfId="0" applyFont="1" applyFill="1" applyBorder="1" applyAlignment="1">
      <alignment horizontal="center"/>
    </xf>
    <xf numFmtId="2" fontId="75" fillId="43" borderId="11" xfId="0" applyNumberFormat="1" applyFont="1" applyFill="1" applyBorder="1" applyAlignment="1">
      <alignment horizontal="center"/>
    </xf>
    <xf numFmtId="0" fontId="75" fillId="43" borderId="11" xfId="0" applyFont="1" applyFill="1" applyBorder="1" applyAlignment="1">
      <alignment horizontal="center" wrapText="1"/>
    </xf>
    <xf numFmtId="166" fontId="75" fillId="43" borderId="11" xfId="0" applyNumberFormat="1" applyFont="1" applyFill="1" applyBorder="1" applyAlignment="1">
      <alignment horizontal="center"/>
    </xf>
    <xf numFmtId="0" fontId="80" fillId="0" borderId="25" xfId="56" applyFont="1" applyBorder="1" applyAlignment="1">
      <alignment horizontal="center"/>
    </xf>
    <xf numFmtId="0" fontId="75" fillId="0" borderId="25" xfId="0" applyFont="1" applyBorder="1" applyAlignment="1">
      <alignment horizontal="center"/>
    </xf>
    <xf numFmtId="3" fontId="75" fillId="0" borderId="25" xfId="0" applyNumberFormat="1" applyFont="1" applyBorder="1"/>
    <xf numFmtId="2" fontId="75" fillId="0" borderId="25" xfId="0" applyNumberFormat="1" applyFont="1" applyBorder="1"/>
    <xf numFmtId="3" fontId="75" fillId="0" borderId="25" xfId="0" applyNumberFormat="1" applyFont="1" applyBorder="1" applyAlignment="1">
      <alignment horizontal="center"/>
    </xf>
    <xf numFmtId="4" fontId="75" fillId="0" borderId="25" xfId="0" applyNumberFormat="1" applyFont="1" applyBorder="1" applyAlignment="1">
      <alignment horizontal="center"/>
    </xf>
    <xf numFmtId="166" fontId="75" fillId="0" borderId="25" xfId="0" applyNumberFormat="1" applyFont="1" applyBorder="1" applyAlignment="1">
      <alignment horizontal="center"/>
    </xf>
    <xf numFmtId="2" fontId="75" fillId="0" borderId="25" xfId="0" applyNumberFormat="1" applyFont="1" applyBorder="1" applyAlignment="1">
      <alignment horizontal="center"/>
    </xf>
    <xf numFmtId="1" fontId="75" fillId="0" borderId="25" xfId="0" applyNumberFormat="1" applyFont="1" applyBorder="1" applyAlignment="1">
      <alignment horizontal="center"/>
    </xf>
    <xf numFmtId="0" fontId="80" fillId="0" borderId="1" xfId="56" applyFont="1" applyBorder="1" applyAlignment="1">
      <alignment horizontal="center"/>
    </xf>
    <xf numFmtId="0" fontId="75" fillId="0" borderId="1" xfId="0" applyFont="1" applyBorder="1" applyAlignment="1">
      <alignment horizontal="center"/>
    </xf>
    <xf numFmtId="0" fontId="75" fillId="0" borderId="1" xfId="0" applyFont="1" applyBorder="1"/>
    <xf numFmtId="3" fontId="75" fillId="0" borderId="1" xfId="0" applyNumberFormat="1" applyFont="1" applyBorder="1"/>
    <xf numFmtId="2" fontId="75" fillId="0" borderId="1" xfId="0" applyNumberFormat="1" applyFont="1" applyBorder="1"/>
    <xf numFmtId="3" fontId="75" fillId="0" borderId="1" xfId="0" applyNumberFormat="1" applyFont="1" applyBorder="1" applyAlignment="1">
      <alignment horizontal="center"/>
    </xf>
    <xf numFmtId="4" fontId="75" fillId="0" borderId="1" xfId="0" applyNumberFormat="1" applyFont="1" applyBorder="1" applyAlignment="1">
      <alignment horizontal="center"/>
    </xf>
    <xf numFmtId="166" fontId="75" fillId="0" borderId="1" xfId="0" applyNumberFormat="1" applyFont="1" applyBorder="1" applyAlignment="1">
      <alignment horizontal="center"/>
    </xf>
    <xf numFmtId="0" fontId="75" fillId="0" borderId="1" xfId="0" applyFont="1" applyBorder="1" applyAlignment="1">
      <alignment horizontal="left"/>
    </xf>
    <xf numFmtId="2" fontId="75" fillId="0" borderId="1" xfId="0" applyNumberFormat="1" applyFont="1" applyBorder="1" applyAlignment="1">
      <alignment horizontal="center"/>
    </xf>
    <xf numFmtId="1" fontId="75" fillId="0" borderId="1" xfId="0" applyNumberFormat="1" applyFont="1" applyBorder="1" applyAlignment="1">
      <alignment horizontal="center"/>
    </xf>
    <xf numFmtId="0" fontId="80" fillId="0" borderId="0" xfId="56" applyFont="1" applyAlignment="1">
      <alignment horizontal="center"/>
    </xf>
    <xf numFmtId="0" fontId="49" fillId="0" borderId="0" xfId="0" applyFont="1"/>
    <xf numFmtId="0" fontId="25" fillId="0" borderId="0" xfId="45" applyFont="1" applyBorder="1" applyAlignment="1" applyProtection="1"/>
    <xf numFmtId="0" fontId="29" fillId="0" borderId="0" xfId="49" applyFont="1"/>
    <xf numFmtId="0" fontId="20" fillId="9" borderId="0" xfId="49" applyFill="1" applyAlignment="1">
      <alignment horizontal="center"/>
    </xf>
    <xf numFmtId="0" fontId="21" fillId="0" borderId="0" xfId="0" applyFont="1" applyAlignment="1">
      <alignment horizontal="center"/>
    </xf>
    <xf numFmtId="0" fontId="22" fillId="0" borderId="0" xfId="45" applyFill="1" applyBorder="1" applyAlignment="1" applyProtection="1"/>
    <xf numFmtId="0" fontId="21" fillId="0" borderId="0" xfId="0" applyFont="1" applyAlignment="1">
      <alignment horizontal="left"/>
    </xf>
    <xf numFmtId="0" fontId="21" fillId="0" borderId="0" xfId="49" applyFont="1" applyAlignment="1">
      <alignment horizontal="left"/>
    </xf>
    <xf numFmtId="0" fontId="21" fillId="0" borderId="0" xfId="49" applyFont="1"/>
    <xf numFmtId="0" fontId="45" fillId="0" borderId="0" xfId="54" applyFont="1"/>
    <xf numFmtId="0" fontId="29" fillId="0" borderId="0" xfId="54" applyFont="1"/>
    <xf numFmtId="0" fontId="29" fillId="0" borderId="0" xfId="54" applyFont="1" applyAlignment="1">
      <alignment horizontal="left"/>
    </xf>
    <xf numFmtId="0" fontId="29" fillId="0" borderId="0" xfId="54" applyFont="1" applyAlignment="1">
      <alignment horizontal="center"/>
    </xf>
    <xf numFmtId="0" fontId="28" fillId="0" borderId="0" xfId="54" applyFont="1"/>
    <xf numFmtId="0" fontId="28" fillId="0" borderId="0" xfId="54" applyFont="1" applyAlignment="1">
      <alignment horizontal="center" vertical="center"/>
    </xf>
    <xf numFmtId="0" fontId="29" fillId="0" borderId="1" xfId="54" applyFont="1" applyBorder="1" applyAlignment="1">
      <alignment wrapText="1"/>
    </xf>
    <xf numFmtId="0" fontId="29" fillId="0" borderId="1" xfId="54" applyFont="1" applyBorder="1" applyAlignment="1">
      <alignment horizontal="left" wrapText="1"/>
    </xf>
    <xf numFmtId="0" fontId="29" fillId="0" borderId="1" xfId="54" applyFont="1" applyBorder="1" applyAlignment="1">
      <alignment horizontal="center" wrapText="1"/>
    </xf>
    <xf numFmtId="0" fontId="29" fillId="0" borderId="1" xfId="54" applyFont="1" applyBorder="1" applyAlignment="1">
      <alignment horizontal="center"/>
    </xf>
    <xf numFmtId="0" fontId="28" fillId="0" borderId="25" xfId="54" applyFont="1" applyBorder="1" applyAlignment="1">
      <alignment horizontal="center" vertical="center" wrapText="1"/>
    </xf>
    <xf numFmtId="0" fontId="29" fillId="0" borderId="1" xfId="54" applyFont="1" applyBorder="1"/>
    <xf numFmtId="0" fontId="29" fillId="0" borderId="1" xfId="54" applyFont="1" applyBorder="1" applyAlignment="1">
      <alignment horizontal="left"/>
    </xf>
    <xf numFmtId="0" fontId="28" fillId="0" borderId="1" xfId="54" applyFont="1" applyBorder="1"/>
    <xf numFmtId="0" fontId="28" fillId="0" borderId="25" xfId="54" applyFont="1" applyBorder="1" applyAlignment="1">
      <alignment horizontal="left"/>
    </xf>
    <xf numFmtId="0" fontId="28" fillId="0" borderId="1" xfId="54" applyFont="1" applyBorder="1" applyAlignment="1">
      <alignment horizontal="right"/>
    </xf>
    <xf numFmtId="1" fontId="52" fillId="0" borderId="0" xfId="53" applyNumberFormat="1" applyAlignment="1">
      <alignment horizontal="left"/>
    </xf>
    <xf numFmtId="1" fontId="0" fillId="0" borderId="0" xfId="0" applyNumberFormat="1"/>
    <xf numFmtId="1" fontId="20" fillId="0" borderId="0" xfId="49" applyNumberFormat="1"/>
    <xf numFmtId="0" fontId="77" fillId="0" borderId="11" xfId="0" applyFont="1" applyBorder="1" applyAlignment="1">
      <alignment horizontal="center" wrapText="1"/>
    </xf>
    <xf numFmtId="0" fontId="50" fillId="0" borderId="0" xfId="0" applyFont="1"/>
    <xf numFmtId="0" fontId="20" fillId="0" borderId="0" xfId="49" quotePrefix="1"/>
    <xf numFmtId="0" fontId="71" fillId="0" borderId="0" xfId="0" applyFont="1" applyAlignment="1">
      <alignment horizontal="right"/>
    </xf>
    <xf numFmtId="0" fontId="25" fillId="0" borderId="0" xfId="45" applyFont="1" applyFill="1" applyBorder="1" applyAlignment="1" applyProtection="1">
      <alignment horizontal="left"/>
    </xf>
    <xf numFmtId="0" fontId="48" fillId="0" borderId="0" xfId="45" applyFont="1" applyFill="1" applyBorder="1" applyAlignment="1" applyProtection="1">
      <alignment horizontal="left"/>
    </xf>
    <xf numFmtId="0" fontId="81" fillId="0" borderId="0" xfId="45" applyFont="1" applyFill="1" applyBorder="1" applyAlignment="1" applyProtection="1">
      <alignment horizontal="left"/>
    </xf>
    <xf numFmtId="0" fontId="22" fillId="0" borderId="0" xfId="45" applyFill="1" applyBorder="1" applyAlignment="1" applyProtection="1">
      <alignment horizontal="left"/>
    </xf>
    <xf numFmtId="0" fontId="47" fillId="0" borderId="0" xfId="45" applyFont="1" applyFill="1" applyBorder="1" applyAlignment="1" applyProtection="1">
      <alignment horizontal="left"/>
    </xf>
    <xf numFmtId="0" fontId="36" fillId="0" borderId="0" xfId="45" applyFont="1" applyFill="1" applyBorder="1" applyAlignment="1" applyProtection="1">
      <alignment horizontal="left"/>
    </xf>
    <xf numFmtId="0" fontId="0" fillId="49" borderId="0" xfId="0" applyFill="1"/>
    <xf numFmtId="0" fontId="82" fillId="0" borderId="0" xfId="0" applyFont="1" applyAlignment="1">
      <alignment wrapText="1"/>
    </xf>
    <xf numFmtId="0" fontId="82" fillId="0" borderId="0" xfId="0" applyFont="1"/>
    <xf numFmtId="0" fontId="69" fillId="0" borderId="0" xfId="49" applyFont="1"/>
    <xf numFmtId="0" fontId="20" fillId="0" borderId="1" xfId="49" applyBorder="1" applyAlignment="1">
      <alignment horizontal="center"/>
    </xf>
    <xf numFmtId="164" fontId="20" fillId="0" borderId="0" xfId="49" applyNumberFormat="1"/>
    <xf numFmtId="0" fontId="83" fillId="0" borderId="0" xfId="45" applyFont="1" applyAlignment="1" applyProtection="1"/>
    <xf numFmtId="0" fontId="84" fillId="0" borderId="0" xfId="45" applyFont="1" applyAlignment="1" applyProtection="1"/>
    <xf numFmtId="0" fontId="20" fillId="0" borderId="0" xfId="0" applyFont="1" applyProtection="1">
      <protection locked="0"/>
    </xf>
    <xf numFmtId="0" fontId="53" fillId="0" borderId="0" xfId="0" applyFont="1" applyProtection="1">
      <protection locked="0"/>
    </xf>
    <xf numFmtId="0" fontId="53" fillId="0" borderId="0" xfId="0" applyFont="1"/>
    <xf numFmtId="0" fontId="20" fillId="0" borderId="0" xfId="0" applyFont="1" applyAlignment="1">
      <alignment horizontal="left"/>
    </xf>
    <xf numFmtId="0" fontId="85" fillId="0" borderId="0" xfId="45" applyFont="1" applyAlignment="1" applyProtection="1"/>
    <xf numFmtId="0" fontId="86" fillId="0" borderId="0" xfId="45" applyFont="1" applyAlignment="1" applyProtection="1"/>
    <xf numFmtId="1" fontId="20" fillId="0" borderId="0" xfId="0" applyNumberFormat="1" applyFont="1"/>
    <xf numFmtId="0" fontId="22" fillId="0" borderId="0" xfId="45" applyNumberFormat="1" applyAlignment="1" applyProtection="1"/>
    <xf numFmtId="0" fontId="0" fillId="41" borderId="0" xfId="0" applyFill="1"/>
    <xf numFmtId="0" fontId="87" fillId="0" borderId="0" xfId="0" applyFont="1"/>
    <xf numFmtId="0" fontId="0" fillId="0" borderId="0" xfId="0" pivotButton="1"/>
    <xf numFmtId="3" fontId="0" fillId="0" borderId="0" xfId="0" applyNumberFormat="1"/>
    <xf numFmtId="0" fontId="90" fillId="50" borderId="0" xfId="53" applyFont="1" applyFill="1" applyAlignment="1">
      <alignment vertical="center" wrapText="1"/>
    </xf>
    <xf numFmtId="0" fontId="91" fillId="50" borderId="0" xfId="53" applyFont="1" applyFill="1" applyAlignment="1">
      <alignment vertical="center" wrapText="1"/>
    </xf>
    <xf numFmtId="0" fontId="91" fillId="50" borderId="19" xfId="53" applyFont="1" applyFill="1" applyBorder="1" applyAlignment="1">
      <alignment vertical="center" wrapText="1"/>
    </xf>
    <xf numFmtId="0" fontId="91" fillId="50" borderId="24" xfId="53" applyFont="1" applyFill="1" applyBorder="1" applyAlignment="1">
      <alignment horizontal="center" vertical="center" wrapText="1"/>
    </xf>
    <xf numFmtId="0" fontId="92" fillId="51" borderId="11" xfId="53" applyFont="1" applyFill="1" applyBorder="1" applyAlignment="1">
      <alignment horizontal="center" vertical="center" wrapText="1"/>
    </xf>
    <xf numFmtId="0" fontId="42" fillId="52" borderId="11" xfId="53" applyFont="1" applyFill="1" applyBorder="1" applyAlignment="1">
      <alignment horizontal="center" vertical="center" wrapText="1"/>
    </xf>
    <xf numFmtId="0" fontId="93" fillId="51" borderId="11" xfId="53" applyFont="1" applyFill="1" applyBorder="1" applyAlignment="1">
      <alignment horizontal="center" vertical="center" wrapText="1"/>
    </xf>
    <xf numFmtId="0" fontId="29" fillId="52" borderId="11" xfId="53" applyFont="1" applyFill="1" applyBorder="1" applyAlignment="1">
      <alignment horizontal="center" vertical="center" wrapText="1"/>
    </xf>
    <xf numFmtId="0" fontId="28" fillId="0" borderId="0" xfId="53" applyFont="1"/>
    <xf numFmtId="0" fontId="92" fillId="53" borderId="56" xfId="53" applyFont="1" applyFill="1" applyBorder="1"/>
    <xf numFmtId="0" fontId="92" fillId="53" borderId="57" xfId="53" applyFont="1" applyFill="1" applyBorder="1" applyAlignment="1">
      <alignment horizontal="center"/>
    </xf>
    <xf numFmtId="9" fontId="94" fillId="54" borderId="56" xfId="53" applyNumberFormat="1" applyFont="1" applyFill="1" applyBorder="1" applyAlignment="1">
      <alignment horizontal="center"/>
    </xf>
    <xf numFmtId="0" fontId="92" fillId="53" borderId="58" xfId="53" applyFont="1" applyFill="1" applyBorder="1"/>
    <xf numFmtId="1" fontId="92" fillId="53" borderId="59" xfId="53" applyNumberFormat="1" applyFont="1" applyFill="1" applyBorder="1" applyAlignment="1">
      <alignment horizontal="center"/>
    </xf>
    <xf numFmtId="9" fontId="94" fillId="54" borderId="58" xfId="53" applyNumberFormat="1" applyFont="1" applyFill="1" applyBorder="1" applyAlignment="1">
      <alignment horizontal="center"/>
    </xf>
    <xf numFmtId="0" fontId="92" fillId="53" borderId="60" xfId="53" applyFont="1" applyFill="1" applyBorder="1"/>
    <xf numFmtId="1" fontId="92" fillId="53" borderId="61" xfId="53" applyNumberFormat="1" applyFont="1" applyFill="1" applyBorder="1" applyAlignment="1">
      <alignment horizontal="center"/>
    </xf>
    <xf numFmtId="1" fontId="92" fillId="53" borderId="59" xfId="53" quotePrefix="1" applyNumberFormat="1" applyFont="1" applyFill="1" applyBorder="1" applyAlignment="1">
      <alignment horizontal="center"/>
    </xf>
    <xf numFmtId="9" fontId="94" fillId="54" borderId="60" xfId="53" applyNumberFormat="1" applyFont="1" applyFill="1" applyBorder="1" applyAlignment="1">
      <alignment horizontal="center"/>
    </xf>
    <xf numFmtId="0" fontId="92" fillId="53" borderId="62" xfId="53" applyFont="1" applyFill="1" applyBorder="1"/>
    <xf numFmtId="1" fontId="92" fillId="53" borderId="63" xfId="53" applyNumberFormat="1" applyFont="1" applyFill="1" applyBorder="1" applyAlignment="1">
      <alignment horizontal="center"/>
    </xf>
    <xf numFmtId="9" fontId="94" fillId="54" borderId="62" xfId="53" applyNumberFormat="1" applyFont="1" applyFill="1" applyBorder="1" applyAlignment="1">
      <alignment horizontal="center"/>
    </xf>
    <xf numFmtId="0" fontId="29" fillId="55" borderId="64" xfId="53" applyFont="1" applyFill="1" applyBorder="1"/>
    <xf numFmtId="0" fontId="95" fillId="0" borderId="0" xfId="53" applyFont="1"/>
    <xf numFmtId="0" fontId="29" fillId="55" borderId="34" xfId="53" applyFont="1" applyFill="1" applyBorder="1"/>
    <xf numFmtId="0" fontId="95" fillId="55" borderId="34" xfId="53" applyFont="1" applyFill="1" applyBorder="1" applyAlignment="1">
      <alignment wrapText="1"/>
    </xf>
    <xf numFmtId="0" fontId="52" fillId="55" borderId="34" xfId="53" applyFill="1" applyBorder="1"/>
    <xf numFmtId="0" fontId="28" fillId="55" borderId="34" xfId="64" applyFont="1" applyFill="1" applyBorder="1" applyAlignment="1">
      <alignment horizontal="right"/>
    </xf>
    <xf numFmtId="14" fontId="0" fillId="55" borderId="34" xfId="0" applyNumberFormat="1" applyFill="1" applyBorder="1"/>
    <xf numFmtId="0" fontId="29" fillId="55" borderId="65" xfId="53" applyFont="1" applyFill="1" applyBorder="1"/>
    <xf numFmtId="0" fontId="95" fillId="55" borderId="0" xfId="53" applyFont="1" applyFill="1"/>
    <xf numFmtId="0" fontId="52" fillId="55" borderId="0" xfId="53" applyFill="1"/>
    <xf numFmtId="0" fontId="95" fillId="55" borderId="65" xfId="53" applyFont="1" applyFill="1" applyBorder="1"/>
    <xf numFmtId="1" fontId="94" fillId="56" borderId="11" xfId="53" applyNumberFormat="1" applyFont="1" applyFill="1" applyBorder="1" applyAlignment="1">
      <alignment horizontal="center" vertical="center" wrapText="1"/>
    </xf>
    <xf numFmtId="0" fontId="42" fillId="57" borderId="11" xfId="53" applyFont="1" applyFill="1" applyBorder="1" applyAlignment="1">
      <alignment horizontal="center" vertical="center" wrapText="1"/>
    </xf>
    <xf numFmtId="0" fontId="94" fillId="56" borderId="11" xfId="53" applyFont="1" applyFill="1" applyBorder="1" applyAlignment="1">
      <alignment horizontal="center" vertical="center" wrapText="1"/>
    </xf>
    <xf numFmtId="0" fontId="94" fillId="56" borderId="58" xfId="53" applyFont="1" applyFill="1" applyBorder="1"/>
    <xf numFmtId="3" fontId="94" fillId="56" borderId="59" xfId="53" applyNumberFormat="1" applyFont="1" applyFill="1" applyBorder="1" applyAlignment="1">
      <alignment horizontal="center"/>
    </xf>
    <xf numFmtId="0" fontId="94" fillId="56" borderId="60" xfId="53" applyFont="1" applyFill="1" applyBorder="1"/>
    <xf numFmtId="3" fontId="94" fillId="56" borderId="61" xfId="53" applyNumberFormat="1" applyFont="1" applyFill="1" applyBorder="1" applyAlignment="1">
      <alignment horizontal="center"/>
    </xf>
    <xf numFmtId="3" fontId="94" fillId="56" borderId="59" xfId="53" quotePrefix="1" applyNumberFormat="1" applyFont="1" applyFill="1" applyBorder="1" applyAlignment="1">
      <alignment horizontal="center"/>
    </xf>
    <xf numFmtId="0" fontId="94" fillId="56" borderId="62" xfId="53" applyFont="1" applyFill="1" applyBorder="1"/>
    <xf numFmtId="3" fontId="94" fillId="56" borderId="63" xfId="53" applyNumberFormat="1" applyFont="1" applyFill="1" applyBorder="1" applyAlignment="1">
      <alignment horizontal="center"/>
    </xf>
    <xf numFmtId="0" fontId="29" fillId="55" borderId="0" xfId="53" applyFont="1" applyFill="1"/>
    <xf numFmtId="0" fontId="95" fillId="55" borderId="0" xfId="53" applyFont="1" applyFill="1" applyAlignment="1">
      <alignment wrapText="1"/>
    </xf>
    <xf numFmtId="0" fontId="14" fillId="0" borderId="0" xfId="53" applyFont="1"/>
    <xf numFmtId="0" fontId="42" fillId="58" borderId="0" xfId="53" applyFont="1" applyFill="1" applyAlignment="1">
      <alignment horizontal="right"/>
    </xf>
    <xf numFmtId="0" fontId="20" fillId="0" borderId="0" xfId="52"/>
    <xf numFmtId="0" fontId="13" fillId="0" borderId="0" xfId="65"/>
    <xf numFmtId="0" fontId="13" fillId="58" borderId="0" xfId="65" applyFill="1" applyAlignment="1">
      <alignment horizontal="center" vertical="center"/>
    </xf>
    <xf numFmtId="10" fontId="13" fillId="0" borderId="0" xfId="65" applyNumberFormat="1"/>
    <xf numFmtId="0" fontId="13" fillId="0" borderId="1" xfId="65" applyBorder="1"/>
    <xf numFmtId="0" fontId="13" fillId="0" borderId="56" xfId="65" applyBorder="1" applyAlignment="1">
      <alignment horizontal="right"/>
    </xf>
    <xf numFmtId="3" fontId="13" fillId="0" borderId="46" xfId="65" applyNumberFormat="1" applyBorder="1" applyAlignment="1">
      <alignment horizontal="center"/>
    </xf>
    <xf numFmtId="168" fontId="13" fillId="0" borderId="26" xfId="65" applyNumberFormat="1" applyBorder="1" applyAlignment="1">
      <alignment horizontal="center"/>
    </xf>
    <xf numFmtId="168" fontId="13" fillId="45" borderId="67" xfId="65" applyNumberFormat="1" applyFill="1" applyBorder="1" applyAlignment="1">
      <alignment horizontal="center"/>
    </xf>
    <xf numFmtId="0" fontId="97" fillId="42" borderId="20" xfId="65" applyFont="1" applyFill="1" applyBorder="1" applyAlignment="1">
      <alignment horizontal="center" vertical="center" wrapText="1"/>
    </xf>
    <xf numFmtId="0" fontId="13" fillId="0" borderId="58" xfId="65" applyBorder="1"/>
    <xf numFmtId="3" fontId="13" fillId="0" borderId="68" xfId="65" applyNumberFormat="1" applyBorder="1" applyAlignment="1">
      <alignment horizontal="center"/>
    </xf>
    <xf numFmtId="168" fontId="13" fillId="0" borderId="1" xfId="65" applyNumberFormat="1" applyBorder="1" applyAlignment="1">
      <alignment horizontal="center"/>
    </xf>
    <xf numFmtId="168" fontId="13" fillId="45" borderId="69" xfId="65" applyNumberFormat="1" applyFill="1" applyBorder="1" applyAlignment="1">
      <alignment horizontal="center"/>
    </xf>
    <xf numFmtId="1" fontId="13" fillId="0" borderId="0" xfId="65" applyNumberFormat="1" applyAlignment="1">
      <alignment horizontal="center"/>
    </xf>
    <xf numFmtId="0" fontId="13" fillId="0" borderId="57" xfId="65" applyBorder="1" applyAlignment="1">
      <alignment horizontal="right"/>
    </xf>
    <xf numFmtId="3" fontId="13" fillId="60" borderId="70" xfId="65" applyNumberFormat="1" applyFill="1" applyBorder="1" applyAlignment="1">
      <alignment horizontal="center"/>
    </xf>
    <xf numFmtId="3" fontId="13" fillId="60" borderId="26" xfId="65" applyNumberFormat="1" applyFill="1" applyBorder="1" applyAlignment="1">
      <alignment horizontal="center"/>
    </xf>
    <xf numFmtId="4" fontId="13" fillId="60" borderId="26" xfId="65" applyNumberFormat="1" applyFill="1" applyBorder="1" applyAlignment="1">
      <alignment horizontal="center"/>
    </xf>
    <xf numFmtId="4" fontId="13" fillId="60" borderId="67" xfId="65" applyNumberFormat="1" applyFill="1" applyBorder="1" applyAlignment="1">
      <alignment horizontal="center"/>
    </xf>
    <xf numFmtId="168" fontId="13" fillId="0" borderId="27" xfId="65" applyNumberFormat="1" applyBorder="1" applyAlignment="1">
      <alignment horizontal="center"/>
    </xf>
    <xf numFmtId="0" fontId="13" fillId="0" borderId="59" xfId="65" applyBorder="1"/>
    <xf numFmtId="3" fontId="13" fillId="60" borderId="71" xfId="65" applyNumberFormat="1" applyFill="1" applyBorder="1" applyAlignment="1">
      <alignment horizontal="center"/>
    </xf>
    <xf numFmtId="3" fontId="13" fillId="60" borderId="1" xfId="65" applyNumberFormat="1" applyFill="1" applyBorder="1" applyAlignment="1">
      <alignment horizontal="center"/>
    </xf>
    <xf numFmtId="4" fontId="13" fillId="60" borderId="1" xfId="65" applyNumberFormat="1" applyFill="1" applyBorder="1" applyAlignment="1">
      <alignment horizontal="center"/>
    </xf>
    <xf numFmtId="4" fontId="13" fillId="60" borderId="69" xfId="65" applyNumberFormat="1" applyFill="1" applyBorder="1" applyAlignment="1">
      <alignment horizontal="center"/>
    </xf>
    <xf numFmtId="168" fontId="13" fillId="63" borderId="72" xfId="65" applyNumberFormat="1" applyFill="1" applyBorder="1" applyAlignment="1">
      <alignment horizontal="center"/>
    </xf>
    <xf numFmtId="168" fontId="13" fillId="63" borderId="73" xfId="65" applyNumberFormat="1" applyFill="1" applyBorder="1" applyAlignment="1">
      <alignment horizontal="center"/>
    </xf>
    <xf numFmtId="165" fontId="75" fillId="64" borderId="56" xfId="65" applyNumberFormat="1" applyFont="1" applyFill="1" applyBorder="1" applyAlignment="1">
      <alignment horizontal="center" vertical="center" wrapText="1"/>
    </xf>
    <xf numFmtId="165" fontId="75" fillId="64" borderId="58" xfId="65" applyNumberFormat="1" applyFont="1" applyFill="1" applyBorder="1" applyAlignment="1">
      <alignment horizontal="center" vertical="center" wrapText="1"/>
    </xf>
    <xf numFmtId="0" fontId="13" fillId="0" borderId="60" xfId="65" applyBorder="1"/>
    <xf numFmtId="168" fontId="13" fillId="0" borderId="74" xfId="65" applyNumberFormat="1" applyBorder="1" applyAlignment="1">
      <alignment horizontal="center"/>
    </xf>
    <xf numFmtId="168" fontId="13" fillId="45" borderId="75" xfId="65" applyNumberFormat="1" applyFill="1" applyBorder="1" applyAlignment="1">
      <alignment horizontal="center"/>
    </xf>
    <xf numFmtId="168" fontId="13" fillId="63" borderId="76" xfId="65" applyNumberFormat="1" applyFill="1" applyBorder="1" applyAlignment="1">
      <alignment horizontal="center"/>
    </xf>
    <xf numFmtId="165" fontId="75" fillId="64" borderId="60" xfId="65" applyNumberFormat="1" applyFont="1" applyFill="1" applyBorder="1" applyAlignment="1">
      <alignment horizontal="center" vertical="center" wrapText="1"/>
    </xf>
    <xf numFmtId="0" fontId="13" fillId="66" borderId="56" xfId="65" applyFill="1" applyBorder="1"/>
    <xf numFmtId="0" fontId="13" fillId="66" borderId="46" xfId="65" applyFill="1" applyBorder="1" applyAlignment="1">
      <alignment horizontal="center"/>
    </xf>
    <xf numFmtId="168" fontId="13" fillId="67" borderId="67" xfId="65" applyNumberFormat="1" applyFill="1" applyBorder="1" applyAlignment="1">
      <alignment horizontal="center"/>
    </xf>
    <xf numFmtId="168" fontId="13" fillId="68" borderId="45" xfId="65" applyNumberFormat="1" applyFill="1" applyBorder="1" applyAlignment="1">
      <alignment horizontal="center"/>
    </xf>
    <xf numFmtId="9" fontId="13" fillId="68" borderId="56" xfId="65" applyNumberFormat="1" applyFill="1" applyBorder="1" applyAlignment="1">
      <alignment horizontal="center"/>
    </xf>
    <xf numFmtId="168" fontId="13" fillId="69" borderId="78" xfId="65" applyNumberFormat="1" applyFill="1" applyBorder="1" applyAlignment="1">
      <alignment horizontal="center"/>
    </xf>
    <xf numFmtId="168" fontId="13" fillId="69" borderId="68" xfId="65" applyNumberFormat="1" applyFill="1" applyBorder="1" applyAlignment="1">
      <alignment horizontal="center"/>
    </xf>
    <xf numFmtId="168" fontId="13" fillId="69" borderId="79" xfId="65" applyNumberFormat="1" applyFill="1" applyBorder="1" applyAlignment="1">
      <alignment horizontal="center"/>
    </xf>
    <xf numFmtId="0" fontId="13" fillId="0" borderId="63" xfId="65" applyBorder="1"/>
    <xf numFmtId="3" fontId="13" fillId="60" borderId="77" xfId="65" applyNumberFormat="1" applyFill="1" applyBorder="1" applyAlignment="1">
      <alignment horizontal="center"/>
    </xf>
    <xf numFmtId="3" fontId="13" fillId="60" borderId="80" xfId="65" applyNumberFormat="1" applyFill="1" applyBorder="1" applyAlignment="1">
      <alignment horizontal="center"/>
    </xf>
    <xf numFmtId="4" fontId="13" fillId="60" borderId="80" xfId="65" applyNumberFormat="1" applyFill="1" applyBorder="1" applyAlignment="1">
      <alignment horizontal="center"/>
    </xf>
    <xf numFmtId="4" fontId="13" fillId="60" borderId="81" xfId="65" applyNumberFormat="1" applyFill="1" applyBorder="1" applyAlignment="1">
      <alignment horizontal="center"/>
    </xf>
    <xf numFmtId="0" fontId="13" fillId="66" borderId="58" xfId="65" applyFill="1" applyBorder="1"/>
    <xf numFmtId="0" fontId="13" fillId="66" borderId="42" xfId="65" applyFill="1" applyBorder="1" applyAlignment="1">
      <alignment horizontal="center"/>
    </xf>
    <xf numFmtId="168" fontId="13" fillId="67" borderId="69" xfId="65" applyNumberFormat="1" applyFill="1" applyBorder="1" applyAlignment="1">
      <alignment horizontal="center"/>
    </xf>
    <xf numFmtId="168" fontId="13" fillId="68" borderId="73" xfId="65" applyNumberFormat="1" applyFill="1" applyBorder="1" applyAlignment="1">
      <alignment horizontal="center"/>
    </xf>
    <xf numFmtId="9" fontId="13" fillId="68" borderId="58" xfId="65" applyNumberFormat="1" applyFill="1" applyBorder="1" applyAlignment="1">
      <alignment horizontal="center"/>
    </xf>
    <xf numFmtId="168" fontId="13" fillId="69" borderId="71" xfId="65" applyNumberFormat="1" applyFill="1" applyBorder="1" applyAlignment="1">
      <alignment horizontal="center"/>
    </xf>
    <xf numFmtId="168" fontId="13" fillId="69" borderId="42" xfId="65" applyNumberFormat="1" applyFill="1" applyBorder="1" applyAlignment="1">
      <alignment horizontal="center"/>
    </xf>
    <xf numFmtId="168" fontId="13" fillId="69" borderId="82" xfId="65" applyNumberFormat="1" applyFill="1" applyBorder="1" applyAlignment="1">
      <alignment horizontal="center"/>
    </xf>
    <xf numFmtId="0" fontId="99" fillId="0" borderId="0" xfId="65" applyFont="1"/>
    <xf numFmtId="0" fontId="100" fillId="0" borderId="0" xfId="65" applyFont="1" applyAlignment="1">
      <alignment horizontal="right"/>
    </xf>
    <xf numFmtId="10" fontId="101" fillId="66" borderId="11" xfId="65" applyNumberFormat="1" applyFont="1" applyFill="1" applyBorder="1" applyAlignment="1">
      <alignment horizontal="center" vertical="center" wrapText="1"/>
    </xf>
    <xf numFmtId="10" fontId="101" fillId="66" borderId="11" xfId="65" applyNumberFormat="1" applyFont="1" applyFill="1" applyBorder="1" applyAlignment="1">
      <alignment horizontal="center" vertical="center"/>
    </xf>
    <xf numFmtId="10" fontId="101" fillId="58" borderId="11" xfId="65" applyNumberFormat="1" applyFont="1" applyFill="1" applyBorder="1" applyAlignment="1" applyProtection="1">
      <alignment horizontal="center"/>
      <protection locked="0"/>
    </xf>
    <xf numFmtId="168" fontId="100" fillId="0" borderId="11" xfId="65" applyNumberFormat="1" applyFont="1" applyBorder="1" applyAlignment="1">
      <alignment horizontal="center"/>
    </xf>
    <xf numFmtId="0" fontId="13" fillId="66" borderId="60" xfId="65" applyFill="1" applyBorder="1"/>
    <xf numFmtId="0" fontId="13" fillId="66" borderId="83" xfId="65" applyFill="1" applyBorder="1" applyAlignment="1">
      <alignment horizontal="center"/>
    </xf>
    <xf numFmtId="168" fontId="13" fillId="67" borderId="75" xfId="65" applyNumberFormat="1" applyFill="1" applyBorder="1" applyAlignment="1">
      <alignment horizontal="center"/>
    </xf>
    <xf numFmtId="168" fontId="13" fillId="68" borderId="76" xfId="65" applyNumberFormat="1" applyFill="1" applyBorder="1" applyAlignment="1">
      <alignment horizontal="center"/>
    </xf>
    <xf numFmtId="9" fontId="13" fillId="68" borderId="60" xfId="65" applyNumberFormat="1" applyFill="1" applyBorder="1" applyAlignment="1">
      <alignment horizontal="center"/>
    </xf>
    <xf numFmtId="0" fontId="13" fillId="66" borderId="62" xfId="65" applyFill="1" applyBorder="1"/>
    <xf numFmtId="0" fontId="13" fillId="66" borderId="84" xfId="65" applyFill="1" applyBorder="1" applyAlignment="1">
      <alignment horizontal="center"/>
    </xf>
    <xf numFmtId="168" fontId="13" fillId="67" borderId="81" xfId="65" applyNumberFormat="1" applyFill="1" applyBorder="1" applyAlignment="1">
      <alignment horizontal="center"/>
    </xf>
    <xf numFmtId="168" fontId="13" fillId="68" borderId="85" xfId="65" applyNumberFormat="1" applyFill="1" applyBorder="1" applyAlignment="1">
      <alignment horizontal="center"/>
    </xf>
    <xf numFmtId="9" fontId="13" fillId="68" borderId="62" xfId="65" applyNumberFormat="1" applyFill="1" applyBorder="1" applyAlignment="1">
      <alignment horizontal="center"/>
    </xf>
    <xf numFmtId="168" fontId="13" fillId="69" borderId="77" xfId="65" applyNumberFormat="1" applyFill="1" applyBorder="1" applyAlignment="1">
      <alignment horizontal="center"/>
    </xf>
    <xf numFmtId="168" fontId="13" fillId="69" borderId="84" xfId="65" applyNumberFormat="1" applyFill="1" applyBorder="1" applyAlignment="1">
      <alignment horizontal="center"/>
    </xf>
    <xf numFmtId="168" fontId="13" fillId="69" borderId="86" xfId="65" applyNumberFormat="1" applyFill="1" applyBorder="1" applyAlignment="1">
      <alignment horizontal="center"/>
    </xf>
    <xf numFmtId="0" fontId="102" fillId="0" borderId="0" xfId="65" applyFont="1"/>
    <xf numFmtId="4" fontId="13" fillId="58" borderId="26" xfId="65" applyNumberFormat="1" applyFill="1" applyBorder="1" applyAlignment="1">
      <alignment horizontal="center"/>
    </xf>
    <xf numFmtId="4" fontId="13" fillId="58" borderId="1" xfId="65" applyNumberFormat="1" applyFill="1" applyBorder="1" applyAlignment="1">
      <alignment horizontal="center"/>
    </xf>
    <xf numFmtId="4" fontId="13" fillId="58" borderId="80" xfId="65" applyNumberFormat="1" applyFill="1" applyBorder="1" applyAlignment="1">
      <alignment horizontal="center"/>
    </xf>
    <xf numFmtId="0" fontId="12" fillId="0" borderId="0" xfId="65" applyFont="1"/>
    <xf numFmtId="0" fontId="0" fillId="0" borderId="1" xfId="0" applyBorder="1"/>
    <xf numFmtId="0" fontId="0" fillId="0" borderId="10" xfId="0" applyBorder="1"/>
    <xf numFmtId="0" fontId="0" fillId="0" borderId="4" xfId="0" applyBorder="1"/>
    <xf numFmtId="0" fontId="0" fillId="0" borderId="87" xfId="0" applyBorder="1"/>
    <xf numFmtId="0" fontId="0" fillId="0" borderId="3" xfId="0" applyBorder="1"/>
    <xf numFmtId="0" fontId="0" fillId="0" borderId="9" xfId="0" applyBorder="1"/>
    <xf numFmtId="0" fontId="0" fillId="0" borderId="8" xfId="0" applyBorder="1"/>
    <xf numFmtId="0" fontId="0" fillId="0" borderId="88" xfId="0" applyBorder="1"/>
    <xf numFmtId="0" fontId="0" fillId="0" borderId="89" xfId="0" applyBorder="1"/>
    <xf numFmtId="0" fontId="105" fillId="0" borderId="1" xfId="0" applyFont="1" applyBorder="1"/>
    <xf numFmtId="0" fontId="105" fillId="58" borderId="1" xfId="0" applyFont="1" applyFill="1" applyBorder="1"/>
    <xf numFmtId="3" fontId="0" fillId="0" borderId="1" xfId="0" applyNumberFormat="1" applyBorder="1"/>
    <xf numFmtId="0" fontId="42" fillId="47" borderId="23" xfId="53" applyFont="1" applyFill="1" applyBorder="1" applyAlignment="1">
      <alignment horizontal="right"/>
    </xf>
    <xf numFmtId="0" fontId="42" fillId="47" borderId="21" xfId="53" applyFont="1" applyFill="1" applyBorder="1" applyAlignment="1">
      <alignment horizontal="right"/>
    </xf>
    <xf numFmtId="3" fontId="13" fillId="0" borderId="0" xfId="65" quotePrefix="1" applyNumberFormat="1"/>
    <xf numFmtId="0" fontId="13" fillId="0" borderId="0" xfId="65" quotePrefix="1"/>
    <xf numFmtId="0" fontId="106" fillId="0" borderId="0" xfId="65" applyFont="1"/>
    <xf numFmtId="14" fontId="0" fillId="0" borderId="0" xfId="0" applyNumberFormat="1" applyAlignment="1">
      <alignment horizontal="left"/>
    </xf>
    <xf numFmtId="0" fontId="67" fillId="0" borderId="0" xfId="0" applyFont="1" applyAlignment="1">
      <alignment horizontal="left"/>
    </xf>
    <xf numFmtId="49" fontId="24" fillId="0" borderId="0" xfId="49" applyNumberFormat="1" applyFont="1" applyAlignment="1">
      <alignment horizontal="center"/>
    </xf>
    <xf numFmtId="0" fontId="67" fillId="0" borderId="0" xfId="0" applyFont="1" applyAlignment="1">
      <alignment horizontal="center"/>
    </xf>
    <xf numFmtId="1" fontId="24" fillId="0" borderId="0" xfId="49" applyNumberFormat="1" applyFont="1" applyAlignment="1">
      <alignment horizontal="center"/>
    </xf>
    <xf numFmtId="164" fontId="24" fillId="0" borderId="0" xfId="49" applyNumberFormat="1" applyFont="1" applyAlignment="1">
      <alignment horizontal="center"/>
    </xf>
    <xf numFmtId="0" fontId="0" fillId="0" borderId="0" xfId="0" pivotButton="1" applyAlignment="1">
      <alignment horizontal="center"/>
    </xf>
    <xf numFmtId="0" fontId="11" fillId="0" borderId="0" xfId="66"/>
    <xf numFmtId="0" fontId="0" fillId="73" borderId="0" xfId="0" applyFill="1"/>
    <xf numFmtId="0" fontId="42" fillId="74" borderId="11" xfId="53" applyFont="1" applyFill="1" applyBorder="1" applyAlignment="1">
      <alignment horizontal="center" vertical="center" wrapText="1"/>
    </xf>
    <xf numFmtId="0" fontId="89" fillId="75" borderId="2" xfId="53" applyFont="1" applyFill="1" applyBorder="1" applyAlignment="1">
      <alignment vertical="center" wrapText="1"/>
    </xf>
    <xf numFmtId="0" fontId="91" fillId="75" borderId="24" xfId="53" applyFont="1" applyFill="1" applyBorder="1" applyAlignment="1">
      <alignment horizontal="center" vertical="center" wrapText="1"/>
    </xf>
    <xf numFmtId="0" fontId="94" fillId="56" borderId="43" xfId="53" applyFont="1" applyFill="1" applyBorder="1" applyAlignment="1">
      <alignment horizontal="center" vertical="center" wrapText="1"/>
    </xf>
    <xf numFmtId="0" fontId="96" fillId="56" borderId="43" xfId="53" applyFont="1" applyFill="1" applyBorder="1" applyAlignment="1">
      <alignment horizontal="center" vertical="center" wrapText="1"/>
    </xf>
    <xf numFmtId="0" fontId="29" fillId="74" borderId="43" xfId="53" applyFont="1" applyFill="1" applyBorder="1" applyAlignment="1">
      <alignment horizontal="center" vertical="center" wrapText="1"/>
    </xf>
    <xf numFmtId="0" fontId="94" fillId="56" borderId="90" xfId="53" applyFont="1" applyFill="1" applyBorder="1"/>
    <xf numFmtId="3" fontId="94" fillId="56" borderId="91" xfId="53" applyNumberFormat="1" applyFont="1" applyFill="1" applyBorder="1" applyAlignment="1">
      <alignment horizontal="center"/>
    </xf>
    <xf numFmtId="9" fontId="94" fillId="54" borderId="90" xfId="53" applyNumberFormat="1" applyFont="1" applyFill="1" applyBorder="1" applyAlignment="1">
      <alignment horizontal="center"/>
    </xf>
    <xf numFmtId="0" fontId="91" fillId="76" borderId="0" xfId="53" applyFont="1" applyFill="1" applyAlignment="1">
      <alignment horizontal="left"/>
    </xf>
    <xf numFmtId="3" fontId="91" fillId="76" borderId="0" xfId="53" applyNumberFormat="1" applyFont="1" applyFill="1" applyAlignment="1">
      <alignment horizontal="center"/>
    </xf>
    <xf numFmtId="4" fontId="91" fillId="76" borderId="0" xfId="53" applyNumberFormat="1" applyFont="1" applyFill="1" applyAlignment="1">
      <alignment horizontal="center"/>
    </xf>
    <xf numFmtId="0" fontId="89" fillId="76" borderId="0" xfId="53" applyFont="1" applyFill="1" applyAlignment="1">
      <alignment horizontal="left"/>
    </xf>
    <xf numFmtId="3" fontId="89" fillId="76" borderId="0" xfId="53" applyNumberFormat="1" applyFont="1" applyFill="1" applyAlignment="1">
      <alignment horizontal="center"/>
    </xf>
    <xf numFmtId="0" fontId="89" fillId="77" borderId="2" xfId="53" applyFont="1" applyFill="1" applyBorder="1" applyAlignment="1">
      <alignment vertical="center" wrapText="1"/>
    </xf>
    <xf numFmtId="0" fontId="91" fillId="77" borderId="24" xfId="53" applyFont="1" applyFill="1" applyBorder="1" applyAlignment="1">
      <alignment horizontal="center" vertical="center" wrapText="1"/>
    </xf>
    <xf numFmtId="0" fontId="29" fillId="57" borderId="43" xfId="53" applyFont="1" applyFill="1" applyBorder="1" applyAlignment="1">
      <alignment horizontal="center" vertical="center" wrapText="1"/>
    </xf>
    <xf numFmtId="0" fontId="91" fillId="78" borderId="0" xfId="53" applyFont="1" applyFill="1" applyAlignment="1">
      <alignment horizontal="left"/>
    </xf>
    <xf numFmtId="3" fontId="91" fillId="78" borderId="0" xfId="53" applyNumberFormat="1" applyFont="1" applyFill="1" applyAlignment="1">
      <alignment horizontal="center"/>
    </xf>
    <xf numFmtId="4" fontId="91" fillId="78" borderId="0" xfId="53" applyNumberFormat="1" applyFont="1" applyFill="1" applyAlignment="1">
      <alignment horizontal="center"/>
    </xf>
    <xf numFmtId="0" fontId="89" fillId="78" borderId="0" xfId="53" applyFont="1" applyFill="1" applyAlignment="1">
      <alignment horizontal="left"/>
    </xf>
    <xf numFmtId="3" fontId="89" fillId="78" borderId="0" xfId="53" applyNumberFormat="1" applyFont="1" applyFill="1" applyAlignment="1">
      <alignment horizontal="center"/>
    </xf>
    <xf numFmtId="0" fontId="89" fillId="79" borderId="2" xfId="53" applyFont="1" applyFill="1" applyBorder="1" applyAlignment="1">
      <alignment vertical="center" wrapText="1"/>
    </xf>
    <xf numFmtId="3" fontId="89" fillId="80" borderId="0" xfId="53" applyNumberFormat="1" applyFont="1" applyFill="1" applyAlignment="1">
      <alignment horizontal="center"/>
    </xf>
    <xf numFmtId="0" fontId="89" fillId="80" borderId="43" xfId="53" applyFont="1" applyFill="1" applyBorder="1" applyAlignment="1">
      <alignment horizontal="left"/>
    </xf>
    <xf numFmtId="0" fontId="89" fillId="80" borderId="15" xfId="53" applyFont="1" applyFill="1" applyBorder="1" applyAlignment="1">
      <alignment horizontal="left"/>
    </xf>
    <xf numFmtId="4" fontId="89" fillId="80" borderId="43" xfId="53" applyNumberFormat="1" applyFont="1" applyFill="1" applyBorder="1" applyAlignment="1">
      <alignment horizontal="center"/>
    </xf>
    <xf numFmtId="3" fontId="89" fillId="80" borderId="15" xfId="53" applyNumberFormat="1" applyFont="1" applyFill="1" applyBorder="1" applyAlignment="1">
      <alignment horizontal="center"/>
    </xf>
    <xf numFmtId="0" fontId="94" fillId="0" borderId="0" xfId="49" applyFont="1"/>
    <xf numFmtId="0" fontId="107" fillId="55" borderId="0" xfId="45" applyFont="1" applyFill="1" applyAlignment="1" applyProtection="1"/>
    <xf numFmtId="0" fontId="108" fillId="0" borderId="0" xfId="0" applyFont="1" applyAlignment="1">
      <alignment horizontal="left"/>
    </xf>
    <xf numFmtId="0" fontId="10" fillId="0" borderId="0" xfId="67"/>
    <xf numFmtId="3" fontId="10" fillId="0" borderId="0" xfId="67" applyNumberFormat="1"/>
    <xf numFmtId="0" fontId="68" fillId="0" borderId="1" xfId="67" applyFont="1" applyBorder="1" applyAlignment="1">
      <alignment horizontal="center"/>
    </xf>
    <xf numFmtId="0" fontId="68" fillId="0" borderId="1" xfId="67" applyFont="1" applyBorder="1"/>
    <xf numFmtId="0" fontId="10" fillId="0" borderId="1" xfId="67" applyBorder="1"/>
    <xf numFmtId="3" fontId="10" fillId="0" borderId="1" xfId="67" applyNumberFormat="1" applyBorder="1"/>
    <xf numFmtId="3" fontId="68" fillId="0" borderId="1" xfId="67" applyNumberFormat="1" applyFont="1" applyBorder="1"/>
    <xf numFmtId="0" fontId="0" fillId="0" borderId="92" xfId="0" applyBorder="1"/>
    <xf numFmtId="0" fontId="0" fillId="0" borderId="93" xfId="0" applyBorder="1"/>
    <xf numFmtId="0" fontId="0" fillId="0" borderId="94" xfId="0" applyBorder="1"/>
    <xf numFmtId="0" fontId="0" fillId="0" borderId="96" xfId="0" applyBorder="1"/>
    <xf numFmtId="0" fontId="0" fillId="0" borderId="97" xfId="0" applyBorder="1"/>
    <xf numFmtId="0" fontId="0" fillId="0" borderId="100" xfId="0" applyBorder="1"/>
    <xf numFmtId="0" fontId="0" fillId="0" borderId="102" xfId="0" applyBorder="1"/>
    <xf numFmtId="165" fontId="0" fillId="0" borderId="101" xfId="0" applyNumberFormat="1" applyBorder="1" applyAlignment="1">
      <alignment horizontal="center"/>
    </xf>
    <xf numFmtId="0" fontId="0" fillId="0" borderId="107" xfId="0" applyBorder="1"/>
    <xf numFmtId="0" fontId="0" fillId="0" borderId="108" xfId="0" applyBorder="1"/>
    <xf numFmtId="0" fontId="0" fillId="0" borderId="109" xfId="0" applyBorder="1"/>
    <xf numFmtId="0" fontId="67" fillId="0" borderId="110" xfId="0" applyFont="1" applyBorder="1"/>
    <xf numFmtId="0" fontId="67" fillId="0" borderId="92" xfId="0" applyFont="1" applyBorder="1"/>
    <xf numFmtId="0" fontId="67" fillId="0" borderId="100" xfId="0" applyFont="1" applyBorder="1"/>
    <xf numFmtId="0" fontId="0" fillId="0" borderId="111" xfId="0" applyBorder="1"/>
    <xf numFmtId="0" fontId="0" fillId="0" borderId="92" xfId="0" pivotButton="1" applyBorder="1"/>
    <xf numFmtId="0" fontId="0" fillId="0" borderId="93" xfId="0" pivotButton="1" applyBorder="1"/>
    <xf numFmtId="49" fontId="24" fillId="0" borderId="0" xfId="49" applyNumberFormat="1" applyFont="1" applyAlignment="1">
      <alignment horizontal="left"/>
    </xf>
    <xf numFmtId="0" fontId="69" fillId="0" borderId="0" xfId="49" applyFont="1" applyAlignment="1">
      <alignment vertical="center" wrapText="1"/>
    </xf>
    <xf numFmtId="0" fontId="0" fillId="0" borderId="0" xfId="0" applyAlignment="1">
      <alignment vertical="center" wrapText="1"/>
    </xf>
    <xf numFmtId="0" fontId="109" fillId="0" borderId="0" xfId="0" applyFont="1"/>
    <xf numFmtId="0" fontId="110" fillId="0" borderId="0" xfId="0" applyFont="1"/>
    <xf numFmtId="0" fontId="110" fillId="0" borderId="0" xfId="0" applyFont="1" applyAlignment="1">
      <alignment wrapText="1"/>
    </xf>
    <xf numFmtId="14" fontId="111" fillId="0" borderId="0" xfId="0" applyNumberFormat="1" applyFont="1" applyAlignment="1">
      <alignment horizontal="left"/>
    </xf>
    <xf numFmtId="0" fontId="112" fillId="60" borderId="1" xfId="0" applyFont="1" applyFill="1" applyBorder="1" applyAlignment="1">
      <alignment vertical="top"/>
    </xf>
    <xf numFmtId="0" fontId="112" fillId="60" borderId="1" xfId="0" applyFont="1" applyFill="1" applyBorder="1" applyAlignment="1">
      <alignment vertical="top" wrapText="1"/>
    </xf>
    <xf numFmtId="0" fontId="110" fillId="0" borderId="1" xfId="0" applyFont="1" applyBorder="1"/>
    <xf numFmtId="0" fontId="110" fillId="0" borderId="1" xfId="0" applyFont="1" applyBorder="1" applyAlignment="1">
      <alignment wrapText="1"/>
    </xf>
    <xf numFmtId="0" fontId="9" fillId="0" borderId="0" xfId="67" applyFont="1"/>
    <xf numFmtId="10" fontId="0" fillId="0" borderId="0" xfId="0" applyNumberFormat="1"/>
    <xf numFmtId="0" fontId="87" fillId="0" borderId="0" xfId="49" applyFont="1"/>
    <xf numFmtId="166" fontId="75" fillId="42" borderId="11" xfId="0" applyNumberFormat="1" applyFont="1" applyFill="1" applyBorder="1" applyAlignment="1">
      <alignment horizontal="center"/>
    </xf>
    <xf numFmtId="0" fontId="8" fillId="0" borderId="0" xfId="70"/>
    <xf numFmtId="49" fontId="8" fillId="0" borderId="0" xfId="70" quotePrefix="1" applyNumberFormat="1"/>
    <xf numFmtId="0" fontId="8" fillId="46" borderId="0" xfId="70" applyFill="1"/>
    <xf numFmtId="167" fontId="8" fillId="0" borderId="0" xfId="70" applyNumberFormat="1"/>
    <xf numFmtId="1" fontId="8" fillId="0" borderId="0" xfId="70" applyNumberFormat="1"/>
    <xf numFmtId="22" fontId="8" fillId="0" borderId="0" xfId="70" applyNumberFormat="1"/>
    <xf numFmtId="0" fontId="8" fillId="82" borderId="0" xfId="70" applyFill="1"/>
    <xf numFmtId="0" fontId="75" fillId="68" borderId="2" xfId="0" applyFont="1" applyFill="1" applyBorder="1" applyAlignment="1">
      <alignment horizontal="center"/>
    </xf>
    <xf numFmtId="0" fontId="75" fillId="68" borderId="0" xfId="0" applyFont="1" applyFill="1" applyAlignment="1">
      <alignment horizontal="center"/>
    </xf>
    <xf numFmtId="0" fontId="75" fillId="68" borderId="20" xfId="0" applyFont="1" applyFill="1" applyBorder="1" applyAlignment="1">
      <alignment horizontal="center"/>
    </xf>
    <xf numFmtId="0" fontId="113" fillId="0" borderId="0" xfId="0" applyFont="1"/>
    <xf numFmtId="0" fontId="113" fillId="0" borderId="0" xfId="0" applyFont="1" applyAlignment="1">
      <alignment horizontal="center"/>
    </xf>
    <xf numFmtId="4" fontId="75" fillId="42" borderId="11" xfId="0" applyNumberFormat="1" applyFont="1" applyFill="1" applyBorder="1" applyAlignment="1">
      <alignment horizontal="center"/>
    </xf>
    <xf numFmtId="0" fontId="77" fillId="83" borderId="11" xfId="0" applyFont="1" applyFill="1" applyBorder="1" applyAlignment="1">
      <alignment horizontal="center"/>
    </xf>
    <xf numFmtId="49" fontId="114" fillId="42" borderId="0" xfId="0" applyNumberFormat="1" applyFont="1" applyFill="1"/>
    <xf numFmtId="49" fontId="114" fillId="0" borderId="0" xfId="0" applyNumberFormat="1" applyFont="1"/>
    <xf numFmtId="0" fontId="114" fillId="0" borderId="0" xfId="0" applyFont="1" applyAlignment="1">
      <alignment horizontal="center"/>
    </xf>
    <xf numFmtId="0" fontId="114" fillId="0" borderId="0" xfId="0" applyFont="1"/>
    <xf numFmtId="0" fontId="114" fillId="42" borderId="0" xfId="0" applyFont="1" applyFill="1"/>
    <xf numFmtId="0" fontId="114" fillId="42" borderId="0" xfId="0" applyFont="1" applyFill="1" applyAlignment="1">
      <alignment horizontal="center"/>
    </xf>
    <xf numFmtId="49" fontId="69" fillId="0" borderId="0" xfId="0" applyNumberFormat="1" applyFont="1"/>
    <xf numFmtId="167" fontId="69" fillId="0" borderId="0" xfId="0" applyNumberFormat="1" applyFont="1"/>
    <xf numFmtId="0" fontId="114" fillId="8" borderId="0" xfId="0" applyFont="1" applyFill="1"/>
    <xf numFmtId="0" fontId="114" fillId="8" borderId="0" xfId="0" applyFont="1" applyFill="1" applyAlignment="1">
      <alignment horizontal="right"/>
    </xf>
    <xf numFmtId="49" fontId="115" fillId="8" borderId="0" xfId="0" applyNumberFormat="1" applyFont="1" applyFill="1"/>
    <xf numFmtId="0" fontId="22" fillId="44" borderId="11" xfId="45" applyFill="1" applyBorder="1" applyAlignment="1" applyProtection="1">
      <alignment horizontal="right"/>
    </xf>
    <xf numFmtId="0" fontId="110" fillId="0" borderId="0" xfId="72" applyFont="1"/>
    <xf numFmtId="0" fontId="110" fillId="0" borderId="0" xfId="72" applyFont="1" applyProtection="1">
      <protection locked="0"/>
    </xf>
    <xf numFmtId="0" fontId="110" fillId="0" borderId="0" xfId="73" applyFont="1"/>
    <xf numFmtId="0" fontId="117" fillId="0" borderId="57" xfId="72" applyFont="1" applyBorder="1"/>
    <xf numFmtId="0" fontId="118" fillId="0" borderId="56" xfId="72" applyFont="1" applyBorder="1" applyAlignment="1" applyProtection="1">
      <alignment horizontal="left"/>
      <protection locked="0"/>
    </xf>
    <xf numFmtId="0" fontId="110" fillId="0" borderId="20" xfId="72" applyFont="1" applyBorder="1"/>
    <xf numFmtId="0" fontId="112" fillId="0" borderId="1" xfId="72" applyFont="1" applyBorder="1" applyAlignment="1">
      <alignment horizontal="right"/>
    </xf>
    <xf numFmtId="0" fontId="112" fillId="0" borderId="1" xfId="72" applyFont="1" applyBorder="1" applyProtection="1">
      <protection locked="0"/>
    </xf>
    <xf numFmtId="0" fontId="117" fillId="0" borderId="59" xfId="72" applyFont="1" applyBorder="1"/>
    <xf numFmtId="0" fontId="118" fillId="0" borderId="58" xfId="72" applyFont="1" applyBorder="1" applyProtection="1">
      <protection locked="0"/>
    </xf>
    <xf numFmtId="0" fontId="117" fillId="0" borderId="63" xfId="72" applyFont="1" applyBorder="1"/>
    <xf numFmtId="0" fontId="118" fillId="0" borderId="62" xfId="72" applyFont="1" applyBorder="1" applyProtection="1">
      <protection locked="0"/>
    </xf>
    <xf numFmtId="0" fontId="118" fillId="0" borderId="2" xfId="72" applyFont="1" applyBorder="1"/>
    <xf numFmtId="0" fontId="118" fillId="0" borderId="0" xfId="72" applyFont="1" applyAlignment="1">
      <alignment horizontal="center" vertical="center" wrapText="1"/>
    </xf>
    <xf numFmtId="0" fontId="117" fillId="0" borderId="0" xfId="72" applyFont="1" applyAlignment="1">
      <alignment horizontal="right"/>
    </xf>
    <xf numFmtId="0" fontId="118" fillId="0" borderId="20" xfId="72" applyFont="1" applyBorder="1"/>
    <xf numFmtId="0" fontId="118" fillId="0" borderId="30" xfId="72" applyFont="1" applyBorder="1" applyAlignment="1">
      <alignment horizontal="center" wrapText="1"/>
    </xf>
    <xf numFmtId="0" fontId="118" fillId="0" borderId="113" xfId="72" applyFont="1" applyBorder="1" applyAlignment="1">
      <alignment horizontal="center" wrapText="1"/>
    </xf>
    <xf numFmtId="0" fontId="118" fillId="0" borderId="114" xfId="72" applyFont="1" applyBorder="1" applyAlignment="1">
      <alignment horizontal="center" wrapText="1"/>
    </xf>
    <xf numFmtId="0" fontId="118" fillId="0" borderId="115" xfId="72" applyFont="1" applyBorder="1" applyAlignment="1">
      <alignment horizontal="center" wrapText="1"/>
    </xf>
    <xf numFmtId="0" fontId="118" fillId="0" borderId="57" xfId="49" applyFont="1" applyBorder="1"/>
    <xf numFmtId="0" fontId="111" fillId="0" borderId="78" xfId="72" applyFont="1" applyBorder="1" applyAlignment="1" applyProtection="1">
      <alignment horizontal="right" vertical="center"/>
      <protection locked="0"/>
    </xf>
    <xf numFmtId="0" fontId="118" fillId="0" borderId="59" xfId="49" applyFont="1" applyBorder="1"/>
    <xf numFmtId="10" fontId="112" fillId="0" borderId="1" xfId="74" applyNumberFormat="1" applyFont="1" applyBorder="1" applyProtection="1">
      <protection locked="0"/>
    </xf>
    <xf numFmtId="0" fontId="118" fillId="0" borderId="63" xfId="49" applyFont="1" applyBorder="1"/>
    <xf numFmtId="0" fontId="119" fillId="0" borderId="24" xfId="72" applyFont="1" applyBorder="1"/>
    <xf numFmtId="0" fontId="110" fillId="0" borderId="2" xfId="72" applyFont="1" applyBorder="1"/>
    <xf numFmtId="0" fontId="120" fillId="0" borderId="2" xfId="72" applyFont="1" applyBorder="1" applyAlignment="1">
      <alignment horizontal="right"/>
    </xf>
    <xf numFmtId="0" fontId="110" fillId="0" borderId="24" xfId="72" applyFont="1" applyBorder="1"/>
    <xf numFmtId="0" fontId="110" fillId="0" borderId="19" xfId="72" applyFont="1" applyBorder="1"/>
    <xf numFmtId="0" fontId="110" fillId="0" borderId="13" xfId="72" applyFont="1" applyBorder="1"/>
    <xf numFmtId="0" fontId="7" fillId="0" borderId="0" xfId="73"/>
    <xf numFmtId="4" fontId="118" fillId="0" borderId="116" xfId="72" applyNumberFormat="1" applyFont="1" applyBorder="1" applyAlignment="1">
      <alignment horizontal="right"/>
    </xf>
    <xf numFmtId="4" fontId="118" fillId="0" borderId="69" xfId="72" applyNumberFormat="1" applyFont="1" applyBorder="1" applyAlignment="1">
      <alignment horizontal="right"/>
    </xf>
    <xf numFmtId="4" fontId="118" fillId="0" borderId="81" xfId="72" applyNumberFormat="1" applyFont="1" applyBorder="1" applyAlignment="1">
      <alignment horizontal="right"/>
    </xf>
    <xf numFmtId="166" fontId="118" fillId="0" borderId="25" xfId="72" applyNumberFormat="1" applyFont="1" applyBorder="1" applyAlignment="1">
      <alignment horizontal="right"/>
    </xf>
    <xf numFmtId="166" fontId="118" fillId="0" borderId="1" xfId="72" applyNumberFormat="1" applyFont="1" applyBorder="1" applyAlignment="1">
      <alignment horizontal="right"/>
    </xf>
    <xf numFmtId="166" fontId="118" fillId="0" borderId="80" xfId="72" applyNumberFormat="1" applyFont="1" applyBorder="1" applyAlignment="1">
      <alignment horizontal="right"/>
    </xf>
    <xf numFmtId="166" fontId="119" fillId="0" borderId="13" xfId="72" applyNumberFormat="1" applyFont="1" applyBorder="1" applyAlignment="1">
      <alignment horizontal="center"/>
    </xf>
    <xf numFmtId="0" fontId="121" fillId="42" borderId="1" xfId="0" applyFont="1" applyFill="1" applyBorder="1"/>
    <xf numFmtId="4" fontId="0" fillId="0" borderId="1" xfId="0" applyNumberFormat="1" applyBorder="1"/>
    <xf numFmtId="165" fontId="0" fillId="0" borderId="1" xfId="71" applyNumberFormat="1" applyFont="1" applyBorder="1"/>
    <xf numFmtId="3" fontId="0" fillId="0" borderId="1" xfId="71" applyNumberFormat="1" applyFont="1" applyBorder="1"/>
    <xf numFmtId="0" fontId="111" fillId="0" borderId="117" xfId="72" applyFont="1" applyBorder="1" applyAlignment="1" applyProtection="1">
      <alignment horizontal="right" vertical="center"/>
      <protection locked="0"/>
    </xf>
    <xf numFmtId="3" fontId="119" fillId="0" borderId="11" xfId="72" applyNumberFormat="1" applyFont="1" applyBorder="1" applyAlignment="1">
      <alignment horizontal="center"/>
    </xf>
    <xf numFmtId="0" fontId="0" fillId="0" borderId="2" xfId="0" applyBorder="1"/>
    <xf numFmtId="165" fontId="0" fillId="0" borderId="41" xfId="0" applyNumberFormat="1" applyBorder="1" applyAlignment="1">
      <alignment horizontal="center"/>
    </xf>
    <xf numFmtId="0" fontId="18" fillId="3" borderId="0" xfId="0" applyFont="1" applyFill="1"/>
    <xf numFmtId="0" fontId="18" fillId="3" borderId="0" xfId="0" applyFont="1" applyFill="1" applyAlignment="1">
      <alignment horizontal="center"/>
    </xf>
    <xf numFmtId="0" fontId="0" fillId="0" borderId="103" xfId="0" applyBorder="1"/>
    <xf numFmtId="0" fontId="0" fillId="0" borderId="95" xfId="0" applyBorder="1"/>
    <xf numFmtId="0" fontId="0" fillId="0" borderId="104" xfId="0" applyBorder="1"/>
    <xf numFmtId="0" fontId="0" fillId="0" borderId="99" xfId="0" applyBorder="1" applyAlignment="1">
      <alignment horizontal="center"/>
    </xf>
    <xf numFmtId="0" fontId="18" fillId="3" borderId="28" xfId="0" applyFont="1" applyFill="1" applyBorder="1" applyAlignment="1">
      <alignment horizontal="center"/>
    </xf>
    <xf numFmtId="0" fontId="0" fillId="0" borderId="101" xfId="0" applyBorder="1" applyAlignment="1">
      <alignment horizontal="center"/>
    </xf>
    <xf numFmtId="0" fontId="18" fillId="3" borderId="33" xfId="0" applyFont="1" applyFill="1" applyBorder="1" applyAlignment="1">
      <alignment horizontal="center"/>
    </xf>
    <xf numFmtId="0" fontId="67" fillId="0" borderId="101" xfId="0" applyFont="1" applyBorder="1" applyAlignment="1">
      <alignment horizontal="center"/>
    </xf>
    <xf numFmtId="0" fontId="67" fillId="0" borderId="41" xfId="0" applyFont="1" applyBorder="1" applyAlignment="1">
      <alignment horizontal="center"/>
    </xf>
    <xf numFmtId="0" fontId="0" fillId="0" borderId="112" xfId="0" applyBorder="1"/>
    <xf numFmtId="0" fontId="0" fillId="0" borderId="105" xfId="0" applyBorder="1"/>
    <xf numFmtId="0" fontId="0" fillId="0" borderId="96" xfId="0" applyBorder="1" applyAlignment="1">
      <alignment horizontal="center"/>
    </xf>
    <xf numFmtId="0" fontId="18" fillId="3" borderId="98" xfId="0" applyFont="1" applyFill="1" applyBorder="1" applyAlignment="1">
      <alignment horizontal="center"/>
    </xf>
    <xf numFmtId="0" fontId="18" fillId="3" borderId="22" xfId="0" applyFont="1" applyFill="1" applyBorder="1" applyAlignment="1">
      <alignment horizontal="center"/>
    </xf>
    <xf numFmtId="0" fontId="18" fillId="3" borderId="21" xfId="0" applyFont="1" applyFill="1" applyBorder="1" applyAlignment="1">
      <alignment horizontal="center"/>
    </xf>
    <xf numFmtId="0" fontId="0" fillId="0" borderId="106" xfId="0" applyBorder="1" applyAlignment="1">
      <alignment horizontal="center"/>
    </xf>
    <xf numFmtId="0" fontId="18" fillId="3" borderId="37" xfId="0" applyFont="1" applyFill="1" applyBorder="1" applyAlignment="1">
      <alignment horizontal="center"/>
    </xf>
    <xf numFmtId="0" fontId="18" fillId="3" borderId="41" xfId="0" applyFont="1" applyFill="1" applyBorder="1" applyAlignment="1">
      <alignment horizontal="center"/>
    </xf>
    <xf numFmtId="0" fontId="67" fillId="0" borderId="0" xfId="0" applyFont="1"/>
    <xf numFmtId="0" fontId="18" fillId="3" borderId="118" xfId="0" applyFont="1" applyFill="1" applyBorder="1" applyAlignment="1">
      <alignment horizontal="center"/>
    </xf>
    <xf numFmtId="0" fontId="123" fillId="0" borderId="0" xfId="0" applyFont="1" applyAlignment="1">
      <alignment horizontal="center"/>
    </xf>
    <xf numFmtId="0" fontId="123" fillId="0" borderId="0" xfId="0" applyFont="1" applyAlignment="1">
      <alignment horizontal="left"/>
    </xf>
    <xf numFmtId="0" fontId="122" fillId="0" borderId="0" xfId="49" applyFont="1"/>
    <xf numFmtId="0" fontId="124" fillId="0" borderId="0" xfId="0" applyFont="1"/>
    <xf numFmtId="0" fontId="124" fillId="0" borderId="0" xfId="49" applyFont="1"/>
    <xf numFmtId="0" fontId="125" fillId="0" borderId="0" xfId="0" applyFont="1" applyAlignment="1">
      <alignment horizontal="center"/>
    </xf>
    <xf numFmtId="0" fontId="10" fillId="82" borderId="0" xfId="67" applyFill="1"/>
    <xf numFmtId="0" fontId="9" fillId="82" borderId="0" xfId="67" applyFont="1" applyFill="1" applyAlignment="1">
      <alignment horizontal="left" vertical="top"/>
    </xf>
    <xf numFmtId="0" fontId="10" fillId="82" borderId="0" xfId="67" applyFill="1" applyAlignment="1">
      <alignment horizontal="left" vertical="top"/>
    </xf>
    <xf numFmtId="0" fontId="10" fillId="82" borderId="0" xfId="67" applyFill="1" applyAlignment="1">
      <alignment horizontal="left" vertical="top" wrapText="1"/>
    </xf>
    <xf numFmtId="43" fontId="0" fillId="82" borderId="0" xfId="69" applyFont="1" applyFill="1"/>
    <xf numFmtId="1" fontId="10" fillId="82" borderId="0" xfId="67" applyNumberFormat="1" applyFill="1"/>
    <xf numFmtId="0" fontId="6" fillId="82" borderId="0" xfId="67" applyFont="1" applyFill="1"/>
    <xf numFmtId="0" fontId="5" fillId="82" borderId="0" xfId="67" applyFont="1" applyFill="1"/>
    <xf numFmtId="0" fontId="4" fillId="0" borderId="1" xfId="67" applyFont="1" applyBorder="1"/>
    <xf numFmtId="0" fontId="126" fillId="0" borderId="0" xfId="67" applyFont="1"/>
    <xf numFmtId="0" fontId="4" fillId="82" borderId="0" xfId="67" applyFont="1" applyFill="1"/>
    <xf numFmtId="0" fontId="10" fillId="82" borderId="0" xfId="67" applyFill="1" applyAlignment="1">
      <alignment horizontal="right"/>
    </xf>
    <xf numFmtId="0" fontId="10" fillId="0" borderId="0" xfId="67" applyAlignment="1">
      <alignment horizontal="center"/>
    </xf>
    <xf numFmtId="0" fontId="57" fillId="87" borderId="1" xfId="67" applyFont="1" applyFill="1" applyBorder="1" applyAlignment="1">
      <alignment horizontal="center"/>
    </xf>
    <xf numFmtId="0" fontId="4" fillId="0" borderId="42" xfId="67" applyFont="1" applyBorder="1"/>
    <xf numFmtId="0" fontId="10" fillId="0" borderId="76" xfId="67" applyBorder="1"/>
    <xf numFmtId="0" fontId="10" fillId="0" borderId="119" xfId="67" applyBorder="1"/>
    <xf numFmtId="0" fontId="128" fillId="0" borderId="0" xfId="0" applyFont="1"/>
    <xf numFmtId="0" fontId="3" fillId="0" borderId="0" xfId="0" applyFont="1"/>
    <xf numFmtId="0" fontId="129" fillId="0" borderId="0" xfId="0" applyFont="1"/>
    <xf numFmtId="3" fontId="3" fillId="0" borderId="0" xfId="0" applyNumberFormat="1" applyFont="1"/>
    <xf numFmtId="2" fontId="3" fillId="0" borderId="0" xfId="0" applyNumberFormat="1" applyFont="1"/>
    <xf numFmtId="0" fontId="2" fillId="0" borderId="0" xfId="0" applyFont="1"/>
    <xf numFmtId="165" fontId="0" fillId="0" borderId="1" xfId="68" applyNumberFormat="1" applyFont="1" applyBorder="1"/>
    <xf numFmtId="0" fontId="68" fillId="0" borderId="42" xfId="67" applyFont="1" applyBorder="1" applyAlignment="1">
      <alignment horizontal="center"/>
    </xf>
    <xf numFmtId="165" fontId="0" fillId="0" borderId="42" xfId="68" applyNumberFormat="1" applyFont="1" applyBorder="1"/>
    <xf numFmtId="0" fontId="68" fillId="0" borderId="69" xfId="67" applyFont="1" applyBorder="1" applyAlignment="1">
      <alignment horizontal="center"/>
    </xf>
    <xf numFmtId="165" fontId="0" fillId="0" borderId="69" xfId="68" applyNumberFormat="1" applyFont="1" applyBorder="1"/>
    <xf numFmtId="0" fontId="10" fillId="88" borderId="0" xfId="67" applyFill="1"/>
    <xf numFmtId="0" fontId="1" fillId="0" borderId="0" xfId="67" applyFont="1"/>
    <xf numFmtId="49" fontId="76" fillId="0" borderId="30" xfId="0" applyNumberFormat="1" applyFont="1" applyBorder="1" applyAlignment="1">
      <alignment horizontal="center"/>
    </xf>
    <xf numFmtId="49" fontId="76" fillId="0" borderId="34" xfId="0" applyNumberFormat="1" applyFont="1" applyBorder="1" applyAlignment="1">
      <alignment horizontal="center"/>
    </xf>
    <xf numFmtId="49" fontId="76" fillId="0" borderId="35" xfId="0" applyNumberFormat="1" applyFont="1" applyBorder="1" applyAlignment="1">
      <alignment horizontal="center"/>
    </xf>
    <xf numFmtId="0" fontId="76" fillId="0" borderId="30" xfId="0" applyFont="1" applyBorder="1" applyAlignment="1">
      <alignment horizontal="center"/>
    </xf>
    <xf numFmtId="0" fontId="76" fillId="0" borderId="34" xfId="0" applyFont="1" applyBorder="1" applyAlignment="1">
      <alignment horizontal="center"/>
    </xf>
    <xf numFmtId="0" fontId="76" fillId="0" borderId="35" xfId="0" applyFont="1" applyBorder="1" applyAlignment="1">
      <alignment horizontal="center"/>
    </xf>
    <xf numFmtId="0" fontId="0" fillId="0" borderId="0" xfId="0" applyAlignment="1">
      <alignment horizontal="center"/>
    </xf>
    <xf numFmtId="0" fontId="121" fillId="42" borderId="65" xfId="0" applyFont="1" applyFill="1" applyBorder="1" applyAlignment="1">
      <alignment horizontal="left"/>
    </xf>
    <xf numFmtId="0" fontId="121" fillId="42" borderId="0" xfId="0" applyFont="1" applyFill="1" applyAlignment="1">
      <alignment horizontal="left"/>
    </xf>
    <xf numFmtId="4" fontId="120" fillId="0" borderId="23" xfId="72" applyNumberFormat="1" applyFont="1" applyBorder="1" applyAlignment="1">
      <alignment horizontal="center" vertical="center"/>
    </xf>
    <xf numFmtId="4" fontId="120" fillId="0" borderId="21" xfId="72" applyNumberFormat="1" applyFont="1" applyBorder="1" applyAlignment="1">
      <alignment horizontal="center" vertical="center"/>
    </xf>
    <xf numFmtId="0" fontId="116" fillId="42" borderId="30" xfId="72" applyFont="1" applyFill="1" applyBorder="1" applyAlignment="1">
      <alignment horizontal="center"/>
    </xf>
    <xf numFmtId="0" fontId="116" fillId="42" borderId="34" xfId="72" applyFont="1" applyFill="1" applyBorder="1" applyAlignment="1">
      <alignment horizontal="center"/>
    </xf>
    <xf numFmtId="0" fontId="116" fillId="42" borderId="35" xfId="72" applyFont="1" applyFill="1" applyBorder="1" applyAlignment="1">
      <alignment horizontal="center"/>
    </xf>
    <xf numFmtId="0" fontId="117" fillId="60" borderId="23" xfId="72" applyFont="1" applyFill="1" applyBorder="1" applyAlignment="1">
      <alignment horizontal="left"/>
    </xf>
    <xf numFmtId="0" fontId="117" fillId="60" borderId="34" xfId="72" applyFont="1" applyFill="1" applyBorder="1" applyAlignment="1">
      <alignment horizontal="left"/>
    </xf>
    <xf numFmtId="0" fontId="117" fillId="60" borderId="35" xfId="72" applyFont="1" applyFill="1" applyBorder="1" applyAlignment="1">
      <alignment horizontal="left"/>
    </xf>
    <xf numFmtId="0" fontId="89" fillId="75" borderId="19" xfId="53" applyFont="1" applyFill="1" applyBorder="1" applyAlignment="1">
      <alignment horizontal="center" vertical="center" wrapText="1"/>
    </xf>
    <xf numFmtId="0" fontId="89" fillId="77" borderId="19" xfId="53" applyFont="1" applyFill="1" applyBorder="1" applyAlignment="1">
      <alignment horizontal="center" vertical="center" wrapText="1"/>
    </xf>
    <xf numFmtId="0" fontId="42" fillId="58" borderId="0" xfId="53" applyFont="1" applyFill="1" applyAlignment="1">
      <alignment horizontal="left"/>
    </xf>
    <xf numFmtId="168" fontId="100" fillId="0" borderId="23" xfId="65" applyNumberFormat="1" applyFont="1" applyBorder="1" applyAlignment="1">
      <alignment horizontal="center"/>
    </xf>
    <xf numFmtId="168" fontId="100" fillId="0" borderId="22" xfId="65" applyNumberFormat="1" applyFont="1" applyBorder="1" applyAlignment="1">
      <alignment horizontal="center"/>
    </xf>
    <xf numFmtId="168" fontId="100" fillId="0" borderId="21" xfId="65" applyNumberFormat="1" applyFont="1" applyBorder="1" applyAlignment="1">
      <alignment horizontal="center"/>
    </xf>
    <xf numFmtId="0" fontId="100" fillId="58" borderId="0" xfId="65" applyFont="1" applyFill="1" applyAlignment="1" applyProtection="1">
      <alignment horizontal="right"/>
      <protection locked="0"/>
    </xf>
    <xf numFmtId="0" fontId="100" fillId="58" borderId="20" xfId="65" applyFont="1" applyFill="1" applyBorder="1" applyAlignment="1" applyProtection="1">
      <alignment horizontal="right"/>
      <protection locked="0"/>
    </xf>
    <xf numFmtId="1" fontId="98" fillId="65" borderId="70" xfId="65" applyNumberFormat="1" applyFont="1" applyFill="1" applyBorder="1" applyAlignment="1">
      <alignment horizontal="center" wrapText="1"/>
    </xf>
    <xf numFmtId="1" fontId="98" fillId="65" borderId="71" xfId="65" applyNumberFormat="1" applyFont="1" applyFill="1" applyBorder="1" applyAlignment="1">
      <alignment horizontal="center" wrapText="1"/>
    </xf>
    <xf numFmtId="1" fontId="98" fillId="65" borderId="77" xfId="65" applyNumberFormat="1" applyFont="1" applyFill="1" applyBorder="1" applyAlignment="1">
      <alignment horizontal="center" wrapText="1"/>
    </xf>
    <xf numFmtId="1" fontId="98" fillId="65" borderId="56" xfId="65" applyNumberFormat="1" applyFont="1" applyFill="1" applyBorder="1" applyAlignment="1">
      <alignment horizontal="center" wrapText="1"/>
    </xf>
    <xf numFmtId="1" fontId="98" fillId="65" borderId="58" xfId="65" applyNumberFormat="1" applyFont="1" applyFill="1" applyBorder="1" applyAlignment="1">
      <alignment horizontal="center" wrapText="1"/>
    </xf>
    <xf numFmtId="1" fontId="98" fillId="65" borderId="62" xfId="65" applyNumberFormat="1" applyFont="1" applyFill="1" applyBorder="1" applyAlignment="1">
      <alignment horizontal="center" wrapText="1"/>
    </xf>
    <xf numFmtId="10" fontId="101" fillId="58" borderId="23" xfId="65" applyNumberFormat="1" applyFont="1" applyFill="1" applyBorder="1" applyAlignment="1" applyProtection="1">
      <alignment horizontal="center"/>
      <protection locked="0"/>
    </xf>
    <xf numFmtId="10" fontId="101" fillId="58" borderId="22" xfId="65" applyNumberFormat="1" applyFont="1" applyFill="1" applyBorder="1" applyAlignment="1" applyProtection="1">
      <alignment horizontal="center"/>
      <protection locked="0"/>
    </xf>
    <xf numFmtId="10" fontId="101" fillId="58" borderId="21" xfId="65" applyNumberFormat="1" applyFont="1" applyFill="1" applyBorder="1" applyAlignment="1" applyProtection="1">
      <alignment horizontal="center"/>
      <protection locked="0"/>
    </xf>
    <xf numFmtId="0" fontId="100" fillId="0" borderId="23" xfId="65" applyFont="1" applyBorder="1" applyAlignment="1">
      <alignment horizontal="center"/>
    </xf>
    <xf numFmtId="0" fontId="100" fillId="0" borderId="22" xfId="65" applyFont="1" applyBorder="1" applyAlignment="1">
      <alignment horizontal="center"/>
    </xf>
    <xf numFmtId="0" fontId="100" fillId="0" borderId="21" xfId="65" applyFont="1" applyBorder="1" applyAlignment="1">
      <alignment horizontal="center"/>
    </xf>
    <xf numFmtId="10" fontId="101" fillId="66" borderId="43" xfId="65" applyNumberFormat="1" applyFont="1" applyFill="1" applyBorder="1" applyAlignment="1">
      <alignment horizontal="center" vertical="center"/>
    </xf>
    <xf numFmtId="10" fontId="101" fillId="66" borderId="15" xfId="65" applyNumberFormat="1" applyFont="1" applyFill="1" applyBorder="1" applyAlignment="1">
      <alignment horizontal="center" vertical="center"/>
    </xf>
    <xf numFmtId="0" fontId="97" fillId="61" borderId="35" xfId="65" applyFont="1" applyFill="1" applyBorder="1" applyAlignment="1">
      <alignment horizontal="center" vertical="center" wrapText="1"/>
    </xf>
    <xf numFmtId="0" fontId="97" fillId="61" borderId="19" xfId="65" applyFont="1" applyFill="1" applyBorder="1" applyAlignment="1">
      <alignment horizontal="center" vertical="center" wrapText="1"/>
    </xf>
    <xf numFmtId="0" fontId="97" fillId="62" borderId="43" xfId="65" applyFont="1" applyFill="1" applyBorder="1" applyAlignment="1">
      <alignment horizontal="center" vertical="center" wrapText="1"/>
    </xf>
    <xf numFmtId="0" fontId="97" fillId="62" borderId="15" xfId="65" applyFont="1" applyFill="1" applyBorder="1" applyAlignment="1">
      <alignment horizontal="center" vertical="center" wrapText="1"/>
    </xf>
    <xf numFmtId="0" fontId="42" fillId="47" borderId="23" xfId="53" applyFont="1" applyFill="1" applyBorder="1" applyAlignment="1">
      <alignment horizontal="left"/>
    </xf>
    <xf numFmtId="0" fontId="42" fillId="47" borderId="21" xfId="53" applyFont="1" applyFill="1" applyBorder="1" applyAlignment="1">
      <alignment horizontal="left"/>
    </xf>
    <xf numFmtId="0" fontId="13" fillId="0" borderId="1" xfId="65" applyBorder="1" applyAlignment="1">
      <alignment horizontal="center"/>
    </xf>
    <xf numFmtId="0" fontId="97" fillId="42" borderId="43" xfId="65" applyFont="1" applyFill="1" applyBorder="1" applyAlignment="1">
      <alignment horizontal="center" vertical="center" wrapText="1"/>
    </xf>
    <xf numFmtId="0" fontId="97" fillId="42" borderId="66" xfId="65" applyFont="1" applyFill="1" applyBorder="1" applyAlignment="1">
      <alignment horizontal="center" vertical="center" wrapText="1"/>
    </xf>
    <xf numFmtId="0" fontId="97" fillId="42" borderId="20" xfId="65" applyFont="1" applyFill="1" applyBorder="1" applyAlignment="1">
      <alignment horizontal="center" vertical="center" wrapText="1"/>
    </xf>
    <xf numFmtId="0" fontId="97" fillId="59" borderId="43" xfId="65" applyFont="1" applyFill="1" applyBorder="1" applyAlignment="1">
      <alignment horizontal="center" vertical="center" wrapText="1"/>
    </xf>
    <xf numFmtId="0" fontId="97" fillId="59" borderId="66" xfId="65" applyFont="1" applyFill="1" applyBorder="1" applyAlignment="1">
      <alignment horizontal="center" vertical="center" wrapText="1"/>
    </xf>
    <xf numFmtId="0" fontId="127" fillId="86" borderId="1" xfId="67" applyFont="1" applyFill="1" applyBorder="1" applyAlignment="1">
      <alignment horizontal="center"/>
    </xf>
    <xf numFmtId="0" fontId="68" fillId="0" borderId="1" xfId="67" applyFont="1" applyBorder="1" applyAlignment="1">
      <alignment horizontal="center"/>
    </xf>
    <xf numFmtId="0" fontId="68" fillId="0" borderId="69" xfId="67" applyFont="1" applyBorder="1" applyAlignment="1">
      <alignment horizontal="center"/>
    </xf>
    <xf numFmtId="0" fontId="68" fillId="0" borderId="42" xfId="67" applyFont="1" applyBorder="1" applyAlignment="1">
      <alignment horizontal="center"/>
    </xf>
    <xf numFmtId="0" fontId="127" fillId="86" borderId="72" xfId="67" applyFont="1" applyFill="1" applyBorder="1" applyAlignment="1">
      <alignment horizontal="center"/>
    </xf>
    <xf numFmtId="0" fontId="68" fillId="81" borderId="1" xfId="67" applyFont="1" applyFill="1" applyBorder="1" applyAlignment="1">
      <alignment horizontal="center"/>
    </xf>
    <xf numFmtId="0" fontId="68" fillId="0" borderId="74" xfId="67" applyFont="1" applyBorder="1" applyAlignment="1">
      <alignment horizontal="center" vertical="center"/>
    </xf>
    <xf numFmtId="0" fontId="68" fillId="0" borderId="25" xfId="67" applyFont="1" applyBorder="1" applyAlignment="1">
      <alignment horizontal="center" vertical="center"/>
    </xf>
    <xf numFmtId="0" fontId="57" fillId="42" borderId="0" xfId="0" applyFont="1" applyFill="1" applyAlignment="1">
      <alignment horizontal="center"/>
    </xf>
    <xf numFmtId="0" fontId="57" fillId="84" borderId="0" xfId="0" applyFont="1" applyFill="1" applyAlignment="1">
      <alignment horizontal="center"/>
    </xf>
    <xf numFmtId="0" fontId="57" fillId="68" borderId="0" xfId="0" applyFont="1" applyFill="1" applyAlignment="1">
      <alignment horizontal="center"/>
    </xf>
    <xf numFmtId="0" fontId="57" fillId="85" borderId="0" xfId="0" applyFont="1" applyFill="1" applyAlignment="1">
      <alignment horizontal="center"/>
    </xf>
    <xf numFmtId="0" fontId="67" fillId="0" borderId="1" xfId="0" applyFont="1" applyBorder="1" applyAlignment="1">
      <alignment horizontal="center"/>
    </xf>
    <xf numFmtId="0" fontId="103" fillId="70" borderId="1" xfId="0" applyFont="1" applyFill="1" applyBorder="1" applyAlignment="1">
      <alignment horizontal="center"/>
    </xf>
    <xf numFmtId="0" fontId="29" fillId="58" borderId="1" xfId="53" applyFont="1" applyFill="1" applyBorder="1" applyAlignment="1">
      <alignment horizontal="center"/>
    </xf>
    <xf numFmtId="0" fontId="29" fillId="0" borderId="1" xfId="53" applyFont="1" applyBorder="1" applyAlignment="1">
      <alignment horizontal="right"/>
    </xf>
    <xf numFmtId="0" fontId="103" fillId="72" borderId="1" xfId="0" applyFont="1" applyFill="1" applyBorder="1" applyAlignment="1">
      <alignment horizontal="center"/>
    </xf>
    <xf numFmtId="0" fontId="103" fillId="62" borderId="1" xfId="0" applyFont="1" applyFill="1" applyBorder="1" applyAlignment="1">
      <alignment horizontal="center"/>
    </xf>
    <xf numFmtId="0" fontId="103" fillId="71" borderId="1" xfId="0" applyFont="1" applyFill="1" applyBorder="1" applyAlignment="1">
      <alignment horizontal="center"/>
    </xf>
    <xf numFmtId="0" fontId="103" fillId="42" borderId="1" xfId="0" applyFont="1" applyFill="1" applyBorder="1" applyAlignment="1">
      <alignment horizontal="center"/>
    </xf>
    <xf numFmtId="0" fontId="0" fillId="0" borderId="27" xfId="0" applyBorder="1" applyAlignment="1">
      <alignment horizontal="center"/>
    </xf>
    <xf numFmtId="0" fontId="0" fillId="0" borderId="42" xfId="0" applyBorder="1" applyAlignment="1">
      <alignment horizontal="center"/>
    </xf>
    <xf numFmtId="0" fontId="0" fillId="7" borderId="26" xfId="0" applyFill="1" applyBorder="1" applyAlignment="1">
      <alignment horizontal="center"/>
    </xf>
    <xf numFmtId="0" fontId="0" fillId="7" borderId="44" xfId="0" applyFill="1" applyBorder="1" applyAlignment="1">
      <alignment horizontal="center"/>
    </xf>
    <xf numFmtId="0" fontId="0" fillId="7" borderId="45" xfId="0" applyFill="1" applyBorder="1" applyAlignment="1">
      <alignment horizontal="center"/>
    </xf>
    <xf numFmtId="0" fontId="0" fillId="7" borderId="46" xfId="0" applyFill="1" applyBorder="1" applyAlignment="1">
      <alignment horizontal="center"/>
    </xf>
    <xf numFmtId="0" fontId="39" fillId="0" borderId="23" xfId="49" applyFont="1" applyBorder="1" applyAlignment="1">
      <alignment horizontal="center"/>
    </xf>
    <xf numFmtId="0" fontId="39" fillId="0" borderId="22" xfId="49" applyFont="1" applyBorder="1" applyAlignment="1">
      <alignment horizontal="center"/>
    </xf>
    <xf numFmtId="0" fontId="39" fillId="0" borderId="21" xfId="49" applyFont="1" applyBorder="1" applyAlignment="1">
      <alignment horizontal="center"/>
    </xf>
    <xf numFmtId="0" fontId="39" fillId="0" borderId="23" xfId="0" applyFont="1" applyBorder="1" applyAlignment="1">
      <alignment horizontal="center"/>
    </xf>
    <xf numFmtId="0" fontId="39" fillId="0" borderId="22" xfId="0" applyFont="1" applyBorder="1" applyAlignment="1">
      <alignment horizontal="center"/>
    </xf>
    <xf numFmtId="0" fontId="39" fillId="0" borderId="21" xfId="0" applyFont="1" applyBorder="1" applyAlignment="1">
      <alignment horizontal="center"/>
    </xf>
    <xf numFmtId="49" fontId="39" fillId="0" borderId="23" xfId="49" applyNumberFormat="1" applyFont="1" applyBorder="1" applyAlignment="1">
      <alignment horizontal="center"/>
    </xf>
    <xf numFmtId="3" fontId="28" fillId="0" borderId="23" xfId="49" applyNumberFormat="1" applyFont="1" applyBorder="1" applyAlignment="1">
      <alignment horizontal="center" vertical="center"/>
    </xf>
    <xf numFmtId="3" fontId="28" fillId="0" borderId="21" xfId="49" applyNumberFormat="1" applyFont="1" applyBorder="1" applyAlignment="1">
      <alignment horizontal="center" vertical="center"/>
    </xf>
    <xf numFmtId="0" fontId="29" fillId="0" borderId="19" xfId="49" applyFont="1" applyBorder="1" applyAlignment="1" applyProtection="1">
      <alignment horizontal="center"/>
      <protection locked="0"/>
    </xf>
    <xf numFmtId="0" fontId="43" fillId="0" borderId="30" xfId="54" applyFont="1" applyBorder="1" applyAlignment="1">
      <alignment horizontal="center" vertical="center"/>
    </xf>
    <xf numFmtId="0" fontId="43" fillId="0" borderId="34" xfId="54" applyFont="1" applyBorder="1" applyAlignment="1">
      <alignment horizontal="center" vertical="center"/>
    </xf>
    <xf numFmtId="0" fontId="43" fillId="0" borderId="35" xfId="54" applyFont="1" applyBorder="1" applyAlignment="1">
      <alignment horizontal="center" vertical="center"/>
    </xf>
    <xf numFmtId="0" fontId="43" fillId="0" borderId="2" xfId="54" applyFont="1" applyBorder="1" applyAlignment="1">
      <alignment horizontal="center" vertical="center"/>
    </xf>
    <xf numFmtId="0" fontId="43" fillId="0" borderId="0" xfId="54" applyFont="1" applyAlignment="1">
      <alignment horizontal="center" vertical="center"/>
    </xf>
    <xf numFmtId="0" fontId="43" fillId="0" borderId="20" xfId="54" applyFont="1" applyBorder="1" applyAlignment="1">
      <alignment horizontal="center" vertical="center"/>
    </xf>
    <xf numFmtId="0" fontId="43" fillId="0" borderId="24" xfId="54" applyFont="1" applyBorder="1" applyAlignment="1">
      <alignment horizontal="center" vertical="center"/>
    </xf>
    <xf numFmtId="0" fontId="43" fillId="0" borderId="19" xfId="54" applyFont="1" applyBorder="1" applyAlignment="1">
      <alignment horizontal="center" vertical="center"/>
    </xf>
    <xf numFmtId="0" fontId="43" fillId="0" borderId="13" xfId="54" applyFont="1" applyBorder="1" applyAlignment="1">
      <alignment horizontal="center" vertical="center"/>
    </xf>
  </cellXfs>
  <cellStyles count="7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2" xfId="28" xr:uid="{00000000-0005-0000-0000-00001B000000}"/>
    <cellStyle name="Comma 3" xfId="69" xr:uid="{CE22E72F-A62E-4759-9A8D-09F93B2A954B}"/>
    <cellStyle name="Comma0" xfId="29" xr:uid="{00000000-0005-0000-0000-00001C000000}"/>
    <cellStyle name="Comma0 2" xfId="30" xr:uid="{00000000-0005-0000-0000-00001D000000}"/>
    <cellStyle name="Currency 2" xfId="31" xr:uid="{00000000-0005-0000-0000-00001E000000}"/>
    <cellStyle name="Currency 2 2" xfId="32" xr:uid="{00000000-0005-0000-0000-00001F000000}"/>
    <cellStyle name="Currency0" xfId="33" xr:uid="{00000000-0005-0000-0000-000020000000}"/>
    <cellStyle name="Currency0 2" xfId="34" xr:uid="{00000000-0005-0000-0000-000021000000}"/>
    <cellStyle name="Date" xfId="35" xr:uid="{00000000-0005-0000-0000-000022000000}"/>
    <cellStyle name="Date 2" xfId="36" xr:uid="{00000000-0005-0000-0000-000023000000}"/>
    <cellStyle name="Explanatory Text 2" xfId="37" xr:uid="{00000000-0005-0000-0000-000024000000}"/>
    <cellStyle name="Fixed" xfId="38" xr:uid="{00000000-0005-0000-0000-000025000000}"/>
    <cellStyle name="Fixed 2" xfId="39" xr:uid="{00000000-0005-0000-0000-000026000000}"/>
    <cellStyle name="Good 2" xfId="40" xr:uid="{00000000-0005-0000-0000-000027000000}"/>
    <cellStyle name="Heading 1 2" xfId="41" xr:uid="{00000000-0005-0000-0000-000028000000}"/>
    <cellStyle name="Heading 2 2" xfId="42" xr:uid="{00000000-0005-0000-0000-000029000000}"/>
    <cellStyle name="Heading 3 2" xfId="43" xr:uid="{00000000-0005-0000-0000-00002A000000}"/>
    <cellStyle name="Heading 4 2" xfId="44" xr:uid="{00000000-0005-0000-0000-00002B000000}"/>
    <cellStyle name="Hyperlink" xfId="45" builtinId="8"/>
    <cellStyle name="Input 2" xfId="46" xr:uid="{00000000-0005-0000-0000-00002D000000}"/>
    <cellStyle name="Linked Cell 2" xfId="47" xr:uid="{00000000-0005-0000-0000-00002E000000}"/>
    <cellStyle name="Neutral 2" xfId="48" xr:uid="{00000000-0005-0000-0000-00002F000000}"/>
    <cellStyle name="Normal" xfId="0" builtinId="0"/>
    <cellStyle name="Normal 10" xfId="70" xr:uid="{0DE8B043-1DBA-4E23-B760-2703A80E5A80}"/>
    <cellStyle name="Normal 2" xfId="49" xr:uid="{00000000-0005-0000-0000-000031000000}"/>
    <cellStyle name="Normal 2 2" xfId="50" xr:uid="{00000000-0005-0000-0000-000032000000}"/>
    <cellStyle name="Normal 2 2 2" xfId="51" xr:uid="{00000000-0005-0000-0000-000033000000}"/>
    <cellStyle name="Normal 2 3" xfId="52" xr:uid="{00000000-0005-0000-0000-000034000000}"/>
    <cellStyle name="Normal 2 4" xfId="73" xr:uid="{0C61F9D2-3A09-48F5-A192-77B2DB780E41}"/>
    <cellStyle name="Normal 2 4 3" xfId="75" xr:uid="{EDFA3981-6A1B-402D-B2AB-C6C3E00F5A8C}"/>
    <cellStyle name="Normal 3" xfId="53" xr:uid="{00000000-0005-0000-0000-000035000000}"/>
    <cellStyle name="Normal 4" xfId="54" xr:uid="{00000000-0005-0000-0000-000036000000}"/>
    <cellStyle name="Normal 5" xfId="55" xr:uid="{00000000-0005-0000-0000-000037000000}"/>
    <cellStyle name="Normal 6" xfId="63" xr:uid="{00000000-0005-0000-0000-000038000000}"/>
    <cellStyle name="Normal 6 2" xfId="72" xr:uid="{BC8F3A4A-4550-4D8B-BCB4-F4DB541DA3DF}"/>
    <cellStyle name="Normal 7" xfId="65" xr:uid="{00000000-0005-0000-0000-000039000000}"/>
    <cellStyle name="Normal 8" xfId="66" xr:uid="{00000000-0005-0000-0000-00003A000000}"/>
    <cellStyle name="Normal 9" xfId="67" xr:uid="{A61B3915-39BF-4E5D-9FD4-AE871A021072}"/>
    <cellStyle name="Normal_RoadwayDepture" xfId="64" xr:uid="{00000000-0005-0000-0000-00003B000000}"/>
    <cellStyle name="Normal_Sheet1" xfId="56" xr:uid="{00000000-0005-0000-0000-00003C000000}"/>
    <cellStyle name="Note 2" xfId="57" xr:uid="{00000000-0005-0000-0000-00003D000000}"/>
    <cellStyle name="Output 2" xfId="58" xr:uid="{00000000-0005-0000-0000-00003E000000}"/>
    <cellStyle name="Percent" xfId="71" builtinId="5"/>
    <cellStyle name="Percent 2" xfId="59" xr:uid="{00000000-0005-0000-0000-00003F000000}"/>
    <cellStyle name="Percent 2 2" xfId="60" xr:uid="{00000000-0005-0000-0000-000040000000}"/>
    <cellStyle name="Percent 3" xfId="68" xr:uid="{9164F7AD-1AE4-4277-A020-C4AB898EA0FB}"/>
    <cellStyle name="Percent 4" xfId="74" xr:uid="{5B7FFE04-FEAC-4B26-AC98-271E87E7447B}"/>
    <cellStyle name="Total 2" xfId="61" xr:uid="{00000000-0005-0000-0000-000041000000}"/>
    <cellStyle name="Warning Text 2" xfId="62" xr:uid="{00000000-0005-0000-0000-000042000000}"/>
  </cellStyles>
  <dxfs count="410">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alignment horizontal="right" readingOrder="0"/>
    </dxf>
    <dxf>
      <border>
        <left style="medium">
          <color indexed="64"/>
        </left>
        <right style="medium">
          <color indexed="64"/>
        </right>
        <top style="medium">
          <color indexed="64"/>
        </top>
      </border>
    </dxf>
    <dxf>
      <alignment horizontal="center" readingOrder="0"/>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numFmt numFmtId="165" formatCode="0.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alignment horizontal="right"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right" readingOrder="0"/>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thick">
          <color indexed="64"/>
        </right>
        <top style="thick">
          <color indexed="64"/>
        </top>
        <bottom style="thick">
          <color indexed="64"/>
        </bottom>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b/>
      </font>
    </dxf>
    <dxf>
      <border>
        <left style="medium">
          <color indexed="64"/>
        </left>
        <right style="medium">
          <color indexed="64"/>
        </right>
        <top style="medium">
          <color indexed="64"/>
        </top>
      </border>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numFmt numFmtId="2" formatCode="0.0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3" formatCode="#,##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color auto="1"/>
      </font>
      <fill>
        <patternFill>
          <bgColor rgb="FFEDA0A8"/>
        </patternFill>
      </fill>
    </dxf>
    <dxf>
      <font>
        <color auto="1"/>
      </font>
      <fill>
        <patternFill>
          <bgColor rgb="FFEDA0A8"/>
        </patternFill>
      </fill>
    </dxf>
    <dxf>
      <font>
        <color auto="1"/>
      </font>
      <fill>
        <patternFill>
          <bgColor rgb="FFEDA0A8"/>
        </patternFill>
      </fill>
    </dxf>
    <dxf>
      <font>
        <color auto="1"/>
      </font>
      <fill>
        <patternFill>
          <bgColor rgb="FFEDA0A8"/>
        </patternFill>
      </fill>
    </dxf>
    <dxf>
      <font>
        <color auto="1"/>
      </font>
      <fill>
        <patternFill>
          <bgColor rgb="FFEDA0A8"/>
        </patternFill>
      </fill>
    </dxf>
    <dxf>
      <font>
        <color auto="1"/>
      </font>
      <fill>
        <patternFill>
          <bgColor rgb="FFEDA0A8"/>
        </patternFill>
      </fill>
    </dxf>
    <dxf>
      <font>
        <color auto="1"/>
      </font>
      <fill>
        <patternFill>
          <bgColor rgb="FFEDA0A8"/>
        </patternFill>
      </fill>
    </dxf>
    <dxf>
      <fill>
        <patternFill>
          <bgColor rgb="FFFFFF99"/>
        </patternFill>
      </fill>
    </dxf>
    <dxf>
      <fill>
        <patternFill>
          <bgColor rgb="FFFFFF99"/>
        </patternFill>
      </fill>
    </dxf>
    <dxf>
      <fill>
        <patternFill>
          <bgColor rgb="FFFFFF99"/>
        </patternFill>
      </fill>
    </dxf>
    <dxf>
      <numFmt numFmtId="3" formatCode="#,##0"/>
    </dxf>
    <dxf>
      <alignment horizontal="left" readingOrder="0"/>
    </dxf>
    <dxf>
      <font>
        <sz val="9"/>
      </font>
    </dxf>
    <dxf>
      <alignment horizontal="center" readingOrder="0"/>
    </dxf>
    <dxf>
      <alignment horizontal="center" readingOrder="0"/>
    </dxf>
    <dxf>
      <alignment horizontal="center" readingOrder="0"/>
    </dxf>
    <dxf>
      <numFmt numFmtId="3" formatCode="#,##0"/>
    </dxf>
    <dxf>
      <alignment horizontal="center" readingOrder="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alignment horizontal="center"/>
    </dxf>
    <dxf>
      <numFmt numFmtId="14" formatCode="0.00%"/>
    </dxf>
    <dxf>
      <numFmt numFmtId="3" formatCode="#,##0"/>
    </dxf>
    <dxf>
      <alignment horizontal="center" readingOrder="0"/>
    </dxf>
    <dxf>
      <alignment horizontal="center" readingOrder="0"/>
    </dxf>
    <dxf>
      <numFmt numFmtId="30" formatCode="@"/>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dxf>
    <dxf>
      <numFmt numFmtId="30" formatCode="@"/>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colors>
    <mruColors>
      <color rgb="FFEDA0A8"/>
      <color rgb="FFC12637"/>
      <color rgb="FF009969"/>
      <color rgb="FF0E3F75"/>
      <color rgb="FFD9D9D9"/>
      <color rgb="FF757575"/>
      <color rgb="FF3BC224"/>
      <color rgb="FF494529"/>
      <color rgb="FFFFCC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onnections" Target="connection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2.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200" b="0" i="0" u="none" strike="noStrike" kern="1200" spc="0" baseline="0">
                <a:solidFill>
                  <a:sysClr val="windowText" lastClr="000000"/>
                </a:solidFill>
                <a:latin typeface="+mn-lt"/>
                <a:ea typeface="+mn-ea"/>
                <a:cs typeface="+mn-cs"/>
              </a:defRPr>
            </a:pPr>
            <a:r>
              <a:rPr lang="en-US" sz="1200"/>
              <a:t>Total Crashes by Day in Week</a:t>
            </a:r>
          </a:p>
        </c:rich>
      </c:tx>
      <c:overlay val="0"/>
      <c:spPr>
        <a:noFill/>
        <a:ln>
          <a:noFill/>
        </a:ln>
        <a:effectLst/>
      </c:spPr>
      <c:txPr>
        <a:bodyPr rot="0" spcFirstLastPara="1" vertOverflow="ellipsis" vert="horz" wrap="square" anchor="ctr" anchorCtr="1"/>
        <a:lstStyle/>
        <a:p>
          <a:pPr algn="ctr" rtl="0">
            <a:defRPr lang="en-US" sz="12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accent1"/>
            </a:solidFill>
            <a:ln>
              <a:noFill/>
            </a:ln>
            <a:effectLst/>
          </c:spPr>
          <c:invertIfNegative val="0"/>
          <c:cat>
            <c:strLit>
              <c:ptCount val="1"/>
              <c:pt idx="0">
                <c:v>(blank)</c:v>
              </c:pt>
            </c:strLit>
          </c:cat>
          <c:val>
            <c:numLit>
              <c:formatCode>General</c:formatCode>
              <c:ptCount val="1"/>
              <c:pt idx="0">
                <c:v>250</c:v>
              </c:pt>
            </c:numLit>
          </c:val>
          <c:extLst>
            <c:ext xmlns:c16="http://schemas.microsoft.com/office/drawing/2014/chart" uri="{C3380CC4-5D6E-409C-BE32-E72D297353CC}">
              <c16:uniqueId val="{00000000-B5E9-4C48-B8F3-4657229326B5}"/>
            </c:ext>
          </c:extLst>
        </c:ser>
        <c:dLbls>
          <c:showLegendKey val="0"/>
          <c:showVal val="0"/>
          <c:showCatName val="0"/>
          <c:showSerName val="0"/>
          <c:showPercent val="0"/>
          <c:showBubbleSize val="0"/>
        </c:dLbls>
        <c:gapWidth val="182"/>
        <c:axId val="756553360"/>
        <c:axId val="756562216"/>
      </c:barChart>
      <c:catAx>
        <c:axId val="756553360"/>
        <c:scaling>
          <c:orientation val="minMax"/>
        </c:scaling>
        <c:delete val="0"/>
        <c:axPos val="l"/>
        <c:title>
          <c:tx>
            <c:rich>
              <a:bodyPr rot="-540000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r>
                  <a:rPr lang="en-US" sz="1100" b="0" i="0" u="none" strike="noStrike" kern="1200" baseline="0">
                    <a:solidFill>
                      <a:sysClr val="windowText" lastClr="000000"/>
                    </a:solidFill>
                    <a:latin typeface="+mn-lt"/>
                    <a:ea typeface="+mn-ea"/>
                    <a:cs typeface="+mn-cs"/>
                  </a:rPr>
                  <a:t>Day in Week</a:t>
                </a:r>
              </a:p>
            </c:rich>
          </c:tx>
          <c:overlay val="0"/>
          <c:spPr>
            <a:noFill/>
            <a:ln>
              <a:noFill/>
            </a:ln>
            <a:effectLst/>
          </c:spPr>
          <c:txPr>
            <a:bodyPr rot="-540000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100" b="0" i="0" u="none" strike="noStrike" kern="1200" baseline="0">
                <a:solidFill>
                  <a:sysClr val="windowText" lastClr="000000"/>
                </a:solidFill>
                <a:latin typeface="+mn-lt"/>
                <a:ea typeface="+mn-ea"/>
                <a:cs typeface="+mn-cs"/>
              </a:defRPr>
            </a:pPr>
            <a:endParaRPr lang="en-US"/>
          </a:p>
        </c:txPr>
        <c:crossAx val="756562216"/>
        <c:crosses val="autoZero"/>
        <c:auto val="1"/>
        <c:lblAlgn val="ctr"/>
        <c:lblOffset val="100"/>
        <c:noMultiLvlLbl val="0"/>
      </c:catAx>
      <c:valAx>
        <c:axId val="756562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r>
                  <a:rPr lang="en-US" sz="1100" b="0" i="0" u="none" strike="noStrike" kern="1200" baseline="0">
                    <a:solidFill>
                      <a:sysClr val="windowText" lastClr="000000"/>
                    </a:solidFill>
                    <a:latin typeface="+mn-lt"/>
                    <a:ea typeface="+mn-ea"/>
                    <a:cs typeface="+mn-cs"/>
                  </a:rPr>
                  <a:t>Crash Frequency</a:t>
                </a:r>
              </a:p>
            </c:rich>
          </c:tx>
          <c:overlay val="0"/>
          <c:spPr>
            <a:noFill/>
            <a:ln>
              <a:noFill/>
            </a:ln>
            <a:effectLst/>
          </c:spPr>
          <c:txPr>
            <a:bodyPr rot="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ysClr val="windowText" lastClr="000000"/>
                </a:solidFill>
                <a:latin typeface="+mn-lt"/>
                <a:ea typeface="+mn-ea"/>
                <a:cs typeface="+mn-cs"/>
              </a:defRPr>
            </a:pPr>
            <a:endParaRPr lang="en-US"/>
          </a:p>
        </c:txPr>
        <c:crossAx val="756553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en-US" sz="1100" b="0" i="0" u="none" strike="noStrike" kern="1200" baseline="0">
          <a:solidFill>
            <a:sysClr val="windowText" lastClr="000000"/>
          </a:solidFill>
          <a:latin typeface="+mn-lt"/>
          <a:ea typeface="+mn-ea"/>
          <a:cs typeface="+mn-cs"/>
        </a:defRPr>
      </a:pPr>
      <a:endParaRPr lang="en-US"/>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Analysis!Crash Location</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Crashes by Location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9198534558180226"/>
          <c:y val="0.17171296296296296"/>
          <c:w val="0.55406517935258093"/>
          <c:h val="0.62271617089530473"/>
        </c:manualLayout>
      </c:layout>
      <c:barChart>
        <c:barDir val="bar"/>
        <c:grouping val="clustered"/>
        <c:varyColors val="0"/>
        <c:ser>
          <c:idx val="0"/>
          <c:order val="0"/>
          <c:tx>
            <c:strRef>
              <c:f>'Crash Analysis'!$C$75</c:f>
              <c:strCache>
                <c:ptCount val="1"/>
                <c:pt idx="0">
                  <c:v>Total Crashes</c:v>
                </c:pt>
              </c:strCache>
            </c:strRef>
          </c:tx>
          <c:spPr>
            <a:solidFill>
              <a:schemeClr val="accent1"/>
            </a:solidFill>
            <a:ln>
              <a:noFill/>
            </a:ln>
            <a:effectLst/>
          </c:spPr>
          <c:invertIfNegative val="0"/>
          <c:cat>
            <c:strRef>
              <c:f>'Crash Analysis'!$B$76:$B$81</c:f>
              <c:strCache>
                <c:ptCount val="5"/>
                <c:pt idx="0">
                  <c:v>Driveway/Alley Access</c:v>
                </c:pt>
                <c:pt idx="1">
                  <c:v>Four-Way Intersection</c:v>
                </c:pt>
                <c:pt idx="2">
                  <c:v>Not An Intersection</c:v>
                </c:pt>
                <c:pt idx="3">
                  <c:v>T-Intersection</c:v>
                </c:pt>
                <c:pt idx="4">
                  <c:v>Traffic Circle/Roundabout</c:v>
                </c:pt>
              </c:strCache>
            </c:strRef>
          </c:cat>
          <c:val>
            <c:numRef>
              <c:f>'Crash Analysis'!$C$76:$C$81</c:f>
              <c:numCache>
                <c:formatCode>#,##0</c:formatCode>
                <c:ptCount val="5"/>
                <c:pt idx="0">
                  <c:v>2</c:v>
                </c:pt>
                <c:pt idx="1">
                  <c:v>93</c:v>
                </c:pt>
                <c:pt idx="2">
                  <c:v>165</c:v>
                </c:pt>
                <c:pt idx="3">
                  <c:v>43</c:v>
                </c:pt>
                <c:pt idx="4">
                  <c:v>4</c:v>
                </c:pt>
              </c:numCache>
            </c:numRef>
          </c:val>
          <c:extLst>
            <c:ext xmlns:c16="http://schemas.microsoft.com/office/drawing/2014/chart" uri="{C3380CC4-5D6E-409C-BE32-E72D297353CC}">
              <c16:uniqueId val="{00000000-0FDB-4D42-89E6-414DB2F31F9D}"/>
            </c:ext>
          </c:extLst>
        </c:ser>
        <c:ser>
          <c:idx val="1"/>
          <c:order val="1"/>
          <c:tx>
            <c:strRef>
              <c:f>'Crash Analysis'!$D$75</c:f>
              <c:strCache>
                <c:ptCount val="1"/>
                <c:pt idx="0">
                  <c:v>Fatalities </c:v>
                </c:pt>
              </c:strCache>
            </c:strRef>
          </c:tx>
          <c:spPr>
            <a:solidFill>
              <a:schemeClr val="accent2"/>
            </a:solidFill>
            <a:ln>
              <a:noFill/>
            </a:ln>
            <a:effectLst/>
          </c:spPr>
          <c:invertIfNegative val="0"/>
          <c:cat>
            <c:strRef>
              <c:f>'Crash Analysis'!$B$76:$B$81</c:f>
              <c:strCache>
                <c:ptCount val="5"/>
                <c:pt idx="0">
                  <c:v>Driveway/Alley Access</c:v>
                </c:pt>
                <c:pt idx="1">
                  <c:v>Four-Way Intersection</c:v>
                </c:pt>
                <c:pt idx="2">
                  <c:v>Not An Intersection</c:v>
                </c:pt>
                <c:pt idx="3">
                  <c:v>T-Intersection</c:v>
                </c:pt>
                <c:pt idx="4">
                  <c:v>Traffic Circle/Roundabout</c:v>
                </c:pt>
              </c:strCache>
            </c:strRef>
          </c:cat>
          <c:val>
            <c:numRef>
              <c:f>'Crash Analysis'!$D$76:$D$81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1-0FDB-4D42-89E6-414DB2F31F9D}"/>
            </c:ext>
          </c:extLst>
        </c:ser>
        <c:ser>
          <c:idx val="2"/>
          <c:order val="2"/>
          <c:tx>
            <c:strRef>
              <c:f>'Crash Analysis'!$E$75</c:f>
              <c:strCache>
                <c:ptCount val="1"/>
                <c:pt idx="0">
                  <c:v>Serious Injuries </c:v>
                </c:pt>
              </c:strCache>
            </c:strRef>
          </c:tx>
          <c:spPr>
            <a:solidFill>
              <a:schemeClr val="accent3"/>
            </a:solidFill>
            <a:ln>
              <a:noFill/>
            </a:ln>
            <a:effectLst/>
          </c:spPr>
          <c:invertIfNegative val="0"/>
          <c:cat>
            <c:strRef>
              <c:f>'Crash Analysis'!$B$76:$B$81</c:f>
              <c:strCache>
                <c:ptCount val="5"/>
                <c:pt idx="0">
                  <c:v>Driveway/Alley Access</c:v>
                </c:pt>
                <c:pt idx="1">
                  <c:v>Four-Way Intersection</c:v>
                </c:pt>
                <c:pt idx="2">
                  <c:v>Not An Intersection</c:v>
                </c:pt>
                <c:pt idx="3">
                  <c:v>T-Intersection</c:v>
                </c:pt>
                <c:pt idx="4">
                  <c:v>Traffic Circle/Roundabout</c:v>
                </c:pt>
              </c:strCache>
            </c:strRef>
          </c:cat>
          <c:val>
            <c:numRef>
              <c:f>'Crash Analysis'!$E$76:$E$81</c:f>
              <c:numCache>
                <c:formatCode>General</c:formatCode>
                <c:ptCount val="5"/>
                <c:pt idx="0">
                  <c:v>0</c:v>
                </c:pt>
                <c:pt idx="1">
                  <c:v>3</c:v>
                </c:pt>
                <c:pt idx="2">
                  <c:v>6</c:v>
                </c:pt>
                <c:pt idx="3">
                  <c:v>0</c:v>
                </c:pt>
                <c:pt idx="4">
                  <c:v>0</c:v>
                </c:pt>
              </c:numCache>
            </c:numRef>
          </c:val>
          <c:extLst>
            <c:ext xmlns:c16="http://schemas.microsoft.com/office/drawing/2014/chart" uri="{C3380CC4-5D6E-409C-BE32-E72D297353CC}">
              <c16:uniqueId val="{00000000-77FA-4025-B1C0-E746A82A1A0D}"/>
            </c:ext>
          </c:extLst>
        </c:ser>
        <c:dLbls>
          <c:showLegendKey val="0"/>
          <c:showVal val="0"/>
          <c:showCatName val="0"/>
          <c:showSerName val="0"/>
          <c:showPercent val="0"/>
          <c:showBubbleSize val="0"/>
        </c:dLbls>
        <c:gapWidth val="182"/>
        <c:axId val="756481200"/>
        <c:axId val="756489728"/>
      </c:barChart>
      <c:catAx>
        <c:axId val="756481200"/>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solidFill>
                      <a:sysClr val="windowText" lastClr="000000"/>
                    </a:solidFill>
                  </a:rPr>
                  <a:t>Crash Location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6489728"/>
        <c:crosses val="autoZero"/>
        <c:auto val="1"/>
        <c:lblAlgn val="ctr"/>
        <c:lblOffset val="100"/>
        <c:noMultiLvlLbl val="0"/>
      </c:catAx>
      <c:valAx>
        <c:axId val="7564897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solidFill>
                      <a:sysClr val="windowText" lastClr="000000"/>
                    </a:solidFill>
                  </a:rPr>
                  <a:t>Crash Frequency / Fatalities / Serious Injuries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6481200"/>
        <c:crosses val="autoZero"/>
        <c:crossBetween val="between"/>
      </c:valAx>
      <c:spPr>
        <a:noFill/>
        <a:ln>
          <a:noFill/>
        </a:ln>
        <a:effectLst/>
      </c:spPr>
    </c:plotArea>
    <c:legend>
      <c:legendPos val="r"/>
      <c:layout>
        <c:manualLayout>
          <c:xMode val="edge"/>
          <c:yMode val="edge"/>
          <c:x val="0.75038385826771659"/>
          <c:y val="0.10524205307669872"/>
          <c:w val="0.2148707229778096"/>
          <c:h val="0.227251182572680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Analysis!Roadway Contour</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Crashes by Road Contour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s>
    <c:plotArea>
      <c:layout/>
      <c:pieChart>
        <c:varyColors val="1"/>
        <c:ser>
          <c:idx val="0"/>
          <c:order val="0"/>
          <c:tx>
            <c:strRef>
              <c:f>'Crash Analysis'!$C$92</c:f>
              <c:strCache>
                <c:ptCount val="1"/>
                <c:pt idx="0">
                  <c:v>Total Crashes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707-474F-8910-FF231EAE65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707-474F-8910-FF231EAE65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707-474F-8910-FF231EAE650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423-456B-A35A-DDB1E47C0D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423-456B-A35A-DDB1E47C0DBA}"/>
              </c:ext>
            </c:extLst>
          </c:dPt>
          <c:cat>
            <c:strRef>
              <c:f>'Crash Analysis'!$B$93:$B$97</c:f>
              <c:strCache>
                <c:ptCount val="4"/>
                <c:pt idx="0">
                  <c:v>Straight Level</c:v>
                </c:pt>
                <c:pt idx="1">
                  <c:v>Straight Grade</c:v>
                </c:pt>
                <c:pt idx="2">
                  <c:v>Curve Level</c:v>
                </c:pt>
                <c:pt idx="3">
                  <c:v>Other / Unknown</c:v>
                </c:pt>
              </c:strCache>
            </c:strRef>
          </c:cat>
          <c:val>
            <c:numRef>
              <c:f>'Crash Analysis'!$C$93:$C$97</c:f>
              <c:numCache>
                <c:formatCode>#,##0</c:formatCode>
                <c:ptCount val="4"/>
                <c:pt idx="0">
                  <c:v>285</c:v>
                </c:pt>
                <c:pt idx="1">
                  <c:v>14</c:v>
                </c:pt>
                <c:pt idx="2">
                  <c:v>7</c:v>
                </c:pt>
                <c:pt idx="3">
                  <c:v>2</c:v>
                </c:pt>
              </c:numCache>
            </c:numRef>
          </c:val>
          <c:extLst>
            <c:ext xmlns:c16="http://schemas.microsoft.com/office/drawing/2014/chart" uri="{C3380CC4-5D6E-409C-BE32-E72D297353CC}">
              <c16:uniqueId val="{00000000-8B2C-4564-A487-30E402BC5C5A}"/>
            </c:ext>
          </c:extLst>
        </c:ser>
        <c:ser>
          <c:idx val="1"/>
          <c:order val="1"/>
          <c:tx>
            <c:strRef>
              <c:f>'Crash Analysis'!$D$92</c:f>
              <c:strCache>
                <c:ptCount val="1"/>
                <c:pt idx="0">
                  <c:v>Fatalities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B-1423-456B-A35A-DDB1E47C0D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1423-456B-A35A-DDB1E47C0D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1423-456B-A35A-DDB1E47C0D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1-1423-456B-A35A-DDB1E47C0D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1423-456B-A35A-DDB1E47C0DBA}"/>
              </c:ext>
            </c:extLst>
          </c:dPt>
          <c:cat>
            <c:strRef>
              <c:f>'Crash Analysis'!$B$93:$B$97</c:f>
              <c:strCache>
                <c:ptCount val="4"/>
                <c:pt idx="0">
                  <c:v>Straight Level</c:v>
                </c:pt>
                <c:pt idx="1">
                  <c:v>Straight Grade</c:v>
                </c:pt>
                <c:pt idx="2">
                  <c:v>Curve Level</c:v>
                </c:pt>
                <c:pt idx="3">
                  <c:v>Other / Unknown</c:v>
                </c:pt>
              </c:strCache>
            </c:strRef>
          </c:cat>
          <c:val>
            <c:numRef>
              <c:f>'Crash Analysis'!$D$93:$D$97</c:f>
              <c:numCache>
                <c:formatCode>General</c:formatCode>
                <c:ptCount val="4"/>
                <c:pt idx="0">
                  <c:v>0</c:v>
                </c:pt>
                <c:pt idx="1">
                  <c:v>1</c:v>
                </c:pt>
                <c:pt idx="2">
                  <c:v>0</c:v>
                </c:pt>
                <c:pt idx="3">
                  <c:v>0</c:v>
                </c:pt>
              </c:numCache>
            </c:numRef>
          </c:val>
          <c:extLst>
            <c:ext xmlns:c16="http://schemas.microsoft.com/office/drawing/2014/chart" uri="{C3380CC4-5D6E-409C-BE32-E72D297353CC}">
              <c16:uniqueId val="{00000014-C996-44C1-A205-164EFAED46D6}"/>
            </c:ext>
          </c:extLst>
        </c:ser>
        <c:ser>
          <c:idx val="2"/>
          <c:order val="2"/>
          <c:tx>
            <c:strRef>
              <c:f>'Crash Analysis'!$E$92</c:f>
              <c:strCache>
                <c:ptCount val="1"/>
                <c:pt idx="0">
                  <c:v>Serious Injuries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1423-456B-A35A-DDB1E47C0D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1423-456B-A35A-DDB1E47C0D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9-1423-456B-A35A-DDB1E47C0D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B-1423-456B-A35A-DDB1E47C0D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D-1423-456B-A35A-DDB1E47C0DBA}"/>
              </c:ext>
            </c:extLst>
          </c:dPt>
          <c:cat>
            <c:strRef>
              <c:f>'Crash Analysis'!$B$93:$B$97</c:f>
              <c:strCache>
                <c:ptCount val="4"/>
                <c:pt idx="0">
                  <c:v>Straight Level</c:v>
                </c:pt>
                <c:pt idx="1">
                  <c:v>Straight Grade</c:v>
                </c:pt>
                <c:pt idx="2">
                  <c:v>Curve Level</c:v>
                </c:pt>
                <c:pt idx="3">
                  <c:v>Other / Unknown</c:v>
                </c:pt>
              </c:strCache>
            </c:strRef>
          </c:cat>
          <c:val>
            <c:numRef>
              <c:f>'Crash Analysis'!$E$93:$E$97</c:f>
              <c:numCache>
                <c:formatCode>General</c:formatCode>
                <c:ptCount val="4"/>
                <c:pt idx="0">
                  <c:v>7</c:v>
                </c:pt>
                <c:pt idx="1">
                  <c:v>2</c:v>
                </c:pt>
                <c:pt idx="2">
                  <c:v>0</c:v>
                </c:pt>
                <c:pt idx="3">
                  <c:v>0</c:v>
                </c:pt>
              </c:numCache>
            </c:numRef>
          </c:val>
          <c:extLst>
            <c:ext xmlns:c16="http://schemas.microsoft.com/office/drawing/2014/chart" uri="{C3380CC4-5D6E-409C-BE32-E72D297353CC}">
              <c16:uniqueId val="{00000015-C996-44C1-A205-164EFAED46D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E3F75"/>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PerformanceMeasures!$AK$8</c:f>
          <c:strCache>
            <c:ptCount val="1"/>
            <c:pt idx="0">
              <c:v>Fatalities Target Setting</c:v>
            </c:pt>
          </c:strCache>
        </c:strRef>
      </c:tx>
      <c:layout>
        <c:manualLayout>
          <c:xMode val="edge"/>
          <c:yMode val="edge"/>
          <c:x val="2.5996416739654211E-2"/>
          <c:y val="2.5324783257522972E-2"/>
        </c:manualLayout>
      </c:layout>
      <c:overlay val="0"/>
      <c:txPr>
        <a:bodyPr/>
        <a:lstStyle/>
        <a:p>
          <a:pPr>
            <a:defRPr>
              <a:latin typeface="David" pitchFamily="34" charset="-79"/>
              <a:cs typeface="David" pitchFamily="34" charset="-79"/>
            </a:defRPr>
          </a:pPr>
          <a:endParaRPr lang="en-US"/>
        </a:p>
      </c:txPr>
    </c:title>
    <c:autoTitleDeleted val="0"/>
    <c:plotArea>
      <c:layout>
        <c:manualLayout>
          <c:layoutTarget val="inner"/>
          <c:xMode val="edge"/>
          <c:yMode val="edge"/>
          <c:x val="9.4560786402283853E-2"/>
          <c:y val="0.11198285843012139"/>
          <c:w val="0.86713857451872434"/>
          <c:h val="0.58527108344953815"/>
        </c:manualLayout>
      </c:layout>
      <c:scatterChart>
        <c:scatterStyle val="smoothMarker"/>
        <c:varyColors val="0"/>
        <c:ser>
          <c:idx val="1"/>
          <c:order val="0"/>
          <c:tx>
            <c:strRef>
              <c:f>PerformanceMeasures!$AK$9</c:f>
              <c:strCache>
                <c:ptCount val="1"/>
                <c:pt idx="0">
                  <c:v>Number of Fatalities  (2015 - 2025)</c:v>
                </c:pt>
              </c:strCache>
            </c:strRef>
          </c:tx>
          <c:spPr>
            <a:ln>
              <a:solidFill>
                <a:srgbClr val="00B050"/>
              </a:solidFill>
            </a:ln>
          </c:spPr>
          <c:marker>
            <c:spPr>
              <a:solidFill>
                <a:srgbClr val="00B050"/>
              </a:solidFill>
              <a:ln>
                <a:solidFill>
                  <a:srgbClr val="00B050"/>
                </a:solidFill>
              </a:ln>
            </c:spPr>
          </c:marker>
          <c:trendline>
            <c:spPr>
              <a:ln>
                <a:prstDash val="dash"/>
              </a:ln>
            </c:spPr>
            <c:trendlineType val="linear"/>
            <c:dispRSqr val="0"/>
            <c:dispEq val="0"/>
          </c:trendline>
          <c:xVal>
            <c:numRef>
              <c:f>PerformanceMeasures!$AD$7:$AD$17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xVal>
          <c:yVal>
            <c:numRef>
              <c:f>PerformanceMeasures!$AG$7:$AG$17</c:f>
              <c:numCache>
                <c:formatCode>#,##0.000</c:formatCode>
                <c:ptCount val="11"/>
                <c:pt idx="0">
                  <c:v>0</c:v>
                </c:pt>
                <c:pt idx="1">
                  <c:v>0</c:v>
                </c:pt>
                <c:pt idx="2">
                  <c:v>0</c:v>
                </c:pt>
                <c:pt idx="3">
                  <c:v>0</c:v>
                </c:pt>
                <c:pt idx="4">
                  <c:v>0</c:v>
                </c:pt>
                <c:pt idx="5">
                  <c:v>0</c:v>
                </c:pt>
                <c:pt idx="6">
                  <c:v>0</c:v>
                </c:pt>
                <c:pt idx="7">
                  <c:v>0</c:v>
                </c:pt>
                <c:pt idx="8">
                  <c:v>1</c:v>
                </c:pt>
                <c:pt idx="9">
                  <c:v>0</c:v>
                </c:pt>
                <c:pt idx="10">
                  <c:v>0</c:v>
                </c:pt>
              </c:numCache>
            </c:numRef>
          </c:yVal>
          <c:smooth val="1"/>
          <c:extLst>
            <c:ext xmlns:c16="http://schemas.microsoft.com/office/drawing/2014/chart" uri="{C3380CC4-5D6E-409C-BE32-E72D297353CC}">
              <c16:uniqueId val="{00000001-72E0-4D74-BAC6-808312F9B9A6}"/>
            </c:ext>
          </c:extLst>
        </c:ser>
        <c:ser>
          <c:idx val="0"/>
          <c:order val="1"/>
          <c:tx>
            <c:strRef>
              <c:f>PerformanceMeasures!$AK$10</c:f>
              <c:strCache>
                <c:ptCount val="1"/>
                <c:pt idx="0">
                  <c:v>Prediction Based on Historical Trend Line</c:v>
                </c:pt>
              </c:strCache>
            </c:strRef>
          </c:tx>
          <c:spPr>
            <a:ln>
              <a:solidFill>
                <a:schemeClr val="accent4">
                  <a:lumMod val="60000"/>
                  <a:lumOff val="40000"/>
                </a:schemeClr>
              </a:solidFill>
            </a:ln>
          </c:spPr>
          <c:marker>
            <c:spPr>
              <a:solidFill>
                <a:schemeClr val="accent4">
                  <a:lumMod val="60000"/>
                  <a:lumOff val="40000"/>
                </a:schemeClr>
              </a:solidFill>
              <a:ln>
                <a:solidFill>
                  <a:schemeClr val="accent4">
                    <a:lumMod val="60000"/>
                    <a:lumOff val="40000"/>
                  </a:schemeClr>
                </a:solidFill>
              </a:ln>
            </c:spPr>
          </c:marker>
          <c:xVal>
            <c:numRef>
              <c:f>PerformanceMeasures!$AD$17:$AD$37</c:f>
              <c:numCache>
                <c:formatCode>General</c:formatCode>
                <c:ptCount val="2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numCache>
            </c:numRef>
          </c:xVal>
          <c:yVal>
            <c:numRef>
              <c:f>PerformanceMeasures!$AG$17:$AG$37</c:f>
              <c:numCache>
                <c:formatCode>#,##0.000</c:formatCode>
                <c:ptCount val="21"/>
                <c:pt idx="0">
                  <c:v>0</c:v>
                </c:pt>
                <c:pt idx="1">
                  <c:v>0.255</c:v>
                </c:pt>
                <c:pt idx="2">
                  <c:v>0.28199999999999997</c:v>
                </c:pt>
                <c:pt idx="3">
                  <c:v>0.309</c:v>
                </c:pt>
                <c:pt idx="4">
                  <c:v>0.33600000000000002</c:v>
                </c:pt>
                <c:pt idx="5">
                  <c:v>0.36399999999999999</c:v>
                </c:pt>
                <c:pt idx="6">
                  <c:v>0.39100000000000001</c:v>
                </c:pt>
                <c:pt idx="7">
                  <c:v>0.41799999999999998</c:v>
                </c:pt>
                <c:pt idx="8">
                  <c:v>0.44500000000000001</c:v>
                </c:pt>
                <c:pt idx="9">
                  <c:v>0.47299999999999998</c:v>
                </c:pt>
                <c:pt idx="10">
                  <c:v>0.5</c:v>
                </c:pt>
                <c:pt idx="11">
                  <c:v>0.52700000000000002</c:v>
                </c:pt>
                <c:pt idx="12">
                  <c:v>0.55500000000000005</c:v>
                </c:pt>
                <c:pt idx="13">
                  <c:v>0.58199999999999996</c:v>
                </c:pt>
                <c:pt idx="14">
                  <c:v>0.60899999999999999</c:v>
                </c:pt>
                <c:pt idx="15">
                  <c:v>0.63600000000000001</c:v>
                </c:pt>
                <c:pt idx="16">
                  <c:v>0.66400000000000003</c:v>
                </c:pt>
                <c:pt idx="17">
                  <c:v>0.69099999999999995</c:v>
                </c:pt>
                <c:pt idx="18">
                  <c:v>0.71799999999999997</c:v>
                </c:pt>
                <c:pt idx="19">
                  <c:v>0.745</c:v>
                </c:pt>
                <c:pt idx="20">
                  <c:v>0.77300000000000002</c:v>
                </c:pt>
              </c:numCache>
            </c:numRef>
          </c:yVal>
          <c:smooth val="1"/>
          <c:extLst>
            <c:ext xmlns:c16="http://schemas.microsoft.com/office/drawing/2014/chart" uri="{C3380CC4-5D6E-409C-BE32-E72D297353CC}">
              <c16:uniqueId val="{00000002-72E0-4D74-BAC6-808312F9B9A6}"/>
            </c:ext>
          </c:extLst>
        </c:ser>
        <c:ser>
          <c:idx val="4"/>
          <c:order val="2"/>
          <c:tx>
            <c:strRef>
              <c:f>PerformanceMeasures!$AK$11</c:f>
              <c:strCache>
                <c:ptCount val="1"/>
                <c:pt idx="0">
                  <c:v>Five Year Rolling Average - Fatalities  (2015 - 2025)</c:v>
                </c:pt>
              </c:strCache>
            </c:strRef>
          </c:tx>
          <c:trendline>
            <c:trendlineType val="linear"/>
            <c:dispRSqr val="0"/>
            <c:dispEq val="0"/>
          </c:trendline>
          <c:xVal>
            <c:numRef>
              <c:f>PerformanceMeasures!$AD$11:$AD$17</c:f>
              <c:numCache>
                <c:formatCode>General</c:formatCode>
                <c:ptCount val="7"/>
                <c:pt idx="0">
                  <c:v>2019</c:v>
                </c:pt>
                <c:pt idx="1">
                  <c:v>2020</c:v>
                </c:pt>
                <c:pt idx="2">
                  <c:v>2021</c:v>
                </c:pt>
                <c:pt idx="3">
                  <c:v>2022</c:v>
                </c:pt>
                <c:pt idx="4">
                  <c:v>2023</c:v>
                </c:pt>
                <c:pt idx="5">
                  <c:v>2024</c:v>
                </c:pt>
                <c:pt idx="6">
                  <c:v>2025</c:v>
                </c:pt>
              </c:numCache>
            </c:numRef>
          </c:xVal>
          <c:yVal>
            <c:numRef>
              <c:f>PerformanceMeasures!$AH$11:$AH$17</c:f>
              <c:numCache>
                <c:formatCode>#,##0.000</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04-72E0-4D74-BAC6-808312F9B9A6}"/>
            </c:ext>
          </c:extLst>
        </c:ser>
        <c:ser>
          <c:idx val="3"/>
          <c:order val="3"/>
          <c:tx>
            <c:strRef>
              <c:f>PerformanceMeasures!$AO$8</c:f>
              <c:strCache>
                <c:ptCount val="1"/>
              </c:strCache>
            </c:strRef>
          </c:tx>
          <c:spPr>
            <a:ln>
              <a:solidFill>
                <a:srgbClr val="33CC33"/>
              </a:solidFill>
            </a:ln>
          </c:spPr>
          <c:marker>
            <c:spPr>
              <a:ln>
                <a:solidFill>
                  <a:srgbClr val="33CC33"/>
                </a:solidFill>
              </a:ln>
            </c:spPr>
          </c:marker>
          <c:xVal>
            <c:numRef>
              <c:f>PerformanceMeasures!$AD$17:$AD$37</c:f>
              <c:numCache>
                <c:formatCode>General</c:formatCode>
                <c:ptCount val="2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numCache>
            </c:numRef>
          </c:xVal>
          <c:yVal>
            <c:numRef>
              <c:f>(PerformanceMeasures!$AH$17,PerformanceMeasures!$AJ$18:$AJ$37)</c:f>
              <c:numCache>
                <c:formatCode>#,##0.000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1"/>
          <c:extLst>
            <c:ext xmlns:c16="http://schemas.microsoft.com/office/drawing/2014/chart" uri="{C3380CC4-5D6E-409C-BE32-E72D297353CC}">
              <c16:uniqueId val="{00000005-72E0-4D74-BAC6-808312F9B9A6}"/>
            </c:ext>
          </c:extLst>
        </c:ser>
        <c:ser>
          <c:idx val="5"/>
          <c:order val="4"/>
          <c:tx>
            <c:strRef>
              <c:f>PerformanceMeasures!$AO$9</c:f>
              <c:strCache>
                <c:ptCount val="1"/>
              </c:strCache>
            </c:strRef>
          </c:tx>
          <c:xVal>
            <c:numRef>
              <c:f>PerformanceMeasures!$AD$17:$AD$37</c:f>
              <c:numCache>
                <c:formatCode>General</c:formatCode>
                <c:ptCount val="2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numCache>
            </c:numRef>
          </c:xVal>
          <c:yVal>
            <c:numRef>
              <c:f>(PerformanceMeasures!$AH$17,PerformanceMeasures!$AK$18:$AK$37)</c:f>
              <c:numCache>
                <c:formatCode>#,##0.000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1"/>
          <c:extLst>
            <c:ext xmlns:c16="http://schemas.microsoft.com/office/drawing/2014/chart" uri="{C3380CC4-5D6E-409C-BE32-E72D297353CC}">
              <c16:uniqueId val="{00000006-72E0-4D74-BAC6-808312F9B9A6}"/>
            </c:ext>
          </c:extLst>
        </c:ser>
        <c:ser>
          <c:idx val="6"/>
          <c:order val="5"/>
          <c:tx>
            <c:strRef>
              <c:f>PerformanceMeasures!$AO$10</c:f>
              <c:strCache>
                <c:ptCount val="1"/>
              </c:strCache>
            </c:strRef>
          </c:tx>
          <c:xVal>
            <c:numRef>
              <c:f>PerformanceMeasures!$AD$17:$AD$37</c:f>
              <c:numCache>
                <c:formatCode>General</c:formatCode>
                <c:ptCount val="2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numCache>
            </c:numRef>
          </c:xVal>
          <c:yVal>
            <c:numRef>
              <c:f>(PerformanceMeasures!$AH$17,PerformanceMeasures!$AL$18:$AL$37)</c:f>
              <c:numCache>
                <c:formatCode>#,##0.000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1"/>
          <c:extLst>
            <c:ext xmlns:c16="http://schemas.microsoft.com/office/drawing/2014/chart" uri="{C3380CC4-5D6E-409C-BE32-E72D297353CC}">
              <c16:uniqueId val="{00000007-72E0-4D74-BAC6-808312F9B9A6}"/>
            </c:ext>
          </c:extLst>
        </c:ser>
        <c:ser>
          <c:idx val="7"/>
          <c:order val="6"/>
          <c:tx>
            <c:strRef>
              <c:f>PerformanceMeasures!$AO$11</c:f>
              <c:strCache>
                <c:ptCount val="1"/>
              </c:strCache>
            </c:strRef>
          </c:tx>
          <c:xVal>
            <c:numRef>
              <c:f>PerformanceMeasures!$AD$17:$AD$37</c:f>
              <c:numCache>
                <c:formatCode>General</c:formatCode>
                <c:ptCount val="2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numCache>
            </c:numRef>
          </c:xVal>
          <c:yVal>
            <c:numRef>
              <c:f>(PerformanceMeasures!$AH$17,PerformanceMeasures!$AM$18:$AM$37)</c:f>
              <c:numCache>
                <c:formatCode>#,##0.000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1"/>
          <c:extLst>
            <c:ext xmlns:c16="http://schemas.microsoft.com/office/drawing/2014/chart" uri="{C3380CC4-5D6E-409C-BE32-E72D297353CC}">
              <c16:uniqueId val="{00000008-72E0-4D74-BAC6-808312F9B9A6}"/>
            </c:ext>
          </c:extLst>
        </c:ser>
        <c:ser>
          <c:idx val="8"/>
          <c:order val="7"/>
          <c:tx>
            <c:strRef>
              <c:f>PerformanceMeasures!$AO$12</c:f>
              <c:strCache>
                <c:ptCount val="1"/>
                <c:pt idx="0">
                  <c:v>Towards Zero Goal</c:v>
                </c:pt>
              </c:strCache>
            </c:strRef>
          </c:tx>
          <c:xVal>
            <c:numRef>
              <c:f>PerformanceMeasures!$AD$17:$AD$37</c:f>
              <c:numCache>
                <c:formatCode>General</c:formatCode>
                <c:ptCount val="21"/>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numCache>
            </c:numRef>
          </c:xVal>
          <c:yVal>
            <c:numRef>
              <c:f>(PerformanceMeasures!$AH$17,PerformanceMeasures!$AN$18:$AN$37)</c:f>
              <c:numCache>
                <c:formatCode>#,##0.000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1"/>
          <c:extLst>
            <c:ext xmlns:c16="http://schemas.microsoft.com/office/drawing/2014/chart" uri="{C3380CC4-5D6E-409C-BE32-E72D297353CC}">
              <c16:uniqueId val="{00000009-72E0-4D74-BAC6-808312F9B9A6}"/>
            </c:ext>
          </c:extLst>
        </c:ser>
        <c:dLbls>
          <c:showLegendKey val="0"/>
          <c:showVal val="0"/>
          <c:showCatName val="0"/>
          <c:showSerName val="0"/>
          <c:showPercent val="0"/>
          <c:showBubbleSize val="0"/>
        </c:dLbls>
        <c:axId val="331653608"/>
        <c:axId val="331654000"/>
      </c:scatterChart>
      <c:valAx>
        <c:axId val="331653608"/>
        <c:scaling>
          <c:orientation val="minMax"/>
          <c:max val="2040"/>
          <c:min val="2005"/>
        </c:scaling>
        <c:delete val="0"/>
        <c:axPos val="b"/>
        <c:title>
          <c:tx>
            <c:rich>
              <a:bodyPr/>
              <a:lstStyle/>
              <a:p>
                <a:pPr>
                  <a:defRPr sz="1600">
                    <a:latin typeface="David" pitchFamily="34" charset="-79"/>
                    <a:cs typeface="David" pitchFamily="34" charset="-79"/>
                  </a:defRPr>
                </a:pPr>
                <a:r>
                  <a:rPr lang="en-US" sz="1600">
                    <a:latin typeface="David" pitchFamily="34" charset="-79"/>
                    <a:cs typeface="David" pitchFamily="34" charset="-79"/>
                  </a:rPr>
                  <a:t>Year</a:t>
                </a:r>
              </a:p>
            </c:rich>
          </c:tx>
          <c:layout>
            <c:manualLayout>
              <c:xMode val="edge"/>
              <c:yMode val="edge"/>
              <c:x val="0.50537876420625261"/>
              <c:y val="0.7311095762327906"/>
            </c:manualLayout>
          </c:layout>
          <c:overlay val="0"/>
        </c:title>
        <c:numFmt formatCode="General" sourceLinked="1"/>
        <c:majorTickMark val="none"/>
        <c:minorTickMark val="none"/>
        <c:tickLblPos val="nextTo"/>
        <c:crossAx val="331654000"/>
        <c:crosses val="autoZero"/>
        <c:crossBetween val="midCat"/>
      </c:valAx>
      <c:valAx>
        <c:axId val="331654000"/>
        <c:scaling>
          <c:orientation val="minMax"/>
        </c:scaling>
        <c:delete val="0"/>
        <c:axPos val="l"/>
        <c:majorGridlines/>
        <c:title>
          <c:tx>
            <c:rich>
              <a:bodyPr/>
              <a:lstStyle/>
              <a:p>
                <a:pPr>
                  <a:defRPr sz="1600">
                    <a:latin typeface="David" pitchFamily="34" charset="-79"/>
                    <a:cs typeface="David" pitchFamily="34" charset="-79"/>
                  </a:defRPr>
                </a:pPr>
                <a:r>
                  <a:rPr lang="en-US" sz="1600">
                    <a:latin typeface="David" pitchFamily="34" charset="-79"/>
                    <a:cs typeface="David" pitchFamily="34" charset="-79"/>
                  </a:rPr>
                  <a:t>Fatalities</a:t>
                </a:r>
              </a:p>
            </c:rich>
          </c:tx>
          <c:layout>
            <c:manualLayout>
              <c:xMode val="edge"/>
              <c:yMode val="edge"/>
              <c:x val="8.2170846309359055E-3"/>
              <c:y val="0.34162689268881002"/>
            </c:manualLayout>
          </c:layout>
          <c:overlay val="0"/>
        </c:title>
        <c:numFmt formatCode="#,##0.000" sourceLinked="1"/>
        <c:majorTickMark val="none"/>
        <c:minorTickMark val="none"/>
        <c:tickLblPos val="nextTo"/>
        <c:crossAx val="331653608"/>
        <c:crossesAt val="2000"/>
        <c:crossBetween val="midCat"/>
      </c:valAx>
      <c:spPr>
        <a:solidFill>
          <a:schemeClr val="accent1">
            <a:lumMod val="75000"/>
          </a:schemeClr>
        </a:solidFill>
        <a:ln>
          <a:solidFill>
            <a:schemeClr val="accent6">
              <a:lumMod val="60000"/>
              <a:lumOff val="40000"/>
            </a:schemeClr>
          </a:solidFill>
        </a:ln>
      </c:spPr>
    </c:plotArea>
    <c:legend>
      <c:legendPos val="r"/>
      <c:layout>
        <c:manualLayout>
          <c:xMode val="edge"/>
          <c:yMode val="edge"/>
          <c:x val="3.4302794835798359E-2"/>
          <c:y val="0.76539030358684457"/>
          <c:w val="0.94551390226745802"/>
          <c:h val="0.22868150744768811"/>
        </c:manualLayout>
      </c:layout>
      <c:overlay val="0"/>
      <c:spPr>
        <a:solidFill>
          <a:schemeClr val="accent2">
            <a:lumMod val="40000"/>
            <a:lumOff val="60000"/>
          </a:schemeClr>
        </a:solidFill>
        <a:ln>
          <a:solidFill>
            <a:schemeClr val="tx1"/>
          </a:solidFill>
        </a:ln>
        <a:effectLst>
          <a:outerShdw blurRad="50800" dist="50800" dir="5400000" algn="ctr" rotWithShape="0">
            <a:schemeClr val="bg1"/>
          </a:outerShdw>
        </a:effectLst>
      </c:spPr>
    </c:legend>
    <c:plotVisOnly val="1"/>
    <c:dispBlanksAs val="gap"/>
    <c:showDLblsOverMax val="0"/>
  </c:chart>
  <c:spPr>
    <a:solidFill>
      <a:schemeClr val="accent1">
        <a:lumMod val="20000"/>
        <a:lumOff val="80000"/>
      </a:schemeClr>
    </a:solidFill>
  </c:spPr>
  <c:printSettings>
    <c:headerFooter/>
    <c:pageMargins b="0.75" l="0.7" r="0.7" t="0.75"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PerformanceMeasures!$AK$8</c:f>
          <c:strCache>
            <c:ptCount val="1"/>
            <c:pt idx="0">
              <c:v>Fatalities Target Setting</c:v>
            </c:pt>
          </c:strCache>
        </c:strRef>
      </c:tx>
      <c:layout>
        <c:manualLayout>
          <c:xMode val="edge"/>
          <c:yMode val="edge"/>
          <c:x val="2.5996416739654211E-2"/>
          <c:y val="2.5324783257522972E-2"/>
        </c:manualLayout>
      </c:layout>
      <c:overlay val="0"/>
      <c:txPr>
        <a:bodyPr/>
        <a:lstStyle/>
        <a:p>
          <a:pPr>
            <a:defRPr>
              <a:latin typeface="David" pitchFamily="34" charset="-79"/>
              <a:cs typeface="David" pitchFamily="34" charset="-79"/>
            </a:defRPr>
          </a:pPr>
          <a:endParaRPr lang="en-US"/>
        </a:p>
      </c:txPr>
    </c:title>
    <c:autoTitleDeleted val="0"/>
    <c:plotArea>
      <c:layout>
        <c:manualLayout>
          <c:layoutTarget val="inner"/>
          <c:xMode val="edge"/>
          <c:yMode val="edge"/>
          <c:x val="9.4560786402283853E-2"/>
          <c:y val="0.11198285843012139"/>
          <c:w val="0.86713857451872434"/>
          <c:h val="0.58527108344953815"/>
        </c:manualLayout>
      </c:layout>
      <c:scatterChart>
        <c:scatterStyle val="smoothMarker"/>
        <c:varyColors val="0"/>
        <c:ser>
          <c:idx val="1"/>
          <c:order val="0"/>
          <c:tx>
            <c:strRef>
              <c:f>PerformanceMeasures!$AK$9</c:f>
              <c:strCache>
                <c:ptCount val="1"/>
                <c:pt idx="0">
                  <c:v>Number of Fatalities  (2015 - 2025)</c:v>
                </c:pt>
              </c:strCache>
            </c:strRef>
          </c:tx>
          <c:spPr>
            <a:ln>
              <a:solidFill>
                <a:srgbClr val="00B050"/>
              </a:solidFill>
            </a:ln>
          </c:spPr>
          <c:marker>
            <c:spPr>
              <a:solidFill>
                <a:srgbClr val="00B050"/>
              </a:solidFill>
              <a:ln>
                <a:solidFill>
                  <a:srgbClr val="00B050"/>
                </a:solidFill>
              </a:ln>
            </c:spPr>
          </c:marker>
          <c:dLbls>
            <c:spPr>
              <a:noFill/>
              <a:ln>
                <a:noFill/>
              </a:ln>
              <a:effectLst/>
            </c:spPr>
            <c:txPr>
              <a:bodyPr rot="0" vert="horz" wrap="square" lIns="38100" tIns="19050" rIns="38100" bIns="19050" anchor="t" anchorCtr="1">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spPr>
              <a:ln>
                <a:prstDash val="dash"/>
              </a:ln>
            </c:spPr>
            <c:trendlineType val="linear"/>
            <c:dispRSqr val="0"/>
            <c:dispEq val="0"/>
          </c:trendline>
          <c:xVal>
            <c:numRef>
              <c:f>PerformanceMeasures!$AD$7:$AD$17</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xVal>
          <c:yVal>
            <c:numRef>
              <c:f>PerformanceMeasures!$AG$7:$AG$17</c:f>
              <c:numCache>
                <c:formatCode>#,##0.000</c:formatCode>
                <c:ptCount val="11"/>
                <c:pt idx="0">
                  <c:v>0</c:v>
                </c:pt>
                <c:pt idx="1">
                  <c:v>0</c:v>
                </c:pt>
                <c:pt idx="2">
                  <c:v>0</c:v>
                </c:pt>
                <c:pt idx="3">
                  <c:v>0</c:v>
                </c:pt>
                <c:pt idx="4">
                  <c:v>0</c:v>
                </c:pt>
                <c:pt idx="5">
                  <c:v>0</c:v>
                </c:pt>
                <c:pt idx="6">
                  <c:v>0</c:v>
                </c:pt>
                <c:pt idx="7">
                  <c:v>0</c:v>
                </c:pt>
                <c:pt idx="8">
                  <c:v>1</c:v>
                </c:pt>
                <c:pt idx="9">
                  <c:v>0</c:v>
                </c:pt>
                <c:pt idx="10">
                  <c:v>0</c:v>
                </c:pt>
              </c:numCache>
            </c:numRef>
          </c:yVal>
          <c:smooth val="1"/>
          <c:extLst>
            <c:ext xmlns:c16="http://schemas.microsoft.com/office/drawing/2014/chart" uri="{C3380CC4-5D6E-409C-BE32-E72D297353CC}">
              <c16:uniqueId val="{00000001-64C8-4EEB-BC3B-3E04375DBF3E}"/>
            </c:ext>
          </c:extLst>
        </c:ser>
        <c:ser>
          <c:idx val="0"/>
          <c:order val="1"/>
          <c:tx>
            <c:strRef>
              <c:f>PerformanceMeasures!$AK$10</c:f>
              <c:strCache>
                <c:ptCount val="1"/>
                <c:pt idx="0">
                  <c:v>Prediction Based on Historical Trend Line</c:v>
                </c:pt>
              </c:strCache>
            </c:strRef>
          </c:tx>
          <c:spPr>
            <a:ln>
              <a:solidFill>
                <a:schemeClr val="accent4">
                  <a:lumMod val="60000"/>
                  <a:lumOff val="40000"/>
                </a:schemeClr>
              </a:solidFill>
            </a:ln>
          </c:spPr>
          <c:marker>
            <c:spPr>
              <a:solidFill>
                <a:schemeClr val="accent4">
                  <a:lumMod val="60000"/>
                  <a:lumOff val="40000"/>
                </a:schemeClr>
              </a:solidFill>
              <a:ln>
                <a:solidFill>
                  <a:schemeClr val="accent4">
                    <a:lumMod val="60000"/>
                    <a:lumOff val="40000"/>
                  </a:schemeClr>
                </a:solidFill>
              </a:ln>
            </c:spPr>
          </c:marker>
          <c:xVal>
            <c:numRef>
              <c:f>PerformanceMeasures!$AD$17:$AD$21</c:f>
              <c:numCache>
                <c:formatCode>General</c:formatCode>
                <c:ptCount val="5"/>
                <c:pt idx="0">
                  <c:v>2025</c:v>
                </c:pt>
                <c:pt idx="1">
                  <c:v>2026</c:v>
                </c:pt>
                <c:pt idx="2">
                  <c:v>2027</c:v>
                </c:pt>
                <c:pt idx="3">
                  <c:v>2028</c:v>
                </c:pt>
                <c:pt idx="4">
                  <c:v>2029</c:v>
                </c:pt>
              </c:numCache>
            </c:numRef>
          </c:xVal>
          <c:yVal>
            <c:numRef>
              <c:f>PerformanceMeasures!$AG$17:$AG$21</c:f>
              <c:numCache>
                <c:formatCode>#,##0.000</c:formatCode>
                <c:ptCount val="5"/>
                <c:pt idx="0">
                  <c:v>0</c:v>
                </c:pt>
                <c:pt idx="1">
                  <c:v>0.255</c:v>
                </c:pt>
                <c:pt idx="2">
                  <c:v>0.28199999999999997</c:v>
                </c:pt>
                <c:pt idx="3">
                  <c:v>0.309</c:v>
                </c:pt>
                <c:pt idx="4">
                  <c:v>0.33600000000000002</c:v>
                </c:pt>
              </c:numCache>
            </c:numRef>
          </c:yVal>
          <c:smooth val="1"/>
          <c:extLst>
            <c:ext xmlns:c16="http://schemas.microsoft.com/office/drawing/2014/chart" uri="{C3380CC4-5D6E-409C-BE32-E72D297353CC}">
              <c16:uniqueId val="{00000002-64C8-4EEB-BC3B-3E04375DBF3E}"/>
            </c:ext>
          </c:extLst>
        </c:ser>
        <c:ser>
          <c:idx val="4"/>
          <c:order val="2"/>
          <c:tx>
            <c:strRef>
              <c:f>PerformanceMeasures!$AK$11</c:f>
              <c:strCache>
                <c:ptCount val="1"/>
                <c:pt idx="0">
                  <c:v>Five Year Rolling Average - Fatalities  (2015 - 2025)</c:v>
                </c:pt>
              </c:strCache>
            </c:strRef>
          </c:tx>
          <c:trendline>
            <c:trendlineType val="linear"/>
            <c:dispRSqr val="0"/>
            <c:dispEq val="0"/>
          </c:trendline>
          <c:xVal>
            <c:numRef>
              <c:f>PerformanceMeasures!$AD$11:$AD$17</c:f>
              <c:numCache>
                <c:formatCode>General</c:formatCode>
                <c:ptCount val="7"/>
                <c:pt idx="0">
                  <c:v>2019</c:v>
                </c:pt>
                <c:pt idx="1">
                  <c:v>2020</c:v>
                </c:pt>
                <c:pt idx="2">
                  <c:v>2021</c:v>
                </c:pt>
                <c:pt idx="3">
                  <c:v>2022</c:v>
                </c:pt>
                <c:pt idx="4">
                  <c:v>2023</c:v>
                </c:pt>
                <c:pt idx="5">
                  <c:v>2024</c:v>
                </c:pt>
                <c:pt idx="6">
                  <c:v>2025</c:v>
                </c:pt>
              </c:numCache>
            </c:numRef>
          </c:xVal>
          <c:yVal>
            <c:numRef>
              <c:f>PerformanceMeasures!$AH$11:$AH$17</c:f>
              <c:numCache>
                <c:formatCode>#,##0.000</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04-64C8-4EEB-BC3B-3E04375DBF3E}"/>
            </c:ext>
          </c:extLst>
        </c:ser>
        <c:ser>
          <c:idx val="3"/>
          <c:order val="3"/>
          <c:tx>
            <c:strRef>
              <c:f>PerformanceMeasures!$AO$8</c:f>
              <c:strCache>
                <c:ptCount val="1"/>
              </c:strCache>
            </c:strRef>
          </c:tx>
          <c:spPr>
            <a:ln>
              <a:solidFill>
                <a:srgbClr val="33CC33"/>
              </a:solidFill>
            </a:ln>
          </c:spPr>
          <c:marker>
            <c:spPr>
              <a:ln>
                <a:solidFill>
                  <a:srgbClr val="33CC33"/>
                </a:solidFill>
              </a:ln>
            </c:spPr>
          </c:marker>
          <c:xVal>
            <c:numRef>
              <c:f>PerformanceMeasures!$AD$17:$AD$21</c:f>
              <c:numCache>
                <c:formatCode>General</c:formatCode>
                <c:ptCount val="5"/>
                <c:pt idx="0">
                  <c:v>2025</c:v>
                </c:pt>
                <c:pt idx="1">
                  <c:v>2026</c:v>
                </c:pt>
                <c:pt idx="2">
                  <c:v>2027</c:v>
                </c:pt>
                <c:pt idx="3">
                  <c:v>2028</c:v>
                </c:pt>
                <c:pt idx="4">
                  <c:v>2029</c:v>
                </c:pt>
              </c:numCache>
            </c:numRef>
          </c:xVal>
          <c:yVal>
            <c:numRef>
              <c:f>(PerformanceMeasures!$AH$17,PerformanceMeasures!$AJ$18:$AJ$21)</c:f>
              <c:numCache>
                <c:formatCode>#,##0.000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5-64C8-4EEB-BC3B-3E04375DBF3E}"/>
            </c:ext>
          </c:extLst>
        </c:ser>
        <c:ser>
          <c:idx val="5"/>
          <c:order val="4"/>
          <c:tx>
            <c:strRef>
              <c:f>PerformanceMeasures!$AO$9</c:f>
              <c:strCache>
                <c:ptCount val="1"/>
              </c:strCache>
            </c:strRef>
          </c:tx>
          <c:dLbls>
            <c:spPr>
              <a:noFill/>
              <a:ln>
                <a:noFill/>
              </a:ln>
              <a:effectLst/>
            </c:spPr>
            <c:txPr>
              <a:bodyPr wrap="square" lIns="38100" tIns="19050" rIns="38100" bIns="19050" anchor="ctr">
                <a:spAutoFit/>
              </a:bodyPr>
              <a:lstStyle/>
              <a:p>
                <a:pPr>
                  <a:defRPr>
                    <a:solidFill>
                      <a:srgbClr val="FFFF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PerformanceMeasures!$AD$17:$AD$21</c:f>
              <c:numCache>
                <c:formatCode>General</c:formatCode>
                <c:ptCount val="5"/>
                <c:pt idx="0">
                  <c:v>2025</c:v>
                </c:pt>
                <c:pt idx="1">
                  <c:v>2026</c:v>
                </c:pt>
                <c:pt idx="2">
                  <c:v>2027</c:v>
                </c:pt>
                <c:pt idx="3">
                  <c:v>2028</c:v>
                </c:pt>
                <c:pt idx="4">
                  <c:v>2029</c:v>
                </c:pt>
              </c:numCache>
            </c:numRef>
          </c:xVal>
          <c:yVal>
            <c:numRef>
              <c:f>(PerformanceMeasures!$AH$17,PerformanceMeasures!$AK$18:$AK$21)</c:f>
              <c:numCache>
                <c:formatCode>#,##0.000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6-64C8-4EEB-BC3B-3E04375DBF3E}"/>
            </c:ext>
          </c:extLst>
        </c:ser>
        <c:ser>
          <c:idx val="6"/>
          <c:order val="5"/>
          <c:tx>
            <c:strRef>
              <c:f>PerformanceMeasures!$AO$10</c:f>
              <c:strCache>
                <c:ptCount val="1"/>
              </c:strCache>
            </c:strRef>
          </c:tx>
          <c:xVal>
            <c:numRef>
              <c:f>PerformanceMeasures!$AD$17:$AD$21</c:f>
              <c:numCache>
                <c:formatCode>General</c:formatCode>
                <c:ptCount val="5"/>
                <c:pt idx="0">
                  <c:v>2025</c:v>
                </c:pt>
                <c:pt idx="1">
                  <c:v>2026</c:v>
                </c:pt>
                <c:pt idx="2">
                  <c:v>2027</c:v>
                </c:pt>
                <c:pt idx="3">
                  <c:v>2028</c:v>
                </c:pt>
                <c:pt idx="4">
                  <c:v>2029</c:v>
                </c:pt>
              </c:numCache>
            </c:numRef>
          </c:xVal>
          <c:yVal>
            <c:numRef>
              <c:f>(PerformanceMeasures!$AH$17,PerformanceMeasures!$AL$18:$AL$21)</c:f>
              <c:numCache>
                <c:formatCode>#,##0.000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7-64C8-4EEB-BC3B-3E04375DBF3E}"/>
            </c:ext>
          </c:extLst>
        </c:ser>
        <c:ser>
          <c:idx val="7"/>
          <c:order val="6"/>
          <c:tx>
            <c:strRef>
              <c:f>PerformanceMeasures!$AO$11</c:f>
              <c:strCache>
                <c:ptCount val="1"/>
              </c:strCache>
            </c:strRef>
          </c:tx>
          <c:xVal>
            <c:numRef>
              <c:f>PerformanceMeasures!$AD$17:$AD$21</c:f>
              <c:numCache>
                <c:formatCode>General</c:formatCode>
                <c:ptCount val="5"/>
                <c:pt idx="0">
                  <c:v>2025</c:v>
                </c:pt>
                <c:pt idx="1">
                  <c:v>2026</c:v>
                </c:pt>
                <c:pt idx="2">
                  <c:v>2027</c:v>
                </c:pt>
                <c:pt idx="3">
                  <c:v>2028</c:v>
                </c:pt>
                <c:pt idx="4">
                  <c:v>2029</c:v>
                </c:pt>
              </c:numCache>
            </c:numRef>
          </c:xVal>
          <c:yVal>
            <c:numRef>
              <c:f>(PerformanceMeasures!$AH$17,PerformanceMeasures!$AM$18:$AM$21)</c:f>
              <c:numCache>
                <c:formatCode>#,##0.000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8-64C8-4EEB-BC3B-3E04375DBF3E}"/>
            </c:ext>
          </c:extLst>
        </c:ser>
        <c:ser>
          <c:idx val="8"/>
          <c:order val="7"/>
          <c:tx>
            <c:strRef>
              <c:f>PerformanceMeasures!$AO$12</c:f>
              <c:strCache>
                <c:ptCount val="1"/>
                <c:pt idx="0">
                  <c:v>Towards Zero Goal</c:v>
                </c:pt>
              </c:strCache>
            </c:strRef>
          </c:tx>
          <c:xVal>
            <c:numRef>
              <c:f>PerformanceMeasures!$AD$17:$AD$21</c:f>
              <c:numCache>
                <c:formatCode>General</c:formatCode>
                <c:ptCount val="5"/>
                <c:pt idx="0">
                  <c:v>2025</c:v>
                </c:pt>
                <c:pt idx="1">
                  <c:v>2026</c:v>
                </c:pt>
                <c:pt idx="2">
                  <c:v>2027</c:v>
                </c:pt>
                <c:pt idx="3">
                  <c:v>2028</c:v>
                </c:pt>
                <c:pt idx="4">
                  <c:v>2029</c:v>
                </c:pt>
              </c:numCache>
            </c:numRef>
          </c:xVal>
          <c:yVal>
            <c:numRef>
              <c:f>(PerformanceMeasures!$AH$17,PerformanceMeasures!$AN$18:$AN$21)</c:f>
              <c:numCache>
                <c:formatCode>#,##0.000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9-64C8-4EEB-BC3B-3E04375DBF3E}"/>
            </c:ext>
          </c:extLst>
        </c:ser>
        <c:dLbls>
          <c:showLegendKey val="0"/>
          <c:showVal val="0"/>
          <c:showCatName val="0"/>
          <c:showSerName val="0"/>
          <c:showPercent val="0"/>
          <c:showBubbleSize val="0"/>
        </c:dLbls>
        <c:axId val="331655176"/>
        <c:axId val="334336280"/>
      </c:scatterChart>
      <c:valAx>
        <c:axId val="331655176"/>
        <c:scaling>
          <c:orientation val="minMax"/>
          <c:max val="2021"/>
          <c:min val="2005"/>
        </c:scaling>
        <c:delete val="0"/>
        <c:axPos val="b"/>
        <c:title>
          <c:tx>
            <c:rich>
              <a:bodyPr/>
              <a:lstStyle/>
              <a:p>
                <a:pPr>
                  <a:defRPr sz="1600">
                    <a:latin typeface="David" pitchFamily="34" charset="-79"/>
                    <a:cs typeface="David" pitchFamily="34" charset="-79"/>
                  </a:defRPr>
                </a:pPr>
                <a:r>
                  <a:rPr lang="en-US" sz="1600">
                    <a:latin typeface="David" pitchFamily="34" charset="-79"/>
                    <a:cs typeface="David" pitchFamily="34" charset="-79"/>
                  </a:rPr>
                  <a:t>Year</a:t>
                </a:r>
              </a:p>
            </c:rich>
          </c:tx>
          <c:layout>
            <c:manualLayout>
              <c:xMode val="edge"/>
              <c:yMode val="edge"/>
              <c:x val="0.50537876420625261"/>
              <c:y val="0.7311095762327906"/>
            </c:manualLayout>
          </c:layout>
          <c:overlay val="0"/>
        </c:title>
        <c:numFmt formatCode="General" sourceLinked="1"/>
        <c:majorTickMark val="none"/>
        <c:minorTickMark val="none"/>
        <c:tickLblPos val="nextTo"/>
        <c:crossAx val="334336280"/>
        <c:crosses val="autoZero"/>
        <c:crossBetween val="midCat"/>
      </c:valAx>
      <c:valAx>
        <c:axId val="334336280"/>
        <c:scaling>
          <c:orientation val="minMax"/>
        </c:scaling>
        <c:delete val="0"/>
        <c:axPos val="l"/>
        <c:majorGridlines/>
        <c:title>
          <c:tx>
            <c:rich>
              <a:bodyPr/>
              <a:lstStyle/>
              <a:p>
                <a:pPr>
                  <a:defRPr sz="1600">
                    <a:latin typeface="David" pitchFamily="34" charset="-79"/>
                    <a:cs typeface="David" pitchFamily="34" charset="-79"/>
                  </a:defRPr>
                </a:pPr>
                <a:r>
                  <a:rPr lang="en-US" sz="1600">
                    <a:latin typeface="David" pitchFamily="34" charset="-79"/>
                    <a:cs typeface="David" pitchFamily="34" charset="-79"/>
                  </a:rPr>
                  <a:t>Fatalities</a:t>
                </a:r>
              </a:p>
            </c:rich>
          </c:tx>
          <c:layout>
            <c:manualLayout>
              <c:xMode val="edge"/>
              <c:yMode val="edge"/>
              <c:x val="8.2170846309359055E-3"/>
              <c:y val="0.34162689268881002"/>
            </c:manualLayout>
          </c:layout>
          <c:overlay val="0"/>
        </c:title>
        <c:numFmt formatCode="#,##0.000" sourceLinked="1"/>
        <c:majorTickMark val="none"/>
        <c:minorTickMark val="none"/>
        <c:tickLblPos val="nextTo"/>
        <c:crossAx val="331655176"/>
        <c:crossesAt val="2000"/>
        <c:crossBetween val="midCat"/>
      </c:valAx>
      <c:spPr>
        <a:solidFill>
          <a:schemeClr val="accent1">
            <a:lumMod val="75000"/>
          </a:schemeClr>
        </a:solidFill>
        <a:ln>
          <a:solidFill>
            <a:schemeClr val="accent6">
              <a:lumMod val="60000"/>
              <a:lumOff val="40000"/>
            </a:schemeClr>
          </a:solidFill>
        </a:ln>
      </c:spPr>
    </c:plotArea>
    <c:legend>
      <c:legendPos val="r"/>
      <c:layout>
        <c:manualLayout>
          <c:xMode val="edge"/>
          <c:yMode val="edge"/>
          <c:x val="3.4302794835798359E-2"/>
          <c:y val="0.76539030358684457"/>
          <c:w val="0.94551390226745802"/>
          <c:h val="0.22868150744768811"/>
        </c:manualLayout>
      </c:layout>
      <c:overlay val="0"/>
      <c:spPr>
        <a:solidFill>
          <a:schemeClr val="accent2">
            <a:lumMod val="40000"/>
            <a:lumOff val="60000"/>
          </a:schemeClr>
        </a:solidFill>
        <a:ln>
          <a:solidFill>
            <a:schemeClr val="tx1"/>
          </a:solidFill>
        </a:ln>
        <a:effectLst>
          <a:outerShdw blurRad="50800" dist="50800" dir="5400000" algn="ctr" rotWithShape="0">
            <a:schemeClr val="bg1"/>
          </a:outerShdw>
        </a:effectLst>
      </c:spPr>
    </c:legend>
    <c:plotVisOnly val="1"/>
    <c:dispBlanksAs val="gap"/>
    <c:showDLblsOverMax val="0"/>
  </c:chart>
  <c:spPr>
    <a:solidFill>
      <a:schemeClr val="accent1">
        <a:lumMod val="20000"/>
        <a:lumOff val="80000"/>
      </a:schemeClr>
    </a:solidFill>
  </c:spPr>
  <c:printSettings>
    <c:headerFooter/>
    <c:pageMargins b="0.75" l="0.7" r="0.7" t="0.75" header="0.3" footer="0.3"/>
    <c:pageSetup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2021-2025.xlsx]Data Analysis!severity1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Severity</a:t>
            </a:r>
          </a:p>
        </c:rich>
      </c:tx>
      <c:overlay val="0"/>
    </c:title>
    <c:autoTitleDeleted val="0"/>
    <c:pivotFmts>
      <c:pivotFmt>
        <c:idx val="0"/>
        <c:marker>
          <c:symbol val="none"/>
        </c:marker>
        <c:dLbl>
          <c:idx val="0"/>
          <c:spPr/>
          <c:txPr>
            <a:bodyPr/>
            <a:lstStyle/>
            <a:p>
              <a:pPr>
                <a:defRPr sz="14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extLst>
            <c:ext xmlns:c15="http://schemas.microsoft.com/office/drawing/2012/chart" uri="{CE6537A1-D6FC-4f65-9D91-7224C49458BB}"/>
          </c:extLst>
        </c:dLbl>
      </c:pivotFmt>
      <c:pivotFmt>
        <c:idx val="1"/>
      </c:pivotFmt>
    </c:pivotFmts>
    <c:view3D>
      <c:rotX val="45"/>
      <c:rotY val="0"/>
      <c:rAngAx val="0"/>
      <c:perspective val="0"/>
    </c:view3D>
    <c:floor>
      <c:thickness val="0"/>
    </c:floor>
    <c:sideWall>
      <c:thickness val="0"/>
    </c:sideWall>
    <c:backWall>
      <c:thickness val="0"/>
    </c:backWall>
    <c:plotArea>
      <c:layout/>
      <c:pie3DChart>
        <c:varyColors val="1"/>
        <c:ser>
          <c:idx val="0"/>
          <c:order val="0"/>
          <c:tx>
            <c:strRef>
              <c:f>'Data Analysis'!$B$9</c:f>
              <c:strCache>
                <c:ptCount val="1"/>
                <c:pt idx="0">
                  <c:v>Total</c:v>
                </c:pt>
              </c:strCache>
            </c:strRef>
          </c:tx>
          <c:explosion val="25"/>
          <c:dPt>
            <c:idx val="0"/>
            <c:bubble3D val="0"/>
            <c:extLst>
              <c:ext xmlns:c16="http://schemas.microsoft.com/office/drawing/2014/chart" uri="{C3380CC4-5D6E-409C-BE32-E72D297353CC}">
                <c16:uniqueId val="{00000000-6756-4548-A93F-D74781263CF8}"/>
              </c:ext>
            </c:extLst>
          </c:dPt>
          <c:dLbls>
            <c:spPr/>
            <c:txPr>
              <a:bodyPr/>
              <a:lstStyle/>
              <a:p>
                <a:pPr>
                  <a:defRPr sz="14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showLeaderLines val="1"/>
            <c:extLst>
              <c:ext xmlns:c15="http://schemas.microsoft.com/office/drawing/2012/chart" uri="{CE6537A1-D6FC-4f65-9D91-7224C49458BB}"/>
            </c:extLst>
          </c:dLbls>
          <c:cat>
            <c:strRef>
              <c:f>'Data Analysis'!$A$10:$A$11</c:f>
              <c:strCache>
                <c:ptCount val="1"/>
                <c:pt idx="0">
                  <c:v>Fatal Crash</c:v>
                </c:pt>
              </c:strCache>
            </c:strRef>
          </c:cat>
          <c:val>
            <c:numRef>
              <c:f>'Data Analysis'!$B$10:$B$11</c:f>
              <c:numCache>
                <c:formatCode>General</c:formatCode>
                <c:ptCount val="1"/>
                <c:pt idx="0">
                  <c:v>186</c:v>
                </c:pt>
              </c:numCache>
            </c:numRef>
          </c:val>
          <c:extLst>
            <c:ext xmlns:c16="http://schemas.microsoft.com/office/drawing/2014/chart" uri="{C3380CC4-5D6E-409C-BE32-E72D297353CC}">
              <c16:uniqueId val="{00000001-6756-4548-A93F-D74781263CF8}"/>
            </c:ext>
          </c:extLst>
        </c:ser>
        <c:dLbls>
          <c:showLegendKey val="0"/>
          <c:showVal val="0"/>
          <c:showCatName val="0"/>
          <c:showSerName val="0"/>
          <c:showPercent val="0"/>
          <c:showBubbleSize val="0"/>
          <c:showLeaderLines val="1"/>
        </c:dLbls>
      </c:pie3DChart>
      <c:spPr>
        <a:noFill/>
        <a:ln w="25400">
          <a:noFill/>
        </a:ln>
      </c:spPr>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0"/>
    </mc:Choice>
    <mc:Fallback>
      <c:style val="30"/>
    </mc:Fallback>
  </mc:AlternateContent>
  <c:pivotSource>
    <c:name>[Attachment 1 - Ohio Department of Transportation Crash Analysis Module Report, Project Area, 2021-2025.xlsx]Data Analysis!day1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Day of the Week</a:t>
            </a:r>
          </a:p>
        </c:rich>
      </c:tx>
      <c:overlay val="0"/>
    </c:title>
    <c:autoTitleDeleted val="0"/>
    <c:pivotFmts>
      <c:pivotFmt>
        <c:idx val="0"/>
        <c:spPr>
          <a:solidFill>
            <a:srgbClr val="9E0000"/>
          </a:solidFill>
        </c:spPr>
        <c:marker>
          <c:symbol val="none"/>
        </c:marker>
        <c:dLbl>
          <c:idx val="0"/>
          <c:delete val="1"/>
          <c:extLst>
            <c:ext xmlns:c15="http://schemas.microsoft.com/office/drawing/2012/chart" uri="{CE6537A1-D6FC-4f65-9D91-7224C49458BB}"/>
          </c:extLst>
        </c:dLbl>
      </c:pivotFmt>
    </c:pivotFmts>
    <c:plotArea>
      <c:layout/>
      <c:barChart>
        <c:barDir val="bar"/>
        <c:grouping val="clustered"/>
        <c:varyColors val="0"/>
        <c:ser>
          <c:idx val="0"/>
          <c:order val="0"/>
          <c:tx>
            <c:strRef>
              <c:f>'Data Analysis'!$B$17</c:f>
              <c:strCache>
                <c:ptCount val="1"/>
                <c:pt idx="0">
                  <c:v>Total</c:v>
                </c:pt>
              </c:strCache>
            </c:strRef>
          </c:tx>
          <c:spPr>
            <a:solidFill>
              <a:srgbClr val="9E0000"/>
            </a:solidFill>
          </c:spPr>
          <c:invertIfNegative val="0"/>
          <c:cat>
            <c:strRef>
              <c:f>'Data Analysis'!$A$18:$A$25</c:f>
              <c:strCache>
                <c:ptCount val="7"/>
                <c:pt idx="0">
                  <c:v>(6) Friday</c:v>
                </c:pt>
                <c:pt idx="1">
                  <c:v>(4) Wednesday</c:v>
                </c:pt>
                <c:pt idx="2">
                  <c:v>(7) Saturday</c:v>
                </c:pt>
                <c:pt idx="3">
                  <c:v>(1) Sunday</c:v>
                </c:pt>
                <c:pt idx="4">
                  <c:v>(2) Monday</c:v>
                </c:pt>
                <c:pt idx="5">
                  <c:v>(5) Thursday</c:v>
                </c:pt>
                <c:pt idx="6">
                  <c:v>(3) Tuesday</c:v>
                </c:pt>
              </c:strCache>
            </c:strRef>
          </c:cat>
          <c:val>
            <c:numRef>
              <c:f>'Data Analysis'!$B$18:$B$25</c:f>
              <c:numCache>
                <c:formatCode>General</c:formatCode>
                <c:ptCount val="7"/>
                <c:pt idx="0">
                  <c:v>40</c:v>
                </c:pt>
                <c:pt idx="1">
                  <c:v>31</c:v>
                </c:pt>
                <c:pt idx="2">
                  <c:v>29</c:v>
                </c:pt>
                <c:pt idx="3">
                  <c:v>27</c:v>
                </c:pt>
                <c:pt idx="4">
                  <c:v>21</c:v>
                </c:pt>
                <c:pt idx="5">
                  <c:v>19</c:v>
                </c:pt>
                <c:pt idx="6">
                  <c:v>19</c:v>
                </c:pt>
              </c:numCache>
            </c:numRef>
          </c:val>
          <c:extLst>
            <c:ext xmlns:c16="http://schemas.microsoft.com/office/drawing/2014/chart" uri="{C3380CC4-5D6E-409C-BE32-E72D297353CC}">
              <c16:uniqueId val="{00000000-15CB-471B-8347-A886DC53657F}"/>
            </c:ext>
          </c:extLst>
        </c:ser>
        <c:dLbls>
          <c:showLegendKey val="0"/>
          <c:showVal val="0"/>
          <c:showCatName val="0"/>
          <c:showSerName val="0"/>
          <c:showPercent val="0"/>
          <c:showBubbleSize val="0"/>
        </c:dLbls>
        <c:gapWidth val="150"/>
        <c:axId val="331653216"/>
        <c:axId val="331652432"/>
      </c:barChart>
      <c:catAx>
        <c:axId val="331653216"/>
        <c:scaling>
          <c:orientation val="maxMin"/>
        </c:scaling>
        <c:delete val="0"/>
        <c:axPos val="l"/>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1652432"/>
        <c:crosses val="autoZero"/>
        <c:auto val="0"/>
        <c:lblAlgn val="ctr"/>
        <c:lblOffset val="100"/>
        <c:tickLblSkip val="1"/>
        <c:tickMarkSkip val="1"/>
        <c:noMultiLvlLbl val="0"/>
      </c:catAx>
      <c:valAx>
        <c:axId val="331652432"/>
        <c:scaling>
          <c:orientation val="minMax"/>
        </c:scaling>
        <c:delete val="0"/>
        <c:axPos val="t"/>
        <c:majorGridlines/>
        <c:numFmt formatCode="General" sourceLinked="1"/>
        <c:majorTickMark val="out"/>
        <c:minorTickMark val="none"/>
        <c:tickLblPos val="low"/>
        <c:txPr>
          <a:bodyPr rot="0" vert="horz"/>
          <a:lstStyle/>
          <a:p>
            <a:pPr>
              <a:defRPr sz="1200" b="1" i="0" u="none" strike="noStrike" baseline="0">
                <a:solidFill>
                  <a:srgbClr val="000000"/>
                </a:solidFill>
                <a:latin typeface="Calibri"/>
                <a:ea typeface="Calibri"/>
                <a:cs typeface="Calibri"/>
              </a:defRPr>
            </a:pPr>
            <a:endParaRPr lang="en-US"/>
          </a:p>
        </c:txPr>
        <c:crossAx val="331653216"/>
        <c:crosses val="autoZero"/>
        <c:crossBetween val="between"/>
      </c:valAx>
      <c:spPr>
        <a:ln>
          <a:solidFill>
            <a:schemeClr val="bg1">
              <a:lumMod val="50000"/>
            </a:schemeClr>
          </a:solidFill>
        </a:ln>
      </c:spPr>
    </c:plotArea>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pivotSource>
    <c:name>[Attachment 1 - Ohio Department of Transportation Crash Analysis Module Report, Project Area, 2021-2025.xlsx]Data Analysis!year1</c:name>
    <c:fmtId val="0"/>
  </c:pivotSource>
  <c:chart>
    <c:title>
      <c:tx>
        <c:rich>
          <a:bodyPr/>
          <a:lstStyle/>
          <a:p>
            <a:pPr>
              <a:defRPr sz="1680" b="1" i="0" u="none" strike="noStrike" baseline="0">
                <a:solidFill>
                  <a:srgbClr val="000000"/>
                </a:solidFill>
                <a:latin typeface="Calibri"/>
                <a:ea typeface="Calibri"/>
                <a:cs typeface="Calibri"/>
              </a:defRPr>
            </a:pPr>
            <a:r>
              <a:rPr lang="en-US"/>
              <a:t>Frequency of Crashes by Year</a:t>
            </a:r>
          </a:p>
        </c:rich>
      </c:tx>
      <c:overlay val="0"/>
    </c:title>
    <c:autoTitleDeleted val="0"/>
    <c:pivotFmts>
      <c:pivotFmt>
        <c:idx val="0"/>
        <c:marker>
          <c:symbol val="none"/>
        </c:marker>
        <c:dLbl>
          <c:idx val="0"/>
          <c:spPr/>
          <c:txPr>
            <a:bodyPr/>
            <a:lstStyle/>
            <a:p>
              <a:pPr>
                <a:defRPr sz="14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extLst>
            <c:ext xmlns:c15="http://schemas.microsoft.com/office/drawing/2012/chart" uri="{CE6537A1-D6FC-4f65-9D91-7224C49458BB}"/>
          </c:extLst>
        </c:dLbl>
      </c:pivotFmt>
      <c:pivotFmt>
        <c:idx val="1"/>
      </c:pivotFmt>
    </c:pivotFmts>
    <c:view3D>
      <c:rotX val="45"/>
      <c:rotY val="0"/>
      <c:rAngAx val="0"/>
      <c:perspective val="0"/>
    </c:view3D>
    <c:floor>
      <c:thickness val="0"/>
    </c:floor>
    <c:sideWall>
      <c:thickness val="0"/>
    </c:sideWall>
    <c:backWall>
      <c:thickness val="0"/>
    </c:backWall>
    <c:plotArea>
      <c:layout/>
      <c:pie3DChart>
        <c:varyColors val="1"/>
        <c:ser>
          <c:idx val="0"/>
          <c:order val="0"/>
          <c:tx>
            <c:strRef>
              <c:f>'Data Analysis'!$G$9</c:f>
              <c:strCache>
                <c:ptCount val="1"/>
                <c:pt idx="0">
                  <c:v>Total</c:v>
                </c:pt>
              </c:strCache>
            </c:strRef>
          </c:tx>
          <c:dPt>
            <c:idx val="0"/>
            <c:bubble3D val="0"/>
            <c:extLst>
              <c:ext xmlns:c16="http://schemas.microsoft.com/office/drawing/2014/chart" uri="{C3380CC4-5D6E-409C-BE32-E72D297353CC}">
                <c16:uniqueId val="{00000000-3095-4620-AC4A-1A3935C25678}"/>
              </c:ext>
            </c:extLst>
          </c:dPt>
          <c:dLbls>
            <c:spPr/>
            <c:txPr>
              <a:bodyPr/>
              <a:lstStyle/>
              <a:p>
                <a:pPr>
                  <a:defRPr sz="14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showLeaderLines val="1"/>
            <c:leaderLines>
              <c:spPr>
                <a:ln>
                  <a:solidFill>
                    <a:sysClr val="windowText" lastClr="000000"/>
                  </a:solidFill>
                </a:ln>
              </c:spPr>
            </c:leaderLines>
            <c:extLst>
              <c:ext xmlns:c15="http://schemas.microsoft.com/office/drawing/2012/chart" uri="{CE6537A1-D6FC-4f65-9D91-7224C49458BB}"/>
            </c:extLst>
          </c:dLbls>
          <c:cat>
            <c:strRef>
              <c:f>'Data Analysis'!$F$10:$F$11</c:f>
              <c:strCache>
                <c:ptCount val="1"/>
                <c:pt idx="0">
                  <c:v>2025</c:v>
                </c:pt>
              </c:strCache>
            </c:strRef>
          </c:cat>
          <c:val>
            <c:numRef>
              <c:f>'Data Analysis'!$G$10:$G$11</c:f>
              <c:numCache>
                <c:formatCode>General</c:formatCode>
                <c:ptCount val="1"/>
                <c:pt idx="0">
                  <c:v>186</c:v>
                </c:pt>
              </c:numCache>
            </c:numRef>
          </c:val>
          <c:extLst>
            <c:ext xmlns:c16="http://schemas.microsoft.com/office/drawing/2014/chart" uri="{C3380CC4-5D6E-409C-BE32-E72D297353CC}">
              <c16:uniqueId val="{00000001-3095-4620-AC4A-1A3935C25678}"/>
            </c:ext>
          </c:extLst>
        </c:ser>
        <c:dLbls>
          <c:showLegendKey val="0"/>
          <c:showVal val="0"/>
          <c:showCatName val="0"/>
          <c:showSerName val="0"/>
          <c:showPercent val="0"/>
          <c:showBubbleSize val="0"/>
          <c:showLeaderLines val="1"/>
        </c:dLbls>
      </c:pie3DChart>
      <c:spPr>
        <a:noFill/>
        <a:ln w="25400">
          <a:noFill/>
        </a:ln>
      </c:spPr>
    </c:plotArea>
    <c:legend>
      <c:legendPos val="r"/>
      <c:overlay val="0"/>
      <c:txPr>
        <a:bodyPr/>
        <a:lstStyle/>
        <a:p>
          <a:pPr>
            <a:defRPr sz="915" b="1" i="0" u="none" strike="noStrike" baseline="0">
              <a:solidFill>
                <a:srgbClr val="000000"/>
              </a:solidFill>
              <a:latin typeface="Calibri"/>
              <a:ea typeface="Calibri"/>
              <a:cs typeface="Calibri"/>
            </a:defRPr>
          </a:pPr>
          <a:endParaRPr lang="en-US"/>
        </a:p>
      </c:txPr>
    </c:legend>
    <c:plotVisOnly val="1"/>
    <c:dispBlanksAs val="zero"/>
    <c:showDLblsOverMax val="0"/>
  </c:chart>
  <c:spPr>
    <a:gradFill>
      <a:gsLst>
        <a:gs pos="24000">
          <a:sysClr val="window" lastClr="FFFFFF">
            <a:lumMod val="65000"/>
          </a:sysClr>
        </a:gs>
        <a:gs pos="100000">
          <a:srgbClr val="E6E6E6"/>
        </a:gs>
      </a:gsLst>
      <a:lin ang="16200000" scaled="0"/>
    </a:gradFill>
  </c:spPr>
  <c:txPr>
    <a:bodyPr/>
    <a:lstStyle/>
    <a:p>
      <a:pPr>
        <a:defRPr sz="14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pivotSource>
    <c:name>[Attachment 1 - Ohio Department of Transportation Crash Analysis Module Report, Project Area, 2021-2025.xlsx]Data Analysis!type1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Type of Crash</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'Data Analysis'!$G$29</c:f>
              <c:strCache>
                <c:ptCount val="1"/>
                <c:pt idx="0">
                  <c:v>Total</c:v>
                </c:pt>
              </c:strCache>
            </c:strRef>
          </c:tx>
          <c:invertIfNegative val="0"/>
          <c:cat>
            <c:strRef>
              <c:f>'Data Analysis'!$F$30:$F$44</c:f>
              <c:strCache>
                <c:ptCount val="14"/>
                <c:pt idx="0">
                  <c:v>Fixed Object</c:v>
                </c:pt>
                <c:pt idx="1">
                  <c:v>Head On</c:v>
                </c:pt>
                <c:pt idx="2">
                  <c:v>Angle</c:v>
                </c:pt>
                <c:pt idx="3">
                  <c:v>Pedestrian</c:v>
                </c:pt>
                <c:pt idx="4">
                  <c:v>Sideswipe - Passing</c:v>
                </c:pt>
                <c:pt idx="5">
                  <c:v>Rear End</c:v>
                </c:pt>
                <c:pt idx="6">
                  <c:v>Overturning</c:v>
                </c:pt>
                <c:pt idx="7">
                  <c:v>Left Turn</c:v>
                </c:pt>
                <c:pt idx="8">
                  <c:v>Parked Vehicle</c:v>
                </c:pt>
                <c:pt idx="9">
                  <c:v>Pedalcycles</c:v>
                </c:pt>
                <c:pt idx="10">
                  <c:v>Other Non-Collision</c:v>
                </c:pt>
                <c:pt idx="11">
                  <c:v>Train</c:v>
                </c:pt>
                <c:pt idx="12">
                  <c:v>Unknown</c:v>
                </c:pt>
                <c:pt idx="13">
                  <c:v>Right Turn</c:v>
                </c:pt>
              </c:strCache>
            </c:strRef>
          </c:cat>
          <c:val>
            <c:numRef>
              <c:f>'Data Analysis'!$G$30:$G$44</c:f>
              <c:numCache>
                <c:formatCode>General</c:formatCode>
                <c:ptCount val="14"/>
                <c:pt idx="0">
                  <c:v>50</c:v>
                </c:pt>
                <c:pt idx="1">
                  <c:v>37</c:v>
                </c:pt>
                <c:pt idx="2">
                  <c:v>31</c:v>
                </c:pt>
                <c:pt idx="3">
                  <c:v>19</c:v>
                </c:pt>
                <c:pt idx="4">
                  <c:v>9</c:v>
                </c:pt>
                <c:pt idx="5">
                  <c:v>8</c:v>
                </c:pt>
                <c:pt idx="6">
                  <c:v>8</c:v>
                </c:pt>
                <c:pt idx="7">
                  <c:v>8</c:v>
                </c:pt>
                <c:pt idx="8">
                  <c:v>6</c:v>
                </c:pt>
                <c:pt idx="9">
                  <c:v>3</c:v>
                </c:pt>
                <c:pt idx="10">
                  <c:v>3</c:v>
                </c:pt>
                <c:pt idx="11">
                  <c:v>2</c:v>
                </c:pt>
                <c:pt idx="12">
                  <c:v>1</c:v>
                </c:pt>
                <c:pt idx="13">
                  <c:v>1</c:v>
                </c:pt>
              </c:numCache>
            </c:numRef>
          </c:val>
          <c:extLst>
            <c:ext xmlns:c16="http://schemas.microsoft.com/office/drawing/2014/chart" uri="{C3380CC4-5D6E-409C-BE32-E72D297353CC}">
              <c16:uniqueId val="{00000000-46A0-492C-B8E6-FDCAD3941187}"/>
            </c:ext>
          </c:extLst>
        </c:ser>
        <c:dLbls>
          <c:showLegendKey val="0"/>
          <c:showVal val="0"/>
          <c:showCatName val="0"/>
          <c:showSerName val="0"/>
          <c:showPercent val="0"/>
          <c:showBubbleSize val="0"/>
        </c:dLbls>
        <c:gapWidth val="150"/>
        <c:overlap val="100"/>
        <c:axId val="334339024"/>
        <c:axId val="334339416"/>
      </c:barChart>
      <c:catAx>
        <c:axId val="334339024"/>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en-US"/>
          </a:p>
        </c:txPr>
        <c:crossAx val="334339416"/>
        <c:crosses val="autoZero"/>
        <c:auto val="0"/>
        <c:lblAlgn val="ctr"/>
        <c:lblOffset val="100"/>
        <c:tickLblSkip val="1"/>
        <c:tickMarkSkip val="1"/>
        <c:noMultiLvlLbl val="0"/>
      </c:catAx>
      <c:valAx>
        <c:axId val="334339416"/>
        <c:scaling>
          <c:orientation val="minMax"/>
        </c:scaling>
        <c:delete val="0"/>
        <c:axPos val="l"/>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4339024"/>
        <c:crosses val="autoZero"/>
        <c:crossBetween val="between"/>
      </c:valAx>
    </c:plotArea>
    <c:plotVisOnly val="1"/>
    <c:dispBlanksAs val="gap"/>
    <c:showDLblsOverMax val="0"/>
  </c:chart>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orientation="landscape"/>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pivotSource>
    <c:name>[Attachment 1 - Ohio Department of Transportation Crash Analysis Module Report, Project Area, 2021-2025.xlsx]Data Analysis!hour1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Hour</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'Data Analysis'!$B$29</c:f>
              <c:strCache>
                <c:ptCount val="1"/>
                <c:pt idx="0">
                  <c:v>Total</c:v>
                </c:pt>
              </c:strCache>
            </c:strRef>
          </c:tx>
          <c:invertIfNegative val="0"/>
          <c:cat>
            <c:strRef>
              <c:f>'Data Analysis'!$A$30:$A$54</c:f>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'Data Analysis'!$B$30:$B$54</c:f>
              <c:numCache>
                <c:formatCode>General</c:formatCode>
                <c:ptCount val="24"/>
                <c:pt idx="0">
                  <c:v>9</c:v>
                </c:pt>
                <c:pt idx="1">
                  <c:v>7</c:v>
                </c:pt>
                <c:pt idx="2">
                  <c:v>9</c:v>
                </c:pt>
                <c:pt idx="3">
                  <c:v>9</c:v>
                </c:pt>
                <c:pt idx="4">
                  <c:v>5</c:v>
                </c:pt>
                <c:pt idx="5">
                  <c:v>9</c:v>
                </c:pt>
                <c:pt idx="6">
                  <c:v>8</c:v>
                </c:pt>
                <c:pt idx="7">
                  <c:v>1</c:v>
                </c:pt>
                <c:pt idx="8">
                  <c:v>6</c:v>
                </c:pt>
                <c:pt idx="9">
                  <c:v>3</c:v>
                </c:pt>
                <c:pt idx="10">
                  <c:v>7</c:v>
                </c:pt>
                <c:pt idx="11">
                  <c:v>9</c:v>
                </c:pt>
                <c:pt idx="12">
                  <c:v>9</c:v>
                </c:pt>
                <c:pt idx="13">
                  <c:v>4</c:v>
                </c:pt>
                <c:pt idx="14">
                  <c:v>5</c:v>
                </c:pt>
                <c:pt idx="15">
                  <c:v>7</c:v>
                </c:pt>
                <c:pt idx="16">
                  <c:v>8</c:v>
                </c:pt>
                <c:pt idx="17">
                  <c:v>9</c:v>
                </c:pt>
                <c:pt idx="18">
                  <c:v>9</c:v>
                </c:pt>
                <c:pt idx="19">
                  <c:v>13</c:v>
                </c:pt>
                <c:pt idx="20">
                  <c:v>10</c:v>
                </c:pt>
                <c:pt idx="21">
                  <c:v>12</c:v>
                </c:pt>
                <c:pt idx="22">
                  <c:v>12</c:v>
                </c:pt>
                <c:pt idx="23">
                  <c:v>6</c:v>
                </c:pt>
              </c:numCache>
            </c:numRef>
          </c:val>
          <c:extLst>
            <c:ext xmlns:c16="http://schemas.microsoft.com/office/drawing/2014/chart" uri="{C3380CC4-5D6E-409C-BE32-E72D297353CC}">
              <c16:uniqueId val="{00000000-1489-468E-818F-2F9BA8F1C275}"/>
            </c:ext>
          </c:extLst>
        </c:ser>
        <c:dLbls>
          <c:showLegendKey val="0"/>
          <c:showVal val="0"/>
          <c:showCatName val="0"/>
          <c:showSerName val="0"/>
          <c:showPercent val="0"/>
          <c:showBubbleSize val="0"/>
        </c:dLbls>
        <c:gapWidth val="150"/>
        <c:overlap val="100"/>
        <c:axId val="334340200"/>
        <c:axId val="334340592"/>
      </c:barChart>
      <c:catAx>
        <c:axId val="334340200"/>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4340592"/>
        <c:crosses val="autoZero"/>
        <c:auto val="0"/>
        <c:lblAlgn val="ctr"/>
        <c:lblOffset val="100"/>
        <c:tickLblSkip val="1"/>
        <c:tickMarkSkip val="1"/>
        <c:noMultiLvlLbl val="0"/>
      </c:catAx>
      <c:valAx>
        <c:axId val="334340592"/>
        <c:scaling>
          <c:orientation val="minMax"/>
        </c:scaling>
        <c:delete val="0"/>
        <c:axPos val="l"/>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4340200"/>
        <c:crosses val="autoZero"/>
        <c:crossBetween val="between"/>
      </c:valAx>
      <c:spPr>
        <a:noFill/>
        <a:ln>
          <a:solidFill>
            <a:sysClr val="window" lastClr="FFFFFF">
              <a:lumMod val="50000"/>
            </a:sysClr>
          </a:solidFill>
        </a:ln>
      </c:spPr>
    </c:plotArea>
    <c:plotVisOnly val="1"/>
    <c:dispBlanksAs val="gap"/>
    <c:showDLblsOverMax val="0"/>
  </c:chart>
  <c:spPr>
    <a:solidFill>
      <a:sysClr val="window" lastClr="FFFFFF"/>
    </a:solidFill>
  </c:spPr>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2021-2025.xlsx]Data Analysis!sevyear</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Year and Severity</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'Data Analysis'!$L$3:$L$4</c:f>
              <c:strCache>
                <c:ptCount val="1"/>
                <c:pt idx="0">
                  <c:v>Fatal Crash</c:v>
                </c:pt>
              </c:strCache>
            </c:strRef>
          </c:tx>
          <c:invertIfNegative val="0"/>
          <c:cat>
            <c:strRef>
              <c:f>'Data Analysis'!$K$5:$K$6</c:f>
              <c:strCache>
                <c:ptCount val="1"/>
                <c:pt idx="0">
                  <c:v>2025</c:v>
                </c:pt>
              </c:strCache>
            </c:strRef>
          </c:cat>
          <c:val>
            <c:numRef>
              <c:f>'Data Analysis'!$L$5:$L$6</c:f>
              <c:numCache>
                <c:formatCode>General</c:formatCode>
                <c:ptCount val="1"/>
                <c:pt idx="0">
                  <c:v>186</c:v>
                </c:pt>
              </c:numCache>
            </c:numRef>
          </c:val>
          <c:extLst>
            <c:ext xmlns:c16="http://schemas.microsoft.com/office/drawing/2014/chart" uri="{C3380CC4-5D6E-409C-BE32-E72D297353CC}">
              <c16:uniqueId val="{00000000-9C34-42B2-954A-7174DA9FD39C}"/>
            </c:ext>
          </c:extLst>
        </c:ser>
        <c:dLbls>
          <c:showLegendKey val="0"/>
          <c:showVal val="0"/>
          <c:showCatName val="0"/>
          <c:showSerName val="0"/>
          <c:showPercent val="0"/>
          <c:showBubbleSize val="0"/>
        </c:dLbls>
        <c:gapWidth val="150"/>
        <c:axId val="334341376"/>
        <c:axId val="334341768"/>
      </c:barChart>
      <c:catAx>
        <c:axId val="334341376"/>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4341768"/>
        <c:crosses val="autoZero"/>
        <c:auto val="0"/>
        <c:lblAlgn val="ctr"/>
        <c:lblOffset val="200"/>
        <c:tickLblSkip val="1"/>
        <c:tickMarkSkip val="1"/>
        <c:noMultiLvlLbl val="0"/>
      </c:catAx>
      <c:valAx>
        <c:axId val="334341768"/>
        <c:scaling>
          <c:orientation val="minMax"/>
        </c:scaling>
        <c:delete val="0"/>
        <c:axPos val="l"/>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4341376"/>
        <c:crosses val="autoZero"/>
        <c:crossBetween val="between"/>
      </c:valAx>
    </c:plotArea>
    <c:legend>
      <c:legendPos val="b"/>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Analysis!Crashtype2</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Crash Type by Severity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noFill/>
          </a:ln>
          <a:effectLst/>
        </c:spPr>
        <c:marker>
          <c:symbol val="none"/>
        </c:marker>
      </c:pivotFmt>
      <c:pivotFmt>
        <c:idx val="5"/>
        <c:spPr>
          <a:solidFill>
            <a:srgbClr val="FFFF00"/>
          </a:solidFill>
          <a:ln w="0">
            <a:solidFill>
              <a:schemeClr val="bg1">
                <a:lumMod val="85000"/>
              </a:schemeClr>
            </a:solidFill>
          </a:ln>
          <a:effectLst/>
        </c:spPr>
        <c:marker>
          <c:symbol val="none"/>
        </c:marker>
      </c:pivotFmt>
      <c:pivotFmt>
        <c:idx val="6"/>
        <c:spPr>
          <a:solidFill>
            <a:schemeClr val="accent1">
              <a:lumMod val="60000"/>
              <a:lumOff val="40000"/>
            </a:schemeClr>
          </a:solidFill>
          <a:ln>
            <a:noFill/>
          </a:ln>
          <a:effectLst/>
        </c:spPr>
        <c:marker>
          <c:symbol val="none"/>
        </c:marker>
      </c:pivotFmt>
      <c:pivotFmt>
        <c:idx val="7"/>
        <c:spPr>
          <a:solidFill>
            <a:srgbClr val="00B050"/>
          </a:solidFill>
          <a:ln>
            <a:noFill/>
          </a:ln>
          <a:effectLst/>
        </c:spPr>
        <c:marker>
          <c:symbol val="none"/>
        </c:marker>
      </c:pivotFmt>
      <c:pivotFmt>
        <c:idx val="8"/>
        <c:spPr>
          <a:solidFill>
            <a:srgbClr val="FF0000"/>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5">
              <a:lumMod val="60000"/>
              <a:lumOff val="40000"/>
            </a:schemeClr>
          </a:solidFill>
          <a:ln>
            <a:noFill/>
          </a:ln>
          <a:effectLst/>
        </c:spPr>
        <c:marker>
          <c:symbol val="none"/>
        </c:marker>
      </c:pivotFmt>
      <c:pivotFmt>
        <c:idx val="12"/>
        <c:spPr>
          <a:solidFill>
            <a:srgbClr val="FFFF00"/>
          </a:solidFill>
          <a:ln>
            <a:noFill/>
          </a:ln>
          <a:effectLst/>
        </c:spPr>
        <c:marker>
          <c:symbol val="none"/>
        </c:marker>
      </c:pivotFmt>
      <c:pivotFmt>
        <c:idx val="13"/>
        <c:spPr>
          <a:solidFill>
            <a:schemeClr val="accent6">
              <a:lumMod val="75000"/>
            </a:schemeClr>
          </a:solidFill>
          <a:ln>
            <a:noFill/>
          </a:ln>
          <a:effectLst/>
        </c:spPr>
        <c:marker>
          <c:symbol val="none"/>
        </c:marker>
      </c:pivotFmt>
      <c:pivotFmt>
        <c:idx val="14"/>
        <c:spPr>
          <a:solidFill>
            <a:srgbClr val="3BC22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FF0000"/>
          </a:solidFill>
          <a:ln>
            <a:noFill/>
          </a:ln>
          <a:effectLst/>
        </c:spPr>
        <c:marker>
          <c:symbol val="none"/>
        </c:marker>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951170166229222"/>
          <c:y val="0.10921287182852144"/>
          <c:w val="0.71299950787401578"/>
          <c:h val="0.71762357830271206"/>
        </c:manualLayout>
      </c:layout>
      <c:barChart>
        <c:barDir val="bar"/>
        <c:grouping val="clustered"/>
        <c:varyColors val="0"/>
        <c:ser>
          <c:idx val="0"/>
          <c:order val="0"/>
          <c:tx>
            <c:strRef>
              <c:f>'Crash Analysis'!$Q$24:$Q$25</c:f>
              <c:strCache>
                <c:ptCount val="1"/>
                <c:pt idx="0">
                  <c:v>(5) PDO/No Injury</c:v>
                </c:pt>
              </c:strCache>
            </c:strRef>
          </c:tx>
          <c:spPr>
            <a:solidFill>
              <a:schemeClr val="accent1"/>
            </a:solidFill>
            <a:ln>
              <a:noFill/>
            </a:ln>
            <a:effectLst/>
          </c:spPr>
          <c:invertIfNegative val="0"/>
          <c:cat>
            <c:strRef>
              <c:f>'Crash Analysis'!$P$26:$P$31</c:f>
              <c:strCache>
                <c:ptCount val="5"/>
                <c:pt idx="0">
                  <c:v>Angle</c:v>
                </c:pt>
                <c:pt idx="1">
                  <c:v>Fixed Object</c:v>
                </c:pt>
                <c:pt idx="2">
                  <c:v>Left Turn</c:v>
                </c:pt>
                <c:pt idx="3">
                  <c:v>Rear End</c:v>
                </c:pt>
                <c:pt idx="4">
                  <c:v>Sideswipe - Passing</c:v>
                </c:pt>
              </c:strCache>
            </c:strRef>
          </c:cat>
          <c:val>
            <c:numRef>
              <c:f>'Crash Analysis'!$Q$26:$Q$31</c:f>
              <c:numCache>
                <c:formatCode>General</c:formatCode>
                <c:ptCount val="5"/>
                <c:pt idx="0">
                  <c:v>40</c:v>
                </c:pt>
                <c:pt idx="1">
                  <c:v>20</c:v>
                </c:pt>
                <c:pt idx="2">
                  <c:v>30</c:v>
                </c:pt>
                <c:pt idx="3">
                  <c:v>44</c:v>
                </c:pt>
                <c:pt idx="4">
                  <c:v>38</c:v>
                </c:pt>
              </c:numCache>
            </c:numRef>
          </c:val>
          <c:extLst>
            <c:ext xmlns:c16="http://schemas.microsoft.com/office/drawing/2014/chart" uri="{C3380CC4-5D6E-409C-BE32-E72D297353CC}">
              <c16:uniqueId val="{00000000-C760-4D42-852B-28E9657486AD}"/>
            </c:ext>
          </c:extLst>
        </c:ser>
        <c:ser>
          <c:idx val="1"/>
          <c:order val="1"/>
          <c:tx>
            <c:strRef>
              <c:f>'Crash Analysis'!$R$24:$R$25</c:f>
              <c:strCache>
                <c:ptCount val="1"/>
                <c:pt idx="0">
                  <c:v>(3) Minor Injury Suspected</c:v>
                </c:pt>
              </c:strCache>
            </c:strRef>
          </c:tx>
          <c:spPr>
            <a:solidFill>
              <a:schemeClr val="accent2"/>
            </a:solidFill>
            <a:ln>
              <a:noFill/>
            </a:ln>
            <a:effectLst/>
          </c:spPr>
          <c:invertIfNegative val="0"/>
          <c:cat>
            <c:strRef>
              <c:f>'Crash Analysis'!$P$26:$P$31</c:f>
              <c:strCache>
                <c:ptCount val="5"/>
                <c:pt idx="0">
                  <c:v>Angle</c:v>
                </c:pt>
                <c:pt idx="1">
                  <c:v>Fixed Object</c:v>
                </c:pt>
                <c:pt idx="2">
                  <c:v>Left Turn</c:v>
                </c:pt>
                <c:pt idx="3">
                  <c:v>Rear End</c:v>
                </c:pt>
                <c:pt idx="4">
                  <c:v>Sideswipe - Passing</c:v>
                </c:pt>
              </c:strCache>
            </c:strRef>
          </c:cat>
          <c:val>
            <c:numRef>
              <c:f>'Crash Analysis'!$R$26:$R$31</c:f>
              <c:numCache>
                <c:formatCode>General</c:formatCode>
                <c:ptCount val="5"/>
                <c:pt idx="0">
                  <c:v>11</c:v>
                </c:pt>
                <c:pt idx="1">
                  <c:v>3</c:v>
                </c:pt>
                <c:pt idx="2">
                  <c:v>9</c:v>
                </c:pt>
                <c:pt idx="3">
                  <c:v>8</c:v>
                </c:pt>
                <c:pt idx="4">
                  <c:v>6</c:v>
                </c:pt>
              </c:numCache>
            </c:numRef>
          </c:val>
          <c:extLst>
            <c:ext xmlns:c16="http://schemas.microsoft.com/office/drawing/2014/chart" uri="{C3380CC4-5D6E-409C-BE32-E72D297353CC}">
              <c16:uniqueId val="{00000000-5B1D-AA48-9044-89B78C003889}"/>
            </c:ext>
          </c:extLst>
        </c:ser>
        <c:ser>
          <c:idx val="2"/>
          <c:order val="2"/>
          <c:tx>
            <c:strRef>
              <c:f>'Crash Analysis'!$S$24:$S$25</c:f>
              <c:strCache>
                <c:ptCount val="1"/>
                <c:pt idx="0">
                  <c:v>(4) Injury Possible</c:v>
                </c:pt>
              </c:strCache>
            </c:strRef>
          </c:tx>
          <c:spPr>
            <a:solidFill>
              <a:schemeClr val="accent3"/>
            </a:solidFill>
            <a:ln>
              <a:noFill/>
            </a:ln>
            <a:effectLst/>
          </c:spPr>
          <c:invertIfNegative val="0"/>
          <c:cat>
            <c:strRef>
              <c:f>'Crash Analysis'!$P$26:$P$31</c:f>
              <c:strCache>
                <c:ptCount val="5"/>
                <c:pt idx="0">
                  <c:v>Angle</c:v>
                </c:pt>
                <c:pt idx="1">
                  <c:v>Fixed Object</c:v>
                </c:pt>
                <c:pt idx="2">
                  <c:v>Left Turn</c:v>
                </c:pt>
                <c:pt idx="3">
                  <c:v>Rear End</c:v>
                </c:pt>
                <c:pt idx="4">
                  <c:v>Sideswipe - Passing</c:v>
                </c:pt>
              </c:strCache>
            </c:strRef>
          </c:cat>
          <c:val>
            <c:numRef>
              <c:f>'Crash Analysis'!$S$26:$S$31</c:f>
              <c:numCache>
                <c:formatCode>General</c:formatCode>
                <c:ptCount val="5"/>
                <c:pt idx="0">
                  <c:v>8</c:v>
                </c:pt>
                <c:pt idx="1">
                  <c:v>2</c:v>
                </c:pt>
                <c:pt idx="2">
                  <c:v>7</c:v>
                </c:pt>
                <c:pt idx="3">
                  <c:v>8</c:v>
                </c:pt>
                <c:pt idx="4">
                  <c:v>3</c:v>
                </c:pt>
              </c:numCache>
            </c:numRef>
          </c:val>
          <c:extLst>
            <c:ext xmlns:c16="http://schemas.microsoft.com/office/drawing/2014/chart" uri="{C3380CC4-5D6E-409C-BE32-E72D297353CC}">
              <c16:uniqueId val="{00000001-5B1D-AA48-9044-89B78C003889}"/>
            </c:ext>
          </c:extLst>
        </c:ser>
        <c:ser>
          <c:idx val="3"/>
          <c:order val="3"/>
          <c:tx>
            <c:strRef>
              <c:f>'Crash Analysis'!$T$24:$T$25</c:f>
              <c:strCache>
                <c:ptCount val="1"/>
                <c:pt idx="0">
                  <c:v>(1) Fatal</c:v>
                </c:pt>
              </c:strCache>
            </c:strRef>
          </c:tx>
          <c:spPr>
            <a:solidFill>
              <a:schemeClr val="accent4"/>
            </a:solidFill>
            <a:ln>
              <a:noFill/>
            </a:ln>
            <a:effectLst/>
          </c:spPr>
          <c:invertIfNegative val="0"/>
          <c:cat>
            <c:strRef>
              <c:f>'Crash Analysis'!$P$26:$P$31</c:f>
              <c:strCache>
                <c:ptCount val="5"/>
                <c:pt idx="0">
                  <c:v>Angle</c:v>
                </c:pt>
                <c:pt idx="1">
                  <c:v>Fixed Object</c:v>
                </c:pt>
                <c:pt idx="2">
                  <c:v>Left Turn</c:v>
                </c:pt>
                <c:pt idx="3">
                  <c:v>Rear End</c:v>
                </c:pt>
                <c:pt idx="4">
                  <c:v>Sideswipe - Passing</c:v>
                </c:pt>
              </c:strCache>
            </c:strRef>
          </c:cat>
          <c:val>
            <c:numRef>
              <c:f>'Crash Analysis'!$T$26:$T$31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2-5B1D-AA48-9044-89B78C003889}"/>
            </c:ext>
          </c:extLst>
        </c:ser>
        <c:ser>
          <c:idx val="4"/>
          <c:order val="4"/>
          <c:tx>
            <c:strRef>
              <c:f>'Crash Analysis'!$U$24:$U$25</c:f>
              <c:strCache>
                <c:ptCount val="1"/>
                <c:pt idx="0">
                  <c:v>(2) Serious Injury Suspected</c:v>
                </c:pt>
              </c:strCache>
            </c:strRef>
          </c:tx>
          <c:spPr>
            <a:solidFill>
              <a:schemeClr val="accent5"/>
            </a:solidFill>
            <a:ln>
              <a:noFill/>
            </a:ln>
            <a:effectLst/>
          </c:spPr>
          <c:invertIfNegative val="0"/>
          <c:cat>
            <c:strRef>
              <c:f>'Crash Analysis'!$P$26:$P$31</c:f>
              <c:strCache>
                <c:ptCount val="5"/>
                <c:pt idx="0">
                  <c:v>Angle</c:v>
                </c:pt>
                <c:pt idx="1">
                  <c:v>Fixed Object</c:v>
                </c:pt>
                <c:pt idx="2">
                  <c:v>Left Turn</c:v>
                </c:pt>
                <c:pt idx="3">
                  <c:v>Rear End</c:v>
                </c:pt>
                <c:pt idx="4">
                  <c:v>Sideswipe - Passing</c:v>
                </c:pt>
              </c:strCache>
            </c:strRef>
          </c:cat>
          <c:val>
            <c:numRef>
              <c:f>'Crash Analysis'!$U$26:$U$31</c:f>
              <c:numCache>
                <c:formatCode>General</c:formatCode>
                <c:ptCount val="5"/>
                <c:pt idx="0">
                  <c:v>1</c:v>
                </c:pt>
                <c:pt idx="1">
                  <c:v>2</c:v>
                </c:pt>
                <c:pt idx="2">
                  <c:v>5</c:v>
                </c:pt>
                <c:pt idx="3">
                  <c:v>0</c:v>
                </c:pt>
                <c:pt idx="4">
                  <c:v>0</c:v>
                </c:pt>
              </c:numCache>
            </c:numRef>
          </c:val>
          <c:extLst>
            <c:ext xmlns:c16="http://schemas.microsoft.com/office/drawing/2014/chart" uri="{C3380CC4-5D6E-409C-BE32-E72D297353CC}">
              <c16:uniqueId val="{00000003-5B1D-AA48-9044-89B78C003889}"/>
            </c:ext>
          </c:extLst>
        </c:ser>
        <c:dLbls>
          <c:showLegendKey val="0"/>
          <c:showVal val="0"/>
          <c:showCatName val="0"/>
          <c:showSerName val="0"/>
          <c:showPercent val="0"/>
          <c:showBubbleSize val="0"/>
        </c:dLbls>
        <c:gapWidth val="182"/>
        <c:axId val="284072200"/>
        <c:axId val="331647728"/>
      </c:barChart>
      <c:catAx>
        <c:axId val="28407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31647728"/>
        <c:crosses val="autoZero"/>
        <c:auto val="1"/>
        <c:lblAlgn val="ctr"/>
        <c:lblOffset val="100"/>
        <c:noMultiLvlLbl val="0"/>
      </c:catAx>
      <c:valAx>
        <c:axId val="3316477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Crash Frequency</a:t>
                </a:r>
              </a:p>
            </c:rich>
          </c:tx>
          <c:layout>
            <c:manualLayout>
              <c:xMode val="edge"/>
              <c:yMode val="edge"/>
              <c:x val="0.44886570428696415"/>
              <c:y val="0.9219444444444444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84072200"/>
        <c:crosses val="autoZero"/>
        <c:crossBetween val="between"/>
      </c:valAx>
      <c:spPr>
        <a:noFill/>
        <a:ln>
          <a:noFill/>
        </a:ln>
        <a:effectLst/>
      </c:spPr>
    </c:plotArea>
    <c:legend>
      <c:legendPos val="r"/>
      <c:layout>
        <c:manualLayout>
          <c:xMode val="edge"/>
          <c:yMode val="edge"/>
          <c:x val="0.66784098862642172"/>
          <c:y val="0.38744130941965588"/>
          <c:w val="0.30724185443345758"/>
          <c:h val="0.4251986415710775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rgbClr val="FFFFFF"/>
    </a:solidFill>
    <a:ln w="9525"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2021-2025.xlsx]Data Analysis!condition1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Road Condition</a:t>
            </a:r>
          </a:p>
        </c:rich>
      </c:tx>
      <c:overlay val="0"/>
    </c:title>
    <c:autoTitleDeleted val="0"/>
    <c:pivotFmts>
      <c:pivotFmt>
        <c:idx val="0"/>
        <c:marker>
          <c:symbol val="none"/>
        </c:marker>
        <c:dLbl>
          <c:idx val="0"/>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extLst>
            <c:ext xmlns:c15="http://schemas.microsoft.com/office/drawing/2012/chart" uri="{CE6537A1-D6FC-4f65-9D91-7224C49458BB}"/>
          </c:extLst>
        </c:dLbl>
      </c:pivotFmt>
      <c:pivotFmt>
        <c:idx val="1"/>
      </c:pivotFmt>
    </c:pivotFmts>
    <c:plotArea>
      <c:layout/>
      <c:pieChart>
        <c:varyColors val="1"/>
        <c:ser>
          <c:idx val="0"/>
          <c:order val="0"/>
          <c:tx>
            <c:strRef>
              <c:f>'Data Analysis'!$G$58</c:f>
              <c:strCache>
                <c:ptCount val="1"/>
                <c:pt idx="0">
                  <c:v>Total</c:v>
                </c:pt>
              </c:strCache>
            </c:strRef>
          </c:tx>
          <c:explosion val="25"/>
          <c:dPt>
            <c:idx val="0"/>
            <c:bubble3D val="0"/>
            <c:extLst>
              <c:ext xmlns:c16="http://schemas.microsoft.com/office/drawing/2014/chart" uri="{C3380CC4-5D6E-409C-BE32-E72D297353CC}">
                <c16:uniqueId val="{00000000-DADA-4FF9-B98C-496C001F7CC5}"/>
              </c:ext>
            </c:extLst>
          </c:dPt>
          <c:dLbls>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showLeaderLines val="1"/>
            <c:extLst>
              <c:ext xmlns:c15="http://schemas.microsoft.com/office/drawing/2012/chart" uri="{CE6537A1-D6FC-4f65-9D91-7224C49458BB}"/>
            </c:extLst>
          </c:dLbls>
          <c:cat>
            <c:strRef>
              <c:f>'Data Analysis'!$F$59:$F$66</c:f>
              <c:strCache>
                <c:ptCount val="7"/>
                <c:pt idx="0">
                  <c:v>Dry</c:v>
                </c:pt>
                <c:pt idx="1">
                  <c:v>Wet</c:v>
                </c:pt>
                <c:pt idx="2">
                  <c:v>Ice</c:v>
                </c:pt>
                <c:pt idx="3">
                  <c:v>Snow</c:v>
                </c:pt>
                <c:pt idx="4">
                  <c:v>Other / Unknown</c:v>
                </c:pt>
                <c:pt idx="5">
                  <c:v>Water (Standing, Moving)</c:v>
                </c:pt>
                <c:pt idx="6">
                  <c:v>Slush</c:v>
                </c:pt>
              </c:strCache>
            </c:strRef>
          </c:cat>
          <c:val>
            <c:numRef>
              <c:f>'Data Analysis'!$G$59:$G$66</c:f>
              <c:numCache>
                <c:formatCode>General</c:formatCode>
                <c:ptCount val="7"/>
                <c:pt idx="0">
                  <c:v>130</c:v>
                </c:pt>
                <c:pt idx="1">
                  <c:v>38</c:v>
                </c:pt>
                <c:pt idx="2">
                  <c:v>8</c:v>
                </c:pt>
                <c:pt idx="3">
                  <c:v>6</c:v>
                </c:pt>
                <c:pt idx="4">
                  <c:v>2</c:v>
                </c:pt>
                <c:pt idx="5">
                  <c:v>1</c:v>
                </c:pt>
                <c:pt idx="6">
                  <c:v>1</c:v>
                </c:pt>
              </c:numCache>
            </c:numRef>
          </c:val>
          <c:extLst>
            <c:ext xmlns:c16="http://schemas.microsoft.com/office/drawing/2014/chart" uri="{C3380CC4-5D6E-409C-BE32-E72D297353CC}">
              <c16:uniqueId val="{00000001-DADA-4FF9-B98C-496C001F7CC5}"/>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2021-2025.xlsx]Data Analysis!light1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Light Condition</a:t>
            </a:r>
          </a:p>
        </c:rich>
      </c:tx>
      <c:overlay val="0"/>
    </c:title>
    <c:autoTitleDeleted val="0"/>
    <c:pivotFmts>
      <c:pivotFmt>
        <c:idx val="0"/>
        <c:marker>
          <c:symbol val="none"/>
        </c:marker>
        <c:dLbl>
          <c:idx val="0"/>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extLst>
            <c:ext xmlns:c15="http://schemas.microsoft.com/office/drawing/2012/chart" uri="{CE6537A1-D6FC-4f65-9D91-7224C49458BB}"/>
          </c:extLst>
        </c:dLbl>
      </c:pivotFmt>
      <c:pivotFmt>
        <c:idx val="1"/>
      </c:pivotFmt>
    </c:pivotFmts>
    <c:plotArea>
      <c:layout/>
      <c:pieChart>
        <c:varyColors val="1"/>
        <c:ser>
          <c:idx val="0"/>
          <c:order val="0"/>
          <c:tx>
            <c:strRef>
              <c:f>'Data Analysis'!$B$71</c:f>
              <c:strCache>
                <c:ptCount val="1"/>
                <c:pt idx="0">
                  <c:v>Total</c:v>
                </c:pt>
              </c:strCache>
            </c:strRef>
          </c:tx>
          <c:dPt>
            <c:idx val="0"/>
            <c:bubble3D val="0"/>
            <c:extLst>
              <c:ext xmlns:c16="http://schemas.microsoft.com/office/drawing/2014/chart" uri="{C3380CC4-5D6E-409C-BE32-E72D297353CC}">
                <c16:uniqueId val="{00000000-F5A4-4AA4-9187-DE3EEE9E95E7}"/>
              </c:ext>
            </c:extLst>
          </c:dPt>
          <c:dLbls>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showLeaderLines val="1"/>
            <c:extLst>
              <c:ext xmlns:c15="http://schemas.microsoft.com/office/drawing/2012/chart" uri="{CE6537A1-D6FC-4f65-9D91-7224C49458BB}"/>
            </c:extLst>
          </c:dLbls>
          <c:cat>
            <c:strRef>
              <c:f>'Data Analysis'!$A$72:$A$77</c:f>
              <c:strCache>
                <c:ptCount val="5"/>
                <c:pt idx="0">
                  <c:v>Dark - Roadway Not Lighted</c:v>
                </c:pt>
                <c:pt idx="1">
                  <c:v>Daylight</c:v>
                </c:pt>
                <c:pt idx="2">
                  <c:v>Dark - Lighted Roadway</c:v>
                </c:pt>
                <c:pt idx="3">
                  <c:v>Dawn/Dusk</c:v>
                </c:pt>
                <c:pt idx="4">
                  <c:v>Other / Unknown</c:v>
                </c:pt>
              </c:strCache>
            </c:strRef>
          </c:cat>
          <c:val>
            <c:numRef>
              <c:f>'Data Analysis'!$B$72:$B$77</c:f>
              <c:numCache>
                <c:formatCode>General</c:formatCode>
                <c:ptCount val="5"/>
                <c:pt idx="0">
                  <c:v>62</c:v>
                </c:pt>
                <c:pt idx="1">
                  <c:v>62</c:v>
                </c:pt>
                <c:pt idx="2">
                  <c:v>53</c:v>
                </c:pt>
                <c:pt idx="3">
                  <c:v>8</c:v>
                </c:pt>
                <c:pt idx="4">
                  <c:v>1</c:v>
                </c:pt>
              </c:numCache>
            </c:numRef>
          </c:val>
          <c:extLst>
            <c:ext xmlns:c16="http://schemas.microsoft.com/office/drawing/2014/chart" uri="{C3380CC4-5D6E-409C-BE32-E72D297353CC}">
              <c16:uniqueId val="{00000001-F5A4-4AA4-9187-DE3EEE9E95E7}"/>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pivotSource>
    <c:name>[Attachment 1 - Ohio Department of Transportation Crash Analysis Module Report, Project Area, 2021-2025.xlsx]Data Analysis!month1</c:name>
    <c:fmtId val="0"/>
  </c:pivotSource>
  <c:chart>
    <c:title>
      <c:tx>
        <c:rich>
          <a:bodyPr/>
          <a:lstStyle/>
          <a:p>
            <a:pPr>
              <a:defRPr sz="1440" b="1" i="0" u="none" strike="noStrike" baseline="0">
                <a:solidFill>
                  <a:srgbClr val="FFFFFF"/>
                </a:solidFill>
                <a:latin typeface="Calibri"/>
                <a:ea typeface="Calibri"/>
                <a:cs typeface="Calibri"/>
              </a:defRPr>
            </a:pPr>
            <a:r>
              <a:rPr lang="en-US"/>
              <a:t>Frequency of Crashes by Month</a:t>
            </a:r>
          </a:p>
        </c:rich>
      </c:tx>
      <c:overlay val="0"/>
    </c:title>
    <c:autoTitleDeleted val="0"/>
    <c:pivotFmts>
      <c:pivotFmt>
        <c:idx val="0"/>
        <c:spPr>
          <a:solidFill>
            <a:srgbClr val="00B050"/>
          </a:solidFill>
        </c:spPr>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'Data Analysis'!$G$85</c:f>
              <c:strCache>
                <c:ptCount val="1"/>
                <c:pt idx="0">
                  <c:v>Total</c:v>
                </c:pt>
              </c:strCache>
            </c:strRef>
          </c:tx>
          <c:spPr>
            <a:solidFill>
              <a:srgbClr val="00B050"/>
            </a:solidFill>
          </c:spPr>
          <c:invertIfNegative val="0"/>
          <c:cat>
            <c:strRef>
              <c:f>'Data Analysis'!$F$86:$F$89</c:f>
              <c:strCache>
                <c:ptCount val="3"/>
                <c:pt idx="0">
                  <c:v>1</c:v>
                </c:pt>
                <c:pt idx="1">
                  <c:v>2</c:v>
                </c:pt>
                <c:pt idx="2">
                  <c:v>3</c:v>
                </c:pt>
              </c:strCache>
            </c:strRef>
          </c:cat>
          <c:val>
            <c:numRef>
              <c:f>'Data Analysis'!$G$86:$G$89</c:f>
              <c:numCache>
                <c:formatCode>General</c:formatCode>
                <c:ptCount val="3"/>
                <c:pt idx="0">
                  <c:v>62</c:v>
                </c:pt>
                <c:pt idx="1">
                  <c:v>57</c:v>
                </c:pt>
                <c:pt idx="2">
                  <c:v>67</c:v>
                </c:pt>
              </c:numCache>
            </c:numRef>
          </c:val>
          <c:extLst>
            <c:ext xmlns:c16="http://schemas.microsoft.com/office/drawing/2014/chart" uri="{C3380CC4-5D6E-409C-BE32-E72D297353CC}">
              <c16:uniqueId val="{00000000-835A-49D1-8348-ADF1FC9FB484}"/>
            </c:ext>
          </c:extLst>
        </c:ser>
        <c:dLbls>
          <c:showLegendKey val="0"/>
          <c:showVal val="0"/>
          <c:showCatName val="0"/>
          <c:showSerName val="0"/>
          <c:showPercent val="0"/>
          <c:showBubbleSize val="0"/>
        </c:dLbls>
        <c:gapWidth val="150"/>
        <c:overlap val="100"/>
        <c:axId val="334343336"/>
        <c:axId val="334343728"/>
      </c:barChart>
      <c:catAx>
        <c:axId val="334343336"/>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FFFFFF"/>
                </a:solidFill>
                <a:latin typeface="Calibri"/>
                <a:ea typeface="Calibri"/>
                <a:cs typeface="Calibri"/>
              </a:defRPr>
            </a:pPr>
            <a:endParaRPr lang="en-US"/>
          </a:p>
        </c:txPr>
        <c:crossAx val="334343728"/>
        <c:crosses val="autoZero"/>
        <c:auto val="0"/>
        <c:lblAlgn val="ctr"/>
        <c:lblOffset val="100"/>
        <c:tickLblSkip val="1"/>
        <c:tickMarkSkip val="1"/>
        <c:noMultiLvlLbl val="0"/>
      </c:catAx>
      <c:valAx>
        <c:axId val="334343728"/>
        <c:scaling>
          <c:orientation val="minMax"/>
        </c:scaling>
        <c:delete val="0"/>
        <c:axPos val="l"/>
        <c:majorGridlines/>
        <c:numFmt formatCode="General" sourceLinked="1"/>
        <c:majorTickMark val="out"/>
        <c:minorTickMark val="none"/>
        <c:tickLblPos val="nextTo"/>
        <c:txPr>
          <a:bodyPr rot="0" vert="horz"/>
          <a:lstStyle/>
          <a:p>
            <a:pPr>
              <a:defRPr sz="1200" b="0" i="0" u="none" strike="noStrike" baseline="0">
                <a:solidFill>
                  <a:srgbClr val="FFFFFF"/>
                </a:solidFill>
                <a:latin typeface="Calibri"/>
                <a:ea typeface="Calibri"/>
                <a:cs typeface="Calibri"/>
              </a:defRPr>
            </a:pPr>
            <a:endParaRPr lang="en-US"/>
          </a:p>
        </c:txPr>
        <c:crossAx val="334343336"/>
        <c:crosses val="autoZero"/>
        <c:crossBetween val="between"/>
      </c:valAx>
    </c:plotArea>
    <c:plotVisOnly val="1"/>
    <c:dispBlanksAs val="gap"/>
    <c:showDLblsOverMax val="0"/>
  </c:chart>
  <c:txPr>
    <a:bodyPr/>
    <a:lstStyle/>
    <a:p>
      <a:pPr>
        <a:defRPr sz="1200" b="0" i="0" u="none" strike="noStrike" baseline="0">
          <a:solidFill>
            <a:srgbClr val="FFFFFF"/>
          </a:solidFill>
          <a:latin typeface="Calibri"/>
          <a:ea typeface="Calibri"/>
          <a:cs typeface="Calibri"/>
        </a:defRPr>
      </a:pPr>
      <a:endParaRPr lang="en-US"/>
    </a:p>
  </c:txPr>
  <c:printSettings>
    <c:headerFooter alignWithMargins="0"/>
    <c:pageMargins b="1" l="0.75000000000000044" r="0.75000000000000044" t="1" header="0.5" footer="0.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pivotSource>
    <c:name>[Attachment 1 - Ohio Department of Transportation Crash Analysis Module Report, Project Area, 2021-2025.xlsx]Data Analysis!location1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Location</a:t>
            </a:r>
          </a:p>
        </c:rich>
      </c:tx>
      <c:overlay val="0"/>
    </c:title>
    <c:autoTitleDeleted val="0"/>
    <c:pivotFmts>
      <c:pivotFmt>
        <c:idx val="0"/>
        <c:spPr>
          <a:solidFill>
            <a:schemeClr val="accent3">
              <a:lumMod val="50000"/>
            </a:schemeClr>
          </a:solidFill>
        </c:spPr>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'Data Analysis'!$B$85</c:f>
              <c:strCache>
                <c:ptCount val="1"/>
                <c:pt idx="0">
                  <c:v>Total</c:v>
                </c:pt>
              </c:strCache>
            </c:strRef>
          </c:tx>
          <c:spPr>
            <a:solidFill>
              <a:schemeClr val="accent3">
                <a:lumMod val="50000"/>
              </a:schemeClr>
            </a:solidFill>
          </c:spPr>
          <c:invertIfNegative val="0"/>
          <c:cat>
            <c:strRef>
              <c:f>'Data Analysis'!$A$86:$A$91</c:f>
              <c:strCache>
                <c:ptCount val="5"/>
                <c:pt idx="0">
                  <c:v>Not An Intersection</c:v>
                </c:pt>
                <c:pt idx="1">
                  <c:v>Four-Way Intersection</c:v>
                </c:pt>
                <c:pt idx="2">
                  <c:v>T-Intersection</c:v>
                </c:pt>
                <c:pt idx="3">
                  <c:v>5 Or More Point Intersection</c:v>
                </c:pt>
                <c:pt idx="4">
                  <c:v>Off Ramp</c:v>
                </c:pt>
              </c:strCache>
            </c:strRef>
          </c:cat>
          <c:val>
            <c:numRef>
              <c:f>'Data Analysis'!$B$86:$B$91</c:f>
              <c:numCache>
                <c:formatCode>General</c:formatCode>
                <c:ptCount val="5"/>
                <c:pt idx="0">
                  <c:v>144</c:v>
                </c:pt>
                <c:pt idx="1">
                  <c:v>28</c:v>
                </c:pt>
                <c:pt idx="2">
                  <c:v>12</c:v>
                </c:pt>
                <c:pt idx="3">
                  <c:v>1</c:v>
                </c:pt>
                <c:pt idx="4">
                  <c:v>1</c:v>
                </c:pt>
              </c:numCache>
            </c:numRef>
          </c:val>
          <c:extLst>
            <c:ext xmlns:c16="http://schemas.microsoft.com/office/drawing/2014/chart" uri="{C3380CC4-5D6E-409C-BE32-E72D297353CC}">
              <c16:uniqueId val="{00000000-7CB7-4846-BBB5-652C246D608B}"/>
            </c:ext>
          </c:extLst>
        </c:ser>
        <c:dLbls>
          <c:showLegendKey val="0"/>
          <c:showVal val="0"/>
          <c:showCatName val="0"/>
          <c:showSerName val="0"/>
          <c:showPercent val="0"/>
          <c:showBubbleSize val="0"/>
        </c:dLbls>
        <c:gapWidth val="150"/>
        <c:axId val="338252280"/>
        <c:axId val="338252672"/>
      </c:barChart>
      <c:catAx>
        <c:axId val="338252280"/>
        <c:scaling>
          <c:orientation val="minMax"/>
        </c:scaling>
        <c:delete val="0"/>
        <c:axPos val="b"/>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38252672"/>
        <c:crosses val="autoZero"/>
        <c:auto val="0"/>
        <c:lblAlgn val="ctr"/>
        <c:lblOffset val="400"/>
        <c:tickLblSkip val="1"/>
        <c:tickMarkSkip val="1"/>
        <c:noMultiLvlLbl val="0"/>
      </c:catAx>
      <c:valAx>
        <c:axId val="338252672"/>
        <c:scaling>
          <c:orientation val="minMax"/>
        </c:scaling>
        <c:delete val="0"/>
        <c:axPos val="l"/>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252280"/>
        <c:crosses val="autoZero"/>
        <c:crossBetween val="between"/>
      </c:valAx>
    </c:plotArea>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2021-2025.xlsx]Data Analysis!contour1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Road Contour</a:t>
            </a:r>
          </a:p>
        </c:rich>
      </c:tx>
      <c:overlay val="0"/>
    </c:title>
    <c:autoTitleDeleted val="0"/>
    <c:pivotFmts>
      <c:pivotFmt>
        <c:idx val="0"/>
        <c:marker>
          <c:symbol val="none"/>
        </c:marker>
        <c:dLbl>
          <c:idx val="0"/>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extLst>
            <c:ext xmlns:c15="http://schemas.microsoft.com/office/drawing/2012/chart" uri="{CE6537A1-D6FC-4f65-9D91-7224C49458BB}"/>
          </c:extLst>
        </c:dLbl>
      </c:pivotFmt>
      <c:pivotFmt>
        <c:idx val="1"/>
      </c:pivotFmt>
    </c:pivotFmts>
    <c:view3D>
      <c:rotX val="45"/>
      <c:rotY val="0"/>
      <c:rAngAx val="0"/>
      <c:perspective val="0"/>
    </c:view3D>
    <c:floor>
      <c:thickness val="0"/>
    </c:floor>
    <c:sideWall>
      <c:thickness val="0"/>
    </c:sideWall>
    <c:backWall>
      <c:thickness val="0"/>
    </c:backWall>
    <c:plotArea>
      <c:layout/>
      <c:pie3DChart>
        <c:varyColors val="1"/>
        <c:ser>
          <c:idx val="0"/>
          <c:order val="0"/>
          <c:tx>
            <c:strRef>
              <c:f>'Data Analysis'!$B$102</c:f>
              <c:strCache>
                <c:ptCount val="1"/>
                <c:pt idx="0">
                  <c:v>Total</c:v>
                </c:pt>
              </c:strCache>
            </c:strRef>
          </c:tx>
          <c:explosion val="25"/>
          <c:dPt>
            <c:idx val="0"/>
            <c:bubble3D val="0"/>
            <c:extLst>
              <c:ext xmlns:c16="http://schemas.microsoft.com/office/drawing/2014/chart" uri="{C3380CC4-5D6E-409C-BE32-E72D297353CC}">
                <c16:uniqueId val="{00000000-1BB5-4DB3-8EAA-05EAF28FB60B}"/>
              </c:ext>
            </c:extLst>
          </c:dPt>
          <c:dLbls>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showLeaderLines val="1"/>
            <c:extLst>
              <c:ext xmlns:c15="http://schemas.microsoft.com/office/drawing/2012/chart" uri="{CE6537A1-D6FC-4f65-9D91-7224C49458BB}"/>
            </c:extLst>
          </c:dLbls>
          <c:cat>
            <c:strRef>
              <c:f>'Data Analysis'!$A$103:$A$107</c:f>
              <c:strCache>
                <c:ptCount val="4"/>
                <c:pt idx="0">
                  <c:v>Straight Level</c:v>
                </c:pt>
                <c:pt idx="1">
                  <c:v>Curve Level</c:v>
                </c:pt>
                <c:pt idx="2">
                  <c:v>Straight Grade</c:v>
                </c:pt>
                <c:pt idx="3">
                  <c:v>Curve Grade</c:v>
                </c:pt>
              </c:strCache>
            </c:strRef>
          </c:cat>
          <c:val>
            <c:numRef>
              <c:f>'Data Analysis'!$B$103:$B$107</c:f>
              <c:numCache>
                <c:formatCode>General</c:formatCode>
                <c:ptCount val="4"/>
                <c:pt idx="0">
                  <c:v>110</c:v>
                </c:pt>
                <c:pt idx="1">
                  <c:v>38</c:v>
                </c:pt>
                <c:pt idx="2">
                  <c:v>20</c:v>
                </c:pt>
                <c:pt idx="3">
                  <c:v>18</c:v>
                </c:pt>
              </c:numCache>
            </c:numRef>
          </c:val>
          <c:extLst>
            <c:ext xmlns:c16="http://schemas.microsoft.com/office/drawing/2014/chart" uri="{C3380CC4-5D6E-409C-BE32-E72D297353CC}">
              <c16:uniqueId val="{00000001-1BB5-4DB3-8EAA-05EAF28FB60B}"/>
            </c:ext>
          </c:extLst>
        </c:ser>
        <c:dLbls>
          <c:showLegendKey val="0"/>
          <c:showVal val="0"/>
          <c:showCatName val="0"/>
          <c:showSerName val="0"/>
          <c:showPercent val="0"/>
          <c:showBubbleSize val="0"/>
          <c:showLeaderLines val="1"/>
        </c:dLbls>
      </c:pie3DChart>
      <c:spPr>
        <a:noFill/>
        <a:ln w="25400">
          <a:noFill/>
        </a:ln>
      </c:spPr>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pivotSource>
    <c:name>[Attachment 1 - Ohio Department of Transportation Crash Analysis Module Report, Project Area, 2021-2025.xlsx]Data Analysis!special1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Work Zone Crashes</a:t>
            </a:r>
          </a:p>
        </c:rich>
      </c:tx>
      <c:overlay val="0"/>
    </c:title>
    <c:autoTitleDeleted val="0"/>
    <c:pivotFmts>
      <c:pivotFmt>
        <c:idx val="0"/>
        <c:marker>
          <c:symbol val="none"/>
        </c:marker>
        <c:dLbl>
          <c:idx val="0"/>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extLst>
            <c:ext xmlns:c15="http://schemas.microsoft.com/office/drawing/2012/chart" uri="{CE6537A1-D6FC-4f65-9D91-7224C49458BB}"/>
          </c:extLst>
        </c:dLbl>
      </c:pivotFmt>
      <c:pivotFmt>
        <c:idx val="1"/>
      </c:pivotFmt>
    </c:pivotFmts>
    <c:view3D>
      <c:rotX val="50"/>
      <c:rotY val="160"/>
      <c:rAngAx val="0"/>
      <c:perspective val="0"/>
    </c:view3D>
    <c:floor>
      <c:thickness val="0"/>
    </c:floor>
    <c:sideWall>
      <c:thickness val="0"/>
    </c:sideWall>
    <c:backWall>
      <c:thickness val="0"/>
    </c:backWall>
    <c:plotArea>
      <c:layout/>
      <c:pie3DChart>
        <c:varyColors val="1"/>
        <c:ser>
          <c:idx val="0"/>
          <c:order val="0"/>
          <c:tx>
            <c:strRef>
              <c:f>'Data Analysis'!$B$113</c:f>
              <c:strCache>
                <c:ptCount val="1"/>
                <c:pt idx="0">
                  <c:v>Total</c:v>
                </c:pt>
              </c:strCache>
            </c:strRef>
          </c:tx>
          <c:dPt>
            <c:idx val="0"/>
            <c:bubble3D val="0"/>
            <c:extLst>
              <c:ext xmlns:c16="http://schemas.microsoft.com/office/drawing/2014/chart" uri="{C3380CC4-5D6E-409C-BE32-E72D297353CC}">
                <c16:uniqueId val="{00000000-4F10-435F-94CD-58E2E463F2A0}"/>
              </c:ext>
            </c:extLst>
          </c:dPt>
          <c:dLbls>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showLeaderLines val="1"/>
            <c:extLst>
              <c:ext xmlns:c15="http://schemas.microsoft.com/office/drawing/2012/chart" uri="{CE6537A1-D6FC-4f65-9D91-7224C49458BB}"/>
            </c:extLst>
          </c:dLbls>
          <c:cat>
            <c:strRef>
              <c:f>'Data Analysis'!$A$114:$A$115</c:f>
              <c:strCache>
                <c:ptCount val="1"/>
                <c:pt idx="0">
                  <c:v>(blank)</c:v>
                </c:pt>
              </c:strCache>
            </c:strRef>
          </c:cat>
          <c:val>
            <c:numRef>
              <c:f>'Data Analysis'!$B$114:$B$115</c:f>
              <c:numCache>
                <c:formatCode>General</c:formatCode>
                <c:ptCount val="1"/>
                <c:pt idx="0">
                  <c:v>186</c:v>
                </c:pt>
              </c:numCache>
            </c:numRef>
          </c:val>
          <c:extLst>
            <c:ext xmlns:c16="http://schemas.microsoft.com/office/drawing/2014/chart" uri="{C3380CC4-5D6E-409C-BE32-E72D297353CC}">
              <c16:uniqueId val="{00000001-4F10-435F-94CD-58E2E463F2A0}"/>
            </c:ext>
          </c:extLst>
        </c:ser>
        <c:dLbls>
          <c:showLegendKey val="0"/>
          <c:showVal val="0"/>
          <c:showCatName val="0"/>
          <c:showSerName val="0"/>
          <c:showPercent val="0"/>
          <c:showBubbleSize val="0"/>
          <c:showLeaderLines val="1"/>
        </c:dLbls>
      </c:pie3DChart>
      <c:spPr>
        <a:noFill/>
        <a:ln w="25400">
          <a:noFill/>
        </a:ln>
      </c:spPr>
    </c:plotArea>
    <c:legend>
      <c:legendPos val="b"/>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0"/>
    </mc:Choice>
    <mc:Fallback>
      <c:style val="30"/>
    </mc:Fallback>
  </mc:AlternateContent>
  <c:pivotSource>
    <c:name>[Attachment 1 - Ohio Department of Transportation Crash Analysis Module Report, Project Area, 2021-2025.xlsx]Data Analysis!action1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Action 1</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s>
    <c:plotArea>
      <c:layout/>
      <c:barChart>
        <c:barDir val="bar"/>
        <c:grouping val="clustered"/>
        <c:varyColors val="0"/>
        <c:ser>
          <c:idx val="0"/>
          <c:order val="0"/>
          <c:tx>
            <c:strRef>
              <c:f>'Data Analysis'!$B$122</c:f>
              <c:strCache>
                <c:ptCount val="1"/>
                <c:pt idx="0">
                  <c:v>Total</c:v>
                </c:pt>
              </c:strCache>
            </c:strRef>
          </c:tx>
          <c:invertIfNegative val="0"/>
          <c:cat>
            <c:strRef>
              <c:f>'Data Analysis'!$A$123:$A$137</c:f>
              <c:strCache>
                <c:ptCount val="14"/>
                <c:pt idx="0">
                  <c:v>Straight Ahead</c:v>
                </c:pt>
                <c:pt idx="1">
                  <c:v>Negotiating a Curve</c:v>
                </c:pt>
                <c:pt idx="2">
                  <c:v>Making Left Turn</c:v>
                </c:pt>
                <c:pt idx="3">
                  <c:v>Other / Unknown</c:v>
                </c:pt>
                <c:pt idx="4">
                  <c:v>Walking, Running, Jogging, Playing</c:v>
                </c:pt>
                <c:pt idx="5">
                  <c:v>Entering Traffic Lane</c:v>
                </c:pt>
                <c:pt idx="6">
                  <c:v>Other Non-Motorist</c:v>
                </c:pt>
                <c:pt idx="7">
                  <c:v>Changing Lanes</c:v>
                </c:pt>
                <c:pt idx="8">
                  <c:v>Standing Outside Disabled Vehicle</c:v>
                </c:pt>
                <c:pt idx="9">
                  <c:v>Entering or Crossing Specified Location</c:v>
                </c:pt>
                <c:pt idx="10">
                  <c:v>Overtaking/Passing</c:v>
                </c:pt>
                <c:pt idx="11">
                  <c:v>Leaving Traffic Lane</c:v>
                </c:pt>
                <c:pt idx="12">
                  <c:v>Making Right Turn</c:v>
                </c:pt>
                <c:pt idx="13">
                  <c:v>Driverless</c:v>
                </c:pt>
              </c:strCache>
            </c:strRef>
          </c:cat>
          <c:val>
            <c:numRef>
              <c:f>'Data Analysis'!$B$123:$B$137</c:f>
              <c:numCache>
                <c:formatCode>General</c:formatCode>
                <c:ptCount val="14"/>
                <c:pt idx="0">
                  <c:v>104</c:v>
                </c:pt>
                <c:pt idx="1">
                  <c:v>37</c:v>
                </c:pt>
                <c:pt idx="2">
                  <c:v>12</c:v>
                </c:pt>
                <c:pt idx="3">
                  <c:v>10</c:v>
                </c:pt>
                <c:pt idx="4">
                  <c:v>10</c:v>
                </c:pt>
                <c:pt idx="5">
                  <c:v>3</c:v>
                </c:pt>
                <c:pt idx="6">
                  <c:v>2</c:v>
                </c:pt>
                <c:pt idx="7">
                  <c:v>2</c:v>
                </c:pt>
                <c:pt idx="8">
                  <c:v>1</c:v>
                </c:pt>
                <c:pt idx="9">
                  <c:v>1</c:v>
                </c:pt>
                <c:pt idx="10">
                  <c:v>1</c:v>
                </c:pt>
                <c:pt idx="11">
                  <c:v>1</c:v>
                </c:pt>
                <c:pt idx="12">
                  <c:v>1</c:v>
                </c:pt>
                <c:pt idx="13">
                  <c:v>1</c:v>
                </c:pt>
              </c:numCache>
            </c:numRef>
          </c:val>
          <c:extLst>
            <c:ext xmlns:c16="http://schemas.microsoft.com/office/drawing/2014/chart" uri="{C3380CC4-5D6E-409C-BE32-E72D297353CC}">
              <c16:uniqueId val="{00000000-9C10-452A-9AF4-CB1592424EFE}"/>
            </c:ext>
          </c:extLst>
        </c:ser>
        <c:dLbls>
          <c:showLegendKey val="0"/>
          <c:showVal val="0"/>
          <c:showCatName val="0"/>
          <c:showSerName val="0"/>
          <c:showPercent val="0"/>
          <c:showBubbleSize val="0"/>
        </c:dLbls>
        <c:gapWidth val="48"/>
        <c:overlap val="14"/>
        <c:axId val="338254240"/>
        <c:axId val="338254632"/>
      </c:barChart>
      <c:catAx>
        <c:axId val="338254240"/>
        <c:scaling>
          <c:orientation val="minMax"/>
        </c:scaling>
        <c:delete val="0"/>
        <c:axPos val="l"/>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254632"/>
        <c:crosses val="autoZero"/>
        <c:auto val="0"/>
        <c:lblAlgn val="ctr"/>
        <c:lblOffset val="200"/>
        <c:tickLblSkip val="1"/>
        <c:tickMarkSkip val="1"/>
        <c:noMultiLvlLbl val="0"/>
      </c:catAx>
      <c:valAx>
        <c:axId val="338254632"/>
        <c:scaling>
          <c:orientation val="minMax"/>
        </c:scaling>
        <c:delete val="0"/>
        <c:axPos val="b"/>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254240"/>
        <c:crosses val="autoZero"/>
        <c:crossBetween val="between"/>
      </c:valAx>
      <c:spPr>
        <a:solidFill>
          <a:schemeClr val="bg1">
            <a:lumMod val="75000"/>
          </a:schemeClr>
        </a:solidFill>
        <a:ln>
          <a:solidFill>
            <a:sysClr val="window" lastClr="FFFFFF">
              <a:lumMod val="50000"/>
            </a:sysClr>
          </a:solidFill>
        </a:ln>
      </c:spPr>
    </c:plotArea>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pivotSource>
    <c:name>[Attachment 1 - Ohio Department of Transportation Crash Analysis Module Report, Project Area, 2021-2025.xlsx]Data Analysis!factor1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Contributing Factor 1</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'Data Analysis'!$G$122</c:f>
              <c:strCache>
                <c:ptCount val="1"/>
                <c:pt idx="0">
                  <c:v>Total</c:v>
                </c:pt>
              </c:strCache>
            </c:strRef>
          </c:tx>
          <c:invertIfNegative val="0"/>
          <c:cat>
            <c:strRef>
              <c:f>'Data Analysis'!$F$123:$F$139</c:f>
              <c:strCache>
                <c:ptCount val="16"/>
                <c:pt idx="0">
                  <c:v>Drove off Road</c:v>
                </c:pt>
                <c:pt idx="1">
                  <c:v>Left of Center</c:v>
                </c:pt>
                <c:pt idx="2">
                  <c:v>Other Improper Action</c:v>
                </c:pt>
                <c:pt idx="3">
                  <c:v>Unsafe Speed</c:v>
                </c:pt>
                <c:pt idx="4">
                  <c:v>Failure to Yield</c:v>
                </c:pt>
                <c:pt idx="5">
                  <c:v>None</c:v>
                </c:pt>
                <c:pt idx="6">
                  <c:v>Improper Crossing</c:v>
                </c:pt>
                <c:pt idx="7">
                  <c:v>Wrong Way</c:v>
                </c:pt>
                <c:pt idx="8">
                  <c:v>Ran Stop Sign</c:v>
                </c:pt>
                <c:pt idx="9">
                  <c:v>Ran Red Light</c:v>
                </c:pt>
                <c:pt idx="10">
                  <c:v>Following Too Closely/ACDA</c:v>
                </c:pt>
                <c:pt idx="11">
                  <c:v>Not Discernible</c:v>
                </c:pt>
                <c:pt idx="12">
                  <c:v>Improper Passing</c:v>
                </c:pt>
                <c:pt idx="13">
                  <c:v>Improper Turn</c:v>
                </c:pt>
                <c:pt idx="14">
                  <c:v>Improper Lane Change</c:v>
                </c:pt>
                <c:pt idx="15">
                  <c:v>Swerving to Avoid</c:v>
                </c:pt>
              </c:strCache>
            </c:strRef>
          </c:cat>
          <c:val>
            <c:numRef>
              <c:f>'Data Analysis'!$G$123:$G$139</c:f>
              <c:numCache>
                <c:formatCode>General</c:formatCode>
                <c:ptCount val="16"/>
                <c:pt idx="0">
                  <c:v>44</c:v>
                </c:pt>
                <c:pt idx="1">
                  <c:v>31</c:v>
                </c:pt>
                <c:pt idx="2">
                  <c:v>23</c:v>
                </c:pt>
                <c:pt idx="3">
                  <c:v>19</c:v>
                </c:pt>
                <c:pt idx="4">
                  <c:v>17</c:v>
                </c:pt>
                <c:pt idx="5">
                  <c:v>9</c:v>
                </c:pt>
                <c:pt idx="6">
                  <c:v>8</c:v>
                </c:pt>
                <c:pt idx="7">
                  <c:v>7</c:v>
                </c:pt>
                <c:pt idx="8">
                  <c:v>6</c:v>
                </c:pt>
                <c:pt idx="9">
                  <c:v>5</c:v>
                </c:pt>
                <c:pt idx="10">
                  <c:v>5</c:v>
                </c:pt>
                <c:pt idx="11">
                  <c:v>4</c:v>
                </c:pt>
                <c:pt idx="12">
                  <c:v>3</c:v>
                </c:pt>
                <c:pt idx="13">
                  <c:v>2</c:v>
                </c:pt>
                <c:pt idx="14">
                  <c:v>2</c:v>
                </c:pt>
                <c:pt idx="15">
                  <c:v>1</c:v>
                </c:pt>
              </c:numCache>
            </c:numRef>
          </c:val>
          <c:extLst>
            <c:ext xmlns:c16="http://schemas.microsoft.com/office/drawing/2014/chart" uri="{C3380CC4-5D6E-409C-BE32-E72D297353CC}">
              <c16:uniqueId val="{00000000-51F5-4089-86D7-99FEE402E201}"/>
            </c:ext>
          </c:extLst>
        </c:ser>
        <c:dLbls>
          <c:showLegendKey val="0"/>
          <c:showVal val="0"/>
          <c:showCatName val="0"/>
          <c:showSerName val="0"/>
          <c:showPercent val="0"/>
          <c:showBubbleSize val="0"/>
        </c:dLbls>
        <c:gapWidth val="150"/>
        <c:overlap val="100"/>
        <c:axId val="338255416"/>
        <c:axId val="338255808"/>
      </c:barChart>
      <c:catAx>
        <c:axId val="338255416"/>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en-US"/>
          </a:p>
        </c:txPr>
        <c:crossAx val="338255808"/>
        <c:crosses val="autoZero"/>
        <c:auto val="0"/>
        <c:lblAlgn val="ctr"/>
        <c:lblOffset val="300"/>
        <c:tickLblSkip val="1"/>
        <c:tickMarkSkip val="1"/>
        <c:noMultiLvlLbl val="0"/>
      </c:catAx>
      <c:valAx>
        <c:axId val="338255808"/>
        <c:scaling>
          <c:orientation val="minMax"/>
        </c:scaling>
        <c:delete val="0"/>
        <c:axPos val="l"/>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255416"/>
        <c:crosses val="autoZero"/>
        <c:crossBetween val="between"/>
      </c:valAx>
      <c:spPr>
        <a:gradFill>
          <a:gsLst>
            <a:gs pos="24000">
              <a:sysClr val="window" lastClr="FFFFFF">
                <a:lumMod val="65000"/>
              </a:sysClr>
            </a:gs>
            <a:gs pos="100000">
              <a:srgbClr val="E6E6E6"/>
            </a:gs>
          </a:gsLst>
          <a:lin ang="16200000" scaled="0"/>
        </a:gradFill>
      </c:spPr>
    </c:plotArea>
    <c:plotVisOnly val="1"/>
    <c:dispBlanksAs val="gap"/>
    <c:showDLblsOverMax val="0"/>
  </c:chart>
  <c:spPr>
    <a:solidFill>
      <a:schemeClr val="bg1"/>
    </a:solidFill>
  </c:spPr>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pivotSource>
    <c:name>[Attachment 1 - Ohio Department of Transportation Crash Analysis Module Report, Project Area, 2021-2025.xlsx]Data Analysis!object1</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Object Struck 1</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'Data Analysis'!$B$150</c:f>
              <c:strCache>
                <c:ptCount val="1"/>
                <c:pt idx="0">
                  <c:v>Total</c:v>
                </c:pt>
              </c:strCache>
            </c:strRef>
          </c:tx>
          <c:invertIfNegative val="0"/>
          <c:cat>
            <c:strRef>
              <c:f>'Data Analysis'!$A$151</c:f>
              <c:strCache>
                <c:ptCount val="1"/>
                <c:pt idx="0">
                  <c:v>Total</c:v>
                </c:pt>
              </c:strCache>
            </c:strRef>
          </c:cat>
          <c:val>
            <c:numRef>
              <c:f>'Data Analysis'!$B$151</c:f>
              <c:numCache>
                <c:formatCode>General</c:formatCode>
                <c:ptCount val="1"/>
                <c:pt idx="0">
                  <c:v>186</c:v>
                </c:pt>
              </c:numCache>
            </c:numRef>
          </c:val>
          <c:extLst>
            <c:ext xmlns:c16="http://schemas.microsoft.com/office/drawing/2014/chart" uri="{C3380CC4-5D6E-409C-BE32-E72D297353CC}">
              <c16:uniqueId val="{00000000-67A5-47F1-AA67-7ED94EB25134}"/>
            </c:ext>
          </c:extLst>
        </c:ser>
        <c:dLbls>
          <c:showLegendKey val="0"/>
          <c:showVal val="0"/>
          <c:showCatName val="0"/>
          <c:showSerName val="0"/>
          <c:showPercent val="0"/>
          <c:showBubbleSize val="0"/>
        </c:dLbls>
        <c:gapWidth val="150"/>
        <c:overlap val="100"/>
        <c:axId val="338256592"/>
        <c:axId val="338256984"/>
      </c:barChart>
      <c:catAx>
        <c:axId val="338256592"/>
        <c:scaling>
          <c:orientation val="minMax"/>
        </c:scaling>
        <c:delete val="0"/>
        <c:axPos val="b"/>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38256984"/>
        <c:crosses val="autoZero"/>
        <c:auto val="0"/>
        <c:lblAlgn val="ctr"/>
        <c:lblOffset val="200"/>
        <c:tickLblSkip val="1"/>
        <c:tickMarkSkip val="1"/>
        <c:noMultiLvlLbl val="0"/>
      </c:catAx>
      <c:valAx>
        <c:axId val="338256984"/>
        <c:scaling>
          <c:orientation val="minMax"/>
        </c:scaling>
        <c:delete val="0"/>
        <c:axPos val="l"/>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256592"/>
        <c:crosses val="autoZero"/>
        <c:crossBetween val="between"/>
      </c:valAx>
    </c:plotArea>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2021-2025.xlsx]Data Analysis!alcohol1</c:name>
    <c:fmtId val="0"/>
  </c:pivotSource>
  <c:chart>
    <c:title>
      <c:tx>
        <c:rich>
          <a:bodyPr/>
          <a:lstStyle/>
          <a:p>
            <a:pPr>
              <a:defRPr sz="1440" b="1" i="0" u="none" strike="noStrike" baseline="0">
                <a:solidFill>
                  <a:srgbClr val="000000"/>
                </a:solidFill>
                <a:latin typeface="Calibri"/>
                <a:ea typeface="Calibri"/>
                <a:cs typeface="Calibri"/>
              </a:defRPr>
            </a:pPr>
            <a:r>
              <a:rPr lang="en-US"/>
              <a:t>Driver 1 Alcohol</a:t>
            </a:r>
          </a:p>
        </c:rich>
      </c:tx>
      <c:overlay val="0"/>
    </c:title>
    <c:autoTitleDeleted val="0"/>
    <c:pivotFmts>
      <c:pivotFmt>
        <c:idx val="0"/>
        <c:marker>
          <c:symbol val="none"/>
        </c:marker>
        <c:dLbl>
          <c:idx val="0"/>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extLst>
            <c:ext xmlns:c15="http://schemas.microsoft.com/office/drawing/2012/chart" uri="{CE6537A1-D6FC-4f65-9D91-7224C49458BB}"/>
          </c:extLst>
        </c:dLbl>
      </c:pivotFmt>
      <c:pivotFmt>
        <c:idx val="1"/>
      </c:pivotFmt>
    </c:pivotFmts>
    <c:plotArea>
      <c:layout/>
      <c:pieChart>
        <c:varyColors val="1"/>
        <c:ser>
          <c:idx val="0"/>
          <c:order val="0"/>
          <c:tx>
            <c:strRef>
              <c:f>'Data Analysis'!$B$171</c:f>
              <c:strCache>
                <c:ptCount val="1"/>
                <c:pt idx="0">
                  <c:v>Total</c:v>
                </c:pt>
              </c:strCache>
            </c:strRef>
          </c:tx>
          <c:dPt>
            <c:idx val="0"/>
            <c:bubble3D val="0"/>
            <c:extLst>
              <c:ext xmlns:c16="http://schemas.microsoft.com/office/drawing/2014/chart" uri="{C3380CC4-5D6E-409C-BE32-E72D297353CC}">
                <c16:uniqueId val="{00000000-0CAE-44B8-B906-F8140D5C71C7}"/>
              </c:ext>
            </c:extLst>
          </c:dPt>
          <c:dLbls>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showLeaderLines val="1"/>
            <c:extLst>
              <c:ext xmlns:c15="http://schemas.microsoft.com/office/drawing/2012/chart" uri="{CE6537A1-D6FC-4f65-9D91-7224C49458BB}"/>
            </c:extLst>
          </c:dLbls>
          <c:cat>
            <c:strRef>
              <c:f>'Data Analysis'!$A$172:$A$174</c:f>
              <c:strCache>
                <c:ptCount val="2"/>
                <c:pt idx="0">
                  <c:v>No</c:v>
                </c:pt>
                <c:pt idx="1">
                  <c:v>Yes</c:v>
                </c:pt>
              </c:strCache>
            </c:strRef>
          </c:cat>
          <c:val>
            <c:numRef>
              <c:f>'Data Analysis'!$B$172:$B$174</c:f>
              <c:numCache>
                <c:formatCode>General</c:formatCode>
                <c:ptCount val="2"/>
                <c:pt idx="0">
                  <c:v>134</c:v>
                </c:pt>
                <c:pt idx="1">
                  <c:v>52</c:v>
                </c:pt>
              </c:numCache>
            </c:numRef>
          </c:val>
          <c:extLst>
            <c:ext xmlns:c16="http://schemas.microsoft.com/office/drawing/2014/chart" uri="{C3380CC4-5D6E-409C-BE32-E72D297353CC}">
              <c16:uniqueId val="{00000001-0CAE-44B8-B906-F8140D5C71C7}"/>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Fatalities and</a:t>
            </a:r>
            <a:r>
              <a:rPr lang="en-US" baseline="0"/>
              <a:t> Serious Injuries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102143482064741"/>
          <c:y val="0.17171296296296296"/>
          <c:w val="0.70212379702537187"/>
          <c:h val="0.62329432779235938"/>
        </c:manualLayout>
      </c:layout>
      <c:lineChart>
        <c:grouping val="standard"/>
        <c:varyColors val="0"/>
        <c:ser>
          <c:idx val="0"/>
          <c:order val="0"/>
          <c:tx>
            <c:strRef>
              <c:f>'Crash Analysis'!$Q$3</c:f>
              <c:strCache>
                <c:ptCount val="1"/>
                <c:pt idx="0">
                  <c:v>Fatalities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'Crash Analysis'!$P$4:$P$9</c:f>
              <c:strCache>
                <c:ptCount val="5"/>
                <c:pt idx="0">
                  <c:v>2021</c:v>
                </c:pt>
                <c:pt idx="1">
                  <c:v>2022</c:v>
                </c:pt>
                <c:pt idx="2">
                  <c:v>2023</c:v>
                </c:pt>
                <c:pt idx="3">
                  <c:v>2024</c:v>
                </c:pt>
                <c:pt idx="4">
                  <c:v>2025</c:v>
                </c:pt>
              </c:strCache>
            </c:strRef>
          </c:cat>
          <c:val>
            <c:numRef>
              <c:f>'Crash Analysis'!$Q$4:$Q$9</c:f>
              <c:numCache>
                <c:formatCode>General</c:formatCode>
                <c:ptCount val="5"/>
                <c:pt idx="0">
                  <c:v>0</c:v>
                </c:pt>
                <c:pt idx="1">
                  <c:v>0</c:v>
                </c:pt>
                <c:pt idx="2">
                  <c:v>1</c:v>
                </c:pt>
                <c:pt idx="3">
                  <c:v>0</c:v>
                </c:pt>
                <c:pt idx="4">
                  <c:v>0</c:v>
                </c:pt>
              </c:numCache>
            </c:numRef>
          </c:val>
          <c:smooth val="0"/>
          <c:extLst>
            <c:ext xmlns:c16="http://schemas.microsoft.com/office/drawing/2014/chart" uri="{C3380CC4-5D6E-409C-BE32-E72D297353CC}">
              <c16:uniqueId val="{00000000-B0FC-46C3-8F79-21C772EFB77B}"/>
            </c:ext>
          </c:extLst>
        </c:ser>
        <c:dLbls>
          <c:showLegendKey val="0"/>
          <c:showVal val="0"/>
          <c:showCatName val="0"/>
          <c:showSerName val="0"/>
          <c:showPercent val="0"/>
          <c:showBubbleSize val="0"/>
        </c:dLbls>
        <c:marker val="1"/>
        <c:smooth val="0"/>
        <c:axId val="331648512"/>
        <c:axId val="331648904"/>
      </c:lineChart>
      <c:lineChart>
        <c:grouping val="standard"/>
        <c:varyColors val="0"/>
        <c:ser>
          <c:idx val="1"/>
          <c:order val="1"/>
          <c:tx>
            <c:strRef>
              <c:f>'Crash Analysis'!$R$3</c:f>
              <c:strCache>
                <c:ptCount val="1"/>
                <c:pt idx="0">
                  <c:v>Serious Injuries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'Crash Analysis'!$P$4:$P$9</c:f>
              <c:strCache>
                <c:ptCount val="5"/>
                <c:pt idx="0">
                  <c:v>2021</c:v>
                </c:pt>
                <c:pt idx="1">
                  <c:v>2022</c:v>
                </c:pt>
                <c:pt idx="2">
                  <c:v>2023</c:v>
                </c:pt>
                <c:pt idx="3">
                  <c:v>2024</c:v>
                </c:pt>
                <c:pt idx="4">
                  <c:v>2025</c:v>
                </c:pt>
              </c:strCache>
            </c:strRef>
          </c:cat>
          <c:val>
            <c:numRef>
              <c:f>'Crash Analysis'!$R$4:$R$9</c:f>
              <c:numCache>
                <c:formatCode>General</c:formatCode>
                <c:ptCount val="5"/>
                <c:pt idx="0">
                  <c:v>4</c:v>
                </c:pt>
                <c:pt idx="1">
                  <c:v>1</c:v>
                </c:pt>
                <c:pt idx="2">
                  <c:v>2</c:v>
                </c:pt>
                <c:pt idx="3">
                  <c:v>0</c:v>
                </c:pt>
                <c:pt idx="4">
                  <c:v>2</c:v>
                </c:pt>
              </c:numCache>
            </c:numRef>
          </c:val>
          <c:smooth val="0"/>
          <c:extLst>
            <c:ext xmlns:c16="http://schemas.microsoft.com/office/drawing/2014/chart" uri="{C3380CC4-5D6E-409C-BE32-E72D297353CC}">
              <c16:uniqueId val="{00000001-B0FC-46C3-8F79-21C772EFB77B}"/>
            </c:ext>
          </c:extLst>
        </c:ser>
        <c:dLbls>
          <c:showLegendKey val="0"/>
          <c:showVal val="0"/>
          <c:showCatName val="0"/>
          <c:showSerName val="0"/>
          <c:showPercent val="0"/>
          <c:showBubbleSize val="0"/>
        </c:dLbls>
        <c:marker val="1"/>
        <c:smooth val="0"/>
        <c:axId val="331649688"/>
        <c:axId val="331649296"/>
      </c:lineChart>
      <c:catAx>
        <c:axId val="331648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48904"/>
        <c:crosses val="autoZero"/>
        <c:auto val="1"/>
        <c:lblAlgn val="ctr"/>
        <c:lblOffset val="100"/>
        <c:noMultiLvlLbl val="0"/>
      </c:catAx>
      <c:valAx>
        <c:axId val="331648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Fatalities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48512"/>
        <c:crosses val="autoZero"/>
        <c:crossBetween val="between"/>
        <c:majorUnit val="1"/>
      </c:valAx>
      <c:valAx>
        <c:axId val="33164929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Serious Injuries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49688"/>
        <c:crosses val="max"/>
        <c:crossBetween val="between"/>
        <c:majorUnit val="1"/>
      </c:valAx>
      <c:catAx>
        <c:axId val="331649688"/>
        <c:scaling>
          <c:orientation val="minMax"/>
        </c:scaling>
        <c:delete val="1"/>
        <c:axPos val="b"/>
        <c:numFmt formatCode="General" sourceLinked="1"/>
        <c:majorTickMark val="out"/>
        <c:minorTickMark val="none"/>
        <c:tickLblPos val="nextTo"/>
        <c:crossAx val="331649296"/>
        <c:crosses val="autoZero"/>
        <c:auto val="1"/>
        <c:lblAlgn val="ctr"/>
        <c:lblOffset val="100"/>
        <c:noMultiLvlLbl val="0"/>
      </c:catAx>
      <c:spPr>
        <a:noFill/>
        <a:ln>
          <a:noFill/>
        </a:ln>
        <a:effectLst/>
      </c:spPr>
    </c:plotArea>
    <c:legend>
      <c:legendPos val="b"/>
      <c:layout>
        <c:manualLayout>
          <c:xMode val="edge"/>
          <c:yMode val="edge"/>
          <c:x val="0.19834919072615922"/>
          <c:y val="0.7089114902303878"/>
          <c:w val="0.587460629921259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rgbClr val="FFFFFF"/>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2021-2025.xlsx]Data Analysis!alcohol2</c:name>
    <c:fmtId val="0"/>
  </c:pivotSource>
  <c:chart>
    <c:title>
      <c:tx>
        <c:rich>
          <a:bodyPr/>
          <a:lstStyle/>
          <a:p>
            <a:pPr>
              <a:defRPr sz="1440" b="1" i="0" u="none" strike="noStrike" baseline="0">
                <a:solidFill>
                  <a:srgbClr val="000000"/>
                </a:solidFill>
                <a:latin typeface="Calibri"/>
                <a:ea typeface="Calibri"/>
                <a:cs typeface="Calibri"/>
              </a:defRPr>
            </a:pPr>
            <a:r>
              <a:rPr lang="en-US"/>
              <a:t>Driver 2 Alcohol</a:t>
            </a:r>
          </a:p>
        </c:rich>
      </c:tx>
      <c:overlay val="0"/>
    </c:title>
    <c:autoTitleDeleted val="0"/>
    <c:pivotFmts>
      <c:pivotFmt>
        <c:idx val="0"/>
        <c:marker>
          <c:symbol val="none"/>
        </c:marker>
        <c:dLbl>
          <c:idx val="0"/>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extLst>
            <c:ext xmlns:c15="http://schemas.microsoft.com/office/drawing/2012/chart" uri="{CE6537A1-D6FC-4f65-9D91-7224C49458BB}"/>
          </c:extLst>
        </c:dLbl>
      </c:pivotFmt>
      <c:pivotFmt>
        <c:idx val="1"/>
      </c:pivotFmt>
    </c:pivotFmts>
    <c:plotArea>
      <c:layout/>
      <c:pieChart>
        <c:varyColors val="1"/>
        <c:ser>
          <c:idx val="0"/>
          <c:order val="0"/>
          <c:tx>
            <c:strRef>
              <c:f>'Data Analysis'!$B$311</c:f>
              <c:strCache>
                <c:ptCount val="1"/>
                <c:pt idx="0">
                  <c:v>Total</c:v>
                </c:pt>
              </c:strCache>
            </c:strRef>
          </c:tx>
          <c:dPt>
            <c:idx val="0"/>
            <c:bubble3D val="0"/>
            <c:extLst>
              <c:ext xmlns:c16="http://schemas.microsoft.com/office/drawing/2014/chart" uri="{C3380CC4-5D6E-409C-BE32-E72D297353CC}">
                <c16:uniqueId val="{00000000-D862-4E38-96C5-2446281E5BBF}"/>
              </c:ext>
            </c:extLst>
          </c:dPt>
          <c:dLbls>
            <c:spPr/>
            <c:txPr>
              <a:bodyPr/>
              <a:lstStyle/>
              <a:p>
                <a:pPr>
                  <a:defRPr sz="1200" b="1" i="0" u="none" strike="noStrike" baseline="0">
                    <a:solidFill>
                      <a:srgbClr val="000000"/>
                    </a:solidFill>
                    <a:latin typeface="Calibri"/>
                    <a:ea typeface="Calibri"/>
                    <a:cs typeface="Calibri"/>
                  </a:defRPr>
                </a:pPr>
                <a:endParaRPr lang="en-US"/>
              </a:p>
            </c:txPr>
            <c:showLegendKey val="1"/>
            <c:showVal val="1"/>
            <c:showCatName val="0"/>
            <c:showSerName val="0"/>
            <c:showPercent val="1"/>
            <c:showBubbleSize val="0"/>
            <c:showLeaderLines val="1"/>
            <c:extLst>
              <c:ext xmlns:c15="http://schemas.microsoft.com/office/drawing/2012/chart" uri="{CE6537A1-D6FC-4f65-9D91-7224C49458BB}"/>
            </c:extLst>
          </c:dLbls>
          <c:cat>
            <c:strRef>
              <c:f>'Data Analysis'!$A$312:$A$313</c:f>
              <c:strCache>
                <c:ptCount val="1"/>
                <c:pt idx="0">
                  <c:v>(blank)</c:v>
                </c:pt>
              </c:strCache>
            </c:strRef>
          </c:cat>
          <c:val>
            <c:numRef>
              <c:f>'Data Analysis'!$B$312:$B$313</c:f>
              <c:numCache>
                <c:formatCode>General</c:formatCode>
                <c:ptCount val="1"/>
                <c:pt idx="0">
                  <c:v>186</c:v>
                </c:pt>
              </c:numCache>
            </c:numRef>
          </c:val>
          <c:extLst>
            <c:ext xmlns:c16="http://schemas.microsoft.com/office/drawing/2014/chart" uri="{C3380CC4-5D6E-409C-BE32-E72D297353CC}">
              <c16:uniqueId val="{00000001-D862-4E38-96C5-2446281E5BBF}"/>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pivotSource>
    <c:name>[Attachment 1 - Ohio Department of Transportation Crash Analysis Module Report, Project Area, 2021-2025.xlsx]Data Analysis!action2</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Action 2</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s>
    <c:plotArea>
      <c:layout/>
      <c:barChart>
        <c:barDir val="bar"/>
        <c:grouping val="clustered"/>
        <c:varyColors val="0"/>
        <c:ser>
          <c:idx val="0"/>
          <c:order val="0"/>
          <c:tx>
            <c:strRef>
              <c:f>'Data Analysis'!$B$267</c:f>
              <c:strCache>
                <c:ptCount val="1"/>
                <c:pt idx="0">
                  <c:v>Total</c:v>
                </c:pt>
              </c:strCache>
            </c:strRef>
          </c:tx>
          <c:invertIfNegative val="0"/>
          <c:cat>
            <c:strRef>
              <c:f>'Data Analysis'!$A$268:$A$277</c:f>
              <c:strCache>
                <c:ptCount val="9"/>
                <c:pt idx="0">
                  <c:v>Straight Ahead</c:v>
                </c:pt>
                <c:pt idx="2">
                  <c:v>Parked</c:v>
                </c:pt>
                <c:pt idx="3">
                  <c:v>Slowing or Stopped In Traffic</c:v>
                </c:pt>
                <c:pt idx="4">
                  <c:v>Negotiating a Curve</c:v>
                </c:pt>
                <c:pt idx="5">
                  <c:v>Other / Unknown</c:v>
                </c:pt>
                <c:pt idx="6">
                  <c:v>Walking, Running, Jogging, Playing</c:v>
                </c:pt>
                <c:pt idx="7">
                  <c:v>Other Non-Motorist</c:v>
                </c:pt>
                <c:pt idx="8">
                  <c:v>Making Left Turn</c:v>
                </c:pt>
              </c:strCache>
            </c:strRef>
          </c:cat>
          <c:val>
            <c:numRef>
              <c:f>'Data Analysis'!$B$268:$B$277</c:f>
              <c:numCache>
                <c:formatCode>General</c:formatCode>
                <c:ptCount val="9"/>
                <c:pt idx="0">
                  <c:v>93</c:v>
                </c:pt>
                <c:pt idx="1">
                  <c:v>62</c:v>
                </c:pt>
                <c:pt idx="2">
                  <c:v>8</c:v>
                </c:pt>
                <c:pt idx="3">
                  <c:v>6</c:v>
                </c:pt>
                <c:pt idx="4">
                  <c:v>5</c:v>
                </c:pt>
                <c:pt idx="5">
                  <c:v>5</c:v>
                </c:pt>
                <c:pt idx="6">
                  <c:v>3</c:v>
                </c:pt>
                <c:pt idx="7">
                  <c:v>2</c:v>
                </c:pt>
                <c:pt idx="8">
                  <c:v>2</c:v>
                </c:pt>
              </c:numCache>
            </c:numRef>
          </c:val>
          <c:extLst>
            <c:ext xmlns:c16="http://schemas.microsoft.com/office/drawing/2014/chart" uri="{C3380CC4-5D6E-409C-BE32-E72D297353CC}">
              <c16:uniqueId val="{00000000-7088-43AC-8FD0-8A86CC468FF2}"/>
            </c:ext>
          </c:extLst>
        </c:ser>
        <c:dLbls>
          <c:showLegendKey val="0"/>
          <c:showVal val="0"/>
          <c:showCatName val="0"/>
          <c:showSerName val="0"/>
          <c:showPercent val="0"/>
          <c:showBubbleSize val="0"/>
        </c:dLbls>
        <c:gapWidth val="150"/>
        <c:axId val="338258552"/>
        <c:axId val="338258944"/>
      </c:barChart>
      <c:catAx>
        <c:axId val="338258552"/>
        <c:scaling>
          <c:orientation val="minMax"/>
        </c:scaling>
        <c:delete val="0"/>
        <c:axPos val="l"/>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258944"/>
        <c:crosses val="autoZero"/>
        <c:auto val="0"/>
        <c:lblAlgn val="ctr"/>
        <c:lblOffset val="200"/>
        <c:tickLblSkip val="1"/>
        <c:tickMarkSkip val="1"/>
        <c:noMultiLvlLbl val="0"/>
      </c:catAx>
      <c:valAx>
        <c:axId val="338258944"/>
        <c:scaling>
          <c:orientation val="minMax"/>
        </c:scaling>
        <c:delete val="0"/>
        <c:axPos val="b"/>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258552"/>
        <c:crosses val="autoZero"/>
        <c:crossBetween val="between"/>
      </c:valAx>
      <c:spPr>
        <a:solidFill>
          <a:schemeClr val="bg1">
            <a:lumMod val="75000"/>
          </a:schemeClr>
        </a:solidFill>
        <a:ln>
          <a:solidFill>
            <a:schemeClr val="bg1">
              <a:lumMod val="50000"/>
            </a:schemeClr>
          </a:solidFill>
        </a:ln>
      </c:spPr>
    </c:plotArea>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5"/>
    </mc:Choice>
    <mc:Fallback>
      <c:style val="25"/>
    </mc:Fallback>
  </mc:AlternateContent>
  <c:pivotSource>
    <c:name>[Attachment 1 - Ohio Department of Transportation Crash Analysis Module Report, Project Area, 2021-2025.xlsx]Data Analysis!factor2</c:name>
    <c:fmtId val="0"/>
  </c:pivotSource>
  <c:chart>
    <c:title>
      <c:tx>
        <c:rich>
          <a:bodyPr/>
          <a:lstStyle/>
          <a:p>
            <a:pPr>
              <a:defRPr sz="1440" b="1" i="0" u="none" strike="noStrike" baseline="0">
                <a:solidFill>
                  <a:srgbClr val="000000"/>
                </a:solidFill>
                <a:latin typeface="Calibri"/>
                <a:ea typeface="Calibri"/>
                <a:cs typeface="Calibri"/>
              </a:defRPr>
            </a:pPr>
            <a:r>
              <a:rPr lang="en-US"/>
              <a:t>Frequency of Crashes by Contributing Factor 2</a:t>
            </a:r>
          </a:p>
        </c:rich>
      </c:tx>
      <c:overlay val="0"/>
    </c:title>
    <c:autoTitleDeleted val="0"/>
    <c:pivotFmts>
      <c:pivotFmt>
        <c:idx val="0"/>
        <c:spPr>
          <a:solidFill>
            <a:schemeClr val="tx1"/>
          </a:solidFill>
        </c:spPr>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'Data Analysis'!$G$267</c:f>
              <c:strCache>
                <c:ptCount val="1"/>
                <c:pt idx="0">
                  <c:v>Total</c:v>
                </c:pt>
              </c:strCache>
            </c:strRef>
          </c:tx>
          <c:spPr>
            <a:solidFill>
              <a:schemeClr val="tx1"/>
            </a:solidFill>
          </c:spPr>
          <c:invertIfNegative val="0"/>
          <c:cat>
            <c:strRef>
              <c:f>'Data Analysis'!$F$268:$F$278</c:f>
              <c:strCache>
                <c:ptCount val="10"/>
                <c:pt idx="0">
                  <c:v>None</c:v>
                </c:pt>
                <c:pt idx="2">
                  <c:v>Not Discernible</c:v>
                </c:pt>
                <c:pt idx="3">
                  <c:v>Other Improper Action</c:v>
                </c:pt>
                <c:pt idx="4">
                  <c:v>Failure to Yield</c:v>
                </c:pt>
                <c:pt idx="5">
                  <c:v>Improper Crossing</c:v>
                </c:pt>
                <c:pt idx="6">
                  <c:v>Lying in Roadway</c:v>
                </c:pt>
                <c:pt idx="7">
                  <c:v>Unsafe Speed</c:v>
                </c:pt>
                <c:pt idx="8">
                  <c:v>Swerving to Avoid</c:v>
                </c:pt>
                <c:pt idx="9">
                  <c:v>Following Too Closely/ACDA</c:v>
                </c:pt>
              </c:strCache>
            </c:strRef>
          </c:cat>
          <c:val>
            <c:numRef>
              <c:f>'Data Analysis'!$G$268:$G$278</c:f>
              <c:numCache>
                <c:formatCode>General</c:formatCode>
                <c:ptCount val="10"/>
                <c:pt idx="0">
                  <c:v>111</c:v>
                </c:pt>
                <c:pt idx="1">
                  <c:v>62</c:v>
                </c:pt>
                <c:pt idx="2">
                  <c:v>5</c:v>
                </c:pt>
                <c:pt idx="3">
                  <c:v>2</c:v>
                </c:pt>
                <c:pt idx="4">
                  <c:v>1</c:v>
                </c:pt>
                <c:pt idx="5">
                  <c:v>1</c:v>
                </c:pt>
                <c:pt idx="6">
                  <c:v>1</c:v>
                </c:pt>
                <c:pt idx="7">
                  <c:v>1</c:v>
                </c:pt>
                <c:pt idx="8">
                  <c:v>1</c:v>
                </c:pt>
                <c:pt idx="9">
                  <c:v>1</c:v>
                </c:pt>
              </c:numCache>
            </c:numRef>
          </c:val>
          <c:extLst>
            <c:ext xmlns:c16="http://schemas.microsoft.com/office/drawing/2014/chart" uri="{C3380CC4-5D6E-409C-BE32-E72D297353CC}">
              <c16:uniqueId val="{00000000-B8A9-4C5E-9A9C-99A595539AA2}"/>
            </c:ext>
          </c:extLst>
        </c:ser>
        <c:dLbls>
          <c:showLegendKey val="0"/>
          <c:showVal val="0"/>
          <c:showCatName val="0"/>
          <c:showSerName val="0"/>
          <c:showPercent val="0"/>
          <c:showBubbleSize val="0"/>
        </c:dLbls>
        <c:gapWidth val="150"/>
        <c:overlap val="100"/>
        <c:axId val="338792592"/>
        <c:axId val="338792984"/>
      </c:barChart>
      <c:catAx>
        <c:axId val="338792592"/>
        <c:scaling>
          <c:orientation val="minMax"/>
        </c:scaling>
        <c:delete val="0"/>
        <c:axPos val="b"/>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38792984"/>
        <c:crosses val="autoZero"/>
        <c:auto val="0"/>
        <c:lblAlgn val="ctr"/>
        <c:lblOffset val="250"/>
        <c:tickLblSkip val="1"/>
        <c:tickMarkSkip val="1"/>
        <c:noMultiLvlLbl val="0"/>
      </c:catAx>
      <c:valAx>
        <c:axId val="338792984"/>
        <c:scaling>
          <c:orientation val="minMax"/>
        </c:scaling>
        <c:delete val="0"/>
        <c:axPos val="l"/>
        <c:majorGridlines/>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792592"/>
        <c:crosses val="autoZero"/>
        <c:crossBetween val="between"/>
      </c:valAx>
      <c:spPr>
        <a:gradFill>
          <a:gsLst>
            <a:gs pos="24000">
              <a:sysClr val="window" lastClr="FFFFFF">
                <a:lumMod val="65000"/>
              </a:sysClr>
            </a:gs>
            <a:gs pos="100000">
              <a:srgbClr val="E6E6E6"/>
            </a:gs>
          </a:gsLst>
          <a:lin ang="16200000" scaled="0"/>
        </a:gradFill>
      </c:spPr>
    </c:plotArea>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6"/>
    </mc:Choice>
    <mc:Fallback>
      <c:style val="46"/>
    </mc:Fallback>
  </mc:AlternateContent>
  <c:pivotSource>
    <c:name>[Attachment 1 - Ohio Department of Transportation Crash Analysis Module Report, Project Area, 2021-2025.xlsx]Data Analysis!animal1</c:name>
    <c:fmtId val="0"/>
  </c:pivotSource>
  <c:chart>
    <c:title>
      <c:tx>
        <c:rich>
          <a:bodyPr/>
          <a:lstStyle/>
          <a:p>
            <a:pPr>
              <a:defRPr sz="1800" b="1" i="0" u="none" strike="noStrike" baseline="0">
                <a:solidFill>
                  <a:srgbClr val="FFFFFF"/>
                </a:solidFill>
                <a:latin typeface="Calibri"/>
                <a:ea typeface="Calibri"/>
                <a:cs typeface="Calibri"/>
              </a:defRPr>
            </a:pPr>
            <a:r>
              <a:rPr lang="en-US"/>
              <a:t>Frequency of Animal Crashes</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'Data Analysis'!$G$113</c:f>
              <c:strCache>
                <c:ptCount val="1"/>
                <c:pt idx="0">
                  <c:v>Total</c:v>
                </c:pt>
              </c:strCache>
            </c:strRef>
          </c:tx>
          <c:invertIfNegative val="0"/>
          <c:cat>
            <c:strRef>
              <c:f>'Data Analysis'!$F$114:$F$115</c:f>
              <c:strCache>
                <c:ptCount val="1"/>
                <c:pt idx="0">
                  <c:v>(blank)</c:v>
                </c:pt>
              </c:strCache>
            </c:strRef>
          </c:cat>
          <c:val>
            <c:numRef>
              <c:f>'Data Analysis'!$G$114:$G$115</c:f>
              <c:numCache>
                <c:formatCode>General</c:formatCode>
                <c:ptCount val="1"/>
                <c:pt idx="0">
                  <c:v>186</c:v>
                </c:pt>
              </c:numCache>
            </c:numRef>
          </c:val>
          <c:extLst>
            <c:ext xmlns:c16="http://schemas.microsoft.com/office/drawing/2014/chart" uri="{C3380CC4-5D6E-409C-BE32-E72D297353CC}">
              <c16:uniqueId val="{00000000-0594-4C94-ACFD-FAF7BBE6D105}"/>
            </c:ext>
          </c:extLst>
        </c:ser>
        <c:dLbls>
          <c:showLegendKey val="0"/>
          <c:showVal val="0"/>
          <c:showCatName val="0"/>
          <c:showSerName val="0"/>
          <c:showPercent val="0"/>
          <c:showBubbleSize val="0"/>
        </c:dLbls>
        <c:gapWidth val="150"/>
        <c:axId val="338793768"/>
        <c:axId val="338794160"/>
      </c:barChart>
      <c:catAx>
        <c:axId val="338793768"/>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FFFFFF"/>
                </a:solidFill>
                <a:latin typeface="Calibri"/>
                <a:ea typeface="Calibri"/>
                <a:cs typeface="Calibri"/>
              </a:defRPr>
            </a:pPr>
            <a:endParaRPr lang="en-US"/>
          </a:p>
        </c:txPr>
        <c:crossAx val="338794160"/>
        <c:crosses val="autoZero"/>
        <c:auto val="0"/>
        <c:lblAlgn val="ctr"/>
        <c:lblOffset val="100"/>
        <c:noMultiLvlLbl val="0"/>
      </c:catAx>
      <c:valAx>
        <c:axId val="338794160"/>
        <c:scaling>
          <c:orientation val="minMax"/>
        </c:scaling>
        <c:delete val="0"/>
        <c:axPos val="l"/>
        <c:majorGridlines/>
        <c:numFmt formatCode="General" sourceLinked="1"/>
        <c:majorTickMark val="out"/>
        <c:minorTickMark val="none"/>
        <c:tickLblPos val="nextTo"/>
        <c:txPr>
          <a:bodyPr rot="0" vert="horz"/>
          <a:lstStyle/>
          <a:p>
            <a:pPr>
              <a:defRPr sz="1200" b="1" i="0" u="none" strike="noStrike" baseline="0">
                <a:solidFill>
                  <a:srgbClr val="FFFFFF"/>
                </a:solidFill>
                <a:latin typeface="Calibri"/>
                <a:ea typeface="Calibri"/>
                <a:cs typeface="Calibri"/>
              </a:defRPr>
            </a:pPr>
            <a:endParaRPr lang="en-US"/>
          </a:p>
        </c:txPr>
        <c:crossAx val="338793768"/>
        <c:crosses val="autoZero"/>
        <c:crossBetween val="between"/>
      </c:valAx>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2021-2025.xlsx]Histograms!Logpoint_Anaylsis</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Logpoint</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Histograms!$AH$2:$AH$3</c:f>
              <c:strCache>
                <c:ptCount val="1"/>
                <c:pt idx="0">
                  <c:v>Total</c:v>
                </c:pt>
              </c:strCache>
            </c:strRef>
          </c:tx>
          <c:invertIfNegative val="0"/>
          <c:cat>
            <c:strRef>
              <c:f>Histograms!$AG$4:$AG$170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Histograms!$AH$4:$AH$170</c:f>
              <c:numCache>
                <c:formatCode>General</c:formatCode>
                <c:ptCount val="166"/>
                <c:pt idx="0">
                  <c:v>1</c:v>
                </c:pt>
                <c:pt idx="1">
                  <c:v>1</c:v>
                </c:pt>
                <c:pt idx="2">
                  <c:v>20</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2</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numCache>
            </c:numRef>
          </c:val>
          <c:extLst>
            <c:ext xmlns:c16="http://schemas.microsoft.com/office/drawing/2014/chart" uri="{C3380CC4-5D6E-409C-BE32-E72D297353CC}">
              <c16:uniqueId val="{00000000-A630-4741-95E9-ADF448DB829A}"/>
            </c:ext>
          </c:extLst>
        </c:ser>
        <c:dLbls>
          <c:showLegendKey val="0"/>
          <c:showVal val="0"/>
          <c:showCatName val="0"/>
          <c:showSerName val="0"/>
          <c:showPercent val="0"/>
          <c:showBubbleSize val="0"/>
        </c:dLbls>
        <c:gapWidth val="150"/>
        <c:overlap val="100"/>
        <c:axId val="338794552"/>
        <c:axId val="338794944"/>
      </c:barChart>
      <c:catAx>
        <c:axId val="33879455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38794944"/>
        <c:crosses val="autoZero"/>
        <c:auto val="0"/>
        <c:lblAlgn val="ctr"/>
        <c:lblOffset val="100"/>
        <c:tickLblSkip val="1"/>
        <c:tickMarkSkip val="1"/>
        <c:noMultiLvlLbl val="0"/>
      </c:catAx>
      <c:valAx>
        <c:axId val="338794944"/>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794552"/>
        <c:crosses val="autoZero"/>
        <c:crossBetween val="between"/>
      </c:valAx>
    </c:plotArea>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2021-2025.xlsx]Histograms!Logpoint_Severity</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Severity</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Histograms!$AK$2:$AK$3</c:f>
              <c:strCache>
                <c:ptCount val="1"/>
                <c:pt idx="0">
                  <c:v>Fatal Crash</c:v>
                </c:pt>
              </c:strCache>
            </c:strRef>
          </c:tx>
          <c:invertIfNegative val="0"/>
          <c:cat>
            <c:strRef>
              <c:f>Histograms!$AJ$4:$AJ$170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Histograms!$AK$4:$AK$170</c:f>
              <c:numCache>
                <c:formatCode>General</c:formatCode>
                <c:ptCount val="166"/>
                <c:pt idx="0">
                  <c:v>1</c:v>
                </c:pt>
                <c:pt idx="1">
                  <c:v>1</c:v>
                </c:pt>
                <c:pt idx="2">
                  <c:v>20</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2</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numCache>
            </c:numRef>
          </c:val>
          <c:extLst>
            <c:ext xmlns:c16="http://schemas.microsoft.com/office/drawing/2014/chart" uri="{C3380CC4-5D6E-409C-BE32-E72D297353CC}">
              <c16:uniqueId val="{00000000-1CA2-4510-98CD-BFEE07697D8C}"/>
            </c:ext>
          </c:extLst>
        </c:ser>
        <c:dLbls>
          <c:showLegendKey val="0"/>
          <c:showVal val="0"/>
          <c:showCatName val="0"/>
          <c:showSerName val="0"/>
          <c:showPercent val="0"/>
          <c:showBubbleSize val="0"/>
        </c:dLbls>
        <c:gapWidth val="150"/>
        <c:overlap val="100"/>
        <c:axId val="338795728"/>
        <c:axId val="338796120"/>
      </c:barChart>
      <c:catAx>
        <c:axId val="33879572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38796120"/>
        <c:crosses val="autoZero"/>
        <c:auto val="0"/>
        <c:lblAlgn val="ctr"/>
        <c:lblOffset val="100"/>
        <c:tickLblSkip val="1"/>
        <c:tickMarkSkip val="1"/>
        <c:noMultiLvlLbl val="0"/>
      </c:catAx>
      <c:valAx>
        <c:axId val="338796120"/>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795728"/>
        <c:crosses val="autoZero"/>
        <c:crossBetween val="between"/>
      </c:valAx>
    </c:plotArea>
    <c:legend>
      <c:legendPos val="b"/>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2021-2025.xlsx]Histograms!Crash_Type</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Type of Crash</a:t>
            </a:r>
          </a:p>
        </c:rich>
      </c:tx>
      <c:overlay val="0"/>
    </c:title>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dLbl>
          <c:idx val="0"/>
          <c:delete val="1"/>
          <c:extLst>
            <c:ext xmlns:c15="http://schemas.microsoft.com/office/drawing/2012/chart" uri="{CE6537A1-D6FC-4f65-9D91-7224C49458BB}"/>
          </c:extLst>
        </c:dLbl>
      </c:pivotFmt>
      <c:pivotFmt>
        <c:idx val="11"/>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Histograms!$AP$2:$AP$3</c:f>
              <c:strCache>
                <c:ptCount val="1"/>
                <c:pt idx="0">
                  <c:v>Fixed Object</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Histograms!$AP$4:$AP$170</c:f>
              <c:numCache>
                <c:formatCode>General</c:formatCode>
                <c:ptCount val="166"/>
                <c:pt idx="2">
                  <c:v>1</c:v>
                </c:pt>
                <c:pt idx="3">
                  <c:v>1</c:v>
                </c:pt>
                <c:pt idx="5">
                  <c:v>1</c:v>
                </c:pt>
                <c:pt idx="9">
                  <c:v>1</c:v>
                </c:pt>
                <c:pt idx="12">
                  <c:v>1</c:v>
                </c:pt>
                <c:pt idx="17">
                  <c:v>1</c:v>
                </c:pt>
                <c:pt idx="18">
                  <c:v>1</c:v>
                </c:pt>
                <c:pt idx="19">
                  <c:v>1</c:v>
                </c:pt>
                <c:pt idx="21">
                  <c:v>1</c:v>
                </c:pt>
                <c:pt idx="22">
                  <c:v>1</c:v>
                </c:pt>
                <c:pt idx="25">
                  <c:v>1</c:v>
                </c:pt>
                <c:pt idx="34">
                  <c:v>1</c:v>
                </c:pt>
                <c:pt idx="40">
                  <c:v>1</c:v>
                </c:pt>
                <c:pt idx="44">
                  <c:v>1</c:v>
                </c:pt>
                <c:pt idx="46">
                  <c:v>1</c:v>
                </c:pt>
                <c:pt idx="48">
                  <c:v>1</c:v>
                </c:pt>
                <c:pt idx="49">
                  <c:v>1</c:v>
                </c:pt>
                <c:pt idx="51">
                  <c:v>1</c:v>
                </c:pt>
                <c:pt idx="53">
                  <c:v>1</c:v>
                </c:pt>
                <c:pt idx="57">
                  <c:v>1</c:v>
                </c:pt>
                <c:pt idx="59">
                  <c:v>1</c:v>
                </c:pt>
                <c:pt idx="63">
                  <c:v>1</c:v>
                </c:pt>
                <c:pt idx="64">
                  <c:v>1</c:v>
                </c:pt>
                <c:pt idx="66">
                  <c:v>1</c:v>
                </c:pt>
                <c:pt idx="73">
                  <c:v>1</c:v>
                </c:pt>
                <c:pt idx="74">
                  <c:v>1</c:v>
                </c:pt>
                <c:pt idx="82">
                  <c:v>1</c:v>
                </c:pt>
                <c:pt idx="93">
                  <c:v>1</c:v>
                </c:pt>
                <c:pt idx="100">
                  <c:v>1</c:v>
                </c:pt>
                <c:pt idx="102">
                  <c:v>1</c:v>
                </c:pt>
                <c:pt idx="103">
                  <c:v>1</c:v>
                </c:pt>
                <c:pt idx="105">
                  <c:v>1</c:v>
                </c:pt>
                <c:pt idx="110">
                  <c:v>1</c:v>
                </c:pt>
                <c:pt idx="117">
                  <c:v>1</c:v>
                </c:pt>
                <c:pt idx="118">
                  <c:v>1</c:v>
                </c:pt>
                <c:pt idx="119">
                  <c:v>1</c:v>
                </c:pt>
                <c:pt idx="123">
                  <c:v>1</c:v>
                </c:pt>
                <c:pt idx="126">
                  <c:v>1</c:v>
                </c:pt>
                <c:pt idx="127">
                  <c:v>1</c:v>
                </c:pt>
                <c:pt idx="130">
                  <c:v>1</c:v>
                </c:pt>
                <c:pt idx="134">
                  <c:v>1</c:v>
                </c:pt>
                <c:pt idx="136">
                  <c:v>1</c:v>
                </c:pt>
                <c:pt idx="137">
                  <c:v>1</c:v>
                </c:pt>
                <c:pt idx="138">
                  <c:v>1</c:v>
                </c:pt>
                <c:pt idx="141">
                  <c:v>1</c:v>
                </c:pt>
                <c:pt idx="147">
                  <c:v>1</c:v>
                </c:pt>
                <c:pt idx="155">
                  <c:v>1</c:v>
                </c:pt>
                <c:pt idx="158">
                  <c:v>1</c:v>
                </c:pt>
                <c:pt idx="160">
                  <c:v>1</c:v>
                </c:pt>
                <c:pt idx="162">
                  <c:v>1</c:v>
                </c:pt>
              </c:numCache>
            </c:numRef>
          </c:val>
          <c:extLst>
            <c:ext xmlns:c16="http://schemas.microsoft.com/office/drawing/2014/chart" uri="{C3380CC4-5D6E-409C-BE32-E72D297353CC}">
              <c16:uniqueId val="{00000000-60C4-4CF9-BEF5-FCCFD69EBBCA}"/>
            </c:ext>
          </c:extLst>
        </c:ser>
        <c:ser>
          <c:idx val="1"/>
          <c:order val="1"/>
          <c:tx>
            <c:strRef>
              <c:f>Histograms!$AQ$2:$AQ$3</c:f>
              <c:strCache>
                <c:ptCount val="1"/>
                <c:pt idx="0">
                  <c:v>Head On</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Histograms!$AQ$4:$AQ$170</c:f>
              <c:numCache>
                <c:formatCode>General</c:formatCode>
                <c:ptCount val="166"/>
                <c:pt idx="2">
                  <c:v>5</c:v>
                </c:pt>
                <c:pt idx="6">
                  <c:v>1</c:v>
                </c:pt>
                <c:pt idx="13">
                  <c:v>1</c:v>
                </c:pt>
                <c:pt idx="15">
                  <c:v>1</c:v>
                </c:pt>
                <c:pt idx="26">
                  <c:v>1</c:v>
                </c:pt>
                <c:pt idx="28">
                  <c:v>1</c:v>
                </c:pt>
                <c:pt idx="38">
                  <c:v>1</c:v>
                </c:pt>
                <c:pt idx="39">
                  <c:v>1</c:v>
                </c:pt>
                <c:pt idx="45">
                  <c:v>1</c:v>
                </c:pt>
                <c:pt idx="55">
                  <c:v>1</c:v>
                </c:pt>
                <c:pt idx="56">
                  <c:v>1</c:v>
                </c:pt>
                <c:pt idx="65">
                  <c:v>1</c:v>
                </c:pt>
                <c:pt idx="69">
                  <c:v>1</c:v>
                </c:pt>
                <c:pt idx="77">
                  <c:v>1</c:v>
                </c:pt>
                <c:pt idx="79">
                  <c:v>1</c:v>
                </c:pt>
                <c:pt idx="80">
                  <c:v>1</c:v>
                </c:pt>
                <c:pt idx="85">
                  <c:v>1</c:v>
                </c:pt>
                <c:pt idx="88">
                  <c:v>1</c:v>
                </c:pt>
                <c:pt idx="89">
                  <c:v>1</c:v>
                </c:pt>
                <c:pt idx="91">
                  <c:v>1</c:v>
                </c:pt>
                <c:pt idx="92">
                  <c:v>1</c:v>
                </c:pt>
                <c:pt idx="94">
                  <c:v>1</c:v>
                </c:pt>
                <c:pt idx="96">
                  <c:v>1</c:v>
                </c:pt>
                <c:pt idx="101">
                  <c:v>1</c:v>
                </c:pt>
                <c:pt idx="111">
                  <c:v>1</c:v>
                </c:pt>
                <c:pt idx="114">
                  <c:v>1</c:v>
                </c:pt>
                <c:pt idx="115">
                  <c:v>1</c:v>
                </c:pt>
                <c:pt idx="120">
                  <c:v>1</c:v>
                </c:pt>
                <c:pt idx="124">
                  <c:v>1</c:v>
                </c:pt>
                <c:pt idx="145">
                  <c:v>1</c:v>
                </c:pt>
                <c:pt idx="153">
                  <c:v>1</c:v>
                </c:pt>
                <c:pt idx="161">
                  <c:v>1</c:v>
                </c:pt>
                <c:pt idx="165">
                  <c:v>1</c:v>
                </c:pt>
              </c:numCache>
            </c:numRef>
          </c:val>
          <c:extLst>
            <c:ext xmlns:c16="http://schemas.microsoft.com/office/drawing/2014/chart" uri="{C3380CC4-5D6E-409C-BE32-E72D297353CC}">
              <c16:uniqueId val="{00000000-E989-45B9-B3AF-638FF003B9E3}"/>
            </c:ext>
          </c:extLst>
        </c:ser>
        <c:ser>
          <c:idx val="2"/>
          <c:order val="2"/>
          <c:tx>
            <c:strRef>
              <c:f>Histograms!$AR$2:$AR$3</c:f>
              <c:strCache>
                <c:ptCount val="1"/>
                <c:pt idx="0">
                  <c:v>Angle</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Histograms!$AR$4:$AR$170</c:f>
              <c:numCache>
                <c:formatCode>General</c:formatCode>
                <c:ptCount val="166"/>
                <c:pt idx="2">
                  <c:v>7</c:v>
                </c:pt>
                <c:pt idx="23">
                  <c:v>1</c:v>
                </c:pt>
                <c:pt idx="31">
                  <c:v>1</c:v>
                </c:pt>
                <c:pt idx="35">
                  <c:v>1</c:v>
                </c:pt>
                <c:pt idx="43">
                  <c:v>1</c:v>
                </c:pt>
                <c:pt idx="47">
                  <c:v>1</c:v>
                </c:pt>
                <c:pt idx="50">
                  <c:v>1</c:v>
                </c:pt>
                <c:pt idx="54">
                  <c:v>1</c:v>
                </c:pt>
                <c:pt idx="58">
                  <c:v>1</c:v>
                </c:pt>
                <c:pt idx="84">
                  <c:v>1</c:v>
                </c:pt>
                <c:pt idx="86">
                  <c:v>1</c:v>
                </c:pt>
                <c:pt idx="87">
                  <c:v>1</c:v>
                </c:pt>
                <c:pt idx="95">
                  <c:v>1</c:v>
                </c:pt>
                <c:pt idx="97">
                  <c:v>1</c:v>
                </c:pt>
                <c:pt idx="99">
                  <c:v>1</c:v>
                </c:pt>
                <c:pt idx="107">
                  <c:v>1</c:v>
                </c:pt>
                <c:pt idx="112">
                  <c:v>1</c:v>
                </c:pt>
                <c:pt idx="113">
                  <c:v>1</c:v>
                </c:pt>
                <c:pt idx="128">
                  <c:v>1</c:v>
                </c:pt>
                <c:pt idx="129">
                  <c:v>1</c:v>
                </c:pt>
                <c:pt idx="131">
                  <c:v>1</c:v>
                </c:pt>
                <c:pt idx="150">
                  <c:v>1</c:v>
                </c:pt>
                <c:pt idx="152">
                  <c:v>1</c:v>
                </c:pt>
                <c:pt idx="157">
                  <c:v>1</c:v>
                </c:pt>
                <c:pt idx="159">
                  <c:v>1</c:v>
                </c:pt>
              </c:numCache>
            </c:numRef>
          </c:val>
          <c:extLst>
            <c:ext xmlns:c16="http://schemas.microsoft.com/office/drawing/2014/chart" uri="{C3380CC4-5D6E-409C-BE32-E72D297353CC}">
              <c16:uniqueId val="{00000001-CD84-4BB4-BCF7-2AAFE3C757CA}"/>
            </c:ext>
          </c:extLst>
        </c:ser>
        <c:ser>
          <c:idx val="3"/>
          <c:order val="3"/>
          <c:tx>
            <c:strRef>
              <c:f>Histograms!$AS$2:$AS$3</c:f>
              <c:strCache>
                <c:ptCount val="1"/>
                <c:pt idx="0">
                  <c:v>Pedestrian</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Histograms!$AS$4:$AS$170</c:f>
              <c:numCache>
                <c:formatCode>General</c:formatCode>
                <c:ptCount val="166"/>
                <c:pt idx="2">
                  <c:v>4</c:v>
                </c:pt>
                <c:pt idx="16">
                  <c:v>1</c:v>
                </c:pt>
                <c:pt idx="30">
                  <c:v>1</c:v>
                </c:pt>
                <c:pt idx="41">
                  <c:v>1</c:v>
                </c:pt>
                <c:pt idx="42">
                  <c:v>1</c:v>
                </c:pt>
                <c:pt idx="61">
                  <c:v>1</c:v>
                </c:pt>
                <c:pt idx="67">
                  <c:v>1</c:v>
                </c:pt>
                <c:pt idx="68">
                  <c:v>1</c:v>
                </c:pt>
                <c:pt idx="76">
                  <c:v>1</c:v>
                </c:pt>
                <c:pt idx="106">
                  <c:v>1</c:v>
                </c:pt>
                <c:pt idx="116">
                  <c:v>1</c:v>
                </c:pt>
                <c:pt idx="140">
                  <c:v>1</c:v>
                </c:pt>
                <c:pt idx="144">
                  <c:v>1</c:v>
                </c:pt>
                <c:pt idx="149">
                  <c:v>1</c:v>
                </c:pt>
                <c:pt idx="154">
                  <c:v>1</c:v>
                </c:pt>
                <c:pt idx="156">
                  <c:v>1</c:v>
                </c:pt>
              </c:numCache>
            </c:numRef>
          </c:val>
          <c:extLst>
            <c:ext xmlns:c16="http://schemas.microsoft.com/office/drawing/2014/chart" uri="{C3380CC4-5D6E-409C-BE32-E72D297353CC}">
              <c16:uniqueId val="{00000002-CD84-4BB4-BCF7-2AAFE3C757CA}"/>
            </c:ext>
          </c:extLst>
        </c:ser>
        <c:ser>
          <c:idx val="4"/>
          <c:order val="4"/>
          <c:tx>
            <c:strRef>
              <c:f>Histograms!$AT$2:$AT$3</c:f>
              <c:strCache>
                <c:ptCount val="1"/>
                <c:pt idx="0">
                  <c:v>Sideswipe - Passing</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Histograms!$AT$4:$AT$170</c:f>
              <c:numCache>
                <c:formatCode>General</c:formatCode>
                <c:ptCount val="166"/>
                <c:pt idx="2">
                  <c:v>1</c:v>
                </c:pt>
                <c:pt idx="20">
                  <c:v>1</c:v>
                </c:pt>
                <c:pt idx="24">
                  <c:v>1</c:v>
                </c:pt>
                <c:pt idx="33">
                  <c:v>1</c:v>
                </c:pt>
                <c:pt idx="70">
                  <c:v>1</c:v>
                </c:pt>
                <c:pt idx="72">
                  <c:v>1</c:v>
                </c:pt>
                <c:pt idx="90">
                  <c:v>1</c:v>
                </c:pt>
                <c:pt idx="98">
                  <c:v>1</c:v>
                </c:pt>
                <c:pt idx="125">
                  <c:v>1</c:v>
                </c:pt>
              </c:numCache>
            </c:numRef>
          </c:val>
          <c:extLst>
            <c:ext xmlns:c16="http://schemas.microsoft.com/office/drawing/2014/chart" uri="{C3380CC4-5D6E-409C-BE32-E72D297353CC}">
              <c16:uniqueId val="{00000003-CD84-4BB4-BCF7-2AAFE3C757CA}"/>
            </c:ext>
          </c:extLst>
        </c:ser>
        <c:ser>
          <c:idx val="5"/>
          <c:order val="5"/>
          <c:tx>
            <c:strRef>
              <c:f>Histograms!$AU$2:$AU$3</c:f>
              <c:strCache>
                <c:ptCount val="1"/>
                <c:pt idx="0">
                  <c:v>Rear End</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Histograms!$AU$4:$AU$170</c:f>
              <c:numCache>
                <c:formatCode>General</c:formatCode>
                <c:ptCount val="166"/>
                <c:pt idx="1">
                  <c:v>1</c:v>
                </c:pt>
                <c:pt idx="11">
                  <c:v>1</c:v>
                </c:pt>
                <c:pt idx="36">
                  <c:v>1</c:v>
                </c:pt>
                <c:pt idx="75">
                  <c:v>1</c:v>
                </c:pt>
                <c:pt idx="78">
                  <c:v>1</c:v>
                </c:pt>
                <c:pt idx="83">
                  <c:v>1</c:v>
                </c:pt>
                <c:pt idx="109">
                  <c:v>1</c:v>
                </c:pt>
                <c:pt idx="121">
                  <c:v>1</c:v>
                </c:pt>
              </c:numCache>
            </c:numRef>
          </c:val>
          <c:extLst>
            <c:ext xmlns:c16="http://schemas.microsoft.com/office/drawing/2014/chart" uri="{C3380CC4-5D6E-409C-BE32-E72D297353CC}">
              <c16:uniqueId val="{00000004-CD84-4BB4-BCF7-2AAFE3C757CA}"/>
            </c:ext>
          </c:extLst>
        </c:ser>
        <c:ser>
          <c:idx val="6"/>
          <c:order val="6"/>
          <c:tx>
            <c:strRef>
              <c:f>Histograms!$AV$2:$AV$3</c:f>
              <c:strCache>
                <c:ptCount val="1"/>
                <c:pt idx="0">
                  <c:v>Overturning</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Histograms!$AV$4:$AV$170</c:f>
              <c:numCache>
                <c:formatCode>General</c:formatCode>
                <c:ptCount val="166"/>
                <c:pt idx="8">
                  <c:v>1</c:v>
                </c:pt>
                <c:pt idx="81">
                  <c:v>1</c:v>
                </c:pt>
                <c:pt idx="108">
                  <c:v>1</c:v>
                </c:pt>
                <c:pt idx="122">
                  <c:v>1</c:v>
                </c:pt>
                <c:pt idx="135">
                  <c:v>1</c:v>
                </c:pt>
                <c:pt idx="139">
                  <c:v>1</c:v>
                </c:pt>
                <c:pt idx="142">
                  <c:v>1</c:v>
                </c:pt>
                <c:pt idx="146">
                  <c:v>1</c:v>
                </c:pt>
              </c:numCache>
            </c:numRef>
          </c:val>
          <c:extLst>
            <c:ext xmlns:c16="http://schemas.microsoft.com/office/drawing/2014/chart" uri="{C3380CC4-5D6E-409C-BE32-E72D297353CC}">
              <c16:uniqueId val="{00000005-CD84-4BB4-BCF7-2AAFE3C757CA}"/>
            </c:ext>
          </c:extLst>
        </c:ser>
        <c:ser>
          <c:idx val="7"/>
          <c:order val="7"/>
          <c:tx>
            <c:strRef>
              <c:f>Histograms!$AW$2:$AW$3</c:f>
              <c:strCache>
                <c:ptCount val="1"/>
                <c:pt idx="0">
                  <c:v>Left Turn</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Histograms!$AW$4:$AW$170</c:f>
              <c:numCache>
                <c:formatCode>General</c:formatCode>
                <c:ptCount val="166"/>
                <c:pt idx="0">
                  <c:v>1</c:v>
                </c:pt>
                <c:pt idx="10">
                  <c:v>1</c:v>
                </c:pt>
                <c:pt idx="37">
                  <c:v>1</c:v>
                </c:pt>
                <c:pt idx="71">
                  <c:v>1</c:v>
                </c:pt>
                <c:pt idx="104">
                  <c:v>1</c:v>
                </c:pt>
                <c:pt idx="132">
                  <c:v>1</c:v>
                </c:pt>
                <c:pt idx="133">
                  <c:v>1</c:v>
                </c:pt>
                <c:pt idx="143">
                  <c:v>1</c:v>
                </c:pt>
              </c:numCache>
            </c:numRef>
          </c:val>
          <c:extLst>
            <c:ext xmlns:c16="http://schemas.microsoft.com/office/drawing/2014/chart" uri="{C3380CC4-5D6E-409C-BE32-E72D297353CC}">
              <c16:uniqueId val="{00000000-208C-41B5-B367-EA31B5A68FEB}"/>
            </c:ext>
          </c:extLst>
        </c:ser>
        <c:ser>
          <c:idx val="8"/>
          <c:order val="8"/>
          <c:tx>
            <c:strRef>
              <c:f>Histograms!$AX$2:$AX$3</c:f>
              <c:strCache>
                <c:ptCount val="1"/>
                <c:pt idx="0">
                  <c:v>Parked Vehicle</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Histograms!$AX$4:$AX$170</c:f>
              <c:numCache>
                <c:formatCode>General</c:formatCode>
                <c:ptCount val="166"/>
                <c:pt idx="2">
                  <c:v>1</c:v>
                </c:pt>
                <c:pt idx="29">
                  <c:v>1</c:v>
                </c:pt>
                <c:pt idx="62">
                  <c:v>1</c:v>
                </c:pt>
                <c:pt idx="151">
                  <c:v>1</c:v>
                </c:pt>
                <c:pt idx="163">
                  <c:v>1</c:v>
                </c:pt>
                <c:pt idx="164">
                  <c:v>1</c:v>
                </c:pt>
              </c:numCache>
            </c:numRef>
          </c:val>
          <c:extLst>
            <c:ext xmlns:c16="http://schemas.microsoft.com/office/drawing/2014/chart" uri="{C3380CC4-5D6E-409C-BE32-E72D297353CC}">
              <c16:uniqueId val="{00000001-208C-41B5-B367-EA31B5A68FEB}"/>
            </c:ext>
          </c:extLst>
        </c:ser>
        <c:ser>
          <c:idx val="9"/>
          <c:order val="9"/>
          <c:tx>
            <c:strRef>
              <c:f>Histograms!$AY$2:$AY$3</c:f>
              <c:strCache>
                <c:ptCount val="1"/>
                <c:pt idx="0">
                  <c:v>Pedalcycles</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Histograms!$AY$4:$AY$170</c:f>
              <c:numCache>
                <c:formatCode>General</c:formatCode>
                <c:ptCount val="166"/>
                <c:pt idx="2">
                  <c:v>1</c:v>
                </c:pt>
                <c:pt idx="7">
                  <c:v>1</c:v>
                </c:pt>
                <c:pt idx="27">
                  <c:v>1</c:v>
                </c:pt>
              </c:numCache>
            </c:numRef>
          </c:val>
          <c:extLst>
            <c:ext xmlns:c16="http://schemas.microsoft.com/office/drawing/2014/chart" uri="{C3380CC4-5D6E-409C-BE32-E72D297353CC}">
              <c16:uniqueId val="{00000002-208C-41B5-B367-EA31B5A68FEB}"/>
            </c:ext>
          </c:extLst>
        </c:ser>
        <c:ser>
          <c:idx val="10"/>
          <c:order val="10"/>
          <c:tx>
            <c:strRef>
              <c:f>Histograms!$AZ$2:$AZ$3</c:f>
              <c:strCache>
                <c:ptCount val="1"/>
                <c:pt idx="0">
                  <c:v>Other Non-Collision</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Histograms!$AZ$4:$AZ$170</c:f>
              <c:numCache>
                <c:formatCode>General</c:formatCode>
                <c:ptCount val="166"/>
                <c:pt idx="4">
                  <c:v>1</c:v>
                </c:pt>
                <c:pt idx="34">
                  <c:v>1</c:v>
                </c:pt>
                <c:pt idx="52">
                  <c:v>1</c:v>
                </c:pt>
              </c:numCache>
            </c:numRef>
          </c:val>
          <c:extLst>
            <c:ext xmlns:c16="http://schemas.microsoft.com/office/drawing/2014/chart" uri="{C3380CC4-5D6E-409C-BE32-E72D297353CC}">
              <c16:uniqueId val="{00000003-208C-41B5-B367-EA31B5A68FEB}"/>
            </c:ext>
          </c:extLst>
        </c:ser>
        <c:ser>
          <c:idx val="11"/>
          <c:order val="11"/>
          <c:tx>
            <c:strRef>
              <c:f>Histograms!$BA$2:$BA$3</c:f>
              <c:strCache>
                <c:ptCount val="1"/>
                <c:pt idx="0">
                  <c:v>Train</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Histograms!$BA$4:$BA$170</c:f>
              <c:numCache>
                <c:formatCode>General</c:formatCode>
                <c:ptCount val="166"/>
                <c:pt idx="14">
                  <c:v>1</c:v>
                </c:pt>
                <c:pt idx="32">
                  <c:v>1</c:v>
                </c:pt>
              </c:numCache>
            </c:numRef>
          </c:val>
          <c:extLst>
            <c:ext xmlns:c16="http://schemas.microsoft.com/office/drawing/2014/chart" uri="{C3380CC4-5D6E-409C-BE32-E72D297353CC}">
              <c16:uniqueId val="{00000004-208C-41B5-B367-EA31B5A68FEB}"/>
            </c:ext>
          </c:extLst>
        </c:ser>
        <c:ser>
          <c:idx val="12"/>
          <c:order val="12"/>
          <c:tx>
            <c:strRef>
              <c:f>Histograms!$BB$2:$BB$3</c:f>
              <c:strCache>
                <c:ptCount val="1"/>
                <c:pt idx="0">
                  <c:v>Unknown</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Histograms!$BB$4:$BB$170</c:f>
              <c:numCache>
                <c:formatCode>General</c:formatCode>
                <c:ptCount val="166"/>
                <c:pt idx="60">
                  <c:v>1</c:v>
                </c:pt>
              </c:numCache>
            </c:numRef>
          </c:val>
          <c:extLst>
            <c:ext xmlns:c16="http://schemas.microsoft.com/office/drawing/2014/chart" uri="{C3380CC4-5D6E-409C-BE32-E72D297353CC}">
              <c16:uniqueId val="{00000005-208C-41B5-B367-EA31B5A68FEB}"/>
            </c:ext>
          </c:extLst>
        </c:ser>
        <c:ser>
          <c:idx val="13"/>
          <c:order val="13"/>
          <c:tx>
            <c:strRef>
              <c:f>Histograms!$BC$2:$BC$3</c:f>
              <c:strCache>
                <c:ptCount val="1"/>
                <c:pt idx="0">
                  <c:v>Right Turn</c:v>
                </c:pt>
              </c:strCache>
            </c:strRef>
          </c:tx>
          <c:invertIfNegative val="0"/>
          <c:cat>
            <c:strRef>
              <c:f>Histograms!$AO$4:$AO$170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Histograms!$BC$4:$BC$170</c:f>
              <c:numCache>
                <c:formatCode>General</c:formatCode>
                <c:ptCount val="166"/>
                <c:pt idx="148">
                  <c:v>1</c:v>
                </c:pt>
              </c:numCache>
            </c:numRef>
          </c:val>
          <c:extLst>
            <c:ext xmlns:c16="http://schemas.microsoft.com/office/drawing/2014/chart" uri="{C3380CC4-5D6E-409C-BE32-E72D297353CC}">
              <c16:uniqueId val="{00000006-208C-41B5-B367-EA31B5A68FEB}"/>
            </c:ext>
          </c:extLst>
        </c:ser>
        <c:dLbls>
          <c:showLegendKey val="0"/>
          <c:showVal val="0"/>
          <c:showCatName val="0"/>
          <c:showSerName val="0"/>
          <c:showPercent val="0"/>
          <c:showBubbleSize val="0"/>
        </c:dLbls>
        <c:gapWidth val="150"/>
        <c:overlap val="100"/>
        <c:axId val="338796904"/>
        <c:axId val="338797296"/>
      </c:barChart>
      <c:catAx>
        <c:axId val="33879690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38797296"/>
        <c:crosses val="autoZero"/>
        <c:auto val="0"/>
        <c:lblAlgn val="ctr"/>
        <c:lblOffset val="100"/>
        <c:tickLblSkip val="1"/>
        <c:tickMarkSkip val="1"/>
        <c:noMultiLvlLbl val="0"/>
      </c:catAx>
      <c:valAx>
        <c:axId val="338797296"/>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796904"/>
        <c:crosses val="autoZero"/>
        <c:crossBetween val="between"/>
      </c:valAx>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2021-2025.xlsx]Histograms!Road_Condition</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Road Condition</a:t>
            </a:r>
          </a:p>
        </c:rich>
      </c:tx>
      <c:overlay val="0"/>
    </c:title>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Histograms!$BI$2:$BI$3</c:f>
              <c:strCache>
                <c:ptCount val="1"/>
                <c:pt idx="0">
                  <c:v>Dry</c:v>
                </c:pt>
              </c:strCache>
            </c:strRef>
          </c:tx>
          <c:invertIfNegative val="0"/>
          <c:cat>
            <c:strRef>
              <c:f>Histograms!$BH$4:$BH$170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Histograms!$BI$4:$BI$170</c:f>
              <c:numCache>
                <c:formatCode>General</c:formatCode>
                <c:ptCount val="166"/>
                <c:pt idx="0">
                  <c:v>1</c:v>
                </c:pt>
                <c:pt idx="1">
                  <c:v>1</c:v>
                </c:pt>
                <c:pt idx="2">
                  <c:v>16</c:v>
                </c:pt>
                <c:pt idx="3">
                  <c:v>1</c:v>
                </c:pt>
                <c:pt idx="5">
                  <c:v>1</c:v>
                </c:pt>
                <c:pt idx="8">
                  <c:v>1</c:v>
                </c:pt>
                <c:pt idx="9">
                  <c:v>1</c:v>
                </c:pt>
                <c:pt idx="10">
                  <c:v>1</c:v>
                </c:pt>
                <c:pt idx="15">
                  <c:v>1</c:v>
                </c:pt>
                <c:pt idx="16">
                  <c:v>1</c:v>
                </c:pt>
                <c:pt idx="18">
                  <c:v>1</c:v>
                </c:pt>
                <c:pt idx="19">
                  <c:v>1</c:v>
                </c:pt>
                <c:pt idx="21">
                  <c:v>1</c:v>
                </c:pt>
                <c:pt idx="22">
                  <c:v>1</c:v>
                </c:pt>
                <c:pt idx="23">
                  <c:v>1</c:v>
                </c:pt>
                <c:pt idx="26">
                  <c:v>1</c:v>
                </c:pt>
                <c:pt idx="27">
                  <c:v>1</c:v>
                </c:pt>
                <c:pt idx="28">
                  <c:v>1</c:v>
                </c:pt>
                <c:pt idx="30">
                  <c:v>1</c:v>
                </c:pt>
                <c:pt idx="32">
                  <c:v>1</c:v>
                </c:pt>
                <c:pt idx="34">
                  <c:v>1</c:v>
                </c:pt>
                <c:pt idx="35">
                  <c:v>1</c:v>
                </c:pt>
                <c:pt idx="36">
                  <c:v>1</c:v>
                </c:pt>
                <c:pt idx="38">
                  <c:v>1</c:v>
                </c:pt>
                <c:pt idx="39">
                  <c:v>1</c:v>
                </c:pt>
                <c:pt idx="41">
                  <c:v>1</c:v>
                </c:pt>
                <c:pt idx="42">
                  <c:v>1</c:v>
                </c:pt>
                <c:pt idx="43">
                  <c:v>1</c:v>
                </c:pt>
                <c:pt idx="45">
                  <c:v>1</c:v>
                </c:pt>
                <c:pt idx="46">
                  <c:v>1</c:v>
                </c:pt>
                <c:pt idx="48">
                  <c:v>1</c:v>
                </c:pt>
                <c:pt idx="49">
                  <c:v>1</c:v>
                </c:pt>
                <c:pt idx="50">
                  <c:v>1</c:v>
                </c:pt>
                <c:pt idx="51">
                  <c:v>1</c:v>
                </c:pt>
                <c:pt idx="52">
                  <c:v>1</c:v>
                </c:pt>
                <c:pt idx="54">
                  <c:v>1</c:v>
                </c:pt>
                <c:pt idx="55">
                  <c:v>1</c:v>
                </c:pt>
                <c:pt idx="56">
                  <c:v>1</c:v>
                </c:pt>
                <c:pt idx="58">
                  <c:v>1</c:v>
                </c:pt>
                <c:pt idx="59">
                  <c:v>1</c:v>
                </c:pt>
                <c:pt idx="60">
                  <c:v>1</c:v>
                </c:pt>
                <c:pt idx="61">
                  <c:v>1</c:v>
                </c:pt>
                <c:pt idx="62">
                  <c:v>1</c:v>
                </c:pt>
                <c:pt idx="64">
                  <c:v>1</c:v>
                </c:pt>
                <c:pt idx="65">
                  <c:v>1</c:v>
                </c:pt>
                <c:pt idx="66">
                  <c:v>1</c:v>
                </c:pt>
                <c:pt idx="69">
                  <c:v>1</c:v>
                </c:pt>
                <c:pt idx="70">
                  <c:v>1</c:v>
                </c:pt>
                <c:pt idx="71">
                  <c:v>1</c:v>
                </c:pt>
                <c:pt idx="72">
                  <c:v>1</c:v>
                </c:pt>
                <c:pt idx="73">
                  <c:v>1</c:v>
                </c:pt>
                <c:pt idx="74">
                  <c:v>1</c:v>
                </c:pt>
                <c:pt idx="76">
                  <c:v>1</c:v>
                </c:pt>
                <c:pt idx="77">
                  <c:v>1</c:v>
                </c:pt>
                <c:pt idx="80">
                  <c:v>1</c:v>
                </c:pt>
                <c:pt idx="85">
                  <c:v>1</c:v>
                </c:pt>
                <c:pt idx="86">
                  <c:v>1</c:v>
                </c:pt>
                <c:pt idx="87">
                  <c:v>1</c:v>
                </c:pt>
                <c:pt idx="89">
                  <c:v>1</c:v>
                </c:pt>
                <c:pt idx="90">
                  <c:v>1</c:v>
                </c:pt>
                <c:pt idx="91">
                  <c:v>1</c:v>
                </c:pt>
                <c:pt idx="93">
                  <c:v>1</c:v>
                </c:pt>
                <c:pt idx="94">
                  <c:v>1</c:v>
                </c:pt>
                <c:pt idx="95">
                  <c:v>1</c:v>
                </c:pt>
                <c:pt idx="96">
                  <c:v>1</c:v>
                </c:pt>
                <c:pt idx="98">
                  <c:v>1</c:v>
                </c:pt>
                <c:pt idx="101">
                  <c:v>1</c:v>
                </c:pt>
                <c:pt idx="102">
                  <c:v>1</c:v>
                </c:pt>
                <c:pt idx="104">
                  <c:v>1</c:v>
                </c:pt>
                <c:pt idx="105">
                  <c:v>1</c:v>
                </c:pt>
                <c:pt idx="107">
                  <c:v>1</c:v>
                </c:pt>
                <c:pt idx="108">
                  <c:v>1</c:v>
                </c:pt>
                <c:pt idx="109">
                  <c:v>1</c:v>
                </c:pt>
                <c:pt idx="110">
                  <c:v>1</c:v>
                </c:pt>
                <c:pt idx="112">
                  <c:v>1</c:v>
                </c:pt>
                <c:pt idx="113">
                  <c:v>1</c:v>
                </c:pt>
                <c:pt idx="114">
                  <c:v>1</c:v>
                </c:pt>
                <c:pt idx="115">
                  <c:v>1</c:v>
                </c:pt>
                <c:pt idx="116">
                  <c:v>1</c:v>
                </c:pt>
                <c:pt idx="117">
                  <c:v>1</c:v>
                </c:pt>
                <c:pt idx="119">
                  <c:v>1</c:v>
                </c:pt>
                <c:pt idx="120">
                  <c:v>1</c:v>
                </c:pt>
                <c:pt idx="121">
                  <c:v>1</c:v>
                </c:pt>
                <c:pt idx="123">
                  <c:v>1</c:v>
                </c:pt>
                <c:pt idx="124">
                  <c:v>1</c:v>
                </c:pt>
                <c:pt idx="125">
                  <c:v>1</c:v>
                </c:pt>
                <c:pt idx="126">
                  <c:v>1</c:v>
                </c:pt>
                <c:pt idx="127">
                  <c:v>1</c:v>
                </c:pt>
                <c:pt idx="129">
                  <c:v>1</c:v>
                </c:pt>
                <c:pt idx="130">
                  <c:v>1</c:v>
                </c:pt>
                <c:pt idx="131">
                  <c:v>1</c:v>
                </c:pt>
                <c:pt idx="132">
                  <c:v>1</c:v>
                </c:pt>
                <c:pt idx="133">
                  <c:v>1</c:v>
                </c:pt>
                <c:pt idx="135">
                  <c:v>1</c:v>
                </c:pt>
                <c:pt idx="136">
                  <c:v>1</c:v>
                </c:pt>
                <c:pt idx="137">
                  <c:v>1</c:v>
                </c:pt>
                <c:pt idx="138">
                  <c:v>1</c:v>
                </c:pt>
                <c:pt idx="139">
                  <c:v>1</c:v>
                </c:pt>
                <c:pt idx="142">
                  <c:v>1</c:v>
                </c:pt>
                <c:pt idx="143">
                  <c:v>1</c:v>
                </c:pt>
                <c:pt idx="144">
                  <c:v>1</c:v>
                </c:pt>
                <c:pt idx="146">
                  <c:v>1</c:v>
                </c:pt>
                <c:pt idx="147">
                  <c:v>1</c:v>
                </c:pt>
                <c:pt idx="148">
                  <c:v>1</c:v>
                </c:pt>
                <c:pt idx="149">
                  <c:v>1</c:v>
                </c:pt>
                <c:pt idx="153">
                  <c:v>1</c:v>
                </c:pt>
                <c:pt idx="154">
                  <c:v>1</c:v>
                </c:pt>
                <c:pt idx="155">
                  <c:v>1</c:v>
                </c:pt>
                <c:pt idx="156">
                  <c:v>1</c:v>
                </c:pt>
                <c:pt idx="157">
                  <c:v>1</c:v>
                </c:pt>
                <c:pt idx="158">
                  <c:v>1</c:v>
                </c:pt>
                <c:pt idx="159">
                  <c:v>1</c:v>
                </c:pt>
                <c:pt idx="161">
                  <c:v>1</c:v>
                </c:pt>
                <c:pt idx="164">
                  <c:v>1</c:v>
                </c:pt>
                <c:pt idx="165">
                  <c:v>1</c:v>
                </c:pt>
              </c:numCache>
            </c:numRef>
          </c:val>
          <c:extLst>
            <c:ext xmlns:c16="http://schemas.microsoft.com/office/drawing/2014/chart" uri="{C3380CC4-5D6E-409C-BE32-E72D297353CC}">
              <c16:uniqueId val="{00000000-46C0-4810-A55B-A565F57F43F0}"/>
            </c:ext>
          </c:extLst>
        </c:ser>
        <c:ser>
          <c:idx val="1"/>
          <c:order val="1"/>
          <c:tx>
            <c:strRef>
              <c:f>Histograms!$BJ$2:$BJ$3</c:f>
              <c:strCache>
                <c:ptCount val="1"/>
                <c:pt idx="0">
                  <c:v>Wet</c:v>
                </c:pt>
              </c:strCache>
            </c:strRef>
          </c:tx>
          <c:invertIfNegative val="0"/>
          <c:cat>
            <c:strRef>
              <c:f>Histograms!$BH$4:$BH$170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Histograms!$BJ$4:$BJ$170</c:f>
              <c:numCache>
                <c:formatCode>General</c:formatCode>
                <c:ptCount val="166"/>
                <c:pt idx="2">
                  <c:v>4</c:v>
                </c:pt>
                <c:pt idx="11">
                  <c:v>1</c:v>
                </c:pt>
                <c:pt idx="12">
                  <c:v>1</c:v>
                </c:pt>
                <c:pt idx="13">
                  <c:v>1</c:v>
                </c:pt>
                <c:pt idx="14">
                  <c:v>1</c:v>
                </c:pt>
                <c:pt idx="20">
                  <c:v>1</c:v>
                </c:pt>
                <c:pt idx="24">
                  <c:v>1</c:v>
                </c:pt>
                <c:pt idx="25">
                  <c:v>1</c:v>
                </c:pt>
                <c:pt idx="29">
                  <c:v>1</c:v>
                </c:pt>
                <c:pt idx="33">
                  <c:v>1</c:v>
                </c:pt>
                <c:pt idx="37">
                  <c:v>1</c:v>
                </c:pt>
                <c:pt idx="44">
                  <c:v>1</c:v>
                </c:pt>
                <c:pt idx="47">
                  <c:v>1</c:v>
                </c:pt>
                <c:pt idx="63">
                  <c:v>1</c:v>
                </c:pt>
                <c:pt idx="67">
                  <c:v>1</c:v>
                </c:pt>
                <c:pt idx="68">
                  <c:v>1</c:v>
                </c:pt>
                <c:pt idx="75">
                  <c:v>1</c:v>
                </c:pt>
                <c:pt idx="79">
                  <c:v>1</c:v>
                </c:pt>
                <c:pt idx="81">
                  <c:v>1</c:v>
                </c:pt>
                <c:pt idx="83">
                  <c:v>1</c:v>
                </c:pt>
                <c:pt idx="88">
                  <c:v>1</c:v>
                </c:pt>
                <c:pt idx="92">
                  <c:v>1</c:v>
                </c:pt>
                <c:pt idx="97">
                  <c:v>1</c:v>
                </c:pt>
                <c:pt idx="100">
                  <c:v>1</c:v>
                </c:pt>
                <c:pt idx="106">
                  <c:v>1</c:v>
                </c:pt>
                <c:pt idx="111">
                  <c:v>1</c:v>
                </c:pt>
                <c:pt idx="122">
                  <c:v>1</c:v>
                </c:pt>
                <c:pt idx="128">
                  <c:v>1</c:v>
                </c:pt>
                <c:pt idx="134">
                  <c:v>1</c:v>
                </c:pt>
                <c:pt idx="140">
                  <c:v>1</c:v>
                </c:pt>
                <c:pt idx="141">
                  <c:v>1</c:v>
                </c:pt>
                <c:pt idx="145">
                  <c:v>1</c:v>
                </c:pt>
                <c:pt idx="150">
                  <c:v>1</c:v>
                </c:pt>
                <c:pt idx="151">
                  <c:v>1</c:v>
                </c:pt>
                <c:pt idx="162">
                  <c:v>1</c:v>
                </c:pt>
              </c:numCache>
            </c:numRef>
          </c:val>
          <c:extLst>
            <c:ext xmlns:c16="http://schemas.microsoft.com/office/drawing/2014/chart" uri="{C3380CC4-5D6E-409C-BE32-E72D297353CC}">
              <c16:uniqueId val="{00000000-199C-4D7F-8F9A-740B3A345C90}"/>
            </c:ext>
          </c:extLst>
        </c:ser>
        <c:ser>
          <c:idx val="2"/>
          <c:order val="2"/>
          <c:tx>
            <c:strRef>
              <c:f>Histograms!$BK$2:$BK$3</c:f>
              <c:strCache>
                <c:ptCount val="1"/>
                <c:pt idx="0">
                  <c:v>Ice</c:v>
                </c:pt>
              </c:strCache>
            </c:strRef>
          </c:tx>
          <c:invertIfNegative val="0"/>
          <c:cat>
            <c:strRef>
              <c:f>Histograms!$BH$4:$BH$170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Histograms!$BK$4:$BK$170</c:f>
              <c:numCache>
                <c:formatCode>General</c:formatCode>
                <c:ptCount val="166"/>
                <c:pt idx="17">
                  <c:v>1</c:v>
                </c:pt>
                <c:pt idx="31">
                  <c:v>1</c:v>
                </c:pt>
                <c:pt idx="40">
                  <c:v>1</c:v>
                </c:pt>
                <c:pt idx="53">
                  <c:v>1</c:v>
                </c:pt>
                <c:pt idx="82">
                  <c:v>1</c:v>
                </c:pt>
                <c:pt idx="99">
                  <c:v>1</c:v>
                </c:pt>
                <c:pt idx="103">
                  <c:v>1</c:v>
                </c:pt>
                <c:pt idx="152">
                  <c:v>1</c:v>
                </c:pt>
              </c:numCache>
            </c:numRef>
          </c:val>
          <c:extLst>
            <c:ext xmlns:c16="http://schemas.microsoft.com/office/drawing/2014/chart" uri="{C3380CC4-5D6E-409C-BE32-E72D297353CC}">
              <c16:uniqueId val="{00000001-488C-4481-B127-BE542A922AFF}"/>
            </c:ext>
          </c:extLst>
        </c:ser>
        <c:ser>
          <c:idx val="3"/>
          <c:order val="3"/>
          <c:tx>
            <c:strRef>
              <c:f>Histograms!$BL$2:$BL$3</c:f>
              <c:strCache>
                <c:ptCount val="1"/>
                <c:pt idx="0">
                  <c:v>Snow</c:v>
                </c:pt>
              </c:strCache>
            </c:strRef>
          </c:tx>
          <c:invertIfNegative val="0"/>
          <c:cat>
            <c:strRef>
              <c:f>Histograms!$BH$4:$BH$170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Histograms!$BL$4:$BL$170</c:f>
              <c:numCache>
                <c:formatCode>General</c:formatCode>
                <c:ptCount val="166"/>
                <c:pt idx="4">
                  <c:v>1</c:v>
                </c:pt>
                <c:pt idx="6">
                  <c:v>1</c:v>
                </c:pt>
                <c:pt idx="7">
                  <c:v>1</c:v>
                </c:pt>
                <c:pt idx="78">
                  <c:v>1</c:v>
                </c:pt>
                <c:pt idx="84">
                  <c:v>1</c:v>
                </c:pt>
                <c:pt idx="163">
                  <c:v>1</c:v>
                </c:pt>
              </c:numCache>
            </c:numRef>
          </c:val>
          <c:extLst>
            <c:ext xmlns:c16="http://schemas.microsoft.com/office/drawing/2014/chart" uri="{C3380CC4-5D6E-409C-BE32-E72D297353CC}">
              <c16:uniqueId val="{00000000-9870-4CC3-A68E-13345F64F80F}"/>
            </c:ext>
          </c:extLst>
        </c:ser>
        <c:ser>
          <c:idx val="4"/>
          <c:order val="4"/>
          <c:tx>
            <c:strRef>
              <c:f>Histograms!$BM$2:$BM$3</c:f>
              <c:strCache>
                <c:ptCount val="1"/>
                <c:pt idx="0">
                  <c:v>Other / Unknown</c:v>
                </c:pt>
              </c:strCache>
            </c:strRef>
          </c:tx>
          <c:invertIfNegative val="0"/>
          <c:cat>
            <c:strRef>
              <c:f>Histograms!$BH$4:$BH$170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Histograms!$BM$4:$BM$170</c:f>
              <c:numCache>
                <c:formatCode>General</c:formatCode>
                <c:ptCount val="166"/>
                <c:pt idx="118">
                  <c:v>1</c:v>
                </c:pt>
                <c:pt idx="160">
                  <c:v>1</c:v>
                </c:pt>
              </c:numCache>
            </c:numRef>
          </c:val>
          <c:extLst>
            <c:ext xmlns:c16="http://schemas.microsoft.com/office/drawing/2014/chart" uri="{C3380CC4-5D6E-409C-BE32-E72D297353CC}">
              <c16:uniqueId val="{00000001-9870-4CC3-A68E-13345F64F80F}"/>
            </c:ext>
          </c:extLst>
        </c:ser>
        <c:ser>
          <c:idx val="5"/>
          <c:order val="5"/>
          <c:tx>
            <c:strRef>
              <c:f>Histograms!$BN$2:$BN$3</c:f>
              <c:strCache>
                <c:ptCount val="1"/>
                <c:pt idx="0">
                  <c:v>Water (Standing, Moving)</c:v>
                </c:pt>
              </c:strCache>
            </c:strRef>
          </c:tx>
          <c:invertIfNegative val="0"/>
          <c:cat>
            <c:strRef>
              <c:f>Histograms!$BH$4:$BH$170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Histograms!$BN$4:$BN$170</c:f>
              <c:numCache>
                <c:formatCode>General</c:formatCode>
                <c:ptCount val="166"/>
                <c:pt idx="57">
                  <c:v>1</c:v>
                </c:pt>
              </c:numCache>
            </c:numRef>
          </c:val>
          <c:extLst>
            <c:ext xmlns:c16="http://schemas.microsoft.com/office/drawing/2014/chart" uri="{C3380CC4-5D6E-409C-BE32-E72D297353CC}">
              <c16:uniqueId val="{00000002-9870-4CC3-A68E-13345F64F80F}"/>
            </c:ext>
          </c:extLst>
        </c:ser>
        <c:ser>
          <c:idx val="6"/>
          <c:order val="6"/>
          <c:tx>
            <c:strRef>
              <c:f>Histograms!$BO$2:$BO$3</c:f>
              <c:strCache>
                <c:ptCount val="1"/>
                <c:pt idx="0">
                  <c:v>Slush</c:v>
                </c:pt>
              </c:strCache>
            </c:strRef>
          </c:tx>
          <c:invertIfNegative val="0"/>
          <c:cat>
            <c:strRef>
              <c:f>Histograms!$BH$4:$BH$170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Histograms!$BO$4:$BO$170</c:f>
              <c:numCache>
                <c:formatCode>General</c:formatCode>
                <c:ptCount val="166"/>
                <c:pt idx="34">
                  <c:v>1</c:v>
                </c:pt>
              </c:numCache>
            </c:numRef>
          </c:val>
          <c:extLst>
            <c:ext xmlns:c16="http://schemas.microsoft.com/office/drawing/2014/chart" uri="{C3380CC4-5D6E-409C-BE32-E72D297353CC}">
              <c16:uniqueId val="{00000003-9870-4CC3-A68E-13345F64F80F}"/>
            </c:ext>
          </c:extLst>
        </c:ser>
        <c:dLbls>
          <c:showLegendKey val="0"/>
          <c:showVal val="0"/>
          <c:showCatName val="0"/>
          <c:showSerName val="0"/>
          <c:showPercent val="0"/>
          <c:showBubbleSize val="0"/>
        </c:dLbls>
        <c:gapWidth val="150"/>
        <c:overlap val="100"/>
        <c:axId val="338798080"/>
        <c:axId val="338798472"/>
      </c:barChart>
      <c:catAx>
        <c:axId val="33879808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38798472"/>
        <c:crosses val="autoZero"/>
        <c:auto val="0"/>
        <c:lblAlgn val="ctr"/>
        <c:lblOffset val="100"/>
        <c:tickLblSkip val="1"/>
        <c:tickMarkSkip val="1"/>
        <c:noMultiLvlLbl val="0"/>
      </c:catAx>
      <c:valAx>
        <c:axId val="338798472"/>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798080"/>
        <c:crosses val="autoZero"/>
        <c:crossBetween val="between"/>
      </c:valAx>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2021-2025.xlsx]Histograms!Light_Condition</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Light Condition</a:t>
            </a:r>
          </a:p>
        </c:rich>
      </c:tx>
      <c:overlay val="0"/>
    </c:title>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Histograms!$BQ$2:$BQ$3</c:f>
              <c:strCache>
                <c:ptCount val="1"/>
                <c:pt idx="0">
                  <c:v>Dark - Roadway Not Lighted</c:v>
                </c:pt>
              </c:strCache>
            </c:strRef>
          </c:tx>
          <c:invertIfNegative val="0"/>
          <c:cat>
            <c:strRef>
              <c:f>Histograms!$BP$4:$BP$170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Histograms!$BQ$4:$BQ$170</c:f>
              <c:numCache>
                <c:formatCode>General</c:formatCode>
                <c:ptCount val="166"/>
                <c:pt idx="2">
                  <c:v>4</c:v>
                </c:pt>
                <c:pt idx="7">
                  <c:v>1</c:v>
                </c:pt>
                <c:pt idx="8">
                  <c:v>1</c:v>
                </c:pt>
                <c:pt idx="16">
                  <c:v>1</c:v>
                </c:pt>
                <c:pt idx="17">
                  <c:v>1</c:v>
                </c:pt>
                <c:pt idx="18">
                  <c:v>1</c:v>
                </c:pt>
                <c:pt idx="32">
                  <c:v>1</c:v>
                </c:pt>
                <c:pt idx="38">
                  <c:v>1</c:v>
                </c:pt>
                <c:pt idx="39">
                  <c:v>1</c:v>
                </c:pt>
                <c:pt idx="40">
                  <c:v>1</c:v>
                </c:pt>
                <c:pt idx="42">
                  <c:v>1</c:v>
                </c:pt>
                <c:pt idx="46">
                  <c:v>1</c:v>
                </c:pt>
                <c:pt idx="47">
                  <c:v>1</c:v>
                </c:pt>
                <c:pt idx="51">
                  <c:v>1</c:v>
                </c:pt>
                <c:pt idx="70">
                  <c:v>1</c:v>
                </c:pt>
                <c:pt idx="72">
                  <c:v>1</c:v>
                </c:pt>
                <c:pt idx="75">
                  <c:v>1</c:v>
                </c:pt>
                <c:pt idx="77">
                  <c:v>1</c:v>
                </c:pt>
                <c:pt idx="80">
                  <c:v>1</c:v>
                </c:pt>
                <c:pt idx="81">
                  <c:v>1</c:v>
                </c:pt>
                <c:pt idx="82">
                  <c:v>1</c:v>
                </c:pt>
                <c:pt idx="84">
                  <c:v>1</c:v>
                </c:pt>
                <c:pt idx="85">
                  <c:v>1</c:v>
                </c:pt>
                <c:pt idx="88">
                  <c:v>1</c:v>
                </c:pt>
                <c:pt idx="90">
                  <c:v>1</c:v>
                </c:pt>
                <c:pt idx="92">
                  <c:v>1</c:v>
                </c:pt>
                <c:pt idx="93">
                  <c:v>1</c:v>
                </c:pt>
                <c:pt idx="94">
                  <c:v>1</c:v>
                </c:pt>
                <c:pt idx="97">
                  <c:v>1</c:v>
                </c:pt>
                <c:pt idx="98">
                  <c:v>1</c:v>
                </c:pt>
                <c:pt idx="99">
                  <c:v>1</c:v>
                </c:pt>
                <c:pt idx="100">
                  <c:v>1</c:v>
                </c:pt>
                <c:pt idx="101">
                  <c:v>1</c:v>
                </c:pt>
                <c:pt idx="102">
                  <c:v>1</c:v>
                </c:pt>
                <c:pt idx="103">
                  <c:v>1</c:v>
                </c:pt>
                <c:pt idx="105">
                  <c:v>1</c:v>
                </c:pt>
                <c:pt idx="108">
                  <c:v>1</c:v>
                </c:pt>
                <c:pt idx="111">
                  <c:v>1</c:v>
                </c:pt>
                <c:pt idx="112">
                  <c:v>1</c:v>
                </c:pt>
                <c:pt idx="114">
                  <c:v>1</c:v>
                </c:pt>
                <c:pt idx="117">
                  <c:v>1</c:v>
                </c:pt>
                <c:pt idx="121">
                  <c:v>1</c:v>
                </c:pt>
                <c:pt idx="122">
                  <c:v>1</c:v>
                </c:pt>
                <c:pt idx="124">
                  <c:v>1</c:v>
                </c:pt>
                <c:pt idx="126">
                  <c:v>1</c:v>
                </c:pt>
                <c:pt idx="127">
                  <c:v>1</c:v>
                </c:pt>
                <c:pt idx="130">
                  <c:v>1</c:v>
                </c:pt>
                <c:pt idx="133">
                  <c:v>1</c:v>
                </c:pt>
                <c:pt idx="134">
                  <c:v>1</c:v>
                </c:pt>
                <c:pt idx="136">
                  <c:v>1</c:v>
                </c:pt>
                <c:pt idx="138">
                  <c:v>1</c:v>
                </c:pt>
                <c:pt idx="139">
                  <c:v>1</c:v>
                </c:pt>
                <c:pt idx="141">
                  <c:v>1</c:v>
                </c:pt>
                <c:pt idx="142">
                  <c:v>1</c:v>
                </c:pt>
                <c:pt idx="144">
                  <c:v>1</c:v>
                </c:pt>
                <c:pt idx="147">
                  <c:v>1</c:v>
                </c:pt>
                <c:pt idx="149">
                  <c:v>1</c:v>
                </c:pt>
                <c:pt idx="159">
                  <c:v>1</c:v>
                </c:pt>
                <c:pt idx="162">
                  <c:v>1</c:v>
                </c:pt>
              </c:numCache>
            </c:numRef>
          </c:val>
          <c:extLst>
            <c:ext xmlns:c16="http://schemas.microsoft.com/office/drawing/2014/chart" uri="{C3380CC4-5D6E-409C-BE32-E72D297353CC}">
              <c16:uniqueId val="{00000000-35A3-4CAB-AF05-A4232C59C996}"/>
            </c:ext>
          </c:extLst>
        </c:ser>
        <c:ser>
          <c:idx val="1"/>
          <c:order val="1"/>
          <c:tx>
            <c:strRef>
              <c:f>Histograms!$BR$2:$BR$3</c:f>
              <c:strCache>
                <c:ptCount val="1"/>
                <c:pt idx="0">
                  <c:v>Daylight</c:v>
                </c:pt>
              </c:strCache>
            </c:strRef>
          </c:tx>
          <c:invertIfNegative val="0"/>
          <c:cat>
            <c:strRef>
              <c:f>Histograms!$BP$4:$BP$170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Histograms!$BR$4:$BR$170</c:f>
              <c:numCache>
                <c:formatCode>General</c:formatCode>
                <c:ptCount val="166"/>
                <c:pt idx="0">
                  <c:v>1</c:v>
                </c:pt>
                <c:pt idx="2">
                  <c:v>7</c:v>
                </c:pt>
                <c:pt idx="10">
                  <c:v>1</c:v>
                </c:pt>
                <c:pt idx="12">
                  <c:v>1</c:v>
                </c:pt>
                <c:pt idx="13">
                  <c:v>1</c:v>
                </c:pt>
                <c:pt idx="23">
                  <c:v>1</c:v>
                </c:pt>
                <c:pt idx="25">
                  <c:v>1</c:v>
                </c:pt>
                <c:pt idx="27">
                  <c:v>1</c:v>
                </c:pt>
                <c:pt idx="34">
                  <c:v>1</c:v>
                </c:pt>
                <c:pt idx="35">
                  <c:v>1</c:v>
                </c:pt>
                <c:pt idx="44">
                  <c:v>1</c:v>
                </c:pt>
                <c:pt idx="49">
                  <c:v>1</c:v>
                </c:pt>
                <c:pt idx="52">
                  <c:v>1</c:v>
                </c:pt>
                <c:pt idx="53">
                  <c:v>1</c:v>
                </c:pt>
                <c:pt idx="54">
                  <c:v>1</c:v>
                </c:pt>
                <c:pt idx="55">
                  <c:v>1</c:v>
                </c:pt>
                <c:pt idx="56">
                  <c:v>1</c:v>
                </c:pt>
                <c:pt idx="60">
                  <c:v>1</c:v>
                </c:pt>
                <c:pt idx="61">
                  <c:v>1</c:v>
                </c:pt>
                <c:pt idx="64">
                  <c:v>1</c:v>
                </c:pt>
                <c:pt idx="66">
                  <c:v>1</c:v>
                </c:pt>
                <c:pt idx="69">
                  <c:v>1</c:v>
                </c:pt>
                <c:pt idx="71">
                  <c:v>1</c:v>
                </c:pt>
                <c:pt idx="73">
                  <c:v>1</c:v>
                </c:pt>
                <c:pt idx="78">
                  <c:v>1</c:v>
                </c:pt>
                <c:pt idx="79">
                  <c:v>1</c:v>
                </c:pt>
                <c:pt idx="83">
                  <c:v>1</c:v>
                </c:pt>
                <c:pt idx="86">
                  <c:v>1</c:v>
                </c:pt>
                <c:pt idx="87">
                  <c:v>1</c:v>
                </c:pt>
                <c:pt idx="89">
                  <c:v>1</c:v>
                </c:pt>
                <c:pt idx="95">
                  <c:v>1</c:v>
                </c:pt>
                <c:pt idx="96">
                  <c:v>1</c:v>
                </c:pt>
                <c:pt idx="104">
                  <c:v>1</c:v>
                </c:pt>
                <c:pt idx="107">
                  <c:v>1</c:v>
                </c:pt>
                <c:pt idx="109">
                  <c:v>1</c:v>
                </c:pt>
                <c:pt idx="113">
                  <c:v>1</c:v>
                </c:pt>
                <c:pt idx="115">
                  <c:v>1</c:v>
                </c:pt>
                <c:pt idx="116">
                  <c:v>1</c:v>
                </c:pt>
                <c:pt idx="119">
                  <c:v>1</c:v>
                </c:pt>
                <c:pt idx="120">
                  <c:v>1</c:v>
                </c:pt>
                <c:pt idx="123">
                  <c:v>1</c:v>
                </c:pt>
                <c:pt idx="128">
                  <c:v>1</c:v>
                </c:pt>
                <c:pt idx="129">
                  <c:v>1</c:v>
                </c:pt>
                <c:pt idx="131">
                  <c:v>1</c:v>
                </c:pt>
                <c:pt idx="132">
                  <c:v>1</c:v>
                </c:pt>
                <c:pt idx="135">
                  <c:v>1</c:v>
                </c:pt>
                <c:pt idx="137">
                  <c:v>1</c:v>
                </c:pt>
                <c:pt idx="143">
                  <c:v>1</c:v>
                </c:pt>
                <c:pt idx="145">
                  <c:v>1</c:v>
                </c:pt>
                <c:pt idx="146">
                  <c:v>1</c:v>
                </c:pt>
                <c:pt idx="152">
                  <c:v>1</c:v>
                </c:pt>
                <c:pt idx="153">
                  <c:v>1</c:v>
                </c:pt>
                <c:pt idx="157">
                  <c:v>1</c:v>
                </c:pt>
                <c:pt idx="158">
                  <c:v>1</c:v>
                </c:pt>
                <c:pt idx="163">
                  <c:v>1</c:v>
                </c:pt>
                <c:pt idx="165">
                  <c:v>1</c:v>
                </c:pt>
              </c:numCache>
            </c:numRef>
          </c:val>
          <c:extLst>
            <c:ext xmlns:c16="http://schemas.microsoft.com/office/drawing/2014/chart" uri="{C3380CC4-5D6E-409C-BE32-E72D297353CC}">
              <c16:uniqueId val="{00000000-003C-4478-94A4-F8D698024563}"/>
            </c:ext>
          </c:extLst>
        </c:ser>
        <c:ser>
          <c:idx val="2"/>
          <c:order val="2"/>
          <c:tx>
            <c:strRef>
              <c:f>Histograms!$BS$2:$BS$3</c:f>
              <c:strCache>
                <c:ptCount val="1"/>
                <c:pt idx="0">
                  <c:v>Dark - Lighted Roadway</c:v>
                </c:pt>
              </c:strCache>
            </c:strRef>
          </c:tx>
          <c:invertIfNegative val="0"/>
          <c:cat>
            <c:strRef>
              <c:f>Histograms!$BP$4:$BP$170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Histograms!$BS$4:$BS$170</c:f>
              <c:numCache>
                <c:formatCode>General</c:formatCode>
                <c:ptCount val="166"/>
                <c:pt idx="1">
                  <c:v>1</c:v>
                </c:pt>
                <c:pt idx="2">
                  <c:v>5</c:v>
                </c:pt>
                <c:pt idx="3">
                  <c:v>1</c:v>
                </c:pt>
                <c:pt idx="5">
                  <c:v>1</c:v>
                </c:pt>
                <c:pt idx="9">
                  <c:v>1</c:v>
                </c:pt>
                <c:pt idx="11">
                  <c:v>1</c:v>
                </c:pt>
                <c:pt idx="14">
                  <c:v>1</c:v>
                </c:pt>
                <c:pt idx="19">
                  <c:v>1</c:v>
                </c:pt>
                <c:pt idx="20">
                  <c:v>1</c:v>
                </c:pt>
                <c:pt idx="21">
                  <c:v>1</c:v>
                </c:pt>
                <c:pt idx="22">
                  <c:v>1</c:v>
                </c:pt>
                <c:pt idx="24">
                  <c:v>1</c:v>
                </c:pt>
                <c:pt idx="26">
                  <c:v>1</c:v>
                </c:pt>
                <c:pt idx="28">
                  <c:v>1</c:v>
                </c:pt>
                <c:pt idx="29">
                  <c:v>1</c:v>
                </c:pt>
                <c:pt idx="30">
                  <c:v>1</c:v>
                </c:pt>
                <c:pt idx="31">
                  <c:v>1</c:v>
                </c:pt>
                <c:pt idx="33">
                  <c:v>1</c:v>
                </c:pt>
                <c:pt idx="34">
                  <c:v>1</c:v>
                </c:pt>
                <c:pt idx="36">
                  <c:v>1</c:v>
                </c:pt>
                <c:pt idx="37">
                  <c:v>1</c:v>
                </c:pt>
                <c:pt idx="41">
                  <c:v>1</c:v>
                </c:pt>
                <c:pt idx="43">
                  <c:v>1</c:v>
                </c:pt>
                <c:pt idx="45">
                  <c:v>1</c:v>
                </c:pt>
                <c:pt idx="48">
                  <c:v>1</c:v>
                </c:pt>
                <c:pt idx="50">
                  <c:v>1</c:v>
                </c:pt>
                <c:pt idx="57">
                  <c:v>1</c:v>
                </c:pt>
                <c:pt idx="58">
                  <c:v>1</c:v>
                </c:pt>
                <c:pt idx="59">
                  <c:v>1</c:v>
                </c:pt>
                <c:pt idx="62">
                  <c:v>1</c:v>
                </c:pt>
                <c:pt idx="63">
                  <c:v>1</c:v>
                </c:pt>
                <c:pt idx="65">
                  <c:v>1</c:v>
                </c:pt>
                <c:pt idx="67">
                  <c:v>1</c:v>
                </c:pt>
                <c:pt idx="68">
                  <c:v>1</c:v>
                </c:pt>
                <c:pt idx="74">
                  <c:v>1</c:v>
                </c:pt>
                <c:pt idx="76">
                  <c:v>1</c:v>
                </c:pt>
                <c:pt idx="91">
                  <c:v>1</c:v>
                </c:pt>
                <c:pt idx="106">
                  <c:v>1</c:v>
                </c:pt>
                <c:pt idx="110">
                  <c:v>1</c:v>
                </c:pt>
                <c:pt idx="125">
                  <c:v>1</c:v>
                </c:pt>
                <c:pt idx="140">
                  <c:v>1</c:v>
                </c:pt>
                <c:pt idx="148">
                  <c:v>1</c:v>
                </c:pt>
                <c:pt idx="151">
                  <c:v>1</c:v>
                </c:pt>
                <c:pt idx="154">
                  <c:v>1</c:v>
                </c:pt>
                <c:pt idx="155">
                  <c:v>1</c:v>
                </c:pt>
                <c:pt idx="156">
                  <c:v>1</c:v>
                </c:pt>
                <c:pt idx="160">
                  <c:v>1</c:v>
                </c:pt>
                <c:pt idx="161">
                  <c:v>1</c:v>
                </c:pt>
                <c:pt idx="164">
                  <c:v>1</c:v>
                </c:pt>
              </c:numCache>
            </c:numRef>
          </c:val>
          <c:extLst>
            <c:ext xmlns:c16="http://schemas.microsoft.com/office/drawing/2014/chart" uri="{C3380CC4-5D6E-409C-BE32-E72D297353CC}">
              <c16:uniqueId val="{00000001-1C80-40A8-8CA5-7DCDC9314000}"/>
            </c:ext>
          </c:extLst>
        </c:ser>
        <c:ser>
          <c:idx val="3"/>
          <c:order val="3"/>
          <c:tx>
            <c:strRef>
              <c:f>Histograms!$BT$2:$BT$3</c:f>
              <c:strCache>
                <c:ptCount val="1"/>
                <c:pt idx="0">
                  <c:v>Dawn/Dusk</c:v>
                </c:pt>
              </c:strCache>
            </c:strRef>
          </c:tx>
          <c:invertIfNegative val="0"/>
          <c:cat>
            <c:strRef>
              <c:f>Histograms!$BP$4:$BP$170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Histograms!$BT$4:$BT$170</c:f>
              <c:numCache>
                <c:formatCode>General</c:formatCode>
                <c:ptCount val="166"/>
                <c:pt idx="2">
                  <c:v>4</c:v>
                </c:pt>
                <c:pt idx="4">
                  <c:v>1</c:v>
                </c:pt>
                <c:pt idx="6">
                  <c:v>1</c:v>
                </c:pt>
                <c:pt idx="15">
                  <c:v>1</c:v>
                </c:pt>
                <c:pt idx="150">
                  <c:v>1</c:v>
                </c:pt>
              </c:numCache>
            </c:numRef>
          </c:val>
          <c:extLst>
            <c:ext xmlns:c16="http://schemas.microsoft.com/office/drawing/2014/chart" uri="{C3380CC4-5D6E-409C-BE32-E72D297353CC}">
              <c16:uniqueId val="{00000002-1C80-40A8-8CA5-7DCDC9314000}"/>
            </c:ext>
          </c:extLst>
        </c:ser>
        <c:ser>
          <c:idx val="4"/>
          <c:order val="4"/>
          <c:tx>
            <c:strRef>
              <c:f>Histograms!$BU$2:$BU$3</c:f>
              <c:strCache>
                <c:ptCount val="1"/>
                <c:pt idx="0">
                  <c:v>Other / Unknown</c:v>
                </c:pt>
              </c:strCache>
            </c:strRef>
          </c:tx>
          <c:invertIfNegative val="0"/>
          <c:cat>
            <c:strRef>
              <c:f>Histograms!$BP$4:$BP$170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Histograms!$BU$4:$BU$170</c:f>
              <c:numCache>
                <c:formatCode>General</c:formatCode>
                <c:ptCount val="166"/>
                <c:pt idx="118">
                  <c:v>1</c:v>
                </c:pt>
              </c:numCache>
            </c:numRef>
          </c:val>
          <c:extLst>
            <c:ext xmlns:c16="http://schemas.microsoft.com/office/drawing/2014/chart" uri="{C3380CC4-5D6E-409C-BE32-E72D297353CC}">
              <c16:uniqueId val="{00000000-89BC-4D81-898D-3A85C880BE80}"/>
            </c:ext>
          </c:extLst>
        </c:ser>
        <c:dLbls>
          <c:showLegendKey val="0"/>
          <c:showVal val="0"/>
          <c:showCatName val="0"/>
          <c:showSerName val="0"/>
          <c:showPercent val="0"/>
          <c:showBubbleSize val="0"/>
        </c:dLbls>
        <c:gapWidth val="150"/>
        <c:overlap val="100"/>
        <c:axId val="338799256"/>
        <c:axId val="338799648"/>
      </c:barChart>
      <c:catAx>
        <c:axId val="33879925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38799648"/>
        <c:crosses val="autoZero"/>
        <c:auto val="0"/>
        <c:lblAlgn val="ctr"/>
        <c:lblOffset val="100"/>
        <c:tickLblSkip val="1"/>
        <c:tickMarkSkip val="1"/>
        <c:noMultiLvlLbl val="0"/>
      </c:catAx>
      <c:valAx>
        <c:axId val="33879964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38799256"/>
        <c:crosses val="autoZero"/>
        <c:crossBetween val="between"/>
      </c:valAx>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pivotSource>
    <c:name>[Attachment 1 - Ohio Department of Transportation Crash Analysis Module Report, Project Area, 2021-2025.xlsx]Histograms!Animal</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Animal Crash</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Histograms!$CA$2:$CA$3</c:f>
              <c:strCache>
                <c:ptCount val="1"/>
                <c:pt idx="0">
                  <c:v>(blank)</c:v>
                </c:pt>
              </c:strCache>
            </c:strRef>
          </c:tx>
          <c:invertIfNegative val="0"/>
          <c:cat>
            <c:strRef>
              <c:f>Histograms!$BZ$4:$BZ$170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Histograms!$CA$4:$CA$170</c:f>
              <c:numCache>
                <c:formatCode>General</c:formatCode>
                <c:ptCount val="166"/>
                <c:pt idx="0">
                  <c:v>1</c:v>
                </c:pt>
                <c:pt idx="1">
                  <c:v>1</c:v>
                </c:pt>
                <c:pt idx="2">
                  <c:v>20</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2</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numCache>
            </c:numRef>
          </c:val>
          <c:extLst>
            <c:ext xmlns:c16="http://schemas.microsoft.com/office/drawing/2014/chart" uri="{C3380CC4-5D6E-409C-BE32-E72D297353CC}">
              <c16:uniqueId val="{00000000-986E-4DCA-9C7F-3BC7B6399C03}"/>
            </c:ext>
          </c:extLst>
        </c:ser>
        <c:dLbls>
          <c:showLegendKey val="0"/>
          <c:showVal val="0"/>
          <c:showCatName val="0"/>
          <c:showSerName val="0"/>
          <c:showPercent val="0"/>
          <c:showBubbleSize val="0"/>
        </c:dLbls>
        <c:gapWidth val="150"/>
        <c:overlap val="100"/>
        <c:axId val="342572424"/>
        <c:axId val="342572816"/>
      </c:barChart>
      <c:catAx>
        <c:axId val="34257242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42572816"/>
        <c:crosses val="autoZero"/>
        <c:auto val="0"/>
        <c:lblAlgn val="ctr"/>
        <c:lblOffset val="100"/>
        <c:tickLblSkip val="1"/>
        <c:tickMarkSkip val="1"/>
        <c:noMultiLvlLbl val="0"/>
      </c:catAx>
      <c:valAx>
        <c:axId val="342572816"/>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42572424"/>
        <c:crosses val="autoZero"/>
        <c:crossBetween val="between"/>
      </c:valAx>
    </c:plotArea>
    <c:legend>
      <c:legendPos val="b"/>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Analysis!PivotTable2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Crashes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'Crash Analysis'!$V$3</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'Crash Analysis'!$U$4:$U$9</c:f>
              <c:strCache>
                <c:ptCount val="5"/>
                <c:pt idx="0">
                  <c:v>2021</c:v>
                </c:pt>
                <c:pt idx="1">
                  <c:v>2022</c:v>
                </c:pt>
                <c:pt idx="2">
                  <c:v>2023</c:v>
                </c:pt>
                <c:pt idx="3">
                  <c:v>2024</c:v>
                </c:pt>
                <c:pt idx="4">
                  <c:v>2025</c:v>
                </c:pt>
              </c:strCache>
            </c:strRef>
          </c:cat>
          <c:val>
            <c:numRef>
              <c:f>'Crash Analysis'!$V$4:$V$9</c:f>
              <c:numCache>
                <c:formatCode>General</c:formatCode>
                <c:ptCount val="5"/>
                <c:pt idx="0">
                  <c:v>79</c:v>
                </c:pt>
                <c:pt idx="1">
                  <c:v>57</c:v>
                </c:pt>
                <c:pt idx="2">
                  <c:v>64</c:v>
                </c:pt>
                <c:pt idx="3">
                  <c:v>71</c:v>
                </c:pt>
                <c:pt idx="4">
                  <c:v>37</c:v>
                </c:pt>
              </c:numCache>
            </c:numRef>
          </c:val>
          <c:smooth val="0"/>
          <c:extLst>
            <c:ext xmlns:c16="http://schemas.microsoft.com/office/drawing/2014/chart" uri="{C3380CC4-5D6E-409C-BE32-E72D297353CC}">
              <c16:uniqueId val="{00000000-4707-4E7F-8B66-337F06929116}"/>
            </c:ext>
          </c:extLst>
        </c:ser>
        <c:dLbls>
          <c:showLegendKey val="0"/>
          <c:showVal val="0"/>
          <c:showCatName val="0"/>
          <c:showSerName val="0"/>
          <c:showPercent val="0"/>
          <c:showBubbleSize val="0"/>
        </c:dLbls>
        <c:marker val="1"/>
        <c:smooth val="0"/>
        <c:axId val="331650472"/>
        <c:axId val="331650864"/>
      </c:lineChart>
      <c:catAx>
        <c:axId val="3316504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50864"/>
        <c:crosses val="autoZero"/>
        <c:auto val="1"/>
        <c:lblAlgn val="ctr"/>
        <c:lblOffset val="100"/>
        <c:noMultiLvlLbl val="0"/>
      </c:catAx>
      <c:valAx>
        <c:axId val="331650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Crash Frequency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50472"/>
        <c:crosses val="autoZero"/>
        <c:crossBetween val="between"/>
      </c:valAx>
      <c:spPr>
        <a:noFill/>
        <a:ln>
          <a:noFill/>
        </a:ln>
        <a:effectLst/>
      </c:spPr>
    </c:plotArea>
    <c:plotVisOnly val="1"/>
    <c:dispBlanksAs val="gap"/>
    <c:showDLblsOverMax val="0"/>
  </c:chart>
  <c:spPr>
    <a:solidFill>
      <a:srgbClr val="FFFFFF"/>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2021-2025.xlsx]Histograms!Contributing_Factor1</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Contributing Factor 1</a:t>
            </a:r>
          </a:p>
        </c:rich>
      </c:tx>
      <c:overlay val="0"/>
    </c:title>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dLbl>
          <c:idx val="0"/>
          <c:delete val="1"/>
          <c:extLst>
            <c:ext xmlns:c15="http://schemas.microsoft.com/office/drawing/2012/chart" uri="{CE6537A1-D6FC-4f65-9D91-7224C49458BB}"/>
          </c:extLst>
        </c:dLbl>
      </c:pivotFmt>
      <c:pivotFmt>
        <c:idx val="11"/>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
        <c:idx val="18"/>
        <c:marker>
          <c:symbol val="none"/>
        </c:marker>
        <c:dLbl>
          <c:idx val="0"/>
          <c:delete val="1"/>
          <c:extLst>
            <c:ext xmlns:c15="http://schemas.microsoft.com/office/drawing/2012/chart" uri="{CE6537A1-D6FC-4f65-9D91-7224C49458BB}"/>
          </c:extLst>
        </c:dLbl>
      </c:pivotFmt>
      <c:pivotFmt>
        <c:idx val="19"/>
        <c:marker>
          <c:symbol val="none"/>
        </c:marker>
        <c:dLbl>
          <c:idx val="0"/>
          <c:delete val="1"/>
          <c:extLst>
            <c:ext xmlns:c15="http://schemas.microsoft.com/office/drawing/2012/chart" uri="{CE6537A1-D6FC-4f65-9D91-7224C49458BB}"/>
          </c:extLst>
        </c:dLbl>
      </c:pivotFmt>
      <c:pivotFmt>
        <c:idx val="20"/>
        <c:marker>
          <c:symbol val="none"/>
        </c:marker>
        <c:dLbl>
          <c:idx val="0"/>
          <c:delete val="1"/>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Histograms!$CG$2:$CG$3</c:f>
              <c:strCache>
                <c:ptCount val="1"/>
                <c:pt idx="0">
                  <c:v>Drove off Road</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Histograms!$CG$4:$CG$170</c:f>
              <c:numCache>
                <c:formatCode>General</c:formatCode>
                <c:ptCount val="166"/>
                <c:pt idx="3">
                  <c:v>1</c:v>
                </c:pt>
                <c:pt idx="4">
                  <c:v>1</c:v>
                </c:pt>
                <c:pt idx="5">
                  <c:v>1</c:v>
                </c:pt>
                <c:pt idx="8">
                  <c:v>1</c:v>
                </c:pt>
                <c:pt idx="17">
                  <c:v>1</c:v>
                </c:pt>
                <c:pt idx="22">
                  <c:v>1</c:v>
                </c:pt>
                <c:pt idx="29">
                  <c:v>1</c:v>
                </c:pt>
                <c:pt idx="46">
                  <c:v>1</c:v>
                </c:pt>
                <c:pt idx="49">
                  <c:v>1</c:v>
                </c:pt>
                <c:pt idx="63">
                  <c:v>1</c:v>
                </c:pt>
                <c:pt idx="66">
                  <c:v>1</c:v>
                </c:pt>
                <c:pt idx="73">
                  <c:v>1</c:v>
                </c:pt>
                <c:pt idx="74">
                  <c:v>1</c:v>
                </c:pt>
                <c:pt idx="77">
                  <c:v>1</c:v>
                </c:pt>
                <c:pt idx="78">
                  <c:v>1</c:v>
                </c:pt>
                <c:pt idx="81">
                  <c:v>1</c:v>
                </c:pt>
                <c:pt idx="88">
                  <c:v>1</c:v>
                </c:pt>
                <c:pt idx="93">
                  <c:v>1</c:v>
                </c:pt>
                <c:pt idx="94">
                  <c:v>1</c:v>
                </c:pt>
                <c:pt idx="96">
                  <c:v>1</c:v>
                </c:pt>
                <c:pt idx="98">
                  <c:v>1</c:v>
                </c:pt>
                <c:pt idx="100">
                  <c:v>1</c:v>
                </c:pt>
                <c:pt idx="102">
                  <c:v>1</c:v>
                </c:pt>
                <c:pt idx="103">
                  <c:v>1</c:v>
                </c:pt>
                <c:pt idx="105">
                  <c:v>1</c:v>
                </c:pt>
                <c:pt idx="108">
                  <c:v>1</c:v>
                </c:pt>
                <c:pt idx="110">
                  <c:v>1</c:v>
                </c:pt>
                <c:pt idx="114">
                  <c:v>1</c:v>
                </c:pt>
                <c:pt idx="118">
                  <c:v>1</c:v>
                </c:pt>
                <c:pt idx="119">
                  <c:v>1</c:v>
                </c:pt>
                <c:pt idx="122">
                  <c:v>1</c:v>
                </c:pt>
                <c:pt idx="123">
                  <c:v>1</c:v>
                </c:pt>
                <c:pt idx="125">
                  <c:v>1</c:v>
                </c:pt>
                <c:pt idx="126">
                  <c:v>1</c:v>
                </c:pt>
                <c:pt idx="127">
                  <c:v>1</c:v>
                </c:pt>
                <c:pt idx="128">
                  <c:v>1</c:v>
                </c:pt>
                <c:pt idx="136">
                  <c:v>1</c:v>
                </c:pt>
                <c:pt idx="138">
                  <c:v>1</c:v>
                </c:pt>
                <c:pt idx="142">
                  <c:v>1</c:v>
                </c:pt>
                <c:pt idx="147">
                  <c:v>1</c:v>
                </c:pt>
                <c:pt idx="151">
                  <c:v>1</c:v>
                </c:pt>
                <c:pt idx="158">
                  <c:v>1</c:v>
                </c:pt>
                <c:pt idx="163">
                  <c:v>1</c:v>
                </c:pt>
                <c:pt idx="164">
                  <c:v>1</c:v>
                </c:pt>
              </c:numCache>
            </c:numRef>
          </c:val>
          <c:extLst>
            <c:ext xmlns:c16="http://schemas.microsoft.com/office/drawing/2014/chart" uri="{C3380CC4-5D6E-409C-BE32-E72D297353CC}">
              <c16:uniqueId val="{00000000-D1FA-4DCA-A01D-574D275DE685}"/>
            </c:ext>
          </c:extLst>
        </c:ser>
        <c:ser>
          <c:idx val="1"/>
          <c:order val="1"/>
          <c:tx>
            <c:strRef>
              <c:f>Histograms!$CH$2:$CH$3</c:f>
              <c:strCache>
                <c:ptCount val="1"/>
                <c:pt idx="0">
                  <c:v>Left of Center</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Histograms!$CH$4:$CH$170</c:f>
              <c:numCache>
                <c:formatCode>General</c:formatCode>
                <c:ptCount val="166"/>
                <c:pt idx="2">
                  <c:v>4</c:v>
                </c:pt>
                <c:pt idx="6">
                  <c:v>1</c:v>
                </c:pt>
                <c:pt idx="13">
                  <c:v>1</c:v>
                </c:pt>
                <c:pt idx="15">
                  <c:v>1</c:v>
                </c:pt>
                <c:pt idx="38">
                  <c:v>1</c:v>
                </c:pt>
                <c:pt idx="39">
                  <c:v>1</c:v>
                </c:pt>
                <c:pt idx="44">
                  <c:v>1</c:v>
                </c:pt>
                <c:pt idx="45">
                  <c:v>1</c:v>
                </c:pt>
                <c:pt idx="47">
                  <c:v>1</c:v>
                </c:pt>
                <c:pt idx="55">
                  <c:v>1</c:v>
                </c:pt>
                <c:pt idx="65">
                  <c:v>1</c:v>
                </c:pt>
                <c:pt idx="69">
                  <c:v>1</c:v>
                </c:pt>
                <c:pt idx="79">
                  <c:v>1</c:v>
                </c:pt>
                <c:pt idx="85">
                  <c:v>1</c:v>
                </c:pt>
                <c:pt idx="87">
                  <c:v>1</c:v>
                </c:pt>
                <c:pt idx="91">
                  <c:v>1</c:v>
                </c:pt>
                <c:pt idx="92">
                  <c:v>1</c:v>
                </c:pt>
                <c:pt idx="99">
                  <c:v>1</c:v>
                </c:pt>
                <c:pt idx="101">
                  <c:v>1</c:v>
                </c:pt>
                <c:pt idx="107">
                  <c:v>1</c:v>
                </c:pt>
                <c:pt idx="115">
                  <c:v>1</c:v>
                </c:pt>
                <c:pt idx="120">
                  <c:v>1</c:v>
                </c:pt>
                <c:pt idx="124">
                  <c:v>1</c:v>
                </c:pt>
                <c:pt idx="129">
                  <c:v>1</c:v>
                </c:pt>
                <c:pt idx="145">
                  <c:v>1</c:v>
                </c:pt>
                <c:pt idx="150">
                  <c:v>1</c:v>
                </c:pt>
                <c:pt idx="161">
                  <c:v>1</c:v>
                </c:pt>
                <c:pt idx="162">
                  <c:v>1</c:v>
                </c:pt>
              </c:numCache>
            </c:numRef>
          </c:val>
          <c:extLst>
            <c:ext xmlns:c16="http://schemas.microsoft.com/office/drawing/2014/chart" uri="{C3380CC4-5D6E-409C-BE32-E72D297353CC}">
              <c16:uniqueId val="{00000000-1674-474C-89E4-A4501341A4ED}"/>
            </c:ext>
          </c:extLst>
        </c:ser>
        <c:ser>
          <c:idx val="2"/>
          <c:order val="2"/>
          <c:tx>
            <c:strRef>
              <c:f>Histograms!$CI$2:$CI$3</c:f>
              <c:strCache>
                <c:ptCount val="1"/>
                <c:pt idx="0">
                  <c:v>Other Improper Action</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Histograms!$CI$4:$CI$170</c:f>
              <c:numCache>
                <c:formatCode>General</c:formatCode>
                <c:ptCount val="166"/>
                <c:pt idx="2">
                  <c:v>3</c:v>
                </c:pt>
                <c:pt idx="9">
                  <c:v>1</c:v>
                </c:pt>
                <c:pt idx="11">
                  <c:v>1</c:v>
                </c:pt>
                <c:pt idx="16">
                  <c:v>1</c:v>
                </c:pt>
                <c:pt idx="21">
                  <c:v>1</c:v>
                </c:pt>
                <c:pt idx="25">
                  <c:v>1</c:v>
                </c:pt>
                <c:pt idx="30">
                  <c:v>1</c:v>
                </c:pt>
                <c:pt idx="33">
                  <c:v>1</c:v>
                </c:pt>
                <c:pt idx="42">
                  <c:v>1</c:v>
                </c:pt>
                <c:pt idx="48">
                  <c:v>1</c:v>
                </c:pt>
                <c:pt idx="58">
                  <c:v>1</c:v>
                </c:pt>
                <c:pt idx="60">
                  <c:v>1</c:v>
                </c:pt>
                <c:pt idx="64">
                  <c:v>1</c:v>
                </c:pt>
                <c:pt idx="67">
                  <c:v>1</c:v>
                </c:pt>
                <c:pt idx="70">
                  <c:v>1</c:v>
                </c:pt>
                <c:pt idx="76">
                  <c:v>1</c:v>
                </c:pt>
                <c:pt idx="116">
                  <c:v>1</c:v>
                </c:pt>
                <c:pt idx="144">
                  <c:v>1</c:v>
                </c:pt>
                <c:pt idx="149">
                  <c:v>1</c:v>
                </c:pt>
                <c:pt idx="155">
                  <c:v>1</c:v>
                </c:pt>
                <c:pt idx="160">
                  <c:v>1</c:v>
                </c:pt>
              </c:numCache>
            </c:numRef>
          </c:val>
          <c:extLst>
            <c:ext xmlns:c16="http://schemas.microsoft.com/office/drawing/2014/chart" uri="{C3380CC4-5D6E-409C-BE32-E72D297353CC}">
              <c16:uniqueId val="{00000001-44B7-42D3-B3BD-566DB34EF89D}"/>
            </c:ext>
          </c:extLst>
        </c:ser>
        <c:ser>
          <c:idx val="3"/>
          <c:order val="3"/>
          <c:tx>
            <c:strRef>
              <c:f>Histograms!$CJ$2:$CJ$3</c:f>
              <c:strCache>
                <c:ptCount val="1"/>
                <c:pt idx="0">
                  <c:v>Unsafe Speed</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Histograms!$CJ$4:$CJ$170</c:f>
              <c:numCache>
                <c:formatCode>General</c:formatCode>
                <c:ptCount val="166"/>
                <c:pt idx="24">
                  <c:v>1</c:v>
                </c:pt>
                <c:pt idx="34">
                  <c:v>2</c:v>
                </c:pt>
                <c:pt idx="40">
                  <c:v>1</c:v>
                </c:pt>
                <c:pt idx="50">
                  <c:v>1</c:v>
                </c:pt>
                <c:pt idx="52">
                  <c:v>1</c:v>
                </c:pt>
                <c:pt idx="53">
                  <c:v>1</c:v>
                </c:pt>
                <c:pt idx="56">
                  <c:v>1</c:v>
                </c:pt>
                <c:pt idx="62">
                  <c:v>1</c:v>
                </c:pt>
                <c:pt idx="82">
                  <c:v>1</c:v>
                </c:pt>
                <c:pt idx="117">
                  <c:v>1</c:v>
                </c:pt>
                <c:pt idx="130">
                  <c:v>1</c:v>
                </c:pt>
                <c:pt idx="134">
                  <c:v>1</c:v>
                </c:pt>
                <c:pt idx="135">
                  <c:v>1</c:v>
                </c:pt>
                <c:pt idx="137">
                  <c:v>1</c:v>
                </c:pt>
                <c:pt idx="139">
                  <c:v>1</c:v>
                </c:pt>
                <c:pt idx="141">
                  <c:v>1</c:v>
                </c:pt>
                <c:pt idx="146">
                  <c:v>1</c:v>
                </c:pt>
                <c:pt idx="159">
                  <c:v>1</c:v>
                </c:pt>
              </c:numCache>
            </c:numRef>
          </c:val>
          <c:extLst>
            <c:ext xmlns:c16="http://schemas.microsoft.com/office/drawing/2014/chart" uri="{C3380CC4-5D6E-409C-BE32-E72D297353CC}">
              <c16:uniqueId val="{00000002-44B7-42D3-B3BD-566DB34EF89D}"/>
            </c:ext>
          </c:extLst>
        </c:ser>
        <c:ser>
          <c:idx val="4"/>
          <c:order val="4"/>
          <c:tx>
            <c:strRef>
              <c:f>Histograms!$CK$2:$CK$3</c:f>
              <c:strCache>
                <c:ptCount val="1"/>
                <c:pt idx="0">
                  <c:v>Failure to Yield</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Histograms!$CK$4:$CK$170</c:f>
              <c:numCache>
                <c:formatCode>General</c:formatCode>
                <c:ptCount val="166"/>
                <c:pt idx="0">
                  <c:v>1</c:v>
                </c:pt>
                <c:pt idx="2">
                  <c:v>1</c:v>
                </c:pt>
                <c:pt idx="10">
                  <c:v>1</c:v>
                </c:pt>
                <c:pt idx="37">
                  <c:v>1</c:v>
                </c:pt>
                <c:pt idx="54">
                  <c:v>1</c:v>
                </c:pt>
                <c:pt idx="71">
                  <c:v>1</c:v>
                </c:pt>
                <c:pt idx="84">
                  <c:v>1</c:v>
                </c:pt>
                <c:pt idx="86">
                  <c:v>1</c:v>
                </c:pt>
                <c:pt idx="89">
                  <c:v>1</c:v>
                </c:pt>
                <c:pt idx="95">
                  <c:v>1</c:v>
                </c:pt>
                <c:pt idx="97">
                  <c:v>1</c:v>
                </c:pt>
                <c:pt idx="104">
                  <c:v>1</c:v>
                </c:pt>
                <c:pt idx="113">
                  <c:v>1</c:v>
                </c:pt>
                <c:pt idx="131">
                  <c:v>1</c:v>
                </c:pt>
                <c:pt idx="132">
                  <c:v>1</c:v>
                </c:pt>
                <c:pt idx="143">
                  <c:v>1</c:v>
                </c:pt>
                <c:pt idx="148">
                  <c:v>1</c:v>
                </c:pt>
              </c:numCache>
            </c:numRef>
          </c:val>
          <c:extLst>
            <c:ext xmlns:c16="http://schemas.microsoft.com/office/drawing/2014/chart" uri="{C3380CC4-5D6E-409C-BE32-E72D297353CC}">
              <c16:uniqueId val="{00000003-44B7-42D3-B3BD-566DB34EF89D}"/>
            </c:ext>
          </c:extLst>
        </c:ser>
        <c:ser>
          <c:idx val="5"/>
          <c:order val="5"/>
          <c:tx>
            <c:strRef>
              <c:f>Histograms!$CL$2:$CL$3</c:f>
              <c:strCache>
                <c:ptCount val="1"/>
                <c:pt idx="0">
                  <c:v>None</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Histograms!$CL$4:$CL$170</c:f>
              <c:numCache>
                <c:formatCode>General</c:formatCode>
                <c:ptCount val="166"/>
                <c:pt idx="2">
                  <c:v>2</c:v>
                </c:pt>
                <c:pt idx="7">
                  <c:v>1</c:v>
                </c:pt>
                <c:pt idx="12">
                  <c:v>1</c:v>
                </c:pt>
                <c:pt idx="19">
                  <c:v>1</c:v>
                </c:pt>
                <c:pt idx="51">
                  <c:v>1</c:v>
                </c:pt>
                <c:pt idx="57">
                  <c:v>1</c:v>
                </c:pt>
                <c:pt idx="59">
                  <c:v>1</c:v>
                </c:pt>
                <c:pt idx="154">
                  <c:v>1</c:v>
                </c:pt>
              </c:numCache>
            </c:numRef>
          </c:val>
          <c:extLst>
            <c:ext xmlns:c16="http://schemas.microsoft.com/office/drawing/2014/chart" uri="{C3380CC4-5D6E-409C-BE32-E72D297353CC}">
              <c16:uniqueId val="{00000004-44B7-42D3-B3BD-566DB34EF89D}"/>
            </c:ext>
          </c:extLst>
        </c:ser>
        <c:ser>
          <c:idx val="6"/>
          <c:order val="6"/>
          <c:tx>
            <c:strRef>
              <c:f>Histograms!$CM$2:$CM$3</c:f>
              <c:strCache>
                <c:ptCount val="1"/>
                <c:pt idx="0">
                  <c:v>Improper Crossing</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Histograms!$CM$4:$CM$170</c:f>
              <c:numCache>
                <c:formatCode>General</c:formatCode>
                <c:ptCount val="166"/>
                <c:pt idx="2">
                  <c:v>2</c:v>
                </c:pt>
                <c:pt idx="14">
                  <c:v>1</c:v>
                </c:pt>
                <c:pt idx="27">
                  <c:v>1</c:v>
                </c:pt>
                <c:pt idx="32">
                  <c:v>1</c:v>
                </c:pt>
                <c:pt idx="68">
                  <c:v>1</c:v>
                </c:pt>
                <c:pt idx="106">
                  <c:v>1</c:v>
                </c:pt>
                <c:pt idx="140">
                  <c:v>1</c:v>
                </c:pt>
              </c:numCache>
            </c:numRef>
          </c:val>
          <c:extLst>
            <c:ext xmlns:c16="http://schemas.microsoft.com/office/drawing/2014/chart" uri="{C3380CC4-5D6E-409C-BE32-E72D297353CC}">
              <c16:uniqueId val="{00000005-44B7-42D3-B3BD-566DB34EF89D}"/>
            </c:ext>
          </c:extLst>
        </c:ser>
        <c:ser>
          <c:idx val="7"/>
          <c:order val="7"/>
          <c:tx>
            <c:strRef>
              <c:f>Histograms!$CN$2:$CN$3</c:f>
              <c:strCache>
                <c:ptCount val="1"/>
                <c:pt idx="0">
                  <c:v>Wrong Way</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Histograms!$CN$4:$CN$170</c:f>
              <c:numCache>
                <c:formatCode>General</c:formatCode>
                <c:ptCount val="166"/>
                <c:pt idx="2">
                  <c:v>1</c:v>
                </c:pt>
                <c:pt idx="26">
                  <c:v>1</c:v>
                </c:pt>
                <c:pt idx="28">
                  <c:v>1</c:v>
                </c:pt>
                <c:pt idx="43">
                  <c:v>1</c:v>
                </c:pt>
                <c:pt idx="111">
                  <c:v>1</c:v>
                </c:pt>
                <c:pt idx="152">
                  <c:v>1</c:v>
                </c:pt>
                <c:pt idx="165">
                  <c:v>1</c:v>
                </c:pt>
              </c:numCache>
            </c:numRef>
          </c:val>
          <c:extLst>
            <c:ext xmlns:c16="http://schemas.microsoft.com/office/drawing/2014/chart" uri="{C3380CC4-5D6E-409C-BE32-E72D297353CC}">
              <c16:uniqueId val="{00000000-C886-4DC5-B749-89AEF14B7FE7}"/>
            </c:ext>
          </c:extLst>
        </c:ser>
        <c:ser>
          <c:idx val="8"/>
          <c:order val="8"/>
          <c:tx>
            <c:strRef>
              <c:f>Histograms!$CO$2:$CO$3</c:f>
              <c:strCache>
                <c:ptCount val="1"/>
                <c:pt idx="0">
                  <c:v>Ran Stop Sign</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Histograms!$CO$4:$CO$170</c:f>
              <c:numCache>
                <c:formatCode>General</c:formatCode>
                <c:ptCount val="166"/>
                <c:pt idx="2">
                  <c:v>3</c:v>
                </c:pt>
                <c:pt idx="23">
                  <c:v>1</c:v>
                </c:pt>
                <c:pt idx="35">
                  <c:v>1</c:v>
                </c:pt>
                <c:pt idx="90">
                  <c:v>1</c:v>
                </c:pt>
              </c:numCache>
            </c:numRef>
          </c:val>
          <c:extLst>
            <c:ext xmlns:c16="http://schemas.microsoft.com/office/drawing/2014/chart" uri="{C3380CC4-5D6E-409C-BE32-E72D297353CC}">
              <c16:uniqueId val="{00000001-C886-4DC5-B749-89AEF14B7FE7}"/>
            </c:ext>
          </c:extLst>
        </c:ser>
        <c:ser>
          <c:idx val="9"/>
          <c:order val="9"/>
          <c:tx>
            <c:strRef>
              <c:f>Histograms!$CP$2:$CP$3</c:f>
              <c:strCache>
                <c:ptCount val="1"/>
                <c:pt idx="0">
                  <c:v>Ran Red Light</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Histograms!$CP$4:$CP$170</c:f>
              <c:numCache>
                <c:formatCode>General</c:formatCode>
                <c:ptCount val="166"/>
                <c:pt idx="2">
                  <c:v>2</c:v>
                </c:pt>
                <c:pt idx="31">
                  <c:v>1</c:v>
                </c:pt>
                <c:pt idx="112">
                  <c:v>1</c:v>
                </c:pt>
                <c:pt idx="157">
                  <c:v>1</c:v>
                </c:pt>
              </c:numCache>
            </c:numRef>
          </c:val>
          <c:extLst>
            <c:ext xmlns:c16="http://schemas.microsoft.com/office/drawing/2014/chart" uri="{C3380CC4-5D6E-409C-BE32-E72D297353CC}">
              <c16:uniqueId val="{00000002-C886-4DC5-B749-89AEF14B7FE7}"/>
            </c:ext>
          </c:extLst>
        </c:ser>
        <c:ser>
          <c:idx val="10"/>
          <c:order val="10"/>
          <c:tx>
            <c:strRef>
              <c:f>Histograms!$CQ$2:$CQ$3</c:f>
              <c:strCache>
                <c:ptCount val="1"/>
                <c:pt idx="0">
                  <c:v>Following Too Closely/ACDA</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Histograms!$CQ$4:$CQ$170</c:f>
              <c:numCache>
                <c:formatCode>General</c:formatCode>
                <c:ptCount val="166"/>
                <c:pt idx="1">
                  <c:v>1</c:v>
                </c:pt>
                <c:pt idx="75">
                  <c:v>1</c:v>
                </c:pt>
                <c:pt idx="83">
                  <c:v>1</c:v>
                </c:pt>
                <c:pt idx="109">
                  <c:v>1</c:v>
                </c:pt>
                <c:pt idx="121">
                  <c:v>1</c:v>
                </c:pt>
              </c:numCache>
            </c:numRef>
          </c:val>
          <c:extLst>
            <c:ext xmlns:c16="http://schemas.microsoft.com/office/drawing/2014/chart" uri="{C3380CC4-5D6E-409C-BE32-E72D297353CC}">
              <c16:uniqueId val="{00000003-C886-4DC5-B749-89AEF14B7FE7}"/>
            </c:ext>
          </c:extLst>
        </c:ser>
        <c:ser>
          <c:idx val="11"/>
          <c:order val="11"/>
          <c:tx>
            <c:strRef>
              <c:f>Histograms!$CR$2:$CR$3</c:f>
              <c:strCache>
                <c:ptCount val="1"/>
                <c:pt idx="0">
                  <c:v>Not Discernible</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Histograms!$CR$4:$CR$170</c:f>
              <c:numCache>
                <c:formatCode>General</c:formatCode>
                <c:ptCount val="166"/>
                <c:pt idx="18">
                  <c:v>1</c:v>
                </c:pt>
                <c:pt idx="36">
                  <c:v>1</c:v>
                </c:pt>
                <c:pt idx="41">
                  <c:v>1</c:v>
                </c:pt>
                <c:pt idx="156">
                  <c:v>1</c:v>
                </c:pt>
              </c:numCache>
            </c:numRef>
          </c:val>
          <c:extLst>
            <c:ext xmlns:c16="http://schemas.microsoft.com/office/drawing/2014/chart" uri="{C3380CC4-5D6E-409C-BE32-E72D297353CC}">
              <c16:uniqueId val="{00000004-C886-4DC5-B749-89AEF14B7FE7}"/>
            </c:ext>
          </c:extLst>
        </c:ser>
        <c:ser>
          <c:idx val="12"/>
          <c:order val="12"/>
          <c:tx>
            <c:strRef>
              <c:f>Histograms!$CS$2:$CS$3</c:f>
              <c:strCache>
                <c:ptCount val="1"/>
                <c:pt idx="0">
                  <c:v>Improper Passing</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Histograms!$CS$4:$CS$170</c:f>
              <c:numCache>
                <c:formatCode>General</c:formatCode>
                <c:ptCount val="166"/>
                <c:pt idx="2">
                  <c:v>1</c:v>
                </c:pt>
                <c:pt idx="72">
                  <c:v>1</c:v>
                </c:pt>
                <c:pt idx="153">
                  <c:v>1</c:v>
                </c:pt>
              </c:numCache>
            </c:numRef>
          </c:val>
          <c:extLst>
            <c:ext xmlns:c16="http://schemas.microsoft.com/office/drawing/2014/chart" uri="{C3380CC4-5D6E-409C-BE32-E72D297353CC}">
              <c16:uniqueId val="{00000005-C886-4DC5-B749-89AEF14B7FE7}"/>
            </c:ext>
          </c:extLst>
        </c:ser>
        <c:ser>
          <c:idx val="13"/>
          <c:order val="13"/>
          <c:tx>
            <c:strRef>
              <c:f>Histograms!$CT$2:$CT$3</c:f>
              <c:strCache>
                <c:ptCount val="1"/>
                <c:pt idx="0">
                  <c:v>Improper Turn</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Histograms!$CT$4:$CT$170</c:f>
              <c:numCache>
                <c:formatCode>General</c:formatCode>
                <c:ptCount val="166"/>
                <c:pt idx="2">
                  <c:v>1</c:v>
                </c:pt>
                <c:pt idx="133">
                  <c:v>1</c:v>
                </c:pt>
              </c:numCache>
            </c:numRef>
          </c:val>
          <c:extLst>
            <c:ext xmlns:c16="http://schemas.microsoft.com/office/drawing/2014/chart" uri="{C3380CC4-5D6E-409C-BE32-E72D297353CC}">
              <c16:uniqueId val="{00000006-C886-4DC5-B749-89AEF14B7FE7}"/>
            </c:ext>
          </c:extLst>
        </c:ser>
        <c:ser>
          <c:idx val="14"/>
          <c:order val="14"/>
          <c:tx>
            <c:strRef>
              <c:f>Histograms!$CU$2:$CU$3</c:f>
              <c:strCache>
                <c:ptCount val="1"/>
                <c:pt idx="0">
                  <c:v>Improper Lane Change</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Histograms!$CU$4:$CU$170</c:f>
              <c:numCache>
                <c:formatCode>General</c:formatCode>
                <c:ptCount val="166"/>
                <c:pt idx="20">
                  <c:v>1</c:v>
                </c:pt>
                <c:pt idx="80">
                  <c:v>1</c:v>
                </c:pt>
              </c:numCache>
            </c:numRef>
          </c:val>
          <c:extLst>
            <c:ext xmlns:c16="http://schemas.microsoft.com/office/drawing/2014/chart" uri="{C3380CC4-5D6E-409C-BE32-E72D297353CC}">
              <c16:uniqueId val="{00000007-C886-4DC5-B749-89AEF14B7FE7}"/>
            </c:ext>
          </c:extLst>
        </c:ser>
        <c:ser>
          <c:idx val="15"/>
          <c:order val="15"/>
          <c:tx>
            <c:strRef>
              <c:f>Histograms!$CV$2:$CV$3</c:f>
              <c:strCache>
                <c:ptCount val="1"/>
                <c:pt idx="0">
                  <c:v>Swerving to Avoid</c:v>
                </c:pt>
              </c:strCache>
            </c:strRef>
          </c:tx>
          <c:invertIfNegative val="0"/>
          <c:cat>
            <c:strRef>
              <c:f>Histograms!$CF$4:$CF$170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Histograms!$CV$4:$CV$170</c:f>
              <c:numCache>
                <c:formatCode>General</c:formatCode>
                <c:ptCount val="166"/>
                <c:pt idx="61">
                  <c:v>1</c:v>
                </c:pt>
              </c:numCache>
            </c:numRef>
          </c:val>
          <c:extLst>
            <c:ext xmlns:c16="http://schemas.microsoft.com/office/drawing/2014/chart" uri="{C3380CC4-5D6E-409C-BE32-E72D297353CC}">
              <c16:uniqueId val="{00000008-C886-4DC5-B749-89AEF14B7FE7}"/>
            </c:ext>
          </c:extLst>
        </c:ser>
        <c:dLbls>
          <c:showLegendKey val="0"/>
          <c:showVal val="0"/>
          <c:showCatName val="0"/>
          <c:showSerName val="0"/>
          <c:showPercent val="0"/>
          <c:showBubbleSize val="0"/>
        </c:dLbls>
        <c:gapWidth val="150"/>
        <c:overlap val="100"/>
        <c:axId val="342573600"/>
        <c:axId val="342573992"/>
      </c:barChart>
      <c:catAx>
        <c:axId val="34257360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42573992"/>
        <c:crosses val="autoZero"/>
        <c:auto val="0"/>
        <c:lblAlgn val="ctr"/>
        <c:lblOffset val="100"/>
        <c:tickLblSkip val="1"/>
        <c:tickMarkSkip val="1"/>
        <c:noMultiLvlLbl val="0"/>
      </c:catAx>
      <c:valAx>
        <c:axId val="342573992"/>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42573600"/>
        <c:crosses val="autoZero"/>
        <c:crossBetween val="between"/>
      </c:valAx>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2021-2025.xlsx]Histograms!Action1</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Action 1</a:t>
            </a:r>
          </a:p>
        </c:rich>
      </c:tx>
      <c:overlay val="0"/>
    </c:title>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dLbl>
          <c:idx val="0"/>
          <c:delete val="1"/>
          <c:extLst>
            <c:ext xmlns:c15="http://schemas.microsoft.com/office/drawing/2012/chart" uri="{CE6537A1-D6FC-4f65-9D91-7224C49458BB}"/>
          </c:extLst>
        </c:dLbl>
      </c:pivotFmt>
      <c:pivotFmt>
        <c:idx val="11"/>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Histograms!$DH$2:$DH$3</c:f>
              <c:strCache>
                <c:ptCount val="1"/>
                <c:pt idx="0">
                  <c:v>Straight Ahead</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Histograms!$DH$4:$DH$170</c:f>
              <c:numCache>
                <c:formatCode>General</c:formatCode>
                <c:ptCount val="166"/>
                <c:pt idx="1">
                  <c:v>1</c:v>
                </c:pt>
                <c:pt idx="2">
                  <c:v>15</c:v>
                </c:pt>
                <c:pt idx="4">
                  <c:v>1</c:v>
                </c:pt>
                <c:pt idx="6">
                  <c:v>1</c:v>
                </c:pt>
                <c:pt idx="7">
                  <c:v>1</c:v>
                </c:pt>
                <c:pt idx="8">
                  <c:v>1</c:v>
                </c:pt>
                <c:pt idx="11">
                  <c:v>1</c:v>
                </c:pt>
                <c:pt idx="12">
                  <c:v>1</c:v>
                </c:pt>
                <c:pt idx="13">
                  <c:v>1</c:v>
                </c:pt>
                <c:pt idx="15">
                  <c:v>1</c:v>
                </c:pt>
                <c:pt idx="17">
                  <c:v>1</c:v>
                </c:pt>
                <c:pt idx="21">
                  <c:v>1</c:v>
                </c:pt>
                <c:pt idx="22">
                  <c:v>1</c:v>
                </c:pt>
                <c:pt idx="23">
                  <c:v>1</c:v>
                </c:pt>
                <c:pt idx="24">
                  <c:v>1</c:v>
                </c:pt>
                <c:pt idx="25">
                  <c:v>1</c:v>
                </c:pt>
                <c:pt idx="26">
                  <c:v>1</c:v>
                </c:pt>
                <c:pt idx="29">
                  <c:v>1</c:v>
                </c:pt>
                <c:pt idx="31">
                  <c:v>1</c:v>
                </c:pt>
                <c:pt idx="32">
                  <c:v>1</c:v>
                </c:pt>
                <c:pt idx="33">
                  <c:v>1</c:v>
                </c:pt>
                <c:pt idx="34">
                  <c:v>1</c:v>
                </c:pt>
                <c:pt idx="36">
                  <c:v>1</c:v>
                </c:pt>
                <c:pt idx="38">
                  <c:v>1</c:v>
                </c:pt>
                <c:pt idx="39">
                  <c:v>1</c:v>
                </c:pt>
                <c:pt idx="43">
                  <c:v>1</c:v>
                </c:pt>
                <c:pt idx="44">
                  <c:v>1</c:v>
                </c:pt>
                <c:pt idx="45">
                  <c:v>1</c:v>
                </c:pt>
                <c:pt idx="47">
                  <c:v>1</c:v>
                </c:pt>
                <c:pt idx="51">
                  <c:v>1</c:v>
                </c:pt>
                <c:pt idx="53">
                  <c:v>1</c:v>
                </c:pt>
                <c:pt idx="54">
                  <c:v>1</c:v>
                </c:pt>
                <c:pt idx="55">
                  <c:v>1</c:v>
                </c:pt>
                <c:pt idx="60">
                  <c:v>1</c:v>
                </c:pt>
                <c:pt idx="61">
                  <c:v>1</c:v>
                </c:pt>
                <c:pt idx="62">
                  <c:v>1</c:v>
                </c:pt>
                <c:pt idx="63">
                  <c:v>1</c:v>
                </c:pt>
                <c:pt idx="64">
                  <c:v>1</c:v>
                </c:pt>
                <c:pt idx="65">
                  <c:v>1</c:v>
                </c:pt>
                <c:pt idx="66">
                  <c:v>1</c:v>
                </c:pt>
                <c:pt idx="69">
                  <c:v>1</c:v>
                </c:pt>
                <c:pt idx="72">
                  <c:v>1</c:v>
                </c:pt>
                <c:pt idx="74">
                  <c:v>1</c:v>
                </c:pt>
                <c:pt idx="75">
                  <c:v>1</c:v>
                </c:pt>
                <c:pt idx="78">
                  <c:v>1</c:v>
                </c:pt>
                <c:pt idx="79">
                  <c:v>1</c:v>
                </c:pt>
                <c:pt idx="81">
                  <c:v>1</c:v>
                </c:pt>
                <c:pt idx="82">
                  <c:v>1</c:v>
                </c:pt>
                <c:pt idx="83">
                  <c:v>1</c:v>
                </c:pt>
                <c:pt idx="85">
                  <c:v>1</c:v>
                </c:pt>
                <c:pt idx="86">
                  <c:v>1</c:v>
                </c:pt>
                <c:pt idx="87">
                  <c:v>1</c:v>
                </c:pt>
                <c:pt idx="90">
                  <c:v>1</c:v>
                </c:pt>
                <c:pt idx="92">
                  <c:v>1</c:v>
                </c:pt>
                <c:pt idx="93">
                  <c:v>1</c:v>
                </c:pt>
                <c:pt idx="94">
                  <c:v>1</c:v>
                </c:pt>
                <c:pt idx="97">
                  <c:v>1</c:v>
                </c:pt>
                <c:pt idx="98">
                  <c:v>1</c:v>
                </c:pt>
                <c:pt idx="99">
                  <c:v>1</c:v>
                </c:pt>
                <c:pt idx="100">
                  <c:v>1</c:v>
                </c:pt>
                <c:pt idx="101">
                  <c:v>1</c:v>
                </c:pt>
                <c:pt idx="102">
                  <c:v>1</c:v>
                </c:pt>
                <c:pt idx="103">
                  <c:v>1</c:v>
                </c:pt>
                <c:pt idx="109">
                  <c:v>1</c:v>
                </c:pt>
                <c:pt idx="112">
                  <c:v>1</c:v>
                </c:pt>
                <c:pt idx="113">
                  <c:v>1</c:v>
                </c:pt>
                <c:pt idx="114">
                  <c:v>1</c:v>
                </c:pt>
                <c:pt idx="118">
                  <c:v>1</c:v>
                </c:pt>
                <c:pt idx="120">
                  <c:v>1</c:v>
                </c:pt>
                <c:pt idx="121">
                  <c:v>1</c:v>
                </c:pt>
                <c:pt idx="122">
                  <c:v>1</c:v>
                </c:pt>
                <c:pt idx="123">
                  <c:v>1</c:v>
                </c:pt>
                <c:pt idx="125">
                  <c:v>1</c:v>
                </c:pt>
                <c:pt idx="127">
                  <c:v>1</c:v>
                </c:pt>
                <c:pt idx="128">
                  <c:v>1</c:v>
                </c:pt>
                <c:pt idx="129">
                  <c:v>1</c:v>
                </c:pt>
                <c:pt idx="130">
                  <c:v>1</c:v>
                </c:pt>
                <c:pt idx="141">
                  <c:v>1</c:v>
                </c:pt>
                <c:pt idx="142">
                  <c:v>1</c:v>
                </c:pt>
                <c:pt idx="145">
                  <c:v>1</c:v>
                </c:pt>
                <c:pt idx="147">
                  <c:v>1</c:v>
                </c:pt>
                <c:pt idx="150">
                  <c:v>1</c:v>
                </c:pt>
                <c:pt idx="151">
                  <c:v>1</c:v>
                </c:pt>
                <c:pt idx="157">
                  <c:v>1</c:v>
                </c:pt>
                <c:pt idx="158">
                  <c:v>1</c:v>
                </c:pt>
                <c:pt idx="160">
                  <c:v>1</c:v>
                </c:pt>
                <c:pt idx="161">
                  <c:v>1</c:v>
                </c:pt>
                <c:pt idx="162">
                  <c:v>1</c:v>
                </c:pt>
                <c:pt idx="163">
                  <c:v>1</c:v>
                </c:pt>
                <c:pt idx="164">
                  <c:v>1</c:v>
                </c:pt>
              </c:numCache>
            </c:numRef>
          </c:val>
          <c:extLst>
            <c:ext xmlns:c16="http://schemas.microsoft.com/office/drawing/2014/chart" uri="{C3380CC4-5D6E-409C-BE32-E72D297353CC}">
              <c16:uniqueId val="{00000000-F588-4078-ADDB-3A1C27AECCB3}"/>
            </c:ext>
          </c:extLst>
        </c:ser>
        <c:ser>
          <c:idx val="1"/>
          <c:order val="1"/>
          <c:tx>
            <c:strRef>
              <c:f>Histograms!$DI$2:$DI$3</c:f>
              <c:strCache>
                <c:ptCount val="1"/>
                <c:pt idx="0">
                  <c:v>Negotiating a Curve</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Histograms!$DI$4:$DI$170</c:f>
              <c:numCache>
                <c:formatCode>General</c:formatCode>
                <c:ptCount val="166"/>
                <c:pt idx="3">
                  <c:v>1</c:v>
                </c:pt>
                <c:pt idx="5">
                  <c:v>1</c:v>
                </c:pt>
                <c:pt idx="9">
                  <c:v>1</c:v>
                </c:pt>
                <c:pt idx="28">
                  <c:v>1</c:v>
                </c:pt>
                <c:pt idx="34">
                  <c:v>1</c:v>
                </c:pt>
                <c:pt idx="46">
                  <c:v>1</c:v>
                </c:pt>
                <c:pt idx="48">
                  <c:v>1</c:v>
                </c:pt>
                <c:pt idx="49">
                  <c:v>1</c:v>
                </c:pt>
                <c:pt idx="50">
                  <c:v>1</c:v>
                </c:pt>
                <c:pt idx="52">
                  <c:v>1</c:v>
                </c:pt>
                <c:pt idx="56">
                  <c:v>1</c:v>
                </c:pt>
                <c:pt idx="57">
                  <c:v>1</c:v>
                </c:pt>
                <c:pt idx="59">
                  <c:v>1</c:v>
                </c:pt>
                <c:pt idx="73">
                  <c:v>1</c:v>
                </c:pt>
                <c:pt idx="77">
                  <c:v>1</c:v>
                </c:pt>
                <c:pt idx="88">
                  <c:v>1</c:v>
                </c:pt>
                <c:pt idx="91">
                  <c:v>1</c:v>
                </c:pt>
                <c:pt idx="96">
                  <c:v>1</c:v>
                </c:pt>
                <c:pt idx="105">
                  <c:v>1</c:v>
                </c:pt>
                <c:pt idx="107">
                  <c:v>1</c:v>
                </c:pt>
                <c:pt idx="108">
                  <c:v>1</c:v>
                </c:pt>
                <c:pt idx="110">
                  <c:v>1</c:v>
                </c:pt>
                <c:pt idx="111">
                  <c:v>1</c:v>
                </c:pt>
                <c:pt idx="115">
                  <c:v>1</c:v>
                </c:pt>
                <c:pt idx="117">
                  <c:v>1</c:v>
                </c:pt>
                <c:pt idx="119">
                  <c:v>1</c:v>
                </c:pt>
                <c:pt idx="124">
                  <c:v>1</c:v>
                </c:pt>
                <c:pt idx="126">
                  <c:v>1</c:v>
                </c:pt>
                <c:pt idx="134">
                  <c:v>1</c:v>
                </c:pt>
                <c:pt idx="135">
                  <c:v>1</c:v>
                </c:pt>
                <c:pt idx="136">
                  <c:v>1</c:v>
                </c:pt>
                <c:pt idx="137">
                  <c:v>1</c:v>
                </c:pt>
                <c:pt idx="138">
                  <c:v>1</c:v>
                </c:pt>
                <c:pt idx="139">
                  <c:v>1</c:v>
                </c:pt>
                <c:pt idx="146">
                  <c:v>1</c:v>
                </c:pt>
                <c:pt idx="155">
                  <c:v>1</c:v>
                </c:pt>
                <c:pt idx="159">
                  <c:v>1</c:v>
                </c:pt>
              </c:numCache>
            </c:numRef>
          </c:val>
          <c:extLst>
            <c:ext xmlns:c16="http://schemas.microsoft.com/office/drawing/2014/chart" uri="{C3380CC4-5D6E-409C-BE32-E72D297353CC}">
              <c16:uniqueId val="{00000000-29E3-4A89-A81A-429C223C565D}"/>
            </c:ext>
          </c:extLst>
        </c:ser>
        <c:ser>
          <c:idx val="2"/>
          <c:order val="2"/>
          <c:tx>
            <c:strRef>
              <c:f>Histograms!$DJ$2:$DJ$3</c:f>
              <c:strCache>
                <c:ptCount val="1"/>
                <c:pt idx="0">
                  <c:v>Making Left Turn</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Histograms!$DJ$4:$DJ$170</c:f>
              <c:numCache>
                <c:formatCode>General</c:formatCode>
                <c:ptCount val="166"/>
                <c:pt idx="0">
                  <c:v>1</c:v>
                </c:pt>
                <c:pt idx="2">
                  <c:v>1</c:v>
                </c:pt>
                <c:pt idx="10">
                  <c:v>1</c:v>
                </c:pt>
                <c:pt idx="37">
                  <c:v>1</c:v>
                </c:pt>
                <c:pt idx="71">
                  <c:v>1</c:v>
                </c:pt>
                <c:pt idx="84">
                  <c:v>1</c:v>
                </c:pt>
                <c:pt idx="89">
                  <c:v>1</c:v>
                </c:pt>
                <c:pt idx="95">
                  <c:v>1</c:v>
                </c:pt>
                <c:pt idx="104">
                  <c:v>1</c:v>
                </c:pt>
                <c:pt idx="132">
                  <c:v>1</c:v>
                </c:pt>
                <c:pt idx="133">
                  <c:v>1</c:v>
                </c:pt>
                <c:pt idx="143">
                  <c:v>1</c:v>
                </c:pt>
              </c:numCache>
            </c:numRef>
          </c:val>
          <c:extLst>
            <c:ext xmlns:c16="http://schemas.microsoft.com/office/drawing/2014/chart" uri="{C3380CC4-5D6E-409C-BE32-E72D297353CC}">
              <c16:uniqueId val="{00000001-9777-48D9-B7DE-D020EBC3E552}"/>
            </c:ext>
          </c:extLst>
        </c:ser>
        <c:ser>
          <c:idx val="3"/>
          <c:order val="3"/>
          <c:tx>
            <c:strRef>
              <c:f>Histograms!$DK$2:$DK$3</c:f>
              <c:strCache>
                <c:ptCount val="1"/>
                <c:pt idx="0">
                  <c:v>Walking, Running, Jogging, Playing</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Histograms!$DK$4:$DK$170</c:f>
              <c:numCache>
                <c:formatCode>General</c:formatCode>
                <c:ptCount val="166"/>
                <c:pt idx="2">
                  <c:v>1</c:v>
                </c:pt>
                <c:pt idx="16">
                  <c:v>1</c:v>
                </c:pt>
                <c:pt idx="30">
                  <c:v>1</c:v>
                </c:pt>
                <c:pt idx="68">
                  <c:v>1</c:v>
                </c:pt>
                <c:pt idx="76">
                  <c:v>1</c:v>
                </c:pt>
                <c:pt idx="106">
                  <c:v>1</c:v>
                </c:pt>
                <c:pt idx="116">
                  <c:v>1</c:v>
                </c:pt>
                <c:pt idx="140">
                  <c:v>1</c:v>
                </c:pt>
                <c:pt idx="144">
                  <c:v>1</c:v>
                </c:pt>
                <c:pt idx="149">
                  <c:v>1</c:v>
                </c:pt>
              </c:numCache>
            </c:numRef>
          </c:val>
          <c:extLst>
            <c:ext xmlns:c16="http://schemas.microsoft.com/office/drawing/2014/chart" uri="{C3380CC4-5D6E-409C-BE32-E72D297353CC}">
              <c16:uniqueId val="{00000000-C18E-4538-A537-938AD46DDCB9}"/>
            </c:ext>
          </c:extLst>
        </c:ser>
        <c:ser>
          <c:idx val="4"/>
          <c:order val="4"/>
          <c:tx>
            <c:strRef>
              <c:f>Histograms!$DL$2:$DL$3</c:f>
              <c:strCache>
                <c:ptCount val="1"/>
                <c:pt idx="0">
                  <c:v>Other / Unknown</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Histograms!$DL$4:$DL$170</c:f>
              <c:numCache>
                <c:formatCode>General</c:formatCode>
                <c:ptCount val="166"/>
                <c:pt idx="2">
                  <c:v>2</c:v>
                </c:pt>
                <c:pt idx="14">
                  <c:v>1</c:v>
                </c:pt>
                <c:pt idx="18">
                  <c:v>1</c:v>
                </c:pt>
                <c:pt idx="19">
                  <c:v>1</c:v>
                </c:pt>
                <c:pt idx="20">
                  <c:v>1</c:v>
                </c:pt>
                <c:pt idx="41">
                  <c:v>1</c:v>
                </c:pt>
                <c:pt idx="58">
                  <c:v>1</c:v>
                </c:pt>
                <c:pt idx="70">
                  <c:v>1</c:v>
                </c:pt>
                <c:pt idx="154">
                  <c:v>1</c:v>
                </c:pt>
              </c:numCache>
            </c:numRef>
          </c:val>
          <c:extLst>
            <c:ext xmlns:c16="http://schemas.microsoft.com/office/drawing/2014/chart" uri="{C3380CC4-5D6E-409C-BE32-E72D297353CC}">
              <c16:uniqueId val="{00000001-C18E-4538-A537-938AD46DDCB9}"/>
            </c:ext>
          </c:extLst>
        </c:ser>
        <c:ser>
          <c:idx val="5"/>
          <c:order val="5"/>
          <c:tx>
            <c:strRef>
              <c:f>Histograms!$DM$2:$DM$3</c:f>
              <c:strCache>
                <c:ptCount val="1"/>
                <c:pt idx="0">
                  <c:v>Entering Traffic Lane</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Histograms!$DM$4:$DM$170</c:f>
              <c:numCache>
                <c:formatCode>General</c:formatCode>
                <c:ptCount val="166"/>
                <c:pt idx="35">
                  <c:v>1</c:v>
                </c:pt>
                <c:pt idx="131">
                  <c:v>1</c:v>
                </c:pt>
                <c:pt idx="152">
                  <c:v>1</c:v>
                </c:pt>
              </c:numCache>
            </c:numRef>
          </c:val>
          <c:extLst>
            <c:ext xmlns:c16="http://schemas.microsoft.com/office/drawing/2014/chart" uri="{C3380CC4-5D6E-409C-BE32-E72D297353CC}">
              <c16:uniqueId val="{00000002-C18E-4538-A537-938AD46DDCB9}"/>
            </c:ext>
          </c:extLst>
        </c:ser>
        <c:ser>
          <c:idx val="6"/>
          <c:order val="6"/>
          <c:tx>
            <c:strRef>
              <c:f>Histograms!$DN$2:$DN$3</c:f>
              <c:strCache>
                <c:ptCount val="1"/>
                <c:pt idx="0">
                  <c:v>Changing Lanes</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Histograms!$DN$4:$DN$170</c:f>
              <c:numCache>
                <c:formatCode>General</c:formatCode>
                <c:ptCount val="166"/>
                <c:pt idx="80">
                  <c:v>1</c:v>
                </c:pt>
                <c:pt idx="165">
                  <c:v>1</c:v>
                </c:pt>
              </c:numCache>
            </c:numRef>
          </c:val>
          <c:extLst>
            <c:ext xmlns:c16="http://schemas.microsoft.com/office/drawing/2014/chart" uri="{C3380CC4-5D6E-409C-BE32-E72D297353CC}">
              <c16:uniqueId val="{00000003-C18E-4538-A537-938AD46DDCB9}"/>
            </c:ext>
          </c:extLst>
        </c:ser>
        <c:ser>
          <c:idx val="7"/>
          <c:order val="7"/>
          <c:tx>
            <c:strRef>
              <c:f>Histograms!$DO$2:$DO$3</c:f>
              <c:strCache>
                <c:ptCount val="1"/>
                <c:pt idx="0">
                  <c:v>Other Non-Motorist</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Histograms!$DO$4:$DO$170</c:f>
              <c:numCache>
                <c:formatCode>General</c:formatCode>
                <c:ptCount val="166"/>
                <c:pt idx="2">
                  <c:v>1</c:v>
                </c:pt>
                <c:pt idx="156">
                  <c:v>1</c:v>
                </c:pt>
              </c:numCache>
            </c:numRef>
          </c:val>
          <c:extLst>
            <c:ext xmlns:c16="http://schemas.microsoft.com/office/drawing/2014/chart" uri="{C3380CC4-5D6E-409C-BE32-E72D297353CC}">
              <c16:uniqueId val="{00000004-C18E-4538-A537-938AD46DDCB9}"/>
            </c:ext>
          </c:extLst>
        </c:ser>
        <c:ser>
          <c:idx val="8"/>
          <c:order val="8"/>
          <c:tx>
            <c:strRef>
              <c:f>Histograms!$DP$2:$DP$3</c:f>
              <c:strCache>
                <c:ptCount val="1"/>
                <c:pt idx="0">
                  <c:v>Standing Outside Disabled Vehicle</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Histograms!$DP$4:$DP$170</c:f>
              <c:numCache>
                <c:formatCode>General</c:formatCode>
                <c:ptCount val="166"/>
                <c:pt idx="67">
                  <c:v>1</c:v>
                </c:pt>
              </c:numCache>
            </c:numRef>
          </c:val>
          <c:extLst>
            <c:ext xmlns:c16="http://schemas.microsoft.com/office/drawing/2014/chart" uri="{C3380CC4-5D6E-409C-BE32-E72D297353CC}">
              <c16:uniqueId val="{00000005-C18E-4538-A537-938AD46DDCB9}"/>
            </c:ext>
          </c:extLst>
        </c:ser>
        <c:ser>
          <c:idx val="9"/>
          <c:order val="9"/>
          <c:tx>
            <c:strRef>
              <c:f>Histograms!$DQ$2:$DQ$3</c:f>
              <c:strCache>
                <c:ptCount val="1"/>
                <c:pt idx="0">
                  <c:v>Entering or Crossing Specified Location</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Histograms!$DQ$4:$DQ$170</c:f>
              <c:numCache>
                <c:formatCode>General</c:formatCode>
                <c:ptCount val="166"/>
                <c:pt idx="42">
                  <c:v>1</c:v>
                </c:pt>
              </c:numCache>
            </c:numRef>
          </c:val>
          <c:extLst>
            <c:ext xmlns:c16="http://schemas.microsoft.com/office/drawing/2014/chart" uri="{C3380CC4-5D6E-409C-BE32-E72D297353CC}">
              <c16:uniqueId val="{00000006-C18E-4538-A537-938AD46DDCB9}"/>
            </c:ext>
          </c:extLst>
        </c:ser>
        <c:ser>
          <c:idx val="10"/>
          <c:order val="10"/>
          <c:tx>
            <c:strRef>
              <c:f>Histograms!$DR$2:$DR$3</c:f>
              <c:strCache>
                <c:ptCount val="1"/>
                <c:pt idx="0">
                  <c:v>Making Right Turn</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Histograms!$DR$4:$DR$170</c:f>
              <c:numCache>
                <c:formatCode>General</c:formatCode>
                <c:ptCount val="166"/>
                <c:pt idx="148">
                  <c:v>1</c:v>
                </c:pt>
              </c:numCache>
            </c:numRef>
          </c:val>
          <c:extLst>
            <c:ext xmlns:c16="http://schemas.microsoft.com/office/drawing/2014/chart" uri="{C3380CC4-5D6E-409C-BE32-E72D297353CC}">
              <c16:uniqueId val="{00000007-C18E-4538-A537-938AD46DDCB9}"/>
            </c:ext>
          </c:extLst>
        </c:ser>
        <c:ser>
          <c:idx val="11"/>
          <c:order val="11"/>
          <c:tx>
            <c:strRef>
              <c:f>Histograms!$DS$2:$DS$3</c:f>
              <c:strCache>
                <c:ptCount val="1"/>
                <c:pt idx="0">
                  <c:v>Leaving Traffic Lane</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Histograms!$DS$4:$DS$170</c:f>
              <c:numCache>
                <c:formatCode>General</c:formatCode>
                <c:ptCount val="166"/>
                <c:pt idx="40">
                  <c:v>1</c:v>
                </c:pt>
              </c:numCache>
            </c:numRef>
          </c:val>
          <c:extLst>
            <c:ext xmlns:c16="http://schemas.microsoft.com/office/drawing/2014/chart" uri="{C3380CC4-5D6E-409C-BE32-E72D297353CC}">
              <c16:uniqueId val="{00000008-C18E-4538-A537-938AD46DDCB9}"/>
            </c:ext>
          </c:extLst>
        </c:ser>
        <c:ser>
          <c:idx val="12"/>
          <c:order val="12"/>
          <c:tx>
            <c:strRef>
              <c:f>Histograms!$DT$2:$DT$3</c:f>
              <c:strCache>
                <c:ptCount val="1"/>
                <c:pt idx="0">
                  <c:v>Overtaking/Passing</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Histograms!$DT$4:$DT$170</c:f>
              <c:numCache>
                <c:formatCode>General</c:formatCode>
                <c:ptCount val="166"/>
                <c:pt idx="153">
                  <c:v>1</c:v>
                </c:pt>
              </c:numCache>
            </c:numRef>
          </c:val>
          <c:extLst>
            <c:ext xmlns:c16="http://schemas.microsoft.com/office/drawing/2014/chart" uri="{C3380CC4-5D6E-409C-BE32-E72D297353CC}">
              <c16:uniqueId val="{00000009-C18E-4538-A537-938AD46DDCB9}"/>
            </c:ext>
          </c:extLst>
        </c:ser>
        <c:ser>
          <c:idx val="13"/>
          <c:order val="13"/>
          <c:tx>
            <c:strRef>
              <c:f>Histograms!$DU$2:$DU$3</c:f>
              <c:strCache>
                <c:ptCount val="1"/>
                <c:pt idx="0">
                  <c:v>Driverless</c:v>
                </c:pt>
              </c:strCache>
            </c:strRef>
          </c:tx>
          <c:invertIfNegative val="0"/>
          <c:cat>
            <c:strRef>
              <c:f>Histograms!$DG$4:$DG$170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Histograms!$DU$4:$DU$170</c:f>
              <c:numCache>
                <c:formatCode>General</c:formatCode>
                <c:ptCount val="166"/>
                <c:pt idx="27">
                  <c:v>1</c:v>
                </c:pt>
              </c:numCache>
            </c:numRef>
          </c:val>
          <c:extLst>
            <c:ext xmlns:c16="http://schemas.microsoft.com/office/drawing/2014/chart" uri="{C3380CC4-5D6E-409C-BE32-E72D297353CC}">
              <c16:uniqueId val="{0000000A-C18E-4538-A537-938AD46DDCB9}"/>
            </c:ext>
          </c:extLst>
        </c:ser>
        <c:dLbls>
          <c:showLegendKey val="0"/>
          <c:showVal val="0"/>
          <c:showCatName val="0"/>
          <c:showSerName val="0"/>
          <c:showPercent val="0"/>
          <c:showBubbleSize val="0"/>
        </c:dLbls>
        <c:gapWidth val="150"/>
        <c:overlap val="100"/>
        <c:axId val="342574776"/>
        <c:axId val="342575168"/>
      </c:barChart>
      <c:catAx>
        <c:axId val="34257477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42575168"/>
        <c:crosses val="autoZero"/>
        <c:auto val="0"/>
        <c:lblAlgn val="ctr"/>
        <c:lblOffset val="100"/>
        <c:tickLblSkip val="1"/>
        <c:tickMarkSkip val="1"/>
        <c:noMultiLvlLbl val="0"/>
      </c:catAx>
      <c:valAx>
        <c:axId val="34257516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42574776"/>
        <c:crosses val="autoZero"/>
        <c:crossBetween val="between"/>
      </c:valAx>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2021-2025.xlsx]Histograms!Day</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Day</a:t>
            </a:r>
          </a:p>
        </c:rich>
      </c:tx>
      <c:overlay val="0"/>
    </c:title>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dLbl>
          <c:idx val="0"/>
          <c:delete val="1"/>
          <c:extLst>
            <c:ext xmlns:c15="http://schemas.microsoft.com/office/drawing/2012/chart" uri="{CE6537A1-D6FC-4f65-9D91-7224C49458BB}"/>
          </c:extLst>
        </c:dLbl>
      </c:pivotFmt>
      <c:pivotFmt>
        <c:idx val="11"/>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Histograms!$EA$2:$EA$3</c:f>
              <c:strCache>
                <c:ptCount val="1"/>
                <c:pt idx="0">
                  <c:v>(6) Friday</c:v>
                </c:pt>
              </c:strCache>
            </c:strRef>
          </c:tx>
          <c:invertIfNegative val="0"/>
          <c:cat>
            <c:strRef>
              <c:f>Histograms!$DZ$4:$DZ$170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Histograms!$EA$4:$EA$170</c:f>
              <c:numCache>
                <c:formatCode>General</c:formatCode>
                <c:ptCount val="166"/>
                <c:pt idx="1">
                  <c:v>1</c:v>
                </c:pt>
                <c:pt idx="2">
                  <c:v>6</c:v>
                </c:pt>
                <c:pt idx="3">
                  <c:v>1</c:v>
                </c:pt>
                <c:pt idx="4">
                  <c:v>1</c:v>
                </c:pt>
                <c:pt idx="14">
                  <c:v>1</c:v>
                </c:pt>
                <c:pt idx="23">
                  <c:v>1</c:v>
                </c:pt>
                <c:pt idx="24">
                  <c:v>1</c:v>
                </c:pt>
                <c:pt idx="25">
                  <c:v>1</c:v>
                </c:pt>
                <c:pt idx="28">
                  <c:v>1</c:v>
                </c:pt>
                <c:pt idx="38">
                  <c:v>1</c:v>
                </c:pt>
                <c:pt idx="44">
                  <c:v>1</c:v>
                </c:pt>
                <c:pt idx="45">
                  <c:v>1</c:v>
                </c:pt>
                <c:pt idx="55">
                  <c:v>1</c:v>
                </c:pt>
                <c:pt idx="59">
                  <c:v>1</c:v>
                </c:pt>
                <c:pt idx="86">
                  <c:v>1</c:v>
                </c:pt>
                <c:pt idx="94">
                  <c:v>1</c:v>
                </c:pt>
                <c:pt idx="95">
                  <c:v>1</c:v>
                </c:pt>
                <c:pt idx="97">
                  <c:v>1</c:v>
                </c:pt>
                <c:pt idx="102">
                  <c:v>1</c:v>
                </c:pt>
                <c:pt idx="107">
                  <c:v>1</c:v>
                </c:pt>
                <c:pt idx="112">
                  <c:v>1</c:v>
                </c:pt>
                <c:pt idx="117">
                  <c:v>1</c:v>
                </c:pt>
                <c:pt idx="122">
                  <c:v>1</c:v>
                </c:pt>
                <c:pt idx="123">
                  <c:v>1</c:v>
                </c:pt>
                <c:pt idx="133">
                  <c:v>1</c:v>
                </c:pt>
                <c:pt idx="140">
                  <c:v>1</c:v>
                </c:pt>
                <c:pt idx="144">
                  <c:v>1</c:v>
                </c:pt>
                <c:pt idx="145">
                  <c:v>1</c:v>
                </c:pt>
                <c:pt idx="148">
                  <c:v>1</c:v>
                </c:pt>
                <c:pt idx="149">
                  <c:v>1</c:v>
                </c:pt>
                <c:pt idx="151">
                  <c:v>1</c:v>
                </c:pt>
                <c:pt idx="156">
                  <c:v>1</c:v>
                </c:pt>
                <c:pt idx="159">
                  <c:v>1</c:v>
                </c:pt>
                <c:pt idx="161">
                  <c:v>1</c:v>
                </c:pt>
                <c:pt idx="163">
                  <c:v>1</c:v>
                </c:pt>
              </c:numCache>
            </c:numRef>
          </c:val>
          <c:extLst>
            <c:ext xmlns:c16="http://schemas.microsoft.com/office/drawing/2014/chart" uri="{C3380CC4-5D6E-409C-BE32-E72D297353CC}">
              <c16:uniqueId val="{00000000-C7FC-49DF-B3E9-B66504D33768}"/>
            </c:ext>
          </c:extLst>
        </c:ser>
        <c:ser>
          <c:idx val="1"/>
          <c:order val="1"/>
          <c:tx>
            <c:strRef>
              <c:f>Histograms!$EB$2:$EB$3</c:f>
              <c:strCache>
                <c:ptCount val="1"/>
                <c:pt idx="0">
                  <c:v>(2) Monday</c:v>
                </c:pt>
              </c:strCache>
            </c:strRef>
          </c:tx>
          <c:invertIfNegative val="0"/>
          <c:cat>
            <c:strRef>
              <c:f>Histograms!$DZ$4:$DZ$170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Histograms!$EB$4:$EB$170</c:f>
              <c:numCache>
                <c:formatCode>General</c:formatCode>
                <c:ptCount val="166"/>
                <c:pt idx="2">
                  <c:v>2</c:v>
                </c:pt>
                <c:pt idx="7">
                  <c:v>1</c:v>
                </c:pt>
                <c:pt idx="12">
                  <c:v>1</c:v>
                </c:pt>
                <c:pt idx="36">
                  <c:v>1</c:v>
                </c:pt>
                <c:pt idx="48">
                  <c:v>1</c:v>
                </c:pt>
                <c:pt idx="58">
                  <c:v>1</c:v>
                </c:pt>
                <c:pt idx="78">
                  <c:v>1</c:v>
                </c:pt>
                <c:pt idx="87">
                  <c:v>1</c:v>
                </c:pt>
                <c:pt idx="90">
                  <c:v>1</c:v>
                </c:pt>
                <c:pt idx="91">
                  <c:v>1</c:v>
                </c:pt>
                <c:pt idx="98">
                  <c:v>1</c:v>
                </c:pt>
                <c:pt idx="99">
                  <c:v>1</c:v>
                </c:pt>
                <c:pt idx="104">
                  <c:v>1</c:v>
                </c:pt>
                <c:pt idx="109">
                  <c:v>1</c:v>
                </c:pt>
                <c:pt idx="113">
                  <c:v>1</c:v>
                </c:pt>
                <c:pt idx="116">
                  <c:v>1</c:v>
                </c:pt>
                <c:pt idx="121">
                  <c:v>1</c:v>
                </c:pt>
                <c:pt idx="124">
                  <c:v>1</c:v>
                </c:pt>
                <c:pt idx="153">
                  <c:v>1</c:v>
                </c:pt>
                <c:pt idx="157">
                  <c:v>1</c:v>
                </c:pt>
              </c:numCache>
            </c:numRef>
          </c:val>
          <c:extLst>
            <c:ext xmlns:c16="http://schemas.microsoft.com/office/drawing/2014/chart" uri="{C3380CC4-5D6E-409C-BE32-E72D297353CC}">
              <c16:uniqueId val="{00000000-2917-445F-8924-D74EE8B58A34}"/>
            </c:ext>
          </c:extLst>
        </c:ser>
        <c:ser>
          <c:idx val="2"/>
          <c:order val="2"/>
          <c:tx>
            <c:strRef>
              <c:f>Histograms!$EC$2:$EC$3</c:f>
              <c:strCache>
                <c:ptCount val="1"/>
                <c:pt idx="0">
                  <c:v>(1) Sunday</c:v>
                </c:pt>
              </c:strCache>
            </c:strRef>
          </c:tx>
          <c:invertIfNegative val="0"/>
          <c:cat>
            <c:strRef>
              <c:f>Histograms!$DZ$4:$DZ$170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Histograms!$EC$4:$EC$170</c:f>
              <c:numCache>
                <c:formatCode>General</c:formatCode>
                <c:ptCount val="166"/>
                <c:pt idx="2">
                  <c:v>2</c:v>
                </c:pt>
                <c:pt idx="9">
                  <c:v>1</c:v>
                </c:pt>
                <c:pt idx="11">
                  <c:v>1</c:v>
                </c:pt>
                <c:pt idx="16">
                  <c:v>1</c:v>
                </c:pt>
                <c:pt idx="17">
                  <c:v>1</c:v>
                </c:pt>
                <c:pt idx="21">
                  <c:v>1</c:v>
                </c:pt>
                <c:pt idx="29">
                  <c:v>1</c:v>
                </c:pt>
                <c:pt idx="34">
                  <c:v>1</c:v>
                </c:pt>
                <c:pt idx="37">
                  <c:v>1</c:v>
                </c:pt>
                <c:pt idx="49">
                  <c:v>1</c:v>
                </c:pt>
                <c:pt idx="50">
                  <c:v>1</c:v>
                </c:pt>
                <c:pt idx="52">
                  <c:v>1</c:v>
                </c:pt>
                <c:pt idx="53">
                  <c:v>1</c:v>
                </c:pt>
                <c:pt idx="56">
                  <c:v>1</c:v>
                </c:pt>
                <c:pt idx="60">
                  <c:v>1</c:v>
                </c:pt>
                <c:pt idx="63">
                  <c:v>1</c:v>
                </c:pt>
                <c:pt idx="67">
                  <c:v>1</c:v>
                </c:pt>
                <c:pt idx="68">
                  <c:v>1</c:v>
                </c:pt>
                <c:pt idx="70">
                  <c:v>1</c:v>
                </c:pt>
                <c:pt idx="74">
                  <c:v>1</c:v>
                </c:pt>
                <c:pt idx="80">
                  <c:v>1</c:v>
                </c:pt>
                <c:pt idx="88">
                  <c:v>1</c:v>
                </c:pt>
                <c:pt idx="93">
                  <c:v>1</c:v>
                </c:pt>
                <c:pt idx="101">
                  <c:v>1</c:v>
                </c:pt>
                <c:pt idx="103">
                  <c:v>1</c:v>
                </c:pt>
                <c:pt idx="162">
                  <c:v>1</c:v>
                </c:pt>
              </c:numCache>
            </c:numRef>
          </c:val>
          <c:extLst>
            <c:ext xmlns:c16="http://schemas.microsoft.com/office/drawing/2014/chart" uri="{C3380CC4-5D6E-409C-BE32-E72D297353CC}">
              <c16:uniqueId val="{00000001-2DD5-4DA6-97F5-761BAB7C44FD}"/>
            </c:ext>
          </c:extLst>
        </c:ser>
        <c:ser>
          <c:idx val="3"/>
          <c:order val="3"/>
          <c:tx>
            <c:strRef>
              <c:f>Histograms!$ED$2:$ED$3</c:f>
              <c:strCache>
                <c:ptCount val="1"/>
                <c:pt idx="0">
                  <c:v>(3) Tuesday</c:v>
                </c:pt>
              </c:strCache>
            </c:strRef>
          </c:tx>
          <c:invertIfNegative val="0"/>
          <c:cat>
            <c:strRef>
              <c:f>Histograms!$DZ$4:$DZ$170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Histograms!$ED$4:$ED$170</c:f>
              <c:numCache>
                <c:formatCode>General</c:formatCode>
                <c:ptCount val="166"/>
                <c:pt idx="2">
                  <c:v>1</c:v>
                </c:pt>
                <c:pt idx="6">
                  <c:v>1</c:v>
                </c:pt>
                <c:pt idx="10">
                  <c:v>1</c:v>
                </c:pt>
                <c:pt idx="22">
                  <c:v>1</c:v>
                </c:pt>
                <c:pt idx="32">
                  <c:v>1</c:v>
                </c:pt>
                <c:pt idx="34">
                  <c:v>1</c:v>
                </c:pt>
                <c:pt idx="47">
                  <c:v>1</c:v>
                </c:pt>
                <c:pt idx="51">
                  <c:v>1</c:v>
                </c:pt>
                <c:pt idx="54">
                  <c:v>1</c:v>
                </c:pt>
                <c:pt idx="72">
                  <c:v>1</c:v>
                </c:pt>
                <c:pt idx="76">
                  <c:v>1</c:v>
                </c:pt>
                <c:pt idx="92">
                  <c:v>1</c:v>
                </c:pt>
                <c:pt idx="96">
                  <c:v>1</c:v>
                </c:pt>
                <c:pt idx="114">
                  <c:v>1</c:v>
                </c:pt>
                <c:pt idx="119">
                  <c:v>1</c:v>
                </c:pt>
                <c:pt idx="125">
                  <c:v>1</c:v>
                </c:pt>
                <c:pt idx="126">
                  <c:v>1</c:v>
                </c:pt>
                <c:pt idx="128">
                  <c:v>1</c:v>
                </c:pt>
                <c:pt idx="165">
                  <c:v>1</c:v>
                </c:pt>
              </c:numCache>
            </c:numRef>
          </c:val>
          <c:extLst>
            <c:ext xmlns:c16="http://schemas.microsoft.com/office/drawing/2014/chart" uri="{C3380CC4-5D6E-409C-BE32-E72D297353CC}">
              <c16:uniqueId val="{00000002-2DD5-4DA6-97F5-761BAB7C44FD}"/>
            </c:ext>
          </c:extLst>
        </c:ser>
        <c:ser>
          <c:idx val="4"/>
          <c:order val="4"/>
          <c:tx>
            <c:strRef>
              <c:f>Histograms!$EE$2:$EE$3</c:f>
              <c:strCache>
                <c:ptCount val="1"/>
                <c:pt idx="0">
                  <c:v>(4) Wednesday</c:v>
                </c:pt>
              </c:strCache>
            </c:strRef>
          </c:tx>
          <c:invertIfNegative val="0"/>
          <c:cat>
            <c:strRef>
              <c:f>Histograms!$DZ$4:$DZ$170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Histograms!$EE$4:$EE$170</c:f>
              <c:numCache>
                <c:formatCode>General</c:formatCode>
                <c:ptCount val="166"/>
                <c:pt idx="0">
                  <c:v>1</c:v>
                </c:pt>
                <c:pt idx="2">
                  <c:v>4</c:v>
                </c:pt>
                <c:pt idx="8">
                  <c:v>1</c:v>
                </c:pt>
                <c:pt idx="15">
                  <c:v>1</c:v>
                </c:pt>
                <c:pt idx="18">
                  <c:v>1</c:v>
                </c:pt>
                <c:pt idx="20">
                  <c:v>1</c:v>
                </c:pt>
                <c:pt idx="26">
                  <c:v>1</c:v>
                </c:pt>
                <c:pt idx="27">
                  <c:v>1</c:v>
                </c:pt>
                <c:pt idx="31">
                  <c:v>1</c:v>
                </c:pt>
                <c:pt idx="41">
                  <c:v>1</c:v>
                </c:pt>
                <c:pt idx="57">
                  <c:v>1</c:v>
                </c:pt>
                <c:pt idx="61">
                  <c:v>1</c:v>
                </c:pt>
                <c:pt idx="62">
                  <c:v>1</c:v>
                </c:pt>
                <c:pt idx="69">
                  <c:v>1</c:v>
                </c:pt>
                <c:pt idx="75">
                  <c:v>1</c:v>
                </c:pt>
                <c:pt idx="85">
                  <c:v>1</c:v>
                </c:pt>
                <c:pt idx="100">
                  <c:v>1</c:v>
                </c:pt>
                <c:pt idx="108">
                  <c:v>1</c:v>
                </c:pt>
                <c:pt idx="111">
                  <c:v>1</c:v>
                </c:pt>
                <c:pt idx="115">
                  <c:v>1</c:v>
                </c:pt>
                <c:pt idx="120">
                  <c:v>1</c:v>
                </c:pt>
                <c:pt idx="131">
                  <c:v>1</c:v>
                </c:pt>
                <c:pt idx="135">
                  <c:v>1</c:v>
                </c:pt>
                <c:pt idx="137">
                  <c:v>1</c:v>
                </c:pt>
                <c:pt idx="142">
                  <c:v>1</c:v>
                </c:pt>
                <c:pt idx="154">
                  <c:v>1</c:v>
                </c:pt>
                <c:pt idx="158">
                  <c:v>1</c:v>
                </c:pt>
                <c:pt idx="164">
                  <c:v>1</c:v>
                </c:pt>
              </c:numCache>
            </c:numRef>
          </c:val>
          <c:extLst>
            <c:ext xmlns:c16="http://schemas.microsoft.com/office/drawing/2014/chart" uri="{C3380CC4-5D6E-409C-BE32-E72D297353CC}">
              <c16:uniqueId val="{00000003-2DD5-4DA6-97F5-761BAB7C44FD}"/>
            </c:ext>
          </c:extLst>
        </c:ser>
        <c:ser>
          <c:idx val="5"/>
          <c:order val="5"/>
          <c:tx>
            <c:strRef>
              <c:f>Histograms!$EF$2:$EF$3</c:f>
              <c:strCache>
                <c:ptCount val="1"/>
                <c:pt idx="0">
                  <c:v>(5) Thursday</c:v>
                </c:pt>
              </c:strCache>
            </c:strRef>
          </c:tx>
          <c:invertIfNegative val="0"/>
          <c:cat>
            <c:strRef>
              <c:f>Histograms!$DZ$4:$DZ$170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Histograms!$EF$4:$EF$170</c:f>
              <c:numCache>
                <c:formatCode>General</c:formatCode>
                <c:ptCount val="166"/>
                <c:pt idx="2">
                  <c:v>4</c:v>
                </c:pt>
                <c:pt idx="13">
                  <c:v>1</c:v>
                </c:pt>
                <c:pt idx="39">
                  <c:v>1</c:v>
                </c:pt>
                <c:pt idx="40">
                  <c:v>1</c:v>
                </c:pt>
                <c:pt idx="43">
                  <c:v>1</c:v>
                </c:pt>
                <c:pt idx="66">
                  <c:v>1</c:v>
                </c:pt>
                <c:pt idx="71">
                  <c:v>1</c:v>
                </c:pt>
                <c:pt idx="73">
                  <c:v>1</c:v>
                </c:pt>
                <c:pt idx="84">
                  <c:v>1</c:v>
                </c:pt>
                <c:pt idx="89">
                  <c:v>1</c:v>
                </c:pt>
                <c:pt idx="106">
                  <c:v>1</c:v>
                </c:pt>
                <c:pt idx="127">
                  <c:v>1</c:v>
                </c:pt>
                <c:pt idx="129">
                  <c:v>1</c:v>
                </c:pt>
                <c:pt idx="132">
                  <c:v>1</c:v>
                </c:pt>
                <c:pt idx="143">
                  <c:v>1</c:v>
                </c:pt>
                <c:pt idx="150">
                  <c:v>1</c:v>
                </c:pt>
              </c:numCache>
            </c:numRef>
          </c:val>
          <c:extLst>
            <c:ext xmlns:c16="http://schemas.microsoft.com/office/drawing/2014/chart" uri="{C3380CC4-5D6E-409C-BE32-E72D297353CC}">
              <c16:uniqueId val="{00000004-2DD5-4DA6-97F5-761BAB7C44FD}"/>
            </c:ext>
          </c:extLst>
        </c:ser>
        <c:ser>
          <c:idx val="6"/>
          <c:order val="6"/>
          <c:tx>
            <c:strRef>
              <c:f>Histograms!$EG$2:$EG$3</c:f>
              <c:strCache>
                <c:ptCount val="1"/>
                <c:pt idx="0">
                  <c:v>(7) Saturday</c:v>
                </c:pt>
              </c:strCache>
            </c:strRef>
          </c:tx>
          <c:invertIfNegative val="0"/>
          <c:cat>
            <c:strRef>
              <c:f>Histograms!$DZ$4:$DZ$170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Histograms!$EG$4:$EG$170</c:f>
              <c:numCache>
                <c:formatCode>General</c:formatCode>
                <c:ptCount val="166"/>
                <c:pt idx="2">
                  <c:v>1</c:v>
                </c:pt>
                <c:pt idx="5">
                  <c:v>1</c:v>
                </c:pt>
                <c:pt idx="19">
                  <c:v>1</c:v>
                </c:pt>
                <c:pt idx="30">
                  <c:v>1</c:v>
                </c:pt>
                <c:pt idx="33">
                  <c:v>1</c:v>
                </c:pt>
                <c:pt idx="35">
                  <c:v>1</c:v>
                </c:pt>
                <c:pt idx="42">
                  <c:v>1</c:v>
                </c:pt>
                <c:pt idx="46">
                  <c:v>1</c:v>
                </c:pt>
                <c:pt idx="64">
                  <c:v>1</c:v>
                </c:pt>
                <c:pt idx="65">
                  <c:v>1</c:v>
                </c:pt>
                <c:pt idx="77">
                  <c:v>1</c:v>
                </c:pt>
                <c:pt idx="79">
                  <c:v>1</c:v>
                </c:pt>
                <c:pt idx="81">
                  <c:v>1</c:v>
                </c:pt>
                <c:pt idx="82">
                  <c:v>1</c:v>
                </c:pt>
                <c:pt idx="83">
                  <c:v>1</c:v>
                </c:pt>
                <c:pt idx="105">
                  <c:v>1</c:v>
                </c:pt>
                <c:pt idx="110">
                  <c:v>1</c:v>
                </c:pt>
                <c:pt idx="118">
                  <c:v>1</c:v>
                </c:pt>
                <c:pt idx="130">
                  <c:v>1</c:v>
                </c:pt>
                <c:pt idx="134">
                  <c:v>1</c:v>
                </c:pt>
                <c:pt idx="136">
                  <c:v>1</c:v>
                </c:pt>
                <c:pt idx="138">
                  <c:v>1</c:v>
                </c:pt>
                <c:pt idx="139">
                  <c:v>1</c:v>
                </c:pt>
                <c:pt idx="141">
                  <c:v>1</c:v>
                </c:pt>
                <c:pt idx="146">
                  <c:v>1</c:v>
                </c:pt>
                <c:pt idx="147">
                  <c:v>1</c:v>
                </c:pt>
                <c:pt idx="152">
                  <c:v>1</c:v>
                </c:pt>
                <c:pt idx="155">
                  <c:v>1</c:v>
                </c:pt>
                <c:pt idx="160">
                  <c:v>1</c:v>
                </c:pt>
              </c:numCache>
            </c:numRef>
          </c:val>
          <c:extLst>
            <c:ext xmlns:c16="http://schemas.microsoft.com/office/drawing/2014/chart" uri="{C3380CC4-5D6E-409C-BE32-E72D297353CC}">
              <c16:uniqueId val="{00000005-2DD5-4DA6-97F5-761BAB7C44FD}"/>
            </c:ext>
          </c:extLst>
        </c:ser>
        <c:dLbls>
          <c:showLegendKey val="0"/>
          <c:showVal val="0"/>
          <c:showCatName val="0"/>
          <c:showSerName val="0"/>
          <c:showPercent val="0"/>
          <c:showBubbleSize val="0"/>
        </c:dLbls>
        <c:gapWidth val="150"/>
        <c:overlap val="100"/>
        <c:axId val="342575952"/>
        <c:axId val="342576344"/>
      </c:barChart>
      <c:catAx>
        <c:axId val="34257595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42576344"/>
        <c:crosses val="autoZero"/>
        <c:auto val="0"/>
        <c:lblAlgn val="ctr"/>
        <c:lblOffset val="100"/>
        <c:tickLblSkip val="1"/>
        <c:tickMarkSkip val="1"/>
        <c:noMultiLvlLbl val="0"/>
      </c:catAx>
      <c:valAx>
        <c:axId val="342576344"/>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  </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42575952"/>
        <c:crosses val="autoZero"/>
        <c:crossBetween val="between"/>
      </c:valAx>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2021-2025.xlsx]Histograms!Hour</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by Hour</a:t>
            </a:r>
          </a:p>
        </c:rich>
      </c:tx>
      <c:overlay val="0"/>
    </c:title>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dLbl>
          <c:idx val="0"/>
          <c:delete val="1"/>
          <c:extLst>
            <c:ext xmlns:c15="http://schemas.microsoft.com/office/drawing/2012/chart" uri="{CE6537A1-D6FC-4f65-9D91-7224C49458BB}"/>
          </c:extLst>
        </c:dLbl>
      </c:pivotFmt>
      <c:pivotFmt>
        <c:idx val="11"/>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
        <c:idx val="18"/>
        <c:marker>
          <c:symbol val="none"/>
        </c:marker>
        <c:dLbl>
          <c:idx val="0"/>
          <c:delete val="1"/>
          <c:extLst>
            <c:ext xmlns:c15="http://schemas.microsoft.com/office/drawing/2012/chart" uri="{CE6537A1-D6FC-4f65-9D91-7224C49458BB}"/>
          </c:extLst>
        </c:dLbl>
      </c:pivotFmt>
      <c:pivotFmt>
        <c:idx val="19"/>
        <c:marker>
          <c:symbol val="none"/>
        </c:marker>
        <c:dLbl>
          <c:idx val="0"/>
          <c:delete val="1"/>
          <c:extLst>
            <c:ext xmlns:c15="http://schemas.microsoft.com/office/drawing/2012/chart" uri="{CE6537A1-D6FC-4f65-9D91-7224C49458BB}"/>
          </c:extLst>
        </c:dLbl>
      </c:pivotFmt>
      <c:pivotFmt>
        <c:idx val="20"/>
        <c:marker>
          <c:symbol val="none"/>
        </c:marker>
        <c:dLbl>
          <c:idx val="0"/>
          <c:delete val="1"/>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delete val="1"/>
          <c:extLst>
            <c:ext xmlns:c15="http://schemas.microsoft.com/office/drawing/2012/chart" uri="{CE6537A1-D6FC-4f65-9D91-7224C49458BB}"/>
          </c:extLst>
        </c:dLbl>
      </c:pivotFmt>
      <c:pivotFmt>
        <c:idx val="23"/>
        <c:marker>
          <c:symbol val="none"/>
        </c:marker>
        <c:dLbl>
          <c:idx val="0"/>
          <c:delete val="1"/>
          <c:extLst>
            <c:ext xmlns:c15="http://schemas.microsoft.com/office/drawing/2012/chart" uri="{CE6537A1-D6FC-4f65-9D91-7224C49458BB}"/>
          </c:extLst>
        </c:dLbl>
      </c:pivotFmt>
      <c:pivotFmt>
        <c:idx val="24"/>
        <c:marker>
          <c:symbol val="none"/>
        </c:marker>
        <c:dLbl>
          <c:idx val="0"/>
          <c:delete val="1"/>
          <c:extLst>
            <c:ext xmlns:c15="http://schemas.microsoft.com/office/drawing/2012/chart" uri="{CE6537A1-D6FC-4f65-9D91-7224C49458BB}"/>
          </c:extLst>
        </c:dLbl>
      </c:pivotFmt>
      <c:pivotFmt>
        <c:idx val="25"/>
        <c:marker>
          <c:symbol val="none"/>
        </c:marker>
        <c:dLbl>
          <c:idx val="0"/>
          <c:delete val="1"/>
          <c:extLst>
            <c:ext xmlns:c15="http://schemas.microsoft.com/office/drawing/2012/chart" uri="{CE6537A1-D6FC-4f65-9D91-7224C49458BB}"/>
          </c:extLst>
        </c:dLbl>
      </c:pivotFmt>
      <c:pivotFmt>
        <c:idx val="26"/>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Histograms!$EK$2:$EK$3</c:f>
              <c:strCache>
                <c:ptCount val="1"/>
                <c:pt idx="0">
                  <c:v>0</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Histograms!$EK$4:$EK$170</c:f>
              <c:numCache>
                <c:formatCode>General</c:formatCode>
                <c:ptCount val="166"/>
                <c:pt idx="2">
                  <c:v>1</c:v>
                </c:pt>
                <c:pt idx="28">
                  <c:v>1</c:v>
                </c:pt>
                <c:pt idx="48">
                  <c:v>1</c:v>
                </c:pt>
                <c:pt idx="62">
                  <c:v>1</c:v>
                </c:pt>
                <c:pt idx="81">
                  <c:v>1</c:v>
                </c:pt>
                <c:pt idx="103">
                  <c:v>1</c:v>
                </c:pt>
                <c:pt idx="125">
                  <c:v>1</c:v>
                </c:pt>
                <c:pt idx="141">
                  <c:v>1</c:v>
                </c:pt>
                <c:pt idx="164">
                  <c:v>1</c:v>
                </c:pt>
              </c:numCache>
            </c:numRef>
          </c:val>
          <c:extLst>
            <c:ext xmlns:c16="http://schemas.microsoft.com/office/drawing/2014/chart" uri="{C3380CC4-5D6E-409C-BE32-E72D297353CC}">
              <c16:uniqueId val="{00000000-A643-48DD-A71F-639ECD3B3551}"/>
            </c:ext>
          </c:extLst>
        </c:ser>
        <c:ser>
          <c:idx val="1"/>
          <c:order val="1"/>
          <c:tx>
            <c:strRef>
              <c:f>Histograms!$EL$2:$EL$3</c:f>
              <c:strCache>
                <c:ptCount val="1"/>
                <c:pt idx="0">
                  <c:v>1</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Histograms!$EL$4:$EL$170</c:f>
              <c:numCache>
                <c:formatCode>General</c:formatCode>
                <c:ptCount val="166"/>
                <c:pt idx="1">
                  <c:v>1</c:v>
                </c:pt>
                <c:pt idx="18">
                  <c:v>1</c:v>
                </c:pt>
                <c:pt idx="22">
                  <c:v>1</c:v>
                </c:pt>
                <c:pt idx="37">
                  <c:v>1</c:v>
                </c:pt>
                <c:pt idx="58">
                  <c:v>1</c:v>
                </c:pt>
                <c:pt idx="70">
                  <c:v>1</c:v>
                </c:pt>
                <c:pt idx="92">
                  <c:v>1</c:v>
                </c:pt>
              </c:numCache>
            </c:numRef>
          </c:val>
          <c:extLst>
            <c:ext xmlns:c16="http://schemas.microsoft.com/office/drawing/2014/chart" uri="{C3380CC4-5D6E-409C-BE32-E72D297353CC}">
              <c16:uniqueId val="{00000000-40FC-4A07-9D25-056A82DE667D}"/>
            </c:ext>
          </c:extLst>
        </c:ser>
        <c:ser>
          <c:idx val="2"/>
          <c:order val="2"/>
          <c:tx>
            <c:strRef>
              <c:f>Histograms!$EM$2:$EM$3</c:f>
              <c:strCache>
                <c:ptCount val="1"/>
                <c:pt idx="0">
                  <c:v>2</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Histograms!$EM$4:$EM$170</c:f>
              <c:numCache>
                <c:formatCode>General</c:formatCode>
                <c:ptCount val="166"/>
                <c:pt idx="19">
                  <c:v>1</c:v>
                </c:pt>
                <c:pt idx="21">
                  <c:v>1</c:v>
                </c:pt>
                <c:pt idx="26">
                  <c:v>1</c:v>
                </c:pt>
                <c:pt idx="32">
                  <c:v>1</c:v>
                </c:pt>
                <c:pt idx="74">
                  <c:v>1</c:v>
                </c:pt>
                <c:pt idx="93">
                  <c:v>1</c:v>
                </c:pt>
                <c:pt idx="130">
                  <c:v>1</c:v>
                </c:pt>
                <c:pt idx="138">
                  <c:v>1</c:v>
                </c:pt>
                <c:pt idx="139">
                  <c:v>1</c:v>
                </c:pt>
              </c:numCache>
            </c:numRef>
          </c:val>
          <c:extLst>
            <c:ext xmlns:c16="http://schemas.microsoft.com/office/drawing/2014/chart" uri="{C3380CC4-5D6E-409C-BE32-E72D297353CC}">
              <c16:uniqueId val="{00000001-E4DB-427F-8294-280D33B37FB4}"/>
            </c:ext>
          </c:extLst>
        </c:ser>
        <c:ser>
          <c:idx val="3"/>
          <c:order val="3"/>
          <c:tx>
            <c:strRef>
              <c:f>Histograms!$EN$2:$EN$3</c:f>
              <c:strCache>
                <c:ptCount val="1"/>
                <c:pt idx="0">
                  <c:v>3</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Histograms!$EN$4:$EN$170</c:f>
              <c:numCache>
                <c:formatCode>General</c:formatCode>
                <c:ptCount val="166"/>
                <c:pt idx="2">
                  <c:v>1</c:v>
                </c:pt>
                <c:pt idx="8">
                  <c:v>1</c:v>
                </c:pt>
                <c:pt idx="11">
                  <c:v>1</c:v>
                </c:pt>
                <c:pt idx="41">
                  <c:v>1</c:v>
                </c:pt>
                <c:pt idx="67">
                  <c:v>1</c:v>
                </c:pt>
                <c:pt idx="102">
                  <c:v>1</c:v>
                </c:pt>
                <c:pt idx="110">
                  <c:v>1</c:v>
                </c:pt>
                <c:pt idx="160">
                  <c:v>1</c:v>
                </c:pt>
                <c:pt idx="162">
                  <c:v>1</c:v>
                </c:pt>
              </c:numCache>
            </c:numRef>
          </c:val>
          <c:extLst>
            <c:ext xmlns:c16="http://schemas.microsoft.com/office/drawing/2014/chart" uri="{C3380CC4-5D6E-409C-BE32-E72D297353CC}">
              <c16:uniqueId val="{00000002-E4DB-427F-8294-280D33B37FB4}"/>
            </c:ext>
          </c:extLst>
        </c:ser>
        <c:ser>
          <c:idx val="4"/>
          <c:order val="4"/>
          <c:tx>
            <c:strRef>
              <c:f>Histograms!$EO$2:$EO$3</c:f>
              <c:strCache>
                <c:ptCount val="1"/>
                <c:pt idx="0">
                  <c:v>4</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Histograms!$EO$4:$EO$170</c:f>
              <c:numCache>
                <c:formatCode>General</c:formatCode>
                <c:ptCount val="166"/>
                <c:pt idx="34">
                  <c:v>1</c:v>
                </c:pt>
                <c:pt idx="105">
                  <c:v>1</c:v>
                </c:pt>
                <c:pt idx="126">
                  <c:v>1</c:v>
                </c:pt>
                <c:pt idx="136">
                  <c:v>1</c:v>
                </c:pt>
                <c:pt idx="142">
                  <c:v>1</c:v>
                </c:pt>
              </c:numCache>
            </c:numRef>
          </c:val>
          <c:extLst>
            <c:ext xmlns:c16="http://schemas.microsoft.com/office/drawing/2014/chart" uri="{C3380CC4-5D6E-409C-BE32-E72D297353CC}">
              <c16:uniqueId val="{00000003-E4DB-427F-8294-280D33B37FB4}"/>
            </c:ext>
          </c:extLst>
        </c:ser>
        <c:ser>
          <c:idx val="5"/>
          <c:order val="5"/>
          <c:tx>
            <c:strRef>
              <c:f>Histograms!$EP$2:$EP$3</c:f>
              <c:strCache>
                <c:ptCount val="1"/>
                <c:pt idx="0">
                  <c:v>5</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Histograms!$EP$4:$EP$170</c:f>
              <c:numCache>
                <c:formatCode>General</c:formatCode>
                <c:ptCount val="166"/>
                <c:pt idx="14">
                  <c:v>1</c:v>
                </c:pt>
                <c:pt idx="16">
                  <c:v>1</c:v>
                </c:pt>
                <c:pt idx="47">
                  <c:v>1</c:v>
                </c:pt>
                <c:pt idx="59">
                  <c:v>1</c:v>
                </c:pt>
                <c:pt idx="63">
                  <c:v>1</c:v>
                </c:pt>
                <c:pt idx="65">
                  <c:v>1</c:v>
                </c:pt>
                <c:pt idx="99">
                  <c:v>1</c:v>
                </c:pt>
                <c:pt idx="147">
                  <c:v>1</c:v>
                </c:pt>
                <c:pt idx="151">
                  <c:v>1</c:v>
                </c:pt>
              </c:numCache>
            </c:numRef>
          </c:val>
          <c:extLst>
            <c:ext xmlns:c16="http://schemas.microsoft.com/office/drawing/2014/chart" uri="{C3380CC4-5D6E-409C-BE32-E72D297353CC}">
              <c16:uniqueId val="{00000004-E4DB-427F-8294-280D33B37FB4}"/>
            </c:ext>
          </c:extLst>
        </c:ser>
        <c:ser>
          <c:idx val="6"/>
          <c:order val="6"/>
          <c:tx>
            <c:strRef>
              <c:f>Histograms!$EQ$2:$EQ$3</c:f>
              <c:strCache>
                <c:ptCount val="1"/>
                <c:pt idx="0">
                  <c:v>6</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Histograms!$EQ$4:$EQ$170</c:f>
              <c:numCache>
                <c:formatCode>General</c:formatCode>
                <c:ptCount val="166"/>
                <c:pt idx="9">
                  <c:v>1</c:v>
                </c:pt>
                <c:pt idx="30">
                  <c:v>1</c:v>
                </c:pt>
                <c:pt idx="39">
                  <c:v>1</c:v>
                </c:pt>
                <c:pt idx="97">
                  <c:v>1</c:v>
                </c:pt>
                <c:pt idx="106">
                  <c:v>1</c:v>
                </c:pt>
                <c:pt idx="133">
                  <c:v>1</c:v>
                </c:pt>
                <c:pt idx="140">
                  <c:v>1</c:v>
                </c:pt>
                <c:pt idx="156">
                  <c:v>1</c:v>
                </c:pt>
              </c:numCache>
            </c:numRef>
          </c:val>
          <c:extLst>
            <c:ext xmlns:c16="http://schemas.microsoft.com/office/drawing/2014/chart" uri="{C3380CC4-5D6E-409C-BE32-E72D297353CC}">
              <c16:uniqueId val="{00000005-E4DB-427F-8294-280D33B37FB4}"/>
            </c:ext>
          </c:extLst>
        </c:ser>
        <c:ser>
          <c:idx val="7"/>
          <c:order val="7"/>
          <c:tx>
            <c:strRef>
              <c:f>Histograms!$ER$2:$ER$3</c:f>
              <c:strCache>
                <c:ptCount val="1"/>
                <c:pt idx="0">
                  <c:v>7</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Histograms!$ER$4:$ER$170</c:f>
              <c:numCache>
                <c:formatCode>General</c:formatCode>
                <c:ptCount val="166"/>
                <c:pt idx="20">
                  <c:v>1</c:v>
                </c:pt>
              </c:numCache>
            </c:numRef>
          </c:val>
          <c:extLst>
            <c:ext xmlns:c16="http://schemas.microsoft.com/office/drawing/2014/chart" uri="{C3380CC4-5D6E-409C-BE32-E72D297353CC}">
              <c16:uniqueId val="{00000006-E4DB-427F-8294-280D33B37FB4}"/>
            </c:ext>
          </c:extLst>
        </c:ser>
        <c:ser>
          <c:idx val="8"/>
          <c:order val="8"/>
          <c:tx>
            <c:strRef>
              <c:f>Histograms!$ES$2:$ES$3</c:f>
              <c:strCache>
                <c:ptCount val="1"/>
                <c:pt idx="0">
                  <c:v>8</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Histograms!$ES$4:$ES$170</c:f>
              <c:numCache>
                <c:formatCode>General</c:formatCode>
                <c:ptCount val="166"/>
                <c:pt idx="2">
                  <c:v>1</c:v>
                </c:pt>
                <c:pt idx="69">
                  <c:v>1</c:v>
                </c:pt>
                <c:pt idx="109">
                  <c:v>1</c:v>
                </c:pt>
                <c:pt idx="131">
                  <c:v>1</c:v>
                </c:pt>
                <c:pt idx="148">
                  <c:v>1</c:v>
                </c:pt>
                <c:pt idx="157">
                  <c:v>1</c:v>
                </c:pt>
              </c:numCache>
            </c:numRef>
          </c:val>
          <c:extLst>
            <c:ext xmlns:c16="http://schemas.microsoft.com/office/drawing/2014/chart" uri="{C3380CC4-5D6E-409C-BE32-E72D297353CC}">
              <c16:uniqueId val="{00000007-E4DB-427F-8294-280D33B37FB4}"/>
            </c:ext>
          </c:extLst>
        </c:ser>
        <c:ser>
          <c:idx val="9"/>
          <c:order val="9"/>
          <c:tx>
            <c:strRef>
              <c:f>Histograms!$ET$2:$ET$3</c:f>
              <c:strCache>
                <c:ptCount val="1"/>
                <c:pt idx="0">
                  <c:v>9</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Histograms!$ET$4:$ET$170</c:f>
              <c:numCache>
                <c:formatCode>General</c:formatCode>
                <c:ptCount val="166"/>
                <c:pt idx="44">
                  <c:v>1</c:v>
                </c:pt>
                <c:pt idx="56">
                  <c:v>1</c:v>
                </c:pt>
                <c:pt idx="87">
                  <c:v>1</c:v>
                </c:pt>
              </c:numCache>
            </c:numRef>
          </c:val>
          <c:extLst>
            <c:ext xmlns:c16="http://schemas.microsoft.com/office/drawing/2014/chart" uri="{C3380CC4-5D6E-409C-BE32-E72D297353CC}">
              <c16:uniqueId val="{00000008-E4DB-427F-8294-280D33B37FB4}"/>
            </c:ext>
          </c:extLst>
        </c:ser>
        <c:ser>
          <c:idx val="10"/>
          <c:order val="10"/>
          <c:tx>
            <c:strRef>
              <c:f>Histograms!$EU$2:$EU$3</c:f>
              <c:strCache>
                <c:ptCount val="1"/>
                <c:pt idx="0">
                  <c:v>10</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Histograms!$EU$4:$EU$170</c:f>
              <c:numCache>
                <c:formatCode>General</c:formatCode>
                <c:ptCount val="166"/>
                <c:pt idx="12">
                  <c:v>1</c:v>
                </c:pt>
                <c:pt idx="54">
                  <c:v>1</c:v>
                </c:pt>
                <c:pt idx="79">
                  <c:v>1</c:v>
                </c:pt>
                <c:pt idx="83">
                  <c:v>1</c:v>
                </c:pt>
                <c:pt idx="96">
                  <c:v>1</c:v>
                </c:pt>
                <c:pt idx="107">
                  <c:v>1</c:v>
                </c:pt>
                <c:pt idx="153">
                  <c:v>1</c:v>
                </c:pt>
              </c:numCache>
            </c:numRef>
          </c:val>
          <c:extLst>
            <c:ext xmlns:c16="http://schemas.microsoft.com/office/drawing/2014/chart" uri="{C3380CC4-5D6E-409C-BE32-E72D297353CC}">
              <c16:uniqueId val="{00000009-E4DB-427F-8294-280D33B37FB4}"/>
            </c:ext>
          </c:extLst>
        </c:ser>
        <c:ser>
          <c:idx val="11"/>
          <c:order val="11"/>
          <c:tx>
            <c:strRef>
              <c:f>Histograms!$EV$2:$EV$3</c:f>
              <c:strCache>
                <c:ptCount val="1"/>
                <c:pt idx="0">
                  <c:v>11</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Histograms!$EV$4:$EV$170</c:f>
              <c:numCache>
                <c:formatCode>General</c:formatCode>
                <c:ptCount val="166"/>
                <c:pt idx="2">
                  <c:v>3</c:v>
                </c:pt>
                <c:pt idx="13">
                  <c:v>1</c:v>
                </c:pt>
                <c:pt idx="35">
                  <c:v>1</c:v>
                </c:pt>
                <c:pt idx="120">
                  <c:v>1</c:v>
                </c:pt>
                <c:pt idx="132">
                  <c:v>1</c:v>
                </c:pt>
                <c:pt idx="158">
                  <c:v>1</c:v>
                </c:pt>
                <c:pt idx="163">
                  <c:v>1</c:v>
                </c:pt>
              </c:numCache>
            </c:numRef>
          </c:val>
          <c:extLst>
            <c:ext xmlns:c16="http://schemas.microsoft.com/office/drawing/2014/chart" uri="{C3380CC4-5D6E-409C-BE32-E72D297353CC}">
              <c16:uniqueId val="{0000000A-E4DB-427F-8294-280D33B37FB4}"/>
            </c:ext>
          </c:extLst>
        </c:ser>
        <c:ser>
          <c:idx val="12"/>
          <c:order val="12"/>
          <c:tx>
            <c:strRef>
              <c:f>Histograms!$EW$2:$EW$3</c:f>
              <c:strCache>
                <c:ptCount val="1"/>
                <c:pt idx="0">
                  <c:v>12</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Histograms!$EW$4:$EW$170</c:f>
              <c:numCache>
                <c:formatCode>General</c:formatCode>
                <c:ptCount val="166"/>
                <c:pt idx="10">
                  <c:v>1</c:v>
                </c:pt>
                <c:pt idx="25">
                  <c:v>1</c:v>
                </c:pt>
                <c:pt idx="27">
                  <c:v>1</c:v>
                </c:pt>
                <c:pt idx="34">
                  <c:v>1</c:v>
                </c:pt>
                <c:pt idx="49">
                  <c:v>1</c:v>
                </c:pt>
                <c:pt idx="55">
                  <c:v>1</c:v>
                </c:pt>
                <c:pt idx="66">
                  <c:v>1</c:v>
                </c:pt>
                <c:pt idx="89">
                  <c:v>1</c:v>
                </c:pt>
                <c:pt idx="128">
                  <c:v>1</c:v>
                </c:pt>
              </c:numCache>
            </c:numRef>
          </c:val>
          <c:extLst>
            <c:ext xmlns:c16="http://schemas.microsoft.com/office/drawing/2014/chart" uri="{C3380CC4-5D6E-409C-BE32-E72D297353CC}">
              <c16:uniqueId val="{00000000-4B3C-456C-8825-ED9FE7CAA69B}"/>
            </c:ext>
          </c:extLst>
        </c:ser>
        <c:ser>
          <c:idx val="13"/>
          <c:order val="13"/>
          <c:tx>
            <c:strRef>
              <c:f>Histograms!$EX$2:$EX$3</c:f>
              <c:strCache>
                <c:ptCount val="1"/>
                <c:pt idx="0">
                  <c:v>13</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Histograms!$EX$4:$EX$170</c:f>
              <c:numCache>
                <c:formatCode>General</c:formatCode>
                <c:ptCount val="166"/>
                <c:pt idx="86">
                  <c:v>1</c:v>
                </c:pt>
                <c:pt idx="95">
                  <c:v>1</c:v>
                </c:pt>
                <c:pt idx="113">
                  <c:v>1</c:v>
                </c:pt>
                <c:pt idx="143">
                  <c:v>1</c:v>
                </c:pt>
              </c:numCache>
            </c:numRef>
          </c:val>
          <c:extLst>
            <c:ext xmlns:c16="http://schemas.microsoft.com/office/drawing/2014/chart" uri="{C3380CC4-5D6E-409C-BE32-E72D297353CC}">
              <c16:uniqueId val="{00000001-4B3C-456C-8825-ED9FE7CAA69B}"/>
            </c:ext>
          </c:extLst>
        </c:ser>
        <c:ser>
          <c:idx val="14"/>
          <c:order val="14"/>
          <c:tx>
            <c:strRef>
              <c:f>Histograms!$EY$2:$EY$3</c:f>
              <c:strCache>
                <c:ptCount val="1"/>
                <c:pt idx="0">
                  <c:v>14</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Histograms!$EY$4:$EY$170</c:f>
              <c:numCache>
                <c:formatCode>General</c:formatCode>
                <c:ptCount val="166"/>
                <c:pt idx="2">
                  <c:v>1</c:v>
                </c:pt>
                <c:pt idx="73">
                  <c:v>1</c:v>
                </c:pt>
                <c:pt idx="115">
                  <c:v>1</c:v>
                </c:pt>
                <c:pt idx="145">
                  <c:v>1</c:v>
                </c:pt>
                <c:pt idx="165">
                  <c:v>1</c:v>
                </c:pt>
              </c:numCache>
            </c:numRef>
          </c:val>
          <c:extLst>
            <c:ext xmlns:c16="http://schemas.microsoft.com/office/drawing/2014/chart" uri="{C3380CC4-5D6E-409C-BE32-E72D297353CC}">
              <c16:uniqueId val="{00000002-4B3C-456C-8825-ED9FE7CAA69B}"/>
            </c:ext>
          </c:extLst>
        </c:ser>
        <c:ser>
          <c:idx val="15"/>
          <c:order val="15"/>
          <c:tx>
            <c:strRef>
              <c:f>Histograms!$EZ$2:$EZ$3</c:f>
              <c:strCache>
                <c:ptCount val="1"/>
                <c:pt idx="0">
                  <c:v>15</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Histograms!$EZ$4:$EZ$170</c:f>
              <c:numCache>
                <c:formatCode>General</c:formatCode>
                <c:ptCount val="166"/>
                <c:pt idx="23">
                  <c:v>1</c:v>
                </c:pt>
                <c:pt idx="60">
                  <c:v>1</c:v>
                </c:pt>
                <c:pt idx="64">
                  <c:v>1</c:v>
                </c:pt>
                <c:pt idx="78">
                  <c:v>1</c:v>
                </c:pt>
                <c:pt idx="104">
                  <c:v>1</c:v>
                </c:pt>
                <c:pt idx="129">
                  <c:v>1</c:v>
                </c:pt>
                <c:pt idx="146">
                  <c:v>1</c:v>
                </c:pt>
              </c:numCache>
            </c:numRef>
          </c:val>
          <c:extLst>
            <c:ext xmlns:c16="http://schemas.microsoft.com/office/drawing/2014/chart" uri="{C3380CC4-5D6E-409C-BE32-E72D297353CC}">
              <c16:uniqueId val="{00000003-4B3C-456C-8825-ED9FE7CAA69B}"/>
            </c:ext>
          </c:extLst>
        </c:ser>
        <c:ser>
          <c:idx val="16"/>
          <c:order val="16"/>
          <c:tx>
            <c:strRef>
              <c:f>Histograms!$FA$2:$FA$3</c:f>
              <c:strCache>
                <c:ptCount val="1"/>
                <c:pt idx="0">
                  <c:v>16</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Histograms!$FA$4:$FA$170</c:f>
              <c:numCache>
                <c:formatCode>General</c:formatCode>
                <c:ptCount val="166"/>
                <c:pt idx="0">
                  <c:v>1</c:v>
                </c:pt>
                <c:pt idx="2">
                  <c:v>1</c:v>
                </c:pt>
                <c:pt idx="61">
                  <c:v>1</c:v>
                </c:pt>
                <c:pt idx="80">
                  <c:v>1</c:v>
                </c:pt>
                <c:pt idx="116">
                  <c:v>1</c:v>
                </c:pt>
                <c:pt idx="118">
                  <c:v>1</c:v>
                </c:pt>
                <c:pt idx="135">
                  <c:v>1</c:v>
                </c:pt>
                <c:pt idx="152">
                  <c:v>1</c:v>
                </c:pt>
              </c:numCache>
            </c:numRef>
          </c:val>
          <c:extLst>
            <c:ext xmlns:c16="http://schemas.microsoft.com/office/drawing/2014/chart" uri="{C3380CC4-5D6E-409C-BE32-E72D297353CC}">
              <c16:uniqueId val="{00000004-4B3C-456C-8825-ED9FE7CAA69B}"/>
            </c:ext>
          </c:extLst>
        </c:ser>
        <c:ser>
          <c:idx val="17"/>
          <c:order val="17"/>
          <c:tx>
            <c:strRef>
              <c:f>Histograms!$FB$2:$FB$3</c:f>
              <c:strCache>
                <c:ptCount val="1"/>
                <c:pt idx="0">
                  <c:v>17</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Histograms!$FB$4:$FB$170</c:f>
              <c:numCache>
                <c:formatCode>General</c:formatCode>
                <c:ptCount val="166"/>
                <c:pt idx="2">
                  <c:v>1</c:v>
                </c:pt>
                <c:pt idx="4">
                  <c:v>1</c:v>
                </c:pt>
                <c:pt idx="6">
                  <c:v>1</c:v>
                </c:pt>
                <c:pt idx="15">
                  <c:v>1</c:v>
                </c:pt>
                <c:pt idx="40">
                  <c:v>1</c:v>
                </c:pt>
                <c:pt idx="52">
                  <c:v>1</c:v>
                </c:pt>
                <c:pt idx="53">
                  <c:v>1</c:v>
                </c:pt>
                <c:pt idx="119">
                  <c:v>1</c:v>
                </c:pt>
                <c:pt idx="123">
                  <c:v>1</c:v>
                </c:pt>
              </c:numCache>
            </c:numRef>
          </c:val>
          <c:extLst>
            <c:ext xmlns:c16="http://schemas.microsoft.com/office/drawing/2014/chart" uri="{C3380CC4-5D6E-409C-BE32-E72D297353CC}">
              <c16:uniqueId val="{00000005-4B3C-456C-8825-ED9FE7CAA69B}"/>
            </c:ext>
          </c:extLst>
        </c:ser>
        <c:ser>
          <c:idx val="18"/>
          <c:order val="18"/>
          <c:tx>
            <c:strRef>
              <c:f>Histograms!$FC$2:$FC$3</c:f>
              <c:strCache>
                <c:ptCount val="1"/>
                <c:pt idx="0">
                  <c:v>18</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Histograms!$FC$4:$FC$170</c:f>
              <c:numCache>
                <c:formatCode>General</c:formatCode>
                <c:ptCount val="166"/>
                <c:pt idx="2">
                  <c:v>3</c:v>
                </c:pt>
                <c:pt idx="7">
                  <c:v>1</c:v>
                </c:pt>
                <c:pt idx="33">
                  <c:v>1</c:v>
                </c:pt>
                <c:pt idx="38">
                  <c:v>1</c:v>
                </c:pt>
                <c:pt idx="84">
                  <c:v>1</c:v>
                </c:pt>
                <c:pt idx="111">
                  <c:v>1</c:v>
                </c:pt>
                <c:pt idx="150">
                  <c:v>1</c:v>
                </c:pt>
              </c:numCache>
            </c:numRef>
          </c:val>
          <c:extLst>
            <c:ext xmlns:c16="http://schemas.microsoft.com/office/drawing/2014/chart" uri="{C3380CC4-5D6E-409C-BE32-E72D297353CC}">
              <c16:uniqueId val="{00000006-4B3C-456C-8825-ED9FE7CAA69B}"/>
            </c:ext>
          </c:extLst>
        </c:ser>
        <c:ser>
          <c:idx val="19"/>
          <c:order val="19"/>
          <c:tx>
            <c:strRef>
              <c:f>Histograms!$FD$2:$FD$3</c:f>
              <c:strCache>
                <c:ptCount val="1"/>
                <c:pt idx="0">
                  <c:v>19</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Histograms!$FD$4:$FD$170</c:f>
              <c:numCache>
                <c:formatCode>General</c:formatCode>
                <c:ptCount val="166"/>
                <c:pt idx="29">
                  <c:v>1</c:v>
                </c:pt>
                <c:pt idx="51">
                  <c:v>1</c:v>
                </c:pt>
                <c:pt idx="57">
                  <c:v>1</c:v>
                </c:pt>
                <c:pt idx="71">
                  <c:v>1</c:v>
                </c:pt>
                <c:pt idx="72">
                  <c:v>1</c:v>
                </c:pt>
                <c:pt idx="76">
                  <c:v>1</c:v>
                </c:pt>
                <c:pt idx="88">
                  <c:v>1</c:v>
                </c:pt>
                <c:pt idx="117">
                  <c:v>1</c:v>
                </c:pt>
                <c:pt idx="124">
                  <c:v>1</c:v>
                </c:pt>
                <c:pt idx="127">
                  <c:v>1</c:v>
                </c:pt>
                <c:pt idx="137">
                  <c:v>1</c:v>
                </c:pt>
                <c:pt idx="149">
                  <c:v>1</c:v>
                </c:pt>
                <c:pt idx="154">
                  <c:v>1</c:v>
                </c:pt>
              </c:numCache>
            </c:numRef>
          </c:val>
          <c:extLst>
            <c:ext xmlns:c16="http://schemas.microsoft.com/office/drawing/2014/chart" uri="{C3380CC4-5D6E-409C-BE32-E72D297353CC}">
              <c16:uniqueId val="{00000007-4B3C-456C-8825-ED9FE7CAA69B}"/>
            </c:ext>
          </c:extLst>
        </c:ser>
        <c:ser>
          <c:idx val="20"/>
          <c:order val="20"/>
          <c:tx>
            <c:strRef>
              <c:f>Histograms!$FE$2:$FE$3</c:f>
              <c:strCache>
                <c:ptCount val="1"/>
                <c:pt idx="0">
                  <c:v>20</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Histograms!$FE$4:$FE$170</c:f>
              <c:numCache>
                <c:formatCode>General</c:formatCode>
                <c:ptCount val="166"/>
                <c:pt idx="2">
                  <c:v>2</c:v>
                </c:pt>
                <c:pt idx="3">
                  <c:v>1</c:v>
                </c:pt>
                <c:pt idx="17">
                  <c:v>1</c:v>
                </c:pt>
                <c:pt idx="42">
                  <c:v>1</c:v>
                </c:pt>
                <c:pt idx="43">
                  <c:v>1</c:v>
                </c:pt>
                <c:pt idx="50">
                  <c:v>1</c:v>
                </c:pt>
                <c:pt idx="68">
                  <c:v>1</c:v>
                </c:pt>
                <c:pt idx="90">
                  <c:v>1</c:v>
                </c:pt>
                <c:pt idx="91">
                  <c:v>1</c:v>
                </c:pt>
              </c:numCache>
            </c:numRef>
          </c:val>
          <c:extLst>
            <c:ext xmlns:c16="http://schemas.microsoft.com/office/drawing/2014/chart" uri="{C3380CC4-5D6E-409C-BE32-E72D297353CC}">
              <c16:uniqueId val="{00000008-4B3C-456C-8825-ED9FE7CAA69B}"/>
            </c:ext>
          </c:extLst>
        </c:ser>
        <c:ser>
          <c:idx val="21"/>
          <c:order val="21"/>
          <c:tx>
            <c:strRef>
              <c:f>Histograms!$FF$2:$FF$3</c:f>
              <c:strCache>
                <c:ptCount val="1"/>
                <c:pt idx="0">
                  <c:v>21</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Histograms!$FF$4:$FF$170</c:f>
              <c:numCache>
                <c:formatCode>General</c:formatCode>
                <c:ptCount val="166"/>
                <c:pt idx="2">
                  <c:v>2</c:v>
                </c:pt>
                <c:pt idx="5">
                  <c:v>1</c:v>
                </c:pt>
                <c:pt idx="24">
                  <c:v>1</c:v>
                </c:pt>
                <c:pt idx="31">
                  <c:v>1</c:v>
                </c:pt>
                <c:pt idx="75">
                  <c:v>1</c:v>
                </c:pt>
                <c:pt idx="85">
                  <c:v>1</c:v>
                </c:pt>
                <c:pt idx="94">
                  <c:v>1</c:v>
                </c:pt>
                <c:pt idx="98">
                  <c:v>1</c:v>
                </c:pt>
                <c:pt idx="100">
                  <c:v>1</c:v>
                </c:pt>
                <c:pt idx="114">
                  <c:v>1</c:v>
                </c:pt>
                <c:pt idx="134">
                  <c:v>1</c:v>
                </c:pt>
              </c:numCache>
            </c:numRef>
          </c:val>
          <c:extLst>
            <c:ext xmlns:c16="http://schemas.microsoft.com/office/drawing/2014/chart" uri="{C3380CC4-5D6E-409C-BE32-E72D297353CC}">
              <c16:uniqueId val="{00000009-4B3C-456C-8825-ED9FE7CAA69B}"/>
            </c:ext>
          </c:extLst>
        </c:ser>
        <c:ser>
          <c:idx val="22"/>
          <c:order val="22"/>
          <c:tx>
            <c:strRef>
              <c:f>Histograms!$FG$2:$FG$3</c:f>
              <c:strCache>
                <c:ptCount val="1"/>
                <c:pt idx="0">
                  <c:v>22</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Histograms!$FG$4:$FG$170</c:f>
              <c:numCache>
                <c:formatCode>General</c:formatCode>
                <c:ptCount val="166"/>
                <c:pt idx="2">
                  <c:v>3</c:v>
                </c:pt>
                <c:pt idx="46">
                  <c:v>1</c:v>
                </c:pt>
                <c:pt idx="77">
                  <c:v>1</c:v>
                </c:pt>
                <c:pt idx="82">
                  <c:v>1</c:v>
                </c:pt>
                <c:pt idx="112">
                  <c:v>1</c:v>
                </c:pt>
                <c:pt idx="122">
                  <c:v>1</c:v>
                </c:pt>
                <c:pt idx="144">
                  <c:v>1</c:v>
                </c:pt>
                <c:pt idx="155">
                  <c:v>1</c:v>
                </c:pt>
                <c:pt idx="159">
                  <c:v>1</c:v>
                </c:pt>
                <c:pt idx="161">
                  <c:v>1</c:v>
                </c:pt>
              </c:numCache>
            </c:numRef>
          </c:val>
          <c:extLst>
            <c:ext xmlns:c16="http://schemas.microsoft.com/office/drawing/2014/chart" uri="{C3380CC4-5D6E-409C-BE32-E72D297353CC}">
              <c16:uniqueId val="{0000000A-4B3C-456C-8825-ED9FE7CAA69B}"/>
            </c:ext>
          </c:extLst>
        </c:ser>
        <c:ser>
          <c:idx val="23"/>
          <c:order val="23"/>
          <c:tx>
            <c:strRef>
              <c:f>Histograms!$FH$2:$FH$3</c:f>
              <c:strCache>
                <c:ptCount val="1"/>
                <c:pt idx="0">
                  <c:v>23</c:v>
                </c:pt>
              </c:strCache>
            </c:strRef>
          </c:tx>
          <c:invertIfNegative val="0"/>
          <c:cat>
            <c:strRef>
              <c:f>Histograms!$EJ$4:$EJ$170</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Histograms!$FH$4:$FH$170</c:f>
              <c:numCache>
                <c:formatCode>General</c:formatCode>
                <c:ptCount val="166"/>
                <c:pt idx="2">
                  <c:v>1</c:v>
                </c:pt>
                <c:pt idx="36">
                  <c:v>1</c:v>
                </c:pt>
                <c:pt idx="45">
                  <c:v>1</c:v>
                </c:pt>
                <c:pt idx="101">
                  <c:v>1</c:v>
                </c:pt>
                <c:pt idx="108">
                  <c:v>1</c:v>
                </c:pt>
                <c:pt idx="121">
                  <c:v>1</c:v>
                </c:pt>
              </c:numCache>
            </c:numRef>
          </c:val>
          <c:extLst>
            <c:ext xmlns:c16="http://schemas.microsoft.com/office/drawing/2014/chart" uri="{C3380CC4-5D6E-409C-BE32-E72D297353CC}">
              <c16:uniqueId val="{0000000B-4B3C-456C-8825-ED9FE7CAA69B}"/>
            </c:ext>
          </c:extLst>
        </c:ser>
        <c:dLbls>
          <c:showLegendKey val="0"/>
          <c:showVal val="0"/>
          <c:showCatName val="0"/>
          <c:showSerName val="0"/>
          <c:showPercent val="0"/>
          <c:showBubbleSize val="0"/>
        </c:dLbls>
        <c:gapWidth val="150"/>
        <c:overlap val="100"/>
        <c:axId val="342577128"/>
        <c:axId val="342577520"/>
      </c:barChart>
      <c:catAx>
        <c:axId val="34257712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42577520"/>
        <c:crosses val="autoZero"/>
        <c:auto val="0"/>
        <c:lblAlgn val="ctr"/>
        <c:lblOffset val="100"/>
        <c:tickLblSkip val="1"/>
        <c:tickMarkSkip val="1"/>
        <c:noMultiLvlLbl val="0"/>
      </c:catAx>
      <c:valAx>
        <c:axId val="342577520"/>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42577128"/>
        <c:crosses val="autoZero"/>
        <c:crossBetween val="between"/>
      </c:valAx>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2021-2025.xlsx]Histograms!Direction_Type</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by Direction and Crash Type</a:t>
            </a:r>
          </a:p>
        </c:rich>
      </c:tx>
      <c:overlay val="0"/>
    </c:title>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dLbl>
          <c:idx val="0"/>
          <c:delete val="1"/>
          <c:extLst>
            <c:ext xmlns:c15="http://schemas.microsoft.com/office/drawing/2012/chart" uri="{CE6537A1-D6FC-4f65-9D91-7224C49458BB}"/>
          </c:extLst>
        </c:dLbl>
      </c:pivotFmt>
      <c:pivotFmt>
        <c:idx val="11"/>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Histograms!$FM$2:$FM$3</c:f>
              <c:strCache>
                <c:ptCount val="1"/>
                <c:pt idx="0">
                  <c:v>Fixed Object</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Histograms!$FM$4:$FM$343</c:f>
              <c:numCache>
                <c:formatCode>General</c:formatCode>
                <c:ptCount val="173"/>
                <c:pt idx="8">
                  <c:v>1</c:v>
                </c:pt>
                <c:pt idx="9">
                  <c:v>1</c:v>
                </c:pt>
                <c:pt idx="11">
                  <c:v>1</c:v>
                </c:pt>
                <c:pt idx="15">
                  <c:v>1</c:v>
                </c:pt>
                <c:pt idx="18">
                  <c:v>1</c:v>
                </c:pt>
                <c:pt idx="23">
                  <c:v>1</c:v>
                </c:pt>
                <c:pt idx="24">
                  <c:v>1</c:v>
                </c:pt>
                <c:pt idx="25">
                  <c:v>1</c:v>
                </c:pt>
                <c:pt idx="27">
                  <c:v>1</c:v>
                </c:pt>
                <c:pt idx="28">
                  <c:v>1</c:v>
                </c:pt>
                <c:pt idx="31">
                  <c:v>1</c:v>
                </c:pt>
                <c:pt idx="41">
                  <c:v>1</c:v>
                </c:pt>
                <c:pt idx="47">
                  <c:v>1</c:v>
                </c:pt>
                <c:pt idx="51">
                  <c:v>1</c:v>
                </c:pt>
                <c:pt idx="53">
                  <c:v>1</c:v>
                </c:pt>
                <c:pt idx="55">
                  <c:v>1</c:v>
                </c:pt>
                <c:pt idx="56">
                  <c:v>1</c:v>
                </c:pt>
                <c:pt idx="58">
                  <c:v>1</c:v>
                </c:pt>
                <c:pt idx="60">
                  <c:v>1</c:v>
                </c:pt>
                <c:pt idx="64">
                  <c:v>1</c:v>
                </c:pt>
                <c:pt idx="66">
                  <c:v>1</c:v>
                </c:pt>
                <c:pt idx="70">
                  <c:v>1</c:v>
                </c:pt>
                <c:pt idx="71">
                  <c:v>1</c:v>
                </c:pt>
                <c:pt idx="73">
                  <c:v>1</c:v>
                </c:pt>
                <c:pt idx="80">
                  <c:v>1</c:v>
                </c:pt>
                <c:pt idx="81">
                  <c:v>1</c:v>
                </c:pt>
                <c:pt idx="89">
                  <c:v>1</c:v>
                </c:pt>
                <c:pt idx="100">
                  <c:v>1</c:v>
                </c:pt>
                <c:pt idx="107">
                  <c:v>1</c:v>
                </c:pt>
                <c:pt idx="109">
                  <c:v>1</c:v>
                </c:pt>
                <c:pt idx="110">
                  <c:v>1</c:v>
                </c:pt>
                <c:pt idx="112">
                  <c:v>1</c:v>
                </c:pt>
                <c:pt idx="117">
                  <c:v>1</c:v>
                </c:pt>
                <c:pt idx="124">
                  <c:v>1</c:v>
                </c:pt>
                <c:pt idx="125">
                  <c:v>1</c:v>
                </c:pt>
                <c:pt idx="126">
                  <c:v>1</c:v>
                </c:pt>
                <c:pt idx="130">
                  <c:v>1</c:v>
                </c:pt>
                <c:pt idx="133">
                  <c:v>1</c:v>
                </c:pt>
                <c:pt idx="134">
                  <c:v>1</c:v>
                </c:pt>
                <c:pt idx="137">
                  <c:v>1</c:v>
                </c:pt>
                <c:pt idx="141">
                  <c:v>1</c:v>
                </c:pt>
                <c:pt idx="143">
                  <c:v>1</c:v>
                </c:pt>
                <c:pt idx="144">
                  <c:v>1</c:v>
                </c:pt>
                <c:pt idx="145">
                  <c:v>1</c:v>
                </c:pt>
                <c:pt idx="148">
                  <c:v>1</c:v>
                </c:pt>
                <c:pt idx="154">
                  <c:v>1</c:v>
                </c:pt>
                <c:pt idx="162">
                  <c:v>1</c:v>
                </c:pt>
                <c:pt idx="165">
                  <c:v>1</c:v>
                </c:pt>
                <c:pt idx="167">
                  <c:v>1</c:v>
                </c:pt>
                <c:pt idx="169">
                  <c:v>1</c:v>
                </c:pt>
              </c:numCache>
            </c:numRef>
          </c:val>
          <c:extLst>
            <c:ext xmlns:c16="http://schemas.microsoft.com/office/drawing/2014/chart" uri="{C3380CC4-5D6E-409C-BE32-E72D297353CC}">
              <c16:uniqueId val="{00000000-D66A-4ADF-990A-9A40BF324500}"/>
            </c:ext>
          </c:extLst>
        </c:ser>
        <c:ser>
          <c:idx val="1"/>
          <c:order val="1"/>
          <c:tx>
            <c:strRef>
              <c:f>Histograms!$FN$2:$FN$3</c:f>
              <c:strCache>
                <c:ptCount val="1"/>
                <c:pt idx="0">
                  <c:v>Head On</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Histograms!$FN$4:$FN$343</c:f>
              <c:numCache>
                <c:formatCode>General</c:formatCode>
                <c:ptCount val="173"/>
                <c:pt idx="4">
                  <c:v>2</c:v>
                </c:pt>
                <c:pt idx="5">
                  <c:v>2</c:v>
                </c:pt>
                <c:pt idx="6">
                  <c:v>1</c:v>
                </c:pt>
                <c:pt idx="12">
                  <c:v>1</c:v>
                </c:pt>
                <c:pt idx="19">
                  <c:v>1</c:v>
                </c:pt>
                <c:pt idx="21">
                  <c:v>1</c:v>
                </c:pt>
                <c:pt idx="32">
                  <c:v>1</c:v>
                </c:pt>
                <c:pt idx="34">
                  <c:v>1</c:v>
                </c:pt>
                <c:pt idx="45">
                  <c:v>1</c:v>
                </c:pt>
                <c:pt idx="46">
                  <c:v>1</c:v>
                </c:pt>
                <c:pt idx="52">
                  <c:v>1</c:v>
                </c:pt>
                <c:pt idx="62">
                  <c:v>1</c:v>
                </c:pt>
                <c:pt idx="63">
                  <c:v>1</c:v>
                </c:pt>
                <c:pt idx="72">
                  <c:v>1</c:v>
                </c:pt>
                <c:pt idx="76">
                  <c:v>1</c:v>
                </c:pt>
                <c:pt idx="84">
                  <c:v>1</c:v>
                </c:pt>
                <c:pt idx="86">
                  <c:v>1</c:v>
                </c:pt>
                <c:pt idx="87">
                  <c:v>1</c:v>
                </c:pt>
                <c:pt idx="92">
                  <c:v>1</c:v>
                </c:pt>
                <c:pt idx="95">
                  <c:v>1</c:v>
                </c:pt>
                <c:pt idx="96">
                  <c:v>1</c:v>
                </c:pt>
                <c:pt idx="98">
                  <c:v>1</c:v>
                </c:pt>
                <c:pt idx="99">
                  <c:v>1</c:v>
                </c:pt>
                <c:pt idx="101">
                  <c:v>1</c:v>
                </c:pt>
                <c:pt idx="103">
                  <c:v>1</c:v>
                </c:pt>
                <c:pt idx="108">
                  <c:v>1</c:v>
                </c:pt>
                <c:pt idx="118">
                  <c:v>1</c:v>
                </c:pt>
                <c:pt idx="121">
                  <c:v>1</c:v>
                </c:pt>
                <c:pt idx="122">
                  <c:v>1</c:v>
                </c:pt>
                <c:pt idx="127">
                  <c:v>1</c:v>
                </c:pt>
                <c:pt idx="131">
                  <c:v>1</c:v>
                </c:pt>
                <c:pt idx="152">
                  <c:v>1</c:v>
                </c:pt>
                <c:pt idx="160">
                  <c:v>1</c:v>
                </c:pt>
                <c:pt idx="168">
                  <c:v>1</c:v>
                </c:pt>
                <c:pt idx="172">
                  <c:v>1</c:v>
                </c:pt>
              </c:numCache>
            </c:numRef>
          </c:val>
          <c:extLst>
            <c:ext xmlns:c16="http://schemas.microsoft.com/office/drawing/2014/chart" uri="{C3380CC4-5D6E-409C-BE32-E72D297353CC}">
              <c16:uniqueId val="{00000000-C35A-4462-946E-B8D949B5E1F3}"/>
            </c:ext>
          </c:extLst>
        </c:ser>
        <c:ser>
          <c:idx val="2"/>
          <c:order val="2"/>
          <c:tx>
            <c:strRef>
              <c:f>Histograms!$FO$2:$FO$3</c:f>
              <c:strCache>
                <c:ptCount val="1"/>
                <c:pt idx="0">
                  <c:v>Angle</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Histograms!$FO$4:$FO$343</c:f>
              <c:numCache>
                <c:formatCode>General</c:formatCode>
                <c:ptCount val="173"/>
                <c:pt idx="2">
                  <c:v>1</c:v>
                </c:pt>
                <c:pt idx="3">
                  <c:v>2</c:v>
                </c:pt>
                <c:pt idx="6">
                  <c:v>1</c:v>
                </c:pt>
                <c:pt idx="7">
                  <c:v>2</c:v>
                </c:pt>
                <c:pt idx="8">
                  <c:v>1</c:v>
                </c:pt>
                <c:pt idx="29">
                  <c:v>1</c:v>
                </c:pt>
                <c:pt idx="37">
                  <c:v>1</c:v>
                </c:pt>
                <c:pt idx="42">
                  <c:v>1</c:v>
                </c:pt>
                <c:pt idx="50">
                  <c:v>1</c:v>
                </c:pt>
                <c:pt idx="54">
                  <c:v>1</c:v>
                </c:pt>
                <c:pt idx="57">
                  <c:v>1</c:v>
                </c:pt>
                <c:pt idx="61">
                  <c:v>1</c:v>
                </c:pt>
                <c:pt idx="65">
                  <c:v>1</c:v>
                </c:pt>
                <c:pt idx="91">
                  <c:v>1</c:v>
                </c:pt>
                <c:pt idx="93">
                  <c:v>1</c:v>
                </c:pt>
                <c:pt idx="94">
                  <c:v>1</c:v>
                </c:pt>
                <c:pt idx="102">
                  <c:v>1</c:v>
                </c:pt>
                <c:pt idx="104">
                  <c:v>1</c:v>
                </c:pt>
                <c:pt idx="106">
                  <c:v>1</c:v>
                </c:pt>
                <c:pt idx="114">
                  <c:v>1</c:v>
                </c:pt>
                <c:pt idx="119">
                  <c:v>1</c:v>
                </c:pt>
                <c:pt idx="120">
                  <c:v>1</c:v>
                </c:pt>
                <c:pt idx="135">
                  <c:v>1</c:v>
                </c:pt>
                <c:pt idx="136">
                  <c:v>1</c:v>
                </c:pt>
                <c:pt idx="138">
                  <c:v>1</c:v>
                </c:pt>
                <c:pt idx="157">
                  <c:v>1</c:v>
                </c:pt>
                <c:pt idx="159">
                  <c:v>1</c:v>
                </c:pt>
                <c:pt idx="164">
                  <c:v>1</c:v>
                </c:pt>
                <c:pt idx="166">
                  <c:v>1</c:v>
                </c:pt>
              </c:numCache>
            </c:numRef>
          </c:val>
          <c:extLst>
            <c:ext xmlns:c16="http://schemas.microsoft.com/office/drawing/2014/chart" uri="{C3380CC4-5D6E-409C-BE32-E72D297353CC}">
              <c16:uniqueId val="{00000001-ECFE-4364-9C44-0989826D9071}"/>
            </c:ext>
          </c:extLst>
        </c:ser>
        <c:ser>
          <c:idx val="3"/>
          <c:order val="3"/>
          <c:tx>
            <c:strRef>
              <c:f>Histograms!$FP$2:$FP$3</c:f>
              <c:strCache>
                <c:ptCount val="1"/>
                <c:pt idx="0">
                  <c:v>Pedestrian</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Histograms!$FP$4:$FP$343</c:f>
              <c:numCache>
                <c:formatCode>General</c:formatCode>
                <c:ptCount val="173"/>
                <c:pt idx="3">
                  <c:v>2</c:v>
                </c:pt>
                <c:pt idx="4">
                  <c:v>1</c:v>
                </c:pt>
                <c:pt idx="5">
                  <c:v>1</c:v>
                </c:pt>
                <c:pt idx="22">
                  <c:v>1</c:v>
                </c:pt>
                <c:pt idx="36">
                  <c:v>1</c:v>
                </c:pt>
                <c:pt idx="48">
                  <c:v>1</c:v>
                </c:pt>
                <c:pt idx="49">
                  <c:v>1</c:v>
                </c:pt>
                <c:pt idx="68">
                  <c:v>1</c:v>
                </c:pt>
                <c:pt idx="74">
                  <c:v>1</c:v>
                </c:pt>
                <c:pt idx="75">
                  <c:v>1</c:v>
                </c:pt>
                <c:pt idx="83">
                  <c:v>1</c:v>
                </c:pt>
                <c:pt idx="113">
                  <c:v>1</c:v>
                </c:pt>
                <c:pt idx="123">
                  <c:v>1</c:v>
                </c:pt>
                <c:pt idx="147">
                  <c:v>1</c:v>
                </c:pt>
                <c:pt idx="151">
                  <c:v>1</c:v>
                </c:pt>
                <c:pt idx="156">
                  <c:v>1</c:v>
                </c:pt>
                <c:pt idx="161">
                  <c:v>1</c:v>
                </c:pt>
                <c:pt idx="163">
                  <c:v>1</c:v>
                </c:pt>
              </c:numCache>
            </c:numRef>
          </c:val>
          <c:extLst>
            <c:ext xmlns:c16="http://schemas.microsoft.com/office/drawing/2014/chart" uri="{C3380CC4-5D6E-409C-BE32-E72D297353CC}">
              <c16:uniqueId val="{00000002-ECFE-4364-9C44-0989826D9071}"/>
            </c:ext>
          </c:extLst>
        </c:ser>
        <c:ser>
          <c:idx val="4"/>
          <c:order val="4"/>
          <c:tx>
            <c:strRef>
              <c:f>Histograms!$FQ$2:$FQ$3</c:f>
              <c:strCache>
                <c:ptCount val="1"/>
                <c:pt idx="0">
                  <c:v>Sideswipe - Passing</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Histograms!$FQ$4:$FQ$343</c:f>
              <c:numCache>
                <c:formatCode>General</c:formatCode>
                <c:ptCount val="173"/>
                <c:pt idx="4">
                  <c:v>1</c:v>
                </c:pt>
                <c:pt idx="26">
                  <c:v>1</c:v>
                </c:pt>
                <c:pt idx="30">
                  <c:v>1</c:v>
                </c:pt>
                <c:pt idx="39">
                  <c:v>1</c:v>
                </c:pt>
                <c:pt idx="77">
                  <c:v>1</c:v>
                </c:pt>
                <c:pt idx="79">
                  <c:v>1</c:v>
                </c:pt>
                <c:pt idx="97">
                  <c:v>1</c:v>
                </c:pt>
                <c:pt idx="105">
                  <c:v>1</c:v>
                </c:pt>
                <c:pt idx="132">
                  <c:v>1</c:v>
                </c:pt>
              </c:numCache>
            </c:numRef>
          </c:val>
          <c:extLst>
            <c:ext xmlns:c16="http://schemas.microsoft.com/office/drawing/2014/chart" uri="{C3380CC4-5D6E-409C-BE32-E72D297353CC}">
              <c16:uniqueId val="{00000003-ECFE-4364-9C44-0989826D9071}"/>
            </c:ext>
          </c:extLst>
        </c:ser>
        <c:ser>
          <c:idx val="5"/>
          <c:order val="5"/>
          <c:tx>
            <c:strRef>
              <c:f>Histograms!$FR$2:$FR$3</c:f>
              <c:strCache>
                <c:ptCount val="1"/>
                <c:pt idx="0">
                  <c:v>Rear End</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Histograms!$FR$4:$FR$343</c:f>
              <c:numCache>
                <c:formatCode>General</c:formatCode>
                <c:ptCount val="173"/>
                <c:pt idx="1">
                  <c:v>1</c:v>
                </c:pt>
                <c:pt idx="17">
                  <c:v>1</c:v>
                </c:pt>
                <c:pt idx="43">
                  <c:v>1</c:v>
                </c:pt>
                <c:pt idx="82">
                  <c:v>1</c:v>
                </c:pt>
                <c:pt idx="85">
                  <c:v>1</c:v>
                </c:pt>
                <c:pt idx="90">
                  <c:v>1</c:v>
                </c:pt>
                <c:pt idx="116">
                  <c:v>1</c:v>
                </c:pt>
                <c:pt idx="128">
                  <c:v>1</c:v>
                </c:pt>
              </c:numCache>
            </c:numRef>
          </c:val>
          <c:extLst>
            <c:ext xmlns:c16="http://schemas.microsoft.com/office/drawing/2014/chart" uri="{C3380CC4-5D6E-409C-BE32-E72D297353CC}">
              <c16:uniqueId val="{00000004-ECFE-4364-9C44-0989826D9071}"/>
            </c:ext>
          </c:extLst>
        </c:ser>
        <c:ser>
          <c:idx val="6"/>
          <c:order val="6"/>
          <c:tx>
            <c:strRef>
              <c:f>Histograms!$FS$2:$FS$3</c:f>
              <c:strCache>
                <c:ptCount val="1"/>
                <c:pt idx="0">
                  <c:v>Overturning</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Histograms!$FS$4:$FS$343</c:f>
              <c:numCache>
                <c:formatCode>General</c:formatCode>
                <c:ptCount val="173"/>
                <c:pt idx="14">
                  <c:v>1</c:v>
                </c:pt>
                <c:pt idx="88">
                  <c:v>1</c:v>
                </c:pt>
                <c:pt idx="115">
                  <c:v>1</c:v>
                </c:pt>
                <c:pt idx="129">
                  <c:v>1</c:v>
                </c:pt>
                <c:pt idx="142">
                  <c:v>1</c:v>
                </c:pt>
                <c:pt idx="146">
                  <c:v>1</c:v>
                </c:pt>
                <c:pt idx="149">
                  <c:v>1</c:v>
                </c:pt>
                <c:pt idx="153">
                  <c:v>1</c:v>
                </c:pt>
              </c:numCache>
            </c:numRef>
          </c:val>
          <c:extLst>
            <c:ext xmlns:c16="http://schemas.microsoft.com/office/drawing/2014/chart" uri="{C3380CC4-5D6E-409C-BE32-E72D297353CC}">
              <c16:uniqueId val="{00000005-ECFE-4364-9C44-0989826D9071}"/>
            </c:ext>
          </c:extLst>
        </c:ser>
        <c:ser>
          <c:idx val="7"/>
          <c:order val="7"/>
          <c:tx>
            <c:strRef>
              <c:f>Histograms!$FT$2:$FT$3</c:f>
              <c:strCache>
                <c:ptCount val="1"/>
                <c:pt idx="0">
                  <c:v>Left Turn</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Histograms!$FT$4:$FT$343</c:f>
              <c:numCache>
                <c:formatCode>General</c:formatCode>
                <c:ptCount val="173"/>
                <c:pt idx="0">
                  <c:v>1</c:v>
                </c:pt>
                <c:pt idx="16">
                  <c:v>1</c:v>
                </c:pt>
                <c:pt idx="44">
                  <c:v>1</c:v>
                </c:pt>
                <c:pt idx="78">
                  <c:v>1</c:v>
                </c:pt>
                <c:pt idx="111">
                  <c:v>1</c:v>
                </c:pt>
                <c:pt idx="139">
                  <c:v>1</c:v>
                </c:pt>
                <c:pt idx="140">
                  <c:v>1</c:v>
                </c:pt>
                <c:pt idx="150">
                  <c:v>1</c:v>
                </c:pt>
              </c:numCache>
            </c:numRef>
          </c:val>
          <c:extLst>
            <c:ext xmlns:c16="http://schemas.microsoft.com/office/drawing/2014/chart" uri="{C3380CC4-5D6E-409C-BE32-E72D297353CC}">
              <c16:uniqueId val="{00000000-8EAB-453C-9DC2-66DE5FC39575}"/>
            </c:ext>
          </c:extLst>
        </c:ser>
        <c:ser>
          <c:idx val="8"/>
          <c:order val="8"/>
          <c:tx>
            <c:strRef>
              <c:f>Histograms!$FU$2:$FU$3</c:f>
              <c:strCache>
                <c:ptCount val="1"/>
                <c:pt idx="0">
                  <c:v>Parked Vehicle</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Histograms!$FU$4:$FU$343</c:f>
              <c:numCache>
                <c:formatCode>General</c:formatCode>
                <c:ptCount val="173"/>
                <c:pt idx="3">
                  <c:v>1</c:v>
                </c:pt>
                <c:pt idx="35">
                  <c:v>1</c:v>
                </c:pt>
                <c:pt idx="69">
                  <c:v>1</c:v>
                </c:pt>
                <c:pt idx="158">
                  <c:v>1</c:v>
                </c:pt>
                <c:pt idx="170">
                  <c:v>1</c:v>
                </c:pt>
                <c:pt idx="171">
                  <c:v>1</c:v>
                </c:pt>
              </c:numCache>
            </c:numRef>
          </c:val>
          <c:extLst>
            <c:ext xmlns:c16="http://schemas.microsoft.com/office/drawing/2014/chart" uri="{C3380CC4-5D6E-409C-BE32-E72D297353CC}">
              <c16:uniqueId val="{00000001-8EAB-453C-9DC2-66DE5FC39575}"/>
            </c:ext>
          </c:extLst>
        </c:ser>
        <c:ser>
          <c:idx val="9"/>
          <c:order val="9"/>
          <c:tx>
            <c:strRef>
              <c:f>Histograms!$FV$2:$FV$3</c:f>
              <c:strCache>
                <c:ptCount val="1"/>
                <c:pt idx="0">
                  <c:v>Pedalcycles</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Histograms!$FV$4:$FV$343</c:f>
              <c:numCache>
                <c:formatCode>General</c:formatCode>
                <c:ptCount val="173"/>
                <c:pt idx="4">
                  <c:v>1</c:v>
                </c:pt>
                <c:pt idx="13">
                  <c:v>1</c:v>
                </c:pt>
                <c:pt idx="33">
                  <c:v>1</c:v>
                </c:pt>
              </c:numCache>
            </c:numRef>
          </c:val>
          <c:extLst>
            <c:ext xmlns:c16="http://schemas.microsoft.com/office/drawing/2014/chart" uri="{C3380CC4-5D6E-409C-BE32-E72D297353CC}">
              <c16:uniqueId val="{00000002-8EAB-453C-9DC2-66DE5FC39575}"/>
            </c:ext>
          </c:extLst>
        </c:ser>
        <c:ser>
          <c:idx val="10"/>
          <c:order val="10"/>
          <c:tx>
            <c:strRef>
              <c:f>Histograms!$FW$2:$FW$3</c:f>
              <c:strCache>
                <c:ptCount val="1"/>
                <c:pt idx="0">
                  <c:v>Other Non-Collision</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Histograms!$FW$4:$FW$343</c:f>
              <c:numCache>
                <c:formatCode>General</c:formatCode>
                <c:ptCount val="173"/>
                <c:pt idx="10">
                  <c:v>1</c:v>
                </c:pt>
                <c:pt idx="40">
                  <c:v>1</c:v>
                </c:pt>
                <c:pt idx="59">
                  <c:v>1</c:v>
                </c:pt>
              </c:numCache>
            </c:numRef>
          </c:val>
          <c:extLst>
            <c:ext xmlns:c16="http://schemas.microsoft.com/office/drawing/2014/chart" uri="{C3380CC4-5D6E-409C-BE32-E72D297353CC}">
              <c16:uniqueId val="{00000003-8EAB-453C-9DC2-66DE5FC39575}"/>
            </c:ext>
          </c:extLst>
        </c:ser>
        <c:ser>
          <c:idx val="11"/>
          <c:order val="11"/>
          <c:tx>
            <c:strRef>
              <c:f>Histograms!$FX$2:$FX$3</c:f>
              <c:strCache>
                <c:ptCount val="1"/>
                <c:pt idx="0">
                  <c:v>Train</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Histograms!$FX$4:$FX$343</c:f>
              <c:numCache>
                <c:formatCode>General</c:formatCode>
                <c:ptCount val="173"/>
                <c:pt idx="20">
                  <c:v>1</c:v>
                </c:pt>
                <c:pt idx="38">
                  <c:v>1</c:v>
                </c:pt>
              </c:numCache>
            </c:numRef>
          </c:val>
          <c:extLst>
            <c:ext xmlns:c16="http://schemas.microsoft.com/office/drawing/2014/chart" uri="{C3380CC4-5D6E-409C-BE32-E72D297353CC}">
              <c16:uniqueId val="{00000004-8EAB-453C-9DC2-66DE5FC39575}"/>
            </c:ext>
          </c:extLst>
        </c:ser>
        <c:ser>
          <c:idx val="12"/>
          <c:order val="12"/>
          <c:tx>
            <c:strRef>
              <c:f>Histograms!$FY$2:$FY$3</c:f>
              <c:strCache>
                <c:ptCount val="1"/>
                <c:pt idx="0">
                  <c:v>Unknown</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Histograms!$FY$4:$FY$343</c:f>
              <c:numCache>
                <c:formatCode>General</c:formatCode>
                <c:ptCount val="173"/>
                <c:pt idx="67">
                  <c:v>1</c:v>
                </c:pt>
              </c:numCache>
            </c:numRef>
          </c:val>
          <c:extLst>
            <c:ext xmlns:c16="http://schemas.microsoft.com/office/drawing/2014/chart" uri="{C3380CC4-5D6E-409C-BE32-E72D297353CC}">
              <c16:uniqueId val="{00000005-8EAB-453C-9DC2-66DE5FC39575}"/>
            </c:ext>
          </c:extLst>
        </c:ser>
        <c:ser>
          <c:idx val="13"/>
          <c:order val="13"/>
          <c:tx>
            <c:strRef>
              <c:f>Histograms!$FZ$2:$FZ$3</c:f>
              <c:strCache>
                <c:ptCount val="1"/>
                <c:pt idx="0">
                  <c:v>Right Turn</c:v>
                </c:pt>
              </c:strCache>
            </c:strRef>
          </c:tx>
          <c:invertIfNegative val="0"/>
          <c:cat>
            <c:multiLvlStrRef>
              <c:f>Histograms!$FK$4:$FL$343</c:f>
              <c:multiLvlStrCache>
                <c:ptCount val="173"/>
                <c:lvl>
                  <c:pt idx="0">
                    <c:v>North</c:v>
                  </c:pt>
                  <c:pt idx="1">
                    <c:v>South</c:v>
                  </c:pt>
                  <c:pt idx="2">
                    <c:v>West</c:v>
                  </c:pt>
                  <c:pt idx="3">
                    <c:v>East</c:v>
                  </c:pt>
                  <c:pt idx="4">
                    <c:v>North</c:v>
                  </c:pt>
                  <c:pt idx="5">
                    <c:v>South</c:v>
                  </c:pt>
                  <c:pt idx="6">
                    <c:v>Northwest</c:v>
                  </c:pt>
                  <c:pt idx="7">
                    <c:v>Southwest</c:v>
                  </c:pt>
                  <c:pt idx="8">
                    <c:v>Southeast</c:v>
                  </c:pt>
                  <c:pt idx="9">
                    <c:v>East</c:v>
                  </c:pt>
                  <c:pt idx="10">
                    <c:v>South</c:v>
                  </c:pt>
                  <c:pt idx="11">
                    <c:v>South</c:v>
                  </c:pt>
                  <c:pt idx="12">
                    <c:v>East</c:v>
                  </c:pt>
                  <c:pt idx="13">
                    <c:v>Northwest</c:v>
                  </c:pt>
                  <c:pt idx="14">
                    <c:v>Southwest</c:v>
                  </c:pt>
                  <c:pt idx="15">
                    <c:v>West</c:v>
                  </c:pt>
                  <c:pt idx="16">
                    <c:v>South</c:v>
                  </c:pt>
                  <c:pt idx="17">
                    <c:v>South</c:v>
                  </c:pt>
                  <c:pt idx="18">
                    <c:v>West</c:v>
                  </c:pt>
                  <c:pt idx="19">
                    <c:v>East</c:v>
                  </c:pt>
                  <c:pt idx="20">
                    <c:v>Northeast</c:v>
                  </c:pt>
                  <c:pt idx="21">
                    <c:v>Northeast</c:v>
                  </c:pt>
                  <c:pt idx="22">
                    <c:v>South</c:v>
                  </c:pt>
                  <c:pt idx="23">
                    <c:v>West</c:v>
                  </c:pt>
                  <c:pt idx="24">
                    <c:v>North</c:v>
                  </c:pt>
                  <c:pt idx="25">
                    <c:v>Unknown</c:v>
                  </c:pt>
                  <c:pt idx="26">
                    <c:v>North</c:v>
                  </c:pt>
                  <c:pt idx="27">
                    <c:v>Southeast</c:v>
                  </c:pt>
                  <c:pt idx="28">
                    <c:v>South</c:v>
                  </c:pt>
                  <c:pt idx="29">
                    <c:v>West</c:v>
                  </c:pt>
                  <c:pt idx="30">
                    <c:v>North</c:v>
                  </c:pt>
                  <c:pt idx="31">
                    <c:v>East</c:v>
                  </c:pt>
                  <c:pt idx="32">
                    <c:v>North</c:v>
                  </c:pt>
                  <c:pt idx="33">
                    <c:v>Southeast</c:v>
                  </c:pt>
                  <c:pt idx="34">
                    <c:v>North</c:v>
                  </c:pt>
                  <c:pt idx="35">
                    <c:v>West</c:v>
                  </c:pt>
                  <c:pt idx="36">
                    <c:v>West</c:v>
                  </c:pt>
                  <c:pt idx="37">
                    <c:v>East</c:v>
                  </c:pt>
                  <c:pt idx="38">
                    <c:v>East</c:v>
                  </c:pt>
                  <c:pt idx="39">
                    <c:v>North</c:v>
                  </c:pt>
                  <c:pt idx="40">
                    <c:v>South</c:v>
                  </c:pt>
                  <c:pt idx="41">
                    <c:v>Northeast</c:v>
                  </c:pt>
                  <c:pt idx="42">
                    <c:v>West</c:v>
                  </c:pt>
                  <c:pt idx="43">
                    <c:v>North</c:v>
                  </c:pt>
                  <c:pt idx="44">
                    <c:v>South</c:v>
                  </c:pt>
                  <c:pt idx="45">
                    <c:v>West</c:v>
                  </c:pt>
                  <c:pt idx="46">
                    <c:v>North</c:v>
                  </c:pt>
                  <c:pt idx="47">
                    <c:v>South</c:v>
                  </c:pt>
                  <c:pt idx="48">
                    <c:v>Unknown</c:v>
                  </c:pt>
                  <c:pt idx="49">
                    <c:v>West</c:v>
                  </c:pt>
                  <c:pt idx="50">
                    <c:v>East</c:v>
                  </c:pt>
                  <c:pt idx="51">
                    <c:v>North</c:v>
                  </c:pt>
                  <c:pt idx="52">
                    <c:v>East</c:v>
                  </c:pt>
                  <c:pt idx="53">
                    <c:v>South</c:v>
                  </c:pt>
                  <c:pt idx="54">
                    <c:v>East</c:v>
                  </c:pt>
                  <c:pt idx="55">
                    <c:v>West</c:v>
                  </c:pt>
                  <c:pt idx="56">
                    <c:v>Southwest</c:v>
                  </c:pt>
                  <c:pt idx="57">
                    <c:v>North</c:v>
                  </c:pt>
                  <c:pt idx="58">
                    <c:v>South</c:v>
                  </c:pt>
                  <c:pt idx="59">
                    <c:v>East</c:v>
                  </c:pt>
                  <c:pt idx="60">
                    <c:v>North</c:v>
                  </c:pt>
                  <c:pt idx="61">
                    <c:v>West</c:v>
                  </c:pt>
                  <c:pt idx="62">
                    <c:v>South</c:v>
                  </c:pt>
                  <c:pt idx="63">
                    <c:v>West</c:v>
                  </c:pt>
                  <c:pt idx="64">
                    <c:v>East</c:v>
                  </c:pt>
                  <c:pt idx="65">
                    <c:v>West</c:v>
                  </c:pt>
                  <c:pt idx="66">
                    <c:v>East</c:v>
                  </c:pt>
                  <c:pt idx="67">
                    <c:v>South</c:v>
                  </c:pt>
                  <c:pt idx="68">
                    <c:v>West</c:v>
                  </c:pt>
                  <c:pt idx="69">
                    <c:v>North</c:v>
                  </c:pt>
                  <c:pt idx="70">
                    <c:v>South</c:v>
                  </c:pt>
                  <c:pt idx="71">
                    <c:v>North</c:v>
                  </c:pt>
                  <c:pt idx="72">
                    <c:v>East</c:v>
                  </c:pt>
                  <c:pt idx="73">
                    <c:v>South</c:v>
                  </c:pt>
                  <c:pt idx="74">
                    <c:v>Unknown</c:v>
                  </c:pt>
                  <c:pt idx="75">
                    <c:v>North</c:v>
                  </c:pt>
                  <c:pt idx="76">
                    <c:v>Northwest</c:v>
                  </c:pt>
                  <c:pt idx="77">
                    <c:v>East</c:v>
                  </c:pt>
                  <c:pt idx="78">
                    <c:v>South</c:v>
                  </c:pt>
                  <c:pt idx="79">
                    <c:v>South</c:v>
                  </c:pt>
                  <c:pt idx="80">
                    <c:v>West</c:v>
                  </c:pt>
                  <c:pt idx="81">
                    <c:v>South</c:v>
                  </c:pt>
                  <c:pt idx="82">
                    <c:v>South</c:v>
                  </c:pt>
                  <c:pt idx="83">
                    <c:v>Unknown</c:v>
                  </c:pt>
                  <c:pt idx="84">
                    <c:v>Northwest</c:v>
                  </c:pt>
                  <c:pt idx="85">
                    <c:v>East</c:v>
                  </c:pt>
                  <c:pt idx="86">
                    <c:v>East</c:v>
                  </c:pt>
                  <c:pt idx="87">
                    <c:v>North</c:v>
                  </c:pt>
                  <c:pt idx="88">
                    <c:v>North</c:v>
                  </c:pt>
                  <c:pt idx="89">
                    <c:v>South</c:v>
                  </c:pt>
                  <c:pt idx="90">
                    <c:v>Northwest</c:v>
                  </c:pt>
                  <c:pt idx="91">
                    <c:v>Northeast</c:v>
                  </c:pt>
                  <c:pt idx="92">
                    <c:v>East</c:v>
                  </c:pt>
                  <c:pt idx="93">
                    <c:v>Northwest</c:v>
                  </c:pt>
                  <c:pt idx="94">
                    <c:v>East</c:v>
                  </c:pt>
                  <c:pt idx="95">
                    <c:v>Southeast</c:v>
                  </c:pt>
                  <c:pt idx="96">
                    <c:v>Southwest</c:v>
                  </c:pt>
                  <c:pt idx="97">
                    <c:v>South</c:v>
                  </c:pt>
                  <c:pt idx="98">
                    <c:v>East</c:v>
                  </c:pt>
                  <c:pt idx="99">
                    <c:v>South</c:v>
                  </c:pt>
                  <c:pt idx="100">
                    <c:v>West</c:v>
                  </c:pt>
                  <c:pt idx="101">
                    <c:v>Northeast</c:v>
                  </c:pt>
                  <c:pt idx="102">
                    <c:v>South</c:v>
                  </c:pt>
                  <c:pt idx="103">
                    <c:v>Northeast</c:v>
                  </c:pt>
                  <c:pt idx="104">
                    <c:v>North</c:v>
                  </c:pt>
                  <c:pt idx="105">
                    <c:v>West</c:v>
                  </c:pt>
                  <c:pt idx="106">
                    <c:v>East</c:v>
                  </c:pt>
                  <c:pt idx="107">
                    <c:v>Northwest</c:v>
                  </c:pt>
                  <c:pt idx="108">
                    <c:v>North</c:v>
                  </c:pt>
                  <c:pt idx="109">
                    <c:v>South</c:v>
                  </c:pt>
                  <c:pt idx="110">
                    <c:v>East</c:v>
                  </c:pt>
                  <c:pt idx="111">
                    <c:v>North</c:v>
                  </c:pt>
                  <c:pt idx="112">
                    <c:v>South</c:v>
                  </c:pt>
                  <c:pt idx="113">
                    <c:v>South</c:v>
                  </c:pt>
                  <c:pt idx="114">
                    <c:v>Southwest</c:v>
                  </c:pt>
                  <c:pt idx="115">
                    <c:v>East</c:v>
                  </c:pt>
                  <c:pt idx="116">
                    <c:v>South</c:v>
                  </c:pt>
                  <c:pt idx="117">
                    <c:v>West</c:v>
                  </c:pt>
                  <c:pt idx="118">
                    <c:v>Northeast</c:v>
                  </c:pt>
                  <c:pt idx="119">
                    <c:v>Southeast</c:v>
                  </c:pt>
                  <c:pt idx="120">
                    <c:v>South</c:v>
                  </c:pt>
                  <c:pt idx="121">
                    <c:v>East</c:v>
                  </c:pt>
                  <c:pt idx="122">
                    <c:v>Northeast</c:v>
                  </c:pt>
                  <c:pt idx="123">
                    <c:v>East</c:v>
                  </c:pt>
                  <c:pt idx="124">
                    <c:v>Northeast</c:v>
                  </c:pt>
                  <c:pt idx="125">
                    <c:v>Northwest</c:v>
                  </c:pt>
                  <c:pt idx="126">
                    <c:v>Southwest</c:v>
                  </c:pt>
                  <c:pt idx="127">
                    <c:v>Northwest</c:v>
                  </c:pt>
                  <c:pt idx="128">
                    <c:v>Southwest</c:v>
                  </c:pt>
                  <c:pt idx="129">
                    <c:v>West</c:v>
                  </c:pt>
                  <c:pt idx="130">
                    <c:v>Northwest</c:v>
                  </c:pt>
                  <c:pt idx="131">
                    <c:v>South</c:v>
                  </c:pt>
                  <c:pt idx="132">
                    <c:v>North</c:v>
                  </c:pt>
                  <c:pt idx="133">
                    <c:v>Northwest</c:v>
                  </c:pt>
                  <c:pt idx="134">
                    <c:v>Northwest</c:v>
                  </c:pt>
                  <c:pt idx="135">
                    <c:v>Southwest</c:v>
                  </c:pt>
                  <c:pt idx="136">
                    <c:v>Southwest</c:v>
                  </c:pt>
                  <c:pt idx="137">
                    <c:v>East</c:v>
                  </c:pt>
                  <c:pt idx="138">
                    <c:v>East</c:v>
                  </c:pt>
                  <c:pt idx="139">
                    <c:v>West</c:v>
                  </c:pt>
                  <c:pt idx="140">
                    <c:v>South</c:v>
                  </c:pt>
                  <c:pt idx="141">
                    <c:v>Northwest</c:v>
                  </c:pt>
                  <c:pt idx="142">
                    <c:v>Northwest</c:v>
                  </c:pt>
                  <c:pt idx="143">
                    <c:v>West</c:v>
                  </c:pt>
                  <c:pt idx="144">
                    <c:v>Northeast</c:v>
                  </c:pt>
                  <c:pt idx="145">
                    <c:v>West</c:v>
                  </c:pt>
                  <c:pt idx="146">
                    <c:v>North</c:v>
                  </c:pt>
                  <c:pt idx="147">
                    <c:v>South</c:v>
                  </c:pt>
                  <c:pt idx="148">
                    <c:v>East</c:v>
                  </c:pt>
                  <c:pt idx="149">
                    <c:v>Southeast</c:v>
                  </c:pt>
                  <c:pt idx="150">
                    <c:v>Northeast</c:v>
                  </c:pt>
                  <c:pt idx="151">
                    <c:v>East</c:v>
                  </c:pt>
                  <c:pt idx="152">
                    <c:v>West</c:v>
                  </c:pt>
                  <c:pt idx="153">
                    <c:v>Northeast</c:v>
                  </c:pt>
                  <c:pt idx="154">
                    <c:v>East</c:v>
                  </c:pt>
                  <c:pt idx="155">
                    <c:v>North</c:v>
                  </c:pt>
                  <c:pt idx="156">
                    <c:v>Unknown</c:v>
                  </c:pt>
                  <c:pt idx="157">
                    <c:v>South</c:v>
                  </c:pt>
                  <c:pt idx="158">
                    <c:v>South</c:v>
                  </c:pt>
                  <c:pt idx="159">
                    <c:v>South</c:v>
                  </c:pt>
                  <c:pt idx="160">
                    <c:v>West</c:v>
                  </c:pt>
                  <c:pt idx="161">
                    <c:v>Unknown</c:v>
                  </c:pt>
                  <c:pt idx="162">
                    <c:v>West</c:v>
                  </c:pt>
                  <c:pt idx="163">
                    <c:v>East</c:v>
                  </c:pt>
                  <c:pt idx="164">
                    <c:v>South</c:v>
                  </c:pt>
                  <c:pt idx="165">
                    <c:v>West</c:v>
                  </c:pt>
                  <c:pt idx="166">
                    <c:v>North</c:v>
                  </c:pt>
                  <c:pt idx="167">
                    <c:v>East</c:v>
                  </c:pt>
                  <c:pt idx="168">
                    <c:v>West</c:v>
                  </c:pt>
                  <c:pt idx="169">
                    <c:v>East</c:v>
                  </c:pt>
                  <c:pt idx="170">
                    <c:v>Northwest</c:v>
                  </c:pt>
                  <c:pt idx="171">
                    <c:v>West</c:v>
                  </c:pt>
                  <c:pt idx="172">
                    <c:v>South</c:v>
                  </c:pt>
                </c:lvl>
                <c:lvl>
                  <c:pt idx="0">
                    <c:v>0.543</c:v>
                  </c:pt>
                  <c:pt idx="1">
                    <c:v>14.592</c:v>
                  </c:pt>
                  <c:pt idx="9">
                    <c:v>0.373</c:v>
                  </c:pt>
                  <c:pt idx="10">
                    <c:v>0.407</c:v>
                  </c:pt>
                  <c:pt idx="11">
                    <c:v>35.491</c:v>
                  </c:pt>
                  <c:pt idx="12">
                    <c:v>3.116</c:v>
                  </c:pt>
                  <c:pt idx="13">
                    <c:v>5.507</c:v>
                  </c:pt>
                  <c:pt idx="14">
                    <c:v>11.251</c:v>
                  </c:pt>
                  <c:pt idx="15">
                    <c:v>1.371</c:v>
                  </c:pt>
                  <c:pt idx="16">
                    <c:v>7.437</c:v>
                  </c:pt>
                  <c:pt idx="17">
                    <c:v>18.358</c:v>
                  </c:pt>
                  <c:pt idx="18">
                    <c:v>2.097</c:v>
                  </c:pt>
                  <c:pt idx="19">
                    <c:v>0.327</c:v>
                  </c:pt>
                  <c:pt idx="20">
                    <c:v>0.448</c:v>
                  </c:pt>
                  <c:pt idx="21">
                    <c:v>10.111</c:v>
                  </c:pt>
                  <c:pt idx="22">
                    <c:v>13.611</c:v>
                  </c:pt>
                  <c:pt idx="23">
                    <c:v>2.459</c:v>
                  </c:pt>
                  <c:pt idx="24">
                    <c:v>0.184</c:v>
                  </c:pt>
                  <c:pt idx="25">
                    <c:v>7.823</c:v>
                  </c:pt>
                  <c:pt idx="26">
                    <c:v>16.872</c:v>
                  </c:pt>
                  <c:pt idx="27">
                    <c:v>3.823</c:v>
                  </c:pt>
                  <c:pt idx="28">
                    <c:v>15.809</c:v>
                  </c:pt>
                  <c:pt idx="29">
                    <c:v>2.813</c:v>
                  </c:pt>
                  <c:pt idx="30">
                    <c:v>11.831</c:v>
                  </c:pt>
                  <c:pt idx="31">
                    <c:v>23.587</c:v>
                  </c:pt>
                  <c:pt idx="32">
                    <c:v>8.639</c:v>
                  </c:pt>
                  <c:pt idx="33">
                    <c:v>0.52</c:v>
                  </c:pt>
                  <c:pt idx="34">
                    <c:v>20.461</c:v>
                  </c:pt>
                  <c:pt idx="35">
                    <c:v>1.444</c:v>
                  </c:pt>
                  <c:pt idx="36">
                    <c:v>1.708</c:v>
                  </c:pt>
                  <c:pt idx="37">
                    <c:v>2.215</c:v>
                  </c:pt>
                  <c:pt idx="38">
                    <c:v>1.114</c:v>
                  </c:pt>
                  <c:pt idx="39">
                    <c:v>2.028</c:v>
                  </c:pt>
                  <c:pt idx="40">
                    <c:v>0.003</c:v>
                  </c:pt>
                  <c:pt idx="42">
                    <c:v>28.84</c:v>
                  </c:pt>
                  <c:pt idx="43">
                    <c:v>4.633</c:v>
                  </c:pt>
                  <c:pt idx="44">
                    <c:v>1.94</c:v>
                  </c:pt>
                  <c:pt idx="45">
                    <c:v>18.083</c:v>
                  </c:pt>
                  <c:pt idx="46">
                    <c:v>6.058</c:v>
                  </c:pt>
                  <c:pt idx="47">
                    <c:v>4.211</c:v>
                  </c:pt>
                  <c:pt idx="48">
                    <c:v>23.104</c:v>
                  </c:pt>
                  <c:pt idx="49">
                    <c:v>6.144</c:v>
                  </c:pt>
                  <c:pt idx="50">
                    <c:v>25.721</c:v>
                  </c:pt>
                  <c:pt idx="51">
                    <c:v>0.516</c:v>
                  </c:pt>
                  <c:pt idx="52">
                    <c:v>0.141</c:v>
                  </c:pt>
                  <c:pt idx="53">
                    <c:v>4.973</c:v>
                  </c:pt>
                  <c:pt idx="54">
                    <c:v>0</c:v>
                  </c:pt>
                  <c:pt idx="55">
                    <c:v>4.027</c:v>
                  </c:pt>
                  <c:pt idx="56">
                    <c:v>0.316</c:v>
                  </c:pt>
                  <c:pt idx="57">
                    <c:v>11.082</c:v>
                  </c:pt>
                  <c:pt idx="58">
                    <c:v>5.443</c:v>
                  </c:pt>
                  <c:pt idx="59">
                    <c:v>7.587</c:v>
                  </c:pt>
                  <c:pt idx="60">
                    <c:v>2.282</c:v>
                  </c:pt>
                  <c:pt idx="61">
                    <c:v>3.725</c:v>
                  </c:pt>
                  <c:pt idx="62">
                    <c:v>4.244</c:v>
                  </c:pt>
                  <c:pt idx="63">
                    <c:v>17.144</c:v>
                  </c:pt>
                  <c:pt idx="64">
                    <c:v>1.942</c:v>
                  </c:pt>
                  <c:pt idx="65">
                    <c:v>23.067</c:v>
                  </c:pt>
                  <c:pt idx="66">
                    <c:v>7.952</c:v>
                  </c:pt>
                  <c:pt idx="67">
                    <c:v>5.201</c:v>
                  </c:pt>
                  <c:pt idx="68">
                    <c:v>1.398</c:v>
                  </c:pt>
                  <c:pt idx="69">
                    <c:v>0.843</c:v>
                  </c:pt>
                  <c:pt idx="70">
                    <c:v>9.83</c:v>
                  </c:pt>
                  <c:pt idx="71">
                    <c:v>2.663</c:v>
                  </c:pt>
                  <c:pt idx="72">
                    <c:v>0.325</c:v>
                  </c:pt>
                  <c:pt idx="73">
                    <c:v>0.35</c:v>
                  </c:pt>
                  <c:pt idx="74">
                    <c:v>22.464</c:v>
                  </c:pt>
                  <c:pt idx="75">
                    <c:v>3.679</c:v>
                  </c:pt>
                  <c:pt idx="76">
                    <c:v>8.759</c:v>
                  </c:pt>
                  <c:pt idx="77">
                    <c:v>17.724</c:v>
                  </c:pt>
                  <c:pt idx="78">
                    <c:v>19.574</c:v>
                  </c:pt>
                  <c:pt idx="79">
                    <c:v>0.796</c:v>
                  </c:pt>
                  <c:pt idx="80">
                    <c:v>0.933</c:v>
                  </c:pt>
                  <c:pt idx="81">
                    <c:v>25.722</c:v>
                  </c:pt>
                  <c:pt idx="82">
                    <c:v>31.138</c:v>
                  </c:pt>
                  <c:pt idx="83">
                    <c:v>13.16</c:v>
                  </c:pt>
                  <c:pt idx="84">
                    <c:v>6.083</c:v>
                  </c:pt>
                  <c:pt idx="85">
                    <c:v>22.093</c:v>
                  </c:pt>
                  <c:pt idx="86">
                    <c:v>3.214</c:v>
                  </c:pt>
                  <c:pt idx="87">
                    <c:v>7.18</c:v>
                  </c:pt>
                  <c:pt idx="88">
                    <c:v>9.101</c:v>
                  </c:pt>
                  <c:pt idx="89">
                    <c:v>0.832</c:v>
                  </c:pt>
                  <c:pt idx="90">
                    <c:v>4.823</c:v>
                  </c:pt>
                  <c:pt idx="91">
                    <c:v>0.922</c:v>
                  </c:pt>
                  <c:pt idx="92">
                    <c:v>3.357</c:v>
                  </c:pt>
                  <c:pt idx="93">
                    <c:v>4.272</c:v>
                  </c:pt>
                  <c:pt idx="94">
                    <c:v>22.011</c:v>
                  </c:pt>
                  <c:pt idx="95">
                    <c:v>12.354</c:v>
                  </c:pt>
                  <c:pt idx="96">
                    <c:v>3.106</c:v>
                  </c:pt>
                  <c:pt idx="97">
                    <c:v>3.347</c:v>
                  </c:pt>
                  <c:pt idx="98">
                    <c:v>1.2</c:v>
                  </c:pt>
                  <c:pt idx="99">
                    <c:v>9.97</c:v>
                  </c:pt>
                  <c:pt idx="100">
                    <c:v>24.6</c:v>
                  </c:pt>
                  <c:pt idx="101">
                    <c:v>15.5</c:v>
                  </c:pt>
                  <c:pt idx="102">
                    <c:v>10.108</c:v>
                  </c:pt>
                  <c:pt idx="103">
                    <c:v>14.87</c:v>
                  </c:pt>
                  <c:pt idx="104">
                    <c:v>3.751</c:v>
                  </c:pt>
                  <c:pt idx="105">
                    <c:v>8.056</c:v>
                  </c:pt>
                  <c:pt idx="106">
                    <c:v>9.826</c:v>
                  </c:pt>
                  <c:pt idx="107">
                    <c:v>7.418</c:v>
                  </c:pt>
                  <c:pt idx="108">
                    <c:v>12.493</c:v>
                  </c:pt>
                  <c:pt idx="109">
                    <c:v>6.209</c:v>
                  </c:pt>
                  <c:pt idx="110">
                    <c:v>0.202</c:v>
                  </c:pt>
                  <c:pt idx="111">
                    <c:v>10.792</c:v>
                  </c:pt>
                  <c:pt idx="112">
                    <c:v>0.5</c:v>
                  </c:pt>
                  <c:pt idx="113">
                    <c:v>16.947</c:v>
                  </c:pt>
                  <c:pt idx="114">
                    <c:v>18.8</c:v>
                  </c:pt>
                  <c:pt idx="115">
                    <c:v>0.924</c:v>
                  </c:pt>
                  <c:pt idx="116">
                    <c:v>21.348</c:v>
                  </c:pt>
                  <c:pt idx="117">
                    <c:v>2.684</c:v>
                  </c:pt>
                  <c:pt idx="118">
                    <c:v>16.8</c:v>
                  </c:pt>
                  <c:pt idx="119">
                    <c:v>1.739</c:v>
                  </c:pt>
                  <c:pt idx="120">
                    <c:v>6.949</c:v>
                  </c:pt>
                  <c:pt idx="121">
                    <c:v>3.261</c:v>
                  </c:pt>
                  <c:pt idx="122">
                    <c:v>5.075</c:v>
                  </c:pt>
                  <c:pt idx="123">
                    <c:v>0.657</c:v>
                  </c:pt>
                  <c:pt idx="124">
                    <c:v>5.242</c:v>
                  </c:pt>
                  <c:pt idx="125">
                    <c:v>2.698</c:v>
                  </c:pt>
                  <c:pt idx="126">
                    <c:v>7.446</c:v>
                  </c:pt>
                  <c:pt idx="127">
                    <c:v>17.276</c:v>
                  </c:pt>
                  <c:pt idx="128">
                    <c:v>9.924</c:v>
                  </c:pt>
                  <c:pt idx="129">
                    <c:v>3.291</c:v>
                  </c:pt>
                  <c:pt idx="130">
                    <c:v>0.754</c:v>
                  </c:pt>
                  <c:pt idx="131">
                    <c:v>6.387</c:v>
                  </c:pt>
                  <c:pt idx="132">
                    <c:v>2.762</c:v>
                  </c:pt>
                  <c:pt idx="133">
                    <c:v>6.981</c:v>
                  </c:pt>
                  <c:pt idx="134">
                    <c:v>10.88</c:v>
                  </c:pt>
                  <c:pt idx="135">
                    <c:v>17.4</c:v>
                  </c:pt>
                  <c:pt idx="136">
                    <c:v>0.993</c:v>
                  </c:pt>
                  <c:pt idx="137">
                    <c:v>8.018</c:v>
                  </c:pt>
                  <c:pt idx="138">
                    <c:v>9.98</c:v>
                  </c:pt>
                  <c:pt idx="139">
                    <c:v>2.367</c:v>
                  </c:pt>
                  <c:pt idx="140">
                    <c:v>8.184</c:v>
                  </c:pt>
                  <c:pt idx="141">
                    <c:v>0.371</c:v>
                  </c:pt>
                  <c:pt idx="142">
                    <c:v>0.158</c:v>
                  </c:pt>
                  <c:pt idx="143">
                    <c:v>7.01</c:v>
                  </c:pt>
                  <c:pt idx="144">
                    <c:v>9.858</c:v>
                  </c:pt>
                  <c:pt idx="145">
                    <c:v>10.648</c:v>
                  </c:pt>
                  <c:pt idx="146">
                    <c:v>3.786</c:v>
                  </c:pt>
                  <c:pt idx="147">
                    <c:v>0.706</c:v>
                  </c:pt>
                  <c:pt idx="148">
                    <c:v>0.266</c:v>
                  </c:pt>
                  <c:pt idx="149">
                    <c:v>5.602</c:v>
                  </c:pt>
                  <c:pt idx="150">
                    <c:v>0.002</c:v>
                  </c:pt>
                  <c:pt idx="151">
                    <c:v>8.517</c:v>
                  </c:pt>
                  <c:pt idx="152">
                    <c:v>2.295</c:v>
                  </c:pt>
                  <c:pt idx="153">
                    <c:v>1.361</c:v>
                  </c:pt>
                  <c:pt idx="154">
                    <c:v>2.126</c:v>
                  </c:pt>
                  <c:pt idx="155">
                    <c:v>3.176</c:v>
                  </c:pt>
                  <c:pt idx="156">
                    <c:v>7.719</c:v>
                  </c:pt>
                  <c:pt idx="157">
                    <c:v>7.682</c:v>
                  </c:pt>
                  <c:pt idx="158">
                    <c:v>8.702</c:v>
                  </c:pt>
                  <c:pt idx="159">
                    <c:v>0.568</c:v>
                  </c:pt>
                  <c:pt idx="160">
                    <c:v>18.545</c:v>
                  </c:pt>
                  <c:pt idx="161">
                    <c:v>0.352</c:v>
                  </c:pt>
                  <c:pt idx="162">
                    <c:v>0.355</c:v>
                  </c:pt>
                  <c:pt idx="163">
                    <c:v>0.15</c:v>
                  </c:pt>
                  <c:pt idx="164">
                    <c:v>2.172</c:v>
                  </c:pt>
                  <c:pt idx="165">
                    <c:v>5.301</c:v>
                  </c:pt>
                  <c:pt idx="166">
                    <c:v>6.872</c:v>
                  </c:pt>
                  <c:pt idx="167">
                    <c:v>1.296</c:v>
                  </c:pt>
                  <c:pt idx="168">
                    <c:v>3.924</c:v>
                  </c:pt>
                  <c:pt idx="169">
                    <c:v>0.847</c:v>
                  </c:pt>
                  <c:pt idx="170">
                    <c:v>18.212</c:v>
                  </c:pt>
                  <c:pt idx="171">
                    <c:v>1.834</c:v>
                  </c:pt>
                  <c:pt idx="172">
                    <c:v>14.118</c:v>
                  </c:pt>
                </c:lvl>
              </c:multiLvlStrCache>
            </c:multiLvlStrRef>
          </c:cat>
          <c:val>
            <c:numRef>
              <c:f>Histograms!$FZ$4:$FZ$343</c:f>
              <c:numCache>
                <c:formatCode>General</c:formatCode>
                <c:ptCount val="173"/>
                <c:pt idx="155">
                  <c:v>1</c:v>
                </c:pt>
              </c:numCache>
            </c:numRef>
          </c:val>
          <c:extLst>
            <c:ext xmlns:c16="http://schemas.microsoft.com/office/drawing/2014/chart" uri="{C3380CC4-5D6E-409C-BE32-E72D297353CC}">
              <c16:uniqueId val="{00000006-8EAB-453C-9DC2-66DE5FC39575}"/>
            </c:ext>
          </c:extLst>
        </c:ser>
        <c:dLbls>
          <c:showLegendKey val="0"/>
          <c:showVal val="0"/>
          <c:showCatName val="0"/>
          <c:showSerName val="0"/>
          <c:showPercent val="0"/>
          <c:showBubbleSize val="0"/>
        </c:dLbls>
        <c:gapWidth val="150"/>
        <c:overlap val="100"/>
        <c:axId val="342578304"/>
        <c:axId val="342578696"/>
      </c:barChart>
      <c:catAx>
        <c:axId val="34257830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 and Direction</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42578696"/>
        <c:crosses val="autoZero"/>
        <c:auto val="0"/>
        <c:lblAlgn val="ctr"/>
        <c:lblOffset val="100"/>
        <c:tickLblSkip val="1"/>
        <c:tickMarkSkip val="1"/>
        <c:noMultiLvlLbl val="0"/>
      </c:catAx>
      <c:valAx>
        <c:axId val="342578696"/>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42578304"/>
        <c:crosses val="autoZero"/>
        <c:crossBetween val="between"/>
      </c:valAx>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pivotSource>
    <c:name>[Attachment 1 - Ohio Department of Transportation Crash Analysis Module Report, Project Area, 2021-2025.xlsx]Histograms!Direction_To1</c:name>
    <c:fmtId val="0"/>
  </c:pivotSource>
  <c:chart>
    <c:title>
      <c:tx>
        <c:rich>
          <a:bodyPr/>
          <a:lstStyle/>
          <a:p>
            <a:pPr>
              <a:defRPr sz="1440" b="1" i="0" u="none" strike="noStrike" baseline="0">
                <a:solidFill>
                  <a:srgbClr val="000000"/>
                </a:solidFill>
                <a:latin typeface="Calibri"/>
                <a:ea typeface="Calibri"/>
                <a:cs typeface="Calibri"/>
              </a:defRPr>
            </a:pPr>
            <a:r>
              <a:rPr lang="en-US"/>
              <a:t>Location Frequency Chart by Direction To 1</a:t>
            </a:r>
          </a:p>
        </c:rich>
      </c:tx>
      <c:overlay val="0"/>
    </c:title>
    <c:autoTitleDeleted val="0"/>
    <c:pivotFmts>
      <c:pivotFmt>
        <c:idx val="0"/>
        <c:marker>
          <c:symbol val="none"/>
        </c:marker>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Histograms!$B$690:$B$691</c:f>
              <c:strCache>
                <c:ptCount val="1"/>
                <c:pt idx="0">
                  <c:v>South</c:v>
                </c:pt>
              </c:strCache>
            </c:strRef>
          </c:tx>
          <c:invertIfNegative val="0"/>
          <c:cat>
            <c:strRef>
              <c:f>Histograms!$A$692:$A$858</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Histograms!$B$692:$B$858</c:f>
              <c:numCache>
                <c:formatCode>General</c:formatCode>
                <c:ptCount val="166"/>
                <c:pt idx="1">
                  <c:v>1</c:v>
                </c:pt>
                <c:pt idx="2">
                  <c:v>3</c:v>
                </c:pt>
                <c:pt idx="4">
                  <c:v>1</c:v>
                </c:pt>
                <c:pt idx="5">
                  <c:v>1</c:v>
                </c:pt>
                <c:pt idx="10">
                  <c:v>1</c:v>
                </c:pt>
                <c:pt idx="11">
                  <c:v>1</c:v>
                </c:pt>
                <c:pt idx="16">
                  <c:v>1</c:v>
                </c:pt>
                <c:pt idx="22">
                  <c:v>1</c:v>
                </c:pt>
                <c:pt idx="34">
                  <c:v>1</c:v>
                </c:pt>
                <c:pt idx="37">
                  <c:v>1</c:v>
                </c:pt>
                <c:pt idx="40">
                  <c:v>1</c:v>
                </c:pt>
                <c:pt idx="46">
                  <c:v>1</c:v>
                </c:pt>
                <c:pt idx="51">
                  <c:v>1</c:v>
                </c:pt>
                <c:pt idx="55">
                  <c:v>1</c:v>
                </c:pt>
                <c:pt idx="60">
                  <c:v>1</c:v>
                </c:pt>
                <c:pt idx="63">
                  <c:v>1</c:v>
                </c:pt>
                <c:pt idx="66">
                  <c:v>1</c:v>
                </c:pt>
                <c:pt idx="71">
                  <c:v>1</c:v>
                </c:pt>
                <c:pt idx="72">
                  <c:v>1</c:v>
                </c:pt>
                <c:pt idx="74">
                  <c:v>1</c:v>
                </c:pt>
                <c:pt idx="75">
                  <c:v>1</c:v>
                </c:pt>
                <c:pt idx="82">
                  <c:v>1</c:v>
                </c:pt>
                <c:pt idx="90">
                  <c:v>1</c:v>
                </c:pt>
                <c:pt idx="92">
                  <c:v>1</c:v>
                </c:pt>
                <c:pt idx="95">
                  <c:v>1</c:v>
                </c:pt>
                <c:pt idx="102">
                  <c:v>1</c:v>
                </c:pt>
                <c:pt idx="105">
                  <c:v>1</c:v>
                </c:pt>
                <c:pt idx="106">
                  <c:v>1</c:v>
                </c:pt>
                <c:pt idx="109">
                  <c:v>1</c:v>
                </c:pt>
                <c:pt idx="113">
                  <c:v>1</c:v>
                </c:pt>
                <c:pt idx="124">
                  <c:v>1</c:v>
                </c:pt>
                <c:pt idx="133">
                  <c:v>1</c:v>
                </c:pt>
                <c:pt idx="140">
                  <c:v>1</c:v>
                </c:pt>
                <c:pt idx="150">
                  <c:v>1</c:v>
                </c:pt>
                <c:pt idx="151">
                  <c:v>1</c:v>
                </c:pt>
                <c:pt idx="152">
                  <c:v>1</c:v>
                </c:pt>
                <c:pt idx="157">
                  <c:v>1</c:v>
                </c:pt>
                <c:pt idx="165">
                  <c:v>1</c:v>
                </c:pt>
              </c:numCache>
            </c:numRef>
          </c:val>
          <c:extLst>
            <c:ext xmlns:c16="http://schemas.microsoft.com/office/drawing/2014/chart" uri="{C3380CC4-5D6E-409C-BE32-E72D297353CC}">
              <c16:uniqueId val="{00000000-2D86-4357-B26F-C8B8D90E794B}"/>
            </c:ext>
          </c:extLst>
        </c:ser>
        <c:ser>
          <c:idx val="1"/>
          <c:order val="1"/>
          <c:tx>
            <c:strRef>
              <c:f>Histograms!$C$690:$C$691</c:f>
              <c:strCache>
                <c:ptCount val="1"/>
                <c:pt idx="0">
                  <c:v>East</c:v>
                </c:pt>
              </c:strCache>
            </c:strRef>
          </c:tx>
          <c:invertIfNegative val="0"/>
          <c:cat>
            <c:strRef>
              <c:f>Histograms!$A$692:$A$858</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Histograms!$C$692:$C$858</c:f>
              <c:numCache>
                <c:formatCode>General</c:formatCode>
                <c:ptCount val="166"/>
                <c:pt idx="2">
                  <c:v>5</c:v>
                </c:pt>
                <c:pt idx="3">
                  <c:v>1</c:v>
                </c:pt>
                <c:pt idx="6">
                  <c:v>1</c:v>
                </c:pt>
                <c:pt idx="13">
                  <c:v>1</c:v>
                </c:pt>
                <c:pt idx="25">
                  <c:v>1</c:v>
                </c:pt>
                <c:pt idx="31">
                  <c:v>1</c:v>
                </c:pt>
                <c:pt idx="32">
                  <c:v>1</c:v>
                </c:pt>
                <c:pt idx="43">
                  <c:v>1</c:v>
                </c:pt>
                <c:pt idx="45">
                  <c:v>1</c:v>
                </c:pt>
                <c:pt idx="47">
                  <c:v>1</c:v>
                </c:pt>
                <c:pt idx="52">
                  <c:v>1</c:v>
                </c:pt>
                <c:pt idx="57">
                  <c:v>1</c:v>
                </c:pt>
                <c:pt idx="59">
                  <c:v>1</c:v>
                </c:pt>
                <c:pt idx="65">
                  <c:v>1</c:v>
                </c:pt>
                <c:pt idx="70">
                  <c:v>1</c:v>
                </c:pt>
                <c:pt idx="78">
                  <c:v>1</c:v>
                </c:pt>
                <c:pt idx="79">
                  <c:v>1</c:v>
                </c:pt>
                <c:pt idx="85">
                  <c:v>1</c:v>
                </c:pt>
                <c:pt idx="87">
                  <c:v>1</c:v>
                </c:pt>
                <c:pt idx="91">
                  <c:v>1</c:v>
                </c:pt>
                <c:pt idx="99">
                  <c:v>1</c:v>
                </c:pt>
                <c:pt idx="103">
                  <c:v>1</c:v>
                </c:pt>
                <c:pt idx="108">
                  <c:v>1</c:v>
                </c:pt>
                <c:pt idx="114">
                  <c:v>1</c:v>
                </c:pt>
                <c:pt idx="116">
                  <c:v>1</c:v>
                </c:pt>
                <c:pt idx="130">
                  <c:v>1</c:v>
                </c:pt>
                <c:pt idx="131">
                  <c:v>1</c:v>
                </c:pt>
                <c:pt idx="141">
                  <c:v>1</c:v>
                </c:pt>
                <c:pt idx="144">
                  <c:v>1</c:v>
                </c:pt>
                <c:pt idx="147">
                  <c:v>1</c:v>
                </c:pt>
                <c:pt idx="156">
                  <c:v>1</c:v>
                </c:pt>
                <c:pt idx="160">
                  <c:v>1</c:v>
                </c:pt>
                <c:pt idx="162">
                  <c:v>1</c:v>
                </c:pt>
              </c:numCache>
            </c:numRef>
          </c:val>
          <c:extLst>
            <c:ext xmlns:c16="http://schemas.microsoft.com/office/drawing/2014/chart" uri="{C3380CC4-5D6E-409C-BE32-E72D297353CC}">
              <c16:uniqueId val="{00000000-8146-405C-AD85-BB49D797242F}"/>
            </c:ext>
          </c:extLst>
        </c:ser>
        <c:ser>
          <c:idx val="2"/>
          <c:order val="2"/>
          <c:tx>
            <c:strRef>
              <c:f>Histograms!$D$690:$D$691</c:f>
              <c:strCache>
                <c:ptCount val="1"/>
                <c:pt idx="0">
                  <c:v>West</c:v>
                </c:pt>
              </c:strCache>
            </c:strRef>
          </c:tx>
          <c:invertIfNegative val="0"/>
          <c:cat>
            <c:strRef>
              <c:f>Histograms!$A$692:$A$858</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Histograms!$D$692:$D$858</c:f>
              <c:numCache>
                <c:formatCode>General</c:formatCode>
                <c:ptCount val="166"/>
                <c:pt idx="2">
                  <c:v>1</c:v>
                </c:pt>
                <c:pt idx="9">
                  <c:v>1</c:v>
                </c:pt>
                <c:pt idx="12">
                  <c:v>1</c:v>
                </c:pt>
                <c:pt idx="17">
                  <c:v>1</c:v>
                </c:pt>
                <c:pt idx="23">
                  <c:v>1</c:v>
                </c:pt>
                <c:pt idx="29">
                  <c:v>1</c:v>
                </c:pt>
                <c:pt idx="30">
                  <c:v>1</c:v>
                </c:pt>
                <c:pt idx="35">
                  <c:v>1</c:v>
                </c:pt>
                <c:pt idx="38">
                  <c:v>1</c:v>
                </c:pt>
                <c:pt idx="42">
                  <c:v>1</c:v>
                </c:pt>
                <c:pt idx="48">
                  <c:v>1</c:v>
                </c:pt>
                <c:pt idx="54">
                  <c:v>1</c:v>
                </c:pt>
                <c:pt idx="56">
                  <c:v>1</c:v>
                </c:pt>
                <c:pt idx="58">
                  <c:v>1</c:v>
                </c:pt>
                <c:pt idx="61">
                  <c:v>1</c:v>
                </c:pt>
                <c:pt idx="73">
                  <c:v>1</c:v>
                </c:pt>
                <c:pt idx="93">
                  <c:v>1</c:v>
                </c:pt>
                <c:pt idx="98">
                  <c:v>1</c:v>
                </c:pt>
                <c:pt idx="110">
                  <c:v>1</c:v>
                </c:pt>
                <c:pt idx="122">
                  <c:v>1</c:v>
                </c:pt>
                <c:pt idx="132">
                  <c:v>1</c:v>
                </c:pt>
                <c:pt idx="136">
                  <c:v>1</c:v>
                </c:pt>
                <c:pt idx="138">
                  <c:v>1</c:v>
                </c:pt>
                <c:pt idx="145">
                  <c:v>1</c:v>
                </c:pt>
                <c:pt idx="153">
                  <c:v>1</c:v>
                </c:pt>
                <c:pt idx="155">
                  <c:v>1</c:v>
                </c:pt>
                <c:pt idx="158">
                  <c:v>1</c:v>
                </c:pt>
                <c:pt idx="161">
                  <c:v>1</c:v>
                </c:pt>
                <c:pt idx="164">
                  <c:v>1</c:v>
                </c:pt>
              </c:numCache>
            </c:numRef>
          </c:val>
          <c:extLst>
            <c:ext xmlns:c16="http://schemas.microsoft.com/office/drawing/2014/chart" uri="{C3380CC4-5D6E-409C-BE32-E72D297353CC}">
              <c16:uniqueId val="{00000001-0CE0-4ABC-87DC-326764D9EC92}"/>
            </c:ext>
          </c:extLst>
        </c:ser>
        <c:ser>
          <c:idx val="3"/>
          <c:order val="3"/>
          <c:tx>
            <c:strRef>
              <c:f>Histograms!$E$690:$E$691</c:f>
              <c:strCache>
                <c:ptCount val="1"/>
                <c:pt idx="0">
                  <c:v>North</c:v>
                </c:pt>
              </c:strCache>
            </c:strRef>
          </c:tx>
          <c:invertIfNegative val="0"/>
          <c:cat>
            <c:strRef>
              <c:f>Histograms!$A$692:$A$858</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Histograms!$E$692:$E$858</c:f>
              <c:numCache>
                <c:formatCode>General</c:formatCode>
                <c:ptCount val="166"/>
                <c:pt idx="0">
                  <c:v>1</c:v>
                </c:pt>
                <c:pt idx="2">
                  <c:v>5</c:v>
                </c:pt>
                <c:pt idx="18">
                  <c:v>1</c:v>
                </c:pt>
                <c:pt idx="20">
                  <c:v>1</c:v>
                </c:pt>
                <c:pt idx="24">
                  <c:v>1</c:v>
                </c:pt>
                <c:pt idx="26">
                  <c:v>1</c:v>
                </c:pt>
                <c:pt idx="28">
                  <c:v>1</c:v>
                </c:pt>
                <c:pt idx="33">
                  <c:v>1</c:v>
                </c:pt>
                <c:pt idx="36">
                  <c:v>1</c:v>
                </c:pt>
                <c:pt idx="39">
                  <c:v>1</c:v>
                </c:pt>
                <c:pt idx="44">
                  <c:v>1</c:v>
                </c:pt>
                <c:pt idx="50">
                  <c:v>1</c:v>
                </c:pt>
                <c:pt idx="53">
                  <c:v>1</c:v>
                </c:pt>
                <c:pt idx="62">
                  <c:v>1</c:v>
                </c:pt>
                <c:pt idx="64">
                  <c:v>1</c:v>
                </c:pt>
                <c:pt idx="68">
                  <c:v>1</c:v>
                </c:pt>
                <c:pt idx="80">
                  <c:v>1</c:v>
                </c:pt>
                <c:pt idx="81">
                  <c:v>1</c:v>
                </c:pt>
                <c:pt idx="97">
                  <c:v>1</c:v>
                </c:pt>
                <c:pt idx="101">
                  <c:v>1</c:v>
                </c:pt>
                <c:pt idx="104">
                  <c:v>1</c:v>
                </c:pt>
                <c:pt idx="125">
                  <c:v>1</c:v>
                </c:pt>
                <c:pt idx="139">
                  <c:v>1</c:v>
                </c:pt>
                <c:pt idx="148">
                  <c:v>1</c:v>
                </c:pt>
                <c:pt idx="159">
                  <c:v>1</c:v>
                </c:pt>
              </c:numCache>
            </c:numRef>
          </c:val>
          <c:extLst>
            <c:ext xmlns:c16="http://schemas.microsoft.com/office/drawing/2014/chart" uri="{C3380CC4-5D6E-409C-BE32-E72D297353CC}">
              <c16:uniqueId val="{00000002-0CE0-4ABC-87DC-326764D9EC92}"/>
            </c:ext>
          </c:extLst>
        </c:ser>
        <c:ser>
          <c:idx val="4"/>
          <c:order val="4"/>
          <c:tx>
            <c:strRef>
              <c:f>Histograms!$F$690:$F$691</c:f>
              <c:strCache>
                <c:ptCount val="1"/>
                <c:pt idx="0">
                  <c:v>Northwest</c:v>
                </c:pt>
              </c:strCache>
            </c:strRef>
          </c:tx>
          <c:invertIfNegative val="0"/>
          <c:cat>
            <c:strRef>
              <c:f>Histograms!$A$692:$A$858</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Histograms!$F$692:$F$858</c:f>
              <c:numCache>
                <c:formatCode>General</c:formatCode>
                <c:ptCount val="166"/>
                <c:pt idx="2">
                  <c:v>2</c:v>
                </c:pt>
                <c:pt idx="7">
                  <c:v>1</c:v>
                </c:pt>
                <c:pt idx="69">
                  <c:v>1</c:v>
                </c:pt>
                <c:pt idx="77">
                  <c:v>1</c:v>
                </c:pt>
                <c:pt idx="83">
                  <c:v>1</c:v>
                </c:pt>
                <c:pt idx="86">
                  <c:v>1</c:v>
                </c:pt>
                <c:pt idx="100">
                  <c:v>1</c:v>
                </c:pt>
                <c:pt idx="118">
                  <c:v>1</c:v>
                </c:pt>
                <c:pt idx="120">
                  <c:v>1</c:v>
                </c:pt>
                <c:pt idx="123">
                  <c:v>1</c:v>
                </c:pt>
                <c:pt idx="126">
                  <c:v>1</c:v>
                </c:pt>
                <c:pt idx="127">
                  <c:v>1</c:v>
                </c:pt>
                <c:pt idx="134">
                  <c:v>1</c:v>
                </c:pt>
                <c:pt idx="135">
                  <c:v>1</c:v>
                </c:pt>
                <c:pt idx="163">
                  <c:v>1</c:v>
                </c:pt>
              </c:numCache>
            </c:numRef>
          </c:val>
          <c:extLst>
            <c:ext xmlns:c16="http://schemas.microsoft.com/office/drawing/2014/chart" uri="{C3380CC4-5D6E-409C-BE32-E72D297353CC}">
              <c16:uniqueId val="{00000000-CBC5-45EE-92C0-C53F05C15DCD}"/>
            </c:ext>
          </c:extLst>
        </c:ser>
        <c:ser>
          <c:idx val="5"/>
          <c:order val="5"/>
          <c:tx>
            <c:strRef>
              <c:f>Histograms!$G$690:$G$691</c:f>
              <c:strCache>
                <c:ptCount val="1"/>
                <c:pt idx="0">
                  <c:v>Northeast</c:v>
                </c:pt>
              </c:strCache>
            </c:strRef>
          </c:tx>
          <c:invertIfNegative val="0"/>
          <c:cat>
            <c:strRef>
              <c:f>Histograms!$A$692:$A$858</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Histograms!$G$692:$G$858</c:f>
              <c:numCache>
                <c:formatCode>General</c:formatCode>
                <c:ptCount val="166"/>
                <c:pt idx="14">
                  <c:v>1</c:v>
                </c:pt>
                <c:pt idx="15">
                  <c:v>1</c:v>
                </c:pt>
                <c:pt idx="34">
                  <c:v>1</c:v>
                </c:pt>
                <c:pt idx="84">
                  <c:v>1</c:v>
                </c:pt>
                <c:pt idx="94">
                  <c:v>1</c:v>
                </c:pt>
                <c:pt idx="96">
                  <c:v>1</c:v>
                </c:pt>
                <c:pt idx="111">
                  <c:v>1</c:v>
                </c:pt>
                <c:pt idx="115">
                  <c:v>1</c:v>
                </c:pt>
                <c:pt idx="117">
                  <c:v>1</c:v>
                </c:pt>
                <c:pt idx="137">
                  <c:v>1</c:v>
                </c:pt>
                <c:pt idx="143">
                  <c:v>1</c:v>
                </c:pt>
                <c:pt idx="146">
                  <c:v>1</c:v>
                </c:pt>
              </c:numCache>
            </c:numRef>
          </c:val>
          <c:extLst>
            <c:ext xmlns:c16="http://schemas.microsoft.com/office/drawing/2014/chart" uri="{C3380CC4-5D6E-409C-BE32-E72D297353CC}">
              <c16:uniqueId val="{00000001-CBC5-45EE-92C0-C53F05C15DCD}"/>
            </c:ext>
          </c:extLst>
        </c:ser>
        <c:ser>
          <c:idx val="6"/>
          <c:order val="6"/>
          <c:tx>
            <c:strRef>
              <c:f>Histograms!$H$690:$H$691</c:f>
              <c:strCache>
                <c:ptCount val="1"/>
                <c:pt idx="0">
                  <c:v>Southwest</c:v>
                </c:pt>
              </c:strCache>
            </c:strRef>
          </c:tx>
          <c:invertIfNegative val="0"/>
          <c:cat>
            <c:strRef>
              <c:f>Histograms!$A$692:$A$858</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Histograms!$H$692:$H$858</c:f>
              <c:numCache>
                <c:formatCode>General</c:formatCode>
                <c:ptCount val="166"/>
                <c:pt idx="2">
                  <c:v>2</c:v>
                </c:pt>
                <c:pt idx="8">
                  <c:v>1</c:v>
                </c:pt>
                <c:pt idx="49">
                  <c:v>1</c:v>
                </c:pt>
                <c:pt idx="89">
                  <c:v>1</c:v>
                </c:pt>
                <c:pt idx="107">
                  <c:v>1</c:v>
                </c:pt>
                <c:pt idx="119">
                  <c:v>1</c:v>
                </c:pt>
                <c:pt idx="121">
                  <c:v>1</c:v>
                </c:pt>
                <c:pt idx="128">
                  <c:v>1</c:v>
                </c:pt>
                <c:pt idx="129">
                  <c:v>1</c:v>
                </c:pt>
              </c:numCache>
            </c:numRef>
          </c:val>
          <c:extLst>
            <c:ext xmlns:c16="http://schemas.microsoft.com/office/drawing/2014/chart" uri="{C3380CC4-5D6E-409C-BE32-E72D297353CC}">
              <c16:uniqueId val="{00000002-CBC5-45EE-92C0-C53F05C15DCD}"/>
            </c:ext>
          </c:extLst>
        </c:ser>
        <c:ser>
          <c:idx val="7"/>
          <c:order val="7"/>
          <c:tx>
            <c:strRef>
              <c:f>Histograms!$I$690:$I$691</c:f>
              <c:strCache>
                <c:ptCount val="1"/>
                <c:pt idx="0">
                  <c:v>Southeast</c:v>
                </c:pt>
              </c:strCache>
            </c:strRef>
          </c:tx>
          <c:invertIfNegative val="0"/>
          <c:cat>
            <c:strRef>
              <c:f>Histograms!$A$692:$A$858</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Histograms!$I$692:$I$858</c:f>
              <c:numCache>
                <c:formatCode>General</c:formatCode>
                <c:ptCount val="166"/>
                <c:pt idx="2">
                  <c:v>2</c:v>
                </c:pt>
                <c:pt idx="21">
                  <c:v>1</c:v>
                </c:pt>
                <c:pt idx="27">
                  <c:v>1</c:v>
                </c:pt>
                <c:pt idx="88">
                  <c:v>1</c:v>
                </c:pt>
                <c:pt idx="112">
                  <c:v>1</c:v>
                </c:pt>
                <c:pt idx="142">
                  <c:v>1</c:v>
                </c:pt>
              </c:numCache>
            </c:numRef>
          </c:val>
          <c:extLst>
            <c:ext xmlns:c16="http://schemas.microsoft.com/office/drawing/2014/chart" uri="{C3380CC4-5D6E-409C-BE32-E72D297353CC}">
              <c16:uniqueId val="{00000003-CBC5-45EE-92C0-C53F05C15DCD}"/>
            </c:ext>
          </c:extLst>
        </c:ser>
        <c:ser>
          <c:idx val="8"/>
          <c:order val="8"/>
          <c:tx>
            <c:strRef>
              <c:f>Histograms!$J$690:$J$691</c:f>
              <c:strCache>
                <c:ptCount val="1"/>
                <c:pt idx="0">
                  <c:v>Unknown</c:v>
                </c:pt>
              </c:strCache>
            </c:strRef>
          </c:tx>
          <c:invertIfNegative val="0"/>
          <c:cat>
            <c:strRef>
              <c:f>Histograms!$A$692:$A$858</c:f>
              <c:strCache>
                <c:ptCount val="166"/>
                <c:pt idx="0">
                  <c:v>0.543</c:v>
                </c:pt>
                <c:pt idx="1">
                  <c:v>14.592</c:v>
                </c:pt>
                <c:pt idx="3">
                  <c:v>0.373</c:v>
                </c:pt>
                <c:pt idx="4">
                  <c:v>0.407</c:v>
                </c:pt>
                <c:pt idx="5">
                  <c:v>35.491</c:v>
                </c:pt>
                <c:pt idx="6">
                  <c:v>3.116</c:v>
                </c:pt>
                <c:pt idx="7">
                  <c:v>5.507</c:v>
                </c:pt>
                <c:pt idx="8">
                  <c:v>11.251</c:v>
                </c:pt>
                <c:pt idx="9">
                  <c:v>1.371</c:v>
                </c:pt>
                <c:pt idx="10">
                  <c:v>7.437</c:v>
                </c:pt>
                <c:pt idx="11">
                  <c:v>18.358</c:v>
                </c:pt>
                <c:pt idx="12">
                  <c:v>2.097</c:v>
                </c:pt>
                <c:pt idx="13">
                  <c:v>0.327</c:v>
                </c:pt>
                <c:pt idx="14">
                  <c:v>0.448</c:v>
                </c:pt>
                <c:pt idx="15">
                  <c:v>10.111</c:v>
                </c:pt>
                <c:pt idx="16">
                  <c:v>13.611</c:v>
                </c:pt>
                <c:pt idx="17">
                  <c:v>2.459</c:v>
                </c:pt>
                <c:pt idx="18">
                  <c:v>0.184</c:v>
                </c:pt>
                <c:pt idx="19">
                  <c:v>7.823</c:v>
                </c:pt>
                <c:pt idx="20">
                  <c:v>16.872</c:v>
                </c:pt>
                <c:pt idx="21">
                  <c:v>3.823</c:v>
                </c:pt>
                <c:pt idx="22">
                  <c:v>15.809</c:v>
                </c:pt>
                <c:pt idx="23">
                  <c:v>2.813</c:v>
                </c:pt>
                <c:pt idx="24">
                  <c:v>11.831</c:v>
                </c:pt>
                <c:pt idx="25">
                  <c:v>23.587</c:v>
                </c:pt>
                <c:pt idx="26">
                  <c:v>8.639</c:v>
                </c:pt>
                <c:pt idx="27">
                  <c:v>0.52</c:v>
                </c:pt>
                <c:pt idx="28">
                  <c:v>20.461</c:v>
                </c:pt>
                <c:pt idx="29">
                  <c:v>1.444</c:v>
                </c:pt>
                <c:pt idx="30">
                  <c:v>1.708</c:v>
                </c:pt>
                <c:pt idx="31">
                  <c:v>2.215</c:v>
                </c:pt>
                <c:pt idx="32">
                  <c:v>1.114</c:v>
                </c:pt>
                <c:pt idx="33">
                  <c:v>2.028</c:v>
                </c:pt>
                <c:pt idx="34">
                  <c:v>0.003</c:v>
                </c:pt>
                <c:pt idx="35">
                  <c:v>28.84</c:v>
                </c:pt>
                <c:pt idx="36">
                  <c:v>4.633</c:v>
                </c:pt>
                <c:pt idx="37">
                  <c:v>1.94</c:v>
                </c:pt>
                <c:pt idx="38">
                  <c:v>18.083</c:v>
                </c:pt>
                <c:pt idx="39">
                  <c:v>6.058</c:v>
                </c:pt>
                <c:pt idx="40">
                  <c:v>4.211</c:v>
                </c:pt>
                <c:pt idx="41">
                  <c:v>23.104</c:v>
                </c:pt>
                <c:pt idx="42">
                  <c:v>6.144</c:v>
                </c:pt>
                <c:pt idx="43">
                  <c:v>25.721</c:v>
                </c:pt>
                <c:pt idx="44">
                  <c:v>0.516</c:v>
                </c:pt>
                <c:pt idx="45">
                  <c:v>0.141</c:v>
                </c:pt>
                <c:pt idx="46">
                  <c:v>4.973</c:v>
                </c:pt>
                <c:pt idx="47">
                  <c:v>0</c:v>
                </c:pt>
                <c:pt idx="48">
                  <c:v>4.027</c:v>
                </c:pt>
                <c:pt idx="49">
                  <c:v>0.316</c:v>
                </c:pt>
                <c:pt idx="50">
                  <c:v>11.082</c:v>
                </c:pt>
                <c:pt idx="51">
                  <c:v>5.443</c:v>
                </c:pt>
                <c:pt idx="52">
                  <c:v>7.587</c:v>
                </c:pt>
                <c:pt idx="53">
                  <c:v>2.282</c:v>
                </c:pt>
                <c:pt idx="54">
                  <c:v>3.725</c:v>
                </c:pt>
                <c:pt idx="55">
                  <c:v>4.244</c:v>
                </c:pt>
                <c:pt idx="56">
                  <c:v>17.144</c:v>
                </c:pt>
                <c:pt idx="57">
                  <c:v>1.942</c:v>
                </c:pt>
                <c:pt idx="58">
                  <c:v>23.067</c:v>
                </c:pt>
                <c:pt idx="59">
                  <c:v>7.952</c:v>
                </c:pt>
                <c:pt idx="60">
                  <c:v>5.201</c:v>
                </c:pt>
                <c:pt idx="61">
                  <c:v>1.398</c:v>
                </c:pt>
                <c:pt idx="62">
                  <c:v>0.843</c:v>
                </c:pt>
                <c:pt idx="63">
                  <c:v>9.83</c:v>
                </c:pt>
                <c:pt idx="64">
                  <c:v>2.663</c:v>
                </c:pt>
                <c:pt idx="65">
                  <c:v>0.325</c:v>
                </c:pt>
                <c:pt idx="66">
                  <c:v>0.35</c:v>
                </c:pt>
                <c:pt idx="67">
                  <c:v>22.464</c:v>
                </c:pt>
                <c:pt idx="68">
                  <c:v>3.679</c:v>
                </c:pt>
                <c:pt idx="69">
                  <c:v>8.759</c:v>
                </c:pt>
                <c:pt idx="70">
                  <c:v>17.724</c:v>
                </c:pt>
                <c:pt idx="71">
                  <c:v>19.574</c:v>
                </c:pt>
                <c:pt idx="72">
                  <c:v>0.796</c:v>
                </c:pt>
                <c:pt idx="73">
                  <c:v>0.933</c:v>
                </c:pt>
                <c:pt idx="74">
                  <c:v>25.722</c:v>
                </c:pt>
                <c:pt idx="75">
                  <c:v>31.138</c:v>
                </c:pt>
                <c:pt idx="76">
                  <c:v>13.16</c:v>
                </c:pt>
                <c:pt idx="77">
                  <c:v>6.083</c:v>
                </c:pt>
                <c:pt idx="78">
                  <c:v>22.093</c:v>
                </c:pt>
                <c:pt idx="79">
                  <c:v>3.214</c:v>
                </c:pt>
                <c:pt idx="80">
                  <c:v>7.18</c:v>
                </c:pt>
                <c:pt idx="81">
                  <c:v>9.101</c:v>
                </c:pt>
                <c:pt idx="82">
                  <c:v>0.832</c:v>
                </c:pt>
                <c:pt idx="83">
                  <c:v>4.823</c:v>
                </c:pt>
                <c:pt idx="84">
                  <c:v>0.922</c:v>
                </c:pt>
                <c:pt idx="85">
                  <c:v>3.357</c:v>
                </c:pt>
                <c:pt idx="86">
                  <c:v>4.272</c:v>
                </c:pt>
                <c:pt idx="87">
                  <c:v>22.011</c:v>
                </c:pt>
                <c:pt idx="88">
                  <c:v>12.354</c:v>
                </c:pt>
                <c:pt idx="89">
                  <c:v>3.106</c:v>
                </c:pt>
                <c:pt idx="90">
                  <c:v>3.347</c:v>
                </c:pt>
                <c:pt idx="91">
                  <c:v>1.2</c:v>
                </c:pt>
                <c:pt idx="92">
                  <c:v>9.97</c:v>
                </c:pt>
                <c:pt idx="93">
                  <c:v>24.6</c:v>
                </c:pt>
                <c:pt idx="94">
                  <c:v>15.5</c:v>
                </c:pt>
                <c:pt idx="95">
                  <c:v>10.108</c:v>
                </c:pt>
                <c:pt idx="96">
                  <c:v>14.87</c:v>
                </c:pt>
                <c:pt idx="97">
                  <c:v>3.751</c:v>
                </c:pt>
                <c:pt idx="98">
                  <c:v>8.056</c:v>
                </c:pt>
                <c:pt idx="99">
                  <c:v>9.826</c:v>
                </c:pt>
                <c:pt idx="100">
                  <c:v>7.418</c:v>
                </c:pt>
                <c:pt idx="101">
                  <c:v>12.493</c:v>
                </c:pt>
                <c:pt idx="102">
                  <c:v>6.209</c:v>
                </c:pt>
                <c:pt idx="103">
                  <c:v>0.202</c:v>
                </c:pt>
                <c:pt idx="104">
                  <c:v>10.792</c:v>
                </c:pt>
                <c:pt idx="105">
                  <c:v>0.5</c:v>
                </c:pt>
                <c:pt idx="106">
                  <c:v>16.947</c:v>
                </c:pt>
                <c:pt idx="107">
                  <c:v>18.8</c:v>
                </c:pt>
                <c:pt idx="108">
                  <c:v>0.924</c:v>
                </c:pt>
                <c:pt idx="109">
                  <c:v>21.348</c:v>
                </c:pt>
                <c:pt idx="110">
                  <c:v>2.684</c:v>
                </c:pt>
                <c:pt idx="111">
                  <c:v>16.8</c:v>
                </c:pt>
                <c:pt idx="112">
                  <c:v>1.739</c:v>
                </c:pt>
                <c:pt idx="113">
                  <c:v>6.949</c:v>
                </c:pt>
                <c:pt idx="114">
                  <c:v>3.261</c:v>
                </c:pt>
                <c:pt idx="115">
                  <c:v>5.075</c:v>
                </c:pt>
                <c:pt idx="116">
                  <c:v>0.657</c:v>
                </c:pt>
                <c:pt idx="117">
                  <c:v>5.242</c:v>
                </c:pt>
                <c:pt idx="118">
                  <c:v>2.698</c:v>
                </c:pt>
                <c:pt idx="119">
                  <c:v>7.446</c:v>
                </c:pt>
                <c:pt idx="120">
                  <c:v>17.276</c:v>
                </c:pt>
                <c:pt idx="121">
                  <c:v>9.924</c:v>
                </c:pt>
                <c:pt idx="122">
                  <c:v>3.291</c:v>
                </c:pt>
                <c:pt idx="123">
                  <c:v>0.754</c:v>
                </c:pt>
                <c:pt idx="124">
                  <c:v>6.387</c:v>
                </c:pt>
                <c:pt idx="125">
                  <c:v>2.762</c:v>
                </c:pt>
                <c:pt idx="126">
                  <c:v>6.981</c:v>
                </c:pt>
                <c:pt idx="127">
                  <c:v>10.88</c:v>
                </c:pt>
                <c:pt idx="128">
                  <c:v>17.4</c:v>
                </c:pt>
                <c:pt idx="129">
                  <c:v>0.993</c:v>
                </c:pt>
                <c:pt idx="130">
                  <c:v>8.018</c:v>
                </c:pt>
                <c:pt idx="131">
                  <c:v>9.98</c:v>
                </c:pt>
                <c:pt idx="132">
                  <c:v>2.367</c:v>
                </c:pt>
                <c:pt idx="133">
                  <c:v>8.184</c:v>
                </c:pt>
                <c:pt idx="134">
                  <c:v>0.371</c:v>
                </c:pt>
                <c:pt idx="135">
                  <c:v>0.158</c:v>
                </c:pt>
                <c:pt idx="136">
                  <c:v>7.01</c:v>
                </c:pt>
                <c:pt idx="137">
                  <c:v>9.858</c:v>
                </c:pt>
                <c:pt idx="138">
                  <c:v>10.648</c:v>
                </c:pt>
                <c:pt idx="139">
                  <c:v>3.786</c:v>
                </c:pt>
                <c:pt idx="140">
                  <c:v>0.706</c:v>
                </c:pt>
                <c:pt idx="141">
                  <c:v>0.266</c:v>
                </c:pt>
                <c:pt idx="142">
                  <c:v>5.602</c:v>
                </c:pt>
                <c:pt idx="143">
                  <c:v>0.002</c:v>
                </c:pt>
                <c:pt idx="144">
                  <c:v>8.517</c:v>
                </c:pt>
                <c:pt idx="145">
                  <c:v>2.295</c:v>
                </c:pt>
                <c:pt idx="146">
                  <c:v>1.361</c:v>
                </c:pt>
                <c:pt idx="147">
                  <c:v>2.126</c:v>
                </c:pt>
                <c:pt idx="148">
                  <c:v>3.176</c:v>
                </c:pt>
                <c:pt idx="149">
                  <c:v>7.719</c:v>
                </c:pt>
                <c:pt idx="150">
                  <c:v>7.682</c:v>
                </c:pt>
                <c:pt idx="151">
                  <c:v>8.702</c:v>
                </c:pt>
                <c:pt idx="152">
                  <c:v>0.568</c:v>
                </c:pt>
                <c:pt idx="153">
                  <c:v>18.545</c:v>
                </c:pt>
                <c:pt idx="154">
                  <c:v>0.352</c:v>
                </c:pt>
                <c:pt idx="155">
                  <c:v>0.355</c:v>
                </c:pt>
                <c:pt idx="156">
                  <c:v>0.15</c:v>
                </c:pt>
                <c:pt idx="157">
                  <c:v>2.172</c:v>
                </c:pt>
                <c:pt idx="158">
                  <c:v>5.301</c:v>
                </c:pt>
                <c:pt idx="159">
                  <c:v>6.872</c:v>
                </c:pt>
                <c:pt idx="160">
                  <c:v>1.296</c:v>
                </c:pt>
                <c:pt idx="161">
                  <c:v>3.924</c:v>
                </c:pt>
                <c:pt idx="162">
                  <c:v>0.847</c:v>
                </c:pt>
                <c:pt idx="163">
                  <c:v>18.212</c:v>
                </c:pt>
                <c:pt idx="164">
                  <c:v>1.834</c:v>
                </c:pt>
                <c:pt idx="165">
                  <c:v>14.118</c:v>
                </c:pt>
              </c:strCache>
            </c:strRef>
          </c:cat>
          <c:val>
            <c:numRef>
              <c:f>Histograms!$J$692:$J$858</c:f>
              <c:numCache>
                <c:formatCode>General</c:formatCode>
                <c:ptCount val="166"/>
                <c:pt idx="19">
                  <c:v>1</c:v>
                </c:pt>
                <c:pt idx="41">
                  <c:v>1</c:v>
                </c:pt>
                <c:pt idx="67">
                  <c:v>1</c:v>
                </c:pt>
                <c:pt idx="76">
                  <c:v>1</c:v>
                </c:pt>
                <c:pt idx="149">
                  <c:v>1</c:v>
                </c:pt>
                <c:pt idx="154">
                  <c:v>1</c:v>
                </c:pt>
              </c:numCache>
            </c:numRef>
          </c:val>
          <c:extLst>
            <c:ext xmlns:c16="http://schemas.microsoft.com/office/drawing/2014/chart" uri="{C3380CC4-5D6E-409C-BE32-E72D297353CC}">
              <c16:uniqueId val="{00000004-CBC5-45EE-92C0-C53F05C15DCD}"/>
            </c:ext>
          </c:extLst>
        </c:ser>
        <c:dLbls>
          <c:showLegendKey val="0"/>
          <c:showVal val="0"/>
          <c:showCatName val="0"/>
          <c:showSerName val="0"/>
          <c:showPercent val="0"/>
          <c:showBubbleSize val="0"/>
        </c:dLbls>
        <c:gapWidth val="150"/>
        <c:overlap val="100"/>
        <c:axId val="342579480"/>
        <c:axId val="342579872"/>
      </c:barChart>
      <c:catAx>
        <c:axId val="34257948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US"/>
                  <a:t>Logpoint</a:t>
                </a:r>
              </a:p>
            </c:rich>
          </c:tx>
          <c:overlay val="0"/>
        </c:title>
        <c:numFmt formatCode="General" sourceLinked="1"/>
        <c:majorTickMark val="out"/>
        <c:minorTickMark val="none"/>
        <c:tickLblPos val="nextTo"/>
        <c:txPr>
          <a:bodyPr rot="-5400000" vert="horz"/>
          <a:lstStyle/>
          <a:p>
            <a:pPr>
              <a:defRPr sz="1200" b="1" i="0" u="none" strike="noStrike" baseline="0">
                <a:solidFill>
                  <a:srgbClr val="000000"/>
                </a:solidFill>
                <a:latin typeface="Calibri"/>
                <a:ea typeface="Calibri"/>
                <a:cs typeface="Calibri"/>
              </a:defRPr>
            </a:pPr>
            <a:endParaRPr lang="en-US"/>
          </a:p>
        </c:txPr>
        <c:crossAx val="342579872"/>
        <c:crosses val="autoZero"/>
        <c:auto val="0"/>
        <c:lblAlgn val="ctr"/>
        <c:lblOffset val="100"/>
        <c:tickLblSkip val="1"/>
        <c:tickMarkSkip val="1"/>
        <c:noMultiLvlLbl val="0"/>
      </c:catAx>
      <c:valAx>
        <c:axId val="342579872"/>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n-US"/>
                  <a:t>Number of Crashes</a:t>
                </a:r>
              </a:p>
            </c:rich>
          </c:tx>
          <c:overlay val="0"/>
        </c:title>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n-US"/>
          </a:p>
        </c:txPr>
        <c:crossAx val="342579480"/>
        <c:crosses val="autoZero"/>
        <c:crossBetween val="between"/>
      </c:valAx>
    </c:plotArea>
    <c:legend>
      <c:legendPos val="r"/>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200" b="1" i="0" u="none" strike="noStrike" baseline="0">
          <a:solidFill>
            <a:srgbClr val="000000"/>
          </a:solidFill>
          <a:latin typeface="Calibri"/>
          <a:ea typeface="Calibri"/>
          <a:cs typeface="Calibri"/>
        </a:defRPr>
      </a:pPr>
      <a:endParaRPr lang="en-US"/>
    </a:p>
  </c:txPr>
  <c:printSettings>
    <c:headerFooter alignWithMargins="0"/>
    <c:pageMargins b="1" l="0.75000000000000022" r="0.75000000000000022" t="1" header="0.5" footer="0.5"/>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Analysis!Hour of Day</c:name>
    <c:fmtId val="0"/>
  </c:pivotSource>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a:t>Total Crashes by Hour of Day</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tx1"/>
          </a:solidFill>
          <a:ln w="15875">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02370274725909"/>
          <c:y val="0.15748259492382483"/>
          <c:w val="0.77442017039231736"/>
          <c:h val="0.64560274601363132"/>
        </c:manualLayout>
      </c:layout>
      <c:barChart>
        <c:barDir val="col"/>
        <c:grouping val="clustered"/>
        <c:varyColors val="0"/>
        <c:ser>
          <c:idx val="0"/>
          <c:order val="0"/>
          <c:tx>
            <c:strRef>
              <c:f>'Crash Analysis'!$H$48</c:f>
              <c:strCache>
                <c:ptCount val="1"/>
                <c:pt idx="0">
                  <c:v>Total</c:v>
                </c:pt>
              </c:strCache>
            </c:strRef>
          </c:tx>
          <c:spPr>
            <a:solidFill>
              <a:schemeClr val="accent1"/>
            </a:solidFill>
            <a:ln>
              <a:noFill/>
            </a:ln>
            <a:effectLst/>
          </c:spPr>
          <c:invertIfNegative val="0"/>
          <c:cat>
            <c:strRef>
              <c:f>'Crash Analysis'!$G$49:$G$73</c:f>
              <c:strCach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'Crash Analysis'!$H$49:$H$73</c:f>
              <c:numCache>
                <c:formatCode>#,##0</c:formatCode>
                <c:ptCount val="24"/>
                <c:pt idx="0">
                  <c:v>10</c:v>
                </c:pt>
                <c:pt idx="1">
                  <c:v>3</c:v>
                </c:pt>
                <c:pt idx="2">
                  <c:v>11</c:v>
                </c:pt>
                <c:pt idx="3">
                  <c:v>5</c:v>
                </c:pt>
                <c:pt idx="4">
                  <c:v>3</c:v>
                </c:pt>
                <c:pt idx="5">
                  <c:v>5</c:v>
                </c:pt>
                <c:pt idx="6">
                  <c:v>7</c:v>
                </c:pt>
                <c:pt idx="7">
                  <c:v>4</c:v>
                </c:pt>
                <c:pt idx="8">
                  <c:v>9</c:v>
                </c:pt>
                <c:pt idx="9">
                  <c:v>15</c:v>
                </c:pt>
                <c:pt idx="10">
                  <c:v>10</c:v>
                </c:pt>
                <c:pt idx="11">
                  <c:v>16</c:v>
                </c:pt>
                <c:pt idx="12">
                  <c:v>13</c:v>
                </c:pt>
                <c:pt idx="13">
                  <c:v>16</c:v>
                </c:pt>
                <c:pt idx="14">
                  <c:v>14</c:v>
                </c:pt>
                <c:pt idx="15">
                  <c:v>38</c:v>
                </c:pt>
                <c:pt idx="16">
                  <c:v>27</c:v>
                </c:pt>
                <c:pt idx="17">
                  <c:v>29</c:v>
                </c:pt>
                <c:pt idx="18">
                  <c:v>15</c:v>
                </c:pt>
                <c:pt idx="19">
                  <c:v>14</c:v>
                </c:pt>
                <c:pt idx="20">
                  <c:v>18</c:v>
                </c:pt>
                <c:pt idx="21">
                  <c:v>6</c:v>
                </c:pt>
                <c:pt idx="22">
                  <c:v>9</c:v>
                </c:pt>
                <c:pt idx="23">
                  <c:v>11</c:v>
                </c:pt>
              </c:numCache>
            </c:numRef>
          </c:val>
          <c:extLst>
            <c:ext xmlns:c16="http://schemas.microsoft.com/office/drawing/2014/chart" uri="{C3380CC4-5D6E-409C-BE32-E72D297353CC}">
              <c16:uniqueId val="{00000000-002E-41AE-A997-7D205BCC7932}"/>
            </c:ext>
          </c:extLst>
        </c:ser>
        <c:dLbls>
          <c:showLegendKey val="0"/>
          <c:showVal val="0"/>
          <c:showCatName val="0"/>
          <c:showSerName val="0"/>
          <c:showPercent val="0"/>
          <c:showBubbleSize val="0"/>
        </c:dLbls>
        <c:gapWidth val="150"/>
        <c:axId val="648348488"/>
        <c:axId val="648343896"/>
      </c:barChart>
      <c:catAx>
        <c:axId val="648348488"/>
        <c:scaling>
          <c:orientation val="minMax"/>
        </c:scaling>
        <c:delete val="0"/>
        <c:axPos val="b"/>
        <c:title>
          <c:tx>
            <c:rich>
              <a:bodyPr rot="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r>
                  <a:rPr lang="en-US" sz="1100" b="0" i="0" u="none" strike="noStrike" kern="1200" baseline="0">
                    <a:solidFill>
                      <a:sysClr val="windowText" lastClr="000000"/>
                    </a:solidFill>
                    <a:latin typeface="+mn-lt"/>
                    <a:ea typeface="+mn-ea"/>
                    <a:cs typeface="+mn-cs"/>
                  </a:rPr>
                  <a:t>Hour of Day</a:t>
                </a:r>
              </a:p>
            </c:rich>
          </c:tx>
          <c:overlay val="0"/>
          <c:spPr>
            <a:noFill/>
            <a:ln>
              <a:noFill/>
            </a:ln>
            <a:effectLst/>
          </c:spPr>
          <c:txPr>
            <a:bodyPr rot="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648343896"/>
        <c:crosses val="autoZero"/>
        <c:auto val="1"/>
        <c:lblAlgn val="ctr"/>
        <c:lblOffset val="100"/>
        <c:noMultiLvlLbl val="0"/>
      </c:catAx>
      <c:valAx>
        <c:axId val="648343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lang="en-US" sz="1100" b="0" i="0" u="none" strike="noStrike" kern="1200" baseline="0">
                    <a:solidFill>
                      <a:sysClr val="windowText" lastClr="000000">
                        <a:lumMod val="65000"/>
                        <a:lumOff val="35000"/>
                      </a:sysClr>
                    </a:solidFill>
                    <a:latin typeface="+mn-lt"/>
                    <a:ea typeface="+mn-ea"/>
                    <a:cs typeface="+mn-cs"/>
                  </a:defRPr>
                </a:pPr>
                <a:r>
                  <a:rPr lang="en-US" sz="1100" b="0" i="0" u="none" strike="noStrike" kern="1200" baseline="0">
                    <a:solidFill>
                      <a:sysClr val="windowText" lastClr="000000">
                        <a:lumMod val="65000"/>
                        <a:lumOff val="35000"/>
                      </a:sysClr>
                    </a:solidFill>
                    <a:latin typeface="+mn-lt"/>
                    <a:ea typeface="+mn-ea"/>
                    <a:cs typeface="+mn-cs"/>
                  </a:rPr>
                  <a:t>Crash Frequency</a:t>
                </a:r>
              </a:p>
            </c:rich>
          </c:tx>
          <c:overlay val="0"/>
          <c:spPr>
            <a:noFill/>
            <a:ln>
              <a:noFill/>
            </a:ln>
            <a:effectLst/>
          </c:spPr>
          <c:txPr>
            <a:bodyPr rot="-5400000" spcFirstLastPara="1" vertOverflow="ellipsis" vert="horz" wrap="square" anchor="ctr" anchorCtr="1"/>
            <a:lstStyle/>
            <a:p>
              <a:pPr algn="ctr" rtl="0">
                <a:defRPr lang="en-US" sz="11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648348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E3F75"/>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Analysis!Month</c:name>
    <c:fmtId val="0"/>
  </c:pivotSource>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a:t>Total Crashes by Month</a:t>
            </a:r>
          </a:p>
        </c:rich>
      </c:tx>
      <c:layout>
        <c:manualLayout>
          <c:xMode val="edge"/>
          <c:yMode val="edge"/>
          <c:x val="0.33863888888888888"/>
          <c:y val="9.2592592592592587E-3"/>
        </c:manualLayout>
      </c:layout>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'Crash Analysis'!$K$48</c:f>
              <c:strCache>
                <c:ptCount val="1"/>
                <c:pt idx="0">
                  <c:v>Total</c:v>
                </c:pt>
              </c:strCache>
            </c:strRef>
          </c:tx>
          <c:spPr>
            <a:solidFill>
              <a:schemeClr val="accent1"/>
            </a:solidFill>
            <a:ln>
              <a:noFill/>
            </a:ln>
            <a:effectLst/>
          </c:spPr>
          <c:invertIfNegative val="0"/>
          <c:cat>
            <c:strRef>
              <c:f>'Crash Analysis'!$J$49:$J$61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'Crash Analysis'!$K$49:$K$61</c:f>
              <c:numCache>
                <c:formatCode>#,##0</c:formatCode>
                <c:ptCount val="12"/>
                <c:pt idx="0">
                  <c:v>26</c:v>
                </c:pt>
                <c:pt idx="1">
                  <c:v>18</c:v>
                </c:pt>
                <c:pt idx="2">
                  <c:v>27</c:v>
                </c:pt>
                <c:pt idx="3">
                  <c:v>40</c:v>
                </c:pt>
                <c:pt idx="4">
                  <c:v>29</c:v>
                </c:pt>
                <c:pt idx="5">
                  <c:v>20</c:v>
                </c:pt>
                <c:pt idx="6">
                  <c:v>32</c:v>
                </c:pt>
                <c:pt idx="7">
                  <c:v>16</c:v>
                </c:pt>
                <c:pt idx="8">
                  <c:v>28</c:v>
                </c:pt>
                <c:pt idx="9">
                  <c:v>27</c:v>
                </c:pt>
                <c:pt idx="10">
                  <c:v>20</c:v>
                </c:pt>
                <c:pt idx="11">
                  <c:v>25</c:v>
                </c:pt>
              </c:numCache>
            </c:numRef>
          </c:val>
          <c:extLst>
            <c:ext xmlns:c16="http://schemas.microsoft.com/office/drawing/2014/chart" uri="{C3380CC4-5D6E-409C-BE32-E72D297353CC}">
              <c16:uniqueId val="{00000000-3A4A-4FD2-932F-3EB1DB498350}"/>
            </c:ext>
          </c:extLst>
        </c:ser>
        <c:dLbls>
          <c:showLegendKey val="0"/>
          <c:showVal val="0"/>
          <c:showCatName val="0"/>
          <c:showSerName val="0"/>
          <c:showPercent val="0"/>
          <c:showBubbleSize val="0"/>
        </c:dLbls>
        <c:gapWidth val="182"/>
        <c:axId val="648302568"/>
        <c:axId val="648304864"/>
      </c:barChart>
      <c:catAx>
        <c:axId val="648302568"/>
        <c:scaling>
          <c:orientation val="minMax"/>
        </c:scaling>
        <c:delete val="0"/>
        <c:axPos val="l"/>
        <c:title>
          <c:tx>
            <c:rich>
              <a:bodyPr rot="-540000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r>
                  <a:rPr lang="en-US" sz="1100" b="0" i="0" u="none" strike="noStrike" kern="1200" baseline="0">
                    <a:solidFill>
                      <a:sysClr val="windowText" lastClr="000000"/>
                    </a:solidFill>
                    <a:latin typeface="+mn-lt"/>
                    <a:ea typeface="+mn-ea"/>
                    <a:cs typeface="+mn-cs"/>
                  </a:rPr>
                  <a:t>Month</a:t>
                </a:r>
              </a:p>
            </c:rich>
          </c:tx>
          <c:overlay val="0"/>
          <c:spPr>
            <a:noFill/>
            <a:ln>
              <a:noFill/>
            </a:ln>
            <a:effectLst/>
          </c:spPr>
          <c:txPr>
            <a:bodyPr rot="-540000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648304864"/>
        <c:crosses val="autoZero"/>
        <c:auto val="1"/>
        <c:lblAlgn val="ctr"/>
        <c:lblOffset val="100"/>
        <c:noMultiLvlLbl val="0"/>
      </c:catAx>
      <c:valAx>
        <c:axId val="648304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r>
                  <a:rPr lang="en-US" sz="1100" b="0" i="0" u="none" strike="noStrike" kern="1200" baseline="0">
                    <a:solidFill>
                      <a:sysClr val="windowText" lastClr="000000"/>
                    </a:solidFill>
                    <a:latin typeface="+mn-lt"/>
                    <a:ea typeface="+mn-ea"/>
                    <a:cs typeface="+mn-cs"/>
                  </a:rPr>
                  <a:t>Crash Frequency</a:t>
                </a:r>
              </a:p>
            </c:rich>
          </c:tx>
          <c:overlay val="0"/>
          <c:spPr>
            <a:noFill/>
            <a:ln>
              <a:noFill/>
            </a:ln>
            <a:effectLst/>
          </c:spPr>
          <c:txPr>
            <a:bodyPr rot="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648302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E3F75"/>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Analysis!Day in Week</c:name>
    <c:fmtId val="0"/>
  </c:pivotSource>
  <c:chart>
    <c:title>
      <c:tx>
        <c:rich>
          <a:bodyPr rot="0" spcFirstLastPara="1" vertOverflow="ellipsis" vert="horz" wrap="square" anchor="ctr" anchorCtr="1"/>
          <a:lstStyle/>
          <a:p>
            <a:pPr algn="ctr" rtl="0">
              <a:defRPr lang="en-US" sz="1200" b="0" i="0" u="none" strike="noStrike" kern="1200" spc="0" baseline="0">
                <a:solidFill>
                  <a:sysClr val="windowText" lastClr="000000"/>
                </a:solidFill>
                <a:latin typeface="+mn-lt"/>
                <a:ea typeface="+mn-ea"/>
                <a:cs typeface="+mn-cs"/>
              </a:defRPr>
            </a:pPr>
            <a:r>
              <a:rPr lang="en-US" sz="1200"/>
              <a:t>Total Crashes by Day in Week</a:t>
            </a:r>
          </a:p>
        </c:rich>
      </c:tx>
      <c:overlay val="0"/>
      <c:spPr>
        <a:noFill/>
        <a:ln>
          <a:noFill/>
        </a:ln>
        <a:effectLst/>
      </c:spPr>
      <c:txPr>
        <a:bodyPr rot="0" spcFirstLastPara="1" vertOverflow="ellipsis" vert="horz" wrap="square" anchor="ctr" anchorCtr="1"/>
        <a:lstStyle/>
        <a:p>
          <a:pPr algn="ctr" rtl="0">
            <a:defRPr lang="en-US" sz="12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'Crash Analysis'!$K$63</c:f>
              <c:strCache>
                <c:ptCount val="1"/>
                <c:pt idx="0">
                  <c:v>Total</c:v>
                </c:pt>
              </c:strCache>
            </c:strRef>
          </c:tx>
          <c:spPr>
            <a:solidFill>
              <a:schemeClr val="accent1"/>
            </a:solidFill>
            <a:ln>
              <a:noFill/>
            </a:ln>
            <a:effectLst/>
          </c:spPr>
          <c:invertIfNegative val="0"/>
          <c:cat>
            <c:strRef>
              <c:f>'Crash Analysis'!$J$64:$J$71</c:f>
              <c:strCache>
                <c:ptCount val="7"/>
                <c:pt idx="0">
                  <c:v>(1) Sunday</c:v>
                </c:pt>
                <c:pt idx="1">
                  <c:v>(2) Monday</c:v>
                </c:pt>
                <c:pt idx="2">
                  <c:v>(3) Tuesday</c:v>
                </c:pt>
                <c:pt idx="3">
                  <c:v>(4) Wednesday</c:v>
                </c:pt>
                <c:pt idx="4">
                  <c:v>(5) Thursday</c:v>
                </c:pt>
                <c:pt idx="5">
                  <c:v>(6) Friday</c:v>
                </c:pt>
                <c:pt idx="6">
                  <c:v>(7) Saturday</c:v>
                </c:pt>
              </c:strCache>
            </c:strRef>
          </c:cat>
          <c:val>
            <c:numRef>
              <c:f>'Crash Analysis'!$K$64:$K$71</c:f>
              <c:numCache>
                <c:formatCode>#,##0</c:formatCode>
                <c:ptCount val="7"/>
                <c:pt idx="0">
                  <c:v>22</c:v>
                </c:pt>
                <c:pt idx="1">
                  <c:v>46</c:v>
                </c:pt>
                <c:pt idx="2">
                  <c:v>55</c:v>
                </c:pt>
                <c:pt idx="3">
                  <c:v>47</c:v>
                </c:pt>
                <c:pt idx="4">
                  <c:v>43</c:v>
                </c:pt>
                <c:pt idx="5">
                  <c:v>51</c:v>
                </c:pt>
                <c:pt idx="6">
                  <c:v>44</c:v>
                </c:pt>
              </c:numCache>
            </c:numRef>
          </c:val>
          <c:extLst>
            <c:ext xmlns:c16="http://schemas.microsoft.com/office/drawing/2014/chart" uri="{C3380CC4-5D6E-409C-BE32-E72D297353CC}">
              <c16:uniqueId val="{00000000-55DA-4BCF-B158-EEE8C964AF38}"/>
            </c:ext>
          </c:extLst>
        </c:ser>
        <c:dLbls>
          <c:showLegendKey val="0"/>
          <c:showVal val="0"/>
          <c:showCatName val="0"/>
          <c:showSerName val="0"/>
          <c:showPercent val="0"/>
          <c:showBubbleSize val="0"/>
        </c:dLbls>
        <c:gapWidth val="182"/>
        <c:axId val="756553360"/>
        <c:axId val="756562216"/>
      </c:barChart>
      <c:catAx>
        <c:axId val="756553360"/>
        <c:scaling>
          <c:orientation val="minMax"/>
        </c:scaling>
        <c:delete val="0"/>
        <c:axPos val="l"/>
        <c:title>
          <c:tx>
            <c:rich>
              <a:bodyPr rot="-540000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r>
                  <a:rPr lang="en-US" sz="1100" b="0" i="0" u="none" strike="noStrike" kern="1200" baseline="0">
                    <a:solidFill>
                      <a:sysClr val="windowText" lastClr="000000"/>
                    </a:solidFill>
                    <a:latin typeface="+mn-lt"/>
                    <a:ea typeface="+mn-ea"/>
                    <a:cs typeface="+mn-cs"/>
                  </a:rPr>
                  <a:t>Day in Week</a:t>
                </a:r>
              </a:p>
            </c:rich>
          </c:tx>
          <c:overlay val="0"/>
          <c:spPr>
            <a:noFill/>
            <a:ln>
              <a:noFill/>
            </a:ln>
            <a:effectLst/>
          </c:spPr>
          <c:txPr>
            <a:bodyPr rot="-540000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100" b="0" i="0" u="none" strike="noStrike" kern="1200" baseline="0">
                <a:solidFill>
                  <a:sysClr val="windowText" lastClr="000000"/>
                </a:solidFill>
                <a:latin typeface="+mn-lt"/>
                <a:ea typeface="+mn-ea"/>
                <a:cs typeface="+mn-cs"/>
              </a:defRPr>
            </a:pPr>
            <a:endParaRPr lang="en-US"/>
          </a:p>
        </c:txPr>
        <c:crossAx val="756562216"/>
        <c:crosses val="autoZero"/>
        <c:auto val="1"/>
        <c:lblAlgn val="ctr"/>
        <c:lblOffset val="100"/>
        <c:noMultiLvlLbl val="0"/>
      </c:catAx>
      <c:valAx>
        <c:axId val="756562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r>
                  <a:rPr lang="en-US" sz="1100" b="0" i="0" u="none" strike="noStrike" kern="1200" baseline="0">
                    <a:solidFill>
                      <a:sysClr val="windowText" lastClr="000000"/>
                    </a:solidFill>
                    <a:latin typeface="+mn-lt"/>
                    <a:ea typeface="+mn-ea"/>
                    <a:cs typeface="+mn-cs"/>
                  </a:rPr>
                  <a:t>Crash Frequency</a:t>
                </a:r>
              </a:p>
            </c:rich>
          </c:tx>
          <c:overlay val="0"/>
          <c:spPr>
            <a:noFill/>
            <a:ln>
              <a:noFill/>
            </a:ln>
            <a:effectLst/>
          </c:spPr>
          <c:txPr>
            <a:bodyPr rot="0" spcFirstLastPara="1" vertOverflow="ellipsis" vert="horz" wrap="square" anchor="ctr" anchorCtr="1"/>
            <a:lstStyle/>
            <a:p>
              <a:pPr algn="ctr" rtl="0">
                <a:defRPr lang="en-US"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ysClr val="windowText" lastClr="000000"/>
                </a:solidFill>
                <a:latin typeface="+mn-lt"/>
                <a:ea typeface="+mn-ea"/>
                <a:cs typeface="+mn-cs"/>
              </a:defRPr>
            </a:pPr>
            <a:endParaRPr lang="en-US"/>
          </a:p>
        </c:txPr>
        <c:crossAx val="756553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E3F75"/>
      </a:solidFill>
      <a:round/>
    </a:ln>
    <a:effectLst/>
  </c:spPr>
  <c:txPr>
    <a:bodyPr/>
    <a:lstStyle/>
    <a:p>
      <a:pPr algn="ctr" rtl="0">
        <a:defRPr lang="en-US" sz="1100" b="0" i="0" u="none" strike="noStrike" kern="1200" baseline="0">
          <a:solidFill>
            <a:sysClr val="windowText" lastClr="000000"/>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Analysis!Road Condition</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Crashes by Road Conditions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bg1"/>
            </a:solid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w="19050">
            <a:solidFill>
              <a:schemeClr val="bg1"/>
            </a:solidFill>
          </a:ln>
          <a:effectLst/>
        </c:spPr>
      </c:pivotFmt>
      <c:pivotFmt>
        <c:idx val="4"/>
        <c:spPr>
          <a:solidFill>
            <a:schemeClr val="accent1"/>
          </a:solidFill>
          <a:ln w="19050">
            <a:solidFill>
              <a:schemeClr val="bg1"/>
            </a:solidFill>
          </a:ln>
          <a:effectLst/>
        </c:spPr>
      </c:pivotFmt>
      <c:pivotFmt>
        <c:idx val="5"/>
        <c:spPr>
          <a:solidFill>
            <a:schemeClr val="accent1"/>
          </a:solidFill>
          <a:ln w="19050">
            <a:solidFill>
              <a:schemeClr val="bg1"/>
            </a:solid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pivotFmt>
      <c:pivotFmt>
        <c:idx val="36"/>
        <c:spPr>
          <a:solidFill>
            <a:schemeClr val="accent1"/>
          </a:solidFill>
          <a:ln>
            <a:noFill/>
          </a:ln>
          <a:effectLst/>
        </c:spPr>
      </c:pivotFmt>
      <c:pivotFmt>
        <c:idx val="37"/>
        <c:spPr>
          <a:solidFill>
            <a:schemeClr val="accent1"/>
          </a:solidFill>
          <a:ln>
            <a:noFill/>
          </a:ln>
          <a:effectLst/>
        </c:spPr>
      </c:pivotFmt>
      <c:pivotFmt>
        <c:idx val="38"/>
        <c:spPr>
          <a:solidFill>
            <a:schemeClr val="accent1"/>
          </a:solidFill>
          <a:ln>
            <a:noFill/>
          </a:ln>
          <a:effectLst/>
        </c:spPr>
      </c:pivotFmt>
      <c:pivotFmt>
        <c:idx val="39"/>
        <c:spPr>
          <a:solidFill>
            <a:schemeClr val="accent1"/>
          </a:solidFill>
          <a:ln>
            <a:noFill/>
          </a:ln>
          <a:effectLst/>
        </c:spPr>
      </c:pivotFmt>
      <c:pivotFmt>
        <c:idx val="40"/>
        <c:spPr>
          <a:solidFill>
            <a:schemeClr val="accent1"/>
          </a:solidFill>
          <a:ln>
            <a:noFill/>
          </a:ln>
          <a:effectLst/>
        </c:spPr>
      </c:pivotFmt>
      <c:pivotFmt>
        <c:idx val="41"/>
        <c:spPr>
          <a:solidFill>
            <a:schemeClr val="accent1"/>
          </a:solidFill>
          <a:ln>
            <a:noFill/>
          </a:ln>
          <a:effectLst/>
        </c:spPr>
      </c:pivotFmt>
      <c:pivotFmt>
        <c:idx val="42"/>
        <c:spPr>
          <a:solidFill>
            <a:schemeClr val="accent1"/>
          </a:solidFill>
          <a:ln>
            <a:noFill/>
          </a:ln>
          <a:effectLst/>
        </c:spPr>
      </c:pivotFmt>
      <c:pivotFmt>
        <c:idx val="43"/>
        <c:spPr>
          <a:solidFill>
            <a:schemeClr val="accent1"/>
          </a:solidFill>
          <a:ln>
            <a:noFill/>
          </a:ln>
          <a:effectLst/>
        </c:spPr>
      </c:pivotFmt>
      <c:pivotFmt>
        <c:idx val="44"/>
        <c:spPr>
          <a:solidFill>
            <a:schemeClr val="accent1"/>
          </a:solidFill>
          <a:ln>
            <a:noFill/>
          </a:ln>
          <a:effectLst/>
        </c:spPr>
      </c:pivotFmt>
      <c:pivotFmt>
        <c:idx val="45"/>
        <c:spPr>
          <a:solidFill>
            <a:schemeClr val="accent1"/>
          </a:solidFill>
          <a:ln>
            <a:noFill/>
          </a:ln>
          <a:effectLst/>
        </c:spPr>
      </c:pivotFmt>
      <c:pivotFmt>
        <c:idx val="46"/>
        <c:spPr>
          <a:solidFill>
            <a:schemeClr val="accent1"/>
          </a:solidFill>
          <a:ln>
            <a:noFill/>
          </a:ln>
          <a:effectLst/>
        </c:spPr>
      </c:pivotFmt>
      <c:pivotFmt>
        <c:idx val="47"/>
        <c:spPr>
          <a:solidFill>
            <a:schemeClr val="accent1"/>
          </a:solidFill>
          <a:ln>
            <a:noFill/>
          </a:ln>
          <a:effectLst/>
        </c:spPr>
      </c:pivotFmt>
      <c:pivotFmt>
        <c:idx val="48"/>
        <c:spPr>
          <a:solidFill>
            <a:schemeClr val="accent1"/>
          </a:solidFill>
          <a:ln>
            <a:noFill/>
          </a:ln>
          <a:effectLst/>
        </c:spPr>
      </c:pivotFmt>
      <c:pivotFmt>
        <c:idx val="49"/>
        <c:spPr>
          <a:solidFill>
            <a:schemeClr val="accent1"/>
          </a:solidFill>
          <a:ln>
            <a:noFill/>
          </a:ln>
          <a:effectLst/>
        </c:spPr>
      </c:pivotFmt>
      <c:pivotFmt>
        <c:idx val="50"/>
        <c:spPr>
          <a:solidFill>
            <a:schemeClr val="accent1"/>
          </a:solidFill>
          <a:ln>
            <a:noFill/>
          </a:ln>
          <a:effectLst/>
        </c:spPr>
      </c:pivotFmt>
      <c:pivotFmt>
        <c:idx val="51"/>
        <c:spPr>
          <a:solidFill>
            <a:schemeClr val="accent1"/>
          </a:solidFill>
          <a:ln>
            <a:noFill/>
          </a:ln>
          <a:effectLst/>
        </c:spPr>
      </c:pivotFmt>
      <c:pivotFmt>
        <c:idx val="52"/>
        <c:spPr>
          <a:solidFill>
            <a:schemeClr val="accent1"/>
          </a:solidFill>
          <a:ln>
            <a:noFill/>
          </a:ln>
          <a:effectLst/>
        </c:spPr>
      </c:pivotFmt>
      <c:pivotFmt>
        <c:idx val="53"/>
        <c:spPr>
          <a:solidFill>
            <a:schemeClr val="accent1"/>
          </a:solidFill>
          <a:ln>
            <a:noFill/>
          </a:ln>
          <a:effectLst/>
        </c:spPr>
      </c:pivotFmt>
    </c:pivotFmts>
    <c:plotArea>
      <c:layout>
        <c:manualLayout>
          <c:layoutTarget val="inner"/>
          <c:xMode val="edge"/>
          <c:yMode val="edge"/>
          <c:x val="5.2669710645810566E-2"/>
          <c:y val="0.13561461067366579"/>
          <c:w val="0.72444564408346213"/>
          <c:h val="0.83946485855934672"/>
        </c:manualLayout>
      </c:layout>
      <c:pieChart>
        <c:varyColors val="1"/>
        <c:ser>
          <c:idx val="0"/>
          <c:order val="0"/>
          <c:tx>
            <c:strRef>
              <c:f>'Crash Analysis'!$C$48</c:f>
              <c:strCache>
                <c:ptCount val="1"/>
                <c:pt idx="0">
                  <c:v>Total Crashes</c:v>
                </c:pt>
              </c:strCache>
            </c:strRef>
          </c:tx>
          <c:dPt>
            <c:idx val="0"/>
            <c:bubble3D val="0"/>
            <c:spPr>
              <a:solidFill>
                <a:schemeClr val="accent1"/>
              </a:solidFill>
              <a:ln>
                <a:noFill/>
              </a:ln>
              <a:effectLst/>
            </c:spPr>
            <c:extLst>
              <c:ext xmlns:c16="http://schemas.microsoft.com/office/drawing/2014/chart" uri="{C3380CC4-5D6E-409C-BE32-E72D297353CC}">
                <c16:uniqueId val="{00000001-6C66-400B-B7A2-6B3D0419242A}"/>
              </c:ext>
            </c:extLst>
          </c:dPt>
          <c:dPt>
            <c:idx val="1"/>
            <c:bubble3D val="0"/>
            <c:spPr>
              <a:solidFill>
                <a:schemeClr val="accent2"/>
              </a:solidFill>
              <a:ln>
                <a:noFill/>
              </a:ln>
              <a:effectLst/>
            </c:spPr>
            <c:extLst>
              <c:ext xmlns:c16="http://schemas.microsoft.com/office/drawing/2014/chart" uri="{C3380CC4-5D6E-409C-BE32-E72D297353CC}">
                <c16:uniqueId val="{00000003-6C66-400B-B7A2-6B3D0419242A}"/>
              </c:ext>
            </c:extLst>
          </c:dPt>
          <c:dPt>
            <c:idx val="2"/>
            <c:bubble3D val="0"/>
            <c:spPr>
              <a:solidFill>
                <a:schemeClr val="accent3"/>
              </a:solidFill>
              <a:ln>
                <a:noFill/>
              </a:ln>
              <a:effectLst/>
            </c:spPr>
            <c:extLst>
              <c:ext xmlns:c16="http://schemas.microsoft.com/office/drawing/2014/chart" uri="{C3380CC4-5D6E-409C-BE32-E72D297353CC}">
                <c16:uniqueId val="{00000003-666F-4106-8E7D-C8F7C9E5694C}"/>
              </c:ext>
            </c:extLst>
          </c:dPt>
          <c:dPt>
            <c:idx val="3"/>
            <c:bubble3D val="0"/>
            <c:spPr>
              <a:solidFill>
                <a:schemeClr val="accent4"/>
              </a:solidFill>
              <a:ln>
                <a:noFill/>
              </a:ln>
              <a:effectLst/>
            </c:spPr>
            <c:extLst>
              <c:ext xmlns:c16="http://schemas.microsoft.com/office/drawing/2014/chart" uri="{C3380CC4-5D6E-409C-BE32-E72D297353CC}">
                <c16:uniqueId val="{00000007-F5E8-45CF-B295-B940FA262039}"/>
              </c:ext>
            </c:extLst>
          </c:dPt>
          <c:dPt>
            <c:idx val="4"/>
            <c:bubble3D val="0"/>
            <c:spPr>
              <a:solidFill>
                <a:schemeClr val="accent5"/>
              </a:solidFill>
              <a:ln>
                <a:noFill/>
              </a:ln>
              <a:effectLst/>
            </c:spPr>
            <c:extLst>
              <c:ext xmlns:c16="http://schemas.microsoft.com/office/drawing/2014/chart" uri="{C3380CC4-5D6E-409C-BE32-E72D297353CC}">
                <c16:uniqueId val="{00000009-F5E8-45CF-B295-B940FA262039}"/>
              </c:ext>
            </c:extLst>
          </c:dPt>
          <c:dPt>
            <c:idx val="5"/>
            <c:bubble3D val="0"/>
            <c:spPr>
              <a:solidFill>
                <a:schemeClr val="accent6"/>
              </a:solidFill>
              <a:ln>
                <a:noFill/>
              </a:ln>
              <a:effectLst/>
            </c:spPr>
            <c:extLst>
              <c:ext xmlns:c16="http://schemas.microsoft.com/office/drawing/2014/chart" uri="{C3380CC4-5D6E-409C-BE32-E72D297353CC}">
                <c16:uniqueId val="{0000000B-F5E8-45CF-B295-B940FA26203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F5E8-45CF-B295-B940FA26203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F5E8-45CF-B295-B940FA262039}"/>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F5E8-45CF-B295-B940FA262039}"/>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F5E8-45CF-B295-B940FA262039}"/>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F5E8-45CF-B295-B940FA262039}"/>
              </c:ext>
            </c:extLst>
          </c:dPt>
          <c:cat>
            <c:strRef>
              <c:f>'Crash Analysis'!$B$49:$B$54</c:f>
              <c:strCache>
                <c:ptCount val="5"/>
                <c:pt idx="0">
                  <c:v>Dry</c:v>
                </c:pt>
                <c:pt idx="1">
                  <c:v>Ice</c:v>
                </c:pt>
                <c:pt idx="2">
                  <c:v>Snow</c:v>
                </c:pt>
                <c:pt idx="3">
                  <c:v>Wet</c:v>
                </c:pt>
                <c:pt idx="4">
                  <c:v>Other / Unknown</c:v>
                </c:pt>
              </c:strCache>
            </c:strRef>
          </c:cat>
          <c:val>
            <c:numRef>
              <c:f>'Crash Analysis'!$C$49:$C$54</c:f>
              <c:numCache>
                <c:formatCode>#,##0</c:formatCode>
                <c:ptCount val="5"/>
                <c:pt idx="0">
                  <c:v>240</c:v>
                </c:pt>
                <c:pt idx="1">
                  <c:v>1</c:v>
                </c:pt>
                <c:pt idx="2">
                  <c:v>6</c:v>
                </c:pt>
                <c:pt idx="3">
                  <c:v>58</c:v>
                </c:pt>
                <c:pt idx="4">
                  <c:v>3</c:v>
                </c:pt>
              </c:numCache>
            </c:numRef>
          </c:val>
          <c:extLst>
            <c:ext xmlns:c16="http://schemas.microsoft.com/office/drawing/2014/chart" uri="{C3380CC4-5D6E-409C-BE32-E72D297353CC}">
              <c16:uniqueId val="{00000000-666F-4106-8E7D-C8F7C9E5694C}"/>
            </c:ext>
          </c:extLst>
        </c:ser>
        <c:ser>
          <c:idx val="1"/>
          <c:order val="1"/>
          <c:tx>
            <c:strRef>
              <c:f>'Crash Analysis'!$D$48</c:f>
              <c:strCache>
                <c:ptCount val="1"/>
                <c:pt idx="0">
                  <c:v>Fatalities </c:v>
                </c:pt>
              </c:strCache>
            </c:strRef>
          </c:tx>
          <c:dPt>
            <c:idx val="0"/>
            <c:bubble3D val="0"/>
            <c:spPr>
              <a:solidFill>
                <a:schemeClr val="accent1"/>
              </a:solidFill>
              <a:ln>
                <a:noFill/>
              </a:ln>
              <a:effectLst/>
            </c:spPr>
            <c:extLst>
              <c:ext xmlns:c16="http://schemas.microsoft.com/office/drawing/2014/chart" uri="{C3380CC4-5D6E-409C-BE32-E72D297353CC}">
                <c16:uniqueId val="{00000017-F5E8-45CF-B295-B940FA262039}"/>
              </c:ext>
            </c:extLst>
          </c:dPt>
          <c:dPt>
            <c:idx val="1"/>
            <c:bubble3D val="0"/>
            <c:spPr>
              <a:solidFill>
                <a:schemeClr val="accent2"/>
              </a:solidFill>
              <a:ln>
                <a:noFill/>
              </a:ln>
              <a:effectLst/>
            </c:spPr>
            <c:extLst>
              <c:ext xmlns:c16="http://schemas.microsoft.com/office/drawing/2014/chart" uri="{C3380CC4-5D6E-409C-BE32-E72D297353CC}">
                <c16:uniqueId val="{00000019-F5E8-45CF-B295-B940FA262039}"/>
              </c:ext>
            </c:extLst>
          </c:dPt>
          <c:dPt>
            <c:idx val="2"/>
            <c:bubble3D val="0"/>
            <c:spPr>
              <a:solidFill>
                <a:schemeClr val="accent3"/>
              </a:solidFill>
              <a:ln>
                <a:noFill/>
              </a:ln>
              <a:effectLst/>
            </c:spPr>
            <c:extLst>
              <c:ext xmlns:c16="http://schemas.microsoft.com/office/drawing/2014/chart" uri="{C3380CC4-5D6E-409C-BE32-E72D297353CC}">
                <c16:uniqueId val="{0000001B-F5E8-45CF-B295-B940FA262039}"/>
              </c:ext>
            </c:extLst>
          </c:dPt>
          <c:dPt>
            <c:idx val="3"/>
            <c:bubble3D val="0"/>
            <c:spPr>
              <a:solidFill>
                <a:schemeClr val="accent4"/>
              </a:solidFill>
              <a:ln>
                <a:noFill/>
              </a:ln>
              <a:effectLst/>
            </c:spPr>
            <c:extLst>
              <c:ext xmlns:c16="http://schemas.microsoft.com/office/drawing/2014/chart" uri="{C3380CC4-5D6E-409C-BE32-E72D297353CC}">
                <c16:uniqueId val="{0000001D-F5E8-45CF-B295-B940FA262039}"/>
              </c:ext>
            </c:extLst>
          </c:dPt>
          <c:dPt>
            <c:idx val="4"/>
            <c:bubble3D val="0"/>
            <c:spPr>
              <a:solidFill>
                <a:schemeClr val="accent5"/>
              </a:solidFill>
              <a:ln>
                <a:noFill/>
              </a:ln>
              <a:effectLst/>
            </c:spPr>
            <c:extLst>
              <c:ext xmlns:c16="http://schemas.microsoft.com/office/drawing/2014/chart" uri="{C3380CC4-5D6E-409C-BE32-E72D297353CC}">
                <c16:uniqueId val="{0000001F-F5E8-45CF-B295-B940FA262039}"/>
              </c:ext>
            </c:extLst>
          </c:dPt>
          <c:dPt>
            <c:idx val="5"/>
            <c:bubble3D val="0"/>
            <c:spPr>
              <a:solidFill>
                <a:schemeClr val="accent6"/>
              </a:solidFill>
              <a:ln>
                <a:noFill/>
              </a:ln>
              <a:effectLst/>
            </c:spPr>
            <c:extLst>
              <c:ext xmlns:c16="http://schemas.microsoft.com/office/drawing/2014/chart" uri="{C3380CC4-5D6E-409C-BE32-E72D297353CC}">
                <c16:uniqueId val="{00000021-F5E8-45CF-B295-B940FA26203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23-F5E8-45CF-B295-B940FA26203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25-F5E8-45CF-B295-B940FA262039}"/>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27-F5E8-45CF-B295-B940FA262039}"/>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29-F5E8-45CF-B295-B940FA262039}"/>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2B-F5E8-45CF-B295-B940FA262039}"/>
              </c:ext>
            </c:extLst>
          </c:dPt>
          <c:cat>
            <c:strRef>
              <c:f>'Crash Analysis'!$B$49:$B$54</c:f>
              <c:strCache>
                <c:ptCount val="5"/>
                <c:pt idx="0">
                  <c:v>Dry</c:v>
                </c:pt>
                <c:pt idx="1">
                  <c:v>Ice</c:v>
                </c:pt>
                <c:pt idx="2">
                  <c:v>Snow</c:v>
                </c:pt>
                <c:pt idx="3">
                  <c:v>Wet</c:v>
                </c:pt>
                <c:pt idx="4">
                  <c:v>Other / Unknown</c:v>
                </c:pt>
              </c:strCache>
            </c:strRef>
          </c:cat>
          <c:val>
            <c:numRef>
              <c:f>'Crash Analysis'!$D$49:$D$54</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13-CD29-47BF-8AA0-7D3ADBF48153}"/>
            </c:ext>
          </c:extLst>
        </c:ser>
        <c:ser>
          <c:idx val="2"/>
          <c:order val="2"/>
          <c:tx>
            <c:strRef>
              <c:f>'Crash Analysis'!$E$48</c:f>
              <c:strCache>
                <c:ptCount val="1"/>
                <c:pt idx="0">
                  <c:v>Serious Injuries </c:v>
                </c:pt>
              </c:strCache>
            </c:strRef>
          </c:tx>
          <c:dPt>
            <c:idx val="0"/>
            <c:bubble3D val="0"/>
            <c:spPr>
              <a:solidFill>
                <a:schemeClr val="accent1"/>
              </a:solidFill>
              <a:ln>
                <a:noFill/>
              </a:ln>
              <a:effectLst/>
            </c:spPr>
            <c:extLst>
              <c:ext xmlns:c16="http://schemas.microsoft.com/office/drawing/2014/chart" uri="{C3380CC4-5D6E-409C-BE32-E72D297353CC}">
                <c16:uniqueId val="{0000002D-F5E8-45CF-B295-B940FA262039}"/>
              </c:ext>
            </c:extLst>
          </c:dPt>
          <c:dPt>
            <c:idx val="1"/>
            <c:bubble3D val="0"/>
            <c:spPr>
              <a:solidFill>
                <a:schemeClr val="accent2"/>
              </a:solidFill>
              <a:ln>
                <a:noFill/>
              </a:ln>
              <a:effectLst/>
            </c:spPr>
            <c:extLst>
              <c:ext xmlns:c16="http://schemas.microsoft.com/office/drawing/2014/chart" uri="{C3380CC4-5D6E-409C-BE32-E72D297353CC}">
                <c16:uniqueId val="{0000002F-F5E8-45CF-B295-B940FA262039}"/>
              </c:ext>
            </c:extLst>
          </c:dPt>
          <c:dPt>
            <c:idx val="2"/>
            <c:bubble3D val="0"/>
            <c:spPr>
              <a:solidFill>
                <a:schemeClr val="accent3"/>
              </a:solidFill>
              <a:ln>
                <a:noFill/>
              </a:ln>
              <a:effectLst/>
            </c:spPr>
            <c:extLst>
              <c:ext xmlns:c16="http://schemas.microsoft.com/office/drawing/2014/chart" uri="{C3380CC4-5D6E-409C-BE32-E72D297353CC}">
                <c16:uniqueId val="{00000031-F5E8-45CF-B295-B940FA262039}"/>
              </c:ext>
            </c:extLst>
          </c:dPt>
          <c:dPt>
            <c:idx val="3"/>
            <c:bubble3D val="0"/>
            <c:spPr>
              <a:solidFill>
                <a:schemeClr val="accent4"/>
              </a:solidFill>
              <a:ln>
                <a:noFill/>
              </a:ln>
              <a:effectLst/>
            </c:spPr>
            <c:extLst>
              <c:ext xmlns:c16="http://schemas.microsoft.com/office/drawing/2014/chart" uri="{C3380CC4-5D6E-409C-BE32-E72D297353CC}">
                <c16:uniqueId val="{00000033-F5E8-45CF-B295-B940FA262039}"/>
              </c:ext>
            </c:extLst>
          </c:dPt>
          <c:dPt>
            <c:idx val="4"/>
            <c:bubble3D val="0"/>
            <c:spPr>
              <a:solidFill>
                <a:schemeClr val="accent5"/>
              </a:solidFill>
              <a:ln>
                <a:noFill/>
              </a:ln>
              <a:effectLst/>
            </c:spPr>
            <c:extLst>
              <c:ext xmlns:c16="http://schemas.microsoft.com/office/drawing/2014/chart" uri="{C3380CC4-5D6E-409C-BE32-E72D297353CC}">
                <c16:uniqueId val="{00000035-F5E8-45CF-B295-B940FA262039}"/>
              </c:ext>
            </c:extLst>
          </c:dPt>
          <c:dPt>
            <c:idx val="5"/>
            <c:bubble3D val="0"/>
            <c:spPr>
              <a:solidFill>
                <a:schemeClr val="accent6"/>
              </a:solidFill>
              <a:ln>
                <a:noFill/>
              </a:ln>
              <a:effectLst/>
            </c:spPr>
            <c:extLst>
              <c:ext xmlns:c16="http://schemas.microsoft.com/office/drawing/2014/chart" uri="{C3380CC4-5D6E-409C-BE32-E72D297353CC}">
                <c16:uniqueId val="{00000037-F5E8-45CF-B295-B940FA262039}"/>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39-F5E8-45CF-B295-B940FA26203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3B-F5E8-45CF-B295-B940FA262039}"/>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3D-F5E8-45CF-B295-B940FA262039}"/>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3F-F5E8-45CF-B295-B940FA262039}"/>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41-F5E8-45CF-B295-B940FA262039}"/>
              </c:ext>
            </c:extLst>
          </c:dPt>
          <c:cat>
            <c:strRef>
              <c:f>'Crash Analysis'!$B$49:$B$54</c:f>
              <c:strCache>
                <c:ptCount val="5"/>
                <c:pt idx="0">
                  <c:v>Dry</c:v>
                </c:pt>
                <c:pt idx="1">
                  <c:v>Ice</c:v>
                </c:pt>
                <c:pt idx="2">
                  <c:v>Snow</c:v>
                </c:pt>
                <c:pt idx="3">
                  <c:v>Wet</c:v>
                </c:pt>
                <c:pt idx="4">
                  <c:v>Other / Unknown</c:v>
                </c:pt>
              </c:strCache>
            </c:strRef>
          </c:cat>
          <c:val>
            <c:numRef>
              <c:f>'Crash Analysis'!$E$49:$E$54</c:f>
              <c:numCache>
                <c:formatCode>General</c:formatCode>
                <c:ptCount val="5"/>
                <c:pt idx="0">
                  <c:v>8</c:v>
                </c:pt>
                <c:pt idx="1">
                  <c:v>0</c:v>
                </c:pt>
                <c:pt idx="2">
                  <c:v>0</c:v>
                </c:pt>
                <c:pt idx="3">
                  <c:v>1</c:v>
                </c:pt>
                <c:pt idx="4">
                  <c:v>0</c:v>
                </c:pt>
              </c:numCache>
            </c:numRef>
          </c:val>
          <c:extLst>
            <c:ext xmlns:c16="http://schemas.microsoft.com/office/drawing/2014/chart" uri="{C3380CC4-5D6E-409C-BE32-E72D297353CC}">
              <c16:uniqueId val="{00000014-CD29-47BF-8AA0-7D3ADBF48153}"/>
            </c:ext>
          </c:extLst>
        </c:ser>
        <c:dLbls>
          <c:showLegendKey val="0"/>
          <c:showVal val="0"/>
          <c:showCatName val="0"/>
          <c:showSerName val="0"/>
          <c:showPercent val="0"/>
          <c:showBubbleSize val="0"/>
          <c:showLeaderLines val="1"/>
        </c:dLbls>
        <c:firstSliceAng val="90"/>
      </c:pieChart>
      <c:spPr>
        <a:noFill/>
        <a:ln>
          <a:noFill/>
        </a:ln>
        <a:effectLst/>
      </c:spPr>
    </c:plotArea>
    <c:legend>
      <c:legendPos val="r"/>
      <c:layout>
        <c:manualLayout>
          <c:xMode val="edge"/>
          <c:yMode val="edge"/>
          <c:x val="0.73180850760244953"/>
          <c:y val="0.18298965154608199"/>
          <c:w val="0.26819149239755058"/>
          <c:h val="0.682330213773783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[Attachment 1 - Ohio Department of Transportation Crash Analysis Module Report, Project Area, 2021-2025.xlsx]Crash Analysis!Weather</c:name>
    <c:fmtId val="0"/>
  </c:pivotSource>
  <c:chart>
    <c:title>
      <c:tx>
        <c:rich>
          <a:bodyPr rot="0" spcFirstLastPara="1" vertOverflow="ellipsis" vert="horz" wrap="square" anchor="ctr" anchorCtr="1"/>
          <a:lstStyle/>
          <a:p>
            <a:pPr>
              <a:defRPr lang="en-US" sz="1600" b="0" i="0" u="none" strike="noStrike" kern="1200" spc="0" baseline="0">
                <a:solidFill>
                  <a:schemeClr val="tx1"/>
                </a:solidFill>
                <a:latin typeface="+mn-lt"/>
                <a:ea typeface="+mn-ea"/>
                <a:cs typeface="+mn-cs"/>
              </a:defRPr>
            </a:pPr>
            <a:r>
              <a:rPr lang="en-US" sz="1600"/>
              <a:t>Total Crashes by Weather</a:t>
            </a:r>
            <a:r>
              <a:rPr lang="en-US" sz="1600" baseline="0"/>
              <a:t> Condition</a:t>
            </a:r>
          </a:p>
        </c:rich>
      </c:tx>
      <c:overlay val="0"/>
      <c:spPr>
        <a:noFill/>
        <a:ln>
          <a:noFill/>
        </a:ln>
        <a:effectLst/>
      </c:spPr>
      <c:txPr>
        <a:bodyPr rot="0" spcFirstLastPara="1" vertOverflow="ellipsis" vert="horz" wrap="square" anchor="ctr" anchorCtr="1"/>
        <a:lstStyle/>
        <a:p>
          <a:pPr>
            <a:defRPr lang="en-US" sz="160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1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s>
    <c:plotArea>
      <c:layout>
        <c:manualLayout>
          <c:layoutTarget val="inner"/>
          <c:xMode val="edge"/>
          <c:yMode val="edge"/>
          <c:x val="2.1370470884870468E-2"/>
          <c:y val="0.13522528433945757"/>
          <c:w val="0.63321245442252283"/>
          <c:h val="0.86135498687664058"/>
        </c:manualLayout>
      </c:layout>
      <c:pieChart>
        <c:varyColors val="1"/>
        <c:ser>
          <c:idx val="0"/>
          <c:order val="0"/>
          <c:tx>
            <c:strRef>
              <c:f>'Crash Analysis'!$C$62</c:f>
              <c:strCache>
                <c:ptCount val="1"/>
                <c:pt idx="0">
                  <c:v>Total Crashes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42C-4317-A268-A88D69C7BC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2C-4317-A268-A88D69C7BC3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42C-4317-A268-A88D69C7BC3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42C-4317-A268-A88D69C7BC3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42C-4317-A268-A88D69C7BC3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D56-40D8-8CBD-97293EC4C33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842-43A9-B72B-C3DCB09E492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842-43A9-B72B-C3DCB09E492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842-43A9-B72B-C3DCB09E492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842-43A9-B72B-C3DCB09E4924}"/>
              </c:ext>
            </c:extLst>
          </c:dPt>
          <c:cat>
            <c:strRef>
              <c:f>'Crash Analysis'!$B$63:$B$71</c:f>
              <c:strCache>
                <c:ptCount val="8"/>
                <c:pt idx="0">
                  <c:v>Clear</c:v>
                </c:pt>
                <c:pt idx="1">
                  <c:v>Cloudy</c:v>
                </c:pt>
                <c:pt idx="2">
                  <c:v>Rain</c:v>
                </c:pt>
                <c:pt idx="3">
                  <c:v>Snow</c:v>
                </c:pt>
                <c:pt idx="4">
                  <c:v>Data Not Valid or Not Provided</c:v>
                </c:pt>
                <c:pt idx="5">
                  <c:v>Fog, Smog, Smoke</c:v>
                </c:pt>
                <c:pt idx="6">
                  <c:v>Severe Crosswinds</c:v>
                </c:pt>
                <c:pt idx="7">
                  <c:v>Sleet, Hail</c:v>
                </c:pt>
              </c:strCache>
            </c:strRef>
          </c:cat>
          <c:val>
            <c:numRef>
              <c:f>'Crash Analysis'!$C$63:$C$71</c:f>
              <c:numCache>
                <c:formatCode>#,##0</c:formatCode>
                <c:ptCount val="8"/>
                <c:pt idx="0">
                  <c:v>227</c:v>
                </c:pt>
                <c:pt idx="1">
                  <c:v>37</c:v>
                </c:pt>
                <c:pt idx="2">
                  <c:v>33</c:v>
                </c:pt>
                <c:pt idx="3">
                  <c:v>5</c:v>
                </c:pt>
                <c:pt idx="4">
                  <c:v>3</c:v>
                </c:pt>
                <c:pt idx="5">
                  <c:v>1</c:v>
                </c:pt>
                <c:pt idx="6">
                  <c:v>1</c:v>
                </c:pt>
                <c:pt idx="7">
                  <c:v>1</c:v>
                </c:pt>
              </c:numCache>
            </c:numRef>
          </c:val>
          <c:extLst>
            <c:ext xmlns:c16="http://schemas.microsoft.com/office/drawing/2014/chart" uri="{C3380CC4-5D6E-409C-BE32-E72D297353CC}">
              <c16:uniqueId val="{00000000-F524-447C-A787-2586011AF272}"/>
            </c:ext>
          </c:extLst>
        </c:ser>
        <c:ser>
          <c:idx val="1"/>
          <c:order val="1"/>
          <c:tx>
            <c:strRef>
              <c:f>'Crash Analysis'!$D$62</c:f>
              <c:strCache>
                <c:ptCount val="1"/>
                <c:pt idx="0">
                  <c:v>Fatalities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8D56-40D8-8CBD-97293EC4C3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8D56-40D8-8CBD-97293EC4C3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1-8D56-40D8-8CBD-97293EC4C3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3-8D56-40D8-8CBD-97293EC4C3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5-8D56-40D8-8CBD-97293EC4C33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7-8D56-40D8-8CBD-97293EC4C33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1-9842-43A9-B72B-C3DCB09E492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3-9842-43A9-B72B-C3DCB09E492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5-9842-43A9-B72B-C3DCB09E492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7-9842-43A9-B72B-C3DCB09E4924}"/>
              </c:ext>
            </c:extLst>
          </c:dPt>
          <c:cat>
            <c:strRef>
              <c:f>'Crash Analysis'!$B$63:$B$71</c:f>
              <c:strCache>
                <c:ptCount val="8"/>
                <c:pt idx="0">
                  <c:v>Clear</c:v>
                </c:pt>
                <c:pt idx="1">
                  <c:v>Cloudy</c:v>
                </c:pt>
                <c:pt idx="2">
                  <c:v>Rain</c:v>
                </c:pt>
                <c:pt idx="3">
                  <c:v>Snow</c:v>
                </c:pt>
                <c:pt idx="4">
                  <c:v>Data Not Valid or Not Provided</c:v>
                </c:pt>
                <c:pt idx="5">
                  <c:v>Fog, Smog, Smoke</c:v>
                </c:pt>
                <c:pt idx="6">
                  <c:v>Severe Crosswinds</c:v>
                </c:pt>
                <c:pt idx="7">
                  <c:v>Sleet, Hail</c:v>
                </c:pt>
              </c:strCache>
            </c:strRef>
          </c:cat>
          <c:val>
            <c:numRef>
              <c:f>'Crash Analysis'!$D$63:$D$71</c:f>
              <c:numCache>
                <c:formatCode>General</c:formatCode>
                <c:ptCount val="8"/>
                <c:pt idx="0">
                  <c:v>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F-6CE0-4C88-BA5B-84C4134D6283}"/>
            </c:ext>
          </c:extLst>
        </c:ser>
        <c:ser>
          <c:idx val="2"/>
          <c:order val="2"/>
          <c:tx>
            <c:strRef>
              <c:f>'Crash Analysis'!$E$62</c:f>
              <c:strCache>
                <c:ptCount val="1"/>
                <c:pt idx="0">
                  <c:v>Serious Injuries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8D56-40D8-8CBD-97293EC4C3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8D56-40D8-8CBD-97293EC4C3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D-8D56-40D8-8CBD-97293EC4C3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F-8D56-40D8-8CBD-97293EC4C3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1-8D56-40D8-8CBD-97293EC4C33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3-8D56-40D8-8CBD-97293EC4C33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5-9842-43A9-B72B-C3DCB09E492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7-9842-43A9-B72B-C3DCB09E492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9-9842-43A9-B72B-C3DCB09E492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B-9842-43A9-B72B-C3DCB09E4924}"/>
              </c:ext>
            </c:extLst>
          </c:dPt>
          <c:cat>
            <c:strRef>
              <c:f>'Crash Analysis'!$B$63:$B$71</c:f>
              <c:strCache>
                <c:ptCount val="8"/>
                <c:pt idx="0">
                  <c:v>Clear</c:v>
                </c:pt>
                <c:pt idx="1">
                  <c:v>Cloudy</c:v>
                </c:pt>
                <c:pt idx="2">
                  <c:v>Rain</c:v>
                </c:pt>
                <c:pt idx="3">
                  <c:v>Snow</c:v>
                </c:pt>
                <c:pt idx="4">
                  <c:v>Data Not Valid or Not Provided</c:v>
                </c:pt>
                <c:pt idx="5">
                  <c:v>Fog, Smog, Smoke</c:v>
                </c:pt>
                <c:pt idx="6">
                  <c:v>Severe Crosswinds</c:v>
                </c:pt>
                <c:pt idx="7">
                  <c:v>Sleet, Hail</c:v>
                </c:pt>
              </c:strCache>
            </c:strRef>
          </c:cat>
          <c:val>
            <c:numRef>
              <c:f>'Crash Analysis'!$E$63:$E$71</c:f>
              <c:numCache>
                <c:formatCode>General</c:formatCode>
                <c:ptCount val="8"/>
                <c:pt idx="0">
                  <c:v>8</c:v>
                </c:pt>
                <c:pt idx="1">
                  <c:v>0</c:v>
                </c:pt>
                <c:pt idx="2">
                  <c:v>1</c:v>
                </c:pt>
                <c:pt idx="3">
                  <c:v>0</c:v>
                </c:pt>
                <c:pt idx="4">
                  <c:v>0</c:v>
                </c:pt>
                <c:pt idx="5">
                  <c:v>0</c:v>
                </c:pt>
                <c:pt idx="6">
                  <c:v>0</c:v>
                </c:pt>
                <c:pt idx="7">
                  <c:v>0</c:v>
                </c:pt>
              </c:numCache>
            </c:numRef>
          </c:val>
          <c:extLst>
            <c:ext xmlns:c16="http://schemas.microsoft.com/office/drawing/2014/chart" uri="{C3380CC4-5D6E-409C-BE32-E72D297353CC}">
              <c16:uniqueId val="{00000020-6CE0-4C88-BA5B-84C4134D6283}"/>
            </c:ext>
          </c:extLst>
        </c:ser>
        <c:dLbls>
          <c:showLegendKey val="0"/>
          <c:showVal val="0"/>
          <c:showCatName val="0"/>
          <c:showSerName val="0"/>
          <c:showPercent val="0"/>
          <c:showBubbleSize val="0"/>
          <c:showLeaderLines val="1"/>
        </c:dLbls>
        <c:firstSliceAng val="90"/>
      </c:pieChart>
      <c:spPr>
        <a:noFill/>
        <a:ln>
          <a:noFill/>
        </a:ln>
        <a:effectLst/>
      </c:spPr>
    </c:plotArea>
    <c:legend>
      <c:legendPos val="r"/>
      <c:layout>
        <c:manualLayout>
          <c:xMode val="edge"/>
          <c:yMode val="edge"/>
          <c:x val="0.69652586108540637"/>
          <c:y val="0.39599847998798132"/>
          <c:w val="0.27536574565190292"/>
          <c:h val="0.56771565170515303"/>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http://www.dot.state.oh.us/Divisions/Planning/ProgramManagement/HighwaySafety/HSIP/Pages/GCAT.aspx" TargetMode="External"/><Relationship Id="rId13" Type="http://schemas.openxmlformats.org/officeDocument/2006/relationships/hyperlink" Target="http://www.dot.state.oh.us/Divisions/Planning/ProgramManagement/HighwaySafety/HSIP/GCAT/Hand%20Log%20file%20instructions.pdf" TargetMode="External"/><Relationship Id="rId18" Type="http://schemas.openxmlformats.org/officeDocument/2006/relationships/hyperlink" Target="file:///O:/SAFETY/CEN/Access_WorkPlan/Locations%20Rank%20Lookup%20by%20Year/Safety%20Location%20Rankings%20Lookup%20Database.mdb" TargetMode="External"/><Relationship Id="rId3" Type="http://schemas.openxmlformats.org/officeDocument/2006/relationships/image" Target="../media/image8.jpeg"/><Relationship Id="rId21" Type="http://schemas.openxmlformats.org/officeDocument/2006/relationships/image" Target="../media/image15.jpeg"/><Relationship Id="rId7" Type="http://schemas.openxmlformats.org/officeDocument/2006/relationships/image" Target="../media/image10.png"/><Relationship Id="rId12" Type="http://schemas.openxmlformats.org/officeDocument/2006/relationships/image" Target="../media/image12.jpeg"/><Relationship Id="rId17" Type="http://schemas.openxmlformats.org/officeDocument/2006/relationships/image" Target="../media/image13.gif"/><Relationship Id="rId25" Type="http://schemas.openxmlformats.org/officeDocument/2006/relationships/image" Target="../media/image4.emf"/><Relationship Id="rId2" Type="http://schemas.openxmlformats.org/officeDocument/2006/relationships/image" Target="../media/image7.gif"/><Relationship Id="rId16" Type="http://schemas.openxmlformats.org/officeDocument/2006/relationships/hyperlink" Target="file:///itcfs007/odrive/SAFETY/CEN/_Crash%20Analysis%20Tools/Auto%20CAM%20Tool.xlsm" TargetMode="External"/><Relationship Id="rId20" Type="http://schemas.openxmlformats.org/officeDocument/2006/relationships/hyperlink" Target="https://gcat.dot.state.oh.us/SSL/Login.aspx" TargetMode="External"/><Relationship Id="rId1" Type="http://schemas.openxmlformats.org/officeDocument/2006/relationships/image" Target="../media/image6.wmf"/><Relationship Id="rId6" Type="http://schemas.openxmlformats.org/officeDocument/2006/relationships/image" Target="../media/image9.jpeg"/><Relationship Id="rId11" Type="http://schemas.openxmlformats.org/officeDocument/2006/relationships/hyperlink" Target="http://www.dot.state.oh.us/Divisions/Planning/SPPM/SystemsPlanning/Pages/default.aspx" TargetMode="External"/><Relationship Id="rId24" Type="http://schemas.openxmlformats.org/officeDocument/2006/relationships/image" Target="../media/image17.emf"/><Relationship Id="rId5" Type="http://schemas.openxmlformats.org/officeDocument/2006/relationships/hyperlink" Target="https://services.dps.ohio.gov/CrashRetrieval/OHCrashRetrieval.aspx" TargetMode="External"/><Relationship Id="rId15" Type="http://schemas.openxmlformats.org/officeDocument/2006/relationships/hyperlink" Target="http://www.dot.state.oh.us/Divisions/Planning/TechServ/TIM/Pages/DESTAPE.aspx" TargetMode="External"/><Relationship Id="rId23" Type="http://schemas.openxmlformats.org/officeDocument/2006/relationships/image" Target="../media/image16.jpeg"/><Relationship Id="rId10" Type="http://schemas.openxmlformats.org/officeDocument/2006/relationships/hyperlink" Target="http://www.dot.state.oh.us/Divisions/Planning/ProgramManagement/HighwaySafety/Pages/default.aspx" TargetMode="External"/><Relationship Id="rId19" Type="http://schemas.openxmlformats.org/officeDocument/2006/relationships/image" Target="../media/image14.gif"/><Relationship Id="rId4" Type="http://schemas.openxmlformats.org/officeDocument/2006/relationships/hyperlink" Target="#'Help File'!A765"/><Relationship Id="rId9" Type="http://schemas.openxmlformats.org/officeDocument/2006/relationships/image" Target="../media/image11.jpeg"/><Relationship Id="rId14" Type="http://schemas.openxmlformats.org/officeDocument/2006/relationships/hyperlink" Target="http://www.dot.state.oh.us/Divisions/Planning/TechServ/traffic/Pages/Traffic-Count-Reports-and-Maps.aspx" TargetMode="External"/><Relationship Id="rId22" Type="http://schemas.openxmlformats.org/officeDocument/2006/relationships/hyperlink" Target="https://www.youtube.com/watch?v=kKWz_KMLEdg&amp;feature=youtu.be" TargetMode="External"/></Relationships>
</file>

<file path=xl/drawings/_rels/drawing12.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18" Type="http://schemas.openxmlformats.org/officeDocument/2006/relationships/chart" Target="../charts/chart31.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17" Type="http://schemas.openxmlformats.org/officeDocument/2006/relationships/chart" Target="../charts/chart30.xml"/><Relationship Id="rId2" Type="http://schemas.openxmlformats.org/officeDocument/2006/relationships/chart" Target="../charts/chart15.xml"/><Relationship Id="rId16" Type="http://schemas.openxmlformats.org/officeDocument/2006/relationships/chart" Target="../charts/chart29.xml"/><Relationship Id="rId20" Type="http://schemas.openxmlformats.org/officeDocument/2006/relationships/chart" Target="../charts/chart33.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chart" Target="../charts/chart28.xml"/><Relationship Id="rId10" Type="http://schemas.openxmlformats.org/officeDocument/2006/relationships/chart" Target="../charts/chart23.xml"/><Relationship Id="rId19" Type="http://schemas.openxmlformats.org/officeDocument/2006/relationships/chart" Target="../charts/chart32.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image" Target="../media/image18.emf"/><Relationship Id="rId18" Type="http://schemas.openxmlformats.org/officeDocument/2006/relationships/image" Target="../media/image23.emf"/><Relationship Id="rId3" Type="http://schemas.openxmlformats.org/officeDocument/2006/relationships/chart" Target="../charts/chart36.xml"/><Relationship Id="rId21" Type="http://schemas.openxmlformats.org/officeDocument/2006/relationships/image" Target="../media/image26.emf"/><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image" Target="../media/image22.emf"/><Relationship Id="rId2" Type="http://schemas.openxmlformats.org/officeDocument/2006/relationships/chart" Target="../charts/chart35.xml"/><Relationship Id="rId16" Type="http://schemas.openxmlformats.org/officeDocument/2006/relationships/image" Target="../media/image21.emf"/><Relationship Id="rId20" Type="http://schemas.openxmlformats.org/officeDocument/2006/relationships/image" Target="../media/image25.emf"/><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image" Target="../media/image20.emf"/><Relationship Id="rId10" Type="http://schemas.openxmlformats.org/officeDocument/2006/relationships/chart" Target="../charts/chart43.xml"/><Relationship Id="rId19" Type="http://schemas.openxmlformats.org/officeDocument/2006/relationships/image" Target="../media/image24.emf"/><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image" Target="../media/image19.emf"/></Relationships>
</file>

<file path=xl/drawings/_rels/drawing14.x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7.gif"/><Relationship Id="rId1" Type="http://schemas.openxmlformats.org/officeDocument/2006/relationships/image" Target="../media/image27.gif"/><Relationship Id="rId5" Type="http://schemas.openxmlformats.org/officeDocument/2006/relationships/image" Target="../media/image29.png"/><Relationship Id="rId4" Type="http://schemas.openxmlformats.org/officeDocument/2006/relationships/image" Target="../media/image28.gif"/></Relationships>
</file>

<file path=xl/drawings/_rels/drawing15.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5" Type="http://schemas.openxmlformats.org/officeDocument/2006/relationships/image" Target="../media/image34.emf"/><Relationship Id="rId4" Type="http://schemas.openxmlformats.org/officeDocument/2006/relationships/image" Target="../media/image33.emf"/></Relationships>
</file>

<file path=xl/drawings/_rels/drawing16.x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drawing4.xml.rels><?xml version="1.0" encoding="UTF-8" standalone="yes"?>
<Relationships xmlns="http://schemas.openxmlformats.org/package/2006/relationships"><Relationship Id="rId3" Type="http://schemas.openxmlformats.org/officeDocument/2006/relationships/hyperlink" Target="https://dam.assets.ohio.gov/image/upload/transportation.ohio.gov/safety/highway-safety/Crash-Analysis-Tools/cam/HowToCompleteCrashDataCleanup.pdf" TargetMode="External"/><Relationship Id="rId2" Type="http://schemas.openxmlformats.org/officeDocument/2006/relationships/image" Target="../media/image2.png"/><Relationship Id="rId1" Type="http://schemas.openxmlformats.org/officeDocument/2006/relationships/hyperlink" Target="https://www.transportation.ohio.gov/traveling/safety/data/crash-analysis-tools" TargetMode="External"/><Relationship Id="rId5" Type="http://schemas.openxmlformats.org/officeDocument/2006/relationships/image" Target="../media/image4.emf"/><Relationship Id="rId4"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44822</xdr:rowOff>
    </xdr:from>
    <xdr:to>
      <xdr:col>4</xdr:col>
      <xdr:colOff>224118</xdr:colOff>
      <xdr:row>7</xdr:row>
      <xdr:rowOff>168087</xdr:rowOff>
    </xdr:to>
    <xdr:sp macro="[0]!ThisWorkbook.Refresh_New_Locations" textlink="">
      <xdr:nvSpPr>
        <xdr:cNvPr id="2" name="Rounded Rectangle 1">
          <a:extLst>
            <a:ext uri="{FF2B5EF4-FFF2-40B4-BE49-F238E27FC236}">
              <a16:creationId xmlns:a16="http://schemas.microsoft.com/office/drawing/2014/main" id="{00000000-0008-0000-0000-000002000000}"/>
            </a:ext>
          </a:extLst>
        </xdr:cNvPr>
        <xdr:cNvSpPr/>
      </xdr:nvSpPr>
      <xdr:spPr>
        <a:xfrm>
          <a:off x="0" y="44822"/>
          <a:ext cx="2662518" cy="124721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600" b="1">
              <a:solidFill>
                <a:schemeClr val="lt1"/>
              </a:solidFill>
              <a:latin typeface="+mn-lt"/>
              <a:ea typeface="+mn-ea"/>
              <a:cs typeface="+mn-cs"/>
            </a:rPr>
            <a:t>CLICK TO RUN</a:t>
          </a:r>
        </a:p>
        <a:p>
          <a:pPr algn="ctr"/>
          <a:endParaRPr lang="en-US" sz="900" b="1">
            <a:solidFill>
              <a:schemeClr val="lt1"/>
            </a:solidFill>
            <a:latin typeface="+mn-lt"/>
            <a:ea typeface="+mn-ea"/>
            <a:cs typeface="+mn-cs"/>
          </a:endParaRPr>
        </a:p>
        <a:p>
          <a:r>
            <a:rPr lang="en-US" sz="1100" b="1">
              <a:solidFill>
                <a:schemeClr val="lt1"/>
              </a:solidFill>
              <a:latin typeface="+mn-lt"/>
              <a:ea typeface="+mn-ea"/>
              <a:cs typeface="+mn-cs"/>
            </a:rPr>
            <a:t>Refresh</a:t>
          </a:r>
          <a:r>
            <a:rPr lang="en-US" sz="1100" b="1" baseline="0">
              <a:solidFill>
                <a:schemeClr val="lt1"/>
              </a:solidFill>
              <a:latin typeface="+mn-lt"/>
              <a:ea typeface="+mn-ea"/>
              <a:cs typeface="+mn-cs"/>
            </a:rPr>
            <a:t> Any Items With An "X" In The RunNewData Column</a:t>
          </a:r>
        </a:p>
        <a:p>
          <a:r>
            <a:rPr lang="en-US" sz="1100" b="1" baseline="0">
              <a:solidFill>
                <a:schemeClr val="lt1"/>
              </a:solidFill>
              <a:latin typeface="+mn-lt"/>
              <a:ea typeface="+mn-ea"/>
              <a:cs typeface="+mn-cs"/>
            </a:rPr>
            <a:t>Create CAM Tool Files For Any Sites With An "X" In The CreateCamTool Column (Specify A Folder Path In Column L)</a:t>
          </a:r>
          <a:endParaRPr lang="en-US" sz="1100" b="1">
            <a:solidFill>
              <a:schemeClr val="lt1"/>
            </a:solidFill>
            <a:latin typeface="+mn-lt"/>
            <a:ea typeface="+mn-ea"/>
            <a:cs typeface="+mn-cs"/>
          </a:endParaRPr>
        </a:p>
      </xdr:txBody>
    </xdr:sp>
    <xdr:clientData/>
  </xdr:twoCellAnchor>
  <xdr:twoCellAnchor editAs="oneCell">
    <xdr:from>
      <xdr:col>6</xdr:col>
      <xdr:colOff>115116</xdr:colOff>
      <xdr:row>5</xdr:row>
      <xdr:rowOff>137531</xdr:rowOff>
    </xdr:from>
    <xdr:to>
      <xdr:col>9</xdr:col>
      <xdr:colOff>601044</xdr:colOff>
      <xdr:row>9</xdr:row>
      <xdr:rowOff>158922</xdr:rowOff>
    </xdr:to>
    <xdr:sp macro="" textlink="">
      <xdr:nvSpPr>
        <xdr:cNvPr id="3" name="Text Box 443">
          <a:extLst>
            <a:ext uri="{FF2B5EF4-FFF2-40B4-BE49-F238E27FC236}">
              <a16:creationId xmlns:a16="http://schemas.microsoft.com/office/drawing/2014/main" id="{00000000-0008-0000-0000-000003000000}"/>
            </a:ext>
          </a:extLst>
        </xdr:cNvPr>
        <xdr:cNvSpPr txBox="1">
          <a:spLocks noChangeArrowheads="1"/>
        </xdr:cNvSpPr>
      </xdr:nvSpPr>
      <xdr:spPr bwMode="auto">
        <a:xfrm>
          <a:off x="3772716" y="947156"/>
          <a:ext cx="2314728" cy="669091"/>
        </a:xfrm>
        <a:prstGeom prst="rect">
          <a:avLst/>
        </a:prstGeom>
        <a:solidFill>
          <a:srgbClr val="C00000"/>
        </a:solidFill>
        <a:ln>
          <a:headEnd/>
          <a:tailEnd/>
        </a:ln>
      </xdr:spPr>
      <xdr:style>
        <a:lnRef idx="0">
          <a:schemeClr val="accent2"/>
        </a:lnRef>
        <a:fillRef idx="3">
          <a:schemeClr val="accent2"/>
        </a:fillRef>
        <a:effectRef idx="3">
          <a:schemeClr val="accent2"/>
        </a:effectRef>
        <a:fontRef idx="minor">
          <a:schemeClr val="lt1"/>
        </a:fontRef>
      </xdr:style>
      <xdr:txBody>
        <a:bodyPr vertOverflow="clip" wrap="square" lIns="27432" tIns="22860" rIns="0" bIns="0" anchor="t" upright="1"/>
        <a:lstStyle/>
        <a:p>
          <a:pPr algn="ctr" rtl="0">
            <a:defRPr sz="1000"/>
          </a:pPr>
          <a:r>
            <a:rPr lang="en-US" sz="900" b="1" i="0" strike="noStrike" baseline="0">
              <a:solidFill>
                <a:schemeClr val="bg1"/>
              </a:solidFill>
              <a:latin typeface="Tahoma"/>
              <a:cs typeface="Tahoma"/>
            </a:rPr>
            <a:t>DO NOT INSERT OR HIDE COLUMNS IN THE CAM TOOL!</a:t>
          </a:r>
        </a:p>
        <a:p>
          <a:pPr algn="ctr" rtl="0">
            <a:defRPr sz="1000"/>
          </a:pPr>
          <a:endParaRPr lang="en-US" sz="900" b="1" i="0" strike="noStrike" baseline="0">
            <a:solidFill>
              <a:schemeClr val="bg1"/>
            </a:solidFill>
            <a:latin typeface="Tahoma"/>
            <a:cs typeface="Tahoma"/>
          </a:endParaRPr>
        </a:p>
        <a:p>
          <a:pPr algn="ctr" rtl="0">
            <a:defRPr sz="1000"/>
          </a:pPr>
          <a:r>
            <a:rPr lang="en-US" sz="900" b="1" i="0" strike="noStrike" baseline="0">
              <a:solidFill>
                <a:schemeClr val="bg1"/>
              </a:solidFill>
              <a:latin typeface="Tahoma"/>
              <a:cs typeface="Tahoma"/>
            </a:rPr>
            <a:t>THE TOOL WILL NOT RUN PROPERLY.</a:t>
          </a:r>
        </a:p>
        <a:p>
          <a:pPr algn="ctr" rtl="0">
            <a:defRPr sz="1000"/>
          </a:pPr>
          <a:endParaRPr lang="en-US" sz="900" b="1" i="0" strike="noStrike">
            <a:solidFill>
              <a:schemeClr val="bg1"/>
            </a:solidFill>
            <a:latin typeface="Tahoma"/>
            <a:cs typeface="Tahoma"/>
          </a:endParaRPr>
        </a:p>
      </xdr:txBody>
    </xdr:sp>
    <xdr:clientData/>
  </xdr:twoCellAnchor>
  <xdr:twoCellAnchor editAs="oneCell">
    <xdr:from>
      <xdr:col>4</xdr:col>
      <xdr:colOff>1124665</xdr:colOff>
      <xdr:row>0</xdr:row>
      <xdr:rowOff>56029</xdr:rowOff>
    </xdr:from>
    <xdr:to>
      <xdr:col>7</xdr:col>
      <xdr:colOff>448237</xdr:colOff>
      <xdr:row>5</xdr:row>
      <xdr:rowOff>76402</xdr:rowOff>
    </xdr:to>
    <xdr:sp macro="" textlink="">
      <xdr:nvSpPr>
        <xdr:cNvPr id="4" name="Text Box 443">
          <a:extLst>
            <a:ext uri="{FF2B5EF4-FFF2-40B4-BE49-F238E27FC236}">
              <a16:creationId xmlns:a16="http://schemas.microsoft.com/office/drawing/2014/main" id="{00000000-0008-0000-0000-000004000000}"/>
            </a:ext>
          </a:extLst>
        </xdr:cNvPr>
        <xdr:cNvSpPr txBox="1">
          <a:spLocks noChangeArrowheads="1"/>
        </xdr:cNvSpPr>
      </xdr:nvSpPr>
      <xdr:spPr bwMode="auto">
        <a:xfrm>
          <a:off x="3048715" y="56029"/>
          <a:ext cx="1666722" cy="829998"/>
        </a:xfrm>
        <a:prstGeom prst="rect">
          <a:avLst/>
        </a:prstGeom>
        <a:solidFill>
          <a:srgbClr val="92D050"/>
        </a:solidFill>
        <a:ln>
          <a:headEnd/>
          <a:tailEnd/>
        </a:ln>
      </xdr:spPr>
      <xdr:style>
        <a:lnRef idx="0">
          <a:schemeClr val="accent2"/>
        </a:lnRef>
        <a:fillRef idx="3">
          <a:schemeClr val="accent2"/>
        </a:fillRef>
        <a:effectRef idx="3">
          <a:schemeClr val="accent2"/>
        </a:effectRef>
        <a:fontRef idx="minor">
          <a:schemeClr val="lt1"/>
        </a:fontRef>
      </xdr:style>
      <xdr:txBody>
        <a:bodyPr vertOverflow="clip" wrap="square" lIns="27432" tIns="22860" rIns="0" bIns="0" anchor="ctr" upright="1"/>
        <a:lstStyle/>
        <a:p>
          <a:pPr algn="ctr" rtl="0">
            <a:defRPr sz="1000"/>
          </a:pPr>
          <a:r>
            <a:rPr lang="en-US" sz="1200" b="1" i="0" strike="noStrike" baseline="0">
              <a:solidFill>
                <a:sysClr val="windowText" lastClr="000000"/>
              </a:solidFill>
              <a:latin typeface="Tahoma"/>
              <a:cs typeface="Tahoma"/>
            </a:rPr>
            <a:t>Fill In "Green" Items</a:t>
          </a:r>
        </a:p>
        <a:p>
          <a:pPr algn="ctr" rtl="0">
            <a:defRPr sz="1000"/>
          </a:pPr>
          <a:endParaRPr lang="en-US" sz="1200" b="1" i="0" strike="noStrike">
            <a:solidFill>
              <a:sysClr val="windowText" lastClr="000000"/>
            </a:solidFill>
            <a:latin typeface="Tahoma"/>
            <a:cs typeface="Tahoma"/>
          </a:endParaRPr>
        </a:p>
      </xdr:txBody>
    </xdr:sp>
    <xdr:clientData/>
  </xdr:twoCellAnchor>
  <xdr:twoCellAnchor editAs="absolute">
    <xdr:from>
      <xdr:col>7</xdr:col>
      <xdr:colOff>515473</xdr:colOff>
      <xdr:row>0</xdr:row>
      <xdr:rowOff>112059</xdr:rowOff>
    </xdr:from>
    <xdr:to>
      <xdr:col>9</xdr:col>
      <xdr:colOff>552618</xdr:colOff>
      <xdr:row>5</xdr:row>
      <xdr:rowOff>31630</xdr:rowOff>
    </xdr:to>
    <xdr:sp macro="[0]!ShowToolbar"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4782673" y="112059"/>
          <a:ext cx="1256345" cy="729196"/>
        </a:xfrm>
        <a:prstGeom prst="bevel">
          <a:avLst>
            <a:gd name="adj" fmla="val 12500"/>
          </a:avLst>
        </a:prstGeom>
        <a:gradFill rotWithShape="1">
          <a:gsLst>
            <a:gs pos="0">
              <a:srgbClr val="FFFFFF">
                <a:gamma/>
                <a:shade val="66275"/>
                <a:invGamma/>
              </a:srgbClr>
            </a:gs>
            <a:gs pos="50000">
              <a:srgbClr val="FFFFFF"/>
            </a:gs>
            <a:gs pos="100000">
              <a:srgbClr val="FFFFFF">
                <a:gamma/>
                <a:shade val="66275"/>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1" i="0" strike="noStrike">
              <a:solidFill>
                <a:srgbClr val="0000FF"/>
              </a:solidFill>
              <a:latin typeface="Tahoma"/>
              <a:cs typeface="Tahoma"/>
            </a:rPr>
            <a:t>Click To Open Analysis Toolbox or Press "Ctrl" + " t "</a:t>
          </a:r>
        </a:p>
      </xdr:txBody>
    </xdr:sp>
    <xdr:clientData fPrintsWithSheet="0"/>
  </xdr:twoCellAnchor>
  <xdr:twoCellAnchor editAs="oneCell">
    <xdr:from>
      <xdr:col>0</xdr:col>
      <xdr:colOff>333375</xdr:colOff>
      <xdr:row>8</xdr:row>
      <xdr:rowOff>47625</xdr:rowOff>
    </xdr:from>
    <xdr:to>
      <xdr:col>1</xdr:col>
      <xdr:colOff>542925</xdr:colOff>
      <xdr:row>14</xdr:row>
      <xdr:rowOff>152400</xdr:rowOff>
    </xdr:to>
    <xdr:pic>
      <xdr:nvPicPr>
        <xdr:cNvPr id="12341837" name="Picture 5">
          <a:extLst>
            <a:ext uri="{FF2B5EF4-FFF2-40B4-BE49-F238E27FC236}">
              <a16:creationId xmlns:a16="http://schemas.microsoft.com/office/drawing/2014/main" id="{00000000-0008-0000-0000-00004D52BC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33375" y="1371600"/>
          <a:ext cx="1095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165</xdr:col>
      <xdr:colOff>190500</xdr:colOff>
      <xdr:row>1</xdr:row>
      <xdr:rowOff>0</xdr:rowOff>
    </xdr:from>
    <xdr:ext cx="165943" cy="360483"/>
    <xdr:sp macro="" textlink="">
      <xdr:nvSpPr>
        <xdr:cNvPr id="59" name="Text Box 10233">
          <a:extLst>
            <a:ext uri="{FF2B5EF4-FFF2-40B4-BE49-F238E27FC236}">
              <a16:creationId xmlns:a16="http://schemas.microsoft.com/office/drawing/2014/main" id="{00000000-0008-0000-1800-00003B000000}"/>
            </a:ext>
          </a:extLst>
        </xdr:cNvPr>
        <xdr:cNvSpPr txBox="1">
          <a:spLocks noChangeArrowheads="1"/>
        </xdr:cNvSpPr>
      </xdr:nvSpPr>
      <xdr:spPr bwMode="auto">
        <a:xfrm>
          <a:off x="151369059" y="661147"/>
          <a:ext cx="165943" cy="360483"/>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Other</a:t>
          </a:r>
        </a:p>
      </xdr:txBody>
    </xdr:sp>
    <xdr:clientData/>
  </xdr:oneCellAnchor>
  <xdr:oneCellAnchor>
    <xdr:from>
      <xdr:col>164</xdr:col>
      <xdr:colOff>190500</xdr:colOff>
      <xdr:row>1</xdr:row>
      <xdr:rowOff>0</xdr:rowOff>
    </xdr:from>
    <xdr:ext cx="165943" cy="1002069"/>
    <xdr:sp macro="" textlink="">
      <xdr:nvSpPr>
        <xdr:cNvPr id="60" name="Text Box 10234">
          <a:extLst>
            <a:ext uri="{FF2B5EF4-FFF2-40B4-BE49-F238E27FC236}">
              <a16:creationId xmlns:a16="http://schemas.microsoft.com/office/drawing/2014/main" id="{00000000-0008-0000-1800-00003C000000}"/>
            </a:ext>
          </a:extLst>
        </xdr:cNvPr>
        <xdr:cNvSpPr txBox="1">
          <a:spLocks noChangeArrowheads="1"/>
        </xdr:cNvSpPr>
      </xdr:nvSpPr>
      <xdr:spPr bwMode="auto">
        <a:xfrm>
          <a:off x="150831176" y="661147"/>
          <a:ext cx="165943" cy="1002069"/>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Backing Vehicle</a:t>
          </a:r>
        </a:p>
      </xdr:txBody>
    </xdr:sp>
    <xdr:clientData/>
  </xdr:oneCellAnchor>
  <xdr:oneCellAnchor>
    <xdr:from>
      <xdr:col>166</xdr:col>
      <xdr:colOff>190500</xdr:colOff>
      <xdr:row>1</xdr:row>
      <xdr:rowOff>0</xdr:rowOff>
    </xdr:from>
    <xdr:ext cx="165943" cy="674159"/>
    <xdr:sp macro="" textlink="">
      <xdr:nvSpPr>
        <xdr:cNvPr id="61" name="Text Box 10235">
          <a:extLst>
            <a:ext uri="{FF2B5EF4-FFF2-40B4-BE49-F238E27FC236}">
              <a16:creationId xmlns:a16="http://schemas.microsoft.com/office/drawing/2014/main" id="{00000000-0008-0000-1800-00003D000000}"/>
            </a:ext>
          </a:extLst>
        </xdr:cNvPr>
        <xdr:cNvSpPr txBox="1">
          <a:spLocks noChangeArrowheads="1"/>
        </xdr:cNvSpPr>
      </xdr:nvSpPr>
      <xdr:spPr bwMode="auto">
        <a:xfrm>
          <a:off x="151906941" y="661147"/>
          <a:ext cx="165943" cy="674159"/>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Pedestrian</a:t>
          </a:r>
        </a:p>
      </xdr:txBody>
    </xdr:sp>
    <xdr:clientData/>
  </xdr:oneCellAnchor>
  <xdr:oneCellAnchor>
    <xdr:from>
      <xdr:col>167</xdr:col>
      <xdr:colOff>190500</xdr:colOff>
      <xdr:row>1</xdr:row>
      <xdr:rowOff>0</xdr:rowOff>
    </xdr:from>
    <xdr:ext cx="165943" cy="930896"/>
    <xdr:sp macro="" textlink="">
      <xdr:nvSpPr>
        <xdr:cNvPr id="62" name="Text Box 10236">
          <a:extLst>
            <a:ext uri="{FF2B5EF4-FFF2-40B4-BE49-F238E27FC236}">
              <a16:creationId xmlns:a16="http://schemas.microsoft.com/office/drawing/2014/main" id="{00000000-0008-0000-1800-00003E000000}"/>
            </a:ext>
          </a:extLst>
        </xdr:cNvPr>
        <xdr:cNvSpPr txBox="1">
          <a:spLocks noChangeArrowheads="1"/>
        </xdr:cNvSpPr>
      </xdr:nvSpPr>
      <xdr:spPr bwMode="auto">
        <a:xfrm>
          <a:off x="152444824" y="661147"/>
          <a:ext cx="165943" cy="930896"/>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Parked Vehicle</a:t>
          </a:r>
        </a:p>
      </xdr:txBody>
    </xdr:sp>
    <xdr:clientData/>
  </xdr:oneCellAnchor>
  <xdr:oneCellAnchor>
    <xdr:from>
      <xdr:col>157</xdr:col>
      <xdr:colOff>190500</xdr:colOff>
      <xdr:row>1</xdr:row>
      <xdr:rowOff>0</xdr:rowOff>
    </xdr:from>
    <xdr:ext cx="165943" cy="788164"/>
    <xdr:sp macro="" textlink="">
      <xdr:nvSpPr>
        <xdr:cNvPr id="63" name="Text Box 10237">
          <a:extLst>
            <a:ext uri="{FF2B5EF4-FFF2-40B4-BE49-F238E27FC236}">
              <a16:creationId xmlns:a16="http://schemas.microsoft.com/office/drawing/2014/main" id="{00000000-0008-0000-1800-00003F000000}"/>
            </a:ext>
          </a:extLst>
        </xdr:cNvPr>
        <xdr:cNvSpPr txBox="1">
          <a:spLocks noChangeArrowheads="1"/>
        </xdr:cNvSpPr>
      </xdr:nvSpPr>
      <xdr:spPr bwMode="auto">
        <a:xfrm>
          <a:off x="147066000" y="661147"/>
          <a:ext cx="165943" cy="788164"/>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Fixed Object</a:t>
          </a:r>
        </a:p>
      </xdr:txBody>
    </xdr:sp>
    <xdr:clientData/>
  </xdr:oneCellAnchor>
  <xdr:oneCellAnchor>
    <xdr:from>
      <xdr:col>156</xdr:col>
      <xdr:colOff>190500</xdr:colOff>
      <xdr:row>1</xdr:row>
      <xdr:rowOff>0</xdr:rowOff>
    </xdr:from>
    <xdr:ext cx="165943" cy="581441"/>
    <xdr:sp macro="" textlink="">
      <xdr:nvSpPr>
        <xdr:cNvPr id="64" name="Text Box 10238">
          <a:extLst>
            <a:ext uri="{FF2B5EF4-FFF2-40B4-BE49-F238E27FC236}">
              <a16:creationId xmlns:a16="http://schemas.microsoft.com/office/drawing/2014/main" id="{00000000-0008-0000-1800-000040000000}"/>
            </a:ext>
          </a:extLst>
        </xdr:cNvPr>
        <xdr:cNvSpPr txBox="1">
          <a:spLocks noChangeArrowheads="1"/>
        </xdr:cNvSpPr>
      </xdr:nvSpPr>
      <xdr:spPr bwMode="auto">
        <a:xfrm>
          <a:off x="146528118" y="661147"/>
          <a:ext cx="165943" cy="581441"/>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Rear End</a:t>
          </a:r>
        </a:p>
      </xdr:txBody>
    </xdr:sp>
    <xdr:clientData/>
  </xdr:oneCellAnchor>
  <xdr:oneCellAnchor>
    <xdr:from>
      <xdr:col>162</xdr:col>
      <xdr:colOff>190500</xdr:colOff>
      <xdr:row>1</xdr:row>
      <xdr:rowOff>0</xdr:rowOff>
    </xdr:from>
    <xdr:ext cx="165943" cy="545790"/>
    <xdr:sp macro="" textlink="">
      <xdr:nvSpPr>
        <xdr:cNvPr id="65" name="Text Box 10239">
          <a:extLst>
            <a:ext uri="{FF2B5EF4-FFF2-40B4-BE49-F238E27FC236}">
              <a16:creationId xmlns:a16="http://schemas.microsoft.com/office/drawing/2014/main" id="{00000000-0008-0000-1800-000041000000}"/>
            </a:ext>
          </a:extLst>
        </xdr:cNvPr>
        <xdr:cNvSpPr txBox="1">
          <a:spLocks noChangeArrowheads="1"/>
        </xdr:cNvSpPr>
      </xdr:nvSpPr>
      <xdr:spPr bwMode="auto">
        <a:xfrm>
          <a:off x="149755412" y="661147"/>
          <a:ext cx="165943" cy="545790"/>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Head On</a:t>
          </a:r>
        </a:p>
      </xdr:txBody>
    </xdr:sp>
    <xdr:clientData/>
  </xdr:oneCellAnchor>
  <xdr:oneCellAnchor>
    <xdr:from>
      <xdr:col>161</xdr:col>
      <xdr:colOff>190500</xdr:colOff>
      <xdr:row>1</xdr:row>
      <xdr:rowOff>0</xdr:rowOff>
    </xdr:from>
    <xdr:ext cx="165943" cy="1230080"/>
    <xdr:sp macro="" textlink="">
      <xdr:nvSpPr>
        <xdr:cNvPr id="66" name="Text Box 10240">
          <a:extLst>
            <a:ext uri="{FF2B5EF4-FFF2-40B4-BE49-F238E27FC236}">
              <a16:creationId xmlns:a16="http://schemas.microsoft.com/office/drawing/2014/main" id="{00000000-0008-0000-1800-000042000000}"/>
            </a:ext>
          </a:extLst>
        </xdr:cNvPr>
        <xdr:cNvSpPr txBox="1">
          <a:spLocks noChangeArrowheads="1"/>
        </xdr:cNvSpPr>
      </xdr:nvSpPr>
      <xdr:spPr bwMode="auto">
        <a:xfrm>
          <a:off x="149217529" y="661147"/>
          <a:ext cx="165943" cy="1230080"/>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Side-Swipe Passing</a:t>
          </a:r>
        </a:p>
      </xdr:txBody>
    </xdr:sp>
    <xdr:clientData/>
  </xdr:oneCellAnchor>
  <xdr:oneCellAnchor>
    <xdr:from>
      <xdr:col>158</xdr:col>
      <xdr:colOff>190500</xdr:colOff>
      <xdr:row>1</xdr:row>
      <xdr:rowOff>0</xdr:rowOff>
    </xdr:from>
    <xdr:ext cx="165943" cy="374718"/>
    <xdr:sp macro="" textlink="">
      <xdr:nvSpPr>
        <xdr:cNvPr id="67" name="Text Box 10241">
          <a:extLst>
            <a:ext uri="{FF2B5EF4-FFF2-40B4-BE49-F238E27FC236}">
              <a16:creationId xmlns:a16="http://schemas.microsoft.com/office/drawing/2014/main" id="{00000000-0008-0000-1800-000043000000}"/>
            </a:ext>
          </a:extLst>
        </xdr:cNvPr>
        <xdr:cNvSpPr txBox="1">
          <a:spLocks noChangeArrowheads="1"/>
        </xdr:cNvSpPr>
      </xdr:nvSpPr>
      <xdr:spPr bwMode="auto">
        <a:xfrm>
          <a:off x="147603882" y="661147"/>
          <a:ext cx="165943" cy="374718"/>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Angle</a:t>
          </a:r>
        </a:p>
      </xdr:txBody>
    </xdr:sp>
    <xdr:clientData/>
  </xdr:oneCellAnchor>
  <xdr:oneCellAnchor>
    <xdr:from>
      <xdr:col>168</xdr:col>
      <xdr:colOff>190500</xdr:colOff>
      <xdr:row>1</xdr:row>
      <xdr:rowOff>0</xdr:rowOff>
    </xdr:from>
    <xdr:ext cx="165943" cy="574132"/>
    <xdr:sp macro="" textlink="">
      <xdr:nvSpPr>
        <xdr:cNvPr id="68" name="Text Box 10242">
          <a:extLst>
            <a:ext uri="{FF2B5EF4-FFF2-40B4-BE49-F238E27FC236}">
              <a16:creationId xmlns:a16="http://schemas.microsoft.com/office/drawing/2014/main" id="{00000000-0008-0000-1800-000044000000}"/>
            </a:ext>
          </a:extLst>
        </xdr:cNvPr>
        <xdr:cNvSpPr txBox="1">
          <a:spLocks noChangeArrowheads="1"/>
        </xdr:cNvSpPr>
      </xdr:nvSpPr>
      <xdr:spPr bwMode="auto">
        <a:xfrm>
          <a:off x="152982706" y="661147"/>
          <a:ext cx="165943" cy="574132"/>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Left Turn</a:t>
          </a:r>
        </a:p>
      </xdr:txBody>
    </xdr:sp>
    <xdr:clientData/>
  </xdr:oneCellAnchor>
  <xdr:oneCellAnchor>
    <xdr:from>
      <xdr:col>163</xdr:col>
      <xdr:colOff>190500</xdr:colOff>
      <xdr:row>1</xdr:row>
      <xdr:rowOff>0</xdr:rowOff>
    </xdr:from>
    <xdr:ext cx="165943" cy="1222771"/>
    <xdr:sp macro="" textlink="">
      <xdr:nvSpPr>
        <xdr:cNvPr id="69" name="Text Box 10243">
          <a:extLst>
            <a:ext uri="{FF2B5EF4-FFF2-40B4-BE49-F238E27FC236}">
              <a16:creationId xmlns:a16="http://schemas.microsoft.com/office/drawing/2014/main" id="{00000000-0008-0000-1800-000045000000}"/>
            </a:ext>
          </a:extLst>
        </xdr:cNvPr>
        <xdr:cNvSpPr txBox="1">
          <a:spLocks noChangeArrowheads="1"/>
        </xdr:cNvSpPr>
      </xdr:nvSpPr>
      <xdr:spPr bwMode="auto">
        <a:xfrm>
          <a:off x="150293294" y="661147"/>
          <a:ext cx="165943" cy="1222771"/>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Side-Swipe Meeting</a:t>
          </a:r>
        </a:p>
      </xdr:txBody>
    </xdr:sp>
    <xdr:clientData/>
  </xdr:oneCellAnchor>
  <xdr:oneCellAnchor>
    <xdr:from>
      <xdr:col>170</xdr:col>
      <xdr:colOff>190500</xdr:colOff>
      <xdr:row>1</xdr:row>
      <xdr:rowOff>0</xdr:rowOff>
    </xdr:from>
    <xdr:ext cx="165943" cy="666721"/>
    <xdr:sp macro="" textlink="">
      <xdr:nvSpPr>
        <xdr:cNvPr id="70" name="Text Box 10244">
          <a:extLst>
            <a:ext uri="{FF2B5EF4-FFF2-40B4-BE49-F238E27FC236}">
              <a16:creationId xmlns:a16="http://schemas.microsoft.com/office/drawing/2014/main" id="{00000000-0008-0000-1800-000046000000}"/>
            </a:ext>
          </a:extLst>
        </xdr:cNvPr>
        <xdr:cNvSpPr txBox="1">
          <a:spLocks noChangeArrowheads="1"/>
        </xdr:cNvSpPr>
      </xdr:nvSpPr>
      <xdr:spPr bwMode="auto">
        <a:xfrm>
          <a:off x="154058471" y="661147"/>
          <a:ext cx="165943" cy="666721"/>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Right Turn</a:t>
          </a:r>
        </a:p>
      </xdr:txBody>
    </xdr:sp>
    <xdr:clientData/>
  </xdr:oneCellAnchor>
  <xdr:oneCellAnchor>
    <xdr:from>
      <xdr:col>169</xdr:col>
      <xdr:colOff>190500</xdr:colOff>
      <xdr:row>1</xdr:row>
      <xdr:rowOff>0</xdr:rowOff>
    </xdr:from>
    <xdr:ext cx="165943" cy="666721"/>
    <xdr:sp macro="" textlink="">
      <xdr:nvSpPr>
        <xdr:cNvPr id="71" name="Text Box 10245">
          <a:extLst>
            <a:ext uri="{FF2B5EF4-FFF2-40B4-BE49-F238E27FC236}">
              <a16:creationId xmlns:a16="http://schemas.microsoft.com/office/drawing/2014/main" id="{00000000-0008-0000-1800-000047000000}"/>
            </a:ext>
          </a:extLst>
        </xdr:cNvPr>
        <xdr:cNvSpPr txBox="1">
          <a:spLocks noChangeArrowheads="1"/>
        </xdr:cNvSpPr>
      </xdr:nvSpPr>
      <xdr:spPr bwMode="auto">
        <a:xfrm>
          <a:off x="153520588" y="661147"/>
          <a:ext cx="165943" cy="666721"/>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Right Turn</a:t>
          </a:r>
        </a:p>
      </xdr:txBody>
    </xdr:sp>
    <xdr:clientData/>
  </xdr:oneCellAnchor>
  <xdr:oneCellAnchor>
    <xdr:from>
      <xdr:col>160</xdr:col>
      <xdr:colOff>190500</xdr:colOff>
      <xdr:row>1</xdr:row>
      <xdr:rowOff>0</xdr:rowOff>
    </xdr:from>
    <xdr:ext cx="165943" cy="446020"/>
    <xdr:sp macro="" textlink="">
      <xdr:nvSpPr>
        <xdr:cNvPr id="72" name="Text Box 10246">
          <a:extLst>
            <a:ext uri="{FF2B5EF4-FFF2-40B4-BE49-F238E27FC236}">
              <a16:creationId xmlns:a16="http://schemas.microsoft.com/office/drawing/2014/main" id="{00000000-0008-0000-1800-000048000000}"/>
            </a:ext>
          </a:extLst>
        </xdr:cNvPr>
        <xdr:cNvSpPr txBox="1">
          <a:spLocks noChangeArrowheads="1"/>
        </xdr:cNvSpPr>
      </xdr:nvSpPr>
      <xdr:spPr bwMode="auto">
        <a:xfrm>
          <a:off x="148679647" y="661147"/>
          <a:ext cx="165943" cy="446020"/>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Animal</a:t>
          </a:r>
        </a:p>
      </xdr:txBody>
    </xdr:sp>
    <xdr:clientData/>
  </xdr:oneCellAnchor>
  <xdr:oneCellAnchor>
    <xdr:from>
      <xdr:col>159</xdr:col>
      <xdr:colOff>190500</xdr:colOff>
      <xdr:row>1</xdr:row>
      <xdr:rowOff>0</xdr:rowOff>
    </xdr:from>
    <xdr:ext cx="165943" cy="374718"/>
    <xdr:sp macro="" textlink="">
      <xdr:nvSpPr>
        <xdr:cNvPr id="73" name="Text Box 10247">
          <a:extLst>
            <a:ext uri="{FF2B5EF4-FFF2-40B4-BE49-F238E27FC236}">
              <a16:creationId xmlns:a16="http://schemas.microsoft.com/office/drawing/2014/main" id="{00000000-0008-0000-1800-000049000000}"/>
            </a:ext>
          </a:extLst>
        </xdr:cNvPr>
        <xdr:cNvSpPr txBox="1">
          <a:spLocks noChangeArrowheads="1"/>
        </xdr:cNvSpPr>
      </xdr:nvSpPr>
      <xdr:spPr bwMode="auto">
        <a:xfrm>
          <a:off x="148141765" y="661147"/>
          <a:ext cx="165943" cy="374718"/>
        </a:xfrm>
        <a:prstGeom prst="rect">
          <a:avLst/>
        </a:prstGeom>
        <a:noFill/>
        <a:ln w="19050" algn="ctr">
          <a:noFill/>
          <a:miter lim="800000"/>
          <a:headEnd/>
          <a:tailEnd/>
        </a:ln>
        <a:effectLst/>
      </xdr:spPr>
      <xdr:txBody>
        <a:bodyPr vert="vert270" wrap="none" lIns="18288" tIns="18288" rIns="0" bIns="0" anchor="t" upright="1">
          <a:spAutoFit/>
        </a:bodyPr>
        <a:lstStyle/>
        <a:p>
          <a:pPr algn="r" rtl="0">
            <a:defRPr sz="1000"/>
          </a:pPr>
          <a:r>
            <a:rPr lang="en-US" sz="1000" b="1" i="0" strike="noStrike">
              <a:solidFill>
                <a:srgbClr val="000000"/>
              </a:solidFill>
              <a:latin typeface="Arial"/>
              <a:cs typeface="Arial"/>
            </a:rPr>
            <a:t>Angle</a:t>
          </a:r>
        </a:p>
      </xdr:txBody>
    </xdr:sp>
    <xdr:clientData/>
  </xdr:oneCellAnchor>
  <xdr:twoCellAnchor editAs="oneCell">
    <xdr:from>
      <xdr:col>171</xdr:col>
      <xdr:colOff>123266</xdr:colOff>
      <xdr:row>0</xdr:row>
      <xdr:rowOff>172012</xdr:rowOff>
    </xdr:from>
    <xdr:to>
      <xdr:col>171</xdr:col>
      <xdr:colOff>447116</xdr:colOff>
      <xdr:row>0</xdr:row>
      <xdr:rowOff>328530</xdr:rowOff>
    </xdr:to>
    <xdr:sp macro="" textlink="" fLocksText="0">
      <xdr:nvSpPr>
        <xdr:cNvPr id="75" name="TextBoxA">
          <a:extLst>
            <a:ext uri="{FF2B5EF4-FFF2-40B4-BE49-F238E27FC236}">
              <a16:creationId xmlns:a16="http://schemas.microsoft.com/office/drawing/2014/main" id="{00000000-0008-0000-1800-00004B000000}"/>
            </a:ext>
          </a:extLst>
        </xdr:cNvPr>
        <xdr:cNvSpPr txBox="1"/>
      </xdr:nvSpPr>
      <xdr:spPr>
        <a:xfrm>
          <a:off x="154552091" y="172012"/>
          <a:ext cx="323850" cy="156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spAutoFit/>
        </a:bodyPr>
        <a:lstStyle/>
        <a:p>
          <a:pPr algn="ctr"/>
          <a:r>
            <a:rPr lang="en-US" sz="1000" b="1"/>
            <a:t>id</a:t>
          </a:r>
        </a:p>
      </xdr:txBody>
    </xdr:sp>
    <xdr:clientData fLocksWithSheet="0"/>
  </xdr:twoCellAnchor>
  <xdr:oneCellAnchor>
    <xdr:from>
      <xdr:col>10</xdr:col>
      <xdr:colOff>1190625</xdr:colOff>
      <xdr:row>7</xdr:row>
      <xdr:rowOff>171450</xdr:rowOff>
    </xdr:from>
    <xdr:ext cx="2623854" cy="803746"/>
    <xdr:sp macro="" textlink="">
      <xdr:nvSpPr>
        <xdr:cNvPr id="80" name="CrashType_Dir" hidden="1">
          <a:extLst>
            <a:ext uri="{FF2B5EF4-FFF2-40B4-BE49-F238E27FC236}">
              <a16:creationId xmlns:a16="http://schemas.microsoft.com/office/drawing/2014/main" id="{00000000-0008-0000-1800-000050000000}"/>
            </a:ext>
          </a:extLst>
        </xdr:cNvPr>
        <xdr:cNvSpPr txBox="1">
          <a:spLocks noChangeArrowheads="1"/>
        </xdr:cNvSpPr>
      </xdr:nvSpPr>
      <xdr:spPr bwMode="auto">
        <a:xfrm>
          <a:off x="13239750" y="1971675"/>
          <a:ext cx="2623854" cy="803746"/>
        </a:xfrm>
        <a:prstGeom prst="rect">
          <a:avLst/>
        </a:prstGeom>
        <a:solidFill>
          <a:srgbClr val="FFFFDF"/>
        </a:solidFill>
        <a:ln w="19050" algn="ctr">
          <a:solidFill>
            <a:srgbClr val="000000"/>
          </a:solidFill>
          <a:miter lim="800000"/>
          <a:headEnd/>
          <a:tailEnd/>
        </a:ln>
        <a:effectLst/>
      </xdr:spPr>
      <xdr:txBody>
        <a:bodyPr vertOverflow="clip" wrap="square" lIns="91440" tIns="91440" rIns="91440" bIns="91440" anchor="t" anchorCtr="0" upright="1">
          <a:spAutoFit/>
        </a:bodyPr>
        <a:lstStyle/>
        <a:p>
          <a:pPr algn="l" rtl="0">
            <a:defRPr sz="1000"/>
          </a:pPr>
          <a:r>
            <a:rPr lang="en-US" sz="800" b="1" i="0" strike="noStrike">
              <a:solidFill>
                <a:srgbClr val="000000"/>
              </a:solidFill>
              <a:latin typeface="Tahoma"/>
              <a:cs typeface="Tahoma"/>
            </a:rPr>
            <a:t>In order to change a crash type before analyzing or using the ROR Analysis tool, select a crash type from the drop-down (leave the cell highlighted) and copy (Ctrl+C) the crash type and paste (Ctrl+V) it in the cell to overwrite.</a:t>
          </a:r>
        </a:p>
      </xdr:txBody>
    </xdr:sp>
    <xdr:clientData fPrintsWithSheet="0"/>
  </xdr:oneCellAnchor>
  <xdr:twoCellAnchor editAs="oneCell">
    <xdr:from>
      <xdr:col>156</xdr:col>
      <xdr:colOff>38100</xdr:colOff>
      <xdr:row>0</xdr:row>
      <xdr:rowOff>219075</xdr:rowOff>
    </xdr:from>
    <xdr:to>
      <xdr:col>156</xdr:col>
      <xdr:colOff>504825</xdr:colOff>
      <xdr:row>0</xdr:row>
      <xdr:rowOff>352425</xdr:rowOff>
    </xdr:to>
    <xdr:grpSp>
      <xdr:nvGrpSpPr>
        <xdr:cNvPr id="15833787" name="GroupA">
          <a:extLst>
            <a:ext uri="{FF2B5EF4-FFF2-40B4-BE49-F238E27FC236}">
              <a16:creationId xmlns:a16="http://schemas.microsoft.com/office/drawing/2014/main" id="{00000000-0008-0000-1800-0000BB9AF100}"/>
            </a:ext>
          </a:extLst>
        </xdr:cNvPr>
        <xdr:cNvGrpSpPr>
          <a:grpSpLocks/>
        </xdr:cNvGrpSpPr>
      </xdr:nvGrpSpPr>
      <xdr:grpSpPr bwMode="auto">
        <a:xfrm>
          <a:off x="167690800" y="219075"/>
          <a:ext cx="466725" cy="133350"/>
          <a:chOff x="146435027" y="223721"/>
          <a:chExt cx="471138" cy="133350"/>
        </a:xfrm>
      </xdr:grpSpPr>
      <xdr:sp macro="" textlink="">
        <xdr:nvSpPr>
          <xdr:cNvPr id="15833847" name="Line 10179">
            <a:extLst>
              <a:ext uri="{FF2B5EF4-FFF2-40B4-BE49-F238E27FC236}">
                <a16:creationId xmlns:a16="http://schemas.microsoft.com/office/drawing/2014/main" id="{00000000-0008-0000-1800-0000F79AF100}"/>
              </a:ext>
            </a:extLst>
          </xdr:cNvPr>
          <xdr:cNvSpPr>
            <a:spLocks noChangeShapeType="1"/>
          </xdr:cNvSpPr>
        </xdr:nvSpPr>
        <xdr:spPr bwMode="auto">
          <a:xfrm>
            <a:off x="146435027" y="290879"/>
            <a:ext cx="228600"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5833848" name="Line 10180">
            <a:extLst>
              <a:ext uri="{FF2B5EF4-FFF2-40B4-BE49-F238E27FC236}">
                <a16:creationId xmlns:a16="http://schemas.microsoft.com/office/drawing/2014/main" id="{00000000-0008-0000-1800-0000F89AF100}"/>
              </a:ext>
            </a:extLst>
          </xdr:cNvPr>
          <xdr:cNvSpPr>
            <a:spLocks noChangeShapeType="1"/>
          </xdr:cNvSpPr>
        </xdr:nvSpPr>
        <xdr:spPr bwMode="auto">
          <a:xfrm>
            <a:off x="146677565" y="290879"/>
            <a:ext cx="228600"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5833849" name="Line 10181">
            <a:extLst>
              <a:ext uri="{FF2B5EF4-FFF2-40B4-BE49-F238E27FC236}">
                <a16:creationId xmlns:a16="http://schemas.microsoft.com/office/drawing/2014/main" id="{00000000-0008-0000-1800-0000F99AF100}"/>
              </a:ext>
            </a:extLst>
          </xdr:cNvPr>
          <xdr:cNvSpPr>
            <a:spLocks noChangeShapeType="1"/>
          </xdr:cNvSpPr>
        </xdr:nvSpPr>
        <xdr:spPr bwMode="auto">
          <a:xfrm>
            <a:off x="146667603" y="223721"/>
            <a:ext cx="0" cy="133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159</xdr:col>
      <xdr:colOff>533400</xdr:colOff>
      <xdr:row>0</xdr:row>
      <xdr:rowOff>57150</xdr:rowOff>
    </xdr:from>
    <xdr:to>
      <xdr:col>160</xdr:col>
      <xdr:colOff>457201</xdr:colOff>
      <xdr:row>0</xdr:row>
      <xdr:rowOff>400050</xdr:rowOff>
    </xdr:to>
    <xdr:grpSp>
      <xdr:nvGrpSpPr>
        <xdr:cNvPr id="15833788" name="GroupE">
          <a:extLst>
            <a:ext uri="{FF2B5EF4-FFF2-40B4-BE49-F238E27FC236}">
              <a16:creationId xmlns:a16="http://schemas.microsoft.com/office/drawing/2014/main" id="{00000000-0008-0000-1800-0000BC9AF100}"/>
            </a:ext>
          </a:extLst>
        </xdr:cNvPr>
        <xdr:cNvGrpSpPr>
          <a:grpSpLocks/>
        </xdr:cNvGrpSpPr>
      </xdr:nvGrpSpPr>
      <xdr:grpSpPr bwMode="auto">
        <a:xfrm>
          <a:off x="170014900" y="57150"/>
          <a:ext cx="533401" cy="342900"/>
          <a:chOff x="2417" y="118"/>
          <a:chExt cx="68" cy="36"/>
        </a:xfrm>
      </xdr:grpSpPr>
      <xdr:pic>
        <xdr:nvPicPr>
          <xdr:cNvPr id="15833845" name="Picture 10192" descr="MCSL00643_0000[1]">
            <a:extLst>
              <a:ext uri="{FF2B5EF4-FFF2-40B4-BE49-F238E27FC236}">
                <a16:creationId xmlns:a16="http://schemas.microsoft.com/office/drawing/2014/main" id="{00000000-0008-0000-1800-0000F59AF100}"/>
              </a:ext>
            </a:extLst>
          </xdr:cNvPr>
          <xdr:cNvPicPr preferRelativeResize="0">
            <a:picLocks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flipH="1">
            <a:off x="2451" y="118"/>
            <a:ext cx="34" cy="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833846" name="Line 10193">
            <a:extLst>
              <a:ext uri="{FF2B5EF4-FFF2-40B4-BE49-F238E27FC236}">
                <a16:creationId xmlns:a16="http://schemas.microsoft.com/office/drawing/2014/main" id="{00000000-0008-0000-1800-0000F69AF100}"/>
              </a:ext>
            </a:extLst>
          </xdr:cNvPr>
          <xdr:cNvSpPr>
            <a:spLocks noChangeShapeType="1"/>
          </xdr:cNvSpPr>
        </xdr:nvSpPr>
        <xdr:spPr bwMode="auto">
          <a:xfrm>
            <a:off x="2417" y="139"/>
            <a:ext cx="36"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grpSp>
    <xdr:clientData fLocksWithSheet="0"/>
  </xdr:twoCellAnchor>
  <xdr:twoCellAnchor editAs="oneCell">
    <xdr:from>
      <xdr:col>167</xdr:col>
      <xdr:colOff>28575</xdr:colOff>
      <xdr:row>0</xdr:row>
      <xdr:rowOff>152400</xdr:rowOff>
    </xdr:from>
    <xdr:to>
      <xdr:col>167</xdr:col>
      <xdr:colOff>485775</xdr:colOff>
      <xdr:row>0</xdr:row>
      <xdr:rowOff>276225</xdr:rowOff>
    </xdr:to>
    <xdr:grpSp>
      <xdr:nvGrpSpPr>
        <xdr:cNvPr id="15833789" name="GroupL">
          <a:extLst>
            <a:ext uri="{FF2B5EF4-FFF2-40B4-BE49-F238E27FC236}">
              <a16:creationId xmlns:a16="http://schemas.microsoft.com/office/drawing/2014/main" id="{00000000-0008-0000-1800-0000BD9AF100}"/>
            </a:ext>
          </a:extLst>
        </xdr:cNvPr>
        <xdr:cNvGrpSpPr>
          <a:grpSpLocks/>
        </xdr:cNvGrpSpPr>
      </xdr:nvGrpSpPr>
      <xdr:grpSpPr bwMode="auto">
        <a:xfrm>
          <a:off x="174386875" y="152400"/>
          <a:ext cx="457200" cy="123825"/>
          <a:chOff x="1542" y="209"/>
          <a:chExt cx="66" cy="13"/>
        </a:xfrm>
      </xdr:grpSpPr>
      <xdr:sp macro="" textlink="">
        <xdr:nvSpPr>
          <xdr:cNvPr id="15833842" name="Rectangle 10218">
            <a:extLst>
              <a:ext uri="{FF2B5EF4-FFF2-40B4-BE49-F238E27FC236}">
                <a16:creationId xmlns:a16="http://schemas.microsoft.com/office/drawing/2014/main" id="{00000000-0008-0000-1800-0000F29AF100}"/>
              </a:ext>
            </a:extLst>
          </xdr:cNvPr>
          <xdr:cNvSpPr>
            <a:spLocks noChangeArrowheads="1"/>
          </xdr:cNvSpPr>
        </xdr:nvSpPr>
        <xdr:spPr bwMode="auto">
          <a:xfrm>
            <a:off x="1581" y="209"/>
            <a:ext cx="27" cy="13"/>
          </a:xfrm>
          <a:prstGeom prst="rect">
            <a:avLst/>
          </a:prstGeom>
          <a:noFill/>
          <a:ln w="19050"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833843" name="Line 10219">
            <a:extLst>
              <a:ext uri="{FF2B5EF4-FFF2-40B4-BE49-F238E27FC236}">
                <a16:creationId xmlns:a16="http://schemas.microsoft.com/office/drawing/2014/main" id="{00000000-0008-0000-1800-0000F39AF100}"/>
              </a:ext>
            </a:extLst>
          </xdr:cNvPr>
          <xdr:cNvSpPr>
            <a:spLocks noChangeShapeType="1"/>
          </xdr:cNvSpPr>
        </xdr:nvSpPr>
        <xdr:spPr bwMode="auto">
          <a:xfrm>
            <a:off x="1582" y="210"/>
            <a:ext cx="26" cy="1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833844" name="Line 10220">
            <a:extLst>
              <a:ext uri="{FF2B5EF4-FFF2-40B4-BE49-F238E27FC236}">
                <a16:creationId xmlns:a16="http://schemas.microsoft.com/office/drawing/2014/main" id="{00000000-0008-0000-1800-0000F49AF100}"/>
              </a:ext>
            </a:extLst>
          </xdr:cNvPr>
          <xdr:cNvSpPr>
            <a:spLocks noChangeShapeType="1"/>
          </xdr:cNvSpPr>
        </xdr:nvSpPr>
        <xdr:spPr bwMode="auto">
          <a:xfrm>
            <a:off x="1542" y="215"/>
            <a:ext cx="37"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grpSp>
    <xdr:clientData fLocksWithSheet="0"/>
  </xdr:twoCellAnchor>
  <xdr:twoCellAnchor editAs="absolute">
    <xdr:from>
      <xdr:col>0</xdr:col>
      <xdr:colOff>33618</xdr:colOff>
      <xdr:row>3</xdr:row>
      <xdr:rowOff>184387</xdr:rowOff>
    </xdr:from>
    <xdr:to>
      <xdr:col>1</xdr:col>
      <xdr:colOff>754323</xdr:colOff>
      <xdr:row>7</xdr:row>
      <xdr:rowOff>137576</xdr:rowOff>
    </xdr:to>
    <xdr:sp macro="[0]!ShowToolbar" textlink="">
      <xdr:nvSpPr>
        <xdr:cNvPr id="78" name="AutoShape 4">
          <a:extLst>
            <a:ext uri="{FF2B5EF4-FFF2-40B4-BE49-F238E27FC236}">
              <a16:creationId xmlns:a16="http://schemas.microsoft.com/office/drawing/2014/main" id="{00000000-0008-0000-1800-00004E000000}"/>
            </a:ext>
          </a:extLst>
        </xdr:cNvPr>
        <xdr:cNvSpPr>
          <a:spLocks noChangeArrowheads="1"/>
        </xdr:cNvSpPr>
      </xdr:nvSpPr>
      <xdr:spPr bwMode="auto">
        <a:xfrm>
          <a:off x="33618" y="1226534"/>
          <a:ext cx="1549940" cy="703983"/>
        </a:xfrm>
        <a:prstGeom prst="bevel">
          <a:avLst>
            <a:gd name="adj" fmla="val 12500"/>
          </a:avLst>
        </a:prstGeom>
        <a:gradFill rotWithShape="1">
          <a:gsLst>
            <a:gs pos="0">
              <a:srgbClr val="FFFFFF">
                <a:gamma/>
                <a:shade val="66275"/>
                <a:invGamma/>
              </a:srgbClr>
            </a:gs>
            <a:gs pos="50000">
              <a:srgbClr val="FFFFFF"/>
            </a:gs>
            <a:gs pos="100000">
              <a:srgbClr val="FFFFFF">
                <a:gamma/>
                <a:shade val="66275"/>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1" i="0" strike="noStrike">
              <a:solidFill>
                <a:srgbClr val="0000FF"/>
              </a:solidFill>
              <a:latin typeface="Tahoma"/>
              <a:cs typeface="Tahoma"/>
            </a:rPr>
            <a:t>Click To Open Analysis Toolbox or Press "Ctrl" + " t "</a:t>
          </a:r>
        </a:p>
      </xdr:txBody>
    </xdr:sp>
    <xdr:clientData fPrintsWithSheet="0"/>
  </xdr:twoCellAnchor>
  <xdr:twoCellAnchor editAs="oneCell">
    <xdr:from>
      <xdr:col>170</xdr:col>
      <xdr:colOff>57150</xdr:colOff>
      <xdr:row>0</xdr:row>
      <xdr:rowOff>142875</xdr:rowOff>
    </xdr:from>
    <xdr:to>
      <xdr:col>170</xdr:col>
      <xdr:colOff>495300</xdr:colOff>
      <xdr:row>0</xdr:row>
      <xdr:rowOff>266700</xdr:rowOff>
    </xdr:to>
    <xdr:grpSp>
      <xdr:nvGrpSpPr>
        <xdr:cNvPr id="15833791" name="GroupO">
          <a:extLst>
            <a:ext uri="{FF2B5EF4-FFF2-40B4-BE49-F238E27FC236}">
              <a16:creationId xmlns:a16="http://schemas.microsoft.com/office/drawing/2014/main" id="{00000000-0008-0000-1800-0000BF9AF100}"/>
            </a:ext>
          </a:extLst>
        </xdr:cNvPr>
        <xdr:cNvGrpSpPr>
          <a:grpSpLocks/>
        </xdr:cNvGrpSpPr>
      </xdr:nvGrpSpPr>
      <xdr:grpSpPr bwMode="auto">
        <a:xfrm>
          <a:off x="176244250" y="142875"/>
          <a:ext cx="438150" cy="123825"/>
          <a:chOff x="153804836" y="2158527"/>
          <a:chExt cx="445850" cy="123420"/>
        </a:xfrm>
      </xdr:grpSpPr>
      <xdr:cxnSp macro="">
        <xdr:nvCxnSpPr>
          <xdr:cNvPr id="188" name="Straight Arrow Connector 187">
            <a:extLst>
              <a:ext uri="{FF2B5EF4-FFF2-40B4-BE49-F238E27FC236}">
                <a16:creationId xmlns:a16="http://schemas.microsoft.com/office/drawing/2014/main" id="{00000000-0008-0000-1800-0000BC000000}"/>
              </a:ext>
            </a:extLst>
          </xdr:cNvPr>
          <xdr:cNvCxnSpPr/>
        </xdr:nvCxnSpPr>
        <xdr:spPr>
          <a:xfrm flipV="1">
            <a:off x="153804836" y="2158527"/>
            <a:ext cx="252002"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189" name="Straight Arrow Connector 188">
            <a:extLst>
              <a:ext uri="{FF2B5EF4-FFF2-40B4-BE49-F238E27FC236}">
                <a16:creationId xmlns:a16="http://schemas.microsoft.com/office/drawing/2014/main" id="{00000000-0008-0000-1800-0000BD000000}"/>
              </a:ext>
            </a:extLst>
          </xdr:cNvPr>
          <xdr:cNvCxnSpPr/>
        </xdr:nvCxnSpPr>
        <xdr:spPr>
          <a:xfrm rot="16200000" flipV="1">
            <a:off x="154048436" y="2166929"/>
            <a:ext cx="123420" cy="106616"/>
          </a:xfrm>
          <a:prstGeom prst="straightConnector1">
            <a:avLst/>
          </a:prstGeom>
          <a:ln w="22225">
            <a:solidFill>
              <a:schemeClr val="tx1"/>
            </a:solidFill>
            <a:tailEnd type="triangle" w="med" len="lg"/>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cxnSp>
      <xdr:cxnSp macro="">
        <xdr:nvCxnSpPr>
          <xdr:cNvPr id="190" name="Straight Arrow Connector 189">
            <a:extLst>
              <a:ext uri="{FF2B5EF4-FFF2-40B4-BE49-F238E27FC236}">
                <a16:creationId xmlns:a16="http://schemas.microsoft.com/office/drawing/2014/main" id="{00000000-0008-0000-1800-0000BE000000}"/>
              </a:ext>
            </a:extLst>
          </xdr:cNvPr>
          <xdr:cNvCxnSpPr/>
        </xdr:nvCxnSpPr>
        <xdr:spPr>
          <a:xfrm rot="10800000" flipV="1">
            <a:off x="154153762" y="2272453"/>
            <a:ext cx="96924" cy="0"/>
          </a:xfrm>
          <a:prstGeom prst="straightConnector1">
            <a:avLst/>
          </a:prstGeom>
          <a:ln w="22225">
            <a:solidFill>
              <a:schemeClr val="tx1"/>
            </a:solidFill>
            <a:tailEnd type="none" w="med" len="lg"/>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editAs="oneCell">
    <xdr:from>
      <xdr:col>169</xdr:col>
      <xdr:colOff>66675</xdr:colOff>
      <xdr:row>0</xdr:row>
      <xdr:rowOff>152400</xdr:rowOff>
    </xdr:from>
    <xdr:to>
      <xdr:col>169</xdr:col>
      <xdr:colOff>466725</xdr:colOff>
      <xdr:row>0</xdr:row>
      <xdr:rowOff>428625</xdr:rowOff>
    </xdr:to>
    <xdr:grpSp>
      <xdr:nvGrpSpPr>
        <xdr:cNvPr id="15833792" name="GroupN">
          <a:extLst>
            <a:ext uri="{FF2B5EF4-FFF2-40B4-BE49-F238E27FC236}">
              <a16:creationId xmlns:a16="http://schemas.microsoft.com/office/drawing/2014/main" id="{00000000-0008-0000-1800-0000C09AF100}"/>
            </a:ext>
          </a:extLst>
        </xdr:cNvPr>
        <xdr:cNvGrpSpPr>
          <a:grpSpLocks/>
        </xdr:cNvGrpSpPr>
      </xdr:nvGrpSpPr>
      <xdr:grpSpPr bwMode="auto">
        <a:xfrm>
          <a:off x="175644175" y="152400"/>
          <a:ext cx="400050" cy="276225"/>
          <a:chOff x="153321695" y="1979579"/>
          <a:chExt cx="404914" cy="278657"/>
        </a:xfrm>
      </xdr:grpSpPr>
      <xdr:cxnSp macro="">
        <xdr:nvCxnSpPr>
          <xdr:cNvPr id="192" name="Straight Arrow Connector 191">
            <a:extLst>
              <a:ext uri="{FF2B5EF4-FFF2-40B4-BE49-F238E27FC236}">
                <a16:creationId xmlns:a16="http://schemas.microsoft.com/office/drawing/2014/main" id="{00000000-0008-0000-1800-0000C0000000}"/>
              </a:ext>
            </a:extLst>
          </xdr:cNvPr>
          <xdr:cNvCxnSpPr/>
        </xdr:nvCxnSpPr>
        <xdr:spPr>
          <a:xfrm>
            <a:off x="153321695" y="1979579"/>
            <a:ext cx="404914"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193" name="Straight Arrow Connector 192">
            <a:extLst>
              <a:ext uri="{FF2B5EF4-FFF2-40B4-BE49-F238E27FC236}">
                <a16:creationId xmlns:a16="http://schemas.microsoft.com/office/drawing/2014/main" id="{00000000-0008-0000-1800-0000C1000000}"/>
              </a:ext>
            </a:extLst>
          </xdr:cNvPr>
          <xdr:cNvCxnSpPr/>
        </xdr:nvCxnSpPr>
        <xdr:spPr>
          <a:xfrm rot="5400000" flipH="1" flipV="1">
            <a:off x="153582236" y="1998589"/>
            <a:ext cx="144133" cy="125331"/>
          </a:xfrm>
          <a:prstGeom prst="straightConnector1">
            <a:avLst/>
          </a:prstGeom>
          <a:ln w="22225">
            <a:solidFill>
              <a:schemeClr val="tx1"/>
            </a:solidFill>
            <a:tailEnd type="triangle" w="med" len="lg"/>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cxnSp>
      <xdr:sp macro="" textlink="">
        <xdr:nvSpPr>
          <xdr:cNvPr id="15833838" name="Line 10181">
            <a:extLst>
              <a:ext uri="{FF2B5EF4-FFF2-40B4-BE49-F238E27FC236}">
                <a16:creationId xmlns:a16="http://schemas.microsoft.com/office/drawing/2014/main" id="{00000000-0008-0000-1800-0000EE9AF100}"/>
              </a:ext>
            </a:extLst>
          </xdr:cNvPr>
          <xdr:cNvSpPr>
            <a:spLocks noChangeShapeType="1"/>
          </xdr:cNvSpPr>
        </xdr:nvSpPr>
        <xdr:spPr bwMode="auto">
          <a:xfrm>
            <a:off x="153584701" y="2124886"/>
            <a:ext cx="0" cy="133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168</xdr:col>
      <xdr:colOff>47625</xdr:colOff>
      <xdr:row>0</xdr:row>
      <xdr:rowOff>133350</xdr:rowOff>
    </xdr:from>
    <xdr:to>
      <xdr:col>168</xdr:col>
      <xdr:colOff>495300</xdr:colOff>
      <xdr:row>0</xdr:row>
      <xdr:rowOff>295275</xdr:rowOff>
    </xdr:to>
    <xdr:grpSp>
      <xdr:nvGrpSpPr>
        <xdr:cNvPr id="15833793" name="GroupM">
          <a:extLst>
            <a:ext uri="{FF2B5EF4-FFF2-40B4-BE49-F238E27FC236}">
              <a16:creationId xmlns:a16="http://schemas.microsoft.com/office/drawing/2014/main" id="{00000000-0008-0000-1800-0000C19AF100}"/>
            </a:ext>
          </a:extLst>
        </xdr:cNvPr>
        <xdr:cNvGrpSpPr>
          <a:grpSpLocks/>
        </xdr:cNvGrpSpPr>
      </xdr:nvGrpSpPr>
      <xdr:grpSpPr bwMode="auto">
        <a:xfrm>
          <a:off x="175015525" y="133350"/>
          <a:ext cx="447675" cy="161925"/>
          <a:chOff x="152744521" y="2026597"/>
          <a:chExt cx="445851" cy="154197"/>
        </a:xfrm>
      </xdr:grpSpPr>
      <xdr:cxnSp macro="">
        <xdr:nvCxnSpPr>
          <xdr:cNvPr id="196" name="Straight Arrow Connector 195">
            <a:extLst>
              <a:ext uri="{FF2B5EF4-FFF2-40B4-BE49-F238E27FC236}">
                <a16:creationId xmlns:a16="http://schemas.microsoft.com/office/drawing/2014/main" id="{00000000-0008-0000-1800-0000C4000000}"/>
              </a:ext>
            </a:extLst>
          </xdr:cNvPr>
          <xdr:cNvCxnSpPr/>
        </xdr:nvCxnSpPr>
        <xdr:spPr>
          <a:xfrm flipV="1">
            <a:off x="152744521" y="2180794"/>
            <a:ext cx="256127"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197" name="Straight Arrow Connector 196">
            <a:extLst>
              <a:ext uri="{FF2B5EF4-FFF2-40B4-BE49-F238E27FC236}">
                <a16:creationId xmlns:a16="http://schemas.microsoft.com/office/drawing/2014/main" id="{00000000-0008-0000-1800-0000C5000000}"/>
              </a:ext>
            </a:extLst>
          </xdr:cNvPr>
          <xdr:cNvCxnSpPr/>
        </xdr:nvCxnSpPr>
        <xdr:spPr>
          <a:xfrm rot="5400000">
            <a:off x="152970980" y="2046779"/>
            <a:ext cx="154197" cy="113834"/>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198" name="Straight Arrow Connector 197">
            <a:extLst>
              <a:ext uri="{FF2B5EF4-FFF2-40B4-BE49-F238E27FC236}">
                <a16:creationId xmlns:a16="http://schemas.microsoft.com/office/drawing/2014/main" id="{00000000-0008-0000-1800-0000C6000000}"/>
              </a:ext>
            </a:extLst>
          </xdr:cNvPr>
          <xdr:cNvCxnSpPr/>
        </xdr:nvCxnSpPr>
        <xdr:spPr>
          <a:xfrm rot="10800000" flipV="1">
            <a:off x="153095510" y="2026597"/>
            <a:ext cx="94862" cy="9070"/>
          </a:xfrm>
          <a:prstGeom prst="straightConnector1">
            <a:avLst/>
          </a:prstGeom>
          <a:ln w="22225">
            <a:solidFill>
              <a:schemeClr val="tx1"/>
            </a:solidFill>
            <a:tailEnd type="none" w="med" len="lg"/>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editAs="oneCell">
    <xdr:from>
      <xdr:col>166</xdr:col>
      <xdr:colOff>57150</xdr:colOff>
      <xdr:row>0</xdr:row>
      <xdr:rowOff>133350</xdr:rowOff>
    </xdr:from>
    <xdr:to>
      <xdr:col>166</xdr:col>
      <xdr:colOff>476250</xdr:colOff>
      <xdr:row>0</xdr:row>
      <xdr:rowOff>266700</xdr:rowOff>
    </xdr:to>
    <xdr:grpSp>
      <xdr:nvGrpSpPr>
        <xdr:cNvPr id="15833794" name="GroupK">
          <a:extLst>
            <a:ext uri="{FF2B5EF4-FFF2-40B4-BE49-F238E27FC236}">
              <a16:creationId xmlns:a16="http://schemas.microsoft.com/office/drawing/2014/main" id="{00000000-0008-0000-1800-0000C29AF100}"/>
            </a:ext>
          </a:extLst>
        </xdr:cNvPr>
        <xdr:cNvGrpSpPr>
          <a:grpSpLocks/>
        </xdr:cNvGrpSpPr>
      </xdr:nvGrpSpPr>
      <xdr:grpSpPr bwMode="auto">
        <a:xfrm>
          <a:off x="173805850" y="133350"/>
          <a:ext cx="419100" cy="133350"/>
          <a:chOff x="151695556" y="2115159"/>
          <a:chExt cx="412162" cy="134362"/>
        </a:xfrm>
      </xdr:grpSpPr>
      <xdr:cxnSp macro="">
        <xdr:nvCxnSpPr>
          <xdr:cNvPr id="200" name="Straight Arrow Connector 199">
            <a:extLst>
              <a:ext uri="{FF2B5EF4-FFF2-40B4-BE49-F238E27FC236}">
                <a16:creationId xmlns:a16="http://schemas.microsoft.com/office/drawing/2014/main" id="{00000000-0008-0000-1800-0000C8000000}"/>
              </a:ext>
            </a:extLst>
          </xdr:cNvPr>
          <xdr:cNvCxnSpPr/>
        </xdr:nvCxnSpPr>
        <xdr:spPr>
          <a:xfrm>
            <a:off x="151695556" y="2191937"/>
            <a:ext cx="402795" cy="0"/>
          </a:xfrm>
          <a:prstGeom prst="straightConnector1">
            <a:avLst/>
          </a:prstGeom>
          <a:ln w="22225">
            <a:solidFill>
              <a:schemeClr val="tx1"/>
            </a:solidFill>
            <a:prstDash val="dash"/>
            <a:tailEnd type="none" w="med" len="lg"/>
          </a:ln>
        </xdr:spPr>
        <xdr:style>
          <a:lnRef idx="1">
            <a:schemeClr val="accent1"/>
          </a:lnRef>
          <a:fillRef idx="0">
            <a:schemeClr val="accent1"/>
          </a:fillRef>
          <a:effectRef idx="0">
            <a:schemeClr val="accent1"/>
          </a:effectRef>
          <a:fontRef idx="minor">
            <a:schemeClr val="tx1"/>
          </a:fontRef>
        </xdr:style>
      </xdr:cxnSp>
      <xdr:sp macro="" textlink="">
        <xdr:nvSpPr>
          <xdr:cNvPr id="15833831" name="Line 10181">
            <a:extLst>
              <a:ext uri="{FF2B5EF4-FFF2-40B4-BE49-F238E27FC236}">
                <a16:creationId xmlns:a16="http://schemas.microsoft.com/office/drawing/2014/main" id="{00000000-0008-0000-1800-0000E79AF100}"/>
              </a:ext>
            </a:extLst>
          </xdr:cNvPr>
          <xdr:cNvSpPr>
            <a:spLocks noChangeShapeType="1"/>
          </xdr:cNvSpPr>
        </xdr:nvSpPr>
        <xdr:spPr bwMode="auto">
          <a:xfrm>
            <a:off x="152056646" y="2116780"/>
            <a:ext cx="45719" cy="132741"/>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833832" name="Line 10181">
            <a:extLst>
              <a:ext uri="{FF2B5EF4-FFF2-40B4-BE49-F238E27FC236}">
                <a16:creationId xmlns:a16="http://schemas.microsoft.com/office/drawing/2014/main" id="{00000000-0008-0000-1800-0000E89AF100}"/>
              </a:ext>
            </a:extLst>
          </xdr:cNvPr>
          <xdr:cNvSpPr>
            <a:spLocks noChangeShapeType="1"/>
          </xdr:cNvSpPr>
        </xdr:nvSpPr>
        <xdr:spPr bwMode="auto">
          <a:xfrm flipH="1">
            <a:off x="152061999" y="2115159"/>
            <a:ext cx="45719" cy="126256"/>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165</xdr:col>
      <xdr:colOff>76200</xdr:colOff>
      <xdr:row>0</xdr:row>
      <xdr:rowOff>133350</xdr:rowOff>
    </xdr:from>
    <xdr:to>
      <xdr:col>165</xdr:col>
      <xdr:colOff>476250</xdr:colOff>
      <xdr:row>0</xdr:row>
      <xdr:rowOff>285750</xdr:rowOff>
    </xdr:to>
    <xdr:grpSp>
      <xdr:nvGrpSpPr>
        <xdr:cNvPr id="15833795" name="GroupJ">
          <a:extLst>
            <a:ext uri="{FF2B5EF4-FFF2-40B4-BE49-F238E27FC236}">
              <a16:creationId xmlns:a16="http://schemas.microsoft.com/office/drawing/2014/main" id="{00000000-0008-0000-1800-0000C39AF100}"/>
            </a:ext>
          </a:extLst>
        </xdr:cNvPr>
        <xdr:cNvGrpSpPr>
          <a:grpSpLocks/>
        </xdr:cNvGrpSpPr>
      </xdr:nvGrpSpPr>
      <xdr:grpSpPr bwMode="auto">
        <a:xfrm>
          <a:off x="173215300" y="133350"/>
          <a:ext cx="400050" cy="152400"/>
          <a:chOff x="151175936" y="1922024"/>
          <a:chExt cx="404914" cy="152400"/>
        </a:xfrm>
      </xdr:grpSpPr>
      <xdr:cxnSp macro="">
        <xdr:nvCxnSpPr>
          <xdr:cNvPr id="204" name="Straight Arrow Connector 203">
            <a:extLst>
              <a:ext uri="{FF2B5EF4-FFF2-40B4-BE49-F238E27FC236}">
                <a16:creationId xmlns:a16="http://schemas.microsoft.com/office/drawing/2014/main" id="{00000000-0008-0000-1800-0000CC000000}"/>
              </a:ext>
            </a:extLst>
          </xdr:cNvPr>
          <xdr:cNvCxnSpPr/>
        </xdr:nvCxnSpPr>
        <xdr:spPr>
          <a:xfrm>
            <a:off x="151175936" y="1998224"/>
            <a:ext cx="404914"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pic>
        <xdr:nvPicPr>
          <xdr:cNvPr id="15833829" name="Picture 10211" descr="j0254501">
            <a:extLst>
              <a:ext uri="{FF2B5EF4-FFF2-40B4-BE49-F238E27FC236}">
                <a16:creationId xmlns:a16="http://schemas.microsoft.com/office/drawing/2014/main" id="{00000000-0008-0000-1800-0000E59AF100}"/>
              </a:ext>
            </a:extLst>
          </xdr:cNvPr>
          <xdr:cNvPicPr preferRelativeResize="0">
            <a:picLocks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51256526" y="1922024"/>
            <a:ext cx="134007"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fLocksWithSheet="0"/>
  </xdr:twoCellAnchor>
  <xdr:twoCellAnchor editAs="oneCell">
    <xdr:from>
      <xdr:col>164</xdr:col>
      <xdr:colOff>28575</xdr:colOff>
      <xdr:row>0</xdr:row>
      <xdr:rowOff>142875</xdr:rowOff>
    </xdr:from>
    <xdr:to>
      <xdr:col>164</xdr:col>
      <xdr:colOff>485775</xdr:colOff>
      <xdr:row>0</xdr:row>
      <xdr:rowOff>276225</xdr:rowOff>
    </xdr:to>
    <xdr:grpSp>
      <xdr:nvGrpSpPr>
        <xdr:cNvPr id="15833796" name="GroupI">
          <a:extLst>
            <a:ext uri="{FF2B5EF4-FFF2-40B4-BE49-F238E27FC236}">
              <a16:creationId xmlns:a16="http://schemas.microsoft.com/office/drawing/2014/main" id="{00000000-0008-0000-1800-0000C49AF100}"/>
            </a:ext>
          </a:extLst>
        </xdr:cNvPr>
        <xdr:cNvGrpSpPr>
          <a:grpSpLocks/>
        </xdr:cNvGrpSpPr>
      </xdr:nvGrpSpPr>
      <xdr:grpSpPr bwMode="auto">
        <a:xfrm>
          <a:off x="172558075" y="142875"/>
          <a:ext cx="457200" cy="133350"/>
          <a:chOff x="150582548" y="2128939"/>
          <a:chExt cx="461660" cy="133350"/>
        </a:xfrm>
      </xdr:grpSpPr>
      <xdr:cxnSp macro="">
        <xdr:nvCxnSpPr>
          <xdr:cNvPr id="207" name="Straight Arrow Connector 206">
            <a:extLst>
              <a:ext uri="{FF2B5EF4-FFF2-40B4-BE49-F238E27FC236}">
                <a16:creationId xmlns:a16="http://schemas.microsoft.com/office/drawing/2014/main" id="{00000000-0008-0000-1800-0000CF000000}"/>
              </a:ext>
            </a:extLst>
          </xdr:cNvPr>
          <xdr:cNvCxnSpPr/>
        </xdr:nvCxnSpPr>
        <xdr:spPr>
          <a:xfrm>
            <a:off x="150640256" y="2195614"/>
            <a:ext cx="403953"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sp macro="" textlink="">
        <xdr:nvSpPr>
          <xdr:cNvPr id="15833825" name="Line 10180">
            <a:extLst>
              <a:ext uri="{FF2B5EF4-FFF2-40B4-BE49-F238E27FC236}">
                <a16:creationId xmlns:a16="http://schemas.microsoft.com/office/drawing/2014/main" id="{00000000-0008-0000-1800-0000E19AF100}"/>
              </a:ext>
            </a:extLst>
          </xdr:cNvPr>
          <xdr:cNvSpPr>
            <a:spLocks noChangeShapeType="1"/>
          </xdr:cNvSpPr>
        </xdr:nvSpPr>
        <xdr:spPr bwMode="auto">
          <a:xfrm>
            <a:off x="150582548" y="2192637"/>
            <a:ext cx="228600" cy="0"/>
          </a:xfrm>
          <a:prstGeom prst="line">
            <a:avLst/>
          </a:prstGeom>
          <a:noFill/>
          <a:ln w="19050">
            <a:solidFill>
              <a:srgbClr val="000000"/>
            </a:solidFill>
            <a:round/>
            <a:headEnd type="triangle" w="med" len="lg"/>
            <a:tailEnd type="none" w="med" len="lg"/>
          </a:ln>
          <a:extLst>
            <a:ext uri="{909E8E84-426E-40DD-AFC4-6F175D3DCCD1}">
              <a14:hiddenFill xmlns:a14="http://schemas.microsoft.com/office/drawing/2010/main">
                <a:noFill/>
              </a14:hiddenFill>
            </a:ext>
          </a:extLst>
        </xdr:spPr>
      </xdr:sp>
      <xdr:sp macro="" textlink="">
        <xdr:nvSpPr>
          <xdr:cNvPr id="15833826" name="Line 10180">
            <a:extLst>
              <a:ext uri="{FF2B5EF4-FFF2-40B4-BE49-F238E27FC236}">
                <a16:creationId xmlns:a16="http://schemas.microsoft.com/office/drawing/2014/main" id="{00000000-0008-0000-1800-0000E29AF100}"/>
              </a:ext>
            </a:extLst>
          </xdr:cNvPr>
          <xdr:cNvSpPr>
            <a:spLocks noChangeShapeType="1"/>
          </xdr:cNvSpPr>
        </xdr:nvSpPr>
        <xdr:spPr bwMode="auto">
          <a:xfrm>
            <a:off x="150682257" y="2191016"/>
            <a:ext cx="228600" cy="0"/>
          </a:xfrm>
          <a:prstGeom prst="line">
            <a:avLst/>
          </a:prstGeom>
          <a:noFill/>
          <a:ln w="19050">
            <a:solidFill>
              <a:srgbClr val="000000"/>
            </a:solidFill>
            <a:round/>
            <a:headEnd type="triangle" w="med" len="lg"/>
            <a:tailEnd type="none" w="med" len="lg"/>
          </a:ln>
          <a:extLst>
            <a:ext uri="{909E8E84-426E-40DD-AFC4-6F175D3DCCD1}">
              <a14:hiddenFill xmlns:a14="http://schemas.microsoft.com/office/drawing/2010/main">
                <a:noFill/>
              </a14:hiddenFill>
            </a:ext>
          </a:extLst>
        </xdr:spPr>
      </xdr:sp>
      <xdr:sp macro="" textlink="">
        <xdr:nvSpPr>
          <xdr:cNvPr id="15833827" name="Line 10181">
            <a:extLst>
              <a:ext uri="{FF2B5EF4-FFF2-40B4-BE49-F238E27FC236}">
                <a16:creationId xmlns:a16="http://schemas.microsoft.com/office/drawing/2014/main" id="{00000000-0008-0000-1800-0000E39AF100}"/>
              </a:ext>
            </a:extLst>
          </xdr:cNvPr>
          <xdr:cNvSpPr>
            <a:spLocks noChangeShapeType="1"/>
          </xdr:cNvSpPr>
        </xdr:nvSpPr>
        <xdr:spPr bwMode="auto">
          <a:xfrm>
            <a:off x="150856902" y="2128939"/>
            <a:ext cx="0" cy="133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163</xdr:col>
      <xdr:colOff>85725</xdr:colOff>
      <xdr:row>0</xdr:row>
      <xdr:rowOff>152400</xdr:rowOff>
    </xdr:from>
    <xdr:to>
      <xdr:col>163</xdr:col>
      <xdr:colOff>495300</xdr:colOff>
      <xdr:row>0</xdr:row>
      <xdr:rowOff>257175</xdr:rowOff>
    </xdr:to>
    <xdr:grpSp>
      <xdr:nvGrpSpPr>
        <xdr:cNvPr id="15833797" name="GroupH">
          <a:extLst>
            <a:ext uri="{FF2B5EF4-FFF2-40B4-BE49-F238E27FC236}">
              <a16:creationId xmlns:a16="http://schemas.microsoft.com/office/drawing/2014/main" id="{00000000-0008-0000-1800-0000C59AF100}"/>
            </a:ext>
          </a:extLst>
        </xdr:cNvPr>
        <xdr:cNvGrpSpPr>
          <a:grpSpLocks/>
        </xdr:cNvGrpSpPr>
      </xdr:nvGrpSpPr>
      <xdr:grpSpPr bwMode="auto">
        <a:xfrm>
          <a:off x="172005625" y="152400"/>
          <a:ext cx="409575" cy="104775"/>
          <a:chOff x="150122107" y="1945532"/>
          <a:chExt cx="414235" cy="102139"/>
        </a:xfrm>
      </xdr:grpSpPr>
      <xdr:cxnSp macro="">
        <xdr:nvCxnSpPr>
          <xdr:cNvPr id="212" name="Straight Arrow Connector 211">
            <a:extLst>
              <a:ext uri="{FF2B5EF4-FFF2-40B4-BE49-F238E27FC236}">
                <a16:creationId xmlns:a16="http://schemas.microsoft.com/office/drawing/2014/main" id="{00000000-0008-0000-1800-0000D4000000}"/>
              </a:ext>
            </a:extLst>
          </xdr:cNvPr>
          <xdr:cNvCxnSpPr/>
        </xdr:nvCxnSpPr>
        <xdr:spPr>
          <a:xfrm>
            <a:off x="150131740" y="2047671"/>
            <a:ext cx="404602"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13" name="Straight Arrow Connector 212">
            <a:extLst>
              <a:ext uri="{FF2B5EF4-FFF2-40B4-BE49-F238E27FC236}">
                <a16:creationId xmlns:a16="http://schemas.microsoft.com/office/drawing/2014/main" id="{00000000-0008-0000-1800-0000D5000000}"/>
              </a:ext>
            </a:extLst>
          </xdr:cNvPr>
          <xdr:cNvCxnSpPr/>
        </xdr:nvCxnSpPr>
        <xdr:spPr>
          <a:xfrm rot="10800000">
            <a:off x="150122107" y="1945532"/>
            <a:ext cx="202301" cy="92854"/>
          </a:xfrm>
          <a:prstGeom prst="straightConnector1">
            <a:avLst/>
          </a:prstGeom>
          <a:ln w="22225">
            <a:solidFill>
              <a:schemeClr val="tx1"/>
            </a:solidFill>
            <a:tailEnd type="triangle" w="med" len="lg"/>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cxnSp>
      <xdr:cxnSp macro="">
        <xdr:nvCxnSpPr>
          <xdr:cNvPr id="214" name="Straight Arrow Connector 213">
            <a:extLst>
              <a:ext uri="{FF2B5EF4-FFF2-40B4-BE49-F238E27FC236}">
                <a16:creationId xmlns:a16="http://schemas.microsoft.com/office/drawing/2014/main" id="{00000000-0008-0000-1800-0000D6000000}"/>
              </a:ext>
            </a:extLst>
          </xdr:cNvPr>
          <xdr:cNvCxnSpPr/>
        </xdr:nvCxnSpPr>
        <xdr:spPr>
          <a:xfrm rot="10800000" flipV="1">
            <a:off x="150314774" y="1964103"/>
            <a:ext cx="86700" cy="74283"/>
          </a:xfrm>
          <a:prstGeom prst="straightConnector1">
            <a:avLst/>
          </a:prstGeom>
          <a:ln w="22225">
            <a:solidFill>
              <a:schemeClr val="tx1"/>
            </a:solidFill>
            <a:tailEnd type="none" w="med" len="lg"/>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editAs="oneCell">
    <xdr:from>
      <xdr:col>162</xdr:col>
      <xdr:colOff>28575</xdr:colOff>
      <xdr:row>0</xdr:row>
      <xdr:rowOff>133350</xdr:rowOff>
    </xdr:from>
    <xdr:to>
      <xdr:col>162</xdr:col>
      <xdr:colOff>504825</xdr:colOff>
      <xdr:row>0</xdr:row>
      <xdr:rowOff>266700</xdr:rowOff>
    </xdr:to>
    <xdr:grpSp>
      <xdr:nvGrpSpPr>
        <xdr:cNvPr id="15833798" name="GroupG">
          <a:extLst>
            <a:ext uri="{FF2B5EF4-FFF2-40B4-BE49-F238E27FC236}">
              <a16:creationId xmlns:a16="http://schemas.microsoft.com/office/drawing/2014/main" id="{00000000-0008-0000-1800-0000C69AF100}"/>
            </a:ext>
          </a:extLst>
        </xdr:cNvPr>
        <xdr:cNvGrpSpPr>
          <a:grpSpLocks/>
        </xdr:cNvGrpSpPr>
      </xdr:nvGrpSpPr>
      <xdr:grpSpPr bwMode="auto">
        <a:xfrm>
          <a:off x="171338875" y="133350"/>
          <a:ext cx="476250" cy="133350"/>
          <a:chOff x="149536826" y="1927901"/>
          <a:chExt cx="477465" cy="133350"/>
        </a:xfrm>
      </xdr:grpSpPr>
      <xdr:sp macro="" textlink="">
        <xdr:nvSpPr>
          <xdr:cNvPr id="15833818" name="Line 10179">
            <a:extLst>
              <a:ext uri="{FF2B5EF4-FFF2-40B4-BE49-F238E27FC236}">
                <a16:creationId xmlns:a16="http://schemas.microsoft.com/office/drawing/2014/main" id="{00000000-0008-0000-1800-0000DA9AF100}"/>
              </a:ext>
            </a:extLst>
          </xdr:cNvPr>
          <xdr:cNvSpPr>
            <a:spLocks noChangeShapeType="1"/>
          </xdr:cNvSpPr>
        </xdr:nvSpPr>
        <xdr:spPr bwMode="auto">
          <a:xfrm>
            <a:off x="149536826" y="1995652"/>
            <a:ext cx="228600"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5833819" name="Line 10180">
            <a:extLst>
              <a:ext uri="{FF2B5EF4-FFF2-40B4-BE49-F238E27FC236}">
                <a16:creationId xmlns:a16="http://schemas.microsoft.com/office/drawing/2014/main" id="{00000000-0008-0000-1800-0000DB9AF100}"/>
              </a:ext>
            </a:extLst>
          </xdr:cNvPr>
          <xdr:cNvSpPr>
            <a:spLocks noChangeShapeType="1"/>
          </xdr:cNvSpPr>
        </xdr:nvSpPr>
        <xdr:spPr bwMode="auto">
          <a:xfrm>
            <a:off x="149785691" y="1995652"/>
            <a:ext cx="228600" cy="0"/>
          </a:xfrm>
          <a:prstGeom prst="line">
            <a:avLst/>
          </a:prstGeom>
          <a:noFill/>
          <a:ln w="19050">
            <a:solidFill>
              <a:srgbClr val="000000"/>
            </a:solidFill>
            <a:round/>
            <a:headEnd type="triangle" w="med" len="lg"/>
            <a:tailEnd type="none" w="med" len="lg"/>
          </a:ln>
          <a:extLst>
            <a:ext uri="{909E8E84-426E-40DD-AFC4-6F175D3DCCD1}">
              <a14:hiddenFill xmlns:a14="http://schemas.microsoft.com/office/drawing/2010/main">
                <a:noFill/>
              </a14:hiddenFill>
            </a:ext>
          </a:extLst>
        </xdr:spPr>
      </xdr:sp>
      <xdr:sp macro="" textlink="">
        <xdr:nvSpPr>
          <xdr:cNvPr id="15833820" name="Line 10181">
            <a:extLst>
              <a:ext uri="{FF2B5EF4-FFF2-40B4-BE49-F238E27FC236}">
                <a16:creationId xmlns:a16="http://schemas.microsoft.com/office/drawing/2014/main" id="{00000000-0008-0000-1800-0000DC9AF100}"/>
              </a:ext>
            </a:extLst>
          </xdr:cNvPr>
          <xdr:cNvSpPr>
            <a:spLocks noChangeShapeType="1"/>
          </xdr:cNvSpPr>
        </xdr:nvSpPr>
        <xdr:spPr bwMode="auto">
          <a:xfrm>
            <a:off x="149776322" y="1927901"/>
            <a:ext cx="0" cy="133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161</xdr:col>
      <xdr:colOff>76200</xdr:colOff>
      <xdr:row>0</xdr:row>
      <xdr:rowOff>209550</xdr:rowOff>
    </xdr:from>
    <xdr:to>
      <xdr:col>161</xdr:col>
      <xdr:colOff>485775</xdr:colOff>
      <xdr:row>0</xdr:row>
      <xdr:rowOff>304800</xdr:rowOff>
    </xdr:to>
    <xdr:grpSp>
      <xdr:nvGrpSpPr>
        <xdr:cNvPr id="15833799" name="GroupF">
          <a:extLst>
            <a:ext uri="{FF2B5EF4-FFF2-40B4-BE49-F238E27FC236}">
              <a16:creationId xmlns:a16="http://schemas.microsoft.com/office/drawing/2014/main" id="{00000000-0008-0000-1800-0000C79AF100}"/>
            </a:ext>
          </a:extLst>
        </xdr:cNvPr>
        <xdr:cNvGrpSpPr>
          <a:grpSpLocks/>
        </xdr:cNvGrpSpPr>
      </xdr:nvGrpSpPr>
      <xdr:grpSpPr bwMode="auto">
        <a:xfrm>
          <a:off x="170776900" y="209550"/>
          <a:ext cx="409575" cy="95250"/>
          <a:chOff x="149002209" y="1994169"/>
          <a:chExt cx="404914" cy="94088"/>
        </a:xfrm>
      </xdr:grpSpPr>
      <xdr:cxnSp macro="">
        <xdr:nvCxnSpPr>
          <xdr:cNvPr id="220" name="Straight Arrow Connector 219">
            <a:extLst>
              <a:ext uri="{FF2B5EF4-FFF2-40B4-BE49-F238E27FC236}">
                <a16:creationId xmlns:a16="http://schemas.microsoft.com/office/drawing/2014/main" id="{00000000-0008-0000-1800-0000DC000000}"/>
              </a:ext>
            </a:extLst>
          </xdr:cNvPr>
          <xdr:cNvCxnSpPr/>
        </xdr:nvCxnSpPr>
        <xdr:spPr>
          <a:xfrm>
            <a:off x="149002209" y="1994169"/>
            <a:ext cx="404914"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21" name="Straight Arrow Connector 220">
            <a:extLst>
              <a:ext uri="{FF2B5EF4-FFF2-40B4-BE49-F238E27FC236}">
                <a16:creationId xmlns:a16="http://schemas.microsoft.com/office/drawing/2014/main" id="{00000000-0008-0000-1800-0000DD000000}"/>
              </a:ext>
            </a:extLst>
          </xdr:cNvPr>
          <xdr:cNvCxnSpPr/>
        </xdr:nvCxnSpPr>
        <xdr:spPr>
          <a:xfrm>
            <a:off x="149124625" y="2003578"/>
            <a:ext cx="216582" cy="84679"/>
          </a:xfrm>
          <a:prstGeom prst="straightConnector1">
            <a:avLst/>
          </a:prstGeom>
          <a:ln w="22225">
            <a:solidFill>
              <a:schemeClr val="tx1"/>
            </a:solidFill>
            <a:tailEnd type="triangle" w="med" len="lg"/>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cxnSp>
      <xdr:cxnSp macro="">
        <xdr:nvCxnSpPr>
          <xdr:cNvPr id="222" name="Straight Arrow Connector 221">
            <a:extLst>
              <a:ext uri="{FF2B5EF4-FFF2-40B4-BE49-F238E27FC236}">
                <a16:creationId xmlns:a16="http://schemas.microsoft.com/office/drawing/2014/main" id="{00000000-0008-0000-1800-0000DE000000}"/>
              </a:ext>
            </a:extLst>
          </xdr:cNvPr>
          <xdr:cNvCxnSpPr/>
        </xdr:nvCxnSpPr>
        <xdr:spPr>
          <a:xfrm rot="10800000" flipV="1">
            <a:off x="149021042" y="1994169"/>
            <a:ext cx="84749" cy="75270"/>
          </a:xfrm>
          <a:prstGeom prst="straightConnector1">
            <a:avLst/>
          </a:prstGeom>
          <a:ln w="22225">
            <a:solidFill>
              <a:schemeClr val="tx1"/>
            </a:solidFill>
            <a:tailEnd type="none" w="med" len="lg"/>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editAs="oneCell">
    <xdr:from>
      <xdr:col>159</xdr:col>
      <xdr:colOff>66675</xdr:colOff>
      <xdr:row>0</xdr:row>
      <xdr:rowOff>228600</xdr:rowOff>
    </xdr:from>
    <xdr:to>
      <xdr:col>159</xdr:col>
      <xdr:colOff>466725</xdr:colOff>
      <xdr:row>0</xdr:row>
      <xdr:rowOff>342900</xdr:rowOff>
    </xdr:to>
    <xdr:grpSp>
      <xdr:nvGrpSpPr>
        <xdr:cNvPr id="15833800" name="GroupD">
          <a:extLst>
            <a:ext uri="{FF2B5EF4-FFF2-40B4-BE49-F238E27FC236}">
              <a16:creationId xmlns:a16="http://schemas.microsoft.com/office/drawing/2014/main" id="{00000000-0008-0000-1800-0000C89AF100}"/>
            </a:ext>
          </a:extLst>
        </xdr:cNvPr>
        <xdr:cNvGrpSpPr>
          <a:grpSpLocks/>
        </xdr:cNvGrpSpPr>
      </xdr:nvGrpSpPr>
      <xdr:grpSpPr bwMode="auto">
        <a:xfrm>
          <a:off x="169548175" y="228600"/>
          <a:ext cx="400050" cy="114300"/>
          <a:chOff x="147974320" y="1786850"/>
          <a:chExt cx="404914" cy="110044"/>
        </a:xfrm>
      </xdr:grpSpPr>
      <xdr:cxnSp macro="">
        <xdr:nvCxnSpPr>
          <xdr:cNvPr id="224" name="Straight Arrow Connector 223">
            <a:extLst>
              <a:ext uri="{FF2B5EF4-FFF2-40B4-BE49-F238E27FC236}">
                <a16:creationId xmlns:a16="http://schemas.microsoft.com/office/drawing/2014/main" id="{00000000-0008-0000-1800-0000E0000000}"/>
              </a:ext>
            </a:extLst>
          </xdr:cNvPr>
          <xdr:cNvCxnSpPr/>
        </xdr:nvCxnSpPr>
        <xdr:spPr>
          <a:xfrm>
            <a:off x="147974320" y="1786850"/>
            <a:ext cx="404914"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25" name="Straight Arrow Connector 224">
            <a:extLst>
              <a:ext uri="{FF2B5EF4-FFF2-40B4-BE49-F238E27FC236}">
                <a16:creationId xmlns:a16="http://schemas.microsoft.com/office/drawing/2014/main" id="{00000000-0008-0000-1800-0000E1000000}"/>
              </a:ext>
            </a:extLst>
          </xdr:cNvPr>
          <xdr:cNvCxnSpPr/>
        </xdr:nvCxnSpPr>
        <xdr:spPr>
          <a:xfrm flipV="1">
            <a:off x="148012883" y="1805191"/>
            <a:ext cx="212098" cy="91703"/>
          </a:xfrm>
          <a:prstGeom prst="straightConnector1">
            <a:avLst/>
          </a:prstGeom>
          <a:ln w="22225">
            <a:solidFill>
              <a:schemeClr val="tx1"/>
            </a:solidFill>
            <a:tailEnd type="triangle" w="med" len="lg"/>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editAs="oneCell">
    <xdr:from>
      <xdr:col>158</xdr:col>
      <xdr:colOff>66675</xdr:colOff>
      <xdr:row>0</xdr:row>
      <xdr:rowOff>180975</xdr:rowOff>
    </xdr:from>
    <xdr:to>
      <xdr:col>158</xdr:col>
      <xdr:colOff>409575</xdr:colOff>
      <xdr:row>0</xdr:row>
      <xdr:rowOff>495300</xdr:rowOff>
    </xdr:to>
    <xdr:grpSp>
      <xdr:nvGrpSpPr>
        <xdr:cNvPr id="15833801" name="GroupC">
          <a:extLst>
            <a:ext uri="{FF2B5EF4-FFF2-40B4-BE49-F238E27FC236}">
              <a16:creationId xmlns:a16="http://schemas.microsoft.com/office/drawing/2014/main" id="{00000000-0008-0000-1800-0000C99AF100}"/>
            </a:ext>
          </a:extLst>
        </xdr:cNvPr>
        <xdr:cNvGrpSpPr>
          <a:grpSpLocks/>
        </xdr:cNvGrpSpPr>
      </xdr:nvGrpSpPr>
      <xdr:grpSpPr bwMode="auto">
        <a:xfrm>
          <a:off x="168938575" y="180975"/>
          <a:ext cx="342900" cy="314325"/>
          <a:chOff x="147410724" y="1786849"/>
          <a:chExt cx="340265" cy="308651"/>
        </a:xfrm>
      </xdr:grpSpPr>
      <xdr:cxnSp macro="">
        <xdr:nvCxnSpPr>
          <xdr:cNvPr id="227" name="Straight Arrow Connector 226">
            <a:extLst>
              <a:ext uri="{FF2B5EF4-FFF2-40B4-BE49-F238E27FC236}">
                <a16:creationId xmlns:a16="http://schemas.microsoft.com/office/drawing/2014/main" id="{00000000-0008-0000-1800-0000E3000000}"/>
              </a:ext>
            </a:extLst>
          </xdr:cNvPr>
          <xdr:cNvCxnSpPr/>
        </xdr:nvCxnSpPr>
        <xdr:spPr>
          <a:xfrm>
            <a:off x="147410724" y="1786849"/>
            <a:ext cx="340265"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cxnSp macro="">
        <xdr:nvCxnSpPr>
          <xdr:cNvPr id="228" name="Straight Arrow Connector 227">
            <a:extLst>
              <a:ext uri="{FF2B5EF4-FFF2-40B4-BE49-F238E27FC236}">
                <a16:creationId xmlns:a16="http://schemas.microsoft.com/office/drawing/2014/main" id="{00000000-0008-0000-1800-0000E4000000}"/>
              </a:ext>
            </a:extLst>
          </xdr:cNvPr>
          <xdr:cNvCxnSpPr/>
        </xdr:nvCxnSpPr>
        <xdr:spPr>
          <a:xfrm rot="5400000" flipH="1" flipV="1">
            <a:off x="147587211" y="1941175"/>
            <a:ext cx="308651" cy="0"/>
          </a:xfrm>
          <a:prstGeom prst="straightConnector1">
            <a:avLst/>
          </a:prstGeom>
          <a:ln w="22225">
            <a:solidFill>
              <a:schemeClr val="tx1"/>
            </a:solidFill>
            <a:tailEnd type="triangle" w="med" len="lg"/>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editAs="oneCell">
    <xdr:from>
      <xdr:col>157</xdr:col>
      <xdr:colOff>85725</xdr:colOff>
      <xdr:row>0</xdr:row>
      <xdr:rowOff>190500</xdr:rowOff>
    </xdr:from>
    <xdr:to>
      <xdr:col>157</xdr:col>
      <xdr:colOff>447675</xdr:colOff>
      <xdr:row>0</xdr:row>
      <xdr:rowOff>333375</xdr:rowOff>
    </xdr:to>
    <xdr:grpSp>
      <xdr:nvGrpSpPr>
        <xdr:cNvPr id="15833802" name="GroupB">
          <a:extLst>
            <a:ext uri="{FF2B5EF4-FFF2-40B4-BE49-F238E27FC236}">
              <a16:creationId xmlns:a16="http://schemas.microsoft.com/office/drawing/2014/main" id="{00000000-0008-0000-1800-0000CA9AF100}"/>
            </a:ext>
          </a:extLst>
        </xdr:cNvPr>
        <xdr:cNvGrpSpPr>
          <a:grpSpLocks/>
        </xdr:cNvGrpSpPr>
      </xdr:nvGrpSpPr>
      <xdr:grpSpPr bwMode="auto">
        <a:xfrm>
          <a:off x="168348025" y="190500"/>
          <a:ext cx="361950" cy="142875"/>
          <a:chOff x="146932853" y="2115006"/>
          <a:chExt cx="360484" cy="138583"/>
        </a:xfrm>
      </xdr:grpSpPr>
      <xdr:sp macro="" textlink="">
        <xdr:nvSpPr>
          <xdr:cNvPr id="230" name="Freeform 229">
            <a:extLst>
              <a:ext uri="{FF2B5EF4-FFF2-40B4-BE49-F238E27FC236}">
                <a16:creationId xmlns:a16="http://schemas.microsoft.com/office/drawing/2014/main" id="{00000000-0008-0000-1800-0000E6000000}"/>
              </a:ext>
            </a:extLst>
          </xdr:cNvPr>
          <xdr:cNvSpPr/>
        </xdr:nvSpPr>
        <xdr:spPr>
          <a:xfrm>
            <a:off x="146932853" y="2151961"/>
            <a:ext cx="341511" cy="83150"/>
          </a:xfrm>
          <a:custGeom>
            <a:avLst/>
            <a:gdLst>
              <a:gd name="connsiteX0" fmla="*/ 0 w 304800"/>
              <a:gd name="connsiteY0" fmla="*/ 60325 h 63500"/>
              <a:gd name="connsiteX1" fmla="*/ 66675 w 304800"/>
              <a:gd name="connsiteY1" fmla="*/ 22225 h 63500"/>
              <a:gd name="connsiteX2" fmla="*/ 142875 w 304800"/>
              <a:gd name="connsiteY2" fmla="*/ 60325 h 63500"/>
              <a:gd name="connsiteX3" fmla="*/ 228600 w 304800"/>
              <a:gd name="connsiteY3" fmla="*/ 3175 h 63500"/>
              <a:gd name="connsiteX4" fmla="*/ 304800 w 304800"/>
              <a:gd name="connsiteY4" fmla="*/ 41275 h 635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04800" h="63500">
                <a:moveTo>
                  <a:pt x="0" y="60325"/>
                </a:moveTo>
                <a:cubicBezTo>
                  <a:pt x="21431" y="41275"/>
                  <a:pt x="42863" y="22225"/>
                  <a:pt x="66675" y="22225"/>
                </a:cubicBezTo>
                <a:cubicBezTo>
                  <a:pt x="90487" y="22225"/>
                  <a:pt x="115887" y="63500"/>
                  <a:pt x="142875" y="60325"/>
                </a:cubicBezTo>
                <a:cubicBezTo>
                  <a:pt x="169863" y="57150"/>
                  <a:pt x="201612" y="6350"/>
                  <a:pt x="228600" y="3175"/>
                </a:cubicBezTo>
                <a:cubicBezTo>
                  <a:pt x="255588" y="0"/>
                  <a:pt x="279400" y="34925"/>
                  <a:pt x="304800" y="41275"/>
                </a:cubicBezTo>
              </a:path>
            </a:pathLst>
          </a:custGeom>
          <a:ln w="22225"/>
        </xdr:spPr>
        <xdr:style>
          <a:lnRef idx="2">
            <a:schemeClr val="dk1"/>
          </a:lnRef>
          <a:fillRef idx="0">
            <a:schemeClr val="dk1"/>
          </a:fillRef>
          <a:effectRef idx="1">
            <a:schemeClr val="dk1"/>
          </a:effectRef>
          <a:fontRef idx="minor">
            <a:schemeClr val="tx1"/>
          </a:fontRef>
        </xdr:style>
        <xdr:txBody>
          <a:bodyPr rtlCol="0" anchor="ctr"/>
          <a:lstStyle/>
          <a:p>
            <a:endParaRPr lang="en-US"/>
          </a:p>
        </xdr:txBody>
      </xdr:sp>
      <xdr:cxnSp macro="">
        <xdr:nvCxnSpPr>
          <xdr:cNvPr id="231" name="Straight Arrow Connector 230">
            <a:extLst>
              <a:ext uri="{FF2B5EF4-FFF2-40B4-BE49-F238E27FC236}">
                <a16:creationId xmlns:a16="http://schemas.microsoft.com/office/drawing/2014/main" id="{00000000-0008-0000-1800-0000E7000000}"/>
              </a:ext>
            </a:extLst>
          </xdr:cNvPr>
          <xdr:cNvCxnSpPr/>
        </xdr:nvCxnSpPr>
        <xdr:spPr>
          <a:xfrm rot="16200000" flipV="1">
            <a:off x="147219302" y="2179554"/>
            <a:ext cx="138583" cy="9486"/>
          </a:xfrm>
          <a:prstGeom prst="straightConnector1">
            <a:avLst/>
          </a:prstGeom>
          <a:ln w="22225">
            <a:solidFill>
              <a:schemeClr val="tx1"/>
            </a:solidFill>
            <a:tailEnd type="none" w="med" len="lg"/>
          </a:ln>
        </xdr:spPr>
        <xdr:style>
          <a:lnRef idx="1">
            <a:schemeClr val="accent1"/>
          </a:lnRef>
          <a:fillRef idx="0">
            <a:schemeClr val="accent1"/>
          </a:fillRef>
          <a:effectRef idx="0">
            <a:schemeClr val="accent1"/>
          </a:effectRef>
          <a:fontRef idx="minor">
            <a:schemeClr val="tx1"/>
          </a:fontRef>
        </xdr:style>
      </xdr:cxnSp>
      <xdr:cxnSp macro="">
        <xdr:nvCxnSpPr>
          <xdr:cNvPr id="232" name="Straight Arrow Connector 231">
            <a:extLst>
              <a:ext uri="{FF2B5EF4-FFF2-40B4-BE49-F238E27FC236}">
                <a16:creationId xmlns:a16="http://schemas.microsoft.com/office/drawing/2014/main" id="{00000000-0008-0000-1800-0000E8000000}"/>
              </a:ext>
            </a:extLst>
          </xdr:cNvPr>
          <xdr:cNvCxnSpPr/>
        </xdr:nvCxnSpPr>
        <xdr:spPr>
          <a:xfrm rot="10800000" flipV="1">
            <a:off x="147217446" y="2253589"/>
            <a:ext cx="75891" cy="0"/>
          </a:xfrm>
          <a:prstGeom prst="straightConnector1">
            <a:avLst/>
          </a:prstGeom>
          <a:ln w="22225">
            <a:solidFill>
              <a:schemeClr val="tx1"/>
            </a:solidFill>
            <a:tailEnd type="none" w="med" len="lg"/>
          </a:ln>
        </xdr:spPr>
        <xdr:style>
          <a:lnRef idx="1">
            <a:schemeClr val="accent1"/>
          </a:lnRef>
          <a:fillRef idx="0">
            <a:schemeClr val="accent1"/>
          </a:fillRef>
          <a:effectRef idx="0">
            <a:schemeClr val="accent1"/>
          </a:effectRef>
          <a:fontRef idx="minor">
            <a:schemeClr val="tx1"/>
          </a:fontRef>
        </xdr:style>
      </xdr:cxnSp>
      <xdr:cxnSp macro="">
        <xdr:nvCxnSpPr>
          <xdr:cNvPr id="233" name="Straight Arrow Connector 232">
            <a:extLst>
              <a:ext uri="{FF2B5EF4-FFF2-40B4-BE49-F238E27FC236}">
                <a16:creationId xmlns:a16="http://schemas.microsoft.com/office/drawing/2014/main" id="{00000000-0008-0000-1800-0000E9000000}"/>
              </a:ext>
            </a:extLst>
          </xdr:cNvPr>
          <xdr:cNvCxnSpPr/>
        </xdr:nvCxnSpPr>
        <xdr:spPr>
          <a:xfrm rot="10800000" flipV="1">
            <a:off x="147217446" y="2124245"/>
            <a:ext cx="75891" cy="0"/>
          </a:xfrm>
          <a:prstGeom prst="straightConnector1">
            <a:avLst/>
          </a:prstGeom>
          <a:ln w="22225">
            <a:solidFill>
              <a:schemeClr val="tx1"/>
            </a:solidFill>
            <a:tailEnd type="none" w="med" len="lg"/>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editAs="oneCell">
    <xdr:from>
      <xdr:col>11</xdr:col>
      <xdr:colOff>1397000</xdr:colOff>
      <xdr:row>14</xdr:row>
      <xdr:rowOff>152400</xdr:rowOff>
    </xdr:from>
    <xdr:to>
      <xdr:col>13</xdr:col>
      <xdr:colOff>850900</xdr:colOff>
      <xdr:row>16</xdr:row>
      <xdr:rowOff>88900</xdr:rowOff>
    </xdr:to>
    <xdr:sp macro="" textlink="">
      <xdr:nvSpPr>
        <xdr:cNvPr id="113350" name="CrashType" hidden="1">
          <a:extLst>
            <a:ext uri="{63B3BB69-23CF-44E3-9099-C40C66FF867C}">
              <a14:compatExt xmlns:a14="http://schemas.microsoft.com/office/drawing/2010/main" spid="_x0000_s113350"/>
            </a:ext>
            <a:ext uri="{FF2B5EF4-FFF2-40B4-BE49-F238E27FC236}">
              <a16:creationId xmlns:a16="http://schemas.microsoft.com/office/drawing/2014/main" id="{00000000-0008-0000-1500-0000C6BA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12700</xdr:colOff>
      <xdr:row>16</xdr:row>
      <xdr:rowOff>63500</xdr:rowOff>
    </xdr:from>
    <xdr:to>
      <xdr:col>23</xdr:col>
      <xdr:colOff>393700</xdr:colOff>
      <xdr:row>17</xdr:row>
      <xdr:rowOff>127000</xdr:rowOff>
    </xdr:to>
    <xdr:sp macro="" textlink="">
      <xdr:nvSpPr>
        <xdr:cNvPr id="113351" name="Direction" hidden="1">
          <a:extLst>
            <a:ext uri="{63B3BB69-23CF-44E3-9099-C40C66FF867C}">
              <a14:compatExt xmlns:a14="http://schemas.microsoft.com/office/drawing/2010/main" spid="_x0000_s113351"/>
            </a:ext>
            <a:ext uri="{FF2B5EF4-FFF2-40B4-BE49-F238E27FC236}">
              <a16:creationId xmlns:a16="http://schemas.microsoft.com/office/drawing/2014/main" id="{00000000-0008-0000-1500-0000C7BA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12</xdr:col>
      <xdr:colOff>862853</xdr:colOff>
      <xdr:row>16</xdr:row>
      <xdr:rowOff>112059</xdr:rowOff>
    </xdr:from>
    <xdr:to>
      <xdr:col>12</xdr:col>
      <xdr:colOff>974912</xdr:colOff>
      <xdr:row>18</xdr:row>
      <xdr:rowOff>100853</xdr:rowOff>
    </xdr:to>
    <xdr:cxnSp macro="">
      <xdr:nvCxnSpPr>
        <xdr:cNvPr id="22" name="CrashTypeArrow" hidden="1">
          <a:extLst>
            <a:ext uri="{FF2B5EF4-FFF2-40B4-BE49-F238E27FC236}">
              <a16:creationId xmlns:a16="http://schemas.microsoft.com/office/drawing/2014/main" id="{00000000-0008-0000-1800-000016000000}"/>
            </a:ext>
          </a:extLst>
        </xdr:cNvPr>
        <xdr:cNvCxnSpPr/>
      </xdr:nvCxnSpPr>
      <xdr:spPr>
        <a:xfrm flipH="1">
          <a:off x="15475324" y="3496235"/>
          <a:ext cx="112059" cy="313765"/>
        </a:xfrm>
        <a:prstGeom prst="straightConnector1">
          <a:avLst/>
        </a:prstGeom>
        <a:ln>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absolute">
    <xdr:from>
      <xdr:col>0</xdr:col>
      <xdr:colOff>21981</xdr:colOff>
      <xdr:row>7</xdr:row>
      <xdr:rowOff>183173</xdr:rowOff>
    </xdr:from>
    <xdr:to>
      <xdr:col>1</xdr:col>
      <xdr:colOff>779744</xdr:colOff>
      <xdr:row>11</xdr:row>
      <xdr:rowOff>9525</xdr:rowOff>
    </xdr:to>
    <xdr:sp macro="[0]!ToggleMaps" textlink="">
      <xdr:nvSpPr>
        <xdr:cNvPr id="126" name="TextBox 125">
          <a:extLst>
            <a:ext uri="{FF2B5EF4-FFF2-40B4-BE49-F238E27FC236}">
              <a16:creationId xmlns:a16="http://schemas.microsoft.com/office/drawing/2014/main" id="{00000000-0008-0000-1800-00007E000000}"/>
            </a:ext>
          </a:extLst>
        </xdr:cNvPr>
        <xdr:cNvSpPr txBox="1"/>
      </xdr:nvSpPr>
      <xdr:spPr>
        <a:xfrm>
          <a:off x="21981" y="1983398"/>
          <a:ext cx="1586438" cy="626452"/>
        </a:xfrm>
        <a:prstGeom prst="roundRect">
          <a:avLst>
            <a:gd name="adj" fmla="val 37500"/>
          </a:avLst>
        </a:prstGeom>
        <a:solidFill>
          <a:schemeClr val="bg2">
            <a:lumMod val="75000"/>
          </a:schemeClr>
        </a:solidFill>
        <a:ln w="9525" cmpd="sng">
          <a:noFill/>
        </a:ln>
        <a:effectLst>
          <a:outerShdw blurRad="50800" dist="38100" dir="8100000" algn="tr" rotWithShape="0">
            <a:prstClr val="black">
              <a:alpha val="40000"/>
            </a:prstClr>
          </a:outerShdw>
        </a:effectLst>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b="1">
              <a:latin typeface="Century Gothic" pitchFamily="34" charset="0"/>
            </a:rPr>
            <a:t>Toggle "On" to View Videolog,</a:t>
          </a:r>
          <a:r>
            <a:rPr lang="en-US" sz="800" b="1" baseline="0">
              <a:latin typeface="Century Gothic" pitchFamily="34" charset="0"/>
            </a:rPr>
            <a:t> Maps, Notes Section</a:t>
          </a:r>
          <a:endParaRPr lang="en-US" sz="800" b="1">
            <a:latin typeface="Century Gothic" pitchFamily="34" charset="0"/>
          </a:endParaRPr>
        </a:p>
      </xdr:txBody>
    </xdr:sp>
    <xdr:clientData fPrintsWithSheet="0"/>
  </xdr:twoCellAnchor>
  <xdr:twoCellAnchor>
    <xdr:from>
      <xdr:col>0</xdr:col>
      <xdr:colOff>809625</xdr:colOff>
      <xdr:row>12</xdr:row>
      <xdr:rowOff>95250</xdr:rowOff>
    </xdr:from>
    <xdr:to>
      <xdr:col>1</xdr:col>
      <xdr:colOff>1581150</xdr:colOff>
      <xdr:row>18</xdr:row>
      <xdr:rowOff>66675</xdr:rowOff>
    </xdr:to>
    <xdr:sp macro="" textlink="">
      <xdr:nvSpPr>
        <xdr:cNvPr id="3" name="HandlogInd" hidden="1">
          <a:extLst>
            <a:ext uri="{FF2B5EF4-FFF2-40B4-BE49-F238E27FC236}">
              <a16:creationId xmlns:a16="http://schemas.microsoft.com/office/drawing/2014/main" id="{00000000-0008-0000-1800-000003000000}"/>
            </a:ext>
          </a:extLst>
        </xdr:cNvPr>
        <xdr:cNvSpPr/>
      </xdr:nvSpPr>
      <xdr:spPr>
        <a:xfrm>
          <a:off x="809625" y="2857500"/>
          <a:ext cx="1600200" cy="952500"/>
        </a:xfrm>
        <a:prstGeom prst="downArrowCallout">
          <a:avLst/>
        </a:prstGeom>
        <a:gradFill>
          <a:gsLst>
            <a:gs pos="0">
              <a:srgbClr val="FFFF00"/>
            </a:gs>
            <a:gs pos="35000">
              <a:srgbClr val="CC9900"/>
            </a:gs>
            <a:gs pos="100000">
              <a:schemeClr val="dk1">
                <a:tint val="15000"/>
                <a:satMod val="350000"/>
              </a:schemeClr>
            </a:gs>
          </a:gsLst>
        </a:gra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a:t>Highlight Yellow </a:t>
          </a:r>
          <a:r>
            <a:rPr lang="en-US" sz="1100" baseline="0"/>
            <a:t> to Indicate hand logged crashes.</a:t>
          </a:r>
          <a:endParaRPr lang="en-US" sz="1100"/>
        </a:p>
      </xdr:txBody>
    </xdr:sp>
    <xdr:clientData/>
  </xdr:twoCellAnchor>
  <xdr:twoCellAnchor editAs="oneCell">
    <xdr:from>
      <xdr:col>1</xdr:col>
      <xdr:colOff>1113865</xdr:colOff>
      <xdr:row>0</xdr:row>
      <xdr:rowOff>0</xdr:rowOff>
    </xdr:from>
    <xdr:to>
      <xdr:col>4</xdr:col>
      <xdr:colOff>693021</xdr:colOff>
      <xdr:row>1</xdr:row>
      <xdr:rowOff>0</xdr:rowOff>
    </xdr:to>
    <xdr:pic>
      <xdr:nvPicPr>
        <xdr:cNvPr id="130" name="Picture 27">
          <a:extLst>
            <a:ext uri="{FF2B5EF4-FFF2-40B4-BE49-F238E27FC236}">
              <a16:creationId xmlns:a16="http://schemas.microsoft.com/office/drawing/2014/main" id="{00000000-0008-0000-1800-000082000000}"/>
            </a:ext>
          </a:extLst>
        </xdr:cNvPr>
        <xdr:cNvPicPr>
          <a:picLocks noChangeAspect="1" noChangeArrowheads="1"/>
        </xdr:cNvPicPr>
      </xdr:nvPicPr>
      <xdr:blipFill>
        <a:blip xmlns:r="http://schemas.openxmlformats.org/officeDocument/2006/relationships" r:embed="rId3" cstate="email">
          <a:lum bright="24000" contrast="30000"/>
          <a:extLst>
            <a:ext uri="{28A0092B-C50C-407E-A947-70E740481C1C}">
              <a14:useLocalDpi xmlns:a14="http://schemas.microsoft.com/office/drawing/2010/main"/>
            </a:ext>
          </a:extLst>
        </a:blip>
        <a:srcRect/>
        <a:stretch>
          <a:fillRect/>
        </a:stretch>
      </xdr:blipFill>
      <xdr:spPr bwMode="auto">
        <a:xfrm>
          <a:off x="1942540" y="0"/>
          <a:ext cx="3998756" cy="65722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1069041</xdr:colOff>
      <xdr:row>3</xdr:row>
      <xdr:rowOff>117661</xdr:rowOff>
    </xdr:from>
    <xdr:to>
      <xdr:col>3</xdr:col>
      <xdr:colOff>159621</xdr:colOff>
      <xdr:row>7</xdr:row>
      <xdr:rowOff>135590</xdr:rowOff>
    </xdr:to>
    <xdr:sp macro="" textlink="">
      <xdr:nvSpPr>
        <xdr:cNvPr id="131" name="Text Box 443">
          <a:hlinkClick xmlns:r="http://schemas.openxmlformats.org/officeDocument/2006/relationships" r:id="rId4"/>
          <a:extLst>
            <a:ext uri="{FF2B5EF4-FFF2-40B4-BE49-F238E27FC236}">
              <a16:creationId xmlns:a16="http://schemas.microsoft.com/office/drawing/2014/main" id="{00000000-0008-0000-1800-000083000000}"/>
            </a:ext>
          </a:extLst>
        </xdr:cNvPr>
        <xdr:cNvSpPr txBox="1">
          <a:spLocks noChangeArrowheads="1"/>
        </xdr:cNvSpPr>
      </xdr:nvSpPr>
      <xdr:spPr bwMode="auto">
        <a:xfrm>
          <a:off x="1897716" y="1165411"/>
          <a:ext cx="2195730" cy="770404"/>
        </a:xfrm>
        <a:prstGeom prst="rect">
          <a:avLst/>
        </a:prstGeom>
        <a:solidFill>
          <a:schemeClr val="tx2">
            <a:lumMod val="40000"/>
            <a:lumOff val="60000"/>
          </a:schemeClr>
        </a:solidFill>
        <a:ln>
          <a:headEnd/>
          <a:tailEnd/>
        </a:ln>
      </xdr:spPr>
      <xdr:style>
        <a:lnRef idx="0">
          <a:schemeClr val="accent2"/>
        </a:lnRef>
        <a:fillRef idx="3">
          <a:schemeClr val="accent2"/>
        </a:fillRef>
        <a:effectRef idx="3">
          <a:schemeClr val="accent2"/>
        </a:effectRef>
        <a:fontRef idx="minor">
          <a:schemeClr val="lt1"/>
        </a:fontRef>
      </xdr:style>
      <xdr:txBody>
        <a:bodyPr vertOverflow="clip" wrap="square" lIns="27432" tIns="22860" rIns="0" bIns="0" anchor="t" upright="1"/>
        <a:lstStyle/>
        <a:p>
          <a:pPr algn="ctr" rtl="0">
            <a:defRPr sz="1000"/>
          </a:pPr>
          <a:r>
            <a:rPr lang="en-US" sz="900" b="1" i="0" strike="noStrike">
              <a:solidFill>
                <a:sysClr val="windowText" lastClr="000000"/>
              </a:solidFill>
              <a:latin typeface="Tahoma"/>
              <a:cs typeface="Tahoma"/>
            </a:rPr>
            <a:t>Macros Must Be Enabled to Run the CAM Tool</a:t>
          </a:r>
          <a:endParaRPr lang="en-US" sz="900" b="1" i="0" strike="noStrike" baseline="0">
            <a:solidFill>
              <a:sysClr val="windowText" lastClr="000000"/>
            </a:solidFill>
            <a:latin typeface="Tahoma"/>
            <a:cs typeface="Tahoma"/>
          </a:endParaRPr>
        </a:p>
        <a:p>
          <a:pPr algn="ctr" rtl="0">
            <a:defRPr sz="1000"/>
          </a:pPr>
          <a:endParaRPr lang="en-US" sz="900" b="1" i="0" strike="noStrike" baseline="0">
            <a:solidFill>
              <a:sysClr val="windowText" lastClr="000000"/>
            </a:solidFill>
            <a:latin typeface="Tahoma"/>
            <a:cs typeface="Tahoma"/>
          </a:endParaRPr>
        </a:p>
        <a:p>
          <a:pPr algn="ctr" rtl="0">
            <a:defRPr sz="1000"/>
          </a:pPr>
          <a:r>
            <a:rPr lang="en-US" sz="900" b="1" i="0" strike="noStrike" baseline="0">
              <a:solidFill>
                <a:sysClr val="windowText" lastClr="000000"/>
              </a:solidFill>
              <a:latin typeface="Tahoma"/>
              <a:cs typeface="Tahoma"/>
            </a:rPr>
            <a:t>Click to go to help on enabling Macros on Excel 2007</a:t>
          </a:r>
        </a:p>
        <a:p>
          <a:pPr algn="ctr" rtl="0">
            <a:defRPr sz="1000"/>
          </a:pPr>
          <a:endParaRPr lang="en-US" sz="900" b="1" i="0" strike="noStrike">
            <a:solidFill>
              <a:sysClr val="windowText" lastClr="000000"/>
            </a:solidFill>
            <a:latin typeface="Tahoma"/>
            <a:cs typeface="Tahoma"/>
          </a:endParaRPr>
        </a:p>
      </xdr:txBody>
    </xdr:sp>
    <xdr:clientData/>
  </xdr:twoCellAnchor>
  <xdr:twoCellAnchor editAs="oneCell">
    <xdr:from>
      <xdr:col>3</xdr:col>
      <xdr:colOff>437029</xdr:colOff>
      <xdr:row>3</xdr:row>
      <xdr:rowOff>79560</xdr:rowOff>
    </xdr:from>
    <xdr:to>
      <xdr:col>4</xdr:col>
      <xdr:colOff>777127</xdr:colOff>
      <xdr:row>8</xdr:row>
      <xdr:rowOff>559</xdr:rowOff>
    </xdr:to>
    <xdr:sp macro="" textlink="">
      <xdr:nvSpPr>
        <xdr:cNvPr id="132" name="Text Box 443">
          <a:extLst>
            <a:ext uri="{FF2B5EF4-FFF2-40B4-BE49-F238E27FC236}">
              <a16:creationId xmlns:a16="http://schemas.microsoft.com/office/drawing/2014/main" id="{00000000-0008-0000-1800-000084000000}"/>
            </a:ext>
          </a:extLst>
        </xdr:cNvPr>
        <xdr:cNvSpPr txBox="1">
          <a:spLocks noChangeArrowheads="1"/>
        </xdr:cNvSpPr>
      </xdr:nvSpPr>
      <xdr:spPr bwMode="auto">
        <a:xfrm>
          <a:off x="4370854" y="1127310"/>
          <a:ext cx="1654548" cy="873499"/>
        </a:xfrm>
        <a:prstGeom prst="rect">
          <a:avLst/>
        </a:prstGeom>
        <a:solidFill>
          <a:schemeClr val="accent2"/>
        </a:solidFill>
        <a:ln>
          <a:headEnd/>
          <a:tailEnd/>
        </a:ln>
      </xdr:spPr>
      <xdr:style>
        <a:lnRef idx="0">
          <a:schemeClr val="accent2"/>
        </a:lnRef>
        <a:fillRef idx="3">
          <a:schemeClr val="accent2"/>
        </a:fillRef>
        <a:effectRef idx="3">
          <a:schemeClr val="accent2"/>
        </a:effectRef>
        <a:fontRef idx="minor">
          <a:schemeClr val="lt1"/>
        </a:fontRef>
      </xdr:style>
      <xdr:txBody>
        <a:bodyPr vertOverflow="clip" wrap="square" lIns="27432" tIns="22860" rIns="0" bIns="0" anchor="t" upright="1"/>
        <a:lstStyle/>
        <a:p>
          <a:pPr algn="ctr" rtl="0">
            <a:defRPr sz="1000"/>
          </a:pPr>
          <a:r>
            <a:rPr lang="en-US" sz="900" b="1" i="0" strike="noStrike" baseline="0">
              <a:solidFill>
                <a:sysClr val="windowText" lastClr="000000"/>
              </a:solidFill>
              <a:latin typeface="Tahoma"/>
              <a:cs typeface="Tahoma"/>
            </a:rPr>
            <a:t>DO NOT INSERT OR HIDE COLUMNS IN THE CAM TOOL!</a:t>
          </a:r>
        </a:p>
        <a:p>
          <a:pPr algn="ctr" rtl="0">
            <a:defRPr sz="1000"/>
          </a:pPr>
          <a:endParaRPr lang="en-US" sz="900" b="1" i="0" strike="noStrike" baseline="0">
            <a:solidFill>
              <a:sysClr val="windowText" lastClr="000000"/>
            </a:solidFill>
            <a:latin typeface="Tahoma"/>
            <a:cs typeface="Tahoma"/>
          </a:endParaRPr>
        </a:p>
        <a:p>
          <a:pPr algn="ctr" rtl="0">
            <a:defRPr sz="1000"/>
          </a:pPr>
          <a:r>
            <a:rPr lang="en-US" sz="900" b="1" i="0" strike="noStrike" baseline="0">
              <a:solidFill>
                <a:sysClr val="windowText" lastClr="000000"/>
              </a:solidFill>
              <a:latin typeface="Tahoma"/>
              <a:cs typeface="Tahoma"/>
            </a:rPr>
            <a:t>THE TOOL WILL NOT RUN PROPERLY.</a:t>
          </a:r>
        </a:p>
        <a:p>
          <a:pPr algn="ctr" rtl="0">
            <a:defRPr sz="1000"/>
          </a:pPr>
          <a:endParaRPr lang="en-US" sz="900" b="1" i="0" strike="noStrike">
            <a:solidFill>
              <a:sysClr val="windowText" lastClr="000000"/>
            </a:solidFill>
            <a:latin typeface="Tahoma"/>
            <a:cs typeface="Tahoma"/>
          </a:endParaRPr>
        </a:p>
      </xdr:txBody>
    </xdr:sp>
    <xdr:clientData/>
  </xdr:twoCellAnchor>
  <xdr:twoCellAnchor>
    <xdr:from>
      <xdr:col>7</xdr:col>
      <xdr:colOff>577102</xdr:colOff>
      <xdr:row>1</xdr:row>
      <xdr:rowOff>24653</xdr:rowOff>
    </xdr:from>
    <xdr:to>
      <xdr:col>8</xdr:col>
      <xdr:colOff>1057073</xdr:colOff>
      <xdr:row>7</xdr:row>
      <xdr:rowOff>135031</xdr:rowOff>
    </xdr:to>
    <xdr:grpSp>
      <xdr:nvGrpSpPr>
        <xdr:cNvPr id="133" name="Group 132">
          <a:hlinkClick xmlns:r="http://schemas.openxmlformats.org/officeDocument/2006/relationships" r:id="rId5"/>
          <a:extLst>
            <a:ext uri="{FF2B5EF4-FFF2-40B4-BE49-F238E27FC236}">
              <a16:creationId xmlns:a16="http://schemas.microsoft.com/office/drawing/2014/main" id="{00000000-0008-0000-1800-000085000000}"/>
            </a:ext>
          </a:extLst>
        </xdr:cNvPr>
        <xdr:cNvGrpSpPr/>
      </xdr:nvGrpSpPr>
      <xdr:grpSpPr>
        <a:xfrm>
          <a:off x="9746502" y="672353"/>
          <a:ext cx="2156371" cy="1278778"/>
          <a:chOff x="7328646" y="728382"/>
          <a:chExt cx="1954105" cy="1086971"/>
        </a:xfrm>
      </xdr:grpSpPr>
      <xdr:pic>
        <xdr:nvPicPr>
          <xdr:cNvPr id="134" name="Picture 133">
            <a:extLst>
              <a:ext uri="{FF2B5EF4-FFF2-40B4-BE49-F238E27FC236}">
                <a16:creationId xmlns:a16="http://schemas.microsoft.com/office/drawing/2014/main" id="{00000000-0008-0000-1800-00008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7328646" y="728382"/>
            <a:ext cx="1954105" cy="1086971"/>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sp macro="" textlink="">
        <xdr:nvSpPr>
          <xdr:cNvPr id="135" name="Rounded Rectangle 134">
            <a:extLst>
              <a:ext uri="{FF2B5EF4-FFF2-40B4-BE49-F238E27FC236}">
                <a16:creationId xmlns:a16="http://schemas.microsoft.com/office/drawing/2014/main" id="{00000000-0008-0000-1800-000087000000}"/>
              </a:ext>
            </a:extLst>
          </xdr:cNvPr>
          <xdr:cNvSpPr/>
        </xdr:nvSpPr>
        <xdr:spPr>
          <a:xfrm>
            <a:off x="7362266" y="756494"/>
            <a:ext cx="1893793" cy="24363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400" b="1">
                <a:solidFill>
                  <a:srgbClr val="FF0000"/>
                </a:solidFill>
              </a:rPr>
              <a:t>View Crash Reports</a:t>
            </a:r>
          </a:p>
        </xdr:txBody>
      </xdr:sp>
    </xdr:grpSp>
    <xdr:clientData/>
  </xdr:twoCellAnchor>
  <xdr:twoCellAnchor>
    <xdr:from>
      <xdr:col>4</xdr:col>
      <xdr:colOff>1045508</xdr:colOff>
      <xdr:row>0</xdr:row>
      <xdr:rowOff>137832</xdr:rowOff>
    </xdr:from>
    <xdr:to>
      <xdr:col>10</xdr:col>
      <xdr:colOff>1009650</xdr:colOff>
      <xdr:row>0</xdr:row>
      <xdr:rowOff>541245</xdr:rowOff>
    </xdr:to>
    <xdr:sp macro="" textlink="">
      <xdr:nvSpPr>
        <xdr:cNvPr id="136" name="Text Box 41">
          <a:extLst>
            <a:ext uri="{FF2B5EF4-FFF2-40B4-BE49-F238E27FC236}">
              <a16:creationId xmlns:a16="http://schemas.microsoft.com/office/drawing/2014/main" id="{00000000-0008-0000-1800-000088000000}"/>
            </a:ext>
          </a:extLst>
        </xdr:cNvPr>
        <xdr:cNvSpPr txBox="1">
          <a:spLocks noChangeArrowheads="1"/>
        </xdr:cNvSpPr>
      </xdr:nvSpPr>
      <xdr:spPr bwMode="auto">
        <a:xfrm>
          <a:off x="6293783" y="137832"/>
          <a:ext cx="6764992" cy="403413"/>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a:r>
            <a:rPr lang="en-US" sz="1600" b="1">
              <a:effectLst/>
              <a:latin typeface="+mn-lt"/>
              <a:ea typeface="+mn-ea"/>
              <a:cs typeface="+mn-cs"/>
            </a:rPr>
            <a:t>Click any of the image boxes</a:t>
          </a:r>
          <a:r>
            <a:rPr lang="en-US" sz="1600" b="1" baseline="0">
              <a:effectLst/>
              <a:latin typeface="+mn-lt"/>
              <a:ea typeface="+mn-ea"/>
              <a:cs typeface="+mn-cs"/>
            </a:rPr>
            <a:t> below to access the desired link</a:t>
          </a:r>
          <a:endParaRPr lang="en-US" sz="1100">
            <a:effectLst/>
          </a:endParaRPr>
        </a:p>
      </xdr:txBody>
    </xdr:sp>
    <xdr:clientData/>
  </xdr:twoCellAnchor>
  <xdr:twoCellAnchor editAs="oneCell">
    <xdr:from>
      <xdr:col>0</xdr:col>
      <xdr:colOff>28575</xdr:colOff>
      <xdr:row>0</xdr:row>
      <xdr:rowOff>28575</xdr:rowOff>
    </xdr:from>
    <xdr:to>
      <xdr:col>1</xdr:col>
      <xdr:colOff>1048311</xdr:colOff>
      <xdr:row>1</xdr:row>
      <xdr:rowOff>118177</xdr:rowOff>
    </xdr:to>
    <xdr:pic>
      <xdr:nvPicPr>
        <xdr:cNvPr id="137" name="Picture 136">
          <a:extLst>
            <a:ext uri="{FF2B5EF4-FFF2-40B4-BE49-F238E27FC236}">
              <a16:creationId xmlns:a16="http://schemas.microsoft.com/office/drawing/2014/main" id="{00000000-0008-0000-1800-00008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575" y="28575"/>
          <a:ext cx="1848411" cy="746827"/>
        </a:xfrm>
        <a:prstGeom prst="rect">
          <a:avLst/>
        </a:prstGeom>
      </xdr:spPr>
    </xdr:pic>
    <xdr:clientData/>
  </xdr:twoCellAnchor>
  <xdr:twoCellAnchor>
    <xdr:from>
      <xdr:col>4</xdr:col>
      <xdr:colOff>1111002</xdr:colOff>
      <xdr:row>1</xdr:row>
      <xdr:rowOff>34178</xdr:rowOff>
    </xdr:from>
    <xdr:to>
      <xdr:col>7</xdr:col>
      <xdr:colOff>396876</xdr:colOff>
      <xdr:row>7</xdr:row>
      <xdr:rowOff>133350</xdr:rowOff>
    </xdr:to>
    <xdr:grpSp>
      <xdr:nvGrpSpPr>
        <xdr:cNvPr id="138" name="Group 137">
          <a:hlinkClick xmlns:r="http://schemas.openxmlformats.org/officeDocument/2006/relationships" r:id="rId8"/>
          <a:extLst>
            <a:ext uri="{FF2B5EF4-FFF2-40B4-BE49-F238E27FC236}">
              <a16:creationId xmlns:a16="http://schemas.microsoft.com/office/drawing/2014/main" id="{00000000-0008-0000-1800-00008A000000}"/>
            </a:ext>
          </a:extLst>
        </xdr:cNvPr>
        <xdr:cNvGrpSpPr/>
      </xdr:nvGrpSpPr>
      <xdr:grpSpPr>
        <a:xfrm>
          <a:off x="7118102" y="681878"/>
          <a:ext cx="2448174" cy="1267572"/>
          <a:chOff x="11698941" y="728382"/>
          <a:chExt cx="2151530" cy="1288677"/>
        </a:xfrm>
      </xdr:grpSpPr>
      <xdr:pic>
        <xdr:nvPicPr>
          <xdr:cNvPr id="139" name="Picture 138">
            <a:extLst>
              <a:ext uri="{FF2B5EF4-FFF2-40B4-BE49-F238E27FC236}">
                <a16:creationId xmlns:a16="http://schemas.microsoft.com/office/drawing/2014/main" id="{00000000-0008-0000-1800-00008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11698941" y="728382"/>
            <a:ext cx="2151530" cy="1288677"/>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sp macro="" textlink="">
        <xdr:nvSpPr>
          <xdr:cNvPr id="140" name="Rounded Rectangle 139">
            <a:extLst>
              <a:ext uri="{FF2B5EF4-FFF2-40B4-BE49-F238E27FC236}">
                <a16:creationId xmlns:a16="http://schemas.microsoft.com/office/drawing/2014/main" id="{00000000-0008-0000-1800-00008C000000}"/>
              </a:ext>
            </a:extLst>
          </xdr:cNvPr>
          <xdr:cNvSpPr/>
        </xdr:nvSpPr>
        <xdr:spPr>
          <a:xfrm>
            <a:off x="11710145" y="762000"/>
            <a:ext cx="2129120" cy="25773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400" b="1">
                <a:solidFill>
                  <a:srgbClr val="FF0000"/>
                </a:solidFill>
              </a:rPr>
              <a:t>GCAT Resources</a:t>
            </a:r>
          </a:p>
        </xdr:txBody>
      </xdr:sp>
    </xdr:grpSp>
    <xdr:clientData/>
  </xdr:twoCellAnchor>
  <xdr:twoCellAnchor>
    <xdr:from>
      <xdr:col>4</xdr:col>
      <xdr:colOff>1109942</xdr:colOff>
      <xdr:row>8</xdr:row>
      <xdr:rowOff>91889</xdr:rowOff>
    </xdr:from>
    <xdr:to>
      <xdr:col>7</xdr:col>
      <xdr:colOff>400050</xdr:colOff>
      <xdr:row>16</xdr:row>
      <xdr:rowOff>58270</xdr:rowOff>
    </xdr:to>
    <xdr:grpSp>
      <xdr:nvGrpSpPr>
        <xdr:cNvPr id="141" name="Group 140">
          <a:hlinkClick xmlns:r="http://schemas.openxmlformats.org/officeDocument/2006/relationships" r:id="rId10"/>
          <a:extLst>
            <a:ext uri="{FF2B5EF4-FFF2-40B4-BE49-F238E27FC236}">
              <a16:creationId xmlns:a16="http://schemas.microsoft.com/office/drawing/2014/main" id="{00000000-0008-0000-1800-00008D000000}"/>
            </a:ext>
          </a:extLst>
        </xdr:cNvPr>
        <xdr:cNvGrpSpPr/>
      </xdr:nvGrpSpPr>
      <xdr:grpSpPr>
        <a:xfrm>
          <a:off x="7117042" y="2111189"/>
          <a:ext cx="2452408" cy="1401481"/>
          <a:chOff x="9468970" y="2185147"/>
          <a:chExt cx="2084294" cy="1378323"/>
        </a:xfrm>
      </xdr:grpSpPr>
      <xdr:pic>
        <xdr:nvPicPr>
          <xdr:cNvPr id="142" name="Picture 141">
            <a:hlinkClick xmlns:r="http://schemas.openxmlformats.org/officeDocument/2006/relationships" r:id="rId11"/>
            <a:extLst>
              <a:ext uri="{FF2B5EF4-FFF2-40B4-BE49-F238E27FC236}">
                <a16:creationId xmlns:a16="http://schemas.microsoft.com/office/drawing/2014/main" id="{00000000-0008-0000-1800-00008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9468970" y="2185147"/>
            <a:ext cx="2084294" cy="1378323"/>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sp macro="" textlink="">
        <xdr:nvSpPr>
          <xdr:cNvPr id="143" name="Rounded Rectangle 142">
            <a:extLst>
              <a:ext uri="{FF2B5EF4-FFF2-40B4-BE49-F238E27FC236}">
                <a16:creationId xmlns:a16="http://schemas.microsoft.com/office/drawing/2014/main" id="{00000000-0008-0000-1800-00008F000000}"/>
              </a:ext>
            </a:extLst>
          </xdr:cNvPr>
          <xdr:cNvSpPr/>
        </xdr:nvSpPr>
        <xdr:spPr>
          <a:xfrm>
            <a:off x="9491380" y="2196353"/>
            <a:ext cx="2028265" cy="25773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100" b="1">
                <a:solidFill>
                  <a:srgbClr val="FF0000"/>
                </a:solidFill>
              </a:rPr>
              <a:t>ODOT Program</a:t>
            </a:r>
            <a:r>
              <a:rPr lang="en-US" sz="1100" b="1" baseline="0">
                <a:solidFill>
                  <a:srgbClr val="FF0000"/>
                </a:solidFill>
              </a:rPr>
              <a:t> Management</a:t>
            </a:r>
            <a:endParaRPr lang="en-US" sz="1100" b="1">
              <a:solidFill>
                <a:srgbClr val="FF0000"/>
              </a:solidFill>
            </a:endParaRPr>
          </a:p>
        </xdr:txBody>
      </xdr:sp>
    </xdr:grpSp>
    <xdr:clientData/>
  </xdr:twoCellAnchor>
  <xdr:twoCellAnchor>
    <xdr:from>
      <xdr:col>11</xdr:col>
      <xdr:colOff>54320</xdr:colOff>
      <xdr:row>1</xdr:row>
      <xdr:rowOff>18982</xdr:rowOff>
    </xdr:from>
    <xdr:to>
      <xdr:col>12</xdr:col>
      <xdr:colOff>904485</xdr:colOff>
      <xdr:row>3</xdr:row>
      <xdr:rowOff>47625</xdr:rowOff>
    </xdr:to>
    <xdr:sp macro="" textlink="">
      <xdr:nvSpPr>
        <xdr:cNvPr id="144" name="Rounded Rectangle 143">
          <a:hlinkClick xmlns:r="http://schemas.openxmlformats.org/officeDocument/2006/relationships" r:id="rId13"/>
          <a:extLst>
            <a:ext uri="{FF2B5EF4-FFF2-40B4-BE49-F238E27FC236}">
              <a16:creationId xmlns:a16="http://schemas.microsoft.com/office/drawing/2014/main" id="{00000000-0008-0000-1800-000090000000}"/>
            </a:ext>
          </a:extLst>
        </xdr:cNvPr>
        <xdr:cNvSpPr/>
      </xdr:nvSpPr>
      <xdr:spPr>
        <a:xfrm>
          <a:off x="13332170" y="676207"/>
          <a:ext cx="2393215" cy="419168"/>
        </a:xfrm>
        <a:prstGeom prst="roundRect">
          <a:avLst/>
        </a:prstGeom>
        <a:ln w="57150"/>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400" b="1" baseline="0">
              <a:solidFill>
                <a:srgbClr val="FF0000"/>
              </a:solidFill>
            </a:rPr>
            <a:t>Handlog Instructions</a:t>
          </a:r>
          <a:endParaRPr lang="en-US" sz="1400" b="1">
            <a:solidFill>
              <a:srgbClr val="FF0000"/>
            </a:solidFill>
          </a:endParaRPr>
        </a:p>
      </xdr:txBody>
    </xdr:sp>
    <xdr:clientData/>
  </xdr:twoCellAnchor>
  <xdr:twoCellAnchor>
    <xdr:from>
      <xdr:col>9</xdr:col>
      <xdr:colOff>222935</xdr:colOff>
      <xdr:row>10</xdr:row>
      <xdr:rowOff>25505</xdr:rowOff>
    </xdr:from>
    <xdr:to>
      <xdr:col>10</xdr:col>
      <xdr:colOff>675092</xdr:colOff>
      <xdr:row>11</xdr:row>
      <xdr:rowOff>91732</xdr:rowOff>
    </xdr:to>
    <xdr:sp macro="" textlink="">
      <xdr:nvSpPr>
        <xdr:cNvPr id="145" name="Rounded Rectangle 144">
          <a:hlinkClick xmlns:r="http://schemas.openxmlformats.org/officeDocument/2006/relationships" r:id="rId14"/>
          <a:extLst>
            <a:ext uri="{FF2B5EF4-FFF2-40B4-BE49-F238E27FC236}">
              <a16:creationId xmlns:a16="http://schemas.microsoft.com/office/drawing/2014/main" id="{00000000-0008-0000-1800-000091000000}"/>
            </a:ext>
          </a:extLst>
        </xdr:cNvPr>
        <xdr:cNvSpPr/>
      </xdr:nvSpPr>
      <xdr:spPr>
        <a:xfrm>
          <a:off x="10957610" y="2425805"/>
          <a:ext cx="1766607" cy="266252"/>
        </a:xfrm>
        <a:prstGeom prst="roundRect">
          <a:avLst/>
        </a:prstGeom>
        <a:ln w="38100"/>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400" b="1">
              <a:solidFill>
                <a:srgbClr val="FF0000"/>
              </a:solidFill>
            </a:rPr>
            <a:t>ADT</a:t>
          </a:r>
          <a:r>
            <a:rPr lang="en-US" sz="1400" b="1" baseline="0">
              <a:solidFill>
                <a:srgbClr val="FF0000"/>
              </a:solidFill>
            </a:rPr>
            <a:t> Volumes</a:t>
          </a:r>
          <a:endParaRPr lang="en-US" sz="1400" b="1">
            <a:solidFill>
              <a:srgbClr val="FF0000"/>
            </a:solidFill>
          </a:endParaRPr>
        </a:p>
      </xdr:txBody>
    </xdr:sp>
    <xdr:clientData/>
  </xdr:twoCellAnchor>
  <xdr:twoCellAnchor>
    <xdr:from>
      <xdr:col>9</xdr:col>
      <xdr:colOff>229011</xdr:colOff>
      <xdr:row>8</xdr:row>
      <xdr:rowOff>85915</xdr:rowOff>
    </xdr:from>
    <xdr:to>
      <xdr:col>10</xdr:col>
      <xdr:colOff>681168</xdr:colOff>
      <xdr:row>9</xdr:row>
      <xdr:rowOff>156452</xdr:rowOff>
    </xdr:to>
    <xdr:sp macro="" textlink="">
      <xdr:nvSpPr>
        <xdr:cNvPr id="146" name="Rounded Rectangle 145">
          <a:hlinkClick xmlns:r="http://schemas.openxmlformats.org/officeDocument/2006/relationships" r:id="rId15"/>
          <a:extLst>
            <a:ext uri="{FF2B5EF4-FFF2-40B4-BE49-F238E27FC236}">
              <a16:creationId xmlns:a16="http://schemas.microsoft.com/office/drawing/2014/main" id="{00000000-0008-0000-1800-000092000000}"/>
            </a:ext>
          </a:extLst>
        </xdr:cNvPr>
        <xdr:cNvSpPr/>
      </xdr:nvSpPr>
      <xdr:spPr>
        <a:xfrm>
          <a:off x="10963686" y="2086165"/>
          <a:ext cx="1766607" cy="270562"/>
        </a:xfrm>
        <a:prstGeom prst="roundRect">
          <a:avLst/>
        </a:prstGeom>
        <a:ln w="38100"/>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400" b="1">
              <a:solidFill>
                <a:srgbClr val="FF0000"/>
              </a:solidFill>
            </a:rPr>
            <a:t>ODOT</a:t>
          </a:r>
          <a:r>
            <a:rPr lang="en-US" sz="1400" b="1" baseline="0">
              <a:solidFill>
                <a:srgbClr val="FF0000"/>
              </a:solidFill>
            </a:rPr>
            <a:t> Destape</a:t>
          </a:r>
        </a:p>
      </xdr:txBody>
    </xdr:sp>
    <xdr:clientData/>
  </xdr:twoCellAnchor>
  <xdr:twoCellAnchor>
    <xdr:from>
      <xdr:col>12</xdr:col>
      <xdr:colOff>1309968</xdr:colOff>
      <xdr:row>1</xdr:row>
      <xdr:rowOff>12609</xdr:rowOff>
    </xdr:from>
    <xdr:to>
      <xdr:col>14</xdr:col>
      <xdr:colOff>30257</xdr:colOff>
      <xdr:row>7</xdr:row>
      <xdr:rowOff>166691</xdr:rowOff>
    </xdr:to>
    <xdr:grpSp>
      <xdr:nvGrpSpPr>
        <xdr:cNvPr id="147" name="Group 146">
          <a:hlinkClick xmlns:r="http://schemas.openxmlformats.org/officeDocument/2006/relationships" r:id="rId16"/>
          <a:extLst>
            <a:ext uri="{FF2B5EF4-FFF2-40B4-BE49-F238E27FC236}">
              <a16:creationId xmlns:a16="http://schemas.microsoft.com/office/drawing/2014/main" id="{00000000-0008-0000-1800-000093000000}"/>
            </a:ext>
          </a:extLst>
        </xdr:cNvPr>
        <xdr:cNvGrpSpPr/>
      </xdr:nvGrpSpPr>
      <xdr:grpSpPr>
        <a:xfrm>
          <a:off x="18251768" y="660309"/>
          <a:ext cx="2352489" cy="1322482"/>
          <a:chOff x="15901146" y="726423"/>
          <a:chExt cx="1905001" cy="1285876"/>
        </a:xfrm>
      </xdr:grpSpPr>
      <xdr:pic>
        <xdr:nvPicPr>
          <xdr:cNvPr id="148" name="Picture 147">
            <a:extLst>
              <a:ext uri="{FF2B5EF4-FFF2-40B4-BE49-F238E27FC236}">
                <a16:creationId xmlns:a16="http://schemas.microsoft.com/office/drawing/2014/main" id="{00000000-0008-0000-1800-00009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5901146" y="726423"/>
            <a:ext cx="1905001" cy="1285876"/>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sp macro="" textlink="">
        <xdr:nvSpPr>
          <xdr:cNvPr id="149" name="Rounded Rectangle 148">
            <a:extLst>
              <a:ext uri="{FF2B5EF4-FFF2-40B4-BE49-F238E27FC236}">
                <a16:creationId xmlns:a16="http://schemas.microsoft.com/office/drawing/2014/main" id="{00000000-0008-0000-1800-000095000000}"/>
              </a:ext>
            </a:extLst>
          </xdr:cNvPr>
          <xdr:cNvSpPr/>
        </xdr:nvSpPr>
        <xdr:spPr>
          <a:xfrm>
            <a:off x="15934765" y="750794"/>
            <a:ext cx="1848970" cy="28579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400" b="1">
                <a:solidFill>
                  <a:srgbClr val="FF0000"/>
                </a:solidFill>
              </a:rPr>
              <a:t>AutoCAM</a:t>
            </a:r>
            <a:r>
              <a:rPr lang="en-US" sz="1400" b="1" baseline="0">
                <a:solidFill>
                  <a:srgbClr val="FF0000"/>
                </a:solidFill>
              </a:rPr>
              <a:t> Tool</a:t>
            </a:r>
            <a:endParaRPr lang="en-US" sz="1400" b="1">
              <a:solidFill>
                <a:srgbClr val="FF0000"/>
              </a:solidFill>
            </a:endParaRPr>
          </a:p>
        </xdr:txBody>
      </xdr:sp>
    </xdr:grpSp>
    <xdr:clientData/>
  </xdr:twoCellAnchor>
  <xdr:twoCellAnchor>
    <xdr:from>
      <xdr:col>12</xdr:col>
      <xdr:colOff>1308286</xdr:colOff>
      <xdr:row>8</xdr:row>
      <xdr:rowOff>124947</xdr:rowOff>
    </xdr:from>
    <xdr:to>
      <xdr:col>14</xdr:col>
      <xdr:colOff>39781</xdr:colOff>
      <xdr:row>16</xdr:row>
      <xdr:rowOff>68359</xdr:rowOff>
    </xdr:to>
    <xdr:grpSp>
      <xdr:nvGrpSpPr>
        <xdr:cNvPr id="150" name="Group 149">
          <a:hlinkClick xmlns:r="http://schemas.openxmlformats.org/officeDocument/2006/relationships" r:id="rId18"/>
          <a:extLst>
            <a:ext uri="{FF2B5EF4-FFF2-40B4-BE49-F238E27FC236}">
              <a16:creationId xmlns:a16="http://schemas.microsoft.com/office/drawing/2014/main" id="{00000000-0008-0000-1800-000096000000}"/>
            </a:ext>
          </a:extLst>
        </xdr:cNvPr>
        <xdr:cNvGrpSpPr/>
      </xdr:nvGrpSpPr>
      <xdr:grpSpPr>
        <a:xfrm>
          <a:off x="18250086" y="2144247"/>
          <a:ext cx="2363695" cy="1378512"/>
          <a:chOff x="15889940" y="2140324"/>
          <a:chExt cx="1916207" cy="1332941"/>
        </a:xfrm>
      </xdr:grpSpPr>
      <xdr:pic>
        <xdr:nvPicPr>
          <xdr:cNvPr id="151" name="Picture 150">
            <a:extLst>
              <a:ext uri="{FF2B5EF4-FFF2-40B4-BE49-F238E27FC236}">
                <a16:creationId xmlns:a16="http://schemas.microsoft.com/office/drawing/2014/main" id="{00000000-0008-0000-1800-00009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15889940" y="2140324"/>
            <a:ext cx="1916207" cy="1332941"/>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sp macro="" textlink="">
        <xdr:nvSpPr>
          <xdr:cNvPr id="152" name="Rounded Rectangle 151">
            <a:extLst>
              <a:ext uri="{FF2B5EF4-FFF2-40B4-BE49-F238E27FC236}">
                <a16:creationId xmlns:a16="http://schemas.microsoft.com/office/drawing/2014/main" id="{00000000-0008-0000-1800-000098000000}"/>
              </a:ext>
            </a:extLst>
          </xdr:cNvPr>
          <xdr:cNvSpPr/>
        </xdr:nvSpPr>
        <xdr:spPr>
          <a:xfrm>
            <a:off x="15912353" y="2151530"/>
            <a:ext cx="1871381" cy="32497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300" b="1">
                <a:solidFill>
                  <a:srgbClr val="FF0000"/>
                </a:solidFill>
              </a:rPr>
              <a:t>Safety</a:t>
            </a:r>
            <a:r>
              <a:rPr lang="en-US" sz="1300" b="1" baseline="0">
                <a:solidFill>
                  <a:srgbClr val="FF0000"/>
                </a:solidFill>
              </a:rPr>
              <a:t> Location Lookup</a:t>
            </a:r>
            <a:endParaRPr lang="en-US" sz="1300" b="1">
              <a:solidFill>
                <a:srgbClr val="FF0000"/>
              </a:solidFill>
            </a:endParaRPr>
          </a:p>
        </xdr:txBody>
      </xdr:sp>
    </xdr:grpSp>
    <xdr:clientData/>
  </xdr:twoCellAnchor>
  <xdr:twoCellAnchor>
    <xdr:from>
      <xdr:col>12</xdr:col>
      <xdr:colOff>1279712</xdr:colOff>
      <xdr:row>0</xdr:row>
      <xdr:rowOff>110941</xdr:rowOff>
    </xdr:from>
    <xdr:to>
      <xdr:col>14</xdr:col>
      <xdr:colOff>44824</xdr:colOff>
      <xdr:row>0</xdr:row>
      <xdr:rowOff>514354</xdr:rowOff>
    </xdr:to>
    <xdr:sp macro="" textlink="">
      <xdr:nvSpPr>
        <xdr:cNvPr id="153" name="Text Box 41">
          <a:extLst>
            <a:ext uri="{FF2B5EF4-FFF2-40B4-BE49-F238E27FC236}">
              <a16:creationId xmlns:a16="http://schemas.microsoft.com/office/drawing/2014/main" id="{00000000-0008-0000-1800-000099000000}"/>
            </a:ext>
          </a:extLst>
        </xdr:cNvPr>
        <xdr:cNvSpPr txBox="1">
          <a:spLocks noChangeArrowheads="1"/>
        </xdr:cNvSpPr>
      </xdr:nvSpPr>
      <xdr:spPr bwMode="auto">
        <a:xfrm>
          <a:off x="16100612" y="110941"/>
          <a:ext cx="1946462" cy="403413"/>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a:r>
            <a:rPr lang="en-US" sz="1600" b="1">
              <a:effectLst/>
              <a:latin typeface="+mn-lt"/>
              <a:ea typeface="+mn-ea"/>
              <a:cs typeface="+mn-cs"/>
            </a:rPr>
            <a:t>ODOT Internal</a:t>
          </a:r>
          <a:endParaRPr lang="en-US" sz="1100">
            <a:effectLst/>
          </a:endParaRPr>
        </a:p>
      </xdr:txBody>
    </xdr:sp>
    <xdr:clientData/>
  </xdr:twoCellAnchor>
  <xdr:twoCellAnchor editAs="absolute">
    <xdr:from>
      <xdr:col>10</xdr:col>
      <xdr:colOff>1163677</xdr:colOff>
      <xdr:row>3</xdr:row>
      <xdr:rowOff>144017</xdr:rowOff>
    </xdr:from>
    <xdr:to>
      <xdr:col>12</xdr:col>
      <xdr:colOff>1054669</xdr:colOff>
      <xdr:row>7</xdr:row>
      <xdr:rowOff>733</xdr:rowOff>
    </xdr:to>
    <xdr:sp macro="[0]!Handlog_Shading" textlink="">
      <xdr:nvSpPr>
        <xdr:cNvPr id="154" name="TextBox 153">
          <a:extLst>
            <a:ext uri="{FF2B5EF4-FFF2-40B4-BE49-F238E27FC236}">
              <a16:creationId xmlns:a16="http://schemas.microsoft.com/office/drawing/2014/main" id="{00000000-0008-0000-1800-00009A000000}"/>
            </a:ext>
          </a:extLst>
        </xdr:cNvPr>
        <xdr:cNvSpPr txBox="1"/>
      </xdr:nvSpPr>
      <xdr:spPr>
        <a:xfrm>
          <a:off x="13212802" y="1191767"/>
          <a:ext cx="2662767" cy="609191"/>
        </a:xfrm>
        <a:prstGeom prst="roundRect">
          <a:avLst>
            <a:gd name="adj" fmla="val 37500"/>
          </a:avLst>
        </a:prstGeom>
        <a:solidFill>
          <a:schemeClr val="bg2">
            <a:lumMod val="75000"/>
          </a:schemeClr>
        </a:solidFill>
        <a:ln w="9525" cmpd="sng">
          <a:noFill/>
        </a:ln>
        <a:effectLst>
          <a:outerShdw blurRad="50800" dist="38100" dir="8100000" algn="tr" rotWithShape="0">
            <a:prstClr val="black">
              <a:alpha val="40000"/>
            </a:prstClr>
          </a:outerShdw>
        </a:effectLst>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i="0" u="none">
              <a:latin typeface="Century Gothic" pitchFamily="34" charset="0"/>
            </a:rPr>
            <a:t>Click</a:t>
          </a:r>
          <a:r>
            <a:rPr lang="en-US" sz="1100" b="1" i="0" u="none" baseline="0">
              <a:latin typeface="Century Gothic" pitchFamily="34" charset="0"/>
            </a:rPr>
            <a:t> here to highlight data columns that can be hand logged</a:t>
          </a:r>
          <a:endParaRPr lang="en-US" sz="1100" b="1" i="0" u="none">
            <a:latin typeface="Century Gothic" pitchFamily="34" charset="0"/>
          </a:endParaRPr>
        </a:p>
      </xdr:txBody>
    </xdr:sp>
    <xdr:clientData fPrintsWithSheet="0"/>
  </xdr:twoCellAnchor>
  <xdr:twoCellAnchor>
    <xdr:from>
      <xdr:col>10</xdr:col>
      <xdr:colOff>1192742</xdr:colOff>
      <xdr:row>0</xdr:row>
      <xdr:rowOff>139700</xdr:rowOff>
    </xdr:from>
    <xdr:to>
      <xdr:col>12</xdr:col>
      <xdr:colOff>988483</xdr:colOff>
      <xdr:row>0</xdr:row>
      <xdr:rowOff>531283</xdr:rowOff>
    </xdr:to>
    <xdr:sp macro="" textlink="">
      <xdr:nvSpPr>
        <xdr:cNvPr id="155" name="Text Box 41">
          <a:extLst>
            <a:ext uri="{FF2B5EF4-FFF2-40B4-BE49-F238E27FC236}">
              <a16:creationId xmlns:a16="http://schemas.microsoft.com/office/drawing/2014/main" id="{00000000-0008-0000-1800-00009B000000}"/>
            </a:ext>
          </a:extLst>
        </xdr:cNvPr>
        <xdr:cNvSpPr txBox="1">
          <a:spLocks noChangeArrowheads="1"/>
        </xdr:cNvSpPr>
      </xdr:nvSpPr>
      <xdr:spPr bwMode="auto">
        <a:xfrm>
          <a:off x="13241867" y="139700"/>
          <a:ext cx="2567516" cy="391583"/>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a:r>
            <a:rPr lang="en-US" sz="1600" b="1">
              <a:effectLst/>
            </a:rPr>
            <a:t>Handlog</a:t>
          </a:r>
          <a:r>
            <a:rPr lang="en-US" sz="1600" b="1" baseline="0">
              <a:effectLst/>
            </a:rPr>
            <a:t> Information</a:t>
          </a:r>
          <a:endParaRPr lang="en-US" sz="1600" b="1">
            <a:effectLst/>
          </a:endParaRPr>
        </a:p>
      </xdr:txBody>
    </xdr:sp>
    <xdr:clientData/>
  </xdr:twoCellAnchor>
  <xdr:twoCellAnchor>
    <xdr:from>
      <xdr:col>7</xdr:col>
      <xdr:colOff>581024</xdr:colOff>
      <xdr:row>8</xdr:row>
      <xdr:rowOff>85725</xdr:rowOff>
    </xdr:from>
    <xdr:to>
      <xdr:col>8</xdr:col>
      <xdr:colOff>1066799</xdr:colOff>
      <xdr:row>16</xdr:row>
      <xdr:rowOff>57150</xdr:rowOff>
    </xdr:to>
    <xdr:grpSp>
      <xdr:nvGrpSpPr>
        <xdr:cNvPr id="156" name="Group 155">
          <a:extLst>
            <a:ext uri="{FF2B5EF4-FFF2-40B4-BE49-F238E27FC236}">
              <a16:creationId xmlns:a16="http://schemas.microsoft.com/office/drawing/2014/main" id="{00000000-0008-0000-1800-00009C000000}"/>
            </a:ext>
          </a:extLst>
        </xdr:cNvPr>
        <xdr:cNvGrpSpPr/>
      </xdr:nvGrpSpPr>
      <xdr:grpSpPr>
        <a:xfrm>
          <a:off x="9750424" y="2105025"/>
          <a:ext cx="2162175" cy="1406525"/>
          <a:chOff x="10782300" y="752476"/>
          <a:chExt cx="1857375" cy="1247774"/>
        </a:xfrm>
      </xdr:grpSpPr>
      <xdr:pic>
        <xdr:nvPicPr>
          <xdr:cNvPr id="157" name="Picture 156">
            <a:hlinkClick xmlns:r="http://schemas.openxmlformats.org/officeDocument/2006/relationships" r:id="rId20"/>
            <a:extLst>
              <a:ext uri="{FF2B5EF4-FFF2-40B4-BE49-F238E27FC236}">
                <a16:creationId xmlns:a16="http://schemas.microsoft.com/office/drawing/2014/main" id="{00000000-0008-0000-1800-00009D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0782300" y="752476"/>
            <a:ext cx="1857375" cy="1247774"/>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sp macro="" textlink="">
        <xdr:nvSpPr>
          <xdr:cNvPr id="158" name="Rounded Rectangle 157">
            <a:extLst>
              <a:ext uri="{FF2B5EF4-FFF2-40B4-BE49-F238E27FC236}">
                <a16:creationId xmlns:a16="http://schemas.microsoft.com/office/drawing/2014/main" id="{00000000-0008-0000-1800-00009E000000}"/>
              </a:ext>
            </a:extLst>
          </xdr:cNvPr>
          <xdr:cNvSpPr/>
        </xdr:nvSpPr>
        <xdr:spPr>
          <a:xfrm>
            <a:off x="10810875" y="783226"/>
            <a:ext cx="1809750" cy="238766"/>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400" b="1">
                <a:solidFill>
                  <a:srgbClr val="FF0000"/>
                </a:solidFill>
              </a:rPr>
              <a:t>Launch TIMS-GCAT</a:t>
            </a:r>
          </a:p>
        </xdr:txBody>
      </xdr:sp>
    </xdr:grpSp>
    <xdr:clientData/>
  </xdr:twoCellAnchor>
  <xdr:twoCellAnchor>
    <xdr:from>
      <xdr:col>8</xdr:col>
      <xdr:colOff>1246130</xdr:colOff>
      <xdr:row>1</xdr:row>
      <xdr:rowOff>19050</xdr:rowOff>
    </xdr:from>
    <xdr:to>
      <xdr:col>10</xdr:col>
      <xdr:colOff>942974</xdr:colOff>
      <xdr:row>7</xdr:row>
      <xdr:rowOff>123825</xdr:rowOff>
    </xdr:to>
    <xdr:grpSp>
      <xdr:nvGrpSpPr>
        <xdr:cNvPr id="159" name="Group 158">
          <a:hlinkClick xmlns:r="http://schemas.openxmlformats.org/officeDocument/2006/relationships" r:id="rId22"/>
          <a:extLst>
            <a:ext uri="{FF2B5EF4-FFF2-40B4-BE49-F238E27FC236}">
              <a16:creationId xmlns:a16="http://schemas.microsoft.com/office/drawing/2014/main" id="{00000000-0008-0000-1800-00009F000000}"/>
            </a:ext>
          </a:extLst>
        </xdr:cNvPr>
        <xdr:cNvGrpSpPr/>
      </xdr:nvGrpSpPr>
      <xdr:grpSpPr>
        <a:xfrm>
          <a:off x="12091930" y="666750"/>
          <a:ext cx="2617844" cy="1273175"/>
          <a:chOff x="10799705" y="695325"/>
          <a:chExt cx="2259069" cy="1247775"/>
        </a:xfrm>
      </xdr:grpSpPr>
      <xdr:pic>
        <xdr:nvPicPr>
          <xdr:cNvPr id="160" name="Picture 159">
            <a:extLst>
              <a:ext uri="{FF2B5EF4-FFF2-40B4-BE49-F238E27FC236}">
                <a16:creationId xmlns:a16="http://schemas.microsoft.com/office/drawing/2014/main" id="{00000000-0008-0000-1800-0000A0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799705" y="695325"/>
            <a:ext cx="2259069" cy="1247775"/>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sp macro="" textlink="">
        <xdr:nvSpPr>
          <xdr:cNvPr id="161" name="Rounded Rectangle 160">
            <a:extLst>
              <a:ext uri="{FF2B5EF4-FFF2-40B4-BE49-F238E27FC236}">
                <a16:creationId xmlns:a16="http://schemas.microsoft.com/office/drawing/2014/main" id="{00000000-0008-0000-1800-0000A1000000}"/>
              </a:ext>
            </a:extLst>
          </xdr:cNvPr>
          <xdr:cNvSpPr/>
        </xdr:nvSpPr>
        <xdr:spPr>
          <a:xfrm>
            <a:off x="10821864" y="710310"/>
            <a:ext cx="2208335" cy="34696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200" b="1">
                <a:solidFill>
                  <a:srgbClr val="FF0000"/>
                </a:solidFill>
              </a:rPr>
              <a:t>TIMS-GCAT</a:t>
            </a:r>
            <a:r>
              <a:rPr lang="en-US" sz="1200" b="1" baseline="0">
                <a:solidFill>
                  <a:srgbClr val="FF0000"/>
                </a:solidFill>
              </a:rPr>
              <a:t> 'How to' Recording</a:t>
            </a:r>
            <a:endParaRPr lang="en-US" sz="1200" b="1">
              <a:solidFill>
                <a:srgbClr val="FF0000"/>
              </a:solidFill>
            </a:endParaRPr>
          </a:p>
        </xdr:txBody>
      </xdr:sp>
    </xdr:grpSp>
    <xdr:clientData/>
  </xdr:twoCellAnchor>
  <xdr:twoCellAnchor>
    <xdr:from>
      <xdr:col>2</xdr:col>
      <xdr:colOff>556935</xdr:colOff>
      <xdr:row>0</xdr:row>
      <xdr:rowOff>389965</xdr:rowOff>
    </xdr:from>
    <xdr:to>
      <xdr:col>3</xdr:col>
      <xdr:colOff>691405</xdr:colOff>
      <xdr:row>0</xdr:row>
      <xdr:rowOff>591672</xdr:rowOff>
    </xdr:to>
    <xdr:sp macro="" textlink="">
      <xdr:nvSpPr>
        <xdr:cNvPr id="162" name="WordArt 28">
          <a:extLst>
            <a:ext uri="{FF2B5EF4-FFF2-40B4-BE49-F238E27FC236}">
              <a16:creationId xmlns:a16="http://schemas.microsoft.com/office/drawing/2014/main" id="{00000000-0008-0000-1800-0000A2000000}"/>
            </a:ext>
          </a:extLst>
        </xdr:cNvPr>
        <xdr:cNvSpPr>
          <a:spLocks noChangeArrowheads="1" noChangeShapeType="1"/>
        </xdr:cNvSpPr>
      </xdr:nvSpPr>
      <xdr:spPr bwMode="auto">
        <a:xfrm>
          <a:off x="3071535" y="389965"/>
          <a:ext cx="1553695" cy="201707"/>
        </a:xfrm>
        <a:prstGeom prst="rect">
          <a:avLst/>
        </a:prstGeom>
        <a:solidFill>
          <a:schemeClr val="bg1">
            <a:lumMod val="75000"/>
            <a:alpha val="69000"/>
          </a:schemeClr>
        </a:solidFill>
      </xdr:spPr>
      <xdr:txBody>
        <a:bodyPr vertOverflow="clip" wrap="none" lIns="18288" tIns="0" rIns="0" bIns="0" fromWordArt="1" anchor="t" upright="1">
          <a:prstTxWarp prst="textPlain">
            <a:avLst>
              <a:gd name="adj" fmla="val 50000"/>
            </a:avLst>
          </a:prstTxWarp>
        </a:bodyPr>
        <a:lstStyle/>
        <a:p>
          <a:pPr algn="ctr" rtl="0"/>
          <a:r>
            <a:rPr lang="en-US" sz="2400" b="1" kern="10" spc="0">
              <a:ln w="15875">
                <a:solidFill>
                  <a:srgbClr val="000000"/>
                </a:solidFill>
                <a:round/>
                <a:headEnd/>
                <a:tailEnd/>
              </a:ln>
              <a:solidFill>
                <a:srgbClr val="FFFFFF"/>
              </a:solidFill>
              <a:effectLst>
                <a:outerShdw dist="35921" dir="2700000" algn="ctr" rotWithShape="0">
                  <a:srgbClr val="C0C0C0">
                    <a:alpha val="80000"/>
                  </a:srgbClr>
                </a:outerShdw>
              </a:effectLst>
              <a:latin typeface="Impact"/>
            </a:rPr>
            <a:t>GCAT / GQL</a:t>
          </a:r>
        </a:p>
      </xdr:txBody>
    </xdr:sp>
    <xdr:clientData/>
  </xdr:twoCellAnchor>
  <xdr:twoCellAnchor>
    <xdr:from>
      <xdr:col>1</xdr:col>
      <xdr:colOff>1132915</xdr:colOff>
      <xdr:row>0</xdr:row>
      <xdr:rowOff>47625</xdr:rowOff>
    </xdr:from>
    <xdr:to>
      <xdr:col>4</xdr:col>
      <xdr:colOff>718297</xdr:colOff>
      <xdr:row>0</xdr:row>
      <xdr:rowOff>271743</xdr:rowOff>
    </xdr:to>
    <xdr:sp macro="" textlink="">
      <xdr:nvSpPr>
        <xdr:cNvPr id="163" name="WordArt 28">
          <a:extLst>
            <a:ext uri="{FF2B5EF4-FFF2-40B4-BE49-F238E27FC236}">
              <a16:creationId xmlns:a16="http://schemas.microsoft.com/office/drawing/2014/main" id="{00000000-0008-0000-1800-0000A3000000}"/>
            </a:ext>
          </a:extLst>
        </xdr:cNvPr>
        <xdr:cNvSpPr>
          <a:spLocks noChangeArrowheads="1" noChangeShapeType="1"/>
        </xdr:cNvSpPr>
      </xdr:nvSpPr>
      <xdr:spPr bwMode="auto">
        <a:xfrm>
          <a:off x="1961590" y="47625"/>
          <a:ext cx="4004982" cy="224118"/>
        </a:xfrm>
        <a:prstGeom prst="rect">
          <a:avLst/>
        </a:prstGeom>
        <a:solidFill>
          <a:schemeClr val="bg1">
            <a:lumMod val="75000"/>
            <a:alpha val="58000"/>
          </a:schemeClr>
        </a:solidFill>
      </xdr:spPr>
      <xdr:txBody>
        <a:bodyPr vertOverflow="clip" wrap="none" lIns="18288" tIns="0" rIns="0" bIns="0" fromWordArt="1" anchor="t" upright="1">
          <a:prstTxWarp prst="textPlain">
            <a:avLst>
              <a:gd name="adj" fmla="val 50000"/>
            </a:avLst>
          </a:prstTxWarp>
        </a:bodyPr>
        <a:lstStyle/>
        <a:p>
          <a:pPr algn="ctr" rtl="0"/>
          <a:r>
            <a:rPr lang="en-US" sz="2400" b="1" kern="10" spc="0">
              <a:ln w="15875">
                <a:solidFill>
                  <a:srgbClr val="000000"/>
                </a:solidFill>
                <a:round/>
                <a:headEnd/>
                <a:tailEnd/>
              </a:ln>
              <a:solidFill>
                <a:srgbClr val="FFFFFF"/>
              </a:solidFill>
              <a:effectLst>
                <a:outerShdw dist="35921" dir="2700000" algn="ctr" rotWithShape="0">
                  <a:srgbClr val="C0C0C0">
                    <a:alpha val="80000"/>
                  </a:srgbClr>
                </a:outerShdw>
              </a:effectLst>
              <a:latin typeface="Impact"/>
            </a:rPr>
            <a:t>CRASH ANALYSIS MODULE - CAM Tool </a:t>
          </a:r>
        </a:p>
      </xdr:txBody>
    </xdr:sp>
    <xdr:clientData/>
  </xdr:twoCellAnchor>
  <xdr:twoCellAnchor editAs="oneCell">
    <xdr:from>
      <xdr:col>11</xdr:col>
      <xdr:colOff>1397000</xdr:colOff>
      <xdr:row>14</xdr:row>
      <xdr:rowOff>152400</xdr:rowOff>
    </xdr:from>
    <xdr:to>
      <xdr:col>13</xdr:col>
      <xdr:colOff>850900</xdr:colOff>
      <xdr:row>16</xdr:row>
      <xdr:rowOff>88900</xdr:rowOff>
    </xdr:to>
    <xdr:pic>
      <xdr:nvPicPr>
        <xdr:cNvPr id="2" name="CrashType" hidden="1">
          <a:extLst>
            <a:ext uri="{FF2B5EF4-FFF2-40B4-BE49-F238E27FC236}">
              <a16:creationId xmlns:a16="http://schemas.microsoft.com/office/drawing/2014/main" id="{B623C6C4-44AC-1507-7358-C1D8FE99CD00}"/>
            </a:ext>
          </a:extLst>
        </xdr:cNvPr>
        <xdr:cNvPicPr preferRelativeResize="0">
          <a:picLocks noChangeArrowheads="1" noChangeShapeType="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6573500" y="3276600"/>
          <a:ext cx="30861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22</xdr:col>
      <xdr:colOff>12700</xdr:colOff>
      <xdr:row>16</xdr:row>
      <xdr:rowOff>63500</xdr:rowOff>
    </xdr:from>
    <xdr:to>
      <xdr:col>23</xdr:col>
      <xdr:colOff>393700</xdr:colOff>
      <xdr:row>17</xdr:row>
      <xdr:rowOff>127000</xdr:rowOff>
    </xdr:to>
    <xdr:pic>
      <xdr:nvPicPr>
        <xdr:cNvPr id="4" name="Direction" hidden="1">
          <a:extLst>
            <a:ext uri="{FF2B5EF4-FFF2-40B4-BE49-F238E27FC236}">
              <a16:creationId xmlns:a16="http://schemas.microsoft.com/office/drawing/2014/main" id="{DFDBA47D-8CD7-4708-F71B-16D57C0BE5E5}"/>
            </a:ext>
          </a:extLst>
        </xdr:cNvPr>
        <xdr:cNvPicPr preferRelativeResize="0">
          <a:picLocks noChangeArrowheads="1" noChangeShapeType="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8874700" y="3517900"/>
          <a:ext cx="20955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8</xdr:col>
      <xdr:colOff>158787</xdr:colOff>
      <xdr:row>0</xdr:row>
      <xdr:rowOff>0</xdr:rowOff>
    </xdr:from>
    <xdr:to>
      <xdr:col>10</xdr:col>
      <xdr:colOff>952500</xdr:colOff>
      <xdr:row>4</xdr:row>
      <xdr:rowOff>0</xdr:rowOff>
    </xdr:to>
    <xdr:sp macro="[0]!ShowToolbar" textlink="">
      <xdr:nvSpPr>
        <xdr:cNvPr id="2" name="AutoShape 4">
          <a:extLst>
            <a:ext uri="{FF2B5EF4-FFF2-40B4-BE49-F238E27FC236}">
              <a16:creationId xmlns:a16="http://schemas.microsoft.com/office/drawing/2014/main" id="{00000000-0008-0000-1900-000002000000}"/>
            </a:ext>
          </a:extLst>
        </xdr:cNvPr>
        <xdr:cNvSpPr>
          <a:spLocks noChangeArrowheads="1"/>
        </xdr:cNvSpPr>
      </xdr:nvSpPr>
      <xdr:spPr bwMode="auto">
        <a:xfrm>
          <a:off x="4768103" y="0"/>
          <a:ext cx="1546412" cy="717176"/>
        </a:xfrm>
        <a:prstGeom prst="bevel">
          <a:avLst>
            <a:gd name="adj" fmla="val 12500"/>
          </a:avLst>
        </a:prstGeom>
        <a:gradFill rotWithShape="1">
          <a:gsLst>
            <a:gs pos="0">
              <a:srgbClr val="FFFFFF">
                <a:gamma/>
                <a:shade val="66275"/>
                <a:invGamma/>
              </a:srgbClr>
            </a:gs>
            <a:gs pos="50000">
              <a:srgbClr val="FFFFFF"/>
            </a:gs>
            <a:gs pos="100000">
              <a:srgbClr val="FFFFFF">
                <a:gamma/>
                <a:shade val="66275"/>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1" i="0" strike="noStrike">
              <a:solidFill>
                <a:srgbClr val="0000FF"/>
              </a:solidFill>
              <a:latin typeface="Tahoma"/>
              <a:cs typeface="Tahoma"/>
            </a:rPr>
            <a:t>Click To Open Analysis Toolbox or Press "Ctrl" + " t "</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2</xdr:row>
      <xdr:rowOff>0</xdr:rowOff>
    </xdr:from>
    <xdr:to>
      <xdr:col>11</xdr:col>
      <xdr:colOff>476250</xdr:colOff>
      <xdr:row>30</xdr:row>
      <xdr:rowOff>123825</xdr:rowOff>
    </xdr:to>
    <xdr:graphicFrame macro="">
      <xdr:nvGraphicFramePr>
        <xdr:cNvPr id="14679916" name="Chart 1">
          <a:extLst>
            <a:ext uri="{FF2B5EF4-FFF2-40B4-BE49-F238E27FC236}">
              <a16:creationId xmlns:a16="http://schemas.microsoft.com/office/drawing/2014/main" id="{00000000-0008-0000-1A00-00006C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102</xdr:row>
      <xdr:rowOff>104775</xdr:rowOff>
    </xdr:from>
    <xdr:to>
      <xdr:col>11</xdr:col>
      <xdr:colOff>495300</xdr:colOff>
      <xdr:row>133</xdr:row>
      <xdr:rowOff>28575</xdr:rowOff>
    </xdr:to>
    <xdr:graphicFrame macro="">
      <xdr:nvGraphicFramePr>
        <xdr:cNvPr id="14679917" name="Chart 3">
          <a:extLst>
            <a:ext uri="{FF2B5EF4-FFF2-40B4-BE49-F238E27FC236}">
              <a16:creationId xmlns:a16="http://schemas.microsoft.com/office/drawing/2014/main" id="{00000000-0008-0000-1A00-00006D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68</xdr:row>
      <xdr:rowOff>95250</xdr:rowOff>
    </xdr:from>
    <xdr:to>
      <xdr:col>11</xdr:col>
      <xdr:colOff>495300</xdr:colOff>
      <xdr:row>101</xdr:row>
      <xdr:rowOff>76200</xdr:rowOff>
    </xdr:to>
    <xdr:graphicFrame macro="">
      <xdr:nvGraphicFramePr>
        <xdr:cNvPr id="14679918" name="Chart 4">
          <a:extLst>
            <a:ext uri="{FF2B5EF4-FFF2-40B4-BE49-F238E27FC236}">
              <a16:creationId xmlns:a16="http://schemas.microsoft.com/office/drawing/2014/main" id="{00000000-0008-0000-1A00-00006E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114300</xdr:colOff>
      <xdr:row>2</xdr:row>
      <xdr:rowOff>0</xdr:rowOff>
    </xdr:from>
    <xdr:to>
      <xdr:col>23</xdr:col>
      <xdr:colOff>504825</xdr:colOff>
      <xdr:row>32</xdr:row>
      <xdr:rowOff>76200</xdr:rowOff>
    </xdr:to>
    <xdr:graphicFrame macro="">
      <xdr:nvGraphicFramePr>
        <xdr:cNvPr id="14679919" name="Chart 5">
          <a:extLst>
            <a:ext uri="{FF2B5EF4-FFF2-40B4-BE49-F238E27FC236}">
              <a16:creationId xmlns:a16="http://schemas.microsoft.com/office/drawing/2014/main" id="{00000000-0008-0000-1A00-00006F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135</xdr:row>
      <xdr:rowOff>76200</xdr:rowOff>
    </xdr:from>
    <xdr:to>
      <xdr:col>11</xdr:col>
      <xdr:colOff>495300</xdr:colOff>
      <xdr:row>164</xdr:row>
      <xdr:rowOff>95250</xdr:rowOff>
    </xdr:to>
    <xdr:graphicFrame macro="">
      <xdr:nvGraphicFramePr>
        <xdr:cNvPr id="14679920" name="Chart 6">
          <a:extLst>
            <a:ext uri="{FF2B5EF4-FFF2-40B4-BE49-F238E27FC236}">
              <a16:creationId xmlns:a16="http://schemas.microsoft.com/office/drawing/2014/main" id="{00000000-0008-0000-1A00-000070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32</xdr:row>
      <xdr:rowOff>76200</xdr:rowOff>
    </xdr:from>
    <xdr:to>
      <xdr:col>11</xdr:col>
      <xdr:colOff>495300</xdr:colOff>
      <xdr:row>66</xdr:row>
      <xdr:rowOff>38100</xdr:rowOff>
    </xdr:to>
    <xdr:graphicFrame macro="">
      <xdr:nvGraphicFramePr>
        <xdr:cNvPr id="14679921" name="Chart 7">
          <a:extLst>
            <a:ext uri="{FF2B5EF4-FFF2-40B4-BE49-F238E27FC236}">
              <a16:creationId xmlns:a16="http://schemas.microsoft.com/office/drawing/2014/main" id="{00000000-0008-0000-1A00-000071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76200</xdr:colOff>
      <xdr:row>102</xdr:row>
      <xdr:rowOff>123825</xdr:rowOff>
    </xdr:from>
    <xdr:to>
      <xdr:col>23</xdr:col>
      <xdr:colOff>495300</xdr:colOff>
      <xdr:row>133</xdr:row>
      <xdr:rowOff>95250</xdr:rowOff>
    </xdr:to>
    <xdr:graphicFrame macro="">
      <xdr:nvGraphicFramePr>
        <xdr:cNvPr id="14679922" name="Chart 8">
          <a:extLst>
            <a:ext uri="{FF2B5EF4-FFF2-40B4-BE49-F238E27FC236}">
              <a16:creationId xmlns:a16="http://schemas.microsoft.com/office/drawing/2014/main" id="{00000000-0008-0000-1A00-000072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95250</xdr:colOff>
      <xdr:row>34</xdr:row>
      <xdr:rowOff>0</xdr:rowOff>
    </xdr:from>
    <xdr:to>
      <xdr:col>23</xdr:col>
      <xdr:colOff>495300</xdr:colOff>
      <xdr:row>66</xdr:row>
      <xdr:rowOff>19050</xdr:rowOff>
    </xdr:to>
    <xdr:graphicFrame macro="">
      <xdr:nvGraphicFramePr>
        <xdr:cNvPr id="14679923" name="Chart 9">
          <a:extLst>
            <a:ext uri="{FF2B5EF4-FFF2-40B4-BE49-F238E27FC236}">
              <a16:creationId xmlns:a16="http://schemas.microsoft.com/office/drawing/2014/main" id="{00000000-0008-0000-1A00-000073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114300</xdr:colOff>
      <xdr:row>166</xdr:row>
      <xdr:rowOff>47625</xdr:rowOff>
    </xdr:from>
    <xdr:to>
      <xdr:col>11</xdr:col>
      <xdr:colOff>495300</xdr:colOff>
      <xdr:row>200</xdr:row>
      <xdr:rowOff>9525</xdr:rowOff>
    </xdr:to>
    <xdr:graphicFrame macro="">
      <xdr:nvGraphicFramePr>
        <xdr:cNvPr id="14679924" name="Chart 10">
          <a:extLst>
            <a:ext uri="{FF2B5EF4-FFF2-40B4-BE49-F238E27FC236}">
              <a16:creationId xmlns:a16="http://schemas.microsoft.com/office/drawing/2014/main" id="{00000000-0008-0000-1A00-000074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76200</xdr:colOff>
      <xdr:row>68</xdr:row>
      <xdr:rowOff>95250</xdr:rowOff>
    </xdr:from>
    <xdr:to>
      <xdr:col>23</xdr:col>
      <xdr:colOff>504825</xdr:colOff>
      <xdr:row>101</xdr:row>
      <xdr:rowOff>47625</xdr:rowOff>
    </xdr:to>
    <xdr:graphicFrame macro="">
      <xdr:nvGraphicFramePr>
        <xdr:cNvPr id="14679925" name="Chart 11">
          <a:extLst>
            <a:ext uri="{FF2B5EF4-FFF2-40B4-BE49-F238E27FC236}">
              <a16:creationId xmlns:a16="http://schemas.microsoft.com/office/drawing/2014/main" id="{00000000-0008-0000-1A00-000075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76200</xdr:colOff>
      <xdr:row>166</xdr:row>
      <xdr:rowOff>47625</xdr:rowOff>
    </xdr:from>
    <xdr:to>
      <xdr:col>23</xdr:col>
      <xdr:colOff>523875</xdr:colOff>
      <xdr:row>200</xdr:row>
      <xdr:rowOff>28575</xdr:rowOff>
    </xdr:to>
    <xdr:graphicFrame macro="">
      <xdr:nvGraphicFramePr>
        <xdr:cNvPr id="14679926" name="Chart 12">
          <a:extLst>
            <a:ext uri="{FF2B5EF4-FFF2-40B4-BE49-F238E27FC236}">
              <a16:creationId xmlns:a16="http://schemas.microsoft.com/office/drawing/2014/main" id="{00000000-0008-0000-1A00-000076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133350</xdr:colOff>
      <xdr:row>135</xdr:row>
      <xdr:rowOff>38100</xdr:rowOff>
    </xdr:from>
    <xdr:to>
      <xdr:col>23</xdr:col>
      <xdr:colOff>476250</xdr:colOff>
      <xdr:row>165</xdr:row>
      <xdr:rowOff>57150</xdr:rowOff>
    </xdr:to>
    <xdr:graphicFrame macro="">
      <xdr:nvGraphicFramePr>
        <xdr:cNvPr id="14679927" name="Chart 14">
          <a:extLst>
            <a:ext uri="{FF2B5EF4-FFF2-40B4-BE49-F238E27FC236}">
              <a16:creationId xmlns:a16="http://schemas.microsoft.com/office/drawing/2014/main" id="{00000000-0008-0000-1A00-000077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66675</xdr:colOff>
      <xdr:row>68</xdr:row>
      <xdr:rowOff>95250</xdr:rowOff>
    </xdr:from>
    <xdr:to>
      <xdr:col>35</xdr:col>
      <xdr:colOff>504825</xdr:colOff>
      <xdr:row>101</xdr:row>
      <xdr:rowOff>38100</xdr:rowOff>
    </xdr:to>
    <xdr:graphicFrame macro="">
      <xdr:nvGraphicFramePr>
        <xdr:cNvPr id="14679928" name="Chart 16">
          <a:extLst>
            <a:ext uri="{FF2B5EF4-FFF2-40B4-BE49-F238E27FC236}">
              <a16:creationId xmlns:a16="http://schemas.microsoft.com/office/drawing/2014/main" id="{00000000-0008-0000-1A00-000078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66675</xdr:colOff>
      <xdr:row>2</xdr:row>
      <xdr:rowOff>0</xdr:rowOff>
    </xdr:from>
    <xdr:to>
      <xdr:col>35</xdr:col>
      <xdr:colOff>533400</xdr:colOff>
      <xdr:row>34</xdr:row>
      <xdr:rowOff>28575</xdr:rowOff>
    </xdr:to>
    <xdr:graphicFrame macro="">
      <xdr:nvGraphicFramePr>
        <xdr:cNvPr id="14679929" name="Chart 17">
          <a:extLst>
            <a:ext uri="{FF2B5EF4-FFF2-40B4-BE49-F238E27FC236}">
              <a16:creationId xmlns:a16="http://schemas.microsoft.com/office/drawing/2014/main" id="{00000000-0008-0000-1A00-000079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76200</xdr:colOff>
      <xdr:row>135</xdr:row>
      <xdr:rowOff>38100</xdr:rowOff>
    </xdr:from>
    <xdr:to>
      <xdr:col>35</xdr:col>
      <xdr:colOff>514350</xdr:colOff>
      <xdr:row>163</xdr:row>
      <xdr:rowOff>114300</xdr:rowOff>
    </xdr:to>
    <xdr:graphicFrame macro="">
      <xdr:nvGraphicFramePr>
        <xdr:cNvPr id="14679930" name="Chart 18">
          <a:extLst>
            <a:ext uri="{FF2B5EF4-FFF2-40B4-BE49-F238E27FC236}">
              <a16:creationId xmlns:a16="http://schemas.microsoft.com/office/drawing/2014/main" id="{00000000-0008-0000-1A00-00007A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76200</xdr:colOff>
      <xdr:row>164</xdr:row>
      <xdr:rowOff>38100</xdr:rowOff>
    </xdr:from>
    <xdr:to>
      <xdr:col>35</xdr:col>
      <xdr:colOff>533400</xdr:colOff>
      <xdr:row>181</xdr:row>
      <xdr:rowOff>114300</xdr:rowOff>
    </xdr:to>
    <xdr:graphicFrame macro="">
      <xdr:nvGraphicFramePr>
        <xdr:cNvPr id="14679931" name="Chart 19">
          <a:extLst>
            <a:ext uri="{FF2B5EF4-FFF2-40B4-BE49-F238E27FC236}">
              <a16:creationId xmlns:a16="http://schemas.microsoft.com/office/drawing/2014/main" id="{00000000-0008-0000-1A00-00007B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76200</xdr:colOff>
      <xdr:row>182</xdr:row>
      <xdr:rowOff>57150</xdr:rowOff>
    </xdr:from>
    <xdr:to>
      <xdr:col>35</xdr:col>
      <xdr:colOff>533400</xdr:colOff>
      <xdr:row>200</xdr:row>
      <xdr:rowOff>66675</xdr:rowOff>
    </xdr:to>
    <xdr:graphicFrame macro="">
      <xdr:nvGraphicFramePr>
        <xdr:cNvPr id="14679932" name="Chart 22">
          <a:extLst>
            <a:ext uri="{FF2B5EF4-FFF2-40B4-BE49-F238E27FC236}">
              <a16:creationId xmlns:a16="http://schemas.microsoft.com/office/drawing/2014/main" id="{00000000-0008-0000-1A00-00007C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xdr:col>
      <xdr:colOff>85725</xdr:colOff>
      <xdr:row>102</xdr:row>
      <xdr:rowOff>38100</xdr:rowOff>
    </xdr:from>
    <xdr:to>
      <xdr:col>35</xdr:col>
      <xdr:colOff>533400</xdr:colOff>
      <xdr:row>133</xdr:row>
      <xdr:rowOff>66675</xdr:rowOff>
    </xdr:to>
    <xdr:graphicFrame macro="">
      <xdr:nvGraphicFramePr>
        <xdr:cNvPr id="14679933" name="Chart 23">
          <a:extLst>
            <a:ext uri="{FF2B5EF4-FFF2-40B4-BE49-F238E27FC236}">
              <a16:creationId xmlns:a16="http://schemas.microsoft.com/office/drawing/2014/main" id="{00000000-0008-0000-1A00-00007D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95250</xdr:colOff>
      <xdr:row>35</xdr:row>
      <xdr:rowOff>19050</xdr:rowOff>
    </xdr:from>
    <xdr:to>
      <xdr:col>35</xdr:col>
      <xdr:colOff>504825</xdr:colOff>
      <xdr:row>66</xdr:row>
      <xdr:rowOff>9525</xdr:rowOff>
    </xdr:to>
    <xdr:graphicFrame macro="">
      <xdr:nvGraphicFramePr>
        <xdr:cNvPr id="14679934" name="Chart 24">
          <a:extLst>
            <a:ext uri="{FF2B5EF4-FFF2-40B4-BE49-F238E27FC236}">
              <a16:creationId xmlns:a16="http://schemas.microsoft.com/office/drawing/2014/main" id="{00000000-0008-0000-1A00-00007E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66675</xdr:colOff>
      <xdr:row>135</xdr:row>
      <xdr:rowOff>47625</xdr:rowOff>
    </xdr:from>
    <xdr:to>
      <xdr:col>18</xdr:col>
      <xdr:colOff>57150</xdr:colOff>
      <xdr:row>165</xdr:row>
      <xdr:rowOff>66675</xdr:rowOff>
    </xdr:to>
    <xdr:graphicFrame macro="">
      <xdr:nvGraphicFramePr>
        <xdr:cNvPr id="14679935" name="Chart 2">
          <a:extLst>
            <a:ext uri="{FF2B5EF4-FFF2-40B4-BE49-F238E27FC236}">
              <a16:creationId xmlns:a16="http://schemas.microsoft.com/office/drawing/2014/main" id="{00000000-0008-0000-1A00-00007FF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27</xdr:col>
      <xdr:colOff>0</xdr:colOff>
      <xdr:row>8</xdr:row>
      <xdr:rowOff>38100</xdr:rowOff>
    </xdr:from>
    <xdr:to>
      <xdr:col>28</xdr:col>
      <xdr:colOff>238125</xdr:colOff>
      <xdr:row>11</xdr:row>
      <xdr:rowOff>142875</xdr:rowOff>
    </xdr:to>
    <xdr:sp macro="" textlink="">
      <xdr:nvSpPr>
        <xdr:cNvPr id="2" name="AutoShape 8">
          <a:extLst>
            <a:ext uri="{FF2B5EF4-FFF2-40B4-BE49-F238E27FC236}">
              <a16:creationId xmlns:a16="http://schemas.microsoft.com/office/drawing/2014/main" id="{00000000-0008-0000-1B00-000002000000}"/>
            </a:ext>
          </a:extLst>
        </xdr:cNvPr>
        <xdr:cNvSpPr>
          <a:spLocks/>
        </xdr:cNvSpPr>
      </xdr:nvSpPr>
      <xdr:spPr bwMode="auto">
        <a:xfrm>
          <a:off x="30346650" y="13335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0</xdr:col>
      <xdr:colOff>495300</xdr:colOff>
      <xdr:row>679</xdr:row>
      <xdr:rowOff>28575</xdr:rowOff>
    </xdr:from>
    <xdr:to>
      <xdr:col>1</xdr:col>
      <xdr:colOff>419100</xdr:colOff>
      <xdr:row>684</xdr:row>
      <xdr:rowOff>28575</xdr:rowOff>
    </xdr:to>
    <xdr:sp macro="" textlink="">
      <xdr:nvSpPr>
        <xdr:cNvPr id="14" name="AutoShape 59">
          <a:extLst>
            <a:ext uri="{FF2B5EF4-FFF2-40B4-BE49-F238E27FC236}">
              <a16:creationId xmlns:a16="http://schemas.microsoft.com/office/drawing/2014/main" id="{00000000-0008-0000-1B00-00000E000000}"/>
            </a:ext>
          </a:extLst>
        </xdr:cNvPr>
        <xdr:cNvSpPr>
          <a:spLocks/>
        </xdr:cNvSpPr>
      </xdr:nvSpPr>
      <xdr:spPr bwMode="auto">
        <a:xfrm>
          <a:off x="495300" y="109975650"/>
          <a:ext cx="1047750" cy="809625"/>
        </a:xfrm>
        <a:prstGeom prst="borderCallout2">
          <a:avLst>
            <a:gd name="adj1" fmla="val 14116"/>
            <a:gd name="adj2" fmla="val 103602"/>
            <a:gd name="adj3" fmla="val 14116"/>
            <a:gd name="adj4" fmla="val 128380"/>
            <a:gd name="adj5" fmla="val 189412"/>
            <a:gd name="adj6" fmla="val 148199"/>
          </a:avLst>
        </a:prstGeom>
        <a:gradFill rotWithShape="1">
          <a:gsLst>
            <a:gs pos="0">
              <a:srgbClr val="CCCCFF">
                <a:gamma/>
                <a:shade val="86275"/>
                <a:invGamma/>
              </a:srgbClr>
            </a:gs>
            <a:gs pos="100000">
              <a:srgbClr val="CCCCFF"/>
            </a:gs>
          </a:gsLst>
          <a:lin ang="5400000" scaled="1"/>
        </a:gradFill>
        <a:ln w="25400">
          <a:solidFill>
            <a:srgbClr val="000000"/>
          </a:solidFill>
          <a:miter lim="800000"/>
          <a:headEnd/>
          <a:tailEnd type="triangle" w="med" len="med"/>
        </a:ln>
        <a:effectLst/>
      </xdr:spPr>
      <xdr:txBody>
        <a:bodyPr vertOverflow="clip" wrap="square" lIns="36576" tIns="27432" rIns="36576" bIns="27432" anchor="ctr" upright="1"/>
        <a:lstStyle/>
        <a:p>
          <a:pPr algn="ctr" rtl="0">
            <a:defRPr sz="1000"/>
          </a:pPr>
          <a:r>
            <a:rPr lang="en-US" sz="1200" b="1" i="0" strike="noStrike">
              <a:solidFill>
                <a:srgbClr val="000000"/>
              </a:solidFill>
              <a:latin typeface="Arial"/>
              <a:cs typeface="Arial"/>
            </a:rPr>
            <a:t>Click This Dropdown and Select the Directions for Analysis</a:t>
          </a:r>
        </a:p>
      </xdr:txBody>
    </xdr:sp>
    <xdr:clientData/>
  </xdr:twoCellAnchor>
  <xdr:twoCellAnchor>
    <xdr:from>
      <xdr:col>27</xdr:col>
      <xdr:colOff>0</xdr:colOff>
      <xdr:row>68</xdr:row>
      <xdr:rowOff>38100</xdr:rowOff>
    </xdr:from>
    <xdr:to>
      <xdr:col>28</xdr:col>
      <xdr:colOff>238125</xdr:colOff>
      <xdr:row>71</xdr:row>
      <xdr:rowOff>142875</xdr:rowOff>
    </xdr:to>
    <xdr:sp macro="" textlink="">
      <xdr:nvSpPr>
        <xdr:cNvPr id="16" name="AutoShape 70">
          <a:extLst>
            <a:ext uri="{FF2B5EF4-FFF2-40B4-BE49-F238E27FC236}">
              <a16:creationId xmlns:a16="http://schemas.microsoft.com/office/drawing/2014/main" id="{00000000-0008-0000-1B00-000010000000}"/>
            </a:ext>
          </a:extLst>
        </xdr:cNvPr>
        <xdr:cNvSpPr>
          <a:spLocks/>
        </xdr:cNvSpPr>
      </xdr:nvSpPr>
      <xdr:spPr bwMode="auto">
        <a:xfrm>
          <a:off x="30346650" y="110490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124</xdr:row>
      <xdr:rowOff>38100</xdr:rowOff>
    </xdr:from>
    <xdr:to>
      <xdr:col>28</xdr:col>
      <xdr:colOff>238125</xdr:colOff>
      <xdr:row>127</xdr:row>
      <xdr:rowOff>142875</xdr:rowOff>
    </xdr:to>
    <xdr:sp macro="" textlink="">
      <xdr:nvSpPr>
        <xdr:cNvPr id="17" name="AutoShape 71">
          <a:extLst>
            <a:ext uri="{FF2B5EF4-FFF2-40B4-BE49-F238E27FC236}">
              <a16:creationId xmlns:a16="http://schemas.microsoft.com/office/drawing/2014/main" id="{00000000-0008-0000-1B00-000011000000}"/>
            </a:ext>
          </a:extLst>
        </xdr:cNvPr>
        <xdr:cNvSpPr>
          <a:spLocks/>
        </xdr:cNvSpPr>
      </xdr:nvSpPr>
      <xdr:spPr bwMode="auto">
        <a:xfrm>
          <a:off x="30346650" y="201168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179</xdr:row>
      <xdr:rowOff>38100</xdr:rowOff>
    </xdr:from>
    <xdr:to>
      <xdr:col>28</xdr:col>
      <xdr:colOff>238125</xdr:colOff>
      <xdr:row>182</xdr:row>
      <xdr:rowOff>142875</xdr:rowOff>
    </xdr:to>
    <xdr:sp macro="" textlink="">
      <xdr:nvSpPr>
        <xdr:cNvPr id="18" name="AutoShape 72">
          <a:extLst>
            <a:ext uri="{FF2B5EF4-FFF2-40B4-BE49-F238E27FC236}">
              <a16:creationId xmlns:a16="http://schemas.microsoft.com/office/drawing/2014/main" id="{00000000-0008-0000-1B00-000012000000}"/>
            </a:ext>
          </a:extLst>
        </xdr:cNvPr>
        <xdr:cNvSpPr>
          <a:spLocks/>
        </xdr:cNvSpPr>
      </xdr:nvSpPr>
      <xdr:spPr bwMode="auto">
        <a:xfrm>
          <a:off x="30346650" y="29022675"/>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236</xdr:row>
      <xdr:rowOff>38100</xdr:rowOff>
    </xdr:from>
    <xdr:to>
      <xdr:col>28</xdr:col>
      <xdr:colOff>238125</xdr:colOff>
      <xdr:row>239</xdr:row>
      <xdr:rowOff>142875</xdr:rowOff>
    </xdr:to>
    <xdr:sp macro="" textlink="">
      <xdr:nvSpPr>
        <xdr:cNvPr id="19" name="AutoShape 73">
          <a:extLst>
            <a:ext uri="{FF2B5EF4-FFF2-40B4-BE49-F238E27FC236}">
              <a16:creationId xmlns:a16="http://schemas.microsoft.com/office/drawing/2014/main" id="{00000000-0008-0000-1B00-000013000000}"/>
            </a:ext>
          </a:extLst>
        </xdr:cNvPr>
        <xdr:cNvSpPr>
          <a:spLocks/>
        </xdr:cNvSpPr>
      </xdr:nvSpPr>
      <xdr:spPr bwMode="auto">
        <a:xfrm>
          <a:off x="30346650" y="382524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296</xdr:row>
      <xdr:rowOff>38100</xdr:rowOff>
    </xdr:from>
    <xdr:to>
      <xdr:col>28</xdr:col>
      <xdr:colOff>238125</xdr:colOff>
      <xdr:row>299</xdr:row>
      <xdr:rowOff>142875</xdr:rowOff>
    </xdr:to>
    <xdr:sp macro="" textlink="">
      <xdr:nvSpPr>
        <xdr:cNvPr id="20" name="AutoShape 74">
          <a:extLst>
            <a:ext uri="{FF2B5EF4-FFF2-40B4-BE49-F238E27FC236}">
              <a16:creationId xmlns:a16="http://schemas.microsoft.com/office/drawing/2014/main" id="{00000000-0008-0000-1B00-000014000000}"/>
            </a:ext>
          </a:extLst>
        </xdr:cNvPr>
        <xdr:cNvSpPr>
          <a:spLocks/>
        </xdr:cNvSpPr>
      </xdr:nvSpPr>
      <xdr:spPr bwMode="auto">
        <a:xfrm>
          <a:off x="30346650" y="479679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352</xdr:row>
      <xdr:rowOff>38100</xdr:rowOff>
    </xdr:from>
    <xdr:to>
      <xdr:col>28</xdr:col>
      <xdr:colOff>238125</xdr:colOff>
      <xdr:row>355</xdr:row>
      <xdr:rowOff>142875</xdr:rowOff>
    </xdr:to>
    <xdr:sp macro="" textlink="">
      <xdr:nvSpPr>
        <xdr:cNvPr id="21" name="AutoShape 75">
          <a:extLst>
            <a:ext uri="{FF2B5EF4-FFF2-40B4-BE49-F238E27FC236}">
              <a16:creationId xmlns:a16="http://schemas.microsoft.com/office/drawing/2014/main" id="{00000000-0008-0000-1B00-000015000000}"/>
            </a:ext>
          </a:extLst>
        </xdr:cNvPr>
        <xdr:cNvSpPr>
          <a:spLocks/>
        </xdr:cNvSpPr>
      </xdr:nvSpPr>
      <xdr:spPr bwMode="auto">
        <a:xfrm>
          <a:off x="30346650" y="570357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416</xdr:row>
      <xdr:rowOff>38100</xdr:rowOff>
    </xdr:from>
    <xdr:to>
      <xdr:col>28</xdr:col>
      <xdr:colOff>238125</xdr:colOff>
      <xdr:row>419</xdr:row>
      <xdr:rowOff>142875</xdr:rowOff>
    </xdr:to>
    <xdr:sp macro="" textlink="">
      <xdr:nvSpPr>
        <xdr:cNvPr id="22" name="AutoShape 76">
          <a:extLst>
            <a:ext uri="{FF2B5EF4-FFF2-40B4-BE49-F238E27FC236}">
              <a16:creationId xmlns:a16="http://schemas.microsoft.com/office/drawing/2014/main" id="{00000000-0008-0000-1B00-000016000000}"/>
            </a:ext>
          </a:extLst>
        </xdr:cNvPr>
        <xdr:cNvSpPr>
          <a:spLocks/>
        </xdr:cNvSpPr>
      </xdr:nvSpPr>
      <xdr:spPr bwMode="auto">
        <a:xfrm>
          <a:off x="30346650" y="673989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469</xdr:row>
      <xdr:rowOff>38100</xdr:rowOff>
    </xdr:from>
    <xdr:to>
      <xdr:col>28</xdr:col>
      <xdr:colOff>238125</xdr:colOff>
      <xdr:row>472</xdr:row>
      <xdr:rowOff>142875</xdr:rowOff>
    </xdr:to>
    <xdr:sp macro="" textlink="">
      <xdr:nvSpPr>
        <xdr:cNvPr id="23" name="AutoShape 77">
          <a:extLst>
            <a:ext uri="{FF2B5EF4-FFF2-40B4-BE49-F238E27FC236}">
              <a16:creationId xmlns:a16="http://schemas.microsoft.com/office/drawing/2014/main" id="{00000000-0008-0000-1B00-000017000000}"/>
            </a:ext>
          </a:extLst>
        </xdr:cNvPr>
        <xdr:cNvSpPr>
          <a:spLocks/>
        </xdr:cNvSpPr>
      </xdr:nvSpPr>
      <xdr:spPr bwMode="auto">
        <a:xfrm>
          <a:off x="30346650" y="75980925"/>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524</xdr:row>
      <xdr:rowOff>38100</xdr:rowOff>
    </xdr:from>
    <xdr:to>
      <xdr:col>28</xdr:col>
      <xdr:colOff>238125</xdr:colOff>
      <xdr:row>527</xdr:row>
      <xdr:rowOff>142875</xdr:rowOff>
    </xdr:to>
    <xdr:sp macro="" textlink="">
      <xdr:nvSpPr>
        <xdr:cNvPr id="24" name="AutoShape 78">
          <a:extLst>
            <a:ext uri="{FF2B5EF4-FFF2-40B4-BE49-F238E27FC236}">
              <a16:creationId xmlns:a16="http://schemas.microsoft.com/office/drawing/2014/main" id="{00000000-0008-0000-1B00-000018000000}"/>
            </a:ext>
          </a:extLst>
        </xdr:cNvPr>
        <xdr:cNvSpPr>
          <a:spLocks/>
        </xdr:cNvSpPr>
      </xdr:nvSpPr>
      <xdr:spPr bwMode="auto">
        <a:xfrm>
          <a:off x="30346650" y="848868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580</xdr:row>
      <xdr:rowOff>38100</xdr:rowOff>
    </xdr:from>
    <xdr:to>
      <xdr:col>28</xdr:col>
      <xdr:colOff>238125</xdr:colOff>
      <xdr:row>583</xdr:row>
      <xdr:rowOff>142875</xdr:rowOff>
    </xdr:to>
    <xdr:sp macro="" textlink="">
      <xdr:nvSpPr>
        <xdr:cNvPr id="25" name="AutoShape 79">
          <a:extLst>
            <a:ext uri="{FF2B5EF4-FFF2-40B4-BE49-F238E27FC236}">
              <a16:creationId xmlns:a16="http://schemas.microsoft.com/office/drawing/2014/main" id="{00000000-0008-0000-1B00-000019000000}"/>
            </a:ext>
          </a:extLst>
        </xdr:cNvPr>
        <xdr:cNvSpPr>
          <a:spLocks/>
        </xdr:cNvSpPr>
      </xdr:nvSpPr>
      <xdr:spPr bwMode="auto">
        <a:xfrm>
          <a:off x="30346650" y="939546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27</xdr:col>
      <xdr:colOff>0</xdr:colOff>
      <xdr:row>636</xdr:row>
      <xdr:rowOff>38100</xdr:rowOff>
    </xdr:from>
    <xdr:to>
      <xdr:col>28</xdr:col>
      <xdr:colOff>238125</xdr:colOff>
      <xdr:row>639</xdr:row>
      <xdr:rowOff>142875</xdr:rowOff>
    </xdr:to>
    <xdr:sp macro="" textlink="">
      <xdr:nvSpPr>
        <xdr:cNvPr id="26" name="AutoShape 80">
          <a:extLst>
            <a:ext uri="{FF2B5EF4-FFF2-40B4-BE49-F238E27FC236}">
              <a16:creationId xmlns:a16="http://schemas.microsoft.com/office/drawing/2014/main" id="{00000000-0008-0000-1B00-00001A000000}"/>
            </a:ext>
          </a:extLst>
        </xdr:cNvPr>
        <xdr:cNvSpPr>
          <a:spLocks/>
        </xdr:cNvSpPr>
      </xdr:nvSpPr>
      <xdr:spPr bwMode="auto">
        <a:xfrm>
          <a:off x="30346650" y="103022400"/>
          <a:ext cx="1362075" cy="590550"/>
        </a:xfrm>
        <a:prstGeom prst="borderCallout2">
          <a:avLst>
            <a:gd name="adj1" fmla="val 19356"/>
            <a:gd name="adj2" fmla="val -8991"/>
            <a:gd name="adj3" fmla="val 19356"/>
            <a:gd name="adj4" fmla="val -29213"/>
            <a:gd name="adj5" fmla="val 645162"/>
            <a:gd name="adj6" fmla="val -46069"/>
          </a:avLst>
        </a:prstGeom>
        <a:solidFill>
          <a:srgbClr val="FFFFFF"/>
        </a:soli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Road</a:t>
          </a:r>
        </a:p>
      </xdr:txBody>
    </xdr:sp>
    <xdr:clientData/>
  </xdr:twoCellAnchor>
  <xdr:twoCellAnchor>
    <xdr:from>
      <xdr:col>169</xdr:col>
      <xdr:colOff>47625</xdr:colOff>
      <xdr:row>0</xdr:row>
      <xdr:rowOff>0</xdr:rowOff>
    </xdr:from>
    <xdr:to>
      <xdr:col>171</xdr:col>
      <xdr:colOff>1266825</xdr:colOff>
      <xdr:row>0</xdr:row>
      <xdr:rowOff>219075</xdr:rowOff>
    </xdr:to>
    <xdr:sp macro="" textlink="">
      <xdr:nvSpPr>
        <xdr:cNvPr id="27" name="AutoShape 81">
          <a:extLst>
            <a:ext uri="{FF2B5EF4-FFF2-40B4-BE49-F238E27FC236}">
              <a16:creationId xmlns:a16="http://schemas.microsoft.com/office/drawing/2014/main" id="{00000000-0008-0000-1B00-00001B000000}"/>
            </a:ext>
          </a:extLst>
        </xdr:cNvPr>
        <xdr:cNvSpPr>
          <a:spLocks/>
        </xdr:cNvSpPr>
      </xdr:nvSpPr>
      <xdr:spPr bwMode="auto">
        <a:xfrm>
          <a:off x="189995175" y="0"/>
          <a:ext cx="3324225" cy="161925"/>
        </a:xfrm>
        <a:prstGeom prst="borderCallout2">
          <a:avLst>
            <a:gd name="adj1" fmla="val 52176"/>
            <a:gd name="adj2" fmla="val -1648"/>
            <a:gd name="adj3" fmla="val 52176"/>
            <a:gd name="adj4" fmla="val -42269"/>
            <a:gd name="adj5" fmla="val 165218"/>
            <a:gd name="adj6" fmla="val -43713"/>
          </a:avLst>
        </a:prstGeom>
        <a:gradFill rotWithShape="1">
          <a:gsLst>
            <a:gs pos="0">
              <a:srgbClr val="CCCCFF">
                <a:gamma/>
                <a:shade val="86275"/>
                <a:invGamma/>
              </a:srgbClr>
            </a:gs>
            <a:gs pos="100000">
              <a:srgbClr val="CCCCFF"/>
            </a:gs>
          </a:gsLst>
          <a:lin ang="5400000" scaled="1"/>
        </a:gradFill>
        <a:ln w="25400">
          <a:solidFill>
            <a:srgbClr val="000000"/>
          </a:solidFill>
          <a:miter lim="800000"/>
          <a:headEnd/>
          <a:tailEnd type="triangle" w="med" len="med"/>
        </a:ln>
        <a:effectLst/>
      </xdr:spPr>
      <xdr:txBody>
        <a:bodyPr vertOverflow="clip" wrap="square" lIns="27432" tIns="18288" rIns="27432" bIns="18288" anchor="ctr" upright="1"/>
        <a:lstStyle/>
        <a:p>
          <a:pPr algn="ctr" rtl="0">
            <a:lnSpc>
              <a:spcPts val="900"/>
            </a:lnSpc>
            <a:defRPr sz="1000"/>
          </a:pPr>
          <a:r>
            <a:rPr lang="en-US" sz="1000" b="1" i="0" strike="noStrike">
              <a:solidFill>
                <a:srgbClr val="000000"/>
              </a:solidFill>
              <a:latin typeface="Arial"/>
              <a:cs typeface="Arial"/>
            </a:rPr>
            <a:t>Click This Dropdown and Select the Directions for Analysis</a:t>
          </a:r>
        </a:p>
      </xdr:txBody>
    </xdr:sp>
    <xdr:clientData/>
  </xdr:twoCellAnchor>
  <xdr:twoCellAnchor>
    <xdr:from>
      <xdr:col>169</xdr:col>
      <xdr:colOff>47625</xdr:colOff>
      <xdr:row>0</xdr:row>
      <xdr:rowOff>0</xdr:rowOff>
    </xdr:from>
    <xdr:to>
      <xdr:col>171</xdr:col>
      <xdr:colOff>1266825</xdr:colOff>
      <xdr:row>0</xdr:row>
      <xdr:rowOff>219075</xdr:rowOff>
    </xdr:to>
    <xdr:sp macro="" textlink="">
      <xdr:nvSpPr>
        <xdr:cNvPr id="28" name="AutoShape 83">
          <a:extLst>
            <a:ext uri="{FF2B5EF4-FFF2-40B4-BE49-F238E27FC236}">
              <a16:creationId xmlns:a16="http://schemas.microsoft.com/office/drawing/2014/main" id="{00000000-0008-0000-1B00-00001C000000}"/>
            </a:ext>
          </a:extLst>
        </xdr:cNvPr>
        <xdr:cNvSpPr>
          <a:spLocks/>
        </xdr:cNvSpPr>
      </xdr:nvSpPr>
      <xdr:spPr bwMode="auto">
        <a:xfrm>
          <a:off x="189995175" y="0"/>
          <a:ext cx="3324225" cy="161925"/>
        </a:xfrm>
        <a:prstGeom prst="borderCallout2">
          <a:avLst>
            <a:gd name="adj1" fmla="val 52176"/>
            <a:gd name="adj2" fmla="val -1648"/>
            <a:gd name="adj3" fmla="val 52176"/>
            <a:gd name="adj4" fmla="val -42269"/>
            <a:gd name="adj5" fmla="val 165218"/>
            <a:gd name="adj6" fmla="val -43713"/>
          </a:avLst>
        </a:prstGeom>
        <a:gradFill rotWithShape="1">
          <a:gsLst>
            <a:gs pos="0">
              <a:srgbClr val="CCCCFF">
                <a:gamma/>
                <a:shade val="86275"/>
                <a:invGamma/>
              </a:srgbClr>
            </a:gs>
            <a:gs pos="100000">
              <a:srgbClr val="CCCCFF"/>
            </a:gs>
          </a:gsLst>
          <a:lin ang="5400000" scaled="1"/>
        </a:gradFill>
        <a:ln w="25400">
          <a:solidFill>
            <a:srgbClr val="000000"/>
          </a:solidFill>
          <a:miter lim="800000"/>
          <a:headEnd/>
          <a:tailEnd type="triangle" w="med" len="med"/>
        </a:ln>
        <a:effectLst/>
      </xdr:spPr>
      <xdr:txBody>
        <a:bodyPr vertOverflow="clip" wrap="square" lIns="27432" tIns="18288" rIns="27432" bIns="18288" anchor="ctr" upright="1"/>
        <a:lstStyle/>
        <a:p>
          <a:pPr algn="ctr" rtl="0">
            <a:lnSpc>
              <a:spcPts val="900"/>
            </a:lnSpc>
            <a:defRPr sz="1000"/>
          </a:pPr>
          <a:r>
            <a:rPr lang="en-US" sz="1000" b="1" i="0" strike="noStrike">
              <a:solidFill>
                <a:srgbClr val="000000"/>
              </a:solidFill>
              <a:latin typeface="Arial"/>
              <a:cs typeface="Arial"/>
            </a:rPr>
            <a:t>Click This Dropdown and Select the Directions for Analysis</a:t>
          </a:r>
        </a:p>
      </xdr:txBody>
    </xdr:sp>
    <xdr:clientData/>
  </xdr:twoCellAnchor>
  <xdr:twoCellAnchor>
    <xdr:from>
      <xdr:col>169</xdr:col>
      <xdr:colOff>47625</xdr:colOff>
      <xdr:row>0</xdr:row>
      <xdr:rowOff>0</xdr:rowOff>
    </xdr:from>
    <xdr:to>
      <xdr:col>171</xdr:col>
      <xdr:colOff>1266825</xdr:colOff>
      <xdr:row>0</xdr:row>
      <xdr:rowOff>219075</xdr:rowOff>
    </xdr:to>
    <xdr:sp macro="" textlink="">
      <xdr:nvSpPr>
        <xdr:cNvPr id="29" name="AutoShape 84">
          <a:extLst>
            <a:ext uri="{FF2B5EF4-FFF2-40B4-BE49-F238E27FC236}">
              <a16:creationId xmlns:a16="http://schemas.microsoft.com/office/drawing/2014/main" id="{00000000-0008-0000-1B00-00001D000000}"/>
            </a:ext>
          </a:extLst>
        </xdr:cNvPr>
        <xdr:cNvSpPr>
          <a:spLocks/>
        </xdr:cNvSpPr>
      </xdr:nvSpPr>
      <xdr:spPr bwMode="auto">
        <a:xfrm>
          <a:off x="189995175" y="0"/>
          <a:ext cx="3324225" cy="161925"/>
        </a:xfrm>
        <a:prstGeom prst="borderCallout2">
          <a:avLst>
            <a:gd name="adj1" fmla="val 52176"/>
            <a:gd name="adj2" fmla="val -1648"/>
            <a:gd name="adj3" fmla="val 52176"/>
            <a:gd name="adj4" fmla="val -42269"/>
            <a:gd name="adj5" fmla="val 165218"/>
            <a:gd name="adj6" fmla="val -43713"/>
          </a:avLst>
        </a:prstGeom>
        <a:gradFill rotWithShape="1">
          <a:gsLst>
            <a:gs pos="0">
              <a:srgbClr val="CCCCFF">
                <a:gamma/>
                <a:shade val="86275"/>
                <a:invGamma/>
              </a:srgbClr>
            </a:gs>
            <a:gs pos="100000">
              <a:srgbClr val="CCCCFF"/>
            </a:gs>
          </a:gsLst>
          <a:lin ang="5400000" scaled="1"/>
        </a:gradFill>
        <a:ln w="25400">
          <a:solidFill>
            <a:srgbClr val="000000"/>
          </a:solidFill>
          <a:miter lim="800000"/>
          <a:headEnd/>
          <a:tailEnd type="triangle" w="med" len="med"/>
        </a:ln>
        <a:effectLst/>
      </xdr:spPr>
      <xdr:txBody>
        <a:bodyPr vertOverflow="clip" wrap="square" lIns="27432" tIns="18288" rIns="27432" bIns="18288" anchor="ctr" upright="1"/>
        <a:lstStyle/>
        <a:p>
          <a:pPr algn="ctr" rtl="0">
            <a:lnSpc>
              <a:spcPts val="900"/>
            </a:lnSpc>
            <a:defRPr sz="1000"/>
          </a:pPr>
          <a:r>
            <a:rPr lang="en-US" sz="1000" b="1" i="0" strike="noStrike">
              <a:solidFill>
                <a:srgbClr val="000000"/>
              </a:solidFill>
              <a:latin typeface="Arial"/>
              <a:cs typeface="Arial"/>
            </a:rPr>
            <a:t>Click This Dropdown and Select the Directions for Analysis</a:t>
          </a:r>
        </a:p>
      </xdr:txBody>
    </xdr:sp>
    <xdr:clientData/>
  </xdr:twoCellAnchor>
  <xdr:twoCellAnchor>
    <xdr:from>
      <xdr:col>3</xdr:col>
      <xdr:colOff>85725</xdr:colOff>
      <xdr:row>2</xdr:row>
      <xdr:rowOff>19050</xdr:rowOff>
    </xdr:from>
    <xdr:to>
      <xdr:col>25</xdr:col>
      <xdr:colOff>542925</xdr:colOff>
      <xdr:row>55</xdr:row>
      <xdr:rowOff>142875</xdr:rowOff>
    </xdr:to>
    <xdr:graphicFrame macro="">
      <xdr:nvGraphicFramePr>
        <xdr:cNvPr id="15423092" name="Chart 13">
          <a:extLst>
            <a:ext uri="{FF2B5EF4-FFF2-40B4-BE49-F238E27FC236}">
              <a16:creationId xmlns:a16="http://schemas.microsoft.com/office/drawing/2014/main" id="{00000000-0008-0000-1B00-000074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xdr:colOff>
      <xdr:row>59</xdr:row>
      <xdr:rowOff>28575</xdr:rowOff>
    </xdr:from>
    <xdr:to>
      <xdr:col>25</xdr:col>
      <xdr:colOff>514350</xdr:colOff>
      <xdr:row>113</xdr:row>
      <xdr:rowOff>66675</xdr:rowOff>
    </xdr:to>
    <xdr:graphicFrame macro="">
      <xdr:nvGraphicFramePr>
        <xdr:cNvPr id="15423093" name="Chart 14">
          <a:extLst>
            <a:ext uri="{FF2B5EF4-FFF2-40B4-BE49-F238E27FC236}">
              <a16:creationId xmlns:a16="http://schemas.microsoft.com/office/drawing/2014/main" id="{00000000-0008-0000-1B00-000075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57150</xdr:colOff>
      <xdr:row>116</xdr:row>
      <xdr:rowOff>38100</xdr:rowOff>
    </xdr:from>
    <xdr:to>
      <xdr:col>25</xdr:col>
      <xdr:colOff>523875</xdr:colOff>
      <xdr:row>170</xdr:row>
      <xdr:rowOff>28575</xdr:rowOff>
    </xdr:to>
    <xdr:graphicFrame macro="">
      <xdr:nvGraphicFramePr>
        <xdr:cNvPr id="15423094" name="Chart 18">
          <a:extLst>
            <a:ext uri="{FF2B5EF4-FFF2-40B4-BE49-F238E27FC236}">
              <a16:creationId xmlns:a16="http://schemas.microsoft.com/office/drawing/2014/main" id="{00000000-0008-0000-1B00-000076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47625</xdr:colOff>
      <xdr:row>173</xdr:row>
      <xdr:rowOff>38100</xdr:rowOff>
    </xdr:from>
    <xdr:to>
      <xdr:col>25</xdr:col>
      <xdr:colOff>542925</xdr:colOff>
      <xdr:row>226</xdr:row>
      <xdr:rowOff>152400</xdr:rowOff>
    </xdr:to>
    <xdr:graphicFrame macro="">
      <xdr:nvGraphicFramePr>
        <xdr:cNvPr id="15423095" name="Chart 22">
          <a:extLst>
            <a:ext uri="{FF2B5EF4-FFF2-40B4-BE49-F238E27FC236}">
              <a16:creationId xmlns:a16="http://schemas.microsoft.com/office/drawing/2014/main" id="{00000000-0008-0000-1B00-000077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66675</xdr:colOff>
      <xdr:row>230</xdr:row>
      <xdr:rowOff>95250</xdr:rowOff>
    </xdr:from>
    <xdr:to>
      <xdr:col>25</xdr:col>
      <xdr:colOff>514350</xdr:colOff>
      <xdr:row>284</xdr:row>
      <xdr:rowOff>76200</xdr:rowOff>
    </xdr:to>
    <xdr:graphicFrame macro="">
      <xdr:nvGraphicFramePr>
        <xdr:cNvPr id="15423096" name="Chart 26">
          <a:extLst>
            <a:ext uri="{FF2B5EF4-FFF2-40B4-BE49-F238E27FC236}">
              <a16:creationId xmlns:a16="http://schemas.microsoft.com/office/drawing/2014/main" id="{00000000-0008-0000-1B00-000078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57150</xdr:colOff>
      <xdr:row>287</xdr:row>
      <xdr:rowOff>76200</xdr:rowOff>
    </xdr:from>
    <xdr:to>
      <xdr:col>25</xdr:col>
      <xdr:colOff>533400</xdr:colOff>
      <xdr:row>341</xdr:row>
      <xdr:rowOff>57150</xdr:rowOff>
    </xdr:to>
    <xdr:graphicFrame macro="">
      <xdr:nvGraphicFramePr>
        <xdr:cNvPr id="15423097" name="Chart 30">
          <a:extLst>
            <a:ext uri="{FF2B5EF4-FFF2-40B4-BE49-F238E27FC236}">
              <a16:creationId xmlns:a16="http://schemas.microsoft.com/office/drawing/2014/main" id="{00000000-0008-0000-1B00-000079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57150</xdr:colOff>
      <xdr:row>344</xdr:row>
      <xdr:rowOff>114300</xdr:rowOff>
    </xdr:from>
    <xdr:to>
      <xdr:col>25</xdr:col>
      <xdr:colOff>523875</xdr:colOff>
      <xdr:row>398</xdr:row>
      <xdr:rowOff>76200</xdr:rowOff>
    </xdr:to>
    <xdr:graphicFrame macro="">
      <xdr:nvGraphicFramePr>
        <xdr:cNvPr id="15423098" name="Chart 34">
          <a:extLst>
            <a:ext uri="{FF2B5EF4-FFF2-40B4-BE49-F238E27FC236}">
              <a16:creationId xmlns:a16="http://schemas.microsoft.com/office/drawing/2014/main" id="{00000000-0008-0000-1B00-00007A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xdr:colOff>
      <xdr:row>401</xdr:row>
      <xdr:rowOff>133350</xdr:rowOff>
    </xdr:from>
    <xdr:to>
      <xdr:col>25</xdr:col>
      <xdr:colOff>542925</xdr:colOff>
      <xdr:row>455</xdr:row>
      <xdr:rowOff>95250</xdr:rowOff>
    </xdr:to>
    <xdr:graphicFrame macro="">
      <xdr:nvGraphicFramePr>
        <xdr:cNvPr id="15423099" name="Chart 38">
          <a:extLst>
            <a:ext uri="{FF2B5EF4-FFF2-40B4-BE49-F238E27FC236}">
              <a16:creationId xmlns:a16="http://schemas.microsoft.com/office/drawing/2014/main" id="{00000000-0008-0000-1B00-00007B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66675</xdr:colOff>
      <xdr:row>458</xdr:row>
      <xdr:rowOff>66675</xdr:rowOff>
    </xdr:from>
    <xdr:to>
      <xdr:col>25</xdr:col>
      <xdr:colOff>533400</xdr:colOff>
      <xdr:row>512</xdr:row>
      <xdr:rowOff>38100</xdr:rowOff>
    </xdr:to>
    <xdr:graphicFrame macro="">
      <xdr:nvGraphicFramePr>
        <xdr:cNvPr id="15423100" name="Chart 55">
          <a:extLst>
            <a:ext uri="{FF2B5EF4-FFF2-40B4-BE49-F238E27FC236}">
              <a16:creationId xmlns:a16="http://schemas.microsoft.com/office/drawing/2014/main" id="{00000000-0008-0000-1B00-00007C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57150</xdr:colOff>
      <xdr:row>515</xdr:row>
      <xdr:rowOff>85725</xdr:rowOff>
    </xdr:from>
    <xdr:to>
      <xdr:col>25</xdr:col>
      <xdr:colOff>533400</xdr:colOff>
      <xdr:row>569</xdr:row>
      <xdr:rowOff>66675</xdr:rowOff>
    </xdr:to>
    <xdr:graphicFrame macro="">
      <xdr:nvGraphicFramePr>
        <xdr:cNvPr id="15423101" name="Chart 56">
          <a:extLst>
            <a:ext uri="{FF2B5EF4-FFF2-40B4-BE49-F238E27FC236}">
              <a16:creationId xmlns:a16="http://schemas.microsoft.com/office/drawing/2014/main" id="{00000000-0008-0000-1B00-00007D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57150</xdr:colOff>
      <xdr:row>572</xdr:row>
      <xdr:rowOff>76200</xdr:rowOff>
    </xdr:from>
    <xdr:to>
      <xdr:col>25</xdr:col>
      <xdr:colOff>514350</xdr:colOff>
      <xdr:row>626</xdr:row>
      <xdr:rowOff>57150</xdr:rowOff>
    </xdr:to>
    <xdr:graphicFrame macro="">
      <xdr:nvGraphicFramePr>
        <xdr:cNvPr id="15423102" name="Chart 57">
          <a:extLst>
            <a:ext uri="{FF2B5EF4-FFF2-40B4-BE49-F238E27FC236}">
              <a16:creationId xmlns:a16="http://schemas.microsoft.com/office/drawing/2014/main" id="{00000000-0008-0000-1B00-00007E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95250</xdr:colOff>
      <xdr:row>629</xdr:row>
      <xdr:rowOff>95250</xdr:rowOff>
    </xdr:from>
    <xdr:to>
      <xdr:col>25</xdr:col>
      <xdr:colOff>514350</xdr:colOff>
      <xdr:row>683</xdr:row>
      <xdr:rowOff>66675</xdr:rowOff>
    </xdr:to>
    <xdr:graphicFrame macro="">
      <xdr:nvGraphicFramePr>
        <xdr:cNvPr id="15423103" name="Chart 69">
          <a:extLst>
            <a:ext uri="{FF2B5EF4-FFF2-40B4-BE49-F238E27FC236}">
              <a16:creationId xmlns:a16="http://schemas.microsoft.com/office/drawing/2014/main" id="{00000000-0008-0000-1B00-00007F56E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101600</xdr:colOff>
      <xdr:row>2</xdr:row>
      <xdr:rowOff>152400</xdr:rowOff>
    </xdr:from>
    <xdr:to>
      <xdr:col>0</xdr:col>
      <xdr:colOff>1739900</xdr:colOff>
      <xdr:row>7</xdr:row>
      <xdr:rowOff>12700</xdr:rowOff>
    </xdr:to>
    <xdr:sp macro="" textlink="">
      <xdr:nvSpPr>
        <xdr:cNvPr id="4097" name="CommandButton1" hidden="1">
          <a:extLst>
            <a:ext uri="{63B3BB69-23CF-44E3-9099-C40C66FF867C}">
              <a14:compatExt xmlns:a14="http://schemas.microsoft.com/office/drawing/2010/main" spid="_x0000_s4097"/>
            </a:ext>
            <a:ext uri="{FF2B5EF4-FFF2-40B4-BE49-F238E27FC236}">
              <a16:creationId xmlns:a16="http://schemas.microsoft.com/office/drawing/2014/main" id="{00000000-0008-0000-1800-000001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12</xdr:row>
      <xdr:rowOff>152400</xdr:rowOff>
    </xdr:from>
    <xdr:to>
      <xdr:col>0</xdr:col>
      <xdr:colOff>1739900</xdr:colOff>
      <xdr:row>17</xdr:row>
      <xdr:rowOff>12700</xdr:rowOff>
    </xdr:to>
    <xdr:sp macro="" textlink="">
      <xdr:nvSpPr>
        <xdr:cNvPr id="4098" name="CommandButton2" hidden="1">
          <a:extLst>
            <a:ext uri="{63B3BB69-23CF-44E3-9099-C40C66FF867C}">
              <a14:compatExt xmlns:a14="http://schemas.microsoft.com/office/drawing/2010/main" spid="_x0000_s4098"/>
            </a:ext>
            <a:ext uri="{FF2B5EF4-FFF2-40B4-BE49-F238E27FC236}">
              <a16:creationId xmlns:a16="http://schemas.microsoft.com/office/drawing/2014/main" id="{00000000-0008-0000-1800-000002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7</xdr:row>
      <xdr:rowOff>152400</xdr:rowOff>
    </xdr:from>
    <xdr:to>
      <xdr:col>0</xdr:col>
      <xdr:colOff>1739900</xdr:colOff>
      <xdr:row>12</xdr:row>
      <xdr:rowOff>12700</xdr:rowOff>
    </xdr:to>
    <xdr:sp macro="" textlink="">
      <xdr:nvSpPr>
        <xdr:cNvPr id="4099" name="CommandButton3" hidden="1">
          <a:extLst>
            <a:ext uri="{63B3BB69-23CF-44E3-9099-C40C66FF867C}">
              <a14:compatExt xmlns:a14="http://schemas.microsoft.com/office/drawing/2010/main" spid="_x0000_s4099"/>
            </a:ext>
            <a:ext uri="{FF2B5EF4-FFF2-40B4-BE49-F238E27FC236}">
              <a16:creationId xmlns:a16="http://schemas.microsoft.com/office/drawing/2014/main" id="{00000000-0008-0000-1800-000003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59</xdr:row>
      <xdr:rowOff>139700</xdr:rowOff>
    </xdr:from>
    <xdr:to>
      <xdr:col>0</xdr:col>
      <xdr:colOff>1739900</xdr:colOff>
      <xdr:row>64</xdr:row>
      <xdr:rowOff>12700</xdr:rowOff>
    </xdr:to>
    <xdr:sp macro="" textlink="">
      <xdr:nvSpPr>
        <xdr:cNvPr id="4100" name="CommandButton4" hidden="1">
          <a:extLst>
            <a:ext uri="{63B3BB69-23CF-44E3-9099-C40C66FF867C}">
              <a14:compatExt xmlns:a14="http://schemas.microsoft.com/office/drawing/2010/main" spid="_x0000_s4100"/>
            </a:ext>
            <a:ext uri="{FF2B5EF4-FFF2-40B4-BE49-F238E27FC236}">
              <a16:creationId xmlns:a16="http://schemas.microsoft.com/office/drawing/2014/main" id="{00000000-0008-0000-1800-000004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69</xdr:row>
      <xdr:rowOff>139700</xdr:rowOff>
    </xdr:from>
    <xdr:to>
      <xdr:col>0</xdr:col>
      <xdr:colOff>1739900</xdr:colOff>
      <xdr:row>74</xdr:row>
      <xdr:rowOff>12700</xdr:rowOff>
    </xdr:to>
    <xdr:sp macro="" textlink="">
      <xdr:nvSpPr>
        <xdr:cNvPr id="4101" name="CommandButton5" hidden="1">
          <a:extLst>
            <a:ext uri="{63B3BB69-23CF-44E3-9099-C40C66FF867C}">
              <a14:compatExt xmlns:a14="http://schemas.microsoft.com/office/drawing/2010/main" spid="_x0000_s4101"/>
            </a:ext>
            <a:ext uri="{FF2B5EF4-FFF2-40B4-BE49-F238E27FC236}">
              <a16:creationId xmlns:a16="http://schemas.microsoft.com/office/drawing/2014/main" id="{00000000-0008-0000-1800-000005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64</xdr:row>
      <xdr:rowOff>139700</xdr:rowOff>
    </xdr:from>
    <xdr:to>
      <xdr:col>0</xdr:col>
      <xdr:colOff>1739900</xdr:colOff>
      <xdr:row>69</xdr:row>
      <xdr:rowOff>12700</xdr:rowOff>
    </xdr:to>
    <xdr:sp macro="" textlink="">
      <xdr:nvSpPr>
        <xdr:cNvPr id="4102" name="CommandButton6" hidden="1">
          <a:extLst>
            <a:ext uri="{63B3BB69-23CF-44E3-9099-C40C66FF867C}">
              <a14:compatExt xmlns:a14="http://schemas.microsoft.com/office/drawing/2010/main" spid="_x0000_s4102"/>
            </a:ext>
            <a:ext uri="{FF2B5EF4-FFF2-40B4-BE49-F238E27FC236}">
              <a16:creationId xmlns:a16="http://schemas.microsoft.com/office/drawing/2014/main" id="{00000000-0008-0000-1800-000006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116</xdr:row>
      <xdr:rowOff>127000</xdr:rowOff>
    </xdr:from>
    <xdr:to>
      <xdr:col>0</xdr:col>
      <xdr:colOff>1739900</xdr:colOff>
      <xdr:row>120</xdr:row>
      <xdr:rowOff>165100</xdr:rowOff>
    </xdr:to>
    <xdr:sp macro="" textlink="">
      <xdr:nvSpPr>
        <xdr:cNvPr id="4103" name="CommandButton7" hidden="1">
          <a:extLst>
            <a:ext uri="{63B3BB69-23CF-44E3-9099-C40C66FF867C}">
              <a14:compatExt xmlns:a14="http://schemas.microsoft.com/office/drawing/2010/main" spid="_x0000_s4103"/>
            </a:ext>
            <a:ext uri="{FF2B5EF4-FFF2-40B4-BE49-F238E27FC236}">
              <a16:creationId xmlns:a16="http://schemas.microsoft.com/office/drawing/2014/main" id="{00000000-0008-0000-1800-000007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126</xdr:row>
      <xdr:rowOff>127000</xdr:rowOff>
    </xdr:from>
    <xdr:to>
      <xdr:col>0</xdr:col>
      <xdr:colOff>1739900</xdr:colOff>
      <xdr:row>130</xdr:row>
      <xdr:rowOff>165100</xdr:rowOff>
    </xdr:to>
    <xdr:sp macro="" textlink="">
      <xdr:nvSpPr>
        <xdr:cNvPr id="4104" name="CommandButton8" hidden="1">
          <a:extLst>
            <a:ext uri="{63B3BB69-23CF-44E3-9099-C40C66FF867C}">
              <a14:compatExt xmlns:a14="http://schemas.microsoft.com/office/drawing/2010/main" spid="_x0000_s4104"/>
            </a:ext>
            <a:ext uri="{FF2B5EF4-FFF2-40B4-BE49-F238E27FC236}">
              <a16:creationId xmlns:a16="http://schemas.microsoft.com/office/drawing/2014/main" id="{00000000-0008-0000-1800-000008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121</xdr:row>
      <xdr:rowOff>127000</xdr:rowOff>
    </xdr:from>
    <xdr:to>
      <xdr:col>0</xdr:col>
      <xdr:colOff>1739900</xdr:colOff>
      <xdr:row>125</xdr:row>
      <xdr:rowOff>165100</xdr:rowOff>
    </xdr:to>
    <xdr:sp macro="" textlink="">
      <xdr:nvSpPr>
        <xdr:cNvPr id="4105" name="CommandButton9" hidden="1">
          <a:extLst>
            <a:ext uri="{63B3BB69-23CF-44E3-9099-C40C66FF867C}">
              <a14:compatExt xmlns:a14="http://schemas.microsoft.com/office/drawing/2010/main" spid="_x0000_s4105"/>
            </a:ext>
            <a:ext uri="{FF2B5EF4-FFF2-40B4-BE49-F238E27FC236}">
              <a16:creationId xmlns:a16="http://schemas.microsoft.com/office/drawing/2014/main" id="{00000000-0008-0000-1800-000009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173</xdr:row>
      <xdr:rowOff>114300</xdr:rowOff>
    </xdr:from>
    <xdr:to>
      <xdr:col>0</xdr:col>
      <xdr:colOff>1739900</xdr:colOff>
      <xdr:row>177</xdr:row>
      <xdr:rowOff>139700</xdr:rowOff>
    </xdr:to>
    <xdr:sp macro="" textlink="">
      <xdr:nvSpPr>
        <xdr:cNvPr id="4106" name="CommandButton10" hidden="1">
          <a:extLst>
            <a:ext uri="{63B3BB69-23CF-44E3-9099-C40C66FF867C}">
              <a14:compatExt xmlns:a14="http://schemas.microsoft.com/office/drawing/2010/main" spid="_x0000_s4106"/>
            </a:ext>
            <a:ext uri="{FF2B5EF4-FFF2-40B4-BE49-F238E27FC236}">
              <a16:creationId xmlns:a16="http://schemas.microsoft.com/office/drawing/2014/main" id="{00000000-0008-0000-1800-00000A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183</xdr:row>
      <xdr:rowOff>114300</xdr:rowOff>
    </xdr:from>
    <xdr:to>
      <xdr:col>0</xdr:col>
      <xdr:colOff>1739900</xdr:colOff>
      <xdr:row>187</xdr:row>
      <xdr:rowOff>139700</xdr:rowOff>
    </xdr:to>
    <xdr:sp macro="" textlink="">
      <xdr:nvSpPr>
        <xdr:cNvPr id="4107" name="CommandButton11" hidden="1">
          <a:extLst>
            <a:ext uri="{63B3BB69-23CF-44E3-9099-C40C66FF867C}">
              <a14:compatExt xmlns:a14="http://schemas.microsoft.com/office/drawing/2010/main" spid="_x0000_s4107"/>
            </a:ext>
            <a:ext uri="{FF2B5EF4-FFF2-40B4-BE49-F238E27FC236}">
              <a16:creationId xmlns:a16="http://schemas.microsoft.com/office/drawing/2014/main" id="{00000000-0008-0000-1800-00000B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178</xdr:row>
      <xdr:rowOff>114300</xdr:rowOff>
    </xdr:from>
    <xdr:to>
      <xdr:col>0</xdr:col>
      <xdr:colOff>1739900</xdr:colOff>
      <xdr:row>182</xdr:row>
      <xdr:rowOff>139700</xdr:rowOff>
    </xdr:to>
    <xdr:sp macro="" textlink="">
      <xdr:nvSpPr>
        <xdr:cNvPr id="4108" name="CommandButton12" hidden="1">
          <a:extLst>
            <a:ext uri="{63B3BB69-23CF-44E3-9099-C40C66FF867C}">
              <a14:compatExt xmlns:a14="http://schemas.microsoft.com/office/drawing/2010/main" spid="_x0000_s4108"/>
            </a:ext>
            <a:ext uri="{FF2B5EF4-FFF2-40B4-BE49-F238E27FC236}">
              <a16:creationId xmlns:a16="http://schemas.microsoft.com/office/drawing/2014/main" id="{00000000-0008-0000-1800-00000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230</xdr:row>
      <xdr:rowOff>127000</xdr:rowOff>
    </xdr:from>
    <xdr:to>
      <xdr:col>0</xdr:col>
      <xdr:colOff>1739900</xdr:colOff>
      <xdr:row>234</xdr:row>
      <xdr:rowOff>165100</xdr:rowOff>
    </xdr:to>
    <xdr:sp macro="" textlink="">
      <xdr:nvSpPr>
        <xdr:cNvPr id="4109" name="CommandButton13" hidden="1">
          <a:extLst>
            <a:ext uri="{63B3BB69-23CF-44E3-9099-C40C66FF867C}">
              <a14:compatExt xmlns:a14="http://schemas.microsoft.com/office/drawing/2010/main" spid="_x0000_s4109"/>
            </a:ext>
            <a:ext uri="{FF2B5EF4-FFF2-40B4-BE49-F238E27FC236}">
              <a16:creationId xmlns:a16="http://schemas.microsoft.com/office/drawing/2014/main" id="{00000000-0008-0000-1800-00000D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240</xdr:row>
      <xdr:rowOff>127000</xdr:rowOff>
    </xdr:from>
    <xdr:to>
      <xdr:col>0</xdr:col>
      <xdr:colOff>1739900</xdr:colOff>
      <xdr:row>244</xdr:row>
      <xdr:rowOff>165100</xdr:rowOff>
    </xdr:to>
    <xdr:sp macro="" textlink="">
      <xdr:nvSpPr>
        <xdr:cNvPr id="4110" name="CommandButton14" hidden="1">
          <a:extLst>
            <a:ext uri="{63B3BB69-23CF-44E3-9099-C40C66FF867C}">
              <a14:compatExt xmlns:a14="http://schemas.microsoft.com/office/drawing/2010/main" spid="_x0000_s4110"/>
            </a:ext>
            <a:ext uri="{FF2B5EF4-FFF2-40B4-BE49-F238E27FC236}">
              <a16:creationId xmlns:a16="http://schemas.microsoft.com/office/drawing/2014/main" id="{00000000-0008-0000-1800-00000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235</xdr:row>
      <xdr:rowOff>127000</xdr:rowOff>
    </xdr:from>
    <xdr:to>
      <xdr:col>0</xdr:col>
      <xdr:colOff>1739900</xdr:colOff>
      <xdr:row>239</xdr:row>
      <xdr:rowOff>165100</xdr:rowOff>
    </xdr:to>
    <xdr:sp macro="" textlink="">
      <xdr:nvSpPr>
        <xdr:cNvPr id="4111" name="CommandButton15" hidden="1">
          <a:extLst>
            <a:ext uri="{63B3BB69-23CF-44E3-9099-C40C66FF867C}">
              <a14:compatExt xmlns:a14="http://schemas.microsoft.com/office/drawing/2010/main" spid="_x0000_s4111"/>
            </a:ext>
            <a:ext uri="{FF2B5EF4-FFF2-40B4-BE49-F238E27FC236}">
              <a16:creationId xmlns:a16="http://schemas.microsoft.com/office/drawing/2014/main" id="{00000000-0008-0000-1800-00000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287</xdr:row>
      <xdr:rowOff>127000</xdr:rowOff>
    </xdr:from>
    <xdr:to>
      <xdr:col>0</xdr:col>
      <xdr:colOff>1739900</xdr:colOff>
      <xdr:row>291</xdr:row>
      <xdr:rowOff>165100</xdr:rowOff>
    </xdr:to>
    <xdr:sp macro="" textlink="">
      <xdr:nvSpPr>
        <xdr:cNvPr id="4112" name="CommandButton16" hidden="1">
          <a:extLst>
            <a:ext uri="{63B3BB69-23CF-44E3-9099-C40C66FF867C}">
              <a14:compatExt xmlns:a14="http://schemas.microsoft.com/office/drawing/2010/main" spid="_x0000_s4112"/>
            </a:ext>
            <a:ext uri="{FF2B5EF4-FFF2-40B4-BE49-F238E27FC236}">
              <a16:creationId xmlns:a16="http://schemas.microsoft.com/office/drawing/2014/main" id="{00000000-0008-0000-1800-000010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297</xdr:row>
      <xdr:rowOff>127000</xdr:rowOff>
    </xdr:from>
    <xdr:to>
      <xdr:col>0</xdr:col>
      <xdr:colOff>1739900</xdr:colOff>
      <xdr:row>301</xdr:row>
      <xdr:rowOff>165100</xdr:rowOff>
    </xdr:to>
    <xdr:sp macro="" textlink="">
      <xdr:nvSpPr>
        <xdr:cNvPr id="4113" name="CommandButton17" hidden="1">
          <a:extLst>
            <a:ext uri="{63B3BB69-23CF-44E3-9099-C40C66FF867C}">
              <a14:compatExt xmlns:a14="http://schemas.microsoft.com/office/drawing/2010/main" spid="_x0000_s4113"/>
            </a:ext>
            <a:ext uri="{FF2B5EF4-FFF2-40B4-BE49-F238E27FC236}">
              <a16:creationId xmlns:a16="http://schemas.microsoft.com/office/drawing/2014/main" id="{00000000-0008-0000-1800-000011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292</xdr:row>
      <xdr:rowOff>127000</xdr:rowOff>
    </xdr:from>
    <xdr:to>
      <xdr:col>0</xdr:col>
      <xdr:colOff>1739900</xdr:colOff>
      <xdr:row>296</xdr:row>
      <xdr:rowOff>165100</xdr:rowOff>
    </xdr:to>
    <xdr:sp macro="" textlink="">
      <xdr:nvSpPr>
        <xdr:cNvPr id="4114" name="CommandButton18" hidden="1">
          <a:extLst>
            <a:ext uri="{63B3BB69-23CF-44E3-9099-C40C66FF867C}">
              <a14:compatExt xmlns:a14="http://schemas.microsoft.com/office/drawing/2010/main" spid="_x0000_s4114"/>
            </a:ext>
            <a:ext uri="{FF2B5EF4-FFF2-40B4-BE49-F238E27FC236}">
              <a16:creationId xmlns:a16="http://schemas.microsoft.com/office/drawing/2014/main" id="{00000000-0008-0000-1800-000012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344</xdr:row>
      <xdr:rowOff>152400</xdr:rowOff>
    </xdr:from>
    <xdr:to>
      <xdr:col>0</xdr:col>
      <xdr:colOff>1739900</xdr:colOff>
      <xdr:row>349</xdr:row>
      <xdr:rowOff>12700</xdr:rowOff>
    </xdr:to>
    <xdr:sp macro="" textlink="">
      <xdr:nvSpPr>
        <xdr:cNvPr id="4115" name="CommandButton19" hidden="1">
          <a:extLst>
            <a:ext uri="{63B3BB69-23CF-44E3-9099-C40C66FF867C}">
              <a14:compatExt xmlns:a14="http://schemas.microsoft.com/office/drawing/2010/main" spid="_x0000_s4115"/>
            </a:ext>
            <a:ext uri="{FF2B5EF4-FFF2-40B4-BE49-F238E27FC236}">
              <a16:creationId xmlns:a16="http://schemas.microsoft.com/office/drawing/2014/main" id="{00000000-0008-0000-1800-000013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354</xdr:row>
      <xdr:rowOff>152400</xdr:rowOff>
    </xdr:from>
    <xdr:to>
      <xdr:col>0</xdr:col>
      <xdr:colOff>1739900</xdr:colOff>
      <xdr:row>359</xdr:row>
      <xdr:rowOff>12700</xdr:rowOff>
    </xdr:to>
    <xdr:sp macro="" textlink="">
      <xdr:nvSpPr>
        <xdr:cNvPr id="4116" name="CommandButton20" hidden="1">
          <a:extLst>
            <a:ext uri="{63B3BB69-23CF-44E3-9099-C40C66FF867C}">
              <a14:compatExt xmlns:a14="http://schemas.microsoft.com/office/drawing/2010/main" spid="_x0000_s4116"/>
            </a:ext>
            <a:ext uri="{FF2B5EF4-FFF2-40B4-BE49-F238E27FC236}">
              <a16:creationId xmlns:a16="http://schemas.microsoft.com/office/drawing/2014/main" id="{00000000-0008-0000-1800-000014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349</xdr:row>
      <xdr:rowOff>152400</xdr:rowOff>
    </xdr:from>
    <xdr:to>
      <xdr:col>0</xdr:col>
      <xdr:colOff>1739900</xdr:colOff>
      <xdr:row>354</xdr:row>
      <xdr:rowOff>12700</xdr:rowOff>
    </xdr:to>
    <xdr:sp macro="" textlink="">
      <xdr:nvSpPr>
        <xdr:cNvPr id="4117" name="CommandButton21" hidden="1">
          <a:extLst>
            <a:ext uri="{63B3BB69-23CF-44E3-9099-C40C66FF867C}">
              <a14:compatExt xmlns:a14="http://schemas.microsoft.com/office/drawing/2010/main" spid="_x0000_s4117"/>
            </a:ext>
            <a:ext uri="{FF2B5EF4-FFF2-40B4-BE49-F238E27FC236}">
              <a16:creationId xmlns:a16="http://schemas.microsoft.com/office/drawing/2014/main" id="{00000000-0008-0000-1800-000015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401</xdr:row>
      <xdr:rowOff>139700</xdr:rowOff>
    </xdr:from>
    <xdr:to>
      <xdr:col>0</xdr:col>
      <xdr:colOff>1739900</xdr:colOff>
      <xdr:row>406</xdr:row>
      <xdr:rowOff>12700</xdr:rowOff>
    </xdr:to>
    <xdr:sp macro="" textlink="">
      <xdr:nvSpPr>
        <xdr:cNvPr id="4118" name="CommandButton22" hidden="1">
          <a:extLst>
            <a:ext uri="{63B3BB69-23CF-44E3-9099-C40C66FF867C}">
              <a14:compatExt xmlns:a14="http://schemas.microsoft.com/office/drawing/2010/main" spid="_x0000_s4118"/>
            </a:ext>
            <a:ext uri="{FF2B5EF4-FFF2-40B4-BE49-F238E27FC236}">
              <a16:creationId xmlns:a16="http://schemas.microsoft.com/office/drawing/2014/main" id="{00000000-0008-0000-1800-000016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411</xdr:row>
      <xdr:rowOff>139700</xdr:rowOff>
    </xdr:from>
    <xdr:to>
      <xdr:col>0</xdr:col>
      <xdr:colOff>1739900</xdr:colOff>
      <xdr:row>416</xdr:row>
      <xdr:rowOff>12700</xdr:rowOff>
    </xdr:to>
    <xdr:sp macro="" textlink="">
      <xdr:nvSpPr>
        <xdr:cNvPr id="4119" name="CommandButton23" hidden="1">
          <a:extLst>
            <a:ext uri="{63B3BB69-23CF-44E3-9099-C40C66FF867C}">
              <a14:compatExt xmlns:a14="http://schemas.microsoft.com/office/drawing/2010/main" spid="_x0000_s4119"/>
            </a:ext>
            <a:ext uri="{FF2B5EF4-FFF2-40B4-BE49-F238E27FC236}">
              <a16:creationId xmlns:a16="http://schemas.microsoft.com/office/drawing/2014/main" id="{00000000-0008-0000-1800-000017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406</xdr:row>
      <xdr:rowOff>139700</xdr:rowOff>
    </xdr:from>
    <xdr:to>
      <xdr:col>0</xdr:col>
      <xdr:colOff>1739900</xdr:colOff>
      <xdr:row>411</xdr:row>
      <xdr:rowOff>12700</xdr:rowOff>
    </xdr:to>
    <xdr:sp macro="" textlink="">
      <xdr:nvSpPr>
        <xdr:cNvPr id="4120" name="CommandButton24" hidden="1">
          <a:extLst>
            <a:ext uri="{63B3BB69-23CF-44E3-9099-C40C66FF867C}">
              <a14:compatExt xmlns:a14="http://schemas.microsoft.com/office/drawing/2010/main" spid="_x0000_s4120"/>
            </a:ext>
            <a:ext uri="{FF2B5EF4-FFF2-40B4-BE49-F238E27FC236}">
              <a16:creationId xmlns:a16="http://schemas.microsoft.com/office/drawing/2014/main" id="{00000000-0008-0000-1800-000018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629</xdr:row>
      <xdr:rowOff>101600</xdr:rowOff>
    </xdr:from>
    <xdr:to>
      <xdr:col>0</xdr:col>
      <xdr:colOff>1739900</xdr:colOff>
      <xdr:row>633</xdr:row>
      <xdr:rowOff>139700</xdr:rowOff>
    </xdr:to>
    <xdr:sp macro="" textlink="">
      <xdr:nvSpPr>
        <xdr:cNvPr id="4121" name="CommandButton25" hidden="1">
          <a:extLst>
            <a:ext uri="{63B3BB69-23CF-44E3-9099-C40C66FF867C}">
              <a14:compatExt xmlns:a14="http://schemas.microsoft.com/office/drawing/2010/main" spid="_x0000_s4121"/>
            </a:ext>
            <a:ext uri="{FF2B5EF4-FFF2-40B4-BE49-F238E27FC236}">
              <a16:creationId xmlns:a16="http://schemas.microsoft.com/office/drawing/2014/main" id="{00000000-0008-0000-1800-000019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639</xdr:row>
      <xdr:rowOff>101600</xdr:rowOff>
    </xdr:from>
    <xdr:to>
      <xdr:col>0</xdr:col>
      <xdr:colOff>1739900</xdr:colOff>
      <xdr:row>643</xdr:row>
      <xdr:rowOff>139700</xdr:rowOff>
    </xdr:to>
    <xdr:sp macro="" textlink="">
      <xdr:nvSpPr>
        <xdr:cNvPr id="4122" name="CommandButton26" hidden="1">
          <a:extLst>
            <a:ext uri="{63B3BB69-23CF-44E3-9099-C40C66FF867C}">
              <a14:compatExt xmlns:a14="http://schemas.microsoft.com/office/drawing/2010/main" spid="_x0000_s4122"/>
            </a:ext>
            <a:ext uri="{FF2B5EF4-FFF2-40B4-BE49-F238E27FC236}">
              <a16:creationId xmlns:a16="http://schemas.microsoft.com/office/drawing/2014/main" id="{00000000-0008-0000-1800-00001A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634</xdr:row>
      <xdr:rowOff>101600</xdr:rowOff>
    </xdr:from>
    <xdr:to>
      <xdr:col>0</xdr:col>
      <xdr:colOff>1739900</xdr:colOff>
      <xdr:row>638</xdr:row>
      <xdr:rowOff>139700</xdr:rowOff>
    </xdr:to>
    <xdr:sp macro="" textlink="">
      <xdr:nvSpPr>
        <xdr:cNvPr id="4123" name="CommandButton27" hidden="1">
          <a:extLst>
            <a:ext uri="{63B3BB69-23CF-44E3-9099-C40C66FF867C}">
              <a14:compatExt xmlns:a14="http://schemas.microsoft.com/office/drawing/2010/main" spid="_x0000_s4123"/>
            </a:ext>
            <a:ext uri="{FF2B5EF4-FFF2-40B4-BE49-F238E27FC236}">
              <a16:creationId xmlns:a16="http://schemas.microsoft.com/office/drawing/2014/main" id="{00000000-0008-0000-1800-00001B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459</xdr:row>
      <xdr:rowOff>139700</xdr:rowOff>
    </xdr:from>
    <xdr:to>
      <xdr:col>0</xdr:col>
      <xdr:colOff>1739900</xdr:colOff>
      <xdr:row>464</xdr:row>
      <xdr:rowOff>12700</xdr:rowOff>
    </xdr:to>
    <xdr:sp macro="" textlink="">
      <xdr:nvSpPr>
        <xdr:cNvPr id="4124" name="CommandButton28" hidden="1">
          <a:extLst>
            <a:ext uri="{63B3BB69-23CF-44E3-9099-C40C66FF867C}">
              <a14:compatExt xmlns:a14="http://schemas.microsoft.com/office/drawing/2010/main" spid="_x0000_s4124"/>
            </a:ext>
            <a:ext uri="{FF2B5EF4-FFF2-40B4-BE49-F238E27FC236}">
              <a16:creationId xmlns:a16="http://schemas.microsoft.com/office/drawing/2014/main" id="{00000000-0008-0000-1800-00001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469</xdr:row>
      <xdr:rowOff>139700</xdr:rowOff>
    </xdr:from>
    <xdr:to>
      <xdr:col>0</xdr:col>
      <xdr:colOff>1739900</xdr:colOff>
      <xdr:row>474</xdr:row>
      <xdr:rowOff>12700</xdr:rowOff>
    </xdr:to>
    <xdr:sp macro="" textlink="">
      <xdr:nvSpPr>
        <xdr:cNvPr id="4125" name="CommandButton29" hidden="1">
          <a:extLst>
            <a:ext uri="{63B3BB69-23CF-44E3-9099-C40C66FF867C}">
              <a14:compatExt xmlns:a14="http://schemas.microsoft.com/office/drawing/2010/main" spid="_x0000_s4125"/>
            </a:ext>
            <a:ext uri="{FF2B5EF4-FFF2-40B4-BE49-F238E27FC236}">
              <a16:creationId xmlns:a16="http://schemas.microsoft.com/office/drawing/2014/main" id="{00000000-0008-0000-1800-00001D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464</xdr:row>
      <xdr:rowOff>139700</xdr:rowOff>
    </xdr:from>
    <xdr:to>
      <xdr:col>0</xdr:col>
      <xdr:colOff>1739900</xdr:colOff>
      <xdr:row>469</xdr:row>
      <xdr:rowOff>12700</xdr:rowOff>
    </xdr:to>
    <xdr:sp macro="" textlink="">
      <xdr:nvSpPr>
        <xdr:cNvPr id="4126" name="CommandButton30" hidden="1">
          <a:extLst>
            <a:ext uri="{63B3BB69-23CF-44E3-9099-C40C66FF867C}">
              <a14:compatExt xmlns:a14="http://schemas.microsoft.com/office/drawing/2010/main" spid="_x0000_s4126"/>
            </a:ext>
            <a:ext uri="{FF2B5EF4-FFF2-40B4-BE49-F238E27FC236}">
              <a16:creationId xmlns:a16="http://schemas.microsoft.com/office/drawing/2014/main" id="{00000000-0008-0000-18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515</xdr:row>
      <xdr:rowOff>139700</xdr:rowOff>
    </xdr:from>
    <xdr:to>
      <xdr:col>0</xdr:col>
      <xdr:colOff>1739900</xdr:colOff>
      <xdr:row>520</xdr:row>
      <xdr:rowOff>12700</xdr:rowOff>
    </xdr:to>
    <xdr:sp macro="" textlink="">
      <xdr:nvSpPr>
        <xdr:cNvPr id="4127" name="CommandButton31" hidden="1">
          <a:extLst>
            <a:ext uri="{63B3BB69-23CF-44E3-9099-C40C66FF867C}">
              <a14:compatExt xmlns:a14="http://schemas.microsoft.com/office/drawing/2010/main" spid="_x0000_s4127"/>
            </a:ext>
            <a:ext uri="{FF2B5EF4-FFF2-40B4-BE49-F238E27FC236}">
              <a16:creationId xmlns:a16="http://schemas.microsoft.com/office/drawing/2014/main" id="{00000000-0008-0000-18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525</xdr:row>
      <xdr:rowOff>139700</xdr:rowOff>
    </xdr:from>
    <xdr:to>
      <xdr:col>0</xdr:col>
      <xdr:colOff>1739900</xdr:colOff>
      <xdr:row>530</xdr:row>
      <xdr:rowOff>12700</xdr:rowOff>
    </xdr:to>
    <xdr:sp macro="" textlink="">
      <xdr:nvSpPr>
        <xdr:cNvPr id="4128" name="CommandButton32" hidden="1">
          <a:extLst>
            <a:ext uri="{63B3BB69-23CF-44E3-9099-C40C66FF867C}">
              <a14:compatExt xmlns:a14="http://schemas.microsoft.com/office/drawing/2010/main" spid="_x0000_s4128"/>
            </a:ext>
            <a:ext uri="{FF2B5EF4-FFF2-40B4-BE49-F238E27FC236}">
              <a16:creationId xmlns:a16="http://schemas.microsoft.com/office/drawing/2014/main" id="{00000000-0008-0000-1800-000020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520</xdr:row>
      <xdr:rowOff>139700</xdr:rowOff>
    </xdr:from>
    <xdr:to>
      <xdr:col>0</xdr:col>
      <xdr:colOff>1739900</xdr:colOff>
      <xdr:row>525</xdr:row>
      <xdr:rowOff>12700</xdr:rowOff>
    </xdr:to>
    <xdr:sp macro="" textlink="">
      <xdr:nvSpPr>
        <xdr:cNvPr id="4129" name="CommandButton33" hidden="1">
          <a:extLst>
            <a:ext uri="{63B3BB69-23CF-44E3-9099-C40C66FF867C}">
              <a14:compatExt xmlns:a14="http://schemas.microsoft.com/office/drawing/2010/main" spid="_x0000_s4129"/>
            </a:ext>
            <a:ext uri="{FF2B5EF4-FFF2-40B4-BE49-F238E27FC236}">
              <a16:creationId xmlns:a16="http://schemas.microsoft.com/office/drawing/2014/main" id="{00000000-0008-0000-1800-000021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573</xdr:row>
      <xdr:rowOff>139700</xdr:rowOff>
    </xdr:from>
    <xdr:to>
      <xdr:col>0</xdr:col>
      <xdr:colOff>1739900</xdr:colOff>
      <xdr:row>578</xdr:row>
      <xdr:rowOff>12700</xdr:rowOff>
    </xdr:to>
    <xdr:sp macro="" textlink="">
      <xdr:nvSpPr>
        <xdr:cNvPr id="4130" name="CommandButton34" hidden="1">
          <a:extLst>
            <a:ext uri="{63B3BB69-23CF-44E3-9099-C40C66FF867C}">
              <a14:compatExt xmlns:a14="http://schemas.microsoft.com/office/drawing/2010/main" spid="_x0000_s4130"/>
            </a:ext>
            <a:ext uri="{FF2B5EF4-FFF2-40B4-BE49-F238E27FC236}">
              <a16:creationId xmlns:a16="http://schemas.microsoft.com/office/drawing/2014/main" id="{00000000-0008-0000-1800-000022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583</xdr:row>
      <xdr:rowOff>139700</xdr:rowOff>
    </xdr:from>
    <xdr:to>
      <xdr:col>0</xdr:col>
      <xdr:colOff>1739900</xdr:colOff>
      <xdr:row>588</xdr:row>
      <xdr:rowOff>12700</xdr:rowOff>
    </xdr:to>
    <xdr:sp macro="" textlink="">
      <xdr:nvSpPr>
        <xdr:cNvPr id="4131" name="CommandButton35" hidden="1">
          <a:extLst>
            <a:ext uri="{63B3BB69-23CF-44E3-9099-C40C66FF867C}">
              <a14:compatExt xmlns:a14="http://schemas.microsoft.com/office/drawing/2010/main" spid="_x0000_s4131"/>
            </a:ext>
            <a:ext uri="{FF2B5EF4-FFF2-40B4-BE49-F238E27FC236}">
              <a16:creationId xmlns:a16="http://schemas.microsoft.com/office/drawing/2014/main" id="{00000000-0008-0000-1800-000023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578</xdr:row>
      <xdr:rowOff>139700</xdr:rowOff>
    </xdr:from>
    <xdr:to>
      <xdr:col>0</xdr:col>
      <xdr:colOff>1739900</xdr:colOff>
      <xdr:row>583</xdr:row>
      <xdr:rowOff>12700</xdr:rowOff>
    </xdr:to>
    <xdr:sp macro="" textlink="">
      <xdr:nvSpPr>
        <xdr:cNvPr id="4132" name="CommandButton36" hidden="1">
          <a:extLst>
            <a:ext uri="{63B3BB69-23CF-44E3-9099-C40C66FF867C}">
              <a14:compatExt xmlns:a14="http://schemas.microsoft.com/office/drawing/2010/main" spid="_x0000_s4132"/>
            </a:ext>
            <a:ext uri="{FF2B5EF4-FFF2-40B4-BE49-F238E27FC236}">
              <a16:creationId xmlns:a16="http://schemas.microsoft.com/office/drawing/2014/main" id="{00000000-0008-0000-1800-000024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PrintsWithSheet="0"/>
  </xdr:twoCellAnchor>
  <xdr:twoCellAnchor editAs="oneCell">
    <xdr:from>
      <xdr:col>0</xdr:col>
      <xdr:colOff>101600</xdr:colOff>
      <xdr:row>2</xdr:row>
      <xdr:rowOff>152400</xdr:rowOff>
    </xdr:from>
    <xdr:to>
      <xdr:col>0</xdr:col>
      <xdr:colOff>1739900</xdr:colOff>
      <xdr:row>7</xdr:row>
      <xdr:rowOff>12700</xdr:rowOff>
    </xdr:to>
    <xdr:pic>
      <xdr:nvPicPr>
        <xdr:cNvPr id="3" name="CommandButton1">
          <a:extLst>
            <a:ext uri="{FF2B5EF4-FFF2-40B4-BE49-F238E27FC236}">
              <a16:creationId xmlns:a16="http://schemas.microsoft.com/office/drawing/2014/main" id="{3CAE5B19-E2DB-2003-7BAE-977AD92E2B74}"/>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1600" y="546100"/>
          <a:ext cx="1638300" cy="685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12</xdr:row>
      <xdr:rowOff>152400</xdr:rowOff>
    </xdr:from>
    <xdr:to>
      <xdr:col>0</xdr:col>
      <xdr:colOff>1739900</xdr:colOff>
      <xdr:row>17</xdr:row>
      <xdr:rowOff>12700</xdr:rowOff>
    </xdr:to>
    <xdr:pic>
      <xdr:nvPicPr>
        <xdr:cNvPr id="4" name="CommandButton2">
          <a:extLst>
            <a:ext uri="{FF2B5EF4-FFF2-40B4-BE49-F238E27FC236}">
              <a16:creationId xmlns:a16="http://schemas.microsoft.com/office/drawing/2014/main" id="{848F45AE-5F07-9405-5519-66FEF7E69636}"/>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1600" y="2197100"/>
          <a:ext cx="1638300" cy="685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7</xdr:row>
      <xdr:rowOff>152400</xdr:rowOff>
    </xdr:from>
    <xdr:to>
      <xdr:col>0</xdr:col>
      <xdr:colOff>1739900</xdr:colOff>
      <xdr:row>12</xdr:row>
      <xdr:rowOff>12700</xdr:rowOff>
    </xdr:to>
    <xdr:pic>
      <xdr:nvPicPr>
        <xdr:cNvPr id="5" name="CommandButton3">
          <a:extLst>
            <a:ext uri="{FF2B5EF4-FFF2-40B4-BE49-F238E27FC236}">
              <a16:creationId xmlns:a16="http://schemas.microsoft.com/office/drawing/2014/main" id="{069F2FE0-33FC-0A5C-D577-21738FA12BE3}"/>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1600" y="1371600"/>
          <a:ext cx="1638300" cy="685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59</xdr:row>
      <xdr:rowOff>139700</xdr:rowOff>
    </xdr:from>
    <xdr:to>
      <xdr:col>0</xdr:col>
      <xdr:colOff>1739900</xdr:colOff>
      <xdr:row>64</xdr:row>
      <xdr:rowOff>12700</xdr:rowOff>
    </xdr:to>
    <xdr:pic>
      <xdr:nvPicPr>
        <xdr:cNvPr id="6" name="CommandButton4">
          <a:extLst>
            <a:ext uri="{FF2B5EF4-FFF2-40B4-BE49-F238E27FC236}">
              <a16:creationId xmlns:a16="http://schemas.microsoft.com/office/drawing/2014/main" id="{8F93C8C2-E44F-61AE-8F0A-6AD5DB5E491D}"/>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1600" y="100076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69</xdr:row>
      <xdr:rowOff>139700</xdr:rowOff>
    </xdr:from>
    <xdr:to>
      <xdr:col>0</xdr:col>
      <xdr:colOff>1739900</xdr:colOff>
      <xdr:row>74</xdr:row>
      <xdr:rowOff>12700</xdr:rowOff>
    </xdr:to>
    <xdr:pic>
      <xdr:nvPicPr>
        <xdr:cNvPr id="7" name="CommandButton5">
          <a:extLst>
            <a:ext uri="{FF2B5EF4-FFF2-40B4-BE49-F238E27FC236}">
              <a16:creationId xmlns:a16="http://schemas.microsoft.com/office/drawing/2014/main" id="{642E3FB5-CF44-4042-8C2E-D2EB12B23D14}"/>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600" y="116586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64</xdr:row>
      <xdr:rowOff>139700</xdr:rowOff>
    </xdr:from>
    <xdr:to>
      <xdr:col>0</xdr:col>
      <xdr:colOff>1739900</xdr:colOff>
      <xdr:row>69</xdr:row>
      <xdr:rowOff>12700</xdr:rowOff>
    </xdr:to>
    <xdr:pic>
      <xdr:nvPicPr>
        <xdr:cNvPr id="8" name="CommandButton6">
          <a:extLst>
            <a:ext uri="{FF2B5EF4-FFF2-40B4-BE49-F238E27FC236}">
              <a16:creationId xmlns:a16="http://schemas.microsoft.com/office/drawing/2014/main" id="{C18DC45D-8CBC-A1AE-7ED7-90236CAF87BD}"/>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600" y="108331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116</xdr:row>
      <xdr:rowOff>127000</xdr:rowOff>
    </xdr:from>
    <xdr:to>
      <xdr:col>0</xdr:col>
      <xdr:colOff>1739900</xdr:colOff>
      <xdr:row>120</xdr:row>
      <xdr:rowOff>165100</xdr:rowOff>
    </xdr:to>
    <xdr:pic>
      <xdr:nvPicPr>
        <xdr:cNvPr id="9" name="CommandButton7">
          <a:extLst>
            <a:ext uri="{FF2B5EF4-FFF2-40B4-BE49-F238E27FC236}">
              <a16:creationId xmlns:a16="http://schemas.microsoft.com/office/drawing/2014/main" id="{3E39E241-4C7E-CDEA-F182-259B10C97DC2}"/>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1600" y="194691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126</xdr:row>
      <xdr:rowOff>127000</xdr:rowOff>
    </xdr:from>
    <xdr:to>
      <xdr:col>0</xdr:col>
      <xdr:colOff>1739900</xdr:colOff>
      <xdr:row>130</xdr:row>
      <xdr:rowOff>165100</xdr:rowOff>
    </xdr:to>
    <xdr:pic>
      <xdr:nvPicPr>
        <xdr:cNvPr id="10" name="CommandButton8">
          <a:extLst>
            <a:ext uri="{FF2B5EF4-FFF2-40B4-BE49-F238E27FC236}">
              <a16:creationId xmlns:a16="http://schemas.microsoft.com/office/drawing/2014/main" id="{391090E6-1A58-3C94-F75E-9FC9C6478DC1}"/>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600" y="211201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121</xdr:row>
      <xdr:rowOff>127000</xdr:rowOff>
    </xdr:from>
    <xdr:to>
      <xdr:col>0</xdr:col>
      <xdr:colOff>1739900</xdr:colOff>
      <xdr:row>125</xdr:row>
      <xdr:rowOff>165100</xdr:rowOff>
    </xdr:to>
    <xdr:pic>
      <xdr:nvPicPr>
        <xdr:cNvPr id="11" name="CommandButton9">
          <a:extLst>
            <a:ext uri="{FF2B5EF4-FFF2-40B4-BE49-F238E27FC236}">
              <a16:creationId xmlns:a16="http://schemas.microsoft.com/office/drawing/2014/main" id="{5D992662-78B1-960B-1EFB-4D0C2268800E}"/>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600" y="202946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173</xdr:row>
      <xdr:rowOff>114300</xdr:rowOff>
    </xdr:from>
    <xdr:to>
      <xdr:col>0</xdr:col>
      <xdr:colOff>1739900</xdr:colOff>
      <xdr:row>177</xdr:row>
      <xdr:rowOff>139700</xdr:rowOff>
    </xdr:to>
    <xdr:pic>
      <xdr:nvPicPr>
        <xdr:cNvPr id="12" name="CommandButton10">
          <a:extLst>
            <a:ext uri="{FF2B5EF4-FFF2-40B4-BE49-F238E27FC236}">
              <a16:creationId xmlns:a16="http://schemas.microsoft.com/office/drawing/2014/main" id="{D6500B6B-1189-E7BF-FA61-E8AD09781A02}"/>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1600" y="28930600"/>
          <a:ext cx="1638300" cy="685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183</xdr:row>
      <xdr:rowOff>114300</xdr:rowOff>
    </xdr:from>
    <xdr:to>
      <xdr:col>0</xdr:col>
      <xdr:colOff>1739900</xdr:colOff>
      <xdr:row>187</xdr:row>
      <xdr:rowOff>139700</xdr:rowOff>
    </xdr:to>
    <xdr:pic>
      <xdr:nvPicPr>
        <xdr:cNvPr id="13" name="CommandButton11">
          <a:extLst>
            <a:ext uri="{FF2B5EF4-FFF2-40B4-BE49-F238E27FC236}">
              <a16:creationId xmlns:a16="http://schemas.microsoft.com/office/drawing/2014/main" id="{A9C17D59-2308-0187-52D0-5DBA4D8B23A9}"/>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1600" y="30581600"/>
          <a:ext cx="1638300" cy="685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178</xdr:row>
      <xdr:rowOff>114300</xdr:rowOff>
    </xdr:from>
    <xdr:to>
      <xdr:col>0</xdr:col>
      <xdr:colOff>1739900</xdr:colOff>
      <xdr:row>182</xdr:row>
      <xdr:rowOff>139700</xdr:rowOff>
    </xdr:to>
    <xdr:pic>
      <xdr:nvPicPr>
        <xdr:cNvPr id="15" name="CommandButton12">
          <a:extLst>
            <a:ext uri="{FF2B5EF4-FFF2-40B4-BE49-F238E27FC236}">
              <a16:creationId xmlns:a16="http://schemas.microsoft.com/office/drawing/2014/main" id="{4155C40D-6392-EE88-1923-7082A10598F4}"/>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1600" y="29756100"/>
          <a:ext cx="1638300" cy="685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230</xdr:row>
      <xdr:rowOff>127000</xdr:rowOff>
    </xdr:from>
    <xdr:to>
      <xdr:col>0</xdr:col>
      <xdr:colOff>1739900</xdr:colOff>
      <xdr:row>234</xdr:row>
      <xdr:rowOff>165100</xdr:rowOff>
    </xdr:to>
    <xdr:pic>
      <xdr:nvPicPr>
        <xdr:cNvPr id="30" name="CommandButton13">
          <a:extLst>
            <a:ext uri="{FF2B5EF4-FFF2-40B4-BE49-F238E27FC236}">
              <a16:creationId xmlns:a16="http://schemas.microsoft.com/office/drawing/2014/main" id="{967201DD-FC18-96F3-3E61-AA513C20BE60}"/>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1600" y="384175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240</xdr:row>
      <xdr:rowOff>127000</xdr:rowOff>
    </xdr:from>
    <xdr:to>
      <xdr:col>0</xdr:col>
      <xdr:colOff>1739900</xdr:colOff>
      <xdr:row>244</xdr:row>
      <xdr:rowOff>165100</xdr:rowOff>
    </xdr:to>
    <xdr:pic>
      <xdr:nvPicPr>
        <xdr:cNvPr id="31" name="CommandButton14">
          <a:extLst>
            <a:ext uri="{FF2B5EF4-FFF2-40B4-BE49-F238E27FC236}">
              <a16:creationId xmlns:a16="http://schemas.microsoft.com/office/drawing/2014/main" id="{7B1C25D8-90A5-1E1B-CB40-5034BCA1C39B}"/>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600" y="400685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235</xdr:row>
      <xdr:rowOff>127000</xdr:rowOff>
    </xdr:from>
    <xdr:to>
      <xdr:col>0</xdr:col>
      <xdr:colOff>1739900</xdr:colOff>
      <xdr:row>239</xdr:row>
      <xdr:rowOff>165100</xdr:rowOff>
    </xdr:to>
    <xdr:pic>
      <xdr:nvPicPr>
        <xdr:cNvPr id="32" name="CommandButton15">
          <a:extLst>
            <a:ext uri="{FF2B5EF4-FFF2-40B4-BE49-F238E27FC236}">
              <a16:creationId xmlns:a16="http://schemas.microsoft.com/office/drawing/2014/main" id="{284895FF-E93B-1CF6-BFC1-3BD920C0F753}"/>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600" y="392430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287</xdr:row>
      <xdr:rowOff>127000</xdr:rowOff>
    </xdr:from>
    <xdr:to>
      <xdr:col>0</xdr:col>
      <xdr:colOff>1739900</xdr:colOff>
      <xdr:row>291</xdr:row>
      <xdr:rowOff>165100</xdr:rowOff>
    </xdr:to>
    <xdr:pic>
      <xdr:nvPicPr>
        <xdr:cNvPr id="33" name="CommandButton16">
          <a:extLst>
            <a:ext uri="{FF2B5EF4-FFF2-40B4-BE49-F238E27FC236}">
              <a16:creationId xmlns:a16="http://schemas.microsoft.com/office/drawing/2014/main" id="{B1429593-1104-CAC4-0059-1D6AAA6E7603}"/>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1600" y="478917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297</xdr:row>
      <xdr:rowOff>127000</xdr:rowOff>
    </xdr:from>
    <xdr:to>
      <xdr:col>0</xdr:col>
      <xdr:colOff>1739900</xdr:colOff>
      <xdr:row>301</xdr:row>
      <xdr:rowOff>165100</xdr:rowOff>
    </xdr:to>
    <xdr:pic>
      <xdr:nvPicPr>
        <xdr:cNvPr id="34" name="CommandButton17">
          <a:extLst>
            <a:ext uri="{FF2B5EF4-FFF2-40B4-BE49-F238E27FC236}">
              <a16:creationId xmlns:a16="http://schemas.microsoft.com/office/drawing/2014/main" id="{7AAC1ECF-FB81-5E55-0C98-8F5F4F455021}"/>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600" y="495427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292</xdr:row>
      <xdr:rowOff>127000</xdr:rowOff>
    </xdr:from>
    <xdr:to>
      <xdr:col>0</xdr:col>
      <xdr:colOff>1739900</xdr:colOff>
      <xdr:row>296</xdr:row>
      <xdr:rowOff>165100</xdr:rowOff>
    </xdr:to>
    <xdr:pic>
      <xdr:nvPicPr>
        <xdr:cNvPr id="35" name="CommandButton18">
          <a:extLst>
            <a:ext uri="{FF2B5EF4-FFF2-40B4-BE49-F238E27FC236}">
              <a16:creationId xmlns:a16="http://schemas.microsoft.com/office/drawing/2014/main" id="{65FC6631-C1B0-9879-92BC-235D2412058B}"/>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600" y="487172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344</xdr:row>
      <xdr:rowOff>152400</xdr:rowOff>
    </xdr:from>
    <xdr:to>
      <xdr:col>0</xdr:col>
      <xdr:colOff>1739900</xdr:colOff>
      <xdr:row>349</xdr:row>
      <xdr:rowOff>12700</xdr:rowOff>
    </xdr:to>
    <xdr:pic>
      <xdr:nvPicPr>
        <xdr:cNvPr id="36" name="CommandButton19">
          <a:extLst>
            <a:ext uri="{FF2B5EF4-FFF2-40B4-BE49-F238E27FC236}">
              <a16:creationId xmlns:a16="http://schemas.microsoft.com/office/drawing/2014/main" id="{31398FE2-219F-5FE1-F731-4D94D96ED5AA}"/>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1600" y="57391300"/>
          <a:ext cx="1638300" cy="685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354</xdr:row>
      <xdr:rowOff>152400</xdr:rowOff>
    </xdr:from>
    <xdr:to>
      <xdr:col>0</xdr:col>
      <xdr:colOff>1739900</xdr:colOff>
      <xdr:row>359</xdr:row>
      <xdr:rowOff>12700</xdr:rowOff>
    </xdr:to>
    <xdr:pic>
      <xdr:nvPicPr>
        <xdr:cNvPr id="37" name="CommandButton20">
          <a:extLst>
            <a:ext uri="{FF2B5EF4-FFF2-40B4-BE49-F238E27FC236}">
              <a16:creationId xmlns:a16="http://schemas.microsoft.com/office/drawing/2014/main" id="{FE963A47-8A69-7D45-75BF-8D838D37C808}"/>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1600" y="59042300"/>
          <a:ext cx="1638300" cy="685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349</xdr:row>
      <xdr:rowOff>152400</xdr:rowOff>
    </xdr:from>
    <xdr:to>
      <xdr:col>0</xdr:col>
      <xdr:colOff>1739900</xdr:colOff>
      <xdr:row>354</xdr:row>
      <xdr:rowOff>12700</xdr:rowOff>
    </xdr:to>
    <xdr:pic>
      <xdr:nvPicPr>
        <xdr:cNvPr id="38" name="CommandButton21">
          <a:extLst>
            <a:ext uri="{FF2B5EF4-FFF2-40B4-BE49-F238E27FC236}">
              <a16:creationId xmlns:a16="http://schemas.microsoft.com/office/drawing/2014/main" id="{3FABAB0D-F693-9CFD-3753-D822C1F19911}"/>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1600" y="58216800"/>
          <a:ext cx="1638300" cy="685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401</xdr:row>
      <xdr:rowOff>139700</xdr:rowOff>
    </xdr:from>
    <xdr:to>
      <xdr:col>0</xdr:col>
      <xdr:colOff>1739900</xdr:colOff>
      <xdr:row>406</xdr:row>
      <xdr:rowOff>12700</xdr:rowOff>
    </xdr:to>
    <xdr:pic>
      <xdr:nvPicPr>
        <xdr:cNvPr id="39" name="CommandButton22">
          <a:extLst>
            <a:ext uri="{FF2B5EF4-FFF2-40B4-BE49-F238E27FC236}">
              <a16:creationId xmlns:a16="http://schemas.microsoft.com/office/drawing/2014/main" id="{E70DA6D1-D6B5-F08F-4372-900ABCF12848}"/>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1600" y="668528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411</xdr:row>
      <xdr:rowOff>139700</xdr:rowOff>
    </xdr:from>
    <xdr:to>
      <xdr:col>0</xdr:col>
      <xdr:colOff>1739900</xdr:colOff>
      <xdr:row>416</xdr:row>
      <xdr:rowOff>12700</xdr:rowOff>
    </xdr:to>
    <xdr:pic>
      <xdr:nvPicPr>
        <xdr:cNvPr id="40" name="CommandButton23">
          <a:extLst>
            <a:ext uri="{FF2B5EF4-FFF2-40B4-BE49-F238E27FC236}">
              <a16:creationId xmlns:a16="http://schemas.microsoft.com/office/drawing/2014/main" id="{12FCCF32-41DA-C7F0-7068-9C62BE14EF31}"/>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600" y="685038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406</xdr:row>
      <xdr:rowOff>139700</xdr:rowOff>
    </xdr:from>
    <xdr:to>
      <xdr:col>0</xdr:col>
      <xdr:colOff>1739900</xdr:colOff>
      <xdr:row>411</xdr:row>
      <xdr:rowOff>12700</xdr:rowOff>
    </xdr:to>
    <xdr:pic>
      <xdr:nvPicPr>
        <xdr:cNvPr id="41" name="CommandButton24">
          <a:extLst>
            <a:ext uri="{FF2B5EF4-FFF2-40B4-BE49-F238E27FC236}">
              <a16:creationId xmlns:a16="http://schemas.microsoft.com/office/drawing/2014/main" id="{E758E275-76DD-FBC4-F758-E8703954AB3F}"/>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600" y="676783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629</xdr:row>
      <xdr:rowOff>101600</xdr:rowOff>
    </xdr:from>
    <xdr:to>
      <xdr:col>0</xdr:col>
      <xdr:colOff>1739900</xdr:colOff>
      <xdr:row>633</xdr:row>
      <xdr:rowOff>139700</xdr:rowOff>
    </xdr:to>
    <xdr:pic>
      <xdr:nvPicPr>
        <xdr:cNvPr id="42" name="CommandButton25">
          <a:extLst>
            <a:ext uri="{FF2B5EF4-FFF2-40B4-BE49-F238E27FC236}">
              <a16:creationId xmlns:a16="http://schemas.microsoft.com/office/drawing/2014/main" id="{AD5501B1-C958-3D50-18E8-92EEB01CA0AE}"/>
            </a:ext>
          </a:extLst>
        </xdr:cNvPr>
        <xdr:cNvPicPr preferRelativeResize="0">
          <a:picLocks noChangeArrowheads="1" noChangeShapeType="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1600" y="1047115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639</xdr:row>
      <xdr:rowOff>101600</xdr:rowOff>
    </xdr:from>
    <xdr:to>
      <xdr:col>0</xdr:col>
      <xdr:colOff>1739900</xdr:colOff>
      <xdr:row>643</xdr:row>
      <xdr:rowOff>139700</xdr:rowOff>
    </xdr:to>
    <xdr:pic>
      <xdr:nvPicPr>
        <xdr:cNvPr id="43" name="CommandButton26">
          <a:extLst>
            <a:ext uri="{FF2B5EF4-FFF2-40B4-BE49-F238E27FC236}">
              <a16:creationId xmlns:a16="http://schemas.microsoft.com/office/drawing/2014/main" id="{415A7EE7-CB85-00C1-8274-5E069F702B16}"/>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600" y="1063625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634</xdr:row>
      <xdr:rowOff>101600</xdr:rowOff>
    </xdr:from>
    <xdr:to>
      <xdr:col>0</xdr:col>
      <xdr:colOff>1739900</xdr:colOff>
      <xdr:row>638</xdr:row>
      <xdr:rowOff>139700</xdr:rowOff>
    </xdr:to>
    <xdr:pic>
      <xdr:nvPicPr>
        <xdr:cNvPr id="44" name="CommandButton27">
          <a:extLst>
            <a:ext uri="{FF2B5EF4-FFF2-40B4-BE49-F238E27FC236}">
              <a16:creationId xmlns:a16="http://schemas.microsoft.com/office/drawing/2014/main" id="{B3954C20-4762-6414-8914-FD07A65BE4A3}"/>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600" y="1055370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459</xdr:row>
      <xdr:rowOff>139700</xdr:rowOff>
    </xdr:from>
    <xdr:to>
      <xdr:col>0</xdr:col>
      <xdr:colOff>1739900</xdr:colOff>
      <xdr:row>464</xdr:row>
      <xdr:rowOff>12700</xdr:rowOff>
    </xdr:to>
    <xdr:pic>
      <xdr:nvPicPr>
        <xdr:cNvPr id="45" name="CommandButton28">
          <a:extLst>
            <a:ext uri="{FF2B5EF4-FFF2-40B4-BE49-F238E27FC236}">
              <a16:creationId xmlns:a16="http://schemas.microsoft.com/office/drawing/2014/main" id="{675C77AE-EB19-ACBB-2B82-B41C777F1B7A}"/>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1600" y="764921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469</xdr:row>
      <xdr:rowOff>139700</xdr:rowOff>
    </xdr:from>
    <xdr:to>
      <xdr:col>0</xdr:col>
      <xdr:colOff>1739900</xdr:colOff>
      <xdr:row>474</xdr:row>
      <xdr:rowOff>12700</xdr:rowOff>
    </xdr:to>
    <xdr:pic>
      <xdr:nvPicPr>
        <xdr:cNvPr id="46" name="CommandButton29">
          <a:extLst>
            <a:ext uri="{FF2B5EF4-FFF2-40B4-BE49-F238E27FC236}">
              <a16:creationId xmlns:a16="http://schemas.microsoft.com/office/drawing/2014/main" id="{D4EC90D5-2FA1-67BB-E32D-01DDDB8FB9CF}"/>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600" y="781431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464</xdr:row>
      <xdr:rowOff>139700</xdr:rowOff>
    </xdr:from>
    <xdr:to>
      <xdr:col>0</xdr:col>
      <xdr:colOff>1739900</xdr:colOff>
      <xdr:row>469</xdr:row>
      <xdr:rowOff>12700</xdr:rowOff>
    </xdr:to>
    <xdr:pic>
      <xdr:nvPicPr>
        <xdr:cNvPr id="47" name="CommandButton30">
          <a:extLst>
            <a:ext uri="{FF2B5EF4-FFF2-40B4-BE49-F238E27FC236}">
              <a16:creationId xmlns:a16="http://schemas.microsoft.com/office/drawing/2014/main" id="{BF47538D-F334-484E-E722-1000B8D88116}"/>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600" y="773176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515</xdr:row>
      <xdr:rowOff>139700</xdr:rowOff>
    </xdr:from>
    <xdr:to>
      <xdr:col>0</xdr:col>
      <xdr:colOff>1739900</xdr:colOff>
      <xdr:row>520</xdr:row>
      <xdr:rowOff>12700</xdr:rowOff>
    </xdr:to>
    <xdr:pic>
      <xdr:nvPicPr>
        <xdr:cNvPr id="48" name="CommandButton31">
          <a:extLst>
            <a:ext uri="{FF2B5EF4-FFF2-40B4-BE49-F238E27FC236}">
              <a16:creationId xmlns:a16="http://schemas.microsoft.com/office/drawing/2014/main" id="{434DEB45-FC13-66F5-7F26-CE1E7AEEE901}"/>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1600" y="858012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525</xdr:row>
      <xdr:rowOff>139700</xdr:rowOff>
    </xdr:from>
    <xdr:to>
      <xdr:col>0</xdr:col>
      <xdr:colOff>1739900</xdr:colOff>
      <xdr:row>530</xdr:row>
      <xdr:rowOff>12700</xdr:rowOff>
    </xdr:to>
    <xdr:pic>
      <xdr:nvPicPr>
        <xdr:cNvPr id="49" name="CommandButton32">
          <a:extLst>
            <a:ext uri="{FF2B5EF4-FFF2-40B4-BE49-F238E27FC236}">
              <a16:creationId xmlns:a16="http://schemas.microsoft.com/office/drawing/2014/main" id="{D5120951-D6AB-5B95-B117-747542D28725}"/>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600" y="874522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520</xdr:row>
      <xdr:rowOff>139700</xdr:rowOff>
    </xdr:from>
    <xdr:to>
      <xdr:col>0</xdr:col>
      <xdr:colOff>1739900</xdr:colOff>
      <xdr:row>525</xdr:row>
      <xdr:rowOff>12700</xdr:rowOff>
    </xdr:to>
    <xdr:pic>
      <xdr:nvPicPr>
        <xdr:cNvPr id="50" name="CommandButton33">
          <a:extLst>
            <a:ext uri="{FF2B5EF4-FFF2-40B4-BE49-F238E27FC236}">
              <a16:creationId xmlns:a16="http://schemas.microsoft.com/office/drawing/2014/main" id="{6A1ABE3F-B94C-CB46-B478-CC7BA18BF3F2}"/>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600" y="866267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573</xdr:row>
      <xdr:rowOff>139700</xdr:rowOff>
    </xdr:from>
    <xdr:to>
      <xdr:col>0</xdr:col>
      <xdr:colOff>1739900</xdr:colOff>
      <xdr:row>578</xdr:row>
      <xdr:rowOff>12700</xdr:rowOff>
    </xdr:to>
    <xdr:pic>
      <xdr:nvPicPr>
        <xdr:cNvPr id="51" name="CommandButton34">
          <a:extLst>
            <a:ext uri="{FF2B5EF4-FFF2-40B4-BE49-F238E27FC236}">
              <a16:creationId xmlns:a16="http://schemas.microsoft.com/office/drawing/2014/main" id="{7F3744CA-59E0-5E0E-EBFB-30AA1B7CEC9F}"/>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1600" y="954405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583</xdr:row>
      <xdr:rowOff>139700</xdr:rowOff>
    </xdr:from>
    <xdr:to>
      <xdr:col>0</xdr:col>
      <xdr:colOff>1739900</xdr:colOff>
      <xdr:row>588</xdr:row>
      <xdr:rowOff>12700</xdr:rowOff>
    </xdr:to>
    <xdr:pic>
      <xdr:nvPicPr>
        <xdr:cNvPr id="52" name="CommandButton35">
          <a:extLst>
            <a:ext uri="{FF2B5EF4-FFF2-40B4-BE49-F238E27FC236}">
              <a16:creationId xmlns:a16="http://schemas.microsoft.com/office/drawing/2014/main" id="{9EC4DCFD-6567-A4B1-03BB-99F4CA8C55EC}"/>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1600" y="970915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twoCellAnchor editAs="oneCell">
    <xdr:from>
      <xdr:col>0</xdr:col>
      <xdr:colOff>101600</xdr:colOff>
      <xdr:row>578</xdr:row>
      <xdr:rowOff>139700</xdr:rowOff>
    </xdr:from>
    <xdr:to>
      <xdr:col>0</xdr:col>
      <xdr:colOff>1739900</xdr:colOff>
      <xdr:row>583</xdr:row>
      <xdr:rowOff>12700</xdr:rowOff>
    </xdr:to>
    <xdr:pic>
      <xdr:nvPicPr>
        <xdr:cNvPr id="53" name="CommandButton36">
          <a:extLst>
            <a:ext uri="{FF2B5EF4-FFF2-40B4-BE49-F238E27FC236}">
              <a16:creationId xmlns:a16="http://schemas.microsoft.com/office/drawing/2014/main" id="{F44A164E-651B-A323-4725-125644C9CF5B}"/>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1600" y="96266000"/>
          <a:ext cx="1638300" cy="698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9</xdr:col>
      <xdr:colOff>266700</xdr:colOff>
      <xdr:row>43</xdr:row>
      <xdr:rowOff>38100</xdr:rowOff>
    </xdr:from>
    <xdr:to>
      <xdr:col>11</xdr:col>
      <xdr:colOff>152400</xdr:colOff>
      <xdr:row>47</xdr:row>
      <xdr:rowOff>38100</xdr:rowOff>
    </xdr:to>
    <xdr:sp macro="" textlink="">
      <xdr:nvSpPr>
        <xdr:cNvPr id="16096413" name="Arc 6">
          <a:extLst>
            <a:ext uri="{FF2B5EF4-FFF2-40B4-BE49-F238E27FC236}">
              <a16:creationId xmlns:a16="http://schemas.microsoft.com/office/drawing/2014/main" id="{00000000-0008-0000-1C00-00009D9CF500}"/>
            </a:ext>
          </a:extLst>
        </xdr:cNvPr>
        <xdr:cNvSpPr>
          <a:spLocks/>
        </xdr:cNvSpPr>
      </xdr:nvSpPr>
      <xdr:spPr bwMode="auto">
        <a:xfrm rot="16200000" flipV="1">
          <a:off x="3657600" y="6991350"/>
          <a:ext cx="647700" cy="685800"/>
        </a:xfrm>
        <a:custGeom>
          <a:avLst/>
          <a:gdLst>
            <a:gd name="T0" fmla="*/ 0 w 21598"/>
            <a:gd name="T1" fmla="*/ 0 h 21600"/>
            <a:gd name="T2" fmla="*/ 2147483647 w 21598"/>
            <a:gd name="T3" fmla="*/ 2147483647 h 21600"/>
            <a:gd name="T4" fmla="*/ 0 w 21598"/>
            <a:gd name="T5" fmla="*/ 2147483647 h 21600"/>
            <a:gd name="T6" fmla="*/ 0 60000 65536"/>
            <a:gd name="T7" fmla="*/ 0 60000 65536"/>
            <a:gd name="T8" fmla="*/ 0 60000 65536"/>
            <a:gd name="T9" fmla="*/ 0 w 21598"/>
            <a:gd name="T10" fmla="*/ 0 h 21600"/>
            <a:gd name="T11" fmla="*/ 21598 w 21598"/>
            <a:gd name="T12" fmla="*/ 21600 h 21600"/>
          </a:gdLst>
          <a:ahLst/>
          <a:cxnLst>
            <a:cxn ang="T6">
              <a:pos x="T0" y="T1"/>
            </a:cxn>
            <a:cxn ang="T7">
              <a:pos x="T2" y="T3"/>
            </a:cxn>
            <a:cxn ang="T8">
              <a:pos x="T4" y="T5"/>
            </a:cxn>
          </a:cxnLst>
          <a:rect l="T9" t="T10" r="T11" b="T12"/>
          <a:pathLst>
            <a:path w="21598" h="21600" fill="none" extrusionOk="0">
              <a:moveTo>
                <a:pt x="-1" y="0"/>
              </a:moveTo>
              <a:cubicBezTo>
                <a:pt x="11822" y="0"/>
                <a:pt x="21447" y="9503"/>
                <a:pt x="21598" y="21324"/>
              </a:cubicBezTo>
            </a:path>
            <a:path w="21598" h="21600" stroke="0" extrusionOk="0">
              <a:moveTo>
                <a:pt x="-1" y="0"/>
              </a:moveTo>
              <a:cubicBezTo>
                <a:pt x="11822" y="0"/>
                <a:pt x="21447" y="9503"/>
                <a:pt x="21598" y="21324"/>
              </a:cubicBezTo>
              <a:lnTo>
                <a:pt x="0" y="21600"/>
              </a:lnTo>
              <a:lnTo>
                <a:pt x="-1" y="0"/>
              </a:lnTo>
              <a:close/>
            </a:path>
          </a:pathLst>
        </a:cu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25</xdr:col>
      <xdr:colOff>38100</xdr:colOff>
      <xdr:row>43</xdr:row>
      <xdr:rowOff>76200</xdr:rowOff>
    </xdr:from>
    <xdr:to>
      <xdr:col>26</xdr:col>
      <xdr:colOff>342900</xdr:colOff>
      <xdr:row>47</xdr:row>
      <xdr:rowOff>38100</xdr:rowOff>
    </xdr:to>
    <xdr:sp macro="" textlink="">
      <xdr:nvSpPr>
        <xdr:cNvPr id="16096414" name="Arc 8">
          <a:extLst>
            <a:ext uri="{FF2B5EF4-FFF2-40B4-BE49-F238E27FC236}">
              <a16:creationId xmlns:a16="http://schemas.microsoft.com/office/drawing/2014/main" id="{00000000-0008-0000-1C00-00009E9CF500}"/>
            </a:ext>
          </a:extLst>
        </xdr:cNvPr>
        <xdr:cNvSpPr>
          <a:spLocks/>
        </xdr:cNvSpPr>
      </xdr:nvSpPr>
      <xdr:spPr bwMode="auto">
        <a:xfrm rot="10800000" flipV="1">
          <a:off x="9810750" y="7048500"/>
          <a:ext cx="704850" cy="609600"/>
        </a:xfrm>
        <a:custGeom>
          <a:avLst/>
          <a:gdLst>
            <a:gd name="T0" fmla="*/ 0 w 21600"/>
            <a:gd name="T1" fmla="*/ 0 h 21600"/>
            <a:gd name="T2" fmla="*/ 2147483647 w 21600"/>
            <a:gd name="T3" fmla="*/ 2147483647 h 21600"/>
            <a:gd name="T4" fmla="*/ 0 w 21600"/>
            <a:gd name="T5" fmla="*/ 2147483647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57150</xdr:colOff>
      <xdr:row>0</xdr:row>
      <xdr:rowOff>57150</xdr:rowOff>
    </xdr:from>
    <xdr:to>
      <xdr:col>9</xdr:col>
      <xdr:colOff>381000</xdr:colOff>
      <xdr:row>4</xdr:row>
      <xdr:rowOff>57150</xdr:rowOff>
    </xdr:to>
    <xdr:grpSp>
      <xdr:nvGrpSpPr>
        <xdr:cNvPr id="16096415" name="Group 12563">
          <a:extLst>
            <a:ext uri="{FF2B5EF4-FFF2-40B4-BE49-F238E27FC236}">
              <a16:creationId xmlns:a16="http://schemas.microsoft.com/office/drawing/2014/main" id="{00000000-0008-0000-1C00-00009F9CF500}"/>
            </a:ext>
          </a:extLst>
        </xdr:cNvPr>
        <xdr:cNvGrpSpPr>
          <a:grpSpLocks/>
        </xdr:cNvGrpSpPr>
      </xdr:nvGrpSpPr>
      <xdr:grpSpPr bwMode="auto">
        <a:xfrm>
          <a:off x="3885293" y="57150"/>
          <a:ext cx="323850" cy="671286"/>
          <a:chOff x="43" y="18"/>
          <a:chExt cx="34" cy="73"/>
        </a:xfrm>
      </xdr:grpSpPr>
      <xdr:sp macro="" textlink="">
        <xdr:nvSpPr>
          <xdr:cNvPr id="16096542" name="AutoShape 60">
            <a:extLst>
              <a:ext uri="{FF2B5EF4-FFF2-40B4-BE49-F238E27FC236}">
                <a16:creationId xmlns:a16="http://schemas.microsoft.com/office/drawing/2014/main" id="{00000000-0008-0000-1C00-00001E9DF500}"/>
              </a:ext>
            </a:extLst>
          </xdr:cNvPr>
          <xdr:cNvSpPr>
            <a:spLocks noChangeArrowheads="1"/>
          </xdr:cNvSpPr>
        </xdr:nvSpPr>
        <xdr:spPr bwMode="auto">
          <a:xfrm>
            <a:off x="47" y="18"/>
            <a:ext cx="27" cy="73"/>
          </a:xfrm>
          <a:prstGeom prst="upArrow">
            <a:avLst>
              <a:gd name="adj1" fmla="val 50000"/>
              <a:gd name="adj2" fmla="val 67593"/>
            </a:avLst>
          </a:prstGeom>
          <a:gradFill rotWithShape="1">
            <a:gsLst>
              <a:gs pos="0">
                <a:srgbClr val="767676"/>
              </a:gs>
              <a:gs pos="50000">
                <a:srgbClr val="FFFFFF"/>
              </a:gs>
              <a:gs pos="100000">
                <a:srgbClr val="767676"/>
              </a:gs>
            </a:gsLst>
            <a:lin ang="5400000" scaled="1"/>
          </a:gradFill>
          <a:ln w="19050" algn="ctr">
            <a:solidFill>
              <a:srgbClr val="000000"/>
            </a:solidFill>
            <a:miter lim="800000"/>
            <a:headEnd/>
            <a:tailEnd/>
          </a:ln>
        </xdr:spPr>
      </xdr:sp>
      <xdr:sp macro="" textlink="">
        <xdr:nvSpPr>
          <xdr:cNvPr id="6" name="WordArt 61">
            <a:extLst>
              <a:ext uri="{FF2B5EF4-FFF2-40B4-BE49-F238E27FC236}">
                <a16:creationId xmlns:a16="http://schemas.microsoft.com/office/drawing/2014/main" id="{00000000-0008-0000-1C00-000006000000}"/>
              </a:ext>
            </a:extLst>
          </xdr:cNvPr>
          <xdr:cNvSpPr>
            <a:spLocks noChangeArrowheads="1" noChangeShapeType="1" noTextEdit="1"/>
          </xdr:cNvSpPr>
        </xdr:nvSpPr>
        <xdr:spPr bwMode="auto">
          <a:xfrm>
            <a:off x="43" y="46"/>
            <a:ext cx="34" cy="36"/>
          </a:xfrm>
          <a:prstGeom prst="rect">
            <a:avLst/>
          </a:prstGeom>
        </xdr:spPr>
        <xdr:txBody>
          <a:bodyPr wrap="none" fromWordArt="1">
            <a:prstTxWarp prst="textPlain">
              <a:avLst>
                <a:gd name="adj" fmla="val 50000"/>
              </a:avLst>
            </a:prstTxWarp>
          </a:bodyPr>
          <a:lstStyle/>
          <a:p>
            <a:pPr algn="ctr" rtl="0"/>
            <a:r>
              <a:rPr lang="en-US" sz="3600" b="1" kern="10" spc="0">
                <a:ln w="9525">
                  <a:noFill/>
                  <a:round/>
                  <a:headEnd/>
                  <a:tailEnd/>
                </a:ln>
                <a:gradFill rotWithShape="1">
                  <a:gsLst>
                    <a:gs pos="0">
                      <a:srgbClr val="FF0000">
                        <a:gamma/>
                        <a:shade val="46275"/>
                        <a:invGamma/>
                      </a:srgbClr>
                    </a:gs>
                    <a:gs pos="50000">
                      <a:srgbClr val="FF0000"/>
                    </a:gs>
                    <a:gs pos="100000">
                      <a:srgbClr val="FF0000">
                        <a:gamma/>
                        <a:shade val="46275"/>
                        <a:invGamma/>
                      </a:srgbClr>
                    </a:gs>
                  </a:gsLst>
                  <a:lin ang="0" scaled="1"/>
                </a:gradFill>
                <a:effectLst>
                  <a:outerShdw dist="45791" dir="2021404" algn="ctr" rotWithShape="0">
                    <a:srgbClr val="B2B2B2">
                      <a:alpha val="80000"/>
                    </a:srgbClr>
                  </a:outerShdw>
                </a:effectLst>
                <a:latin typeface="Times New Roman"/>
                <a:cs typeface="Times New Roman"/>
              </a:rPr>
              <a:t>N</a:t>
            </a:r>
          </a:p>
        </xdr:txBody>
      </xdr:sp>
    </xdr:grpSp>
    <xdr:clientData fLocksWithSheet="0"/>
  </xdr:twoCellAnchor>
  <xdr:twoCellAnchor editAs="absolute">
    <xdr:from>
      <xdr:col>37</xdr:col>
      <xdr:colOff>81642</xdr:colOff>
      <xdr:row>24</xdr:row>
      <xdr:rowOff>85725</xdr:rowOff>
    </xdr:from>
    <xdr:to>
      <xdr:col>44</xdr:col>
      <xdr:colOff>338817</xdr:colOff>
      <xdr:row>28</xdr:row>
      <xdr:rowOff>142875</xdr:rowOff>
    </xdr:to>
    <xdr:sp macro="" textlink="">
      <xdr:nvSpPr>
        <xdr:cNvPr id="7" name="Text Box 71">
          <a:extLst>
            <a:ext uri="{FF2B5EF4-FFF2-40B4-BE49-F238E27FC236}">
              <a16:creationId xmlns:a16="http://schemas.microsoft.com/office/drawing/2014/main" id="{00000000-0008-0000-1C00-000007000000}"/>
            </a:ext>
          </a:extLst>
        </xdr:cNvPr>
        <xdr:cNvSpPr txBox="1">
          <a:spLocks noChangeArrowheads="1"/>
        </xdr:cNvSpPr>
      </xdr:nvSpPr>
      <xdr:spPr bwMode="auto">
        <a:xfrm>
          <a:off x="14464392" y="4018189"/>
          <a:ext cx="3019425" cy="710293"/>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18288" rIns="27432" bIns="18288" anchor="ctr" upright="1"/>
        <a:lstStyle/>
        <a:p>
          <a:pPr algn="ctr" rtl="0">
            <a:defRPr sz="1000"/>
          </a:pPr>
          <a:r>
            <a:rPr lang="en-US" sz="1000" b="1" i="0" strike="noStrike">
              <a:solidFill>
                <a:srgbClr val="000000"/>
              </a:solidFill>
              <a:latin typeface="Arial"/>
              <a:cs typeface="Arial"/>
            </a:rPr>
            <a:t>Select Crash Type, Copy (Ctrl+C), and Paste on Diagram (Ctrl+V) - If sheet is protected - unprotect first "Ctrl"+"u"</a:t>
          </a:r>
        </a:p>
      </xdr:txBody>
    </xdr:sp>
    <xdr:clientData fLocksWithSheet="0" fPrintsWithSheet="0"/>
  </xdr:twoCellAnchor>
  <xdr:twoCellAnchor editAs="absolute">
    <xdr:from>
      <xdr:col>41</xdr:col>
      <xdr:colOff>77561</xdr:colOff>
      <xdr:row>52</xdr:row>
      <xdr:rowOff>126547</xdr:rowOff>
    </xdr:from>
    <xdr:to>
      <xdr:col>42</xdr:col>
      <xdr:colOff>43437</xdr:colOff>
      <xdr:row>53</xdr:row>
      <xdr:rowOff>129204</xdr:rowOff>
    </xdr:to>
    <xdr:sp macro="" textlink="" fLocksText="0">
      <xdr:nvSpPr>
        <xdr:cNvPr id="8" name="Text Box 160">
          <a:extLst>
            <a:ext uri="{FF2B5EF4-FFF2-40B4-BE49-F238E27FC236}">
              <a16:creationId xmlns:a16="http://schemas.microsoft.com/office/drawing/2014/main" id="{00000000-0008-0000-1C00-000008000000}"/>
            </a:ext>
          </a:extLst>
        </xdr:cNvPr>
        <xdr:cNvSpPr txBox="1">
          <a:spLocks noChangeArrowheads="1"/>
        </xdr:cNvSpPr>
      </xdr:nvSpPr>
      <xdr:spPr bwMode="auto">
        <a:xfrm>
          <a:off x="16038740" y="8631011"/>
          <a:ext cx="360483"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Other</a:t>
          </a:r>
        </a:p>
      </xdr:txBody>
    </xdr:sp>
    <xdr:clientData fLocksWithSheet="0"/>
  </xdr:twoCellAnchor>
  <xdr:twoCellAnchor editAs="absolute">
    <xdr:from>
      <xdr:col>41</xdr:col>
      <xdr:colOff>77561</xdr:colOff>
      <xdr:row>50</xdr:row>
      <xdr:rowOff>126546</xdr:rowOff>
    </xdr:from>
    <xdr:to>
      <xdr:col>43</xdr:col>
      <xdr:colOff>290416</xdr:colOff>
      <xdr:row>51</xdr:row>
      <xdr:rowOff>129203</xdr:rowOff>
    </xdr:to>
    <xdr:sp macro="" textlink="" fLocksText="0">
      <xdr:nvSpPr>
        <xdr:cNvPr id="9" name="Text Box 161">
          <a:extLst>
            <a:ext uri="{FF2B5EF4-FFF2-40B4-BE49-F238E27FC236}">
              <a16:creationId xmlns:a16="http://schemas.microsoft.com/office/drawing/2014/main" id="{00000000-0008-0000-1C00-000009000000}"/>
            </a:ext>
          </a:extLst>
        </xdr:cNvPr>
        <xdr:cNvSpPr txBox="1">
          <a:spLocks noChangeArrowheads="1"/>
        </xdr:cNvSpPr>
      </xdr:nvSpPr>
      <xdr:spPr bwMode="auto">
        <a:xfrm>
          <a:off x="16038740" y="8304439"/>
          <a:ext cx="1002069"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Backing Vehicle</a:t>
          </a:r>
        </a:p>
      </xdr:txBody>
    </xdr:sp>
    <xdr:clientData fLocksWithSheet="0"/>
  </xdr:twoCellAnchor>
  <xdr:twoCellAnchor editAs="absolute">
    <xdr:from>
      <xdr:col>41</xdr:col>
      <xdr:colOff>77561</xdr:colOff>
      <xdr:row>55</xdr:row>
      <xdr:rowOff>126547</xdr:rowOff>
    </xdr:from>
    <xdr:to>
      <xdr:col>42</xdr:col>
      <xdr:colOff>357113</xdr:colOff>
      <xdr:row>56</xdr:row>
      <xdr:rowOff>129204</xdr:rowOff>
    </xdr:to>
    <xdr:sp macro="" textlink="" fLocksText="0">
      <xdr:nvSpPr>
        <xdr:cNvPr id="10" name="Text Box 162">
          <a:extLst>
            <a:ext uri="{FF2B5EF4-FFF2-40B4-BE49-F238E27FC236}">
              <a16:creationId xmlns:a16="http://schemas.microsoft.com/office/drawing/2014/main" id="{00000000-0008-0000-1C00-00000A000000}"/>
            </a:ext>
          </a:extLst>
        </xdr:cNvPr>
        <xdr:cNvSpPr txBox="1">
          <a:spLocks noChangeArrowheads="1"/>
        </xdr:cNvSpPr>
      </xdr:nvSpPr>
      <xdr:spPr bwMode="auto">
        <a:xfrm>
          <a:off x="16038740" y="9120868"/>
          <a:ext cx="674159"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Pedestrian</a:t>
          </a:r>
        </a:p>
      </xdr:txBody>
    </xdr:sp>
    <xdr:clientData fLocksWithSheet="0"/>
  </xdr:twoCellAnchor>
  <xdr:twoCellAnchor editAs="absolute">
    <xdr:from>
      <xdr:col>41</xdr:col>
      <xdr:colOff>77561</xdr:colOff>
      <xdr:row>58</xdr:row>
      <xdr:rowOff>126546</xdr:rowOff>
    </xdr:from>
    <xdr:to>
      <xdr:col>43</xdr:col>
      <xdr:colOff>219243</xdr:colOff>
      <xdr:row>59</xdr:row>
      <xdr:rowOff>129204</xdr:rowOff>
    </xdr:to>
    <xdr:sp macro="" textlink="" fLocksText="0">
      <xdr:nvSpPr>
        <xdr:cNvPr id="11" name="Text Box 163">
          <a:extLst>
            <a:ext uri="{FF2B5EF4-FFF2-40B4-BE49-F238E27FC236}">
              <a16:creationId xmlns:a16="http://schemas.microsoft.com/office/drawing/2014/main" id="{00000000-0008-0000-1C00-00000B000000}"/>
            </a:ext>
          </a:extLst>
        </xdr:cNvPr>
        <xdr:cNvSpPr txBox="1">
          <a:spLocks noChangeArrowheads="1"/>
        </xdr:cNvSpPr>
      </xdr:nvSpPr>
      <xdr:spPr bwMode="auto">
        <a:xfrm>
          <a:off x="16038740" y="9610725"/>
          <a:ext cx="930896"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Parked Vehicle</a:t>
          </a:r>
        </a:p>
      </xdr:txBody>
    </xdr:sp>
    <xdr:clientData fLocksWithSheet="0"/>
  </xdr:twoCellAnchor>
  <xdr:twoCellAnchor editAs="absolute">
    <xdr:from>
      <xdr:col>41</xdr:col>
      <xdr:colOff>77561</xdr:colOff>
      <xdr:row>31</xdr:row>
      <xdr:rowOff>126547</xdr:rowOff>
    </xdr:from>
    <xdr:to>
      <xdr:col>43</xdr:col>
      <xdr:colOff>76511</xdr:colOff>
      <xdr:row>32</xdr:row>
      <xdr:rowOff>129204</xdr:rowOff>
    </xdr:to>
    <xdr:sp macro="" textlink="" fLocksText="0">
      <xdr:nvSpPr>
        <xdr:cNvPr id="12" name="Text Box 164">
          <a:extLst>
            <a:ext uri="{FF2B5EF4-FFF2-40B4-BE49-F238E27FC236}">
              <a16:creationId xmlns:a16="http://schemas.microsoft.com/office/drawing/2014/main" id="{00000000-0008-0000-1C00-00000C000000}"/>
            </a:ext>
          </a:extLst>
        </xdr:cNvPr>
        <xdr:cNvSpPr txBox="1">
          <a:spLocks noChangeArrowheads="1"/>
        </xdr:cNvSpPr>
      </xdr:nvSpPr>
      <xdr:spPr bwMode="auto">
        <a:xfrm>
          <a:off x="16038740" y="5202011"/>
          <a:ext cx="788164"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Fixed Object</a:t>
          </a:r>
        </a:p>
      </xdr:txBody>
    </xdr:sp>
    <xdr:clientData fLocksWithSheet="0"/>
  </xdr:twoCellAnchor>
  <xdr:twoCellAnchor editAs="absolute">
    <xdr:from>
      <xdr:col>41</xdr:col>
      <xdr:colOff>77561</xdr:colOff>
      <xdr:row>29</xdr:row>
      <xdr:rowOff>126546</xdr:rowOff>
    </xdr:from>
    <xdr:to>
      <xdr:col>42</xdr:col>
      <xdr:colOff>264395</xdr:colOff>
      <xdr:row>30</xdr:row>
      <xdr:rowOff>129203</xdr:rowOff>
    </xdr:to>
    <xdr:sp macro="" textlink="" fLocksText="0">
      <xdr:nvSpPr>
        <xdr:cNvPr id="13" name="Text Box 167">
          <a:extLst>
            <a:ext uri="{FF2B5EF4-FFF2-40B4-BE49-F238E27FC236}">
              <a16:creationId xmlns:a16="http://schemas.microsoft.com/office/drawing/2014/main" id="{00000000-0008-0000-1C00-00000D000000}"/>
            </a:ext>
          </a:extLst>
        </xdr:cNvPr>
        <xdr:cNvSpPr txBox="1">
          <a:spLocks noChangeArrowheads="1"/>
        </xdr:cNvSpPr>
      </xdr:nvSpPr>
      <xdr:spPr bwMode="auto">
        <a:xfrm>
          <a:off x="16038740" y="4875439"/>
          <a:ext cx="581441"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Rear End</a:t>
          </a:r>
        </a:p>
      </xdr:txBody>
    </xdr:sp>
    <xdr:clientData fLocksWithSheet="0"/>
  </xdr:twoCellAnchor>
  <xdr:twoCellAnchor editAs="absolute">
    <xdr:from>
      <xdr:col>41</xdr:col>
      <xdr:colOff>77561</xdr:colOff>
      <xdr:row>44</xdr:row>
      <xdr:rowOff>126546</xdr:rowOff>
    </xdr:from>
    <xdr:to>
      <xdr:col>42</xdr:col>
      <xdr:colOff>228744</xdr:colOff>
      <xdr:row>45</xdr:row>
      <xdr:rowOff>129204</xdr:rowOff>
    </xdr:to>
    <xdr:sp macro="" textlink="" fLocksText="0">
      <xdr:nvSpPr>
        <xdr:cNvPr id="14" name="Text Box 168">
          <a:extLst>
            <a:ext uri="{FF2B5EF4-FFF2-40B4-BE49-F238E27FC236}">
              <a16:creationId xmlns:a16="http://schemas.microsoft.com/office/drawing/2014/main" id="{00000000-0008-0000-1C00-00000E000000}"/>
            </a:ext>
          </a:extLst>
        </xdr:cNvPr>
        <xdr:cNvSpPr txBox="1">
          <a:spLocks noChangeArrowheads="1"/>
        </xdr:cNvSpPr>
      </xdr:nvSpPr>
      <xdr:spPr bwMode="auto">
        <a:xfrm>
          <a:off x="16038740" y="7324725"/>
          <a:ext cx="545790"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Head On</a:t>
          </a:r>
        </a:p>
      </xdr:txBody>
    </xdr:sp>
    <xdr:clientData fLocksWithSheet="0"/>
  </xdr:twoCellAnchor>
  <xdr:twoCellAnchor editAs="absolute">
    <xdr:from>
      <xdr:col>41</xdr:col>
      <xdr:colOff>77561</xdr:colOff>
      <xdr:row>42</xdr:row>
      <xdr:rowOff>126547</xdr:rowOff>
    </xdr:from>
    <xdr:to>
      <xdr:col>44</xdr:col>
      <xdr:colOff>123820</xdr:colOff>
      <xdr:row>43</xdr:row>
      <xdr:rowOff>129204</xdr:rowOff>
    </xdr:to>
    <xdr:sp macro="" textlink="" fLocksText="0">
      <xdr:nvSpPr>
        <xdr:cNvPr id="15" name="Text Box 169">
          <a:extLst>
            <a:ext uri="{FF2B5EF4-FFF2-40B4-BE49-F238E27FC236}">
              <a16:creationId xmlns:a16="http://schemas.microsoft.com/office/drawing/2014/main" id="{00000000-0008-0000-1C00-00000F000000}"/>
            </a:ext>
          </a:extLst>
        </xdr:cNvPr>
        <xdr:cNvSpPr txBox="1">
          <a:spLocks noChangeArrowheads="1"/>
        </xdr:cNvSpPr>
      </xdr:nvSpPr>
      <xdr:spPr bwMode="auto">
        <a:xfrm>
          <a:off x="16038740" y="6998154"/>
          <a:ext cx="1230080"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Side-Swipe Passing</a:t>
          </a:r>
        </a:p>
      </xdr:txBody>
    </xdr:sp>
    <xdr:clientData fLocksWithSheet="0"/>
  </xdr:twoCellAnchor>
  <xdr:twoCellAnchor editAs="absolute">
    <xdr:from>
      <xdr:col>41</xdr:col>
      <xdr:colOff>77561</xdr:colOff>
      <xdr:row>33</xdr:row>
      <xdr:rowOff>126546</xdr:rowOff>
    </xdr:from>
    <xdr:to>
      <xdr:col>42</xdr:col>
      <xdr:colOff>57672</xdr:colOff>
      <xdr:row>34</xdr:row>
      <xdr:rowOff>129204</xdr:rowOff>
    </xdr:to>
    <xdr:sp macro="" textlink="" fLocksText="0">
      <xdr:nvSpPr>
        <xdr:cNvPr id="16" name="Text Box 171">
          <a:extLst>
            <a:ext uri="{FF2B5EF4-FFF2-40B4-BE49-F238E27FC236}">
              <a16:creationId xmlns:a16="http://schemas.microsoft.com/office/drawing/2014/main" id="{00000000-0008-0000-1C00-000010000000}"/>
            </a:ext>
          </a:extLst>
        </xdr:cNvPr>
        <xdr:cNvSpPr txBox="1">
          <a:spLocks noChangeArrowheads="1"/>
        </xdr:cNvSpPr>
      </xdr:nvSpPr>
      <xdr:spPr bwMode="auto">
        <a:xfrm>
          <a:off x="16038740" y="5528582"/>
          <a:ext cx="374718"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Angle</a:t>
          </a:r>
        </a:p>
      </xdr:txBody>
    </xdr:sp>
    <xdr:clientData fLocksWithSheet="0"/>
  </xdr:twoCellAnchor>
  <xdr:twoCellAnchor editAs="absolute">
    <xdr:from>
      <xdr:col>41</xdr:col>
      <xdr:colOff>77561</xdr:colOff>
      <xdr:row>61</xdr:row>
      <xdr:rowOff>126546</xdr:rowOff>
    </xdr:from>
    <xdr:to>
      <xdr:col>42</xdr:col>
      <xdr:colOff>257086</xdr:colOff>
      <xdr:row>62</xdr:row>
      <xdr:rowOff>115596</xdr:rowOff>
    </xdr:to>
    <xdr:sp macro="" textlink="" fLocksText="0">
      <xdr:nvSpPr>
        <xdr:cNvPr id="17" name="Text Box 172">
          <a:extLst>
            <a:ext uri="{FF2B5EF4-FFF2-40B4-BE49-F238E27FC236}">
              <a16:creationId xmlns:a16="http://schemas.microsoft.com/office/drawing/2014/main" id="{00000000-0008-0000-1C00-000011000000}"/>
            </a:ext>
          </a:extLst>
        </xdr:cNvPr>
        <xdr:cNvSpPr txBox="1">
          <a:spLocks noChangeArrowheads="1"/>
        </xdr:cNvSpPr>
      </xdr:nvSpPr>
      <xdr:spPr bwMode="auto">
        <a:xfrm>
          <a:off x="16038740" y="10100582"/>
          <a:ext cx="574132"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Left Turn</a:t>
          </a:r>
        </a:p>
      </xdr:txBody>
    </xdr:sp>
    <xdr:clientData fLocksWithSheet="0"/>
  </xdr:twoCellAnchor>
  <xdr:twoCellAnchor editAs="oneCell">
    <xdr:from>
      <xdr:col>30</xdr:col>
      <xdr:colOff>190500</xdr:colOff>
      <xdr:row>14</xdr:row>
      <xdr:rowOff>38100</xdr:rowOff>
    </xdr:from>
    <xdr:to>
      <xdr:col>32</xdr:col>
      <xdr:colOff>152400</xdr:colOff>
      <xdr:row>15</xdr:row>
      <xdr:rowOff>114300</xdr:rowOff>
    </xdr:to>
    <xdr:sp macro="" textlink="">
      <xdr:nvSpPr>
        <xdr:cNvPr id="18" name="Text Box 175">
          <a:extLst>
            <a:ext uri="{FF2B5EF4-FFF2-40B4-BE49-F238E27FC236}">
              <a16:creationId xmlns:a16="http://schemas.microsoft.com/office/drawing/2014/main" id="{00000000-0008-0000-1C00-000012000000}"/>
            </a:ext>
          </a:extLst>
        </xdr:cNvPr>
        <xdr:cNvSpPr txBox="1">
          <a:spLocks noChangeArrowheads="1"/>
        </xdr:cNvSpPr>
      </xdr:nvSpPr>
      <xdr:spPr bwMode="auto">
        <a:xfrm>
          <a:off x="18478500" y="2305050"/>
          <a:ext cx="1181100" cy="238125"/>
        </a:xfrm>
        <a:prstGeom prst="rect">
          <a:avLst/>
        </a:prstGeom>
        <a:gradFill rotWithShape="1">
          <a:gsLst>
            <a:gs pos="0">
              <a:srgbClr val="339966">
                <a:gamma/>
                <a:shade val="76078"/>
                <a:invGamma/>
              </a:srgbClr>
            </a:gs>
            <a:gs pos="50000">
              <a:srgbClr val="339966"/>
            </a:gs>
            <a:gs pos="100000">
              <a:srgbClr val="339966">
                <a:gamma/>
                <a:shade val="76078"/>
                <a:invGamma/>
              </a:srgbClr>
            </a:gs>
          </a:gsLst>
          <a:lin ang="5400000" scaled="1"/>
        </a:gradFill>
        <a:ln w="19050" algn="ctr">
          <a:solidFill>
            <a:srgbClr val="000000"/>
          </a:solidFill>
          <a:miter lim="800000"/>
          <a:headEnd/>
          <a:tailEnd/>
        </a:ln>
        <a:effectLst/>
      </xdr:spPr>
      <xdr:txBody>
        <a:bodyPr vertOverflow="clip" wrap="square" lIns="27432" tIns="18288" rIns="27432" bIns="18288" anchor="ctr" upright="1"/>
        <a:lstStyle/>
        <a:p>
          <a:pPr algn="ctr" rtl="0">
            <a:defRPr sz="1000"/>
          </a:pPr>
          <a:r>
            <a:rPr lang="en-US" sz="1000" b="1" i="0" strike="noStrike">
              <a:solidFill>
                <a:srgbClr val="FFFFFF"/>
              </a:solidFill>
              <a:latin typeface="Tahoma"/>
              <a:cs typeface="Tahoma"/>
            </a:rPr>
            <a:t>Street 1</a:t>
          </a:r>
        </a:p>
      </xdr:txBody>
    </xdr:sp>
    <xdr:clientData fLocksWithSheet="0"/>
  </xdr:twoCellAnchor>
  <xdr:twoCellAnchor editAs="absolute">
    <xdr:from>
      <xdr:col>41</xdr:col>
      <xdr:colOff>77561</xdr:colOff>
      <xdr:row>47</xdr:row>
      <xdr:rowOff>126546</xdr:rowOff>
    </xdr:from>
    <xdr:to>
      <xdr:col>44</xdr:col>
      <xdr:colOff>116511</xdr:colOff>
      <xdr:row>48</xdr:row>
      <xdr:rowOff>129204</xdr:rowOff>
    </xdr:to>
    <xdr:sp macro="" textlink="" fLocksText="0">
      <xdr:nvSpPr>
        <xdr:cNvPr id="19" name="Text Box 179">
          <a:extLst>
            <a:ext uri="{FF2B5EF4-FFF2-40B4-BE49-F238E27FC236}">
              <a16:creationId xmlns:a16="http://schemas.microsoft.com/office/drawing/2014/main" id="{00000000-0008-0000-1C00-000013000000}"/>
            </a:ext>
          </a:extLst>
        </xdr:cNvPr>
        <xdr:cNvSpPr txBox="1">
          <a:spLocks noChangeArrowheads="1"/>
        </xdr:cNvSpPr>
      </xdr:nvSpPr>
      <xdr:spPr bwMode="auto">
        <a:xfrm>
          <a:off x="16038740" y="7814582"/>
          <a:ext cx="1222771"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Side-Swipe Meeting</a:t>
          </a:r>
        </a:p>
      </xdr:txBody>
    </xdr:sp>
    <xdr:clientData fLocksWithSheet="0"/>
  </xdr:twoCellAnchor>
  <xdr:twoCellAnchor editAs="absolute">
    <xdr:from>
      <xdr:col>41</xdr:col>
      <xdr:colOff>77561</xdr:colOff>
      <xdr:row>65</xdr:row>
      <xdr:rowOff>99332</xdr:rowOff>
    </xdr:from>
    <xdr:to>
      <xdr:col>42</xdr:col>
      <xdr:colOff>349675</xdr:colOff>
      <xdr:row>66</xdr:row>
      <xdr:rowOff>101989</xdr:rowOff>
    </xdr:to>
    <xdr:sp macro="" textlink="" fLocksText="0">
      <xdr:nvSpPr>
        <xdr:cNvPr id="20" name="Text Box 182">
          <a:extLst>
            <a:ext uri="{FF2B5EF4-FFF2-40B4-BE49-F238E27FC236}">
              <a16:creationId xmlns:a16="http://schemas.microsoft.com/office/drawing/2014/main" id="{00000000-0008-0000-1C00-000014000000}"/>
            </a:ext>
          </a:extLst>
        </xdr:cNvPr>
        <xdr:cNvSpPr txBox="1">
          <a:spLocks noChangeArrowheads="1"/>
        </xdr:cNvSpPr>
      </xdr:nvSpPr>
      <xdr:spPr bwMode="auto">
        <a:xfrm>
          <a:off x="16038740" y="10753725"/>
          <a:ext cx="666721"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Right Turn</a:t>
          </a:r>
        </a:p>
      </xdr:txBody>
    </xdr:sp>
    <xdr:clientData fLocksWithSheet="0"/>
  </xdr:twoCellAnchor>
  <xdr:twoCellAnchor editAs="absolute">
    <xdr:from>
      <xdr:col>41</xdr:col>
      <xdr:colOff>77561</xdr:colOff>
      <xdr:row>68</xdr:row>
      <xdr:rowOff>126546</xdr:rowOff>
    </xdr:from>
    <xdr:to>
      <xdr:col>42</xdr:col>
      <xdr:colOff>349675</xdr:colOff>
      <xdr:row>69</xdr:row>
      <xdr:rowOff>129203</xdr:rowOff>
    </xdr:to>
    <xdr:sp macro="" textlink="" fLocksText="0">
      <xdr:nvSpPr>
        <xdr:cNvPr id="21" name="Text Box 185">
          <a:extLst>
            <a:ext uri="{FF2B5EF4-FFF2-40B4-BE49-F238E27FC236}">
              <a16:creationId xmlns:a16="http://schemas.microsoft.com/office/drawing/2014/main" id="{00000000-0008-0000-1C00-000015000000}"/>
            </a:ext>
          </a:extLst>
        </xdr:cNvPr>
        <xdr:cNvSpPr txBox="1">
          <a:spLocks noChangeArrowheads="1"/>
        </xdr:cNvSpPr>
      </xdr:nvSpPr>
      <xdr:spPr bwMode="auto">
        <a:xfrm>
          <a:off x="16038740" y="11270796"/>
          <a:ext cx="666721"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Right Turn</a:t>
          </a:r>
        </a:p>
      </xdr:txBody>
    </xdr:sp>
    <xdr:clientData fLocksWithSheet="0"/>
  </xdr:twoCellAnchor>
  <xdr:twoCellAnchor editAs="oneCell">
    <xdr:from>
      <xdr:col>25</xdr:col>
      <xdr:colOff>304800</xdr:colOff>
      <xdr:row>51</xdr:row>
      <xdr:rowOff>38100</xdr:rowOff>
    </xdr:from>
    <xdr:to>
      <xdr:col>26</xdr:col>
      <xdr:colOff>114300</xdr:colOff>
      <xdr:row>56</xdr:row>
      <xdr:rowOff>0</xdr:rowOff>
    </xdr:to>
    <xdr:sp macro="" textlink="">
      <xdr:nvSpPr>
        <xdr:cNvPr id="22" name="Text Box 189">
          <a:extLst>
            <a:ext uri="{FF2B5EF4-FFF2-40B4-BE49-F238E27FC236}">
              <a16:creationId xmlns:a16="http://schemas.microsoft.com/office/drawing/2014/main" id="{00000000-0008-0000-1C00-000016000000}"/>
            </a:ext>
          </a:extLst>
        </xdr:cNvPr>
        <xdr:cNvSpPr txBox="1">
          <a:spLocks noChangeArrowheads="1"/>
        </xdr:cNvSpPr>
      </xdr:nvSpPr>
      <xdr:spPr bwMode="auto">
        <a:xfrm>
          <a:off x="15544800" y="8296275"/>
          <a:ext cx="419100" cy="771525"/>
        </a:xfrm>
        <a:prstGeom prst="rect">
          <a:avLst/>
        </a:prstGeom>
        <a:gradFill rotWithShape="1">
          <a:gsLst>
            <a:gs pos="0">
              <a:srgbClr val="339966">
                <a:gamma/>
                <a:shade val="76078"/>
                <a:invGamma/>
              </a:srgbClr>
            </a:gs>
            <a:gs pos="50000">
              <a:srgbClr val="339966"/>
            </a:gs>
            <a:gs pos="100000">
              <a:srgbClr val="339966">
                <a:gamma/>
                <a:shade val="76078"/>
                <a:invGamma/>
              </a:srgbClr>
            </a:gs>
          </a:gsLst>
          <a:lin ang="5400000" scaled="1"/>
        </a:gradFill>
        <a:ln w="19050" algn="ctr">
          <a:solidFill>
            <a:srgbClr val="000000"/>
          </a:solidFill>
          <a:miter lim="800000"/>
          <a:headEnd/>
          <a:tailEnd/>
        </a:ln>
        <a:effectLst/>
      </xdr:spPr>
      <xdr:txBody>
        <a:bodyPr vertOverflow="clip" vert="vert270" wrap="square" lIns="27432" tIns="22860" rIns="27432" bIns="22860" anchor="ctr" upright="1"/>
        <a:lstStyle/>
        <a:p>
          <a:pPr algn="ctr" rtl="0">
            <a:defRPr sz="1000"/>
          </a:pPr>
          <a:r>
            <a:rPr lang="en-US" sz="1000" b="1" i="0" strike="noStrike">
              <a:solidFill>
                <a:srgbClr val="FFFFFF"/>
              </a:solidFill>
              <a:latin typeface="Arial"/>
              <a:cs typeface="Arial"/>
            </a:rPr>
            <a:t>Street 2</a:t>
          </a:r>
        </a:p>
      </xdr:txBody>
    </xdr:sp>
    <xdr:clientData fLocksWithSheet="0"/>
  </xdr:twoCellAnchor>
  <xdr:twoCellAnchor editAs="absolute">
    <xdr:from>
      <xdr:col>41</xdr:col>
      <xdr:colOff>77561</xdr:colOff>
      <xdr:row>39</xdr:row>
      <xdr:rowOff>126546</xdr:rowOff>
    </xdr:from>
    <xdr:to>
      <xdr:col>42</xdr:col>
      <xdr:colOff>128974</xdr:colOff>
      <xdr:row>40</xdr:row>
      <xdr:rowOff>129203</xdr:rowOff>
    </xdr:to>
    <xdr:sp macro="" textlink="" fLocksText="0">
      <xdr:nvSpPr>
        <xdr:cNvPr id="23" name="Text Box 217">
          <a:extLst>
            <a:ext uri="{FF2B5EF4-FFF2-40B4-BE49-F238E27FC236}">
              <a16:creationId xmlns:a16="http://schemas.microsoft.com/office/drawing/2014/main" id="{00000000-0008-0000-1C00-000017000000}"/>
            </a:ext>
          </a:extLst>
        </xdr:cNvPr>
        <xdr:cNvSpPr txBox="1">
          <a:spLocks noChangeArrowheads="1"/>
        </xdr:cNvSpPr>
      </xdr:nvSpPr>
      <xdr:spPr bwMode="auto">
        <a:xfrm>
          <a:off x="16038740" y="6508296"/>
          <a:ext cx="446020"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Animal</a:t>
          </a:r>
        </a:p>
      </xdr:txBody>
    </xdr:sp>
    <xdr:clientData fLocksWithSheet="0"/>
  </xdr:twoCellAnchor>
  <xdr:twoCellAnchor editAs="oneCell">
    <xdr:from>
      <xdr:col>8</xdr:col>
      <xdr:colOff>304800</xdr:colOff>
      <xdr:row>13</xdr:row>
      <xdr:rowOff>76200</xdr:rowOff>
    </xdr:from>
    <xdr:to>
      <xdr:col>9</xdr:col>
      <xdr:colOff>304800</xdr:colOff>
      <xdr:row>16</xdr:row>
      <xdr:rowOff>0</xdr:rowOff>
    </xdr:to>
    <xdr:pic>
      <xdr:nvPicPr>
        <xdr:cNvPr id="16096433" name="Picture 226" descr="MMj01892420000[1]">
          <a:extLst>
            <a:ext uri="{FF2B5EF4-FFF2-40B4-BE49-F238E27FC236}">
              <a16:creationId xmlns:a16="http://schemas.microsoft.com/office/drawing/2014/main" id="{00000000-0008-0000-1C00-0000B19CF5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0800000">
          <a:off x="3276600" y="2190750"/>
          <a:ext cx="4000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25</xdr:col>
      <xdr:colOff>228600</xdr:colOff>
      <xdr:row>45</xdr:row>
      <xdr:rowOff>76200</xdr:rowOff>
    </xdr:from>
    <xdr:to>
      <xdr:col>26</xdr:col>
      <xdr:colOff>228600</xdr:colOff>
      <xdr:row>48</xdr:row>
      <xdr:rowOff>0</xdr:rowOff>
    </xdr:to>
    <xdr:pic>
      <xdr:nvPicPr>
        <xdr:cNvPr id="16096434" name="Picture 227" descr="MMj01892420000[1]">
          <a:extLst>
            <a:ext uri="{FF2B5EF4-FFF2-40B4-BE49-F238E27FC236}">
              <a16:creationId xmlns:a16="http://schemas.microsoft.com/office/drawing/2014/main" id="{00000000-0008-0000-1C00-0000B29CF5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001250" y="7372350"/>
          <a:ext cx="4000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absolute">
    <xdr:from>
      <xdr:col>41</xdr:col>
      <xdr:colOff>77561</xdr:colOff>
      <xdr:row>35</xdr:row>
      <xdr:rowOff>126547</xdr:rowOff>
    </xdr:from>
    <xdr:to>
      <xdr:col>42</xdr:col>
      <xdr:colOff>57672</xdr:colOff>
      <xdr:row>36</xdr:row>
      <xdr:rowOff>129204</xdr:rowOff>
    </xdr:to>
    <xdr:sp macro="" textlink="" fLocksText="0">
      <xdr:nvSpPr>
        <xdr:cNvPr id="26" name="Text Box 681">
          <a:extLst>
            <a:ext uri="{FF2B5EF4-FFF2-40B4-BE49-F238E27FC236}">
              <a16:creationId xmlns:a16="http://schemas.microsoft.com/office/drawing/2014/main" id="{00000000-0008-0000-1C00-00001A000000}"/>
            </a:ext>
          </a:extLst>
        </xdr:cNvPr>
        <xdr:cNvSpPr txBox="1">
          <a:spLocks noChangeArrowheads="1"/>
        </xdr:cNvSpPr>
      </xdr:nvSpPr>
      <xdr:spPr bwMode="auto">
        <a:xfrm>
          <a:off x="16038740" y="5855154"/>
          <a:ext cx="374718" cy="165943"/>
        </a:xfrm>
        <a:prstGeom prst="rect">
          <a:avLst/>
        </a:prstGeom>
        <a:noFill/>
        <a:ln w="19050" algn="ctr">
          <a:noFill/>
          <a:miter lim="800000"/>
          <a:headEnd/>
          <a:tailEnd/>
        </a:ln>
        <a:effectLst/>
      </xdr:spPr>
      <xdr:txBody>
        <a:bodyPr wrap="none" lIns="18288" tIns="18288" rIns="0" bIns="0" anchor="t" upright="1">
          <a:spAutoFit/>
        </a:bodyPr>
        <a:lstStyle/>
        <a:p>
          <a:pPr algn="l" rtl="0">
            <a:defRPr sz="1000"/>
          </a:pPr>
          <a:r>
            <a:rPr lang="en-US" sz="1000" b="1" i="0" strike="noStrike">
              <a:solidFill>
                <a:srgbClr val="000000"/>
              </a:solidFill>
              <a:latin typeface="Arial"/>
              <a:cs typeface="Arial"/>
            </a:rPr>
            <a:t>Angle</a:t>
          </a:r>
        </a:p>
      </xdr:txBody>
    </xdr:sp>
    <xdr:clientData fLocksWithSheet="0"/>
  </xdr:twoCellAnchor>
  <xdr:twoCellAnchor editAs="absolute">
    <xdr:from>
      <xdr:col>37</xdr:col>
      <xdr:colOff>386443</xdr:colOff>
      <xdr:row>55</xdr:row>
      <xdr:rowOff>117022</xdr:rowOff>
    </xdr:from>
    <xdr:to>
      <xdr:col>39</xdr:col>
      <xdr:colOff>182336</xdr:colOff>
      <xdr:row>56</xdr:row>
      <xdr:rowOff>69397</xdr:rowOff>
    </xdr:to>
    <xdr:grpSp>
      <xdr:nvGrpSpPr>
        <xdr:cNvPr id="16096436" name="Group KK">
          <a:extLst>
            <a:ext uri="{FF2B5EF4-FFF2-40B4-BE49-F238E27FC236}">
              <a16:creationId xmlns:a16="http://schemas.microsoft.com/office/drawing/2014/main" id="{00000000-0008-0000-1C00-0000B49CF500}"/>
            </a:ext>
          </a:extLst>
        </xdr:cNvPr>
        <xdr:cNvGrpSpPr>
          <a:grpSpLocks/>
        </xdr:cNvGrpSpPr>
      </xdr:nvGrpSpPr>
      <xdr:grpSpPr bwMode="auto">
        <a:xfrm>
          <a:off x="16914586" y="9115879"/>
          <a:ext cx="703036" cy="115661"/>
          <a:chOff x="2496" y="434"/>
          <a:chExt cx="69" cy="13"/>
        </a:xfrm>
      </xdr:grpSpPr>
      <xdr:sp macro="" textlink="">
        <xdr:nvSpPr>
          <xdr:cNvPr id="16096538" name="Line 3765">
            <a:extLst>
              <a:ext uri="{FF2B5EF4-FFF2-40B4-BE49-F238E27FC236}">
                <a16:creationId xmlns:a16="http://schemas.microsoft.com/office/drawing/2014/main" id="{00000000-0008-0000-1C00-00001A9DF500}"/>
              </a:ext>
            </a:extLst>
          </xdr:cNvPr>
          <xdr:cNvSpPr>
            <a:spLocks noChangeShapeType="1"/>
          </xdr:cNvSpPr>
        </xdr:nvSpPr>
        <xdr:spPr bwMode="auto">
          <a:xfrm rot="10800000">
            <a:off x="2496" y="440"/>
            <a:ext cx="58" cy="0"/>
          </a:xfrm>
          <a:prstGeom prst="line">
            <a:avLst/>
          </a:prstGeom>
          <a:noFill/>
          <a:ln w="19050">
            <a:solidFill>
              <a:srgbClr val="000000"/>
            </a:solidFill>
            <a:prstDash val="dash"/>
            <a:round/>
            <a:headEnd/>
            <a:tailEnd/>
          </a:ln>
          <a:extLst>
            <a:ext uri="{909E8E84-426E-40DD-AFC4-6F175D3DCCD1}">
              <a14:hiddenFill xmlns:a14="http://schemas.microsoft.com/office/drawing/2010/main">
                <a:noFill/>
              </a14:hiddenFill>
            </a:ext>
          </a:extLst>
        </xdr:spPr>
      </xdr:sp>
      <xdr:grpSp>
        <xdr:nvGrpSpPr>
          <xdr:cNvPr id="16096539" name="Group 3766">
            <a:extLst>
              <a:ext uri="{FF2B5EF4-FFF2-40B4-BE49-F238E27FC236}">
                <a16:creationId xmlns:a16="http://schemas.microsoft.com/office/drawing/2014/main" id="{00000000-0008-0000-1C00-00001B9DF500}"/>
              </a:ext>
            </a:extLst>
          </xdr:cNvPr>
          <xdr:cNvGrpSpPr>
            <a:grpSpLocks/>
          </xdr:cNvGrpSpPr>
        </xdr:nvGrpSpPr>
        <xdr:grpSpPr bwMode="auto">
          <a:xfrm rot="10800000">
            <a:off x="2552" y="434"/>
            <a:ext cx="13" cy="13"/>
            <a:chOff x="2546" y="432"/>
            <a:chExt cx="13" cy="13"/>
          </a:xfrm>
        </xdr:grpSpPr>
        <xdr:sp macro="" textlink="">
          <xdr:nvSpPr>
            <xdr:cNvPr id="16096540" name="Line 3767">
              <a:extLst>
                <a:ext uri="{FF2B5EF4-FFF2-40B4-BE49-F238E27FC236}">
                  <a16:creationId xmlns:a16="http://schemas.microsoft.com/office/drawing/2014/main" id="{00000000-0008-0000-1C00-00001C9DF500}"/>
                </a:ext>
              </a:extLst>
            </xdr:cNvPr>
            <xdr:cNvSpPr>
              <a:spLocks noChangeShapeType="1"/>
            </xdr:cNvSpPr>
          </xdr:nvSpPr>
          <xdr:spPr bwMode="auto">
            <a:xfrm rot="10656299">
              <a:off x="2548" y="432"/>
              <a:ext cx="8" cy="13"/>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96541" name="Line 3768">
              <a:extLst>
                <a:ext uri="{FF2B5EF4-FFF2-40B4-BE49-F238E27FC236}">
                  <a16:creationId xmlns:a16="http://schemas.microsoft.com/office/drawing/2014/main" id="{00000000-0008-0000-1C00-00001D9DF500}"/>
                </a:ext>
              </a:extLst>
            </xdr:cNvPr>
            <xdr:cNvSpPr>
              <a:spLocks noChangeShapeType="1"/>
            </xdr:cNvSpPr>
          </xdr:nvSpPr>
          <xdr:spPr bwMode="auto">
            <a:xfrm rot="-6923988">
              <a:off x="2549" y="433"/>
              <a:ext cx="8" cy="13"/>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grpSp>
    <xdr:clientData fLocksWithSheet="0"/>
  </xdr:twoCellAnchor>
  <xdr:twoCellAnchor editAs="absolute">
    <xdr:from>
      <xdr:col>38</xdr:col>
      <xdr:colOff>29936</xdr:colOff>
      <xdr:row>42</xdr:row>
      <xdr:rowOff>40822</xdr:rowOff>
    </xdr:from>
    <xdr:to>
      <xdr:col>39</xdr:col>
      <xdr:colOff>182336</xdr:colOff>
      <xdr:row>43</xdr:row>
      <xdr:rowOff>40821</xdr:rowOff>
    </xdr:to>
    <xdr:grpSp>
      <xdr:nvGrpSpPr>
        <xdr:cNvPr id="16096437" name="Group FF">
          <a:extLst>
            <a:ext uri="{FF2B5EF4-FFF2-40B4-BE49-F238E27FC236}">
              <a16:creationId xmlns:a16="http://schemas.microsoft.com/office/drawing/2014/main" id="{00000000-0008-0000-1C00-0000B59CF500}"/>
            </a:ext>
          </a:extLst>
        </xdr:cNvPr>
        <xdr:cNvGrpSpPr>
          <a:grpSpLocks/>
        </xdr:cNvGrpSpPr>
      </xdr:nvGrpSpPr>
      <xdr:grpSpPr bwMode="auto">
        <a:xfrm>
          <a:off x="17011650" y="6916965"/>
          <a:ext cx="605972" cy="163285"/>
          <a:chOff x="833" y="148"/>
          <a:chExt cx="58" cy="16"/>
        </a:xfrm>
      </xdr:grpSpPr>
      <xdr:sp macro="" textlink="">
        <xdr:nvSpPr>
          <xdr:cNvPr id="16096536" name="Line 3770">
            <a:extLst>
              <a:ext uri="{FF2B5EF4-FFF2-40B4-BE49-F238E27FC236}">
                <a16:creationId xmlns:a16="http://schemas.microsoft.com/office/drawing/2014/main" id="{00000000-0008-0000-1C00-0000189DF500}"/>
              </a:ext>
            </a:extLst>
          </xdr:cNvPr>
          <xdr:cNvSpPr>
            <a:spLocks noChangeShapeType="1"/>
          </xdr:cNvSpPr>
        </xdr:nvSpPr>
        <xdr:spPr bwMode="auto">
          <a:xfrm>
            <a:off x="833" y="148"/>
            <a:ext cx="58"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37" name="Freeform 3771">
            <a:extLst>
              <a:ext uri="{FF2B5EF4-FFF2-40B4-BE49-F238E27FC236}">
                <a16:creationId xmlns:a16="http://schemas.microsoft.com/office/drawing/2014/main" id="{00000000-0008-0000-1C00-0000199DF500}"/>
              </a:ext>
            </a:extLst>
          </xdr:cNvPr>
          <xdr:cNvSpPr>
            <a:spLocks/>
          </xdr:cNvSpPr>
        </xdr:nvSpPr>
        <xdr:spPr bwMode="auto">
          <a:xfrm rot="20493903" flipV="1">
            <a:off x="835" y="149"/>
            <a:ext cx="40" cy="15"/>
          </a:xfrm>
          <a:custGeom>
            <a:avLst/>
            <a:gdLst>
              <a:gd name="T0" fmla="*/ 0 w 40"/>
              <a:gd name="T1" fmla="*/ 2147483647 h 7"/>
              <a:gd name="T2" fmla="*/ 20 w 40"/>
              <a:gd name="T3" fmla="*/ 2147483647 h 7"/>
              <a:gd name="T4" fmla="*/ 40 w 40"/>
              <a:gd name="T5" fmla="*/ 0 h 7"/>
              <a:gd name="T6" fmla="*/ 0 60000 65536"/>
              <a:gd name="T7" fmla="*/ 0 60000 65536"/>
              <a:gd name="T8" fmla="*/ 0 60000 65536"/>
              <a:gd name="T9" fmla="*/ 0 w 40"/>
              <a:gd name="T10" fmla="*/ 0 h 7"/>
              <a:gd name="T11" fmla="*/ 40 w 40"/>
              <a:gd name="T12" fmla="*/ 7 h 7"/>
            </a:gdLst>
            <a:ahLst/>
            <a:cxnLst>
              <a:cxn ang="T6">
                <a:pos x="T0" y="T1"/>
              </a:cxn>
              <a:cxn ang="T7">
                <a:pos x="T2" y="T3"/>
              </a:cxn>
              <a:cxn ang="T8">
                <a:pos x="T4" y="T5"/>
              </a:cxn>
            </a:cxnLst>
            <a:rect l="T9" t="T10" r="T11" b="T12"/>
            <a:pathLst>
              <a:path w="40" h="7">
                <a:moveTo>
                  <a:pt x="0" y="7"/>
                </a:moveTo>
                <a:lnTo>
                  <a:pt x="20" y="7"/>
                </a:lnTo>
                <a:lnTo>
                  <a:pt x="40" y="0"/>
                </a:lnTo>
              </a:path>
            </a:pathLst>
          </a:custGeom>
          <a:noFill/>
          <a:ln w="19050">
            <a:solidFill>
              <a:srgbClr val="000000"/>
            </a:solidFill>
            <a:round/>
            <a:headEnd/>
            <a:tailEnd type="triangle" w="med" len="lg"/>
          </a:ln>
          <a:extLst>
            <a:ext uri="{909E8E84-426E-40DD-AFC4-6F175D3DCCD1}">
              <a14:hiddenFill xmlns:a14="http://schemas.microsoft.com/office/drawing/2010/main">
                <a:solidFill>
                  <a:srgbClr val="FFFFFF"/>
                </a:solidFill>
              </a14:hiddenFill>
            </a:ext>
          </a:extLst>
        </xdr:spPr>
      </xdr:sp>
    </xdr:grpSp>
    <xdr:clientData fLocksWithSheet="0"/>
  </xdr:twoCellAnchor>
  <xdr:twoCellAnchor editAs="absolute">
    <xdr:from>
      <xdr:col>38</xdr:col>
      <xdr:colOff>29936</xdr:colOff>
      <xdr:row>33</xdr:row>
      <xdr:rowOff>117021</xdr:rowOff>
    </xdr:from>
    <xdr:to>
      <xdr:col>39</xdr:col>
      <xdr:colOff>29936</xdr:colOff>
      <xdr:row>35</xdr:row>
      <xdr:rowOff>117022</xdr:rowOff>
    </xdr:to>
    <xdr:grpSp>
      <xdr:nvGrpSpPr>
        <xdr:cNvPr id="16096438" name="Group CC">
          <a:extLst>
            <a:ext uri="{FF2B5EF4-FFF2-40B4-BE49-F238E27FC236}">
              <a16:creationId xmlns:a16="http://schemas.microsoft.com/office/drawing/2014/main" id="{00000000-0008-0000-1C00-0000B69CF500}"/>
            </a:ext>
          </a:extLst>
        </xdr:cNvPr>
        <xdr:cNvGrpSpPr>
          <a:grpSpLocks/>
        </xdr:cNvGrpSpPr>
      </xdr:nvGrpSpPr>
      <xdr:grpSpPr bwMode="auto">
        <a:xfrm>
          <a:off x="17011650" y="5523592"/>
          <a:ext cx="453572" cy="326573"/>
          <a:chOff x="833" y="231"/>
          <a:chExt cx="43" cy="33"/>
        </a:xfrm>
      </xdr:grpSpPr>
      <xdr:sp macro="" textlink="">
        <xdr:nvSpPr>
          <xdr:cNvPr id="16096534" name="Line 3773">
            <a:extLst>
              <a:ext uri="{FF2B5EF4-FFF2-40B4-BE49-F238E27FC236}">
                <a16:creationId xmlns:a16="http://schemas.microsoft.com/office/drawing/2014/main" id="{00000000-0008-0000-1C00-0000169DF500}"/>
              </a:ext>
            </a:extLst>
          </xdr:cNvPr>
          <xdr:cNvSpPr>
            <a:spLocks noChangeShapeType="1"/>
          </xdr:cNvSpPr>
        </xdr:nvSpPr>
        <xdr:spPr bwMode="auto">
          <a:xfrm>
            <a:off x="833" y="231"/>
            <a:ext cx="43"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35" name="Line 3774">
            <a:extLst>
              <a:ext uri="{FF2B5EF4-FFF2-40B4-BE49-F238E27FC236}">
                <a16:creationId xmlns:a16="http://schemas.microsoft.com/office/drawing/2014/main" id="{00000000-0008-0000-1C00-0000179DF500}"/>
              </a:ext>
            </a:extLst>
          </xdr:cNvPr>
          <xdr:cNvSpPr>
            <a:spLocks noChangeShapeType="1"/>
          </xdr:cNvSpPr>
        </xdr:nvSpPr>
        <xdr:spPr bwMode="auto">
          <a:xfrm rot="10800000">
            <a:off x="876" y="231"/>
            <a:ext cx="0" cy="33"/>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grpSp>
    <xdr:clientData fLocksWithSheet="0"/>
  </xdr:twoCellAnchor>
  <xdr:twoCellAnchor editAs="absolute">
    <xdr:from>
      <xdr:col>38</xdr:col>
      <xdr:colOff>29936</xdr:colOff>
      <xdr:row>61</xdr:row>
      <xdr:rowOff>40821</xdr:rowOff>
    </xdr:from>
    <xdr:to>
      <xdr:col>39</xdr:col>
      <xdr:colOff>220436</xdr:colOff>
      <xdr:row>62</xdr:row>
      <xdr:rowOff>27214</xdr:rowOff>
    </xdr:to>
    <xdr:grpSp>
      <xdr:nvGrpSpPr>
        <xdr:cNvPr id="16096439" name="Group MM">
          <a:extLst>
            <a:ext uri="{FF2B5EF4-FFF2-40B4-BE49-F238E27FC236}">
              <a16:creationId xmlns:a16="http://schemas.microsoft.com/office/drawing/2014/main" id="{00000000-0008-0000-1C00-0000B79CF500}"/>
            </a:ext>
          </a:extLst>
        </xdr:cNvPr>
        <xdr:cNvGrpSpPr>
          <a:grpSpLocks/>
        </xdr:cNvGrpSpPr>
      </xdr:nvGrpSpPr>
      <xdr:grpSpPr bwMode="auto">
        <a:xfrm>
          <a:off x="17011650" y="10019392"/>
          <a:ext cx="644072" cy="167822"/>
          <a:chOff x="834" y="267"/>
          <a:chExt cx="86" cy="18"/>
        </a:xfrm>
      </xdr:grpSpPr>
      <xdr:sp macro="" textlink="">
        <xdr:nvSpPr>
          <xdr:cNvPr id="16096532" name="Line 3776">
            <a:extLst>
              <a:ext uri="{FF2B5EF4-FFF2-40B4-BE49-F238E27FC236}">
                <a16:creationId xmlns:a16="http://schemas.microsoft.com/office/drawing/2014/main" id="{00000000-0008-0000-1C00-0000149DF500}"/>
              </a:ext>
            </a:extLst>
          </xdr:cNvPr>
          <xdr:cNvSpPr>
            <a:spLocks noChangeShapeType="1"/>
          </xdr:cNvSpPr>
        </xdr:nvSpPr>
        <xdr:spPr bwMode="auto">
          <a:xfrm>
            <a:off x="834" y="285"/>
            <a:ext cx="49"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33" name="Freeform 3777">
            <a:extLst>
              <a:ext uri="{FF2B5EF4-FFF2-40B4-BE49-F238E27FC236}">
                <a16:creationId xmlns:a16="http://schemas.microsoft.com/office/drawing/2014/main" id="{00000000-0008-0000-1C00-0000159DF500}"/>
              </a:ext>
            </a:extLst>
          </xdr:cNvPr>
          <xdr:cNvSpPr>
            <a:spLocks/>
          </xdr:cNvSpPr>
        </xdr:nvSpPr>
        <xdr:spPr bwMode="auto">
          <a:xfrm rot="10800000">
            <a:off x="883" y="267"/>
            <a:ext cx="37" cy="18"/>
          </a:xfrm>
          <a:custGeom>
            <a:avLst/>
            <a:gdLst>
              <a:gd name="T0" fmla="*/ 0 w 40"/>
              <a:gd name="T1" fmla="*/ 2147483647 h 7"/>
              <a:gd name="T2" fmla="*/ 6 w 40"/>
              <a:gd name="T3" fmla="*/ 2147483647 h 7"/>
              <a:gd name="T4" fmla="*/ 6 w 40"/>
              <a:gd name="T5" fmla="*/ 0 h 7"/>
              <a:gd name="T6" fmla="*/ 0 60000 65536"/>
              <a:gd name="T7" fmla="*/ 0 60000 65536"/>
              <a:gd name="T8" fmla="*/ 0 60000 65536"/>
              <a:gd name="T9" fmla="*/ 0 w 40"/>
              <a:gd name="T10" fmla="*/ 0 h 7"/>
              <a:gd name="T11" fmla="*/ 40 w 40"/>
              <a:gd name="T12" fmla="*/ 7 h 7"/>
            </a:gdLst>
            <a:ahLst/>
            <a:cxnLst>
              <a:cxn ang="T6">
                <a:pos x="T0" y="T1"/>
              </a:cxn>
              <a:cxn ang="T7">
                <a:pos x="T2" y="T3"/>
              </a:cxn>
              <a:cxn ang="T8">
                <a:pos x="T4" y="T5"/>
              </a:cxn>
            </a:cxnLst>
            <a:rect l="T9" t="T10" r="T11" b="T12"/>
            <a:pathLst>
              <a:path w="40" h="7">
                <a:moveTo>
                  <a:pt x="0" y="7"/>
                </a:moveTo>
                <a:lnTo>
                  <a:pt x="20" y="7"/>
                </a:lnTo>
                <a:lnTo>
                  <a:pt x="40" y="0"/>
                </a:lnTo>
              </a:path>
            </a:pathLst>
          </a:custGeom>
          <a:noFill/>
          <a:ln w="19050">
            <a:solidFill>
              <a:srgbClr val="000000"/>
            </a:solidFill>
            <a:round/>
            <a:headEnd/>
            <a:tailEnd type="triangle" w="med" len="lg"/>
          </a:ln>
          <a:extLst>
            <a:ext uri="{909E8E84-426E-40DD-AFC4-6F175D3DCCD1}">
              <a14:hiddenFill xmlns:a14="http://schemas.microsoft.com/office/drawing/2010/main">
                <a:solidFill>
                  <a:srgbClr val="FFFFFF"/>
                </a:solidFill>
              </a14:hiddenFill>
            </a:ext>
          </a:extLst>
        </xdr:spPr>
      </xdr:sp>
    </xdr:grpSp>
    <xdr:clientData fLocksWithSheet="0"/>
  </xdr:twoCellAnchor>
  <xdr:twoCellAnchor editAs="absolute">
    <xdr:from>
      <xdr:col>38</xdr:col>
      <xdr:colOff>29936</xdr:colOff>
      <xdr:row>46</xdr:row>
      <xdr:rowOff>117021</xdr:rowOff>
    </xdr:from>
    <xdr:to>
      <xdr:col>39</xdr:col>
      <xdr:colOff>182336</xdr:colOff>
      <xdr:row>47</xdr:row>
      <xdr:rowOff>117021</xdr:rowOff>
    </xdr:to>
    <xdr:grpSp>
      <xdr:nvGrpSpPr>
        <xdr:cNvPr id="16096440" name="Group HH">
          <a:extLst>
            <a:ext uri="{FF2B5EF4-FFF2-40B4-BE49-F238E27FC236}">
              <a16:creationId xmlns:a16="http://schemas.microsoft.com/office/drawing/2014/main" id="{00000000-0008-0000-1C00-0000B89CF500}"/>
            </a:ext>
          </a:extLst>
        </xdr:cNvPr>
        <xdr:cNvGrpSpPr>
          <a:grpSpLocks/>
        </xdr:cNvGrpSpPr>
      </xdr:nvGrpSpPr>
      <xdr:grpSpPr bwMode="auto">
        <a:xfrm>
          <a:off x="17011650" y="7646307"/>
          <a:ext cx="605972" cy="163285"/>
          <a:chOff x="833" y="164"/>
          <a:chExt cx="58" cy="17"/>
        </a:xfrm>
      </xdr:grpSpPr>
      <xdr:sp macro="" textlink="">
        <xdr:nvSpPr>
          <xdr:cNvPr id="16096530" name="Line 3779">
            <a:extLst>
              <a:ext uri="{FF2B5EF4-FFF2-40B4-BE49-F238E27FC236}">
                <a16:creationId xmlns:a16="http://schemas.microsoft.com/office/drawing/2014/main" id="{00000000-0008-0000-1C00-0000129DF500}"/>
              </a:ext>
            </a:extLst>
          </xdr:cNvPr>
          <xdr:cNvSpPr>
            <a:spLocks noChangeShapeType="1"/>
          </xdr:cNvSpPr>
        </xdr:nvSpPr>
        <xdr:spPr bwMode="auto">
          <a:xfrm>
            <a:off x="833" y="181"/>
            <a:ext cx="58"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31" name="Freeform 3780">
            <a:extLst>
              <a:ext uri="{FF2B5EF4-FFF2-40B4-BE49-F238E27FC236}">
                <a16:creationId xmlns:a16="http://schemas.microsoft.com/office/drawing/2014/main" id="{00000000-0008-0000-1C00-0000139DF500}"/>
              </a:ext>
            </a:extLst>
          </xdr:cNvPr>
          <xdr:cNvSpPr>
            <a:spLocks/>
          </xdr:cNvSpPr>
        </xdr:nvSpPr>
        <xdr:spPr bwMode="auto">
          <a:xfrm rot="9693903" flipV="1">
            <a:off x="835" y="164"/>
            <a:ext cx="40" cy="15"/>
          </a:xfrm>
          <a:custGeom>
            <a:avLst/>
            <a:gdLst>
              <a:gd name="T0" fmla="*/ 0 w 40"/>
              <a:gd name="T1" fmla="*/ 2147483647 h 7"/>
              <a:gd name="T2" fmla="*/ 20 w 40"/>
              <a:gd name="T3" fmla="*/ 2147483647 h 7"/>
              <a:gd name="T4" fmla="*/ 40 w 40"/>
              <a:gd name="T5" fmla="*/ 0 h 7"/>
              <a:gd name="T6" fmla="*/ 0 60000 65536"/>
              <a:gd name="T7" fmla="*/ 0 60000 65536"/>
              <a:gd name="T8" fmla="*/ 0 60000 65536"/>
              <a:gd name="T9" fmla="*/ 0 w 40"/>
              <a:gd name="T10" fmla="*/ 0 h 7"/>
              <a:gd name="T11" fmla="*/ 40 w 40"/>
              <a:gd name="T12" fmla="*/ 7 h 7"/>
            </a:gdLst>
            <a:ahLst/>
            <a:cxnLst>
              <a:cxn ang="T6">
                <a:pos x="T0" y="T1"/>
              </a:cxn>
              <a:cxn ang="T7">
                <a:pos x="T2" y="T3"/>
              </a:cxn>
              <a:cxn ang="T8">
                <a:pos x="T4" y="T5"/>
              </a:cxn>
            </a:cxnLst>
            <a:rect l="T9" t="T10" r="T11" b="T12"/>
            <a:pathLst>
              <a:path w="40" h="7">
                <a:moveTo>
                  <a:pt x="0" y="7"/>
                </a:moveTo>
                <a:lnTo>
                  <a:pt x="20" y="7"/>
                </a:lnTo>
                <a:lnTo>
                  <a:pt x="40" y="0"/>
                </a:lnTo>
              </a:path>
            </a:pathLst>
          </a:custGeom>
          <a:noFill/>
          <a:ln w="19050">
            <a:solidFill>
              <a:srgbClr val="000000"/>
            </a:solidFill>
            <a:round/>
            <a:headEnd/>
            <a:tailEnd type="triangle" w="med" len="lg"/>
          </a:ln>
          <a:extLst>
            <a:ext uri="{909E8E84-426E-40DD-AFC4-6F175D3DCCD1}">
              <a14:hiddenFill xmlns:a14="http://schemas.microsoft.com/office/drawing/2010/main">
                <a:solidFill>
                  <a:srgbClr val="FFFFFF"/>
                </a:solidFill>
              </a14:hiddenFill>
            </a:ext>
          </a:extLst>
        </xdr:spPr>
      </xdr:sp>
    </xdr:grpSp>
    <xdr:clientData fLocksWithSheet="0"/>
  </xdr:twoCellAnchor>
  <xdr:twoCellAnchor editAs="absolute">
    <xdr:from>
      <xdr:col>38</xdr:col>
      <xdr:colOff>68036</xdr:colOff>
      <xdr:row>64</xdr:row>
      <xdr:rowOff>89807</xdr:rowOff>
    </xdr:from>
    <xdr:to>
      <xdr:col>39</xdr:col>
      <xdr:colOff>144236</xdr:colOff>
      <xdr:row>66</xdr:row>
      <xdr:rowOff>89807</xdr:rowOff>
    </xdr:to>
    <xdr:grpSp>
      <xdr:nvGrpSpPr>
        <xdr:cNvPr id="16096441" name="Group NN">
          <a:extLst>
            <a:ext uri="{FF2B5EF4-FFF2-40B4-BE49-F238E27FC236}">
              <a16:creationId xmlns:a16="http://schemas.microsoft.com/office/drawing/2014/main" id="{00000000-0008-0000-1C00-0000B99CF500}"/>
            </a:ext>
          </a:extLst>
        </xdr:cNvPr>
        <xdr:cNvGrpSpPr>
          <a:grpSpLocks/>
        </xdr:cNvGrpSpPr>
      </xdr:nvGrpSpPr>
      <xdr:grpSpPr bwMode="auto">
        <a:xfrm>
          <a:off x="17049750" y="10594521"/>
          <a:ext cx="529772" cy="326572"/>
          <a:chOff x="838" y="310"/>
          <a:chExt cx="49" cy="33"/>
        </a:xfrm>
      </xdr:grpSpPr>
      <xdr:sp macro="" textlink="">
        <xdr:nvSpPr>
          <xdr:cNvPr id="16096528" name="Line 3782">
            <a:extLst>
              <a:ext uri="{FF2B5EF4-FFF2-40B4-BE49-F238E27FC236}">
                <a16:creationId xmlns:a16="http://schemas.microsoft.com/office/drawing/2014/main" id="{00000000-0008-0000-1C00-0000109DF500}"/>
              </a:ext>
            </a:extLst>
          </xdr:cNvPr>
          <xdr:cNvSpPr>
            <a:spLocks noChangeShapeType="1"/>
          </xdr:cNvSpPr>
        </xdr:nvSpPr>
        <xdr:spPr bwMode="auto">
          <a:xfrm>
            <a:off x="838" y="310"/>
            <a:ext cx="49"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29" name="Freeform 3783">
            <a:extLst>
              <a:ext uri="{FF2B5EF4-FFF2-40B4-BE49-F238E27FC236}">
                <a16:creationId xmlns:a16="http://schemas.microsoft.com/office/drawing/2014/main" id="{00000000-0008-0000-1C00-0000119DF500}"/>
              </a:ext>
            </a:extLst>
          </xdr:cNvPr>
          <xdr:cNvSpPr>
            <a:spLocks/>
          </xdr:cNvSpPr>
        </xdr:nvSpPr>
        <xdr:spPr bwMode="auto">
          <a:xfrm rot="16200000" flipV="1">
            <a:off x="864" y="319"/>
            <a:ext cx="32" cy="15"/>
          </a:xfrm>
          <a:custGeom>
            <a:avLst/>
            <a:gdLst>
              <a:gd name="T0" fmla="*/ 0 w 40"/>
              <a:gd name="T1" fmla="*/ 2147483647 h 7"/>
              <a:gd name="T2" fmla="*/ 2 w 40"/>
              <a:gd name="T3" fmla="*/ 2147483647 h 7"/>
              <a:gd name="T4" fmla="*/ 2 w 40"/>
              <a:gd name="T5" fmla="*/ 0 h 7"/>
              <a:gd name="T6" fmla="*/ 0 60000 65536"/>
              <a:gd name="T7" fmla="*/ 0 60000 65536"/>
              <a:gd name="T8" fmla="*/ 0 60000 65536"/>
              <a:gd name="T9" fmla="*/ 0 w 40"/>
              <a:gd name="T10" fmla="*/ 0 h 7"/>
              <a:gd name="T11" fmla="*/ 40 w 40"/>
              <a:gd name="T12" fmla="*/ 7 h 7"/>
            </a:gdLst>
            <a:ahLst/>
            <a:cxnLst>
              <a:cxn ang="T6">
                <a:pos x="T0" y="T1"/>
              </a:cxn>
              <a:cxn ang="T7">
                <a:pos x="T2" y="T3"/>
              </a:cxn>
              <a:cxn ang="T8">
                <a:pos x="T4" y="T5"/>
              </a:cxn>
            </a:cxnLst>
            <a:rect l="T9" t="T10" r="T11" b="T12"/>
            <a:pathLst>
              <a:path w="40" h="7">
                <a:moveTo>
                  <a:pt x="0" y="7"/>
                </a:moveTo>
                <a:lnTo>
                  <a:pt x="20" y="7"/>
                </a:lnTo>
                <a:lnTo>
                  <a:pt x="40" y="0"/>
                </a:lnTo>
              </a:path>
            </a:pathLst>
          </a:custGeom>
          <a:noFill/>
          <a:ln w="19050">
            <a:solidFill>
              <a:srgbClr val="000000"/>
            </a:solidFill>
            <a:round/>
            <a:headEnd/>
            <a:tailEnd type="triangle" w="med" len="lg"/>
          </a:ln>
          <a:extLst>
            <a:ext uri="{909E8E84-426E-40DD-AFC4-6F175D3DCCD1}">
              <a14:hiddenFill xmlns:a14="http://schemas.microsoft.com/office/drawing/2010/main">
                <a:solidFill>
                  <a:srgbClr val="FFFFFF"/>
                </a:solidFill>
              </a14:hiddenFill>
            </a:ext>
          </a:extLst>
        </xdr:spPr>
      </xdr:sp>
    </xdr:grpSp>
    <xdr:clientData fLocksWithSheet="0"/>
  </xdr:twoCellAnchor>
  <xdr:twoCellAnchor editAs="absolute">
    <xdr:from>
      <xdr:col>38</xdr:col>
      <xdr:colOff>68036</xdr:colOff>
      <xdr:row>68</xdr:row>
      <xdr:rowOff>155121</xdr:rowOff>
    </xdr:from>
    <xdr:to>
      <xdr:col>39</xdr:col>
      <xdr:colOff>258536</xdr:colOff>
      <xdr:row>69</xdr:row>
      <xdr:rowOff>117021</xdr:rowOff>
    </xdr:to>
    <xdr:grpSp>
      <xdr:nvGrpSpPr>
        <xdr:cNvPr id="16096442" name="Group34">
          <a:extLst>
            <a:ext uri="{FF2B5EF4-FFF2-40B4-BE49-F238E27FC236}">
              <a16:creationId xmlns:a16="http://schemas.microsoft.com/office/drawing/2014/main" id="{00000000-0008-0000-1C00-0000BA9CF500}"/>
            </a:ext>
          </a:extLst>
        </xdr:cNvPr>
        <xdr:cNvGrpSpPr>
          <a:grpSpLocks/>
        </xdr:cNvGrpSpPr>
      </xdr:nvGrpSpPr>
      <xdr:grpSpPr bwMode="auto">
        <a:xfrm>
          <a:off x="17049750" y="11312978"/>
          <a:ext cx="644072" cy="125186"/>
          <a:chOff x="834" y="360"/>
          <a:chExt cx="89" cy="12"/>
        </a:xfrm>
      </xdr:grpSpPr>
      <xdr:sp macro="" textlink="">
        <xdr:nvSpPr>
          <xdr:cNvPr id="16096526" name="Line 3785">
            <a:extLst>
              <a:ext uri="{FF2B5EF4-FFF2-40B4-BE49-F238E27FC236}">
                <a16:creationId xmlns:a16="http://schemas.microsoft.com/office/drawing/2014/main" id="{00000000-0008-0000-1C00-00000E9DF500}"/>
              </a:ext>
            </a:extLst>
          </xdr:cNvPr>
          <xdr:cNvSpPr>
            <a:spLocks noChangeShapeType="1"/>
          </xdr:cNvSpPr>
        </xdr:nvSpPr>
        <xdr:spPr bwMode="auto">
          <a:xfrm>
            <a:off x="834" y="360"/>
            <a:ext cx="49"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27" name="Freeform 3786">
            <a:extLst>
              <a:ext uri="{FF2B5EF4-FFF2-40B4-BE49-F238E27FC236}">
                <a16:creationId xmlns:a16="http://schemas.microsoft.com/office/drawing/2014/main" id="{00000000-0008-0000-1C00-00000F9DF500}"/>
              </a:ext>
            </a:extLst>
          </xdr:cNvPr>
          <xdr:cNvSpPr>
            <a:spLocks/>
          </xdr:cNvSpPr>
        </xdr:nvSpPr>
        <xdr:spPr bwMode="auto">
          <a:xfrm rot="10800000" flipV="1">
            <a:off x="882" y="360"/>
            <a:ext cx="41" cy="12"/>
          </a:xfrm>
          <a:custGeom>
            <a:avLst/>
            <a:gdLst>
              <a:gd name="T0" fmla="*/ 0 w 40"/>
              <a:gd name="T1" fmla="*/ 2147483647 h 7"/>
              <a:gd name="T2" fmla="*/ 673 w 40"/>
              <a:gd name="T3" fmla="*/ 2147483647 h 7"/>
              <a:gd name="T4" fmla="*/ 1105 w 40"/>
              <a:gd name="T5" fmla="*/ 0 h 7"/>
              <a:gd name="T6" fmla="*/ 0 60000 65536"/>
              <a:gd name="T7" fmla="*/ 0 60000 65536"/>
              <a:gd name="T8" fmla="*/ 0 60000 65536"/>
              <a:gd name="T9" fmla="*/ 0 w 40"/>
              <a:gd name="T10" fmla="*/ 0 h 7"/>
              <a:gd name="T11" fmla="*/ 40 w 40"/>
              <a:gd name="T12" fmla="*/ 7 h 7"/>
            </a:gdLst>
            <a:ahLst/>
            <a:cxnLst>
              <a:cxn ang="T6">
                <a:pos x="T0" y="T1"/>
              </a:cxn>
              <a:cxn ang="T7">
                <a:pos x="T2" y="T3"/>
              </a:cxn>
              <a:cxn ang="T8">
                <a:pos x="T4" y="T5"/>
              </a:cxn>
            </a:cxnLst>
            <a:rect l="T9" t="T10" r="T11" b="T12"/>
            <a:pathLst>
              <a:path w="40" h="7">
                <a:moveTo>
                  <a:pt x="0" y="7"/>
                </a:moveTo>
                <a:lnTo>
                  <a:pt x="20" y="7"/>
                </a:lnTo>
                <a:lnTo>
                  <a:pt x="40" y="0"/>
                </a:lnTo>
              </a:path>
            </a:pathLst>
          </a:custGeom>
          <a:noFill/>
          <a:ln w="19050">
            <a:solidFill>
              <a:srgbClr val="000000"/>
            </a:solidFill>
            <a:round/>
            <a:headEnd/>
            <a:tailEnd type="triangle" w="med" len="lg"/>
          </a:ln>
          <a:extLst>
            <a:ext uri="{909E8E84-426E-40DD-AFC4-6F175D3DCCD1}">
              <a14:hiddenFill xmlns:a14="http://schemas.microsoft.com/office/drawing/2010/main">
                <a:solidFill>
                  <a:srgbClr val="FFFFFF"/>
                </a:solidFill>
              </a14:hiddenFill>
            </a:ext>
          </a:extLst>
        </xdr:spPr>
      </xdr:sp>
    </xdr:grpSp>
    <xdr:clientData fLocksWithSheet="0"/>
  </xdr:twoCellAnchor>
  <xdr:twoCellAnchor editAs="absolute">
    <xdr:from>
      <xdr:col>38</xdr:col>
      <xdr:colOff>136071</xdr:colOff>
      <xdr:row>72</xdr:row>
      <xdr:rowOff>40820</xdr:rowOff>
    </xdr:from>
    <xdr:to>
      <xdr:col>39</xdr:col>
      <xdr:colOff>136071</xdr:colOff>
      <xdr:row>73</xdr:row>
      <xdr:rowOff>40820</xdr:rowOff>
    </xdr:to>
    <xdr:sp macro="" textlink="" fLocksText="0">
      <xdr:nvSpPr>
        <xdr:cNvPr id="50" name="TextBox AA">
          <a:extLst>
            <a:ext uri="{FF2B5EF4-FFF2-40B4-BE49-F238E27FC236}">
              <a16:creationId xmlns:a16="http://schemas.microsoft.com/office/drawing/2014/main" id="{00000000-0008-0000-1C00-000032000000}"/>
            </a:ext>
          </a:extLst>
        </xdr:cNvPr>
        <xdr:cNvSpPr txBox="1">
          <a:spLocks noChangeArrowheads="1"/>
        </xdr:cNvSpPr>
      </xdr:nvSpPr>
      <xdr:spPr bwMode="auto">
        <a:xfrm>
          <a:off x="14913428" y="11838213"/>
          <a:ext cx="394607" cy="163286"/>
        </a:xfrm>
        <a:prstGeom prst="rect">
          <a:avLst/>
        </a:prstGeom>
        <a:solidFill>
          <a:srgbClr val="FFFFCC"/>
        </a:solidFill>
        <a:ln w="9525" algn="ctr">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0" i="0" strike="noStrike">
              <a:solidFill>
                <a:srgbClr val="000000"/>
              </a:solidFill>
              <a:latin typeface="Arial"/>
              <a:cs typeface="Arial"/>
            </a:rPr>
            <a:t>ID</a:t>
          </a:r>
        </a:p>
      </xdr:txBody>
    </xdr:sp>
    <xdr:clientData fLocksWithSheet="0"/>
  </xdr:twoCellAnchor>
  <xdr:twoCellAnchor editAs="absolute">
    <xdr:from>
      <xdr:col>37</xdr:col>
      <xdr:colOff>386443</xdr:colOff>
      <xdr:row>52</xdr:row>
      <xdr:rowOff>117022</xdr:rowOff>
    </xdr:from>
    <xdr:to>
      <xdr:col>39</xdr:col>
      <xdr:colOff>144236</xdr:colOff>
      <xdr:row>53</xdr:row>
      <xdr:rowOff>117021</xdr:rowOff>
    </xdr:to>
    <xdr:grpSp>
      <xdr:nvGrpSpPr>
        <xdr:cNvPr id="16096444" name="Group JJ">
          <a:extLst>
            <a:ext uri="{FF2B5EF4-FFF2-40B4-BE49-F238E27FC236}">
              <a16:creationId xmlns:a16="http://schemas.microsoft.com/office/drawing/2014/main" id="{00000000-0008-0000-1C00-0000BC9CF500}"/>
            </a:ext>
          </a:extLst>
        </xdr:cNvPr>
        <xdr:cNvGrpSpPr>
          <a:grpSpLocks/>
        </xdr:cNvGrpSpPr>
      </xdr:nvGrpSpPr>
      <xdr:grpSpPr bwMode="auto">
        <a:xfrm>
          <a:off x="16914586" y="8626022"/>
          <a:ext cx="664936" cy="163285"/>
          <a:chOff x="2496" y="379"/>
          <a:chExt cx="58" cy="17"/>
        </a:xfrm>
      </xdr:grpSpPr>
      <xdr:sp macro="" textlink="">
        <xdr:nvSpPr>
          <xdr:cNvPr id="16096524" name="Line 3789">
            <a:extLst>
              <a:ext uri="{FF2B5EF4-FFF2-40B4-BE49-F238E27FC236}">
                <a16:creationId xmlns:a16="http://schemas.microsoft.com/office/drawing/2014/main" id="{00000000-0008-0000-1C00-00000C9DF500}"/>
              </a:ext>
            </a:extLst>
          </xdr:cNvPr>
          <xdr:cNvSpPr>
            <a:spLocks noChangeShapeType="1"/>
          </xdr:cNvSpPr>
        </xdr:nvSpPr>
        <xdr:spPr bwMode="auto">
          <a:xfrm>
            <a:off x="2496" y="388"/>
            <a:ext cx="58"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pic>
        <xdr:nvPicPr>
          <xdr:cNvPr id="16096525" name="Picture 3790" descr="j0254501">
            <a:extLst>
              <a:ext uri="{FF2B5EF4-FFF2-40B4-BE49-F238E27FC236}">
                <a16:creationId xmlns:a16="http://schemas.microsoft.com/office/drawing/2014/main" id="{00000000-0008-0000-1C00-00000D9DF500}"/>
              </a:ext>
            </a:extLst>
          </xdr:cNvPr>
          <xdr:cNvPicPr preferRelativeResize="0">
            <a:picLocks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09" y="379"/>
            <a:ext cx="17"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fLocksWithSheet="0"/>
  </xdr:twoCellAnchor>
  <xdr:twoCellAnchor editAs="absolute">
    <xdr:from>
      <xdr:col>38</xdr:col>
      <xdr:colOff>29936</xdr:colOff>
      <xdr:row>29</xdr:row>
      <xdr:rowOff>117021</xdr:rowOff>
    </xdr:from>
    <xdr:to>
      <xdr:col>39</xdr:col>
      <xdr:colOff>220436</xdr:colOff>
      <xdr:row>30</xdr:row>
      <xdr:rowOff>117021</xdr:rowOff>
    </xdr:to>
    <xdr:grpSp>
      <xdr:nvGrpSpPr>
        <xdr:cNvPr id="16096445" name="Group AA">
          <a:extLst>
            <a:ext uri="{FF2B5EF4-FFF2-40B4-BE49-F238E27FC236}">
              <a16:creationId xmlns:a16="http://schemas.microsoft.com/office/drawing/2014/main" id="{00000000-0008-0000-1C00-0000BD9CF500}"/>
            </a:ext>
          </a:extLst>
        </xdr:cNvPr>
        <xdr:cNvGrpSpPr>
          <a:grpSpLocks/>
        </xdr:cNvGrpSpPr>
      </xdr:nvGrpSpPr>
      <xdr:grpSpPr bwMode="auto">
        <a:xfrm>
          <a:off x="17011650" y="4870450"/>
          <a:ext cx="644072" cy="163285"/>
          <a:chOff x="2149" y="111"/>
          <a:chExt cx="86" cy="13"/>
        </a:xfrm>
      </xdr:grpSpPr>
      <xdr:sp macro="" textlink="">
        <xdr:nvSpPr>
          <xdr:cNvPr id="16096521" name="Line 3792">
            <a:extLst>
              <a:ext uri="{FF2B5EF4-FFF2-40B4-BE49-F238E27FC236}">
                <a16:creationId xmlns:a16="http://schemas.microsoft.com/office/drawing/2014/main" id="{00000000-0008-0000-1C00-0000099DF500}"/>
              </a:ext>
            </a:extLst>
          </xdr:cNvPr>
          <xdr:cNvSpPr>
            <a:spLocks noChangeShapeType="1"/>
          </xdr:cNvSpPr>
        </xdr:nvSpPr>
        <xdr:spPr bwMode="auto">
          <a:xfrm>
            <a:off x="2149" y="118"/>
            <a:ext cx="43"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22" name="Line 3793">
            <a:extLst>
              <a:ext uri="{FF2B5EF4-FFF2-40B4-BE49-F238E27FC236}">
                <a16:creationId xmlns:a16="http://schemas.microsoft.com/office/drawing/2014/main" id="{00000000-0008-0000-1C00-00000A9DF500}"/>
              </a:ext>
            </a:extLst>
          </xdr:cNvPr>
          <xdr:cNvSpPr>
            <a:spLocks noChangeShapeType="1"/>
          </xdr:cNvSpPr>
        </xdr:nvSpPr>
        <xdr:spPr bwMode="auto">
          <a:xfrm>
            <a:off x="2192" y="118"/>
            <a:ext cx="43"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23" name="Line 3794">
            <a:extLst>
              <a:ext uri="{FF2B5EF4-FFF2-40B4-BE49-F238E27FC236}">
                <a16:creationId xmlns:a16="http://schemas.microsoft.com/office/drawing/2014/main" id="{00000000-0008-0000-1C00-00000B9DF500}"/>
              </a:ext>
            </a:extLst>
          </xdr:cNvPr>
          <xdr:cNvSpPr>
            <a:spLocks noChangeShapeType="1"/>
          </xdr:cNvSpPr>
        </xdr:nvSpPr>
        <xdr:spPr bwMode="auto">
          <a:xfrm>
            <a:off x="2191" y="111"/>
            <a:ext cx="0" cy="13"/>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absolute">
    <xdr:from>
      <xdr:col>38</xdr:col>
      <xdr:colOff>29936</xdr:colOff>
      <xdr:row>38</xdr:row>
      <xdr:rowOff>117022</xdr:rowOff>
    </xdr:from>
    <xdr:to>
      <xdr:col>39</xdr:col>
      <xdr:colOff>220436</xdr:colOff>
      <xdr:row>40</xdr:row>
      <xdr:rowOff>155121</xdr:rowOff>
    </xdr:to>
    <xdr:grpSp>
      <xdr:nvGrpSpPr>
        <xdr:cNvPr id="16096446" name="Group EE">
          <a:extLst>
            <a:ext uri="{FF2B5EF4-FFF2-40B4-BE49-F238E27FC236}">
              <a16:creationId xmlns:a16="http://schemas.microsoft.com/office/drawing/2014/main" id="{00000000-0008-0000-1C00-0000BE9CF500}"/>
            </a:ext>
          </a:extLst>
        </xdr:cNvPr>
        <xdr:cNvGrpSpPr>
          <a:grpSpLocks/>
        </xdr:cNvGrpSpPr>
      </xdr:nvGrpSpPr>
      <xdr:grpSpPr bwMode="auto">
        <a:xfrm>
          <a:off x="17011650" y="6340022"/>
          <a:ext cx="644072" cy="364670"/>
          <a:chOff x="2417" y="118"/>
          <a:chExt cx="68" cy="36"/>
        </a:xfrm>
      </xdr:grpSpPr>
      <xdr:pic>
        <xdr:nvPicPr>
          <xdr:cNvPr id="16096519" name="Picture 3796" descr="MCSL00643_0000[1]">
            <a:extLst>
              <a:ext uri="{FF2B5EF4-FFF2-40B4-BE49-F238E27FC236}">
                <a16:creationId xmlns:a16="http://schemas.microsoft.com/office/drawing/2014/main" id="{00000000-0008-0000-1C00-0000079DF500}"/>
              </a:ext>
            </a:extLst>
          </xdr:cNvPr>
          <xdr:cNvPicPr preferRelativeResize="0">
            <a:picLocks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flipH="1">
            <a:off x="2451" y="118"/>
            <a:ext cx="34" cy="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096520" name="Line 3797">
            <a:extLst>
              <a:ext uri="{FF2B5EF4-FFF2-40B4-BE49-F238E27FC236}">
                <a16:creationId xmlns:a16="http://schemas.microsoft.com/office/drawing/2014/main" id="{00000000-0008-0000-1C00-0000089DF500}"/>
              </a:ext>
            </a:extLst>
          </xdr:cNvPr>
          <xdr:cNvSpPr>
            <a:spLocks noChangeShapeType="1"/>
          </xdr:cNvSpPr>
        </xdr:nvSpPr>
        <xdr:spPr bwMode="auto">
          <a:xfrm>
            <a:off x="2417" y="139"/>
            <a:ext cx="36"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grpSp>
    <xdr:clientData fLocksWithSheet="0"/>
  </xdr:twoCellAnchor>
  <xdr:twoCellAnchor editAs="absolute">
    <xdr:from>
      <xdr:col>38</xdr:col>
      <xdr:colOff>29936</xdr:colOff>
      <xdr:row>31</xdr:row>
      <xdr:rowOff>117022</xdr:rowOff>
    </xdr:from>
    <xdr:to>
      <xdr:col>39</xdr:col>
      <xdr:colOff>182336</xdr:colOff>
      <xdr:row>32</xdr:row>
      <xdr:rowOff>117021</xdr:rowOff>
    </xdr:to>
    <xdr:grpSp>
      <xdr:nvGrpSpPr>
        <xdr:cNvPr id="16096447" name="GroupBB">
          <a:extLst>
            <a:ext uri="{FF2B5EF4-FFF2-40B4-BE49-F238E27FC236}">
              <a16:creationId xmlns:a16="http://schemas.microsoft.com/office/drawing/2014/main" id="{00000000-0008-0000-1C00-0000BF9CF500}"/>
            </a:ext>
          </a:extLst>
        </xdr:cNvPr>
        <xdr:cNvGrpSpPr>
          <a:grpSpLocks/>
        </xdr:cNvGrpSpPr>
      </xdr:nvGrpSpPr>
      <xdr:grpSpPr bwMode="auto">
        <a:xfrm>
          <a:off x="17011650" y="5197022"/>
          <a:ext cx="605972" cy="163285"/>
          <a:chOff x="2498" y="51"/>
          <a:chExt cx="55" cy="16"/>
        </a:xfrm>
      </xdr:grpSpPr>
      <xdr:sp macro="" textlink="">
        <xdr:nvSpPr>
          <xdr:cNvPr id="16096517" name="Freeform 3799">
            <a:extLst>
              <a:ext uri="{FF2B5EF4-FFF2-40B4-BE49-F238E27FC236}">
                <a16:creationId xmlns:a16="http://schemas.microsoft.com/office/drawing/2014/main" id="{00000000-0008-0000-1C00-0000059DF500}"/>
              </a:ext>
            </a:extLst>
          </xdr:cNvPr>
          <xdr:cNvSpPr>
            <a:spLocks/>
          </xdr:cNvSpPr>
        </xdr:nvSpPr>
        <xdr:spPr bwMode="auto">
          <a:xfrm>
            <a:off x="2542" y="51"/>
            <a:ext cx="11" cy="16"/>
          </a:xfrm>
          <a:custGeom>
            <a:avLst/>
            <a:gdLst>
              <a:gd name="T0" fmla="*/ 1 w 11"/>
              <a:gd name="T1" fmla="*/ 0 h 16"/>
              <a:gd name="T2" fmla="*/ 11 w 11"/>
              <a:gd name="T3" fmla="*/ 0 h 16"/>
              <a:gd name="T4" fmla="*/ 11 w 11"/>
              <a:gd name="T5" fmla="*/ 16 h 16"/>
              <a:gd name="T6" fmla="*/ 0 w 11"/>
              <a:gd name="T7" fmla="*/ 16 h 16"/>
              <a:gd name="T8" fmla="*/ 0 60000 65536"/>
              <a:gd name="T9" fmla="*/ 0 60000 65536"/>
              <a:gd name="T10" fmla="*/ 0 60000 65536"/>
              <a:gd name="T11" fmla="*/ 0 60000 65536"/>
              <a:gd name="T12" fmla="*/ 0 w 11"/>
              <a:gd name="T13" fmla="*/ 0 h 16"/>
              <a:gd name="T14" fmla="*/ 11 w 11"/>
              <a:gd name="T15" fmla="*/ 16 h 16"/>
            </a:gdLst>
            <a:ahLst/>
            <a:cxnLst>
              <a:cxn ang="T8">
                <a:pos x="T0" y="T1"/>
              </a:cxn>
              <a:cxn ang="T9">
                <a:pos x="T2" y="T3"/>
              </a:cxn>
              <a:cxn ang="T10">
                <a:pos x="T4" y="T5"/>
              </a:cxn>
              <a:cxn ang="T11">
                <a:pos x="T6" y="T7"/>
              </a:cxn>
            </a:cxnLst>
            <a:rect l="T12" t="T13" r="T14" b="T15"/>
            <a:pathLst>
              <a:path w="11" h="16">
                <a:moveTo>
                  <a:pt x="1" y="0"/>
                </a:moveTo>
                <a:lnTo>
                  <a:pt x="11" y="0"/>
                </a:lnTo>
                <a:lnTo>
                  <a:pt x="11" y="16"/>
                </a:lnTo>
                <a:lnTo>
                  <a:pt x="0" y="16"/>
                </a:lnTo>
              </a:path>
            </a:pathLst>
          </a:cu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096518" name="Freeform 3800">
            <a:extLst>
              <a:ext uri="{FF2B5EF4-FFF2-40B4-BE49-F238E27FC236}">
                <a16:creationId xmlns:a16="http://schemas.microsoft.com/office/drawing/2014/main" id="{00000000-0008-0000-1C00-0000069DF500}"/>
              </a:ext>
            </a:extLst>
          </xdr:cNvPr>
          <xdr:cNvSpPr>
            <a:spLocks/>
          </xdr:cNvSpPr>
        </xdr:nvSpPr>
        <xdr:spPr bwMode="auto">
          <a:xfrm>
            <a:off x="2498" y="57"/>
            <a:ext cx="55" cy="3"/>
          </a:xfrm>
          <a:custGeom>
            <a:avLst/>
            <a:gdLst>
              <a:gd name="T0" fmla="*/ 0 w 149"/>
              <a:gd name="T1" fmla="*/ 0 h 10"/>
              <a:gd name="T2" fmla="*/ 0 w 149"/>
              <a:gd name="T3" fmla="*/ 0 h 10"/>
              <a:gd name="T4" fmla="*/ 0 w 149"/>
              <a:gd name="T5" fmla="*/ 0 h 10"/>
              <a:gd name="T6" fmla="*/ 0 w 149"/>
              <a:gd name="T7" fmla="*/ 0 h 10"/>
              <a:gd name="T8" fmla="*/ 0 w 149"/>
              <a:gd name="T9" fmla="*/ 0 h 10"/>
              <a:gd name="T10" fmla="*/ 0 w 149"/>
              <a:gd name="T11" fmla="*/ 0 h 10"/>
              <a:gd name="T12" fmla="*/ 0 w 149"/>
              <a:gd name="T13" fmla="*/ 0 h 10"/>
              <a:gd name="T14" fmla="*/ 0 60000 65536"/>
              <a:gd name="T15" fmla="*/ 0 60000 65536"/>
              <a:gd name="T16" fmla="*/ 0 60000 65536"/>
              <a:gd name="T17" fmla="*/ 0 60000 65536"/>
              <a:gd name="T18" fmla="*/ 0 60000 65536"/>
              <a:gd name="T19" fmla="*/ 0 60000 65536"/>
              <a:gd name="T20" fmla="*/ 0 60000 65536"/>
              <a:gd name="T21" fmla="*/ 0 w 149"/>
              <a:gd name="T22" fmla="*/ 0 h 10"/>
              <a:gd name="T23" fmla="*/ 149 w 149"/>
              <a:gd name="T24" fmla="*/ 10 h 1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49" h="10">
                <a:moveTo>
                  <a:pt x="0" y="9"/>
                </a:moveTo>
                <a:cubicBezTo>
                  <a:pt x="8" y="4"/>
                  <a:pt x="16" y="0"/>
                  <a:pt x="24" y="0"/>
                </a:cubicBezTo>
                <a:cubicBezTo>
                  <a:pt x="32" y="0"/>
                  <a:pt x="39" y="9"/>
                  <a:pt x="49" y="9"/>
                </a:cubicBezTo>
                <a:cubicBezTo>
                  <a:pt x="59" y="9"/>
                  <a:pt x="74" y="0"/>
                  <a:pt x="85" y="0"/>
                </a:cubicBezTo>
                <a:cubicBezTo>
                  <a:pt x="96" y="0"/>
                  <a:pt x="107" y="8"/>
                  <a:pt x="115" y="9"/>
                </a:cubicBezTo>
                <a:cubicBezTo>
                  <a:pt x="123" y="10"/>
                  <a:pt x="130" y="5"/>
                  <a:pt x="136" y="4"/>
                </a:cubicBezTo>
                <a:cubicBezTo>
                  <a:pt x="142" y="3"/>
                  <a:pt x="145" y="4"/>
                  <a:pt x="149" y="5"/>
                </a:cubicBezTo>
              </a:path>
            </a:pathLst>
          </a:cu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fLocksWithSheet="0"/>
  </xdr:twoCellAnchor>
  <xdr:twoCellAnchor editAs="absolute">
    <xdr:from>
      <xdr:col>38</xdr:col>
      <xdr:colOff>29936</xdr:colOff>
      <xdr:row>58</xdr:row>
      <xdr:rowOff>40821</xdr:rowOff>
    </xdr:from>
    <xdr:to>
      <xdr:col>39</xdr:col>
      <xdr:colOff>220436</xdr:colOff>
      <xdr:row>59</xdr:row>
      <xdr:rowOff>1361</xdr:rowOff>
    </xdr:to>
    <xdr:grpSp>
      <xdr:nvGrpSpPr>
        <xdr:cNvPr id="16096448" name="Group LL">
          <a:extLst>
            <a:ext uri="{FF2B5EF4-FFF2-40B4-BE49-F238E27FC236}">
              <a16:creationId xmlns:a16="http://schemas.microsoft.com/office/drawing/2014/main" id="{00000000-0008-0000-1C00-0000C09CF500}"/>
            </a:ext>
          </a:extLst>
        </xdr:cNvPr>
        <xdr:cNvGrpSpPr>
          <a:grpSpLocks/>
        </xdr:cNvGrpSpPr>
      </xdr:nvGrpSpPr>
      <xdr:grpSpPr bwMode="auto">
        <a:xfrm>
          <a:off x="17011650" y="9529535"/>
          <a:ext cx="644072" cy="123826"/>
          <a:chOff x="1542" y="209"/>
          <a:chExt cx="66" cy="13"/>
        </a:xfrm>
      </xdr:grpSpPr>
      <xdr:sp macro="" textlink="">
        <xdr:nvSpPr>
          <xdr:cNvPr id="16096514" name="Rectangle 3802">
            <a:extLst>
              <a:ext uri="{FF2B5EF4-FFF2-40B4-BE49-F238E27FC236}">
                <a16:creationId xmlns:a16="http://schemas.microsoft.com/office/drawing/2014/main" id="{00000000-0008-0000-1C00-0000029DF500}"/>
              </a:ext>
            </a:extLst>
          </xdr:cNvPr>
          <xdr:cNvSpPr>
            <a:spLocks noChangeArrowheads="1"/>
          </xdr:cNvSpPr>
        </xdr:nvSpPr>
        <xdr:spPr bwMode="auto">
          <a:xfrm>
            <a:off x="1581" y="209"/>
            <a:ext cx="27" cy="13"/>
          </a:xfrm>
          <a:prstGeom prst="rect">
            <a:avLst/>
          </a:prstGeom>
          <a:noFill/>
          <a:ln w="19050" algn="ctr">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096515" name="Line 3803">
            <a:extLst>
              <a:ext uri="{FF2B5EF4-FFF2-40B4-BE49-F238E27FC236}">
                <a16:creationId xmlns:a16="http://schemas.microsoft.com/office/drawing/2014/main" id="{00000000-0008-0000-1C00-0000039DF500}"/>
              </a:ext>
            </a:extLst>
          </xdr:cNvPr>
          <xdr:cNvSpPr>
            <a:spLocks noChangeShapeType="1"/>
          </xdr:cNvSpPr>
        </xdr:nvSpPr>
        <xdr:spPr bwMode="auto">
          <a:xfrm>
            <a:off x="1582" y="210"/>
            <a:ext cx="26" cy="1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96516" name="Line 3804">
            <a:extLst>
              <a:ext uri="{FF2B5EF4-FFF2-40B4-BE49-F238E27FC236}">
                <a16:creationId xmlns:a16="http://schemas.microsoft.com/office/drawing/2014/main" id="{00000000-0008-0000-1C00-0000049DF500}"/>
              </a:ext>
            </a:extLst>
          </xdr:cNvPr>
          <xdr:cNvSpPr>
            <a:spLocks noChangeShapeType="1"/>
          </xdr:cNvSpPr>
        </xdr:nvSpPr>
        <xdr:spPr bwMode="auto">
          <a:xfrm>
            <a:off x="1542" y="215"/>
            <a:ext cx="37"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grpSp>
    <xdr:clientData fLocksWithSheet="0"/>
  </xdr:twoCellAnchor>
  <xdr:twoCellAnchor editAs="absolute">
    <xdr:from>
      <xdr:col>38</xdr:col>
      <xdr:colOff>68036</xdr:colOff>
      <xdr:row>36</xdr:row>
      <xdr:rowOff>40821</xdr:rowOff>
    </xdr:from>
    <xdr:to>
      <xdr:col>39</xdr:col>
      <xdr:colOff>68036</xdr:colOff>
      <xdr:row>36</xdr:row>
      <xdr:rowOff>126546</xdr:rowOff>
    </xdr:to>
    <xdr:grpSp>
      <xdr:nvGrpSpPr>
        <xdr:cNvPr id="16096449" name="Group DD">
          <a:extLst>
            <a:ext uri="{FF2B5EF4-FFF2-40B4-BE49-F238E27FC236}">
              <a16:creationId xmlns:a16="http://schemas.microsoft.com/office/drawing/2014/main" id="{00000000-0008-0000-1C00-0000C19CF500}"/>
            </a:ext>
          </a:extLst>
        </xdr:cNvPr>
        <xdr:cNvGrpSpPr>
          <a:grpSpLocks/>
        </xdr:cNvGrpSpPr>
      </xdr:nvGrpSpPr>
      <xdr:grpSpPr bwMode="auto">
        <a:xfrm>
          <a:off x="17049750" y="5937250"/>
          <a:ext cx="453572" cy="85725"/>
          <a:chOff x="2503" y="134"/>
          <a:chExt cx="43" cy="7"/>
        </a:xfrm>
      </xdr:grpSpPr>
      <xdr:sp macro="" textlink="">
        <xdr:nvSpPr>
          <xdr:cNvPr id="16096512" name="Line 3806">
            <a:extLst>
              <a:ext uri="{FF2B5EF4-FFF2-40B4-BE49-F238E27FC236}">
                <a16:creationId xmlns:a16="http://schemas.microsoft.com/office/drawing/2014/main" id="{00000000-0008-0000-1C00-0000009DF500}"/>
              </a:ext>
            </a:extLst>
          </xdr:cNvPr>
          <xdr:cNvSpPr>
            <a:spLocks noChangeShapeType="1"/>
          </xdr:cNvSpPr>
        </xdr:nvSpPr>
        <xdr:spPr bwMode="auto">
          <a:xfrm>
            <a:off x="2503" y="134"/>
            <a:ext cx="43"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13" name="Line 3807">
            <a:extLst>
              <a:ext uri="{FF2B5EF4-FFF2-40B4-BE49-F238E27FC236}">
                <a16:creationId xmlns:a16="http://schemas.microsoft.com/office/drawing/2014/main" id="{00000000-0008-0000-1C00-0000019DF500}"/>
              </a:ext>
            </a:extLst>
          </xdr:cNvPr>
          <xdr:cNvSpPr>
            <a:spLocks noChangeShapeType="1"/>
          </xdr:cNvSpPr>
        </xdr:nvSpPr>
        <xdr:spPr bwMode="auto">
          <a:xfrm rot="-6600000">
            <a:off x="2520" y="124"/>
            <a:ext cx="0" cy="33"/>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grpSp>
    <xdr:clientData fLocksWithSheet="0"/>
  </xdr:twoCellAnchor>
  <xdr:twoCellAnchor editAs="absolute">
    <xdr:from>
      <xdr:col>38</xdr:col>
      <xdr:colOff>29936</xdr:colOff>
      <xdr:row>44</xdr:row>
      <xdr:rowOff>117021</xdr:rowOff>
    </xdr:from>
    <xdr:to>
      <xdr:col>39</xdr:col>
      <xdr:colOff>220436</xdr:colOff>
      <xdr:row>45</xdr:row>
      <xdr:rowOff>69397</xdr:rowOff>
    </xdr:to>
    <xdr:grpSp>
      <xdr:nvGrpSpPr>
        <xdr:cNvPr id="16096450" name="Group GG">
          <a:extLst>
            <a:ext uri="{FF2B5EF4-FFF2-40B4-BE49-F238E27FC236}">
              <a16:creationId xmlns:a16="http://schemas.microsoft.com/office/drawing/2014/main" id="{00000000-0008-0000-1C00-0000C29CF500}"/>
            </a:ext>
          </a:extLst>
        </xdr:cNvPr>
        <xdr:cNvGrpSpPr>
          <a:grpSpLocks/>
        </xdr:cNvGrpSpPr>
      </xdr:nvGrpSpPr>
      <xdr:grpSpPr bwMode="auto">
        <a:xfrm>
          <a:off x="17011650" y="7319735"/>
          <a:ext cx="644072" cy="115662"/>
          <a:chOff x="2499" y="273"/>
          <a:chExt cx="78" cy="13"/>
        </a:xfrm>
      </xdr:grpSpPr>
      <xdr:sp macro="" textlink="">
        <xdr:nvSpPr>
          <xdr:cNvPr id="16096509" name="Line 3809">
            <a:extLst>
              <a:ext uri="{FF2B5EF4-FFF2-40B4-BE49-F238E27FC236}">
                <a16:creationId xmlns:a16="http://schemas.microsoft.com/office/drawing/2014/main" id="{00000000-0008-0000-1C00-0000FD9CF500}"/>
              </a:ext>
            </a:extLst>
          </xdr:cNvPr>
          <xdr:cNvSpPr>
            <a:spLocks noChangeShapeType="1"/>
          </xdr:cNvSpPr>
        </xdr:nvSpPr>
        <xdr:spPr bwMode="auto">
          <a:xfrm>
            <a:off x="2499" y="280"/>
            <a:ext cx="38"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10" name="Line 3810">
            <a:extLst>
              <a:ext uri="{FF2B5EF4-FFF2-40B4-BE49-F238E27FC236}">
                <a16:creationId xmlns:a16="http://schemas.microsoft.com/office/drawing/2014/main" id="{00000000-0008-0000-1C00-0000FE9CF500}"/>
              </a:ext>
            </a:extLst>
          </xdr:cNvPr>
          <xdr:cNvSpPr>
            <a:spLocks noChangeShapeType="1"/>
          </xdr:cNvSpPr>
        </xdr:nvSpPr>
        <xdr:spPr bwMode="auto">
          <a:xfrm rot="10800000">
            <a:off x="2539" y="280"/>
            <a:ext cx="38"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11" name="Line 3811">
            <a:extLst>
              <a:ext uri="{FF2B5EF4-FFF2-40B4-BE49-F238E27FC236}">
                <a16:creationId xmlns:a16="http://schemas.microsoft.com/office/drawing/2014/main" id="{00000000-0008-0000-1C00-0000FF9CF500}"/>
              </a:ext>
            </a:extLst>
          </xdr:cNvPr>
          <xdr:cNvSpPr>
            <a:spLocks noChangeShapeType="1"/>
          </xdr:cNvSpPr>
        </xdr:nvSpPr>
        <xdr:spPr bwMode="auto">
          <a:xfrm>
            <a:off x="2538" y="273"/>
            <a:ext cx="0" cy="13"/>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absolute">
    <xdr:from>
      <xdr:col>37</xdr:col>
      <xdr:colOff>386443</xdr:colOff>
      <xdr:row>49</xdr:row>
      <xdr:rowOff>117022</xdr:rowOff>
    </xdr:from>
    <xdr:to>
      <xdr:col>39</xdr:col>
      <xdr:colOff>182336</xdr:colOff>
      <xdr:row>50</xdr:row>
      <xdr:rowOff>69396</xdr:rowOff>
    </xdr:to>
    <xdr:grpSp>
      <xdr:nvGrpSpPr>
        <xdr:cNvPr id="16096451" name="Group II">
          <a:extLst>
            <a:ext uri="{FF2B5EF4-FFF2-40B4-BE49-F238E27FC236}">
              <a16:creationId xmlns:a16="http://schemas.microsoft.com/office/drawing/2014/main" id="{00000000-0008-0000-1C00-0000C39CF500}"/>
            </a:ext>
          </a:extLst>
        </xdr:cNvPr>
        <xdr:cNvGrpSpPr>
          <a:grpSpLocks/>
        </xdr:cNvGrpSpPr>
      </xdr:nvGrpSpPr>
      <xdr:grpSpPr bwMode="auto">
        <a:xfrm>
          <a:off x="16914586" y="8136165"/>
          <a:ext cx="703036" cy="115660"/>
          <a:chOff x="2736" y="359"/>
          <a:chExt cx="69" cy="13"/>
        </a:xfrm>
      </xdr:grpSpPr>
      <xdr:sp macro="" textlink="">
        <xdr:nvSpPr>
          <xdr:cNvPr id="16096505" name="Line 3813">
            <a:extLst>
              <a:ext uri="{FF2B5EF4-FFF2-40B4-BE49-F238E27FC236}">
                <a16:creationId xmlns:a16="http://schemas.microsoft.com/office/drawing/2014/main" id="{00000000-0008-0000-1C00-0000F99CF500}"/>
              </a:ext>
            </a:extLst>
          </xdr:cNvPr>
          <xdr:cNvSpPr>
            <a:spLocks noChangeShapeType="1"/>
          </xdr:cNvSpPr>
        </xdr:nvSpPr>
        <xdr:spPr bwMode="auto">
          <a:xfrm>
            <a:off x="2767" y="365"/>
            <a:ext cx="38"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06" name="Line 3814">
            <a:extLst>
              <a:ext uri="{FF2B5EF4-FFF2-40B4-BE49-F238E27FC236}">
                <a16:creationId xmlns:a16="http://schemas.microsoft.com/office/drawing/2014/main" id="{00000000-0008-0000-1C00-0000FA9CF500}"/>
              </a:ext>
            </a:extLst>
          </xdr:cNvPr>
          <xdr:cNvSpPr>
            <a:spLocks noChangeShapeType="1"/>
          </xdr:cNvSpPr>
        </xdr:nvSpPr>
        <xdr:spPr bwMode="auto">
          <a:xfrm rot="10800000">
            <a:off x="2736" y="365"/>
            <a:ext cx="38"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sp macro="" textlink="">
        <xdr:nvSpPr>
          <xdr:cNvPr id="16096507" name="Line 3815">
            <a:extLst>
              <a:ext uri="{FF2B5EF4-FFF2-40B4-BE49-F238E27FC236}">
                <a16:creationId xmlns:a16="http://schemas.microsoft.com/office/drawing/2014/main" id="{00000000-0008-0000-1C00-0000FB9CF500}"/>
              </a:ext>
            </a:extLst>
          </xdr:cNvPr>
          <xdr:cNvSpPr>
            <a:spLocks noChangeShapeType="1"/>
          </xdr:cNvSpPr>
        </xdr:nvSpPr>
        <xdr:spPr bwMode="auto">
          <a:xfrm>
            <a:off x="2767" y="359"/>
            <a:ext cx="0" cy="13"/>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96508" name="Line 3816">
            <a:extLst>
              <a:ext uri="{FF2B5EF4-FFF2-40B4-BE49-F238E27FC236}">
                <a16:creationId xmlns:a16="http://schemas.microsoft.com/office/drawing/2014/main" id="{00000000-0008-0000-1C00-0000FC9CF500}"/>
              </a:ext>
            </a:extLst>
          </xdr:cNvPr>
          <xdr:cNvSpPr>
            <a:spLocks noChangeShapeType="1"/>
          </xdr:cNvSpPr>
        </xdr:nvSpPr>
        <xdr:spPr bwMode="auto">
          <a:xfrm rot="10800000">
            <a:off x="2747" y="365"/>
            <a:ext cx="38" cy="0"/>
          </a:xfrm>
          <a:prstGeom prst="line">
            <a:avLst/>
          </a:prstGeom>
          <a:noFill/>
          <a:ln w="19050">
            <a:solidFill>
              <a:srgbClr val="000000"/>
            </a:solidFill>
            <a:round/>
            <a:headEnd/>
            <a:tailEnd type="triangle" w="med" len="lg"/>
          </a:ln>
          <a:extLst>
            <a:ext uri="{909E8E84-426E-40DD-AFC4-6F175D3DCCD1}">
              <a14:hiddenFill xmlns:a14="http://schemas.microsoft.com/office/drawing/2010/main">
                <a:noFill/>
              </a14:hiddenFill>
            </a:ext>
          </a:extLst>
        </xdr:spPr>
      </xdr:sp>
    </xdr:grpSp>
    <xdr:clientData fLocksWithSheet="0"/>
  </xdr:twoCellAnchor>
  <xdr:twoCellAnchor editAs="oneCell">
    <xdr:from>
      <xdr:col>9</xdr:col>
      <xdr:colOff>228600</xdr:colOff>
      <xdr:row>44</xdr:row>
      <xdr:rowOff>38100</xdr:rowOff>
    </xdr:from>
    <xdr:to>
      <xdr:col>10</xdr:col>
      <xdr:colOff>190500</xdr:colOff>
      <xdr:row>46</xdr:row>
      <xdr:rowOff>76200</xdr:rowOff>
    </xdr:to>
    <xdr:pic>
      <xdr:nvPicPr>
        <xdr:cNvPr id="16096452" name="Picture 12561" descr="MMj01892420000[1]">
          <a:extLst>
            <a:ext uri="{FF2B5EF4-FFF2-40B4-BE49-F238E27FC236}">
              <a16:creationId xmlns:a16="http://schemas.microsoft.com/office/drawing/2014/main" id="{00000000-0008-0000-1C00-0000C49CF5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00450" y="71723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25</xdr:col>
      <xdr:colOff>304800</xdr:colOff>
      <xdr:row>13</xdr:row>
      <xdr:rowOff>76200</xdr:rowOff>
    </xdr:from>
    <xdr:to>
      <xdr:col>26</xdr:col>
      <xdr:colOff>266700</xdr:colOff>
      <xdr:row>16</xdr:row>
      <xdr:rowOff>0</xdr:rowOff>
    </xdr:to>
    <xdr:pic>
      <xdr:nvPicPr>
        <xdr:cNvPr id="16096453" name="Picture 12562" descr="MMj01892420000[1]">
          <a:extLst>
            <a:ext uri="{FF2B5EF4-FFF2-40B4-BE49-F238E27FC236}">
              <a16:creationId xmlns:a16="http://schemas.microsoft.com/office/drawing/2014/main" id="{00000000-0008-0000-1C00-0000C59CF5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0800000">
          <a:off x="10077450" y="2190750"/>
          <a:ext cx="361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absolute">
    <xdr:from>
      <xdr:col>38</xdr:col>
      <xdr:colOff>9525</xdr:colOff>
      <xdr:row>79</xdr:row>
      <xdr:rowOff>57150</xdr:rowOff>
    </xdr:from>
    <xdr:to>
      <xdr:col>56</xdr:col>
      <xdr:colOff>0</xdr:colOff>
      <xdr:row>91</xdr:row>
      <xdr:rowOff>156482</xdr:rowOff>
    </xdr:to>
    <xdr:sp macro="" textlink="" fLocksText="0">
      <xdr:nvSpPr>
        <xdr:cNvPr id="82" name="Text Box 15725">
          <a:extLst>
            <a:ext uri="{FF2B5EF4-FFF2-40B4-BE49-F238E27FC236}">
              <a16:creationId xmlns:a16="http://schemas.microsoft.com/office/drawing/2014/main" id="{00000000-0008-0000-1C00-000052000000}"/>
            </a:ext>
          </a:extLst>
        </xdr:cNvPr>
        <xdr:cNvSpPr txBox="1">
          <a:spLocks noChangeArrowheads="1"/>
        </xdr:cNvSpPr>
      </xdr:nvSpPr>
      <xdr:spPr bwMode="auto">
        <a:xfrm>
          <a:off x="23174325" y="12849225"/>
          <a:ext cx="10963275" cy="2352675"/>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36576" tIns="27432" rIns="0" bIns="0" anchor="t" upright="1"/>
        <a:lstStyle/>
        <a:p>
          <a:pPr algn="l" rtl="0">
            <a:defRPr sz="1000"/>
          </a:pPr>
          <a:r>
            <a:rPr lang="en-US" sz="1300" b="1" i="0" u="sng" strike="noStrike">
              <a:solidFill>
                <a:srgbClr val="000000"/>
              </a:solidFill>
              <a:latin typeface="Arial"/>
              <a:cs typeface="Arial"/>
            </a:rPr>
            <a:t>Keyboard Shortcuts:</a:t>
          </a:r>
          <a:endParaRPr lang="en-US" sz="1200" b="1" i="0" strike="noStrike">
            <a:solidFill>
              <a:srgbClr val="000000"/>
            </a:solidFill>
            <a:latin typeface="Arial"/>
            <a:cs typeface="Arial"/>
          </a:endParaRPr>
        </a:p>
        <a:p>
          <a:pPr algn="l" rtl="0">
            <a:defRPr sz="1000"/>
          </a:pPr>
          <a:endParaRPr lang="en-US" sz="1200" b="1" i="0" strike="noStrike">
            <a:solidFill>
              <a:srgbClr val="000000"/>
            </a:solidFill>
            <a:latin typeface="Arial"/>
            <a:cs typeface="Arial"/>
          </a:endParaRPr>
        </a:p>
        <a:p>
          <a:pPr algn="l" rtl="0">
            <a:defRPr sz="1000"/>
          </a:pPr>
          <a:r>
            <a:rPr lang="en-US" sz="1200" b="1" i="0" strike="noStrike">
              <a:solidFill>
                <a:srgbClr val="000000"/>
              </a:solidFill>
              <a:latin typeface="Arial"/>
              <a:cs typeface="Arial"/>
            </a:rPr>
            <a:t>Press "Ctrl" + " t"  to access the Collision Diagramming Toolbar</a:t>
          </a:r>
        </a:p>
        <a:p>
          <a:pPr algn="l" rtl="0">
            <a:defRPr sz="1000"/>
          </a:pPr>
          <a:r>
            <a:rPr lang="en-US" sz="1200" b="1" i="0" strike="noStrike">
              <a:solidFill>
                <a:srgbClr val="000000"/>
              </a:solidFill>
              <a:latin typeface="Arial"/>
              <a:cs typeface="Arial"/>
            </a:rPr>
            <a:t>Press "Ctrl" + " m" to move the aerial picture to the background (other objects on top)</a:t>
          </a:r>
        </a:p>
        <a:p>
          <a:pPr algn="l" rtl="0">
            <a:defRPr sz="1000"/>
          </a:pPr>
          <a:r>
            <a:rPr lang="en-US" sz="1200" b="1" i="0" strike="noStrike">
              <a:solidFill>
                <a:srgbClr val="000000"/>
              </a:solidFill>
              <a:latin typeface="Arial"/>
              <a:cs typeface="Arial"/>
            </a:rPr>
            <a:t>Press "Ctrl" + " e" to protect the sheet (makes picture unselectable)</a:t>
          </a:r>
        </a:p>
        <a:p>
          <a:pPr algn="l" rtl="0">
            <a:defRPr sz="1000"/>
          </a:pPr>
          <a:r>
            <a:rPr lang="en-US" sz="1200" b="1" i="0" strike="noStrike">
              <a:solidFill>
                <a:srgbClr val="000000"/>
              </a:solidFill>
              <a:latin typeface="Arial"/>
              <a:cs typeface="Arial"/>
            </a:rPr>
            <a:t>Press "Ctrl" + " u" to unprotect the sheet and allow objects to be edited/ copied/ pasted</a:t>
          </a:r>
        </a:p>
        <a:p>
          <a:pPr algn="l" rtl="0">
            <a:defRPr sz="1000"/>
          </a:pPr>
          <a:r>
            <a:rPr lang="en-US" sz="1200" b="1" i="0" strike="noStrike">
              <a:solidFill>
                <a:srgbClr val="000000"/>
              </a:solidFill>
              <a:latin typeface="Arial"/>
              <a:cs typeface="Arial"/>
            </a:rPr>
            <a:t>Press "Ctrl" + " l" to lock an object if it is unlocked or unlock if locked</a:t>
          </a:r>
        </a:p>
        <a:p>
          <a:pPr algn="l" rtl="0">
            <a:defRPr sz="1000"/>
          </a:pPr>
          <a:r>
            <a:rPr lang="en-US" sz="1200" b="1" i="0" strike="noStrike">
              <a:solidFill>
                <a:srgbClr val="000000"/>
              </a:solidFill>
              <a:latin typeface="Arial"/>
              <a:cs typeface="Arial"/>
            </a:rPr>
            <a:t>Press "Ctrl" + " d" to separate crash symbols from labels and allow rotating or repositioning</a:t>
          </a:r>
        </a:p>
        <a:p>
          <a:pPr algn="l" rtl="0">
            <a:defRPr sz="1000"/>
          </a:pPr>
          <a:r>
            <a:rPr lang="en-US" sz="1200" b="1" i="0" strike="noStrike">
              <a:solidFill>
                <a:srgbClr val="000000"/>
              </a:solidFill>
              <a:latin typeface="Arial" pitchFamily="34" charset="0"/>
              <a:cs typeface="Arial" pitchFamily="34" charset="0"/>
            </a:rPr>
            <a:t>Press "Ctrl" + " g" to regroup crash symbols and labels (regroups objects one at a time)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a:latin typeface="Arial" pitchFamily="34" charset="0"/>
              <a:ea typeface="+mn-ea"/>
              <a:cs typeface="Arial" pitchFamily="34" charset="0"/>
            </a:rPr>
            <a:t>Press "Ctrl" + " r" to rotate objects 15 degrees at a time</a:t>
          </a:r>
          <a:endParaRPr lang="en-US" sz="1200">
            <a:latin typeface="Arial" pitchFamily="34" charset="0"/>
            <a:cs typeface="Arial" pitchFamily="34" charset="0"/>
          </a:endParaRPr>
        </a:p>
        <a:p>
          <a:pPr algn="l" rtl="0">
            <a:defRPr sz="1000"/>
          </a:pPr>
          <a:endParaRPr lang="en-US" sz="1200" b="1" i="0" strike="noStrike">
            <a:solidFill>
              <a:srgbClr val="000000"/>
            </a:solidFill>
            <a:latin typeface="Arial"/>
            <a:cs typeface="Arial"/>
          </a:endParaRPr>
        </a:p>
      </xdr:txBody>
    </xdr:sp>
    <xdr:clientData fLocksWithSheet="0" fPrintsWithSheet="0"/>
  </xdr:twoCellAnchor>
  <xdr:twoCellAnchor editAs="oneCell">
    <xdr:from>
      <xdr:col>11</xdr:col>
      <xdr:colOff>152400</xdr:colOff>
      <xdr:row>47</xdr:row>
      <xdr:rowOff>38100</xdr:rowOff>
    </xdr:from>
    <xdr:to>
      <xdr:col>11</xdr:col>
      <xdr:colOff>152400</xdr:colOff>
      <xdr:row>62</xdr:row>
      <xdr:rowOff>0</xdr:rowOff>
    </xdr:to>
    <xdr:sp macro="" textlink="">
      <xdr:nvSpPr>
        <xdr:cNvPr id="16096455" name="Line 22684">
          <a:extLst>
            <a:ext uri="{FF2B5EF4-FFF2-40B4-BE49-F238E27FC236}">
              <a16:creationId xmlns:a16="http://schemas.microsoft.com/office/drawing/2014/main" id="{00000000-0008-0000-1C00-0000C79CF500}"/>
            </a:ext>
          </a:extLst>
        </xdr:cNvPr>
        <xdr:cNvSpPr>
          <a:spLocks noChangeShapeType="1"/>
        </xdr:cNvSpPr>
      </xdr:nvSpPr>
      <xdr:spPr bwMode="auto">
        <a:xfrm>
          <a:off x="4324350" y="7658100"/>
          <a:ext cx="0" cy="240030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editAs="oneCell">
    <xdr:from>
      <xdr:col>0</xdr:col>
      <xdr:colOff>0</xdr:colOff>
      <xdr:row>43</xdr:row>
      <xdr:rowOff>38100</xdr:rowOff>
    </xdr:from>
    <xdr:to>
      <xdr:col>9</xdr:col>
      <xdr:colOff>295275</xdr:colOff>
      <xdr:row>43</xdr:row>
      <xdr:rowOff>38100</xdr:rowOff>
    </xdr:to>
    <xdr:sp macro="" textlink="">
      <xdr:nvSpPr>
        <xdr:cNvPr id="16096456" name="Line 22686">
          <a:extLst>
            <a:ext uri="{FF2B5EF4-FFF2-40B4-BE49-F238E27FC236}">
              <a16:creationId xmlns:a16="http://schemas.microsoft.com/office/drawing/2014/main" id="{00000000-0008-0000-1C00-0000C89CF500}"/>
            </a:ext>
          </a:extLst>
        </xdr:cNvPr>
        <xdr:cNvSpPr>
          <a:spLocks noChangeShapeType="1"/>
        </xdr:cNvSpPr>
      </xdr:nvSpPr>
      <xdr:spPr bwMode="auto">
        <a:xfrm>
          <a:off x="0" y="7010400"/>
          <a:ext cx="366712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editAs="oneCell">
    <xdr:from>
      <xdr:col>25</xdr:col>
      <xdr:colOff>38100</xdr:colOff>
      <xdr:row>47</xdr:row>
      <xdr:rowOff>28575</xdr:rowOff>
    </xdr:from>
    <xdr:to>
      <xdr:col>25</xdr:col>
      <xdr:colOff>38100</xdr:colOff>
      <xdr:row>62</xdr:row>
      <xdr:rowOff>9525</xdr:rowOff>
    </xdr:to>
    <xdr:sp macro="" textlink="">
      <xdr:nvSpPr>
        <xdr:cNvPr id="16096457" name="Line 22694">
          <a:extLst>
            <a:ext uri="{FF2B5EF4-FFF2-40B4-BE49-F238E27FC236}">
              <a16:creationId xmlns:a16="http://schemas.microsoft.com/office/drawing/2014/main" id="{00000000-0008-0000-1C00-0000C99CF500}"/>
            </a:ext>
          </a:extLst>
        </xdr:cNvPr>
        <xdr:cNvSpPr>
          <a:spLocks noChangeShapeType="1"/>
        </xdr:cNvSpPr>
      </xdr:nvSpPr>
      <xdr:spPr bwMode="auto">
        <a:xfrm>
          <a:off x="9810750" y="7648575"/>
          <a:ext cx="0" cy="241935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9</xdr:col>
      <xdr:colOff>38100</xdr:colOff>
      <xdr:row>13</xdr:row>
      <xdr:rowOff>114300</xdr:rowOff>
    </xdr:from>
    <xdr:to>
      <xdr:col>10</xdr:col>
      <xdr:colOff>381000</xdr:colOff>
      <xdr:row>18</xdr:row>
      <xdr:rowOff>0</xdr:rowOff>
    </xdr:to>
    <xdr:sp macro="" textlink="">
      <xdr:nvSpPr>
        <xdr:cNvPr id="16096458" name="Arc 2">
          <a:extLst>
            <a:ext uri="{FF2B5EF4-FFF2-40B4-BE49-F238E27FC236}">
              <a16:creationId xmlns:a16="http://schemas.microsoft.com/office/drawing/2014/main" id="{00000000-0008-0000-1C00-0000CA9CF500}"/>
            </a:ext>
          </a:extLst>
        </xdr:cNvPr>
        <xdr:cNvSpPr>
          <a:spLocks/>
        </xdr:cNvSpPr>
      </xdr:nvSpPr>
      <xdr:spPr bwMode="auto">
        <a:xfrm rot="5400000">
          <a:off x="3433762" y="2205038"/>
          <a:ext cx="695325" cy="742950"/>
        </a:xfrm>
        <a:custGeom>
          <a:avLst/>
          <a:gdLst>
            <a:gd name="T0" fmla="*/ 0 w 21600"/>
            <a:gd name="T1" fmla="*/ 0 h 21600"/>
            <a:gd name="T2" fmla="*/ 2147483647 w 21600"/>
            <a:gd name="T3" fmla="*/ 2147483647 h 21600"/>
            <a:gd name="T4" fmla="*/ 0 w 21600"/>
            <a:gd name="T5" fmla="*/ 2147483647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24</xdr:col>
      <xdr:colOff>228600</xdr:colOff>
      <xdr:row>13</xdr:row>
      <xdr:rowOff>114300</xdr:rowOff>
    </xdr:from>
    <xdr:to>
      <xdr:col>26</xdr:col>
      <xdr:colOff>152400</xdr:colOff>
      <xdr:row>18</xdr:row>
      <xdr:rowOff>0</xdr:rowOff>
    </xdr:to>
    <xdr:sp macro="" textlink="">
      <xdr:nvSpPr>
        <xdr:cNvPr id="16096459" name="Arc 4">
          <a:extLst>
            <a:ext uri="{FF2B5EF4-FFF2-40B4-BE49-F238E27FC236}">
              <a16:creationId xmlns:a16="http://schemas.microsoft.com/office/drawing/2014/main" id="{00000000-0008-0000-1C00-0000CB9CF500}"/>
            </a:ext>
          </a:extLst>
        </xdr:cNvPr>
        <xdr:cNvSpPr>
          <a:spLocks/>
        </xdr:cNvSpPr>
      </xdr:nvSpPr>
      <xdr:spPr bwMode="auto">
        <a:xfrm rot="10800000">
          <a:off x="9601200" y="2228850"/>
          <a:ext cx="723900" cy="695325"/>
        </a:xfrm>
        <a:custGeom>
          <a:avLst/>
          <a:gdLst>
            <a:gd name="T0" fmla="*/ 0 w 22121"/>
            <a:gd name="T1" fmla="*/ 2147483647 h 21600"/>
            <a:gd name="T2" fmla="*/ 2147483647 w 22121"/>
            <a:gd name="T3" fmla="*/ 2147483647 h 21600"/>
            <a:gd name="T4" fmla="*/ 2147483647 w 22121"/>
            <a:gd name="T5" fmla="*/ 2147483647 h 21600"/>
            <a:gd name="T6" fmla="*/ 0 60000 65536"/>
            <a:gd name="T7" fmla="*/ 0 60000 65536"/>
            <a:gd name="T8" fmla="*/ 0 60000 65536"/>
            <a:gd name="T9" fmla="*/ 0 w 22121"/>
            <a:gd name="T10" fmla="*/ 0 h 21600"/>
            <a:gd name="T11" fmla="*/ 22121 w 22121"/>
            <a:gd name="T12" fmla="*/ 21600 h 21600"/>
          </a:gdLst>
          <a:ahLst/>
          <a:cxnLst>
            <a:cxn ang="T6">
              <a:pos x="T0" y="T1"/>
            </a:cxn>
            <a:cxn ang="T7">
              <a:pos x="T2" y="T3"/>
            </a:cxn>
            <a:cxn ang="T8">
              <a:pos x="T4" y="T5"/>
            </a:cxn>
          </a:cxnLst>
          <a:rect l="T9" t="T10" r="T11" b="T12"/>
          <a:pathLst>
            <a:path w="22121" h="21600" fill="none" extrusionOk="0">
              <a:moveTo>
                <a:pt x="0" y="7"/>
              </a:moveTo>
              <a:cubicBezTo>
                <a:pt x="189" y="2"/>
                <a:pt x="379" y="-1"/>
                <a:pt x="569" y="0"/>
              </a:cubicBezTo>
              <a:cubicBezTo>
                <a:pt x="11940" y="0"/>
                <a:pt x="21364" y="8816"/>
                <a:pt x="22121" y="20161"/>
              </a:cubicBezTo>
            </a:path>
            <a:path w="22121" h="21600" stroke="0" extrusionOk="0">
              <a:moveTo>
                <a:pt x="0" y="7"/>
              </a:moveTo>
              <a:cubicBezTo>
                <a:pt x="189" y="2"/>
                <a:pt x="379" y="-1"/>
                <a:pt x="569" y="0"/>
              </a:cubicBezTo>
              <a:cubicBezTo>
                <a:pt x="11940" y="0"/>
                <a:pt x="21364" y="8816"/>
                <a:pt x="22121" y="20161"/>
              </a:cubicBezTo>
              <a:lnTo>
                <a:pt x="569" y="21600"/>
              </a:lnTo>
              <a:lnTo>
                <a:pt x="0" y="7"/>
              </a:lnTo>
              <a:close/>
            </a:path>
          </a:pathLst>
        </a:cu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10</xdr:col>
      <xdr:colOff>381000</xdr:colOff>
      <xdr:row>0</xdr:row>
      <xdr:rowOff>0</xdr:rowOff>
    </xdr:from>
    <xdr:to>
      <xdr:col>10</xdr:col>
      <xdr:colOff>381000</xdr:colOff>
      <xdr:row>14</xdr:row>
      <xdr:rowOff>9525</xdr:rowOff>
    </xdr:to>
    <xdr:sp macro="" textlink="">
      <xdr:nvSpPr>
        <xdr:cNvPr id="16096460" name="Line 22683">
          <a:extLst>
            <a:ext uri="{FF2B5EF4-FFF2-40B4-BE49-F238E27FC236}">
              <a16:creationId xmlns:a16="http://schemas.microsoft.com/office/drawing/2014/main" id="{00000000-0008-0000-1C00-0000CC9CF500}"/>
            </a:ext>
          </a:extLst>
        </xdr:cNvPr>
        <xdr:cNvSpPr>
          <a:spLocks noChangeShapeType="1"/>
        </xdr:cNvSpPr>
      </xdr:nvSpPr>
      <xdr:spPr bwMode="auto">
        <a:xfrm>
          <a:off x="4152900" y="0"/>
          <a:ext cx="0" cy="228600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9525</xdr:colOff>
      <xdr:row>18</xdr:row>
      <xdr:rowOff>0</xdr:rowOff>
    </xdr:from>
    <xdr:to>
      <xdr:col>9</xdr:col>
      <xdr:colOff>47625</xdr:colOff>
      <xdr:row>18</xdr:row>
      <xdr:rowOff>0</xdr:rowOff>
    </xdr:to>
    <xdr:sp macro="" textlink="">
      <xdr:nvSpPr>
        <xdr:cNvPr id="16096461" name="Line 22685">
          <a:extLst>
            <a:ext uri="{FF2B5EF4-FFF2-40B4-BE49-F238E27FC236}">
              <a16:creationId xmlns:a16="http://schemas.microsoft.com/office/drawing/2014/main" id="{00000000-0008-0000-1C00-0000CD9CF500}"/>
            </a:ext>
          </a:extLst>
        </xdr:cNvPr>
        <xdr:cNvSpPr>
          <a:spLocks noChangeShapeType="1"/>
        </xdr:cNvSpPr>
      </xdr:nvSpPr>
      <xdr:spPr bwMode="auto">
        <a:xfrm>
          <a:off x="9525" y="2924175"/>
          <a:ext cx="34099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24</xdr:col>
      <xdr:colOff>228600</xdr:colOff>
      <xdr:row>0</xdr:row>
      <xdr:rowOff>19050</xdr:rowOff>
    </xdr:from>
    <xdr:to>
      <xdr:col>24</xdr:col>
      <xdr:colOff>228600</xdr:colOff>
      <xdr:row>14</xdr:row>
      <xdr:rowOff>19050</xdr:rowOff>
    </xdr:to>
    <xdr:sp macro="" textlink="">
      <xdr:nvSpPr>
        <xdr:cNvPr id="16096462" name="Line 22693">
          <a:extLst>
            <a:ext uri="{FF2B5EF4-FFF2-40B4-BE49-F238E27FC236}">
              <a16:creationId xmlns:a16="http://schemas.microsoft.com/office/drawing/2014/main" id="{00000000-0008-0000-1C00-0000CE9CF500}"/>
            </a:ext>
          </a:extLst>
        </xdr:cNvPr>
        <xdr:cNvSpPr>
          <a:spLocks noChangeShapeType="1"/>
        </xdr:cNvSpPr>
      </xdr:nvSpPr>
      <xdr:spPr bwMode="auto">
        <a:xfrm>
          <a:off x="9601200" y="19050"/>
          <a:ext cx="0" cy="2276475"/>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26</xdr:col>
      <xdr:colOff>152400</xdr:colOff>
      <xdr:row>18</xdr:row>
      <xdr:rowOff>0</xdr:rowOff>
    </xdr:from>
    <xdr:to>
      <xdr:col>35</xdr:col>
      <xdr:colOff>390525</xdr:colOff>
      <xdr:row>18</xdr:row>
      <xdr:rowOff>0</xdr:rowOff>
    </xdr:to>
    <xdr:sp macro="" textlink="">
      <xdr:nvSpPr>
        <xdr:cNvPr id="16096463" name="Line 22695">
          <a:extLst>
            <a:ext uri="{FF2B5EF4-FFF2-40B4-BE49-F238E27FC236}">
              <a16:creationId xmlns:a16="http://schemas.microsoft.com/office/drawing/2014/main" id="{00000000-0008-0000-1C00-0000CF9CF500}"/>
            </a:ext>
          </a:extLst>
        </xdr:cNvPr>
        <xdr:cNvSpPr>
          <a:spLocks noChangeShapeType="1"/>
        </xdr:cNvSpPr>
      </xdr:nvSpPr>
      <xdr:spPr bwMode="auto">
        <a:xfrm>
          <a:off x="10325100" y="2924175"/>
          <a:ext cx="383857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editAs="oneCell">
    <xdr:from>
      <xdr:col>26</xdr:col>
      <xdr:colOff>333375</xdr:colOff>
      <xdr:row>43</xdr:row>
      <xdr:rowOff>76200</xdr:rowOff>
    </xdr:from>
    <xdr:to>
      <xdr:col>35</xdr:col>
      <xdr:colOff>381000</xdr:colOff>
      <xdr:row>43</xdr:row>
      <xdr:rowOff>76200</xdr:rowOff>
    </xdr:to>
    <xdr:sp macro="" textlink="">
      <xdr:nvSpPr>
        <xdr:cNvPr id="16096464" name="Line 22696">
          <a:extLst>
            <a:ext uri="{FF2B5EF4-FFF2-40B4-BE49-F238E27FC236}">
              <a16:creationId xmlns:a16="http://schemas.microsoft.com/office/drawing/2014/main" id="{00000000-0008-0000-1C00-0000D09CF500}"/>
            </a:ext>
          </a:extLst>
        </xdr:cNvPr>
        <xdr:cNvSpPr>
          <a:spLocks noChangeShapeType="1"/>
        </xdr:cNvSpPr>
      </xdr:nvSpPr>
      <xdr:spPr bwMode="auto">
        <a:xfrm>
          <a:off x="10506075" y="7048500"/>
          <a:ext cx="364807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editAs="oneCell">
    <xdr:from>
      <xdr:col>0</xdr:col>
      <xdr:colOff>0</xdr:colOff>
      <xdr:row>25</xdr:row>
      <xdr:rowOff>142875</xdr:rowOff>
    </xdr:from>
    <xdr:to>
      <xdr:col>11</xdr:col>
      <xdr:colOff>171450</xdr:colOff>
      <xdr:row>26</xdr:row>
      <xdr:rowOff>47625</xdr:rowOff>
    </xdr:to>
    <xdr:grpSp>
      <xdr:nvGrpSpPr>
        <xdr:cNvPr id="16096465" name="Group 22700">
          <a:extLst>
            <a:ext uri="{FF2B5EF4-FFF2-40B4-BE49-F238E27FC236}">
              <a16:creationId xmlns:a16="http://schemas.microsoft.com/office/drawing/2014/main" id="{00000000-0008-0000-1C00-0000D19CF500}"/>
            </a:ext>
          </a:extLst>
        </xdr:cNvPr>
        <xdr:cNvGrpSpPr>
          <a:grpSpLocks/>
        </xdr:cNvGrpSpPr>
      </xdr:nvGrpSpPr>
      <xdr:grpSpPr bwMode="auto">
        <a:xfrm>
          <a:off x="0" y="4243161"/>
          <a:ext cx="4906736" cy="68035"/>
          <a:chOff x="0" y="451"/>
          <a:chExt cx="456" cy="7"/>
        </a:xfrm>
      </xdr:grpSpPr>
      <xdr:sp macro="" textlink="">
        <xdr:nvSpPr>
          <xdr:cNvPr id="16096503" name="Line 22698">
            <a:extLst>
              <a:ext uri="{FF2B5EF4-FFF2-40B4-BE49-F238E27FC236}">
                <a16:creationId xmlns:a16="http://schemas.microsoft.com/office/drawing/2014/main" id="{00000000-0008-0000-1C00-0000F79CF500}"/>
              </a:ext>
            </a:extLst>
          </xdr:cNvPr>
          <xdr:cNvSpPr>
            <a:spLocks noChangeShapeType="1"/>
          </xdr:cNvSpPr>
        </xdr:nvSpPr>
        <xdr:spPr bwMode="auto">
          <a:xfrm>
            <a:off x="0" y="451"/>
            <a:ext cx="456" cy="0"/>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6096504" name="Line 22699">
            <a:extLst>
              <a:ext uri="{FF2B5EF4-FFF2-40B4-BE49-F238E27FC236}">
                <a16:creationId xmlns:a16="http://schemas.microsoft.com/office/drawing/2014/main" id="{00000000-0008-0000-1C00-0000F89CF500}"/>
              </a:ext>
            </a:extLst>
          </xdr:cNvPr>
          <xdr:cNvSpPr>
            <a:spLocks noChangeShapeType="1"/>
          </xdr:cNvSpPr>
        </xdr:nvSpPr>
        <xdr:spPr bwMode="auto">
          <a:xfrm>
            <a:off x="0" y="458"/>
            <a:ext cx="456" cy="0"/>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24</xdr:col>
      <xdr:colOff>228600</xdr:colOff>
      <xdr:row>35</xdr:row>
      <xdr:rowOff>57150</xdr:rowOff>
    </xdr:from>
    <xdr:to>
      <xdr:col>36</xdr:col>
      <xdr:colOff>0</xdr:colOff>
      <xdr:row>35</xdr:row>
      <xdr:rowOff>123825</xdr:rowOff>
    </xdr:to>
    <xdr:grpSp>
      <xdr:nvGrpSpPr>
        <xdr:cNvPr id="16096466" name="Group 22701">
          <a:extLst>
            <a:ext uri="{FF2B5EF4-FFF2-40B4-BE49-F238E27FC236}">
              <a16:creationId xmlns:a16="http://schemas.microsoft.com/office/drawing/2014/main" id="{00000000-0008-0000-1C00-0000D29CF500}"/>
            </a:ext>
          </a:extLst>
        </xdr:cNvPr>
        <xdr:cNvGrpSpPr>
          <a:grpSpLocks/>
        </xdr:cNvGrpSpPr>
      </xdr:nvGrpSpPr>
      <xdr:grpSpPr bwMode="auto">
        <a:xfrm>
          <a:off x="10860314" y="5790293"/>
          <a:ext cx="5214257" cy="66675"/>
          <a:chOff x="0" y="451"/>
          <a:chExt cx="456" cy="7"/>
        </a:xfrm>
      </xdr:grpSpPr>
      <xdr:sp macro="" textlink="">
        <xdr:nvSpPr>
          <xdr:cNvPr id="16096501" name="Line 22702">
            <a:extLst>
              <a:ext uri="{FF2B5EF4-FFF2-40B4-BE49-F238E27FC236}">
                <a16:creationId xmlns:a16="http://schemas.microsoft.com/office/drawing/2014/main" id="{00000000-0008-0000-1C00-0000F59CF500}"/>
              </a:ext>
            </a:extLst>
          </xdr:cNvPr>
          <xdr:cNvSpPr>
            <a:spLocks noChangeShapeType="1"/>
          </xdr:cNvSpPr>
        </xdr:nvSpPr>
        <xdr:spPr bwMode="auto">
          <a:xfrm>
            <a:off x="0" y="451"/>
            <a:ext cx="456" cy="0"/>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6096502" name="Line 22703">
            <a:extLst>
              <a:ext uri="{FF2B5EF4-FFF2-40B4-BE49-F238E27FC236}">
                <a16:creationId xmlns:a16="http://schemas.microsoft.com/office/drawing/2014/main" id="{00000000-0008-0000-1C00-0000F69CF500}"/>
              </a:ext>
            </a:extLst>
          </xdr:cNvPr>
          <xdr:cNvSpPr>
            <a:spLocks noChangeShapeType="1"/>
          </xdr:cNvSpPr>
        </xdr:nvSpPr>
        <xdr:spPr bwMode="auto">
          <a:xfrm>
            <a:off x="0" y="458"/>
            <a:ext cx="456" cy="0"/>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15</xdr:col>
      <xdr:colOff>38100</xdr:colOff>
      <xdr:row>45</xdr:row>
      <xdr:rowOff>123825</xdr:rowOff>
    </xdr:from>
    <xdr:to>
      <xdr:col>15</xdr:col>
      <xdr:colOff>123825</xdr:colOff>
      <xdr:row>62</xdr:row>
      <xdr:rowOff>9525</xdr:rowOff>
    </xdr:to>
    <xdr:grpSp>
      <xdr:nvGrpSpPr>
        <xdr:cNvPr id="16096467" name="Group 22711">
          <a:extLst>
            <a:ext uri="{FF2B5EF4-FFF2-40B4-BE49-F238E27FC236}">
              <a16:creationId xmlns:a16="http://schemas.microsoft.com/office/drawing/2014/main" id="{00000000-0008-0000-1C00-0000D39CF500}"/>
            </a:ext>
          </a:extLst>
        </xdr:cNvPr>
        <xdr:cNvGrpSpPr>
          <a:grpSpLocks/>
        </xdr:cNvGrpSpPr>
      </xdr:nvGrpSpPr>
      <xdr:grpSpPr bwMode="auto">
        <a:xfrm>
          <a:off x="6587671" y="7489825"/>
          <a:ext cx="85725" cy="2679700"/>
          <a:chOff x="660" y="778"/>
          <a:chExt cx="9" cy="278"/>
        </a:xfrm>
      </xdr:grpSpPr>
      <xdr:sp macro="" textlink="">
        <xdr:nvSpPr>
          <xdr:cNvPr id="16096499" name="Line 22708">
            <a:extLst>
              <a:ext uri="{FF2B5EF4-FFF2-40B4-BE49-F238E27FC236}">
                <a16:creationId xmlns:a16="http://schemas.microsoft.com/office/drawing/2014/main" id="{00000000-0008-0000-1C00-0000F39CF500}"/>
              </a:ext>
            </a:extLst>
          </xdr:cNvPr>
          <xdr:cNvSpPr>
            <a:spLocks noChangeShapeType="1"/>
          </xdr:cNvSpPr>
        </xdr:nvSpPr>
        <xdr:spPr bwMode="auto">
          <a:xfrm>
            <a:off x="669" y="778"/>
            <a:ext cx="0" cy="278"/>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6096500" name="Line 22709">
            <a:extLst>
              <a:ext uri="{FF2B5EF4-FFF2-40B4-BE49-F238E27FC236}">
                <a16:creationId xmlns:a16="http://schemas.microsoft.com/office/drawing/2014/main" id="{00000000-0008-0000-1C00-0000F49CF500}"/>
              </a:ext>
            </a:extLst>
          </xdr:cNvPr>
          <xdr:cNvSpPr>
            <a:spLocks noChangeShapeType="1"/>
          </xdr:cNvSpPr>
        </xdr:nvSpPr>
        <xdr:spPr bwMode="auto">
          <a:xfrm>
            <a:off x="660" y="778"/>
            <a:ext cx="0" cy="278"/>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20</xdr:col>
      <xdr:colOff>295275</xdr:colOff>
      <xdr:row>0</xdr:row>
      <xdr:rowOff>0</xdr:rowOff>
    </xdr:from>
    <xdr:to>
      <xdr:col>20</xdr:col>
      <xdr:colOff>381000</xdr:colOff>
      <xdr:row>16</xdr:row>
      <xdr:rowOff>57150</xdr:rowOff>
    </xdr:to>
    <xdr:grpSp>
      <xdr:nvGrpSpPr>
        <xdr:cNvPr id="16096468" name="Group 22712">
          <a:extLst>
            <a:ext uri="{FF2B5EF4-FFF2-40B4-BE49-F238E27FC236}">
              <a16:creationId xmlns:a16="http://schemas.microsoft.com/office/drawing/2014/main" id="{00000000-0008-0000-1C00-0000D49CF500}"/>
            </a:ext>
          </a:extLst>
        </xdr:cNvPr>
        <xdr:cNvGrpSpPr>
          <a:grpSpLocks/>
        </xdr:cNvGrpSpPr>
      </xdr:nvGrpSpPr>
      <xdr:grpSpPr bwMode="auto">
        <a:xfrm>
          <a:off x="9112704" y="0"/>
          <a:ext cx="85725" cy="2687864"/>
          <a:chOff x="660" y="778"/>
          <a:chExt cx="9" cy="278"/>
        </a:xfrm>
      </xdr:grpSpPr>
      <xdr:sp macro="" textlink="">
        <xdr:nvSpPr>
          <xdr:cNvPr id="16096497" name="Line 22713">
            <a:extLst>
              <a:ext uri="{FF2B5EF4-FFF2-40B4-BE49-F238E27FC236}">
                <a16:creationId xmlns:a16="http://schemas.microsoft.com/office/drawing/2014/main" id="{00000000-0008-0000-1C00-0000F19CF500}"/>
              </a:ext>
            </a:extLst>
          </xdr:cNvPr>
          <xdr:cNvSpPr>
            <a:spLocks noChangeShapeType="1"/>
          </xdr:cNvSpPr>
        </xdr:nvSpPr>
        <xdr:spPr bwMode="auto">
          <a:xfrm>
            <a:off x="669" y="778"/>
            <a:ext cx="0" cy="278"/>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6096498" name="Line 22714">
            <a:extLst>
              <a:ext uri="{FF2B5EF4-FFF2-40B4-BE49-F238E27FC236}">
                <a16:creationId xmlns:a16="http://schemas.microsoft.com/office/drawing/2014/main" id="{00000000-0008-0000-1C00-0000F29CF500}"/>
              </a:ext>
            </a:extLst>
          </xdr:cNvPr>
          <xdr:cNvSpPr>
            <a:spLocks noChangeShapeType="1"/>
          </xdr:cNvSpPr>
        </xdr:nvSpPr>
        <xdr:spPr bwMode="auto">
          <a:xfrm>
            <a:off x="660" y="778"/>
            <a:ext cx="0" cy="278"/>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absolute">
    <xdr:from>
      <xdr:col>40</xdr:col>
      <xdr:colOff>114302</xdr:colOff>
      <xdr:row>70</xdr:row>
      <xdr:rowOff>122464</xdr:rowOff>
    </xdr:from>
    <xdr:to>
      <xdr:col>40</xdr:col>
      <xdr:colOff>318409</xdr:colOff>
      <xdr:row>73</xdr:row>
      <xdr:rowOff>83002</xdr:rowOff>
    </xdr:to>
    <xdr:grpSp>
      <xdr:nvGrpSpPr>
        <xdr:cNvPr id="16096469" name="Group 6000">
          <a:extLst>
            <a:ext uri="{FF2B5EF4-FFF2-40B4-BE49-F238E27FC236}">
              <a16:creationId xmlns:a16="http://schemas.microsoft.com/office/drawing/2014/main" id="{00000000-0008-0000-1C00-0000D59CF500}"/>
            </a:ext>
          </a:extLst>
        </xdr:cNvPr>
        <xdr:cNvGrpSpPr>
          <a:grpSpLocks/>
        </xdr:cNvGrpSpPr>
      </xdr:nvGrpSpPr>
      <xdr:grpSpPr bwMode="auto">
        <a:xfrm>
          <a:off x="18003159" y="11606893"/>
          <a:ext cx="204107" cy="450395"/>
          <a:chOff x="1621" y="64"/>
          <a:chExt cx="20" cy="42"/>
        </a:xfrm>
      </xdr:grpSpPr>
      <xdr:pic>
        <xdr:nvPicPr>
          <xdr:cNvPr id="16096494" name="Picture 28865" descr="MMAG00276_0000[1]">
            <a:extLst>
              <a:ext uri="{FF2B5EF4-FFF2-40B4-BE49-F238E27FC236}">
                <a16:creationId xmlns:a16="http://schemas.microsoft.com/office/drawing/2014/main" id="{00000000-0008-0000-1C00-0000EE9CF5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621" y="64"/>
            <a:ext cx="20" cy="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096495" name="Oval 28866">
            <a:extLst>
              <a:ext uri="{FF2B5EF4-FFF2-40B4-BE49-F238E27FC236}">
                <a16:creationId xmlns:a16="http://schemas.microsoft.com/office/drawing/2014/main" id="{00000000-0008-0000-1C00-0000EF9CF500}"/>
              </a:ext>
            </a:extLst>
          </xdr:cNvPr>
          <xdr:cNvSpPr>
            <a:spLocks noChangeArrowheads="1"/>
          </xdr:cNvSpPr>
        </xdr:nvSpPr>
        <xdr:spPr bwMode="auto">
          <a:xfrm>
            <a:off x="1626" y="83"/>
            <a:ext cx="9" cy="8"/>
          </a:xfrm>
          <a:prstGeom prst="ellipse">
            <a:avLst/>
          </a:prstGeom>
          <a:gradFill rotWithShape="1">
            <a:gsLst>
              <a:gs pos="0">
                <a:srgbClr val="A9A900"/>
              </a:gs>
              <a:gs pos="100000">
                <a:srgbClr val="FFFF00"/>
              </a:gs>
            </a:gsLst>
            <a:lin ang="2700000" scaled="1"/>
          </a:gradFill>
          <a:ln w="9525" algn="ctr">
            <a:solidFill>
              <a:srgbClr val="808080"/>
            </a:solidFill>
            <a:round/>
            <a:headEnd/>
            <a:tailEnd/>
          </a:ln>
        </xdr:spPr>
      </xdr:sp>
      <xdr:sp macro="" textlink="">
        <xdr:nvSpPr>
          <xdr:cNvPr id="16096496" name="Oval 28867">
            <a:extLst>
              <a:ext uri="{FF2B5EF4-FFF2-40B4-BE49-F238E27FC236}">
                <a16:creationId xmlns:a16="http://schemas.microsoft.com/office/drawing/2014/main" id="{00000000-0008-0000-1C00-0000F09CF500}"/>
              </a:ext>
            </a:extLst>
          </xdr:cNvPr>
          <xdr:cNvSpPr>
            <a:spLocks noChangeArrowheads="1"/>
          </xdr:cNvSpPr>
        </xdr:nvSpPr>
        <xdr:spPr bwMode="auto">
          <a:xfrm>
            <a:off x="1626" y="72"/>
            <a:ext cx="9" cy="8"/>
          </a:xfrm>
          <a:prstGeom prst="ellipse">
            <a:avLst/>
          </a:prstGeom>
          <a:gradFill rotWithShape="1">
            <a:gsLst>
              <a:gs pos="0">
                <a:srgbClr val="A90000"/>
              </a:gs>
              <a:gs pos="100000">
                <a:srgbClr val="FF0000"/>
              </a:gs>
            </a:gsLst>
            <a:lin ang="2700000" scaled="1"/>
          </a:gradFill>
          <a:ln w="9525" algn="ctr">
            <a:solidFill>
              <a:srgbClr val="808080"/>
            </a:solidFill>
            <a:round/>
            <a:headEnd/>
            <a:tailEnd/>
          </a:ln>
        </xdr:spPr>
      </xdr:sp>
    </xdr:grpSp>
    <xdr:clientData fLocksWithSheet="0"/>
  </xdr:twoCellAnchor>
  <xdr:twoCellAnchor editAs="oneCell">
    <xdr:from>
      <xdr:col>27</xdr:col>
      <xdr:colOff>304800</xdr:colOff>
      <xdr:row>45</xdr:row>
      <xdr:rowOff>0</xdr:rowOff>
    </xdr:from>
    <xdr:to>
      <xdr:col>30</xdr:col>
      <xdr:colOff>381000</xdr:colOff>
      <xdr:row>47</xdr:row>
      <xdr:rowOff>76200</xdr:rowOff>
    </xdr:to>
    <xdr:sp macro="" textlink="">
      <xdr:nvSpPr>
        <xdr:cNvPr id="109" name="Text Box 28880">
          <a:extLst>
            <a:ext uri="{FF2B5EF4-FFF2-40B4-BE49-F238E27FC236}">
              <a16:creationId xmlns:a16="http://schemas.microsoft.com/office/drawing/2014/main" id="{00000000-0008-0000-1C00-00006D000000}"/>
            </a:ext>
          </a:extLst>
        </xdr:cNvPr>
        <xdr:cNvSpPr txBox="1">
          <a:spLocks noChangeArrowheads="1"/>
        </xdr:cNvSpPr>
      </xdr:nvSpPr>
      <xdr:spPr bwMode="auto">
        <a:xfrm>
          <a:off x="16764000" y="7286625"/>
          <a:ext cx="1905000" cy="400050"/>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7432" rIns="27432" bIns="27432" anchor="ctr" upright="1"/>
        <a:lstStyle/>
        <a:p>
          <a:pPr algn="ctr" rtl="0">
            <a:defRPr sz="1000"/>
          </a:pPr>
          <a:r>
            <a:rPr lang="en-US" sz="1100" b="1" i="0" strike="noStrike">
              <a:solidFill>
                <a:srgbClr val="000000"/>
              </a:solidFill>
              <a:latin typeface="Arial"/>
              <a:cs typeface="Arial"/>
            </a:rPr>
            <a:t>Crash Overflow Zone</a:t>
          </a:r>
        </a:p>
      </xdr:txBody>
    </xdr:sp>
    <xdr:clientData fLocksWithSheet="0" fPrintsWithSheet="0"/>
  </xdr:twoCellAnchor>
  <xdr:twoCellAnchor editAs="oneCell">
    <xdr:from>
      <xdr:col>5</xdr:col>
      <xdr:colOff>342900</xdr:colOff>
      <xdr:row>44</xdr:row>
      <xdr:rowOff>114300</xdr:rowOff>
    </xdr:from>
    <xdr:to>
      <xdr:col>9</xdr:col>
      <xdr:colOff>38100</xdr:colOff>
      <xdr:row>47</xdr:row>
      <xdr:rowOff>38100</xdr:rowOff>
    </xdr:to>
    <xdr:sp macro="" textlink="">
      <xdr:nvSpPr>
        <xdr:cNvPr id="110" name="Text Box 28881">
          <a:extLst>
            <a:ext uri="{FF2B5EF4-FFF2-40B4-BE49-F238E27FC236}">
              <a16:creationId xmlns:a16="http://schemas.microsoft.com/office/drawing/2014/main" id="{00000000-0008-0000-1C00-00006E000000}"/>
            </a:ext>
          </a:extLst>
        </xdr:cNvPr>
        <xdr:cNvSpPr txBox="1">
          <a:spLocks noChangeArrowheads="1"/>
        </xdr:cNvSpPr>
      </xdr:nvSpPr>
      <xdr:spPr bwMode="auto">
        <a:xfrm>
          <a:off x="3390900" y="7239000"/>
          <a:ext cx="2133600" cy="409575"/>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7432" rIns="27432" bIns="27432" anchor="ctr" upright="1"/>
        <a:lstStyle/>
        <a:p>
          <a:pPr algn="ctr" rtl="0">
            <a:defRPr sz="1000"/>
          </a:pPr>
          <a:r>
            <a:rPr lang="en-US" sz="1100" b="1" i="0" strike="noStrike">
              <a:solidFill>
                <a:srgbClr val="000000"/>
              </a:solidFill>
              <a:latin typeface="Arial"/>
              <a:cs typeface="Arial"/>
            </a:rPr>
            <a:t>Crash Overflow Zone</a:t>
          </a:r>
        </a:p>
      </xdr:txBody>
    </xdr:sp>
    <xdr:clientData fLocksWithSheet="0" fPrintsWithSheet="0"/>
  </xdr:twoCellAnchor>
  <xdr:twoCellAnchor editAs="oneCell">
    <xdr:from>
      <xdr:col>5</xdr:col>
      <xdr:colOff>190500</xdr:colOff>
      <xdr:row>2</xdr:row>
      <xdr:rowOff>38100</xdr:rowOff>
    </xdr:from>
    <xdr:to>
      <xdr:col>8</xdr:col>
      <xdr:colOff>304800</xdr:colOff>
      <xdr:row>5</xdr:row>
      <xdr:rowOff>0</xdr:rowOff>
    </xdr:to>
    <xdr:sp macro="" textlink="">
      <xdr:nvSpPr>
        <xdr:cNvPr id="111" name="Text Box 28882">
          <a:extLst>
            <a:ext uri="{FF2B5EF4-FFF2-40B4-BE49-F238E27FC236}">
              <a16:creationId xmlns:a16="http://schemas.microsoft.com/office/drawing/2014/main" id="{00000000-0008-0000-1C00-00006F000000}"/>
            </a:ext>
          </a:extLst>
        </xdr:cNvPr>
        <xdr:cNvSpPr txBox="1">
          <a:spLocks noChangeArrowheads="1"/>
        </xdr:cNvSpPr>
      </xdr:nvSpPr>
      <xdr:spPr bwMode="auto">
        <a:xfrm>
          <a:off x="3238500" y="361950"/>
          <a:ext cx="1943100" cy="447675"/>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7432" rIns="27432" bIns="27432" anchor="ctr" upright="1"/>
        <a:lstStyle/>
        <a:p>
          <a:pPr algn="ctr" rtl="0">
            <a:defRPr sz="1000"/>
          </a:pPr>
          <a:r>
            <a:rPr lang="en-US" sz="1100" b="1" i="0" strike="noStrike">
              <a:solidFill>
                <a:srgbClr val="000000"/>
              </a:solidFill>
              <a:latin typeface="Arial"/>
              <a:cs typeface="Arial"/>
            </a:rPr>
            <a:t>Crash Overflow Zone</a:t>
          </a:r>
        </a:p>
      </xdr:txBody>
    </xdr:sp>
    <xdr:clientData fLocksWithSheet="0" fPrintsWithSheet="0"/>
  </xdr:twoCellAnchor>
  <xdr:twoCellAnchor editAs="oneCell">
    <xdr:from>
      <xdr:col>26</xdr:col>
      <xdr:colOff>38100</xdr:colOff>
      <xdr:row>3</xdr:row>
      <xdr:rowOff>0</xdr:rowOff>
    </xdr:from>
    <xdr:to>
      <xdr:col>29</xdr:col>
      <xdr:colOff>114300</xdr:colOff>
      <xdr:row>5</xdr:row>
      <xdr:rowOff>76200</xdr:rowOff>
    </xdr:to>
    <xdr:sp macro="" textlink="">
      <xdr:nvSpPr>
        <xdr:cNvPr id="112" name="Text Box 28883">
          <a:extLst>
            <a:ext uri="{FF2B5EF4-FFF2-40B4-BE49-F238E27FC236}">
              <a16:creationId xmlns:a16="http://schemas.microsoft.com/office/drawing/2014/main" id="{00000000-0008-0000-1C00-000070000000}"/>
            </a:ext>
          </a:extLst>
        </xdr:cNvPr>
        <xdr:cNvSpPr txBox="1">
          <a:spLocks noChangeArrowheads="1"/>
        </xdr:cNvSpPr>
      </xdr:nvSpPr>
      <xdr:spPr bwMode="auto">
        <a:xfrm>
          <a:off x="15887700" y="485775"/>
          <a:ext cx="1905000" cy="400050"/>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7432" rIns="27432" bIns="27432" anchor="ctr" upright="1"/>
        <a:lstStyle/>
        <a:p>
          <a:pPr algn="ctr" rtl="0">
            <a:defRPr sz="1000"/>
          </a:pPr>
          <a:r>
            <a:rPr lang="en-US" sz="1100" b="1" i="0" strike="noStrike">
              <a:solidFill>
                <a:srgbClr val="000000"/>
              </a:solidFill>
              <a:latin typeface="Arial"/>
              <a:cs typeface="Arial"/>
            </a:rPr>
            <a:t>Crash Overflow Zone</a:t>
          </a:r>
        </a:p>
      </xdr:txBody>
    </xdr:sp>
    <xdr:clientData fLocksWithSheet="0" fPrintsWithSheet="0"/>
  </xdr:twoCellAnchor>
  <xdr:twoCellAnchor editAs="absolute">
    <xdr:from>
      <xdr:col>45</xdr:col>
      <xdr:colOff>329293</xdr:colOff>
      <xdr:row>56</xdr:row>
      <xdr:rowOff>83004</xdr:rowOff>
    </xdr:from>
    <xdr:to>
      <xdr:col>52</xdr:col>
      <xdr:colOff>87086</xdr:colOff>
      <xdr:row>61</xdr:row>
      <xdr:rowOff>5443</xdr:rowOff>
    </xdr:to>
    <xdr:sp macro="" textlink="" fLocksText="0">
      <xdr:nvSpPr>
        <xdr:cNvPr id="113" name="Text Box 28884">
          <a:extLst>
            <a:ext uri="{FF2B5EF4-FFF2-40B4-BE49-F238E27FC236}">
              <a16:creationId xmlns:a16="http://schemas.microsoft.com/office/drawing/2014/main" id="{00000000-0008-0000-1C00-000071000000}"/>
            </a:ext>
          </a:extLst>
        </xdr:cNvPr>
        <xdr:cNvSpPr txBox="1">
          <a:spLocks noChangeArrowheads="1"/>
        </xdr:cNvSpPr>
      </xdr:nvSpPr>
      <xdr:spPr bwMode="auto">
        <a:xfrm>
          <a:off x="17868900" y="9240611"/>
          <a:ext cx="2520043" cy="738868"/>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36576" tIns="27432" rIns="36576" bIns="27432" anchor="ctr" upright="1"/>
        <a:lstStyle/>
        <a:p>
          <a:pPr algn="ctr" rtl="0">
            <a:defRPr sz="1000"/>
          </a:pPr>
          <a:r>
            <a:rPr lang="en-US" sz="1200" b="1" i="0" strike="noStrike">
              <a:solidFill>
                <a:srgbClr val="000000"/>
              </a:solidFill>
              <a:latin typeface="Arial"/>
              <a:cs typeface="Arial"/>
            </a:rPr>
            <a:t>Go to View - Toolbars - Drawing and use the Drawing Toolbar to Modify the Diagram and Symbols</a:t>
          </a:r>
        </a:p>
      </xdr:txBody>
    </xdr:sp>
    <xdr:clientData fLocksWithSheet="0"/>
  </xdr:twoCellAnchor>
  <xdr:twoCellAnchor editAs="absolute">
    <xdr:from>
      <xdr:col>41</xdr:col>
      <xdr:colOff>250371</xdr:colOff>
      <xdr:row>71</xdr:row>
      <xdr:rowOff>0</xdr:rowOff>
    </xdr:from>
    <xdr:to>
      <xdr:col>42</xdr:col>
      <xdr:colOff>250371</xdr:colOff>
      <xdr:row>73</xdr:row>
      <xdr:rowOff>85724</xdr:rowOff>
    </xdr:to>
    <xdr:pic>
      <xdr:nvPicPr>
        <xdr:cNvPr id="16096475" name="Picture 31852" descr="MMj01892420000[1]">
          <a:extLst>
            <a:ext uri="{FF2B5EF4-FFF2-40B4-BE49-F238E27FC236}">
              <a16:creationId xmlns:a16="http://schemas.microsoft.com/office/drawing/2014/main" id="{00000000-0008-0000-1C00-0000DB9CF5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211550" y="11634107"/>
          <a:ext cx="394607" cy="412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25</xdr:col>
      <xdr:colOff>38100</xdr:colOff>
      <xdr:row>58</xdr:row>
      <xdr:rowOff>138546</xdr:rowOff>
    </xdr:from>
    <xdr:to>
      <xdr:col>36</xdr:col>
      <xdr:colOff>0</xdr:colOff>
      <xdr:row>61</xdr:row>
      <xdr:rowOff>0</xdr:rowOff>
    </xdr:to>
    <xdr:sp macro="" textlink="" fLocksText="0">
      <xdr:nvSpPr>
        <xdr:cNvPr id="115" name="Text Box 34449">
          <a:extLst>
            <a:ext uri="{FF2B5EF4-FFF2-40B4-BE49-F238E27FC236}">
              <a16:creationId xmlns:a16="http://schemas.microsoft.com/office/drawing/2014/main" id="{00000000-0008-0000-1C00-000073000000}"/>
            </a:ext>
          </a:extLst>
        </xdr:cNvPr>
        <xdr:cNvSpPr txBox="1">
          <a:spLocks noChangeArrowheads="1"/>
        </xdr:cNvSpPr>
      </xdr:nvSpPr>
      <xdr:spPr bwMode="auto">
        <a:xfrm>
          <a:off x="9888071" y="9248928"/>
          <a:ext cx="4399429" cy="332101"/>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7432" rIns="27432" bIns="27432" anchor="ctr" upright="1"/>
        <a:lstStyle/>
        <a:p>
          <a:pPr algn="ctr" rtl="0">
            <a:defRPr sz="1000"/>
          </a:pPr>
          <a:r>
            <a:rPr lang="en-US" sz="1100" b="1" i="0" strike="noStrike">
              <a:solidFill>
                <a:srgbClr val="000000"/>
              </a:solidFill>
              <a:latin typeface="Arial"/>
              <a:cs typeface="Arial"/>
            </a:rPr>
            <a:t>Diagram Label Key</a:t>
          </a:r>
        </a:p>
      </xdr:txBody>
    </xdr:sp>
    <xdr:clientData fLocksWithSheet="0"/>
  </xdr:twoCellAnchor>
  <xdr:twoCellAnchor editAs="oneCell">
    <xdr:from>
      <xdr:col>25</xdr:col>
      <xdr:colOff>38100</xdr:colOff>
      <xdr:row>60</xdr:row>
      <xdr:rowOff>103909</xdr:rowOff>
    </xdr:from>
    <xdr:to>
      <xdr:col>36</xdr:col>
      <xdr:colOff>0</xdr:colOff>
      <xdr:row>61</xdr:row>
      <xdr:rowOff>161925</xdr:rowOff>
    </xdr:to>
    <xdr:sp macro="" textlink="'Crash Data'!CT17" fLocksText="0">
      <xdr:nvSpPr>
        <xdr:cNvPr id="544643" name="Text Box 34448">
          <a:extLst>
            <a:ext uri="{FF2B5EF4-FFF2-40B4-BE49-F238E27FC236}">
              <a16:creationId xmlns:a16="http://schemas.microsoft.com/office/drawing/2014/main" id="{00000000-0008-0000-1C00-0000834F0800}"/>
            </a:ext>
          </a:extLst>
        </xdr:cNvPr>
        <xdr:cNvSpPr txBox="1">
          <a:spLocks noChangeArrowheads="1"/>
        </xdr:cNvSpPr>
      </xdr:nvSpPr>
      <xdr:spPr bwMode="auto">
        <a:xfrm>
          <a:off x="9770918" y="9473045"/>
          <a:ext cx="4343400" cy="213880"/>
        </a:xfrm>
        <a:prstGeom prst="rect">
          <a:avLst/>
        </a:prstGeom>
        <a:gradFill rotWithShape="1">
          <a:gsLst>
            <a:gs pos="0">
              <a:srgbClr val="27744E"/>
            </a:gs>
            <a:gs pos="50000">
              <a:srgbClr val="339966"/>
            </a:gs>
            <a:gs pos="100000">
              <a:srgbClr val="27744E"/>
            </a:gs>
          </a:gsLst>
          <a:lin ang="5400000" scaled="1"/>
        </a:gradFill>
        <a:ln w="19050" algn="ctr">
          <a:solidFill>
            <a:srgbClr val="000000"/>
          </a:solidFill>
          <a:miter lim="800000"/>
          <a:headEnd/>
          <a:tailEnd/>
        </a:ln>
      </xdr:spPr>
      <xdr:txBody>
        <a:bodyPr/>
        <a:lstStyle/>
        <a:p>
          <a:fld id="{509C1C23-C160-4765-8A4E-8C9BD9028526}" type="TxLink">
            <a:rPr lang="en-US" sz="1400" b="1">
              <a:solidFill>
                <a:schemeClr val="bg1"/>
              </a:solidFill>
              <a:latin typeface="Century Gothic" pitchFamily="34" charset="0"/>
            </a:rPr>
            <a:pPr/>
            <a:t>#REF!</a:t>
          </a:fld>
          <a:endParaRPr lang="en-US" sz="1400" b="1">
            <a:solidFill>
              <a:schemeClr val="bg1"/>
            </a:solidFill>
            <a:latin typeface="Century Gothic" pitchFamily="34" charset="0"/>
          </a:endParaRPr>
        </a:p>
      </xdr:txBody>
    </xdr:sp>
    <xdr:clientData fLocksWithSheet="0"/>
  </xdr:twoCellAnchor>
  <xdr:twoCellAnchor editAs="absolute">
    <xdr:from>
      <xdr:col>38</xdr:col>
      <xdr:colOff>50347</xdr:colOff>
      <xdr:row>92</xdr:row>
      <xdr:rowOff>138792</xdr:rowOff>
    </xdr:from>
    <xdr:to>
      <xdr:col>47</xdr:col>
      <xdr:colOff>202747</xdr:colOff>
      <xdr:row>111</xdr:row>
      <xdr:rowOff>50346</xdr:rowOff>
    </xdr:to>
    <xdr:pic>
      <xdr:nvPicPr>
        <xdr:cNvPr id="16096478" name="Picture 34450">
          <a:extLst>
            <a:ext uri="{FF2B5EF4-FFF2-40B4-BE49-F238E27FC236}">
              <a16:creationId xmlns:a16="http://schemas.microsoft.com/office/drawing/2014/main" id="{00000000-0008-0000-1C00-0000DE9CF5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4827704" y="15542078"/>
          <a:ext cx="3703864" cy="3068411"/>
        </a:xfrm>
        <a:prstGeom prst="rect">
          <a:avLst/>
        </a:prstGeom>
        <a:noFill/>
        <a:ln w="254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fLocksWithSheet="0"/>
  </xdr:twoCellAnchor>
  <xdr:twoCellAnchor editAs="absolute">
    <xdr:from>
      <xdr:col>44</xdr:col>
      <xdr:colOff>209550</xdr:colOff>
      <xdr:row>64</xdr:row>
      <xdr:rowOff>0</xdr:rowOff>
    </xdr:from>
    <xdr:to>
      <xdr:col>54</xdr:col>
      <xdr:colOff>19050</xdr:colOff>
      <xdr:row>64</xdr:row>
      <xdr:rowOff>0</xdr:rowOff>
    </xdr:to>
    <xdr:sp macro="" textlink="">
      <xdr:nvSpPr>
        <xdr:cNvPr id="16096479" name="Line 36212">
          <a:extLst>
            <a:ext uri="{FF2B5EF4-FFF2-40B4-BE49-F238E27FC236}">
              <a16:creationId xmlns:a16="http://schemas.microsoft.com/office/drawing/2014/main" id="{00000000-0008-0000-1C00-0000DF9CF500}"/>
            </a:ext>
          </a:extLst>
        </xdr:cNvPr>
        <xdr:cNvSpPr>
          <a:spLocks noChangeShapeType="1"/>
        </xdr:cNvSpPr>
      </xdr:nvSpPr>
      <xdr:spPr bwMode="auto">
        <a:xfrm>
          <a:off x="17583150" y="10391775"/>
          <a:ext cx="3810000" cy="0"/>
        </a:xfrm>
        <a:prstGeom prst="line">
          <a:avLst/>
        </a:prstGeom>
        <a:noFill/>
        <a:ln w="25400">
          <a:solidFill>
            <a:srgbClr val="000000"/>
          </a:solidFill>
          <a:prstDash val="lgDash"/>
          <a:round/>
          <a:headEnd/>
          <a:tailEnd/>
        </a:ln>
        <a:extLst>
          <a:ext uri="{909E8E84-426E-40DD-AFC4-6F175D3DCCD1}">
            <a14:hiddenFill xmlns:a14="http://schemas.microsoft.com/office/drawing/2010/main">
              <a:noFill/>
            </a14:hiddenFill>
          </a:ext>
        </a:extLst>
      </xdr:spPr>
    </xdr:sp>
    <xdr:clientData fLocksWithSheet="0"/>
  </xdr:twoCellAnchor>
  <xdr:twoCellAnchor editAs="absolute">
    <xdr:from>
      <xdr:col>45</xdr:col>
      <xdr:colOff>146956</xdr:colOff>
      <xdr:row>24</xdr:row>
      <xdr:rowOff>59872</xdr:rowOff>
    </xdr:from>
    <xdr:to>
      <xdr:col>54</xdr:col>
      <xdr:colOff>32657</xdr:colOff>
      <xdr:row>29</xdr:row>
      <xdr:rowOff>137433</xdr:rowOff>
    </xdr:to>
    <xdr:sp macro="" textlink="" fLocksText="0">
      <xdr:nvSpPr>
        <xdr:cNvPr id="119" name="Text Box 36213">
          <a:extLst>
            <a:ext uri="{FF2B5EF4-FFF2-40B4-BE49-F238E27FC236}">
              <a16:creationId xmlns:a16="http://schemas.microsoft.com/office/drawing/2014/main" id="{00000000-0008-0000-1C00-000077000000}"/>
            </a:ext>
          </a:extLst>
        </xdr:cNvPr>
        <xdr:cNvSpPr txBox="1">
          <a:spLocks noChangeArrowheads="1"/>
        </xdr:cNvSpPr>
      </xdr:nvSpPr>
      <xdr:spPr bwMode="auto">
        <a:xfrm>
          <a:off x="17686563" y="3992336"/>
          <a:ext cx="3437165" cy="893990"/>
        </a:xfrm>
        <a:prstGeom prst="rect">
          <a:avLst/>
        </a:prstGeom>
        <a:gradFill rotWithShape="1">
          <a:gsLst>
            <a:gs pos="0">
              <a:srgbClr val="339966">
                <a:gamma/>
                <a:shade val="76078"/>
                <a:invGamma/>
              </a:srgbClr>
            </a:gs>
            <a:gs pos="50000">
              <a:srgbClr val="339966"/>
            </a:gs>
            <a:gs pos="100000">
              <a:srgbClr val="339966">
                <a:gamma/>
                <a:shade val="76078"/>
                <a:invGamma/>
              </a:srgbClr>
            </a:gs>
          </a:gsLst>
          <a:lin ang="5400000" scaled="1"/>
        </a:gradFill>
        <a:ln w="19050" algn="ctr">
          <a:solidFill>
            <a:srgbClr val="000000"/>
          </a:solidFill>
          <a:miter lim="800000"/>
          <a:headEnd/>
          <a:tailEnd/>
        </a:ln>
        <a:effectLst/>
      </xdr:spPr>
      <xdr:txBody>
        <a:bodyPr vertOverflow="clip" wrap="square" lIns="64008" tIns="45720" rIns="64008" bIns="45720" anchor="ctr" upright="1"/>
        <a:lstStyle/>
        <a:p>
          <a:pPr algn="ctr" rtl="0">
            <a:defRPr sz="1000"/>
          </a:pPr>
          <a:r>
            <a:rPr lang="en-US" sz="2800" b="1" i="0" strike="noStrike">
              <a:solidFill>
                <a:srgbClr val="FFFFFF"/>
              </a:solidFill>
              <a:latin typeface="Century Gothic"/>
            </a:rPr>
            <a:t>CRASH DIAGRAM</a:t>
          </a:r>
        </a:p>
      </xdr:txBody>
    </xdr:sp>
    <xdr:clientData fLocksWithSheet="0"/>
  </xdr:twoCellAnchor>
  <xdr:twoCellAnchor editAs="absolute">
    <xdr:from>
      <xdr:col>45</xdr:col>
      <xdr:colOff>119743</xdr:colOff>
      <xdr:row>31</xdr:row>
      <xdr:rowOff>5443</xdr:rowOff>
    </xdr:from>
    <xdr:to>
      <xdr:col>54</xdr:col>
      <xdr:colOff>81644</xdr:colOff>
      <xdr:row>36</xdr:row>
      <xdr:rowOff>43543</xdr:rowOff>
    </xdr:to>
    <xdr:sp macro="" textlink="" fLocksText="0">
      <xdr:nvSpPr>
        <xdr:cNvPr id="120" name="Text Box 36214">
          <a:extLst>
            <a:ext uri="{FF2B5EF4-FFF2-40B4-BE49-F238E27FC236}">
              <a16:creationId xmlns:a16="http://schemas.microsoft.com/office/drawing/2014/main" id="{00000000-0008-0000-1C00-000078000000}"/>
            </a:ext>
          </a:extLst>
        </xdr:cNvPr>
        <xdr:cNvSpPr txBox="1">
          <a:spLocks noChangeArrowheads="1"/>
        </xdr:cNvSpPr>
      </xdr:nvSpPr>
      <xdr:spPr bwMode="auto">
        <a:xfrm>
          <a:off x="17659350" y="5080907"/>
          <a:ext cx="3513365" cy="854529"/>
        </a:xfrm>
        <a:prstGeom prst="rect">
          <a:avLst/>
        </a:prstGeom>
        <a:gradFill rotWithShape="1">
          <a:gsLst>
            <a:gs pos="0">
              <a:srgbClr val="339966">
                <a:gamma/>
                <a:shade val="76078"/>
                <a:invGamma/>
              </a:srgbClr>
            </a:gs>
            <a:gs pos="50000">
              <a:srgbClr val="339966"/>
            </a:gs>
            <a:gs pos="100000">
              <a:srgbClr val="339966">
                <a:gamma/>
                <a:shade val="76078"/>
                <a:invGamma/>
              </a:srgbClr>
            </a:gs>
          </a:gsLst>
          <a:lin ang="5400000" scaled="1"/>
        </a:gradFill>
        <a:ln w="19050" algn="ctr">
          <a:solidFill>
            <a:srgbClr val="000000"/>
          </a:solidFill>
          <a:miter lim="800000"/>
          <a:headEnd/>
          <a:tailEnd/>
        </a:ln>
        <a:effectLst/>
      </xdr:spPr>
      <xdr:txBody>
        <a:bodyPr vertOverflow="clip" wrap="square" lIns="36576" tIns="32004" rIns="36576" bIns="32004" anchor="ctr" upright="1"/>
        <a:lstStyle/>
        <a:p>
          <a:pPr algn="ctr" rtl="0">
            <a:defRPr sz="1000"/>
          </a:pPr>
          <a:r>
            <a:rPr lang="en-US" sz="1600" b="1" i="0" strike="noStrike">
              <a:solidFill>
                <a:srgbClr val="FFFFFF"/>
              </a:solidFill>
              <a:latin typeface="Century Gothic"/>
            </a:rPr>
            <a:t>0.00-2.00 2007 HSP #: </a:t>
          </a:r>
        </a:p>
        <a:p>
          <a:pPr algn="ctr" rtl="0">
            <a:defRPr sz="1000"/>
          </a:pPr>
          <a:r>
            <a:rPr lang="en-US" sz="1600" b="1" i="0" strike="noStrike">
              <a:solidFill>
                <a:srgbClr val="FFFFFF"/>
              </a:solidFill>
              <a:latin typeface="Century Gothic"/>
            </a:rPr>
            <a:t>SR-XX &amp; XX</a:t>
          </a:r>
        </a:p>
        <a:p>
          <a:pPr algn="ctr" rtl="0">
            <a:defRPr sz="1000"/>
          </a:pPr>
          <a:r>
            <a:rPr lang="en-US" sz="1600" b="1" i="0" strike="noStrike">
              <a:solidFill>
                <a:srgbClr val="FFFFFF"/>
              </a:solidFill>
              <a:latin typeface="Century Gothic"/>
            </a:rPr>
            <a:t>Date: </a:t>
          </a:r>
        </a:p>
      </xdr:txBody>
    </xdr:sp>
    <xdr:clientData fLocksWithSheet="0"/>
  </xdr:twoCellAnchor>
  <xdr:twoCellAnchor editAs="absolute">
    <xdr:from>
      <xdr:col>45</xdr:col>
      <xdr:colOff>119742</xdr:colOff>
      <xdr:row>37</xdr:row>
      <xdr:rowOff>59871</xdr:rowOff>
    </xdr:from>
    <xdr:to>
      <xdr:col>54</xdr:col>
      <xdr:colOff>81643</xdr:colOff>
      <xdr:row>55</xdr:row>
      <xdr:rowOff>59872</xdr:rowOff>
    </xdr:to>
    <xdr:sp macro="" textlink="" fLocksText="0">
      <xdr:nvSpPr>
        <xdr:cNvPr id="121" name="Text Box 36216">
          <a:extLst>
            <a:ext uri="{FF2B5EF4-FFF2-40B4-BE49-F238E27FC236}">
              <a16:creationId xmlns:a16="http://schemas.microsoft.com/office/drawing/2014/main" id="{00000000-0008-0000-1C00-000079000000}"/>
            </a:ext>
          </a:extLst>
        </xdr:cNvPr>
        <xdr:cNvSpPr txBox="1">
          <a:spLocks noChangeArrowheads="1"/>
        </xdr:cNvSpPr>
      </xdr:nvSpPr>
      <xdr:spPr bwMode="auto">
        <a:xfrm>
          <a:off x="17659349" y="6115050"/>
          <a:ext cx="3513365" cy="2939143"/>
        </a:xfrm>
        <a:prstGeom prst="rect">
          <a:avLst/>
        </a:prstGeom>
        <a:gradFill rotWithShape="1">
          <a:gsLst>
            <a:gs pos="0">
              <a:srgbClr val="339966">
                <a:gamma/>
                <a:shade val="76078"/>
                <a:invGamma/>
              </a:srgbClr>
            </a:gs>
            <a:gs pos="50000">
              <a:srgbClr val="339966"/>
            </a:gs>
            <a:gs pos="100000">
              <a:srgbClr val="339966">
                <a:gamma/>
                <a:shade val="76078"/>
                <a:invGamma/>
              </a:srgbClr>
            </a:gs>
          </a:gsLst>
          <a:lin ang="5400000" scaled="1"/>
        </a:gradFill>
        <a:ln w="19050" algn="ctr">
          <a:solidFill>
            <a:srgbClr val="000000"/>
          </a:solidFill>
          <a:miter lim="800000"/>
          <a:headEnd/>
          <a:tailEnd/>
        </a:ln>
        <a:effectLst/>
      </xdr:spPr>
      <xdr:txBody>
        <a:bodyPr vertOverflow="clip" wrap="square" lIns="36576" tIns="32004" rIns="0" bIns="32004" anchor="ctr" upright="1"/>
        <a:lstStyle/>
        <a:p>
          <a:pPr algn="l" rtl="0">
            <a:defRPr sz="1000"/>
          </a:pPr>
          <a:r>
            <a:rPr lang="en-US" sz="1600" b="1" i="0" strike="noStrike">
              <a:solidFill>
                <a:srgbClr val="FFFFFF"/>
              </a:solidFill>
              <a:latin typeface="Century Gothic"/>
            </a:rPr>
            <a:t>Notes:</a:t>
          </a:r>
        </a:p>
        <a:p>
          <a:pPr algn="l" rtl="0">
            <a:defRPr sz="1000"/>
          </a:pPr>
          <a:r>
            <a:rPr lang="en-US" sz="1600" b="1" i="0" strike="noStrike">
              <a:solidFill>
                <a:srgbClr val="FFFFFF"/>
              </a:solidFill>
              <a:latin typeface="Century Gothic"/>
            </a:rPr>
            <a:t>Crashes By Year</a:t>
          </a:r>
        </a:p>
        <a:p>
          <a:pPr algn="l" rtl="0">
            <a:defRPr sz="1000"/>
          </a:pPr>
          <a:r>
            <a:rPr lang="en-US" sz="1600" b="1" i="0" strike="noStrike">
              <a:solidFill>
                <a:srgbClr val="FFFFFF"/>
              </a:solidFill>
              <a:latin typeface="Century Gothic"/>
            </a:rPr>
            <a:t>2009: </a:t>
          </a:r>
        </a:p>
        <a:p>
          <a:pPr algn="l" rtl="0">
            <a:defRPr sz="1000"/>
          </a:pPr>
          <a:r>
            <a:rPr lang="en-US" sz="1600" b="1" i="0" strike="noStrike">
              <a:solidFill>
                <a:srgbClr val="FFFFFF"/>
              </a:solidFill>
              <a:latin typeface="Century Gothic"/>
            </a:rPr>
            <a:t>2010: </a:t>
          </a:r>
        </a:p>
        <a:p>
          <a:pPr algn="l" rtl="0">
            <a:defRPr sz="1000"/>
          </a:pPr>
          <a:r>
            <a:rPr lang="en-US" sz="1600" b="1" i="0" strike="noStrike">
              <a:solidFill>
                <a:srgbClr val="FFFFFF"/>
              </a:solidFill>
              <a:latin typeface="Century Gothic"/>
            </a:rPr>
            <a:t>2011: </a:t>
          </a:r>
        </a:p>
        <a:p>
          <a:pPr algn="l" rtl="0">
            <a:defRPr sz="1000"/>
          </a:pPr>
          <a:endParaRPr lang="en-US" sz="1600" b="1" i="0" strike="noStrike">
            <a:solidFill>
              <a:srgbClr val="FFFFFF"/>
            </a:solidFill>
            <a:latin typeface="Century Gothic"/>
          </a:endParaRPr>
        </a:p>
        <a:p>
          <a:pPr algn="l" rtl="0">
            <a:defRPr sz="1000"/>
          </a:pPr>
          <a:r>
            <a:rPr lang="en-US" sz="1600" b="1" i="0" strike="noStrike">
              <a:solidFill>
                <a:srgbClr val="FFFFFF"/>
              </a:solidFill>
              <a:latin typeface="Century Gothic"/>
            </a:rPr>
            <a:t>Safety Program Rank (Year)</a:t>
          </a:r>
        </a:p>
        <a:p>
          <a:pPr algn="l" rtl="0">
            <a:defRPr sz="1000"/>
          </a:pPr>
          <a:r>
            <a:rPr lang="en-US" sz="1600" b="1" i="0" strike="noStrike">
              <a:solidFill>
                <a:srgbClr val="FFFFFF"/>
              </a:solidFill>
              <a:latin typeface="Century Gothic"/>
            </a:rPr>
            <a:t>HSP:    ( )</a:t>
          </a:r>
        </a:p>
        <a:p>
          <a:pPr algn="l" rtl="0">
            <a:defRPr sz="1000"/>
          </a:pPr>
          <a:r>
            <a:rPr lang="en-US" sz="1600" b="1" i="0" strike="noStrike">
              <a:solidFill>
                <a:srgbClr val="FFFFFF"/>
              </a:solidFill>
              <a:latin typeface="Century Gothic"/>
            </a:rPr>
            <a:t>Hot Spot:    ( )</a:t>
          </a:r>
        </a:p>
        <a:p>
          <a:pPr algn="l" rtl="0">
            <a:defRPr sz="1000"/>
          </a:pPr>
          <a:r>
            <a:rPr lang="en-US" sz="1600" b="1" i="0" strike="noStrike">
              <a:solidFill>
                <a:srgbClr val="FFFFFF"/>
              </a:solidFill>
              <a:latin typeface="Century Gothic"/>
            </a:rPr>
            <a:t>Congestion:    ( )</a:t>
          </a:r>
        </a:p>
      </xdr:txBody>
    </xdr:sp>
    <xdr:clientData fLocksWithSheet="0"/>
  </xdr:twoCellAnchor>
  <xdr:twoCellAnchor editAs="oneCell">
    <xdr:from>
      <xdr:col>33</xdr:col>
      <xdr:colOff>85725</xdr:colOff>
      <xdr:row>0</xdr:row>
      <xdr:rowOff>0</xdr:rowOff>
    </xdr:from>
    <xdr:to>
      <xdr:col>37</xdr:col>
      <xdr:colOff>276225</xdr:colOff>
      <xdr:row>4</xdr:row>
      <xdr:rowOff>76200</xdr:rowOff>
    </xdr:to>
    <xdr:sp macro="[0]!ShowToolbar" textlink="">
      <xdr:nvSpPr>
        <xdr:cNvPr id="122" name="AutoShape 37537">
          <a:extLst>
            <a:ext uri="{FF2B5EF4-FFF2-40B4-BE49-F238E27FC236}">
              <a16:creationId xmlns:a16="http://schemas.microsoft.com/office/drawing/2014/main" id="{00000000-0008-0000-1C00-00007A000000}"/>
            </a:ext>
          </a:extLst>
        </xdr:cNvPr>
        <xdr:cNvSpPr>
          <a:spLocks noChangeArrowheads="1"/>
        </xdr:cNvSpPr>
      </xdr:nvSpPr>
      <xdr:spPr bwMode="auto">
        <a:xfrm>
          <a:off x="20202525" y="0"/>
          <a:ext cx="2628900" cy="723900"/>
        </a:xfrm>
        <a:prstGeom prst="bevel">
          <a:avLst>
            <a:gd name="adj" fmla="val 12500"/>
          </a:avLst>
        </a:prstGeom>
        <a:gradFill rotWithShape="1">
          <a:gsLst>
            <a:gs pos="0">
              <a:srgbClr val="FFFFFF">
                <a:gamma/>
                <a:shade val="66275"/>
                <a:invGamma/>
              </a:srgbClr>
            </a:gs>
            <a:gs pos="50000">
              <a:srgbClr val="FFFFFF"/>
            </a:gs>
            <a:gs pos="100000">
              <a:srgbClr val="FFFFFF">
                <a:gamma/>
                <a:shade val="66275"/>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1" i="0" strike="noStrike">
              <a:solidFill>
                <a:srgbClr val="0000FF"/>
              </a:solidFill>
              <a:latin typeface="Tahoma"/>
              <a:cs typeface="Tahoma"/>
            </a:rPr>
            <a:t>Click To Open Analysis Toolbox or Press "Ctrl" + " t "</a:t>
          </a:r>
        </a:p>
      </xdr:txBody>
    </xdr:sp>
    <xdr:clientData fLocksWithSheet="0" fPrintsWithSheet="0"/>
  </xdr:twoCellAnchor>
  <xdr:twoCellAnchor editAs="oneCell">
    <xdr:from>
      <xdr:col>44</xdr:col>
      <xdr:colOff>200025</xdr:colOff>
      <xdr:row>65</xdr:row>
      <xdr:rowOff>9525</xdr:rowOff>
    </xdr:from>
    <xdr:to>
      <xdr:col>54</xdr:col>
      <xdr:colOff>9525</xdr:colOff>
      <xdr:row>65</xdr:row>
      <xdr:rowOff>95250</xdr:rowOff>
    </xdr:to>
    <xdr:grpSp>
      <xdr:nvGrpSpPr>
        <xdr:cNvPr id="16096484" name="Group 41274">
          <a:extLst>
            <a:ext uri="{FF2B5EF4-FFF2-40B4-BE49-F238E27FC236}">
              <a16:creationId xmlns:a16="http://schemas.microsoft.com/office/drawing/2014/main" id="{00000000-0008-0000-1C00-0000E49CF500}"/>
            </a:ext>
          </a:extLst>
        </xdr:cNvPr>
        <xdr:cNvGrpSpPr>
          <a:grpSpLocks/>
        </xdr:cNvGrpSpPr>
      </xdr:nvGrpSpPr>
      <xdr:grpSpPr bwMode="auto">
        <a:xfrm>
          <a:off x="19903168" y="10677525"/>
          <a:ext cx="4345214" cy="85725"/>
          <a:chOff x="0" y="451"/>
          <a:chExt cx="456" cy="7"/>
        </a:xfrm>
      </xdr:grpSpPr>
      <xdr:sp macro="" textlink="">
        <xdr:nvSpPr>
          <xdr:cNvPr id="16096492" name="Line 41275">
            <a:extLst>
              <a:ext uri="{FF2B5EF4-FFF2-40B4-BE49-F238E27FC236}">
                <a16:creationId xmlns:a16="http://schemas.microsoft.com/office/drawing/2014/main" id="{00000000-0008-0000-1C00-0000EC9CF500}"/>
              </a:ext>
            </a:extLst>
          </xdr:cNvPr>
          <xdr:cNvSpPr>
            <a:spLocks noChangeShapeType="1"/>
          </xdr:cNvSpPr>
        </xdr:nvSpPr>
        <xdr:spPr bwMode="auto">
          <a:xfrm>
            <a:off x="0" y="451"/>
            <a:ext cx="456" cy="0"/>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6096493" name="Line 41276">
            <a:extLst>
              <a:ext uri="{FF2B5EF4-FFF2-40B4-BE49-F238E27FC236}">
                <a16:creationId xmlns:a16="http://schemas.microsoft.com/office/drawing/2014/main" id="{00000000-0008-0000-1C00-0000ED9CF500}"/>
              </a:ext>
            </a:extLst>
          </xdr:cNvPr>
          <xdr:cNvSpPr>
            <a:spLocks noChangeShapeType="1"/>
          </xdr:cNvSpPr>
        </xdr:nvSpPr>
        <xdr:spPr bwMode="auto">
          <a:xfrm>
            <a:off x="0" y="458"/>
            <a:ext cx="456" cy="0"/>
          </a:xfrm>
          <a:prstGeom prst="line">
            <a:avLst/>
          </a:prstGeom>
          <a:noFill/>
          <a:ln w="38100">
            <a:solidFill>
              <a:srgbClr val="FFFF00"/>
            </a:solidFill>
            <a:round/>
            <a:headEnd/>
            <a:tailEnd/>
          </a:ln>
          <a:extLst>
            <a:ext uri="{909E8E84-426E-40DD-AFC4-6F175D3DCCD1}">
              <a14:hiddenFill xmlns:a14="http://schemas.microsoft.com/office/drawing/2010/main">
                <a:noFill/>
              </a14:hiddenFill>
            </a:ext>
          </a:extLst>
        </xdr:spPr>
      </xdr:sp>
    </xdr:grpSp>
    <xdr:clientData fLocksWithSheet="0"/>
  </xdr:twoCellAnchor>
  <xdr:twoCellAnchor editAs="oneCell">
    <xdr:from>
      <xdr:col>44</xdr:col>
      <xdr:colOff>200025</xdr:colOff>
      <xdr:row>66</xdr:row>
      <xdr:rowOff>133350</xdr:rowOff>
    </xdr:from>
    <xdr:to>
      <xdr:col>54</xdr:col>
      <xdr:colOff>38100</xdr:colOff>
      <xdr:row>66</xdr:row>
      <xdr:rowOff>133350</xdr:rowOff>
    </xdr:to>
    <xdr:sp macro="" textlink="">
      <xdr:nvSpPr>
        <xdr:cNvPr id="16096485" name="Line 41277">
          <a:extLst>
            <a:ext uri="{FF2B5EF4-FFF2-40B4-BE49-F238E27FC236}">
              <a16:creationId xmlns:a16="http://schemas.microsoft.com/office/drawing/2014/main" id="{00000000-0008-0000-1C00-0000E59CF500}"/>
            </a:ext>
          </a:extLst>
        </xdr:cNvPr>
        <xdr:cNvSpPr>
          <a:spLocks noChangeShapeType="1"/>
        </xdr:cNvSpPr>
      </xdr:nvSpPr>
      <xdr:spPr bwMode="auto">
        <a:xfrm>
          <a:off x="17573625" y="10848975"/>
          <a:ext cx="383857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editAs="oneCell">
    <xdr:from>
      <xdr:col>44</xdr:col>
      <xdr:colOff>323850</xdr:colOff>
      <xdr:row>68</xdr:row>
      <xdr:rowOff>38100</xdr:rowOff>
    </xdr:from>
    <xdr:to>
      <xdr:col>46</xdr:col>
      <xdr:colOff>228600</xdr:colOff>
      <xdr:row>72</xdr:row>
      <xdr:rowOff>0</xdr:rowOff>
    </xdr:to>
    <xdr:sp macro="" textlink="">
      <xdr:nvSpPr>
        <xdr:cNvPr id="16096486" name="Arc 41278">
          <a:extLst>
            <a:ext uri="{FF2B5EF4-FFF2-40B4-BE49-F238E27FC236}">
              <a16:creationId xmlns:a16="http://schemas.microsoft.com/office/drawing/2014/main" id="{00000000-0008-0000-1C00-0000E69CF500}"/>
            </a:ext>
          </a:extLst>
        </xdr:cNvPr>
        <xdr:cNvSpPr>
          <a:spLocks/>
        </xdr:cNvSpPr>
      </xdr:nvSpPr>
      <xdr:spPr bwMode="auto">
        <a:xfrm rot="10800000" flipV="1">
          <a:off x="17697450" y="11077575"/>
          <a:ext cx="704850" cy="609600"/>
        </a:xfrm>
        <a:custGeom>
          <a:avLst/>
          <a:gdLst>
            <a:gd name="T0" fmla="*/ 0 w 21600"/>
            <a:gd name="T1" fmla="*/ 0 h 21600"/>
            <a:gd name="T2" fmla="*/ 2147483647 w 21600"/>
            <a:gd name="T3" fmla="*/ 2147483647 h 21600"/>
            <a:gd name="T4" fmla="*/ 0 w 21600"/>
            <a:gd name="T5" fmla="*/ 2147483647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47</xdr:col>
      <xdr:colOff>123825</xdr:colOff>
      <xdr:row>68</xdr:row>
      <xdr:rowOff>95250</xdr:rowOff>
    </xdr:from>
    <xdr:to>
      <xdr:col>49</xdr:col>
      <xdr:colOff>85725</xdr:colOff>
      <xdr:row>70</xdr:row>
      <xdr:rowOff>9525</xdr:rowOff>
    </xdr:to>
    <xdr:sp macro="" textlink="">
      <xdr:nvSpPr>
        <xdr:cNvPr id="128" name="Text Box 41279">
          <a:extLst>
            <a:ext uri="{FF2B5EF4-FFF2-40B4-BE49-F238E27FC236}">
              <a16:creationId xmlns:a16="http://schemas.microsoft.com/office/drawing/2014/main" id="{00000000-0008-0000-1C00-000080000000}"/>
            </a:ext>
          </a:extLst>
        </xdr:cNvPr>
        <xdr:cNvSpPr txBox="1">
          <a:spLocks noChangeArrowheads="1"/>
        </xdr:cNvSpPr>
      </xdr:nvSpPr>
      <xdr:spPr bwMode="auto">
        <a:xfrm>
          <a:off x="28775025" y="11106150"/>
          <a:ext cx="1181100" cy="238125"/>
        </a:xfrm>
        <a:prstGeom prst="rect">
          <a:avLst/>
        </a:prstGeom>
        <a:gradFill rotWithShape="1">
          <a:gsLst>
            <a:gs pos="0">
              <a:srgbClr val="339966">
                <a:gamma/>
                <a:shade val="76078"/>
                <a:invGamma/>
              </a:srgbClr>
            </a:gs>
            <a:gs pos="50000">
              <a:srgbClr val="339966"/>
            </a:gs>
            <a:gs pos="100000">
              <a:srgbClr val="339966">
                <a:gamma/>
                <a:shade val="76078"/>
                <a:invGamma/>
              </a:srgbClr>
            </a:gs>
          </a:gsLst>
          <a:lin ang="5400000" scaled="1"/>
        </a:gradFill>
        <a:ln w="19050" algn="ctr">
          <a:solidFill>
            <a:srgbClr val="000000"/>
          </a:solidFill>
          <a:miter lim="800000"/>
          <a:headEnd/>
          <a:tailEnd/>
        </a:ln>
        <a:effectLst/>
      </xdr:spPr>
      <xdr:txBody>
        <a:bodyPr vertOverflow="clip" wrap="square" lIns="27432" tIns="18288" rIns="27432" bIns="18288" anchor="ctr" upright="1"/>
        <a:lstStyle/>
        <a:p>
          <a:pPr algn="ctr" rtl="0">
            <a:defRPr sz="1000"/>
          </a:pPr>
          <a:r>
            <a:rPr lang="en-US" sz="1000" b="1" i="0" strike="noStrike">
              <a:solidFill>
                <a:srgbClr val="FFFFFF"/>
              </a:solidFill>
              <a:latin typeface="Tahoma"/>
              <a:cs typeface="Tahoma"/>
            </a:rPr>
            <a:t>Street 1</a:t>
          </a:r>
        </a:p>
      </xdr:txBody>
    </xdr:sp>
    <xdr:clientData fLocksWithSheet="0"/>
  </xdr:twoCellAnchor>
  <xdr:twoCellAnchor editAs="oneCell">
    <xdr:from>
      <xdr:col>50</xdr:col>
      <xdr:colOff>38100</xdr:colOff>
      <xdr:row>68</xdr:row>
      <xdr:rowOff>9525</xdr:rowOff>
    </xdr:from>
    <xdr:to>
      <xdr:col>50</xdr:col>
      <xdr:colOff>38100</xdr:colOff>
      <xdr:row>72</xdr:row>
      <xdr:rowOff>9525</xdr:rowOff>
    </xdr:to>
    <xdr:sp macro="" textlink="">
      <xdr:nvSpPr>
        <xdr:cNvPr id="16096488" name="Line 41280">
          <a:extLst>
            <a:ext uri="{FF2B5EF4-FFF2-40B4-BE49-F238E27FC236}">
              <a16:creationId xmlns:a16="http://schemas.microsoft.com/office/drawing/2014/main" id="{00000000-0008-0000-1C00-0000E89CF500}"/>
            </a:ext>
          </a:extLst>
        </xdr:cNvPr>
        <xdr:cNvSpPr>
          <a:spLocks noChangeShapeType="1"/>
        </xdr:cNvSpPr>
      </xdr:nvSpPr>
      <xdr:spPr bwMode="auto">
        <a:xfrm>
          <a:off x="19812000" y="11049000"/>
          <a:ext cx="0" cy="64770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51</xdr:col>
      <xdr:colOff>57150</xdr:colOff>
      <xdr:row>68</xdr:row>
      <xdr:rowOff>38100</xdr:rowOff>
    </xdr:from>
    <xdr:to>
      <xdr:col>52</xdr:col>
      <xdr:colOff>85725</xdr:colOff>
      <xdr:row>71</xdr:row>
      <xdr:rowOff>57150</xdr:rowOff>
    </xdr:to>
    <xdr:sp macro="" textlink="">
      <xdr:nvSpPr>
        <xdr:cNvPr id="16096489" name="AutoShape 41281">
          <a:extLst>
            <a:ext uri="{FF2B5EF4-FFF2-40B4-BE49-F238E27FC236}">
              <a16:creationId xmlns:a16="http://schemas.microsoft.com/office/drawing/2014/main" id="{00000000-0008-0000-1C00-0000E99CF500}"/>
            </a:ext>
          </a:extLst>
        </xdr:cNvPr>
        <xdr:cNvSpPr>
          <a:spLocks noChangeArrowheads="1"/>
        </xdr:cNvSpPr>
      </xdr:nvSpPr>
      <xdr:spPr bwMode="auto">
        <a:xfrm>
          <a:off x="20231100" y="11077575"/>
          <a:ext cx="428625" cy="504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17694720 60000 65536"/>
            <a:gd name="T9" fmla="*/ 5898240 60000 65536"/>
            <a:gd name="T10" fmla="*/ 5898240 60000 65536"/>
            <a:gd name="T11" fmla="*/ 0 60000 65536"/>
            <a:gd name="T12" fmla="*/ 12427 w 21600"/>
            <a:gd name="T13" fmla="*/ 2400 h 21600"/>
            <a:gd name="T14" fmla="*/ 16049 w 21600"/>
            <a:gd name="T15" fmla="*/ 9758 h 21600"/>
          </a:gdLst>
          <a:ahLst/>
          <a:cxnLst>
            <a:cxn ang="T8">
              <a:pos x="T0" y="T1"/>
            </a:cxn>
            <a:cxn ang="T9">
              <a:pos x="T2" y="T3"/>
            </a:cxn>
            <a:cxn ang="T10">
              <a:pos x="T4" y="T5"/>
            </a:cxn>
            <a:cxn ang="T11">
              <a:pos x="T6" y="T7"/>
            </a:cxn>
          </a:cxnLst>
          <a:rect l="T12" t="T13" r="T14" b="T15"/>
          <a:pathLst>
            <a:path w="21600" h="21600">
              <a:moveTo>
                <a:pt x="21600" y="6079"/>
              </a:moveTo>
              <a:lnTo>
                <a:pt x="12427" y="0"/>
              </a:lnTo>
              <a:lnTo>
                <a:pt x="12427" y="2400"/>
              </a:lnTo>
              <a:cubicBezTo>
                <a:pt x="5564" y="2400"/>
                <a:pt x="0" y="6769"/>
                <a:pt x="0" y="12158"/>
              </a:cubicBezTo>
              <a:lnTo>
                <a:pt x="0" y="21600"/>
              </a:lnTo>
              <a:lnTo>
                <a:pt x="7521" y="21600"/>
              </a:lnTo>
              <a:lnTo>
                <a:pt x="7521" y="12158"/>
              </a:lnTo>
              <a:cubicBezTo>
                <a:pt x="7521" y="10833"/>
                <a:pt x="9717" y="9758"/>
                <a:pt x="12427" y="9758"/>
              </a:cubicBezTo>
              <a:lnTo>
                <a:pt x="12427" y="12158"/>
              </a:lnTo>
              <a:lnTo>
                <a:pt x="21600" y="6079"/>
              </a:lnTo>
              <a:close/>
            </a:path>
          </a:pathLst>
        </a:custGeom>
        <a:solidFill>
          <a:srgbClr val="FFFFFF"/>
        </a:solidFill>
        <a:ln w="19050" algn="ctr">
          <a:solidFill>
            <a:srgbClr val="000000"/>
          </a:solidFill>
          <a:miter lim="800000"/>
          <a:headEnd/>
          <a:tailEnd/>
        </a:ln>
      </xdr:spPr>
    </xdr:sp>
    <xdr:clientData/>
  </xdr:twoCellAnchor>
  <xdr:twoCellAnchor>
    <xdr:from>
      <xdr:col>52</xdr:col>
      <xdr:colOff>228600</xdr:colOff>
      <xdr:row>68</xdr:row>
      <xdr:rowOff>38100</xdr:rowOff>
    </xdr:from>
    <xdr:to>
      <xdr:col>53</xdr:col>
      <xdr:colOff>238125</xdr:colOff>
      <xdr:row>71</xdr:row>
      <xdr:rowOff>57150</xdr:rowOff>
    </xdr:to>
    <xdr:sp macro="" textlink="">
      <xdr:nvSpPr>
        <xdr:cNvPr id="16096490" name="AutoShape 41282">
          <a:extLst>
            <a:ext uri="{FF2B5EF4-FFF2-40B4-BE49-F238E27FC236}">
              <a16:creationId xmlns:a16="http://schemas.microsoft.com/office/drawing/2014/main" id="{00000000-0008-0000-1C00-0000EA9CF500}"/>
            </a:ext>
          </a:extLst>
        </xdr:cNvPr>
        <xdr:cNvSpPr>
          <a:spLocks noChangeArrowheads="1"/>
        </xdr:cNvSpPr>
      </xdr:nvSpPr>
      <xdr:spPr bwMode="auto">
        <a:xfrm flipH="1">
          <a:off x="20802600" y="11077575"/>
          <a:ext cx="409575" cy="504825"/>
        </a:xfrm>
        <a:custGeom>
          <a:avLst/>
          <a:gdLst>
            <a:gd name="T0" fmla="*/ 2147483647 w 21600"/>
            <a:gd name="T1" fmla="*/ 0 h 21600"/>
            <a:gd name="T2" fmla="*/ 2147483647 w 21600"/>
            <a:gd name="T3" fmla="*/ 2147483647 h 21600"/>
            <a:gd name="T4" fmla="*/ 2147483647 w 21600"/>
            <a:gd name="T5" fmla="*/ 2147483647 h 21600"/>
            <a:gd name="T6" fmla="*/ 2147483647 w 21600"/>
            <a:gd name="T7" fmla="*/ 2147483647 h 21600"/>
            <a:gd name="T8" fmla="*/ 17694720 60000 65536"/>
            <a:gd name="T9" fmla="*/ 5898240 60000 65536"/>
            <a:gd name="T10" fmla="*/ 5898240 60000 65536"/>
            <a:gd name="T11" fmla="*/ 0 60000 65536"/>
            <a:gd name="T12" fmla="*/ 12427 w 21600"/>
            <a:gd name="T13" fmla="*/ 2400 h 21600"/>
            <a:gd name="T14" fmla="*/ 16049 w 21600"/>
            <a:gd name="T15" fmla="*/ 9758 h 21600"/>
          </a:gdLst>
          <a:ahLst/>
          <a:cxnLst>
            <a:cxn ang="T8">
              <a:pos x="T0" y="T1"/>
            </a:cxn>
            <a:cxn ang="T9">
              <a:pos x="T2" y="T3"/>
            </a:cxn>
            <a:cxn ang="T10">
              <a:pos x="T4" y="T5"/>
            </a:cxn>
            <a:cxn ang="T11">
              <a:pos x="T6" y="T7"/>
            </a:cxn>
          </a:cxnLst>
          <a:rect l="T12" t="T13" r="T14" b="T15"/>
          <a:pathLst>
            <a:path w="21600" h="21600">
              <a:moveTo>
                <a:pt x="21600" y="6079"/>
              </a:moveTo>
              <a:lnTo>
                <a:pt x="12427" y="0"/>
              </a:lnTo>
              <a:lnTo>
                <a:pt x="12427" y="2400"/>
              </a:lnTo>
              <a:cubicBezTo>
                <a:pt x="5564" y="2400"/>
                <a:pt x="0" y="6769"/>
                <a:pt x="0" y="12158"/>
              </a:cubicBezTo>
              <a:lnTo>
                <a:pt x="0" y="21600"/>
              </a:lnTo>
              <a:lnTo>
                <a:pt x="7521" y="21600"/>
              </a:lnTo>
              <a:lnTo>
                <a:pt x="7521" y="12158"/>
              </a:lnTo>
              <a:cubicBezTo>
                <a:pt x="7521" y="10833"/>
                <a:pt x="9717" y="9758"/>
                <a:pt x="12427" y="9758"/>
              </a:cubicBezTo>
              <a:lnTo>
                <a:pt x="12427" y="12158"/>
              </a:lnTo>
              <a:lnTo>
                <a:pt x="21600" y="6079"/>
              </a:lnTo>
              <a:close/>
            </a:path>
          </a:pathLst>
        </a:custGeom>
        <a:solidFill>
          <a:srgbClr val="FFFFFF"/>
        </a:solidFill>
        <a:ln w="19050" algn="ctr">
          <a:solidFill>
            <a:srgbClr val="000000"/>
          </a:solidFill>
          <a:miter lim="800000"/>
          <a:headEnd/>
          <a:tailEnd/>
        </a:ln>
      </xdr:spPr>
    </xdr:sp>
    <xdr:clientData/>
  </xdr:twoCellAnchor>
  <xdr:twoCellAnchor editAs="oneCell">
    <xdr:from>
      <xdr:col>38</xdr:col>
      <xdr:colOff>27215</xdr:colOff>
      <xdr:row>74</xdr:row>
      <xdr:rowOff>70758</xdr:rowOff>
    </xdr:from>
    <xdr:to>
      <xdr:col>42</xdr:col>
      <xdr:colOff>217715</xdr:colOff>
      <xdr:row>78</xdr:row>
      <xdr:rowOff>156482</xdr:rowOff>
    </xdr:to>
    <xdr:sp macro="[0]!ShowToolbar" textlink="">
      <xdr:nvSpPr>
        <xdr:cNvPr id="132" name="AutoShape 41283">
          <a:extLst>
            <a:ext uri="{FF2B5EF4-FFF2-40B4-BE49-F238E27FC236}">
              <a16:creationId xmlns:a16="http://schemas.microsoft.com/office/drawing/2014/main" id="{00000000-0008-0000-1C00-000084000000}"/>
            </a:ext>
          </a:extLst>
        </xdr:cNvPr>
        <xdr:cNvSpPr>
          <a:spLocks noChangeArrowheads="1"/>
        </xdr:cNvSpPr>
      </xdr:nvSpPr>
      <xdr:spPr bwMode="auto">
        <a:xfrm>
          <a:off x="14804572" y="12194722"/>
          <a:ext cx="1768929" cy="738867"/>
        </a:xfrm>
        <a:prstGeom prst="bevel">
          <a:avLst>
            <a:gd name="adj" fmla="val 12500"/>
          </a:avLst>
        </a:prstGeom>
        <a:gradFill rotWithShape="1">
          <a:gsLst>
            <a:gs pos="0">
              <a:srgbClr val="FFFFFF">
                <a:gamma/>
                <a:shade val="66275"/>
                <a:invGamma/>
              </a:srgbClr>
            </a:gs>
            <a:gs pos="50000">
              <a:srgbClr val="FFFFFF"/>
            </a:gs>
            <a:gs pos="100000">
              <a:srgbClr val="FFFFFF">
                <a:gamma/>
                <a:shade val="66275"/>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1" i="0" strike="noStrike">
              <a:solidFill>
                <a:srgbClr val="0000FF"/>
              </a:solidFill>
              <a:latin typeface="Tahoma"/>
              <a:cs typeface="Tahoma"/>
            </a:rPr>
            <a:t>Click To Open Analysis Toolbox or Press "Ctrl" + " t "</a:t>
          </a:r>
        </a:p>
      </xdr:txBody>
    </xdr:sp>
    <xdr:clientData fLocksWithSheet="0" fPrintsWithSheet="0"/>
  </xdr:twoCellAnchor>
  <xdr:twoCellAnchor editAs="absolute">
    <xdr:from>
      <xdr:col>37</xdr:col>
      <xdr:colOff>353785</xdr:colOff>
      <xdr:row>0</xdr:row>
      <xdr:rowOff>68037</xdr:rowOff>
    </xdr:from>
    <xdr:to>
      <xdr:col>61</xdr:col>
      <xdr:colOff>95249</xdr:colOff>
      <xdr:row>23</xdr:row>
      <xdr:rowOff>108858</xdr:rowOff>
    </xdr:to>
    <xdr:sp macro="" textlink="" fLocksText="0">
      <xdr:nvSpPr>
        <xdr:cNvPr id="259" name="Text Box 36216">
          <a:extLst>
            <a:ext uri="{FF2B5EF4-FFF2-40B4-BE49-F238E27FC236}">
              <a16:creationId xmlns:a16="http://schemas.microsoft.com/office/drawing/2014/main" id="{00000000-0008-0000-1C00-000003010000}"/>
            </a:ext>
          </a:extLst>
        </xdr:cNvPr>
        <xdr:cNvSpPr txBox="1">
          <a:spLocks noChangeArrowheads="1"/>
        </xdr:cNvSpPr>
      </xdr:nvSpPr>
      <xdr:spPr bwMode="auto">
        <a:xfrm>
          <a:off x="14736535" y="68037"/>
          <a:ext cx="9212035" cy="3810000"/>
        </a:xfrm>
        <a:prstGeom prst="rect">
          <a:avLst/>
        </a:prstGeom>
        <a:solidFill>
          <a:schemeClr val="accent5">
            <a:lumMod val="50000"/>
          </a:schemeClr>
        </a:solidFill>
        <a:ln w="19050" algn="ctr">
          <a:solidFill>
            <a:srgbClr val="000000"/>
          </a:solidFill>
          <a:miter lim="800000"/>
          <a:headEnd/>
          <a:tailEnd/>
        </a:ln>
        <a:effectLst/>
      </xdr:spPr>
      <xdr:txBody>
        <a:bodyPr vertOverflow="clip" wrap="square" lIns="36576" tIns="32004" rIns="0" bIns="32004" anchor="t" upright="1"/>
        <a:lstStyle/>
        <a:p>
          <a:pPr algn="l" rtl="0">
            <a:defRPr sz="1000"/>
          </a:pPr>
          <a:r>
            <a:rPr lang="en-US" sz="1600" b="1" i="0" u="sng" strike="noStrike">
              <a:solidFill>
                <a:srgbClr val="FFFF00"/>
              </a:solidFill>
              <a:latin typeface="Arial" panose="020B0604020202020204" pitchFamily="34" charset="0"/>
              <a:cs typeface="Arial" panose="020B0604020202020204" pitchFamily="34" charset="0"/>
            </a:rPr>
            <a:t>Steps</a:t>
          </a:r>
          <a:r>
            <a:rPr lang="en-US" sz="1600" b="1" i="0" u="sng" strike="noStrike" baseline="0">
              <a:solidFill>
                <a:srgbClr val="FFFF00"/>
              </a:solidFill>
              <a:latin typeface="Arial" panose="020B0604020202020204" pitchFamily="34" charset="0"/>
              <a:cs typeface="Arial" panose="020B0604020202020204" pitchFamily="34" charset="0"/>
            </a:rPr>
            <a:t> to complete a collision diagram: </a:t>
          </a:r>
        </a:p>
        <a:p>
          <a:pPr algn="l" rtl="0">
            <a:defRPr sz="1000"/>
          </a:pPr>
          <a:endParaRPr lang="en-US" sz="1600" b="1" i="0" strike="noStrike" baseline="0">
            <a:solidFill>
              <a:srgbClr val="FFFFFF"/>
            </a:solidFill>
            <a:latin typeface="Arial" panose="020B0604020202020204" pitchFamily="34" charset="0"/>
            <a:cs typeface="Arial" panose="020B0604020202020204" pitchFamily="34" charset="0"/>
          </a:endParaRPr>
        </a:p>
        <a:p>
          <a:pPr algn="l" rtl="0">
            <a:defRPr sz="1000"/>
          </a:pPr>
          <a:r>
            <a:rPr lang="en-US" sz="1600" b="1" i="0" strike="noStrike" baseline="0">
              <a:solidFill>
                <a:srgbClr val="FFFFFF"/>
              </a:solidFill>
              <a:latin typeface="Arial" panose="020B0604020202020204" pitchFamily="34" charset="0"/>
              <a:cs typeface="Arial" panose="020B0604020202020204" pitchFamily="34" charset="0"/>
            </a:rPr>
            <a:t>1) Select 'Generate Collision Diagram' from the Analysis Toolbox</a:t>
          </a:r>
        </a:p>
        <a:p>
          <a:pPr algn="l" rtl="0">
            <a:defRPr sz="1000"/>
          </a:pPr>
          <a:endParaRPr lang="en-US" sz="1600" b="1" i="0" strike="noStrike" baseline="0">
            <a:solidFill>
              <a:srgbClr val="FFFFFF"/>
            </a:solidFill>
            <a:latin typeface="Arial" panose="020B0604020202020204" pitchFamily="34" charset="0"/>
            <a:cs typeface="Arial" panose="020B0604020202020204" pitchFamily="34" charset="0"/>
          </a:endParaRPr>
        </a:p>
        <a:p>
          <a:pPr algn="l" rtl="0">
            <a:defRPr sz="1000"/>
          </a:pPr>
          <a:r>
            <a:rPr lang="en-US" sz="1600" b="1" i="0" strike="noStrike" baseline="0">
              <a:solidFill>
                <a:srgbClr val="FFFFFF"/>
              </a:solidFill>
              <a:latin typeface="Arial" panose="020B0604020202020204" pitchFamily="34" charset="0"/>
              <a:cs typeface="Arial" panose="020B0604020202020204" pitchFamily="34" charset="0"/>
            </a:rPr>
            <a:t>2) Verify the diagram labels. If you would like any different ones, select them in the analysis toolbox and then update labels. </a:t>
          </a:r>
          <a:r>
            <a:rPr lang="en-US" sz="1600" b="1" i="0" u="sng" strike="noStrike" baseline="0">
              <a:solidFill>
                <a:srgbClr val="FFFFFF"/>
              </a:solidFill>
              <a:latin typeface="Arial" panose="020B0604020202020204" pitchFamily="34" charset="0"/>
              <a:cs typeface="Arial" panose="020B0604020202020204" pitchFamily="34" charset="0"/>
            </a:rPr>
            <a:t>You may need to save and close out the first time you try this. </a:t>
          </a:r>
          <a:r>
            <a:rPr lang="en-US" sz="1600" b="1" i="0" strike="noStrike" baseline="0">
              <a:solidFill>
                <a:srgbClr val="FFFFFF"/>
              </a:solidFill>
              <a:latin typeface="Arial" panose="020B0604020202020204" pitchFamily="34" charset="0"/>
              <a:cs typeface="Arial" panose="020B0604020202020204" pitchFamily="34" charset="0"/>
            </a:rPr>
            <a:t>After that, the update labels button should automatically update them.</a:t>
          </a:r>
        </a:p>
        <a:p>
          <a:pPr algn="l" rtl="0">
            <a:defRPr sz="1000"/>
          </a:pPr>
          <a:endParaRPr lang="en-US" sz="1600" b="1" i="0" strike="noStrike" baseline="0">
            <a:solidFill>
              <a:srgbClr val="FFFFFF"/>
            </a:solidFill>
            <a:latin typeface="Arial" panose="020B0604020202020204" pitchFamily="34" charset="0"/>
            <a:cs typeface="Arial" panose="020B0604020202020204" pitchFamily="34" charset="0"/>
          </a:endParaRPr>
        </a:p>
        <a:p>
          <a:pPr algn="l" rtl="0">
            <a:defRPr sz="1000"/>
          </a:pPr>
          <a:r>
            <a:rPr lang="en-US" sz="1600" b="1" i="0" strike="noStrike" baseline="0">
              <a:solidFill>
                <a:srgbClr val="FFFFFF"/>
              </a:solidFill>
              <a:latin typeface="Arial" panose="020B0604020202020204" pitchFamily="34" charset="0"/>
              <a:cs typeface="Arial" panose="020B0604020202020204" pitchFamily="34" charset="0"/>
            </a:rPr>
            <a:t>3) Find an aerial image of the location (bing, google, etc) and paste below intersection diagram.</a:t>
          </a:r>
        </a:p>
        <a:p>
          <a:pPr algn="l" rtl="0">
            <a:defRPr sz="1000"/>
          </a:pPr>
          <a:endParaRPr lang="en-US" sz="1600" b="1" i="0" strike="noStrike" baseline="0">
            <a:solidFill>
              <a:srgbClr val="FFFFFF"/>
            </a:solidFill>
            <a:latin typeface="Arial" panose="020B0604020202020204" pitchFamily="34" charset="0"/>
            <a:cs typeface="Arial" panose="020B0604020202020204" pitchFamily="34" charset="0"/>
          </a:endParaRPr>
        </a:p>
        <a:p>
          <a:pPr algn="l" rtl="0">
            <a:defRPr sz="1000"/>
          </a:pPr>
          <a:r>
            <a:rPr lang="en-US" sz="1600" b="1" i="0" strike="noStrike" baseline="0">
              <a:solidFill>
                <a:srgbClr val="FFFFFF"/>
              </a:solidFill>
              <a:latin typeface="Arial" panose="020B0604020202020204" pitchFamily="34" charset="0"/>
              <a:cs typeface="Arial" panose="020B0604020202020204" pitchFamily="34" charset="0"/>
            </a:rPr>
            <a:t>4) Click on each crash label and the report should then pop up. Locate the crash on the aerial image to where it occurred.</a:t>
          </a:r>
        </a:p>
        <a:p>
          <a:pPr algn="l" rtl="0">
            <a:defRPr sz="1000"/>
          </a:pPr>
          <a:endParaRPr lang="en-US" sz="1600" b="1" i="0" strike="noStrike" baseline="0">
            <a:solidFill>
              <a:srgbClr val="FFFFFF"/>
            </a:solidFill>
            <a:latin typeface="Arial" panose="020B0604020202020204" pitchFamily="34" charset="0"/>
            <a:cs typeface="Arial" panose="020B0604020202020204" pitchFamily="34" charset="0"/>
          </a:endParaRPr>
        </a:p>
        <a:p>
          <a:pPr algn="l" rtl="0">
            <a:defRPr sz="1000"/>
          </a:pPr>
          <a:r>
            <a:rPr lang="en-US" sz="1600" b="1" i="0" strike="noStrike" baseline="0">
              <a:solidFill>
                <a:srgbClr val="FFFFFF"/>
              </a:solidFill>
              <a:latin typeface="Arial" panose="020B0604020202020204" pitchFamily="34" charset="0"/>
              <a:cs typeface="Arial" panose="020B0604020202020204" pitchFamily="34" charset="0"/>
            </a:rPr>
            <a:t>5) Use the icons and text boxes on the right hand side to complete the diagram by providing information about the focus location.</a:t>
          </a:r>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6</xdr:col>
      <xdr:colOff>133350</xdr:colOff>
      <xdr:row>0</xdr:row>
      <xdr:rowOff>47625</xdr:rowOff>
    </xdr:from>
    <xdr:to>
      <xdr:col>13</xdr:col>
      <xdr:colOff>152400</xdr:colOff>
      <xdr:row>17</xdr:row>
      <xdr:rowOff>57150</xdr:rowOff>
    </xdr:to>
    <xdr:grpSp>
      <xdr:nvGrpSpPr>
        <xdr:cNvPr id="15766063" name="Group 86">
          <a:extLst>
            <a:ext uri="{FF2B5EF4-FFF2-40B4-BE49-F238E27FC236}">
              <a16:creationId xmlns:a16="http://schemas.microsoft.com/office/drawing/2014/main" id="{00000000-0008-0000-1E00-00002F92F000}"/>
            </a:ext>
          </a:extLst>
        </xdr:cNvPr>
        <xdr:cNvGrpSpPr>
          <a:grpSpLocks/>
        </xdr:cNvGrpSpPr>
      </xdr:nvGrpSpPr>
      <xdr:grpSpPr bwMode="auto">
        <a:xfrm>
          <a:off x="5288056" y="47625"/>
          <a:ext cx="4277285" cy="4043643"/>
          <a:chOff x="493" y="5"/>
          <a:chExt cx="395" cy="385"/>
        </a:xfrm>
      </xdr:grpSpPr>
      <xdr:grpSp>
        <xdr:nvGrpSpPr>
          <xdr:cNvPr id="15766081" name="Group 33">
            <a:extLst>
              <a:ext uri="{FF2B5EF4-FFF2-40B4-BE49-F238E27FC236}">
                <a16:creationId xmlns:a16="http://schemas.microsoft.com/office/drawing/2014/main" id="{00000000-0008-0000-1E00-00004192F000}"/>
              </a:ext>
            </a:extLst>
          </xdr:cNvPr>
          <xdr:cNvGrpSpPr>
            <a:grpSpLocks/>
          </xdr:cNvGrpSpPr>
        </xdr:nvGrpSpPr>
        <xdr:grpSpPr bwMode="auto">
          <a:xfrm>
            <a:off x="493" y="42"/>
            <a:ext cx="395" cy="348"/>
            <a:chOff x="332" y="90"/>
            <a:chExt cx="395" cy="385"/>
          </a:xfrm>
        </xdr:grpSpPr>
        <xdr:sp macro="" textlink="">
          <xdr:nvSpPr>
            <xdr:cNvPr id="15766088" name="Line 4">
              <a:extLst>
                <a:ext uri="{FF2B5EF4-FFF2-40B4-BE49-F238E27FC236}">
                  <a16:creationId xmlns:a16="http://schemas.microsoft.com/office/drawing/2014/main" id="{00000000-0008-0000-1E00-00004892F000}"/>
                </a:ext>
              </a:extLst>
            </xdr:cNvPr>
            <xdr:cNvSpPr>
              <a:spLocks noChangeShapeType="1"/>
            </xdr:cNvSpPr>
          </xdr:nvSpPr>
          <xdr:spPr bwMode="auto">
            <a:xfrm>
              <a:off x="490" y="90"/>
              <a:ext cx="0" cy="93"/>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66089" name="Arc 8">
              <a:extLst>
                <a:ext uri="{FF2B5EF4-FFF2-40B4-BE49-F238E27FC236}">
                  <a16:creationId xmlns:a16="http://schemas.microsoft.com/office/drawing/2014/main" id="{00000000-0008-0000-1E00-00004992F000}"/>
                </a:ext>
              </a:extLst>
            </xdr:cNvPr>
            <xdr:cNvSpPr>
              <a:spLocks/>
            </xdr:cNvSpPr>
          </xdr:nvSpPr>
          <xdr:spPr bwMode="auto">
            <a:xfrm rot="5400000">
              <a:off x="391" y="159"/>
              <a:ext cx="77" cy="12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766090" name="Line 9">
              <a:extLst>
                <a:ext uri="{FF2B5EF4-FFF2-40B4-BE49-F238E27FC236}">
                  <a16:creationId xmlns:a16="http://schemas.microsoft.com/office/drawing/2014/main" id="{00000000-0008-0000-1E00-00004A92F000}"/>
                </a:ext>
              </a:extLst>
            </xdr:cNvPr>
            <xdr:cNvSpPr>
              <a:spLocks noChangeShapeType="1"/>
            </xdr:cNvSpPr>
          </xdr:nvSpPr>
          <xdr:spPr bwMode="auto">
            <a:xfrm>
              <a:off x="569" y="92"/>
              <a:ext cx="0" cy="9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66091" name="Arc 10">
              <a:extLst>
                <a:ext uri="{FF2B5EF4-FFF2-40B4-BE49-F238E27FC236}">
                  <a16:creationId xmlns:a16="http://schemas.microsoft.com/office/drawing/2014/main" id="{00000000-0008-0000-1E00-00004B92F000}"/>
                </a:ext>
              </a:extLst>
            </xdr:cNvPr>
            <xdr:cNvSpPr>
              <a:spLocks/>
            </xdr:cNvSpPr>
          </xdr:nvSpPr>
          <xdr:spPr bwMode="auto">
            <a:xfrm rot="10800000">
              <a:off x="569" y="182"/>
              <a:ext cx="120" cy="77"/>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766092" name="Line 13">
              <a:extLst>
                <a:ext uri="{FF2B5EF4-FFF2-40B4-BE49-F238E27FC236}">
                  <a16:creationId xmlns:a16="http://schemas.microsoft.com/office/drawing/2014/main" id="{00000000-0008-0000-1E00-00004C92F000}"/>
                </a:ext>
              </a:extLst>
            </xdr:cNvPr>
            <xdr:cNvSpPr>
              <a:spLocks noChangeShapeType="1"/>
            </xdr:cNvSpPr>
          </xdr:nvSpPr>
          <xdr:spPr bwMode="auto">
            <a:xfrm flipV="1">
              <a:off x="490" y="392"/>
              <a:ext cx="0" cy="82"/>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66093" name="Arc 14">
              <a:extLst>
                <a:ext uri="{FF2B5EF4-FFF2-40B4-BE49-F238E27FC236}">
                  <a16:creationId xmlns:a16="http://schemas.microsoft.com/office/drawing/2014/main" id="{00000000-0008-0000-1E00-00004D92F000}"/>
                </a:ext>
              </a:extLst>
            </xdr:cNvPr>
            <xdr:cNvSpPr>
              <a:spLocks/>
            </xdr:cNvSpPr>
          </xdr:nvSpPr>
          <xdr:spPr bwMode="auto">
            <a:xfrm rot="16200000" flipV="1">
              <a:off x="396" y="300"/>
              <a:ext cx="69" cy="120"/>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766094" name="Line 15">
              <a:extLst>
                <a:ext uri="{FF2B5EF4-FFF2-40B4-BE49-F238E27FC236}">
                  <a16:creationId xmlns:a16="http://schemas.microsoft.com/office/drawing/2014/main" id="{00000000-0008-0000-1E00-00004E92F000}"/>
                </a:ext>
              </a:extLst>
            </xdr:cNvPr>
            <xdr:cNvSpPr>
              <a:spLocks noChangeShapeType="1"/>
            </xdr:cNvSpPr>
          </xdr:nvSpPr>
          <xdr:spPr bwMode="auto">
            <a:xfrm flipV="1">
              <a:off x="570" y="393"/>
              <a:ext cx="0" cy="8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66095" name="Arc 16">
              <a:extLst>
                <a:ext uri="{FF2B5EF4-FFF2-40B4-BE49-F238E27FC236}">
                  <a16:creationId xmlns:a16="http://schemas.microsoft.com/office/drawing/2014/main" id="{00000000-0008-0000-1E00-00004F92F000}"/>
                </a:ext>
              </a:extLst>
            </xdr:cNvPr>
            <xdr:cNvSpPr>
              <a:spLocks/>
            </xdr:cNvSpPr>
          </xdr:nvSpPr>
          <xdr:spPr bwMode="auto">
            <a:xfrm rot="10800000" flipV="1">
              <a:off x="570" y="325"/>
              <a:ext cx="120" cy="68"/>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2540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766096" name="Line 17">
              <a:extLst>
                <a:ext uri="{FF2B5EF4-FFF2-40B4-BE49-F238E27FC236}">
                  <a16:creationId xmlns:a16="http://schemas.microsoft.com/office/drawing/2014/main" id="{00000000-0008-0000-1E00-00005092F000}"/>
                </a:ext>
              </a:extLst>
            </xdr:cNvPr>
            <xdr:cNvSpPr>
              <a:spLocks noChangeShapeType="1"/>
            </xdr:cNvSpPr>
          </xdr:nvSpPr>
          <xdr:spPr bwMode="auto">
            <a:xfrm flipH="1">
              <a:off x="332" y="257"/>
              <a:ext cx="38"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66097" name="Line 18">
              <a:extLst>
                <a:ext uri="{FF2B5EF4-FFF2-40B4-BE49-F238E27FC236}">
                  <a16:creationId xmlns:a16="http://schemas.microsoft.com/office/drawing/2014/main" id="{00000000-0008-0000-1E00-00005192F000}"/>
                </a:ext>
              </a:extLst>
            </xdr:cNvPr>
            <xdr:cNvSpPr>
              <a:spLocks noChangeShapeType="1"/>
            </xdr:cNvSpPr>
          </xdr:nvSpPr>
          <xdr:spPr bwMode="auto">
            <a:xfrm flipH="1">
              <a:off x="333" y="326"/>
              <a:ext cx="38"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66098" name="Line 19">
              <a:extLst>
                <a:ext uri="{FF2B5EF4-FFF2-40B4-BE49-F238E27FC236}">
                  <a16:creationId xmlns:a16="http://schemas.microsoft.com/office/drawing/2014/main" id="{00000000-0008-0000-1E00-00005292F000}"/>
                </a:ext>
              </a:extLst>
            </xdr:cNvPr>
            <xdr:cNvSpPr>
              <a:spLocks noChangeShapeType="1"/>
            </xdr:cNvSpPr>
          </xdr:nvSpPr>
          <xdr:spPr bwMode="auto">
            <a:xfrm flipH="1">
              <a:off x="689" y="259"/>
              <a:ext cx="38"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66099" name="Line 20">
              <a:extLst>
                <a:ext uri="{FF2B5EF4-FFF2-40B4-BE49-F238E27FC236}">
                  <a16:creationId xmlns:a16="http://schemas.microsoft.com/office/drawing/2014/main" id="{00000000-0008-0000-1E00-00005392F000}"/>
                </a:ext>
              </a:extLst>
            </xdr:cNvPr>
            <xdr:cNvSpPr>
              <a:spLocks noChangeShapeType="1"/>
            </xdr:cNvSpPr>
          </xdr:nvSpPr>
          <xdr:spPr bwMode="auto">
            <a:xfrm flipH="1">
              <a:off x="689" y="325"/>
              <a:ext cx="38"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grpSp>
          <xdr:nvGrpSpPr>
            <xdr:cNvPr id="15766100" name="Group 32">
              <a:extLst>
                <a:ext uri="{FF2B5EF4-FFF2-40B4-BE49-F238E27FC236}">
                  <a16:creationId xmlns:a16="http://schemas.microsoft.com/office/drawing/2014/main" id="{00000000-0008-0000-1E00-00005492F000}"/>
                </a:ext>
              </a:extLst>
            </xdr:cNvPr>
            <xdr:cNvGrpSpPr>
              <a:grpSpLocks/>
            </xdr:cNvGrpSpPr>
          </xdr:nvGrpSpPr>
          <xdr:grpSpPr bwMode="auto">
            <a:xfrm>
              <a:off x="529" y="93"/>
              <a:ext cx="6" cy="102"/>
              <a:chOff x="388" y="92"/>
              <a:chExt cx="6" cy="119"/>
            </a:xfrm>
          </xdr:grpSpPr>
          <xdr:sp macro="" textlink="">
            <xdr:nvSpPr>
              <xdr:cNvPr id="15766110" name="Line 21">
                <a:extLst>
                  <a:ext uri="{FF2B5EF4-FFF2-40B4-BE49-F238E27FC236}">
                    <a16:creationId xmlns:a16="http://schemas.microsoft.com/office/drawing/2014/main" id="{00000000-0008-0000-1E00-00005E92F000}"/>
                  </a:ext>
                </a:extLst>
              </xdr:cNvPr>
              <xdr:cNvSpPr>
                <a:spLocks noChangeShapeType="1"/>
              </xdr:cNvSpPr>
            </xdr:nvSpPr>
            <xdr:spPr bwMode="auto">
              <a:xfrm>
                <a:off x="388" y="92"/>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5766111" name="Line 22">
                <a:extLst>
                  <a:ext uri="{FF2B5EF4-FFF2-40B4-BE49-F238E27FC236}">
                    <a16:creationId xmlns:a16="http://schemas.microsoft.com/office/drawing/2014/main" id="{00000000-0008-0000-1E00-00005F92F000}"/>
                  </a:ext>
                </a:extLst>
              </xdr:cNvPr>
              <xdr:cNvSpPr>
                <a:spLocks noChangeShapeType="1"/>
              </xdr:cNvSpPr>
            </xdr:nvSpPr>
            <xdr:spPr bwMode="auto">
              <a:xfrm>
                <a:off x="394" y="92"/>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grpSp>
        <xdr:grpSp>
          <xdr:nvGrpSpPr>
            <xdr:cNvPr id="15766101" name="Group 31">
              <a:extLst>
                <a:ext uri="{FF2B5EF4-FFF2-40B4-BE49-F238E27FC236}">
                  <a16:creationId xmlns:a16="http://schemas.microsoft.com/office/drawing/2014/main" id="{00000000-0008-0000-1E00-00005592F000}"/>
                </a:ext>
              </a:extLst>
            </xdr:cNvPr>
            <xdr:cNvGrpSpPr>
              <a:grpSpLocks/>
            </xdr:cNvGrpSpPr>
          </xdr:nvGrpSpPr>
          <xdr:grpSpPr bwMode="auto">
            <a:xfrm>
              <a:off x="529" y="362"/>
              <a:ext cx="6" cy="113"/>
              <a:chOff x="389" y="354"/>
              <a:chExt cx="6" cy="120"/>
            </a:xfrm>
          </xdr:grpSpPr>
          <xdr:sp macro="" textlink="">
            <xdr:nvSpPr>
              <xdr:cNvPr id="15766108" name="Line 23">
                <a:extLst>
                  <a:ext uri="{FF2B5EF4-FFF2-40B4-BE49-F238E27FC236}">
                    <a16:creationId xmlns:a16="http://schemas.microsoft.com/office/drawing/2014/main" id="{00000000-0008-0000-1E00-00005C92F000}"/>
                  </a:ext>
                </a:extLst>
              </xdr:cNvPr>
              <xdr:cNvSpPr>
                <a:spLocks noChangeShapeType="1"/>
              </xdr:cNvSpPr>
            </xdr:nvSpPr>
            <xdr:spPr bwMode="auto">
              <a:xfrm>
                <a:off x="389" y="354"/>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5766109" name="Line 24">
                <a:extLst>
                  <a:ext uri="{FF2B5EF4-FFF2-40B4-BE49-F238E27FC236}">
                    <a16:creationId xmlns:a16="http://schemas.microsoft.com/office/drawing/2014/main" id="{00000000-0008-0000-1E00-00005D92F000}"/>
                  </a:ext>
                </a:extLst>
              </xdr:cNvPr>
              <xdr:cNvSpPr>
                <a:spLocks noChangeShapeType="1"/>
              </xdr:cNvSpPr>
            </xdr:nvSpPr>
            <xdr:spPr bwMode="auto">
              <a:xfrm>
                <a:off x="395" y="355"/>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grpSp>
        <xdr:grpSp>
          <xdr:nvGrpSpPr>
            <xdr:cNvPr id="15766102" name="Group 27">
              <a:extLst>
                <a:ext uri="{FF2B5EF4-FFF2-40B4-BE49-F238E27FC236}">
                  <a16:creationId xmlns:a16="http://schemas.microsoft.com/office/drawing/2014/main" id="{00000000-0008-0000-1E00-00005692F000}"/>
                </a:ext>
              </a:extLst>
            </xdr:cNvPr>
            <xdr:cNvGrpSpPr>
              <a:grpSpLocks/>
            </xdr:cNvGrpSpPr>
          </xdr:nvGrpSpPr>
          <xdr:grpSpPr bwMode="auto">
            <a:xfrm rot="-5400000">
              <a:off x="394" y="233"/>
              <a:ext cx="6" cy="125"/>
              <a:chOff x="690" y="-78"/>
              <a:chExt cx="6" cy="119"/>
            </a:xfrm>
          </xdr:grpSpPr>
          <xdr:sp macro="" textlink="">
            <xdr:nvSpPr>
              <xdr:cNvPr id="15766106" name="Line 25">
                <a:extLst>
                  <a:ext uri="{FF2B5EF4-FFF2-40B4-BE49-F238E27FC236}">
                    <a16:creationId xmlns:a16="http://schemas.microsoft.com/office/drawing/2014/main" id="{00000000-0008-0000-1E00-00005A92F000}"/>
                  </a:ext>
                </a:extLst>
              </xdr:cNvPr>
              <xdr:cNvSpPr>
                <a:spLocks noChangeShapeType="1"/>
              </xdr:cNvSpPr>
            </xdr:nvSpPr>
            <xdr:spPr bwMode="auto">
              <a:xfrm>
                <a:off x="690" y="-78"/>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5766107" name="Line 26">
                <a:extLst>
                  <a:ext uri="{FF2B5EF4-FFF2-40B4-BE49-F238E27FC236}">
                    <a16:creationId xmlns:a16="http://schemas.microsoft.com/office/drawing/2014/main" id="{00000000-0008-0000-1E00-00005B92F000}"/>
                  </a:ext>
                </a:extLst>
              </xdr:cNvPr>
              <xdr:cNvSpPr>
                <a:spLocks noChangeShapeType="1"/>
              </xdr:cNvSpPr>
            </xdr:nvSpPr>
            <xdr:spPr bwMode="auto">
              <a:xfrm>
                <a:off x="696" y="-78"/>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grpSp>
        <xdr:grpSp>
          <xdr:nvGrpSpPr>
            <xdr:cNvPr id="15766103" name="Group 28">
              <a:extLst>
                <a:ext uri="{FF2B5EF4-FFF2-40B4-BE49-F238E27FC236}">
                  <a16:creationId xmlns:a16="http://schemas.microsoft.com/office/drawing/2014/main" id="{00000000-0008-0000-1E00-00005792F000}"/>
                </a:ext>
              </a:extLst>
            </xdr:cNvPr>
            <xdr:cNvGrpSpPr>
              <a:grpSpLocks/>
            </xdr:cNvGrpSpPr>
          </xdr:nvGrpSpPr>
          <xdr:grpSpPr bwMode="auto">
            <a:xfrm rot="-5400000">
              <a:off x="661" y="235"/>
              <a:ext cx="6" cy="122"/>
              <a:chOff x="690" y="-85"/>
              <a:chExt cx="6" cy="119"/>
            </a:xfrm>
          </xdr:grpSpPr>
          <xdr:sp macro="" textlink="">
            <xdr:nvSpPr>
              <xdr:cNvPr id="15766104" name="Line 29">
                <a:extLst>
                  <a:ext uri="{FF2B5EF4-FFF2-40B4-BE49-F238E27FC236}">
                    <a16:creationId xmlns:a16="http://schemas.microsoft.com/office/drawing/2014/main" id="{00000000-0008-0000-1E00-00005892F000}"/>
                  </a:ext>
                </a:extLst>
              </xdr:cNvPr>
              <xdr:cNvSpPr>
                <a:spLocks noChangeShapeType="1"/>
              </xdr:cNvSpPr>
            </xdr:nvSpPr>
            <xdr:spPr bwMode="auto">
              <a:xfrm>
                <a:off x="690" y="-85"/>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5766105" name="Line 30">
                <a:extLst>
                  <a:ext uri="{FF2B5EF4-FFF2-40B4-BE49-F238E27FC236}">
                    <a16:creationId xmlns:a16="http://schemas.microsoft.com/office/drawing/2014/main" id="{00000000-0008-0000-1E00-00005992F000}"/>
                  </a:ext>
                </a:extLst>
              </xdr:cNvPr>
              <xdr:cNvSpPr>
                <a:spLocks noChangeShapeType="1"/>
              </xdr:cNvSpPr>
            </xdr:nvSpPr>
            <xdr:spPr bwMode="auto">
              <a:xfrm>
                <a:off x="696" y="-85"/>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grpSp>
      </xdr:grpSp>
      <xdr:sp macro="" textlink="">
        <xdr:nvSpPr>
          <xdr:cNvPr id="15766082" name="Line 34">
            <a:extLst>
              <a:ext uri="{FF2B5EF4-FFF2-40B4-BE49-F238E27FC236}">
                <a16:creationId xmlns:a16="http://schemas.microsoft.com/office/drawing/2014/main" id="{00000000-0008-0000-1E00-00004292F000}"/>
              </a:ext>
            </a:extLst>
          </xdr:cNvPr>
          <xdr:cNvSpPr>
            <a:spLocks noChangeShapeType="1"/>
          </xdr:cNvSpPr>
        </xdr:nvSpPr>
        <xdr:spPr bwMode="auto">
          <a:xfrm>
            <a:off x="599" y="247"/>
            <a:ext cx="48" cy="0"/>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15766083" name="Line 35">
            <a:extLst>
              <a:ext uri="{FF2B5EF4-FFF2-40B4-BE49-F238E27FC236}">
                <a16:creationId xmlns:a16="http://schemas.microsoft.com/office/drawing/2014/main" id="{00000000-0008-0000-1E00-00004392F000}"/>
              </a:ext>
            </a:extLst>
          </xdr:cNvPr>
          <xdr:cNvSpPr>
            <a:spLocks noChangeShapeType="1"/>
          </xdr:cNvSpPr>
        </xdr:nvSpPr>
        <xdr:spPr bwMode="auto">
          <a:xfrm flipH="1">
            <a:off x="746" y="212"/>
            <a:ext cx="47" cy="0"/>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15766084" name="Line 37">
            <a:extLst>
              <a:ext uri="{FF2B5EF4-FFF2-40B4-BE49-F238E27FC236}">
                <a16:creationId xmlns:a16="http://schemas.microsoft.com/office/drawing/2014/main" id="{00000000-0008-0000-1E00-00004492F000}"/>
              </a:ext>
            </a:extLst>
          </xdr:cNvPr>
          <xdr:cNvSpPr>
            <a:spLocks noChangeShapeType="1"/>
          </xdr:cNvSpPr>
        </xdr:nvSpPr>
        <xdr:spPr bwMode="auto">
          <a:xfrm>
            <a:off x="682" y="80"/>
            <a:ext cx="0" cy="56"/>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15766085" name="Line 38">
            <a:extLst>
              <a:ext uri="{FF2B5EF4-FFF2-40B4-BE49-F238E27FC236}">
                <a16:creationId xmlns:a16="http://schemas.microsoft.com/office/drawing/2014/main" id="{00000000-0008-0000-1E00-00004592F000}"/>
              </a:ext>
            </a:extLst>
          </xdr:cNvPr>
          <xdr:cNvSpPr>
            <a:spLocks noChangeShapeType="1"/>
          </xdr:cNvSpPr>
        </xdr:nvSpPr>
        <xdr:spPr bwMode="auto">
          <a:xfrm flipV="1">
            <a:off x="706" y="297"/>
            <a:ext cx="0" cy="57"/>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8" name="Text Box 39">
            <a:extLst>
              <a:ext uri="{FF2B5EF4-FFF2-40B4-BE49-F238E27FC236}">
                <a16:creationId xmlns:a16="http://schemas.microsoft.com/office/drawing/2014/main" id="{00000000-0008-0000-1E00-000008000000}"/>
              </a:ext>
            </a:extLst>
          </xdr:cNvPr>
          <xdr:cNvSpPr txBox="1">
            <a:spLocks noChangeArrowheads="1"/>
          </xdr:cNvSpPr>
        </xdr:nvSpPr>
        <xdr:spPr bwMode="auto">
          <a:xfrm>
            <a:off x="669" y="201"/>
            <a:ext cx="52" cy="49"/>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900" b="0" i="0" strike="noStrike">
                <a:solidFill>
                  <a:srgbClr val="000000"/>
                </a:solidFill>
                <a:latin typeface="Arial"/>
                <a:cs typeface="Arial"/>
              </a:rPr>
              <a:t>Entering Vehicles</a:t>
            </a:r>
          </a:p>
        </xdr:txBody>
      </xdr:sp>
      <xdr:sp macro="" textlink="">
        <xdr:nvSpPr>
          <xdr:cNvPr id="9" name="Text Box 41">
            <a:extLst>
              <a:ext uri="{FF2B5EF4-FFF2-40B4-BE49-F238E27FC236}">
                <a16:creationId xmlns:a16="http://schemas.microsoft.com/office/drawing/2014/main" id="{00000000-0008-0000-1E00-000009000000}"/>
              </a:ext>
            </a:extLst>
          </xdr:cNvPr>
          <xdr:cNvSpPr txBox="1">
            <a:spLocks noChangeArrowheads="1"/>
          </xdr:cNvSpPr>
        </xdr:nvSpPr>
        <xdr:spPr bwMode="auto">
          <a:xfrm>
            <a:off x="539" y="5"/>
            <a:ext cx="294" cy="34"/>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900" b="0" i="0" strike="noStrike">
                <a:solidFill>
                  <a:srgbClr val="000000"/>
                </a:solidFill>
                <a:latin typeface="Arial"/>
                <a:cs typeface="Arial"/>
              </a:rPr>
              <a:t>Intersection Crash Rate Analysis Tool</a:t>
            </a:r>
          </a:p>
        </xdr:txBody>
      </xdr:sp>
    </xdr:grpSp>
    <xdr:clientData/>
  </xdr:twoCellAnchor>
  <xdr:twoCellAnchor>
    <xdr:from>
      <xdr:col>7</xdr:col>
      <xdr:colOff>142875</xdr:colOff>
      <xdr:row>20</xdr:row>
      <xdr:rowOff>19050</xdr:rowOff>
    </xdr:from>
    <xdr:to>
      <xdr:col>11</xdr:col>
      <xdr:colOff>533400</xdr:colOff>
      <xdr:row>28</xdr:row>
      <xdr:rowOff>133350</xdr:rowOff>
    </xdr:to>
    <xdr:grpSp>
      <xdr:nvGrpSpPr>
        <xdr:cNvPr id="15766064" name="Group 87">
          <a:extLst>
            <a:ext uri="{FF2B5EF4-FFF2-40B4-BE49-F238E27FC236}">
              <a16:creationId xmlns:a16="http://schemas.microsoft.com/office/drawing/2014/main" id="{00000000-0008-0000-1E00-00003092F000}"/>
            </a:ext>
          </a:extLst>
        </xdr:cNvPr>
        <xdr:cNvGrpSpPr>
          <a:grpSpLocks/>
        </xdr:cNvGrpSpPr>
      </xdr:nvGrpSpPr>
      <xdr:grpSpPr bwMode="auto">
        <a:xfrm>
          <a:off x="5865346" y="4770344"/>
          <a:ext cx="3079936" cy="1937124"/>
          <a:chOff x="547" y="448"/>
          <a:chExt cx="289" cy="184"/>
        </a:xfrm>
      </xdr:grpSpPr>
      <xdr:sp macro="" textlink="">
        <xdr:nvSpPr>
          <xdr:cNvPr id="15766070" name="Line 51">
            <a:extLst>
              <a:ext uri="{FF2B5EF4-FFF2-40B4-BE49-F238E27FC236}">
                <a16:creationId xmlns:a16="http://schemas.microsoft.com/office/drawing/2014/main" id="{00000000-0008-0000-1E00-00003692F000}"/>
              </a:ext>
            </a:extLst>
          </xdr:cNvPr>
          <xdr:cNvSpPr>
            <a:spLocks noChangeShapeType="1"/>
          </xdr:cNvSpPr>
        </xdr:nvSpPr>
        <xdr:spPr bwMode="auto">
          <a:xfrm flipH="1">
            <a:off x="574" y="509"/>
            <a:ext cx="232"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66071" name="Line 52">
            <a:extLst>
              <a:ext uri="{FF2B5EF4-FFF2-40B4-BE49-F238E27FC236}">
                <a16:creationId xmlns:a16="http://schemas.microsoft.com/office/drawing/2014/main" id="{00000000-0008-0000-1E00-00003792F000}"/>
              </a:ext>
            </a:extLst>
          </xdr:cNvPr>
          <xdr:cNvSpPr>
            <a:spLocks noChangeShapeType="1"/>
          </xdr:cNvSpPr>
        </xdr:nvSpPr>
        <xdr:spPr bwMode="auto">
          <a:xfrm flipH="1">
            <a:off x="574" y="581"/>
            <a:ext cx="233"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grpSp>
        <xdr:nvGrpSpPr>
          <xdr:cNvPr id="15766072" name="Group 61">
            <a:extLst>
              <a:ext uri="{FF2B5EF4-FFF2-40B4-BE49-F238E27FC236}">
                <a16:creationId xmlns:a16="http://schemas.microsoft.com/office/drawing/2014/main" id="{00000000-0008-0000-1E00-00003892F000}"/>
              </a:ext>
            </a:extLst>
          </xdr:cNvPr>
          <xdr:cNvGrpSpPr>
            <a:grpSpLocks/>
          </xdr:cNvGrpSpPr>
        </xdr:nvGrpSpPr>
        <xdr:grpSpPr bwMode="auto">
          <a:xfrm rot="-5400000">
            <a:off x="687" y="428"/>
            <a:ext cx="5" cy="234"/>
            <a:chOff x="965" y="218"/>
            <a:chExt cx="5" cy="120"/>
          </a:xfrm>
        </xdr:grpSpPr>
        <xdr:sp macro="" textlink="">
          <xdr:nvSpPr>
            <xdr:cNvPr id="15766079" name="Line 62">
              <a:extLst>
                <a:ext uri="{FF2B5EF4-FFF2-40B4-BE49-F238E27FC236}">
                  <a16:creationId xmlns:a16="http://schemas.microsoft.com/office/drawing/2014/main" id="{00000000-0008-0000-1E00-00003F92F000}"/>
                </a:ext>
              </a:extLst>
            </xdr:cNvPr>
            <xdr:cNvSpPr>
              <a:spLocks noChangeShapeType="1"/>
            </xdr:cNvSpPr>
          </xdr:nvSpPr>
          <xdr:spPr bwMode="auto">
            <a:xfrm>
              <a:off x="965" y="218"/>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sp macro="" textlink="">
          <xdr:nvSpPr>
            <xdr:cNvPr id="15766080" name="Line 63">
              <a:extLst>
                <a:ext uri="{FF2B5EF4-FFF2-40B4-BE49-F238E27FC236}">
                  <a16:creationId xmlns:a16="http://schemas.microsoft.com/office/drawing/2014/main" id="{00000000-0008-0000-1E00-00004092F000}"/>
                </a:ext>
              </a:extLst>
            </xdr:cNvPr>
            <xdr:cNvSpPr>
              <a:spLocks noChangeShapeType="1"/>
            </xdr:cNvSpPr>
          </xdr:nvSpPr>
          <xdr:spPr bwMode="auto">
            <a:xfrm>
              <a:off x="970" y="219"/>
              <a:ext cx="0" cy="119"/>
            </a:xfrm>
            <a:prstGeom prst="line">
              <a:avLst/>
            </a:prstGeom>
            <a:noFill/>
            <a:ln w="12700">
              <a:solidFill>
                <a:srgbClr val="FFFF00"/>
              </a:solidFill>
              <a:round/>
              <a:headEnd/>
              <a:tailEnd/>
            </a:ln>
            <a:extLst>
              <a:ext uri="{909E8E84-426E-40DD-AFC4-6F175D3DCCD1}">
                <a14:hiddenFill xmlns:a14="http://schemas.microsoft.com/office/drawing/2010/main">
                  <a:noFill/>
                </a14:hiddenFill>
              </a:ext>
            </a:extLst>
          </xdr:spPr>
        </xdr:sp>
      </xdr:grpSp>
      <xdr:sp macro="" textlink="">
        <xdr:nvSpPr>
          <xdr:cNvPr id="15766073" name="Line 67">
            <a:extLst>
              <a:ext uri="{FF2B5EF4-FFF2-40B4-BE49-F238E27FC236}">
                <a16:creationId xmlns:a16="http://schemas.microsoft.com/office/drawing/2014/main" id="{00000000-0008-0000-1E00-00003992F000}"/>
              </a:ext>
            </a:extLst>
          </xdr:cNvPr>
          <xdr:cNvSpPr>
            <a:spLocks noChangeShapeType="1"/>
          </xdr:cNvSpPr>
        </xdr:nvSpPr>
        <xdr:spPr bwMode="auto">
          <a:xfrm>
            <a:off x="607" y="562"/>
            <a:ext cx="47" cy="0"/>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15766074" name="Line 68">
            <a:extLst>
              <a:ext uri="{FF2B5EF4-FFF2-40B4-BE49-F238E27FC236}">
                <a16:creationId xmlns:a16="http://schemas.microsoft.com/office/drawing/2014/main" id="{00000000-0008-0000-1E00-00003A92F000}"/>
              </a:ext>
            </a:extLst>
          </xdr:cNvPr>
          <xdr:cNvSpPr>
            <a:spLocks noChangeShapeType="1"/>
          </xdr:cNvSpPr>
        </xdr:nvSpPr>
        <xdr:spPr bwMode="auto">
          <a:xfrm flipH="1">
            <a:off x="743" y="524"/>
            <a:ext cx="47" cy="0"/>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sp macro="" textlink="">
        <xdr:nvSpPr>
          <xdr:cNvPr id="40" name="Text Box 71">
            <a:extLst>
              <a:ext uri="{FF2B5EF4-FFF2-40B4-BE49-F238E27FC236}">
                <a16:creationId xmlns:a16="http://schemas.microsoft.com/office/drawing/2014/main" id="{00000000-0008-0000-1E00-000028000000}"/>
              </a:ext>
            </a:extLst>
          </xdr:cNvPr>
          <xdr:cNvSpPr txBox="1">
            <a:spLocks noChangeArrowheads="1"/>
          </xdr:cNvSpPr>
        </xdr:nvSpPr>
        <xdr:spPr bwMode="auto">
          <a:xfrm>
            <a:off x="594" y="599"/>
            <a:ext cx="191" cy="33"/>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9525">
            <a:solidFill>
              <a:srgbClr val="000000"/>
            </a:solidFill>
            <a:miter lim="800000"/>
            <a:headEnd/>
            <a:tailEnd/>
          </a:ln>
          <a:effectLst/>
        </xdr:spPr>
        <xdr:txBody>
          <a:bodyPr vertOverflow="clip" wrap="square" lIns="27432" tIns="22860" rIns="27432" bIns="22860" anchor="ctr" upright="1"/>
          <a:lstStyle/>
          <a:p>
            <a:pPr algn="ctr" rtl="0">
              <a:defRPr sz="1000"/>
            </a:pPr>
            <a:r>
              <a:rPr lang="en-US" sz="900" b="0" i="0" strike="noStrike">
                <a:solidFill>
                  <a:srgbClr val="000000"/>
                </a:solidFill>
                <a:latin typeface="Arial"/>
                <a:cs typeface="Arial"/>
              </a:rPr>
              <a:t>Average Daily Traffic (ADT)</a:t>
            </a:r>
          </a:p>
        </xdr:txBody>
      </xdr:sp>
      <xdr:sp macro="" textlink="">
        <xdr:nvSpPr>
          <xdr:cNvPr id="41" name="Text Box 72">
            <a:extLst>
              <a:ext uri="{FF2B5EF4-FFF2-40B4-BE49-F238E27FC236}">
                <a16:creationId xmlns:a16="http://schemas.microsoft.com/office/drawing/2014/main" id="{00000000-0008-0000-1E00-000029000000}"/>
              </a:ext>
            </a:extLst>
          </xdr:cNvPr>
          <xdr:cNvSpPr txBox="1">
            <a:spLocks noChangeArrowheads="1"/>
          </xdr:cNvSpPr>
        </xdr:nvSpPr>
        <xdr:spPr bwMode="auto">
          <a:xfrm>
            <a:off x="547" y="448"/>
            <a:ext cx="289" cy="31"/>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900" b="0" i="0" strike="noStrike">
                <a:solidFill>
                  <a:srgbClr val="000000"/>
                </a:solidFill>
                <a:latin typeface="Arial"/>
                <a:cs typeface="Arial"/>
              </a:rPr>
              <a:t>Section Crash Rate Analysis Tool</a:t>
            </a:r>
          </a:p>
        </xdr:txBody>
      </xdr:sp>
      <xdr:sp macro="" textlink="">
        <xdr:nvSpPr>
          <xdr:cNvPr id="15766077" name="Line 74">
            <a:extLst>
              <a:ext uri="{FF2B5EF4-FFF2-40B4-BE49-F238E27FC236}">
                <a16:creationId xmlns:a16="http://schemas.microsoft.com/office/drawing/2014/main" id="{00000000-0008-0000-1E00-00003D92F000}"/>
              </a:ext>
            </a:extLst>
          </xdr:cNvPr>
          <xdr:cNvSpPr>
            <a:spLocks noChangeShapeType="1"/>
          </xdr:cNvSpPr>
        </xdr:nvSpPr>
        <xdr:spPr bwMode="auto">
          <a:xfrm flipH="1">
            <a:off x="574" y="591"/>
            <a:ext cx="233" cy="0"/>
          </a:xfrm>
          <a:prstGeom prst="line">
            <a:avLst/>
          </a:prstGeom>
          <a:noFill/>
          <a:ln w="9525">
            <a:solidFill>
              <a:srgbClr val="993300"/>
            </a:solidFill>
            <a:round/>
            <a:headEnd/>
            <a:tailEnd/>
          </a:ln>
          <a:extLst>
            <a:ext uri="{909E8E84-426E-40DD-AFC4-6F175D3DCCD1}">
              <a14:hiddenFill xmlns:a14="http://schemas.microsoft.com/office/drawing/2010/main">
                <a:noFill/>
              </a14:hiddenFill>
            </a:ext>
          </a:extLst>
        </xdr:spPr>
      </xdr:sp>
      <xdr:sp macro="" textlink="">
        <xdr:nvSpPr>
          <xdr:cNvPr id="15766078" name="Line 75">
            <a:extLst>
              <a:ext uri="{FF2B5EF4-FFF2-40B4-BE49-F238E27FC236}">
                <a16:creationId xmlns:a16="http://schemas.microsoft.com/office/drawing/2014/main" id="{00000000-0008-0000-1E00-00003E92F000}"/>
              </a:ext>
            </a:extLst>
          </xdr:cNvPr>
          <xdr:cNvSpPr>
            <a:spLocks noChangeShapeType="1"/>
          </xdr:cNvSpPr>
        </xdr:nvSpPr>
        <xdr:spPr bwMode="auto">
          <a:xfrm flipH="1">
            <a:off x="573" y="498"/>
            <a:ext cx="233" cy="0"/>
          </a:xfrm>
          <a:prstGeom prst="line">
            <a:avLst/>
          </a:prstGeom>
          <a:noFill/>
          <a:ln w="9525">
            <a:solidFill>
              <a:srgbClr val="9933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16</xdr:col>
      <xdr:colOff>9525</xdr:colOff>
      <xdr:row>0</xdr:row>
      <xdr:rowOff>114300</xdr:rowOff>
    </xdr:from>
    <xdr:to>
      <xdr:col>17</xdr:col>
      <xdr:colOff>581025</xdr:colOff>
      <xdr:row>2</xdr:row>
      <xdr:rowOff>123825</xdr:rowOff>
    </xdr:to>
    <xdr:sp macro="" textlink="">
      <xdr:nvSpPr>
        <xdr:cNvPr id="46" name="Text Box 83">
          <a:extLst>
            <a:ext uri="{FF2B5EF4-FFF2-40B4-BE49-F238E27FC236}">
              <a16:creationId xmlns:a16="http://schemas.microsoft.com/office/drawing/2014/main" id="{00000000-0008-0000-1E00-00002E000000}"/>
            </a:ext>
          </a:extLst>
        </xdr:cNvPr>
        <xdr:cNvSpPr txBox="1">
          <a:spLocks noChangeArrowheads="1"/>
        </xdr:cNvSpPr>
      </xdr:nvSpPr>
      <xdr:spPr bwMode="auto">
        <a:xfrm>
          <a:off x="9458325" y="114300"/>
          <a:ext cx="1162050" cy="333375"/>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900" b="0" i="0" strike="noStrike">
              <a:solidFill>
                <a:srgbClr val="000000"/>
              </a:solidFill>
              <a:latin typeface="Arial"/>
              <a:cs typeface="Arial"/>
            </a:rPr>
            <a:t>3-Leg Intersection</a:t>
          </a:r>
        </a:p>
      </xdr:txBody>
    </xdr:sp>
    <xdr:clientData/>
  </xdr:twoCellAnchor>
  <xdr:twoCellAnchor>
    <xdr:from>
      <xdr:col>20</xdr:col>
      <xdr:colOff>9525</xdr:colOff>
      <xdr:row>0</xdr:row>
      <xdr:rowOff>114300</xdr:rowOff>
    </xdr:from>
    <xdr:to>
      <xdr:col>21</xdr:col>
      <xdr:colOff>581025</xdr:colOff>
      <xdr:row>2</xdr:row>
      <xdr:rowOff>123825</xdr:rowOff>
    </xdr:to>
    <xdr:sp macro="" textlink="">
      <xdr:nvSpPr>
        <xdr:cNvPr id="47" name="Text Box 84">
          <a:extLst>
            <a:ext uri="{FF2B5EF4-FFF2-40B4-BE49-F238E27FC236}">
              <a16:creationId xmlns:a16="http://schemas.microsoft.com/office/drawing/2014/main" id="{00000000-0008-0000-1E00-00002F000000}"/>
            </a:ext>
          </a:extLst>
        </xdr:cNvPr>
        <xdr:cNvSpPr txBox="1">
          <a:spLocks noChangeArrowheads="1"/>
        </xdr:cNvSpPr>
      </xdr:nvSpPr>
      <xdr:spPr bwMode="auto">
        <a:xfrm>
          <a:off x="11820525" y="114300"/>
          <a:ext cx="1162050" cy="333375"/>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900" b="0" i="0" strike="noStrike">
              <a:solidFill>
                <a:srgbClr val="000000"/>
              </a:solidFill>
              <a:latin typeface="Arial"/>
              <a:cs typeface="Arial"/>
            </a:rPr>
            <a:t>4-Leg Intersection</a:t>
          </a:r>
        </a:p>
      </xdr:txBody>
    </xdr:sp>
    <xdr:clientData/>
  </xdr:twoCellAnchor>
  <xdr:twoCellAnchor>
    <xdr:from>
      <xdr:col>24</xdr:col>
      <xdr:colOff>9525</xdr:colOff>
      <xdr:row>0</xdr:row>
      <xdr:rowOff>114300</xdr:rowOff>
    </xdr:from>
    <xdr:to>
      <xdr:col>25</xdr:col>
      <xdr:colOff>581025</xdr:colOff>
      <xdr:row>2</xdr:row>
      <xdr:rowOff>123825</xdr:rowOff>
    </xdr:to>
    <xdr:sp macro="" textlink="">
      <xdr:nvSpPr>
        <xdr:cNvPr id="48" name="Text Box 85">
          <a:extLst>
            <a:ext uri="{FF2B5EF4-FFF2-40B4-BE49-F238E27FC236}">
              <a16:creationId xmlns:a16="http://schemas.microsoft.com/office/drawing/2014/main" id="{00000000-0008-0000-1E00-000030000000}"/>
            </a:ext>
          </a:extLst>
        </xdr:cNvPr>
        <xdr:cNvSpPr txBox="1">
          <a:spLocks noChangeArrowheads="1"/>
        </xdr:cNvSpPr>
      </xdr:nvSpPr>
      <xdr:spPr bwMode="auto">
        <a:xfrm>
          <a:off x="14182725" y="114300"/>
          <a:ext cx="1162050" cy="333375"/>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900" b="0" i="0" strike="noStrike">
              <a:solidFill>
                <a:srgbClr val="000000"/>
              </a:solidFill>
              <a:latin typeface="Arial"/>
              <a:cs typeface="Arial"/>
            </a:rPr>
            <a:t>5-Leg Intersection</a:t>
          </a:r>
        </a:p>
      </xdr:txBody>
    </xdr:sp>
    <xdr:clientData/>
  </xdr:twoCellAnchor>
  <xdr:twoCellAnchor>
    <xdr:from>
      <xdr:col>6</xdr:col>
      <xdr:colOff>485775</xdr:colOff>
      <xdr:row>9</xdr:row>
      <xdr:rowOff>28575</xdr:rowOff>
    </xdr:from>
    <xdr:to>
      <xdr:col>7</xdr:col>
      <xdr:colOff>266700</xdr:colOff>
      <xdr:row>9</xdr:row>
      <xdr:rowOff>247650</xdr:rowOff>
    </xdr:to>
    <xdr:sp macro="" textlink="">
      <xdr:nvSpPr>
        <xdr:cNvPr id="49" name="Text Box 156">
          <a:extLst>
            <a:ext uri="{FF2B5EF4-FFF2-40B4-BE49-F238E27FC236}">
              <a16:creationId xmlns:a16="http://schemas.microsoft.com/office/drawing/2014/main" id="{00000000-0008-0000-1E00-000031000000}"/>
            </a:ext>
          </a:extLst>
        </xdr:cNvPr>
        <xdr:cNvSpPr txBox="1">
          <a:spLocks noChangeArrowheads="1"/>
        </xdr:cNvSpPr>
      </xdr:nvSpPr>
      <xdr:spPr bwMode="auto">
        <a:xfrm>
          <a:off x="4029075" y="1485900"/>
          <a:ext cx="371475" cy="133350"/>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9525">
          <a:solidFill>
            <a:srgbClr val="000000"/>
          </a:solidFill>
          <a:miter lim="800000"/>
          <a:headEnd/>
          <a:tailEnd/>
        </a:ln>
        <a:effectLst/>
      </xdr:spPr>
      <xdr:txBody>
        <a:bodyPr vertOverflow="clip" wrap="square" lIns="36576" tIns="22860" rIns="36576" bIns="0" anchor="t" upright="1"/>
        <a:lstStyle/>
        <a:p>
          <a:pPr algn="ctr" rtl="0">
            <a:defRPr sz="1000"/>
          </a:pPr>
          <a:r>
            <a:rPr lang="en-US" sz="1200" b="0" i="0" strike="noStrike">
              <a:solidFill>
                <a:srgbClr val="000000"/>
              </a:solidFill>
              <a:latin typeface="Arial"/>
              <a:cs typeface="Arial"/>
            </a:rPr>
            <a:t>R1</a:t>
          </a:r>
        </a:p>
      </xdr:txBody>
    </xdr:sp>
    <xdr:clientData/>
  </xdr:twoCellAnchor>
  <xdr:twoCellAnchor>
    <xdr:from>
      <xdr:col>8</xdr:col>
      <xdr:colOff>588869</xdr:colOff>
      <xdr:row>16</xdr:row>
      <xdr:rowOff>273984</xdr:rowOff>
    </xdr:from>
    <xdr:to>
      <xdr:col>9</xdr:col>
      <xdr:colOff>280707</xdr:colOff>
      <xdr:row>17</xdr:row>
      <xdr:rowOff>179294</xdr:rowOff>
    </xdr:to>
    <xdr:sp macro="" textlink="">
      <xdr:nvSpPr>
        <xdr:cNvPr id="50" name="Text Box 157">
          <a:extLst>
            <a:ext uri="{FF2B5EF4-FFF2-40B4-BE49-F238E27FC236}">
              <a16:creationId xmlns:a16="http://schemas.microsoft.com/office/drawing/2014/main" id="{00000000-0008-0000-1E00-000032000000}"/>
            </a:ext>
          </a:extLst>
        </xdr:cNvPr>
        <xdr:cNvSpPr txBox="1">
          <a:spLocks noChangeArrowheads="1"/>
        </xdr:cNvSpPr>
      </xdr:nvSpPr>
      <xdr:spPr bwMode="auto">
        <a:xfrm>
          <a:off x="6214222" y="3971925"/>
          <a:ext cx="285750" cy="219075"/>
        </a:xfrm>
        <a:prstGeom prst="rect">
          <a:avLst/>
        </a:prstGeom>
        <a:gradFill rotWithShape="1">
          <a:gsLst>
            <a:gs pos="0">
              <a:srgbClr val="FFFFFF">
                <a:gamma/>
                <a:shade val="76078"/>
                <a:invGamma/>
              </a:srgbClr>
            </a:gs>
            <a:gs pos="50000">
              <a:srgbClr val="FFFFFF"/>
            </a:gs>
            <a:gs pos="100000">
              <a:srgbClr val="FFFFFF">
                <a:gamma/>
                <a:shade val="76078"/>
                <a:invGamma/>
              </a:srgbClr>
            </a:gs>
          </a:gsLst>
          <a:lin ang="5400000" scaled="1"/>
        </a:gradFill>
        <a:ln w="9525">
          <a:solidFill>
            <a:srgbClr val="000000"/>
          </a:solidFill>
          <a:miter lim="800000"/>
          <a:headEnd/>
          <a:tailEnd/>
        </a:ln>
        <a:effectLst/>
      </xdr:spPr>
      <xdr:txBody>
        <a:bodyPr vertOverflow="clip" wrap="square" lIns="36576" tIns="22860" rIns="36576" bIns="0" anchor="t" upright="1"/>
        <a:lstStyle/>
        <a:p>
          <a:pPr algn="ctr" rtl="0">
            <a:defRPr sz="1000"/>
          </a:pPr>
          <a:r>
            <a:rPr lang="en-US" sz="1200" b="0" i="0" strike="noStrike">
              <a:solidFill>
                <a:srgbClr val="000000"/>
              </a:solidFill>
              <a:latin typeface="Arial"/>
              <a:cs typeface="Arial"/>
            </a:rPr>
            <a:t>R2</a:t>
          </a:r>
        </a:p>
      </xdr:txBody>
    </xdr:sp>
    <xdr:clientData/>
  </xdr:twoCellAnchor>
  <xdr:twoCellAnchor editAs="oneCell">
    <xdr:from>
      <xdr:col>0</xdr:col>
      <xdr:colOff>88900</xdr:colOff>
      <xdr:row>0</xdr:row>
      <xdr:rowOff>177800</xdr:rowOff>
    </xdr:from>
    <xdr:to>
      <xdr:col>3</xdr:col>
      <xdr:colOff>431800</xdr:colOff>
      <xdr:row>2</xdr:row>
      <xdr:rowOff>88900</xdr:rowOff>
    </xdr:to>
    <xdr:sp macro="" textlink="">
      <xdr:nvSpPr>
        <xdr:cNvPr id="6145" name="CommandButton1" hidden="1">
          <a:extLst>
            <a:ext uri="{63B3BB69-23CF-44E3-9099-C40C66FF867C}">
              <a14:compatExt xmlns:a14="http://schemas.microsoft.com/office/drawing/2010/main" spid="_x0000_s6145"/>
            </a:ext>
            <a:ext uri="{FF2B5EF4-FFF2-40B4-BE49-F238E27FC236}">
              <a16:creationId xmlns:a16="http://schemas.microsoft.com/office/drawing/2014/main" id="{00000000-0008-0000-1B00-000001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63500</xdr:colOff>
      <xdr:row>19</xdr:row>
      <xdr:rowOff>76200</xdr:rowOff>
    </xdr:from>
    <xdr:to>
      <xdr:col>3</xdr:col>
      <xdr:colOff>431800</xdr:colOff>
      <xdr:row>20</xdr:row>
      <xdr:rowOff>177800</xdr:rowOff>
    </xdr:to>
    <xdr:sp macro="" textlink="">
      <xdr:nvSpPr>
        <xdr:cNvPr id="6146" name="CommandButton2" hidden="1">
          <a:extLst>
            <a:ext uri="{63B3BB69-23CF-44E3-9099-C40C66FF867C}">
              <a14:compatExt xmlns:a14="http://schemas.microsoft.com/office/drawing/2010/main" spid="_x0000_s6146"/>
            </a:ext>
            <a:ext uri="{FF2B5EF4-FFF2-40B4-BE49-F238E27FC236}">
              <a16:creationId xmlns:a16="http://schemas.microsoft.com/office/drawing/2014/main" id="{00000000-0008-0000-1B00-000002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15</xdr:col>
      <xdr:colOff>558800</xdr:colOff>
      <xdr:row>11</xdr:row>
      <xdr:rowOff>127000</xdr:rowOff>
    </xdr:from>
    <xdr:to>
      <xdr:col>17</xdr:col>
      <xdr:colOff>546100</xdr:colOff>
      <xdr:row>13</xdr:row>
      <xdr:rowOff>12700</xdr:rowOff>
    </xdr:to>
    <xdr:sp macro="" textlink="">
      <xdr:nvSpPr>
        <xdr:cNvPr id="6147" name="CommandButton5" hidden="1">
          <a:extLst>
            <a:ext uri="{63B3BB69-23CF-44E3-9099-C40C66FF867C}">
              <a14:compatExt xmlns:a14="http://schemas.microsoft.com/office/drawing/2010/main" spid="_x0000_s6147"/>
            </a:ext>
            <a:ext uri="{FF2B5EF4-FFF2-40B4-BE49-F238E27FC236}">
              <a16:creationId xmlns:a16="http://schemas.microsoft.com/office/drawing/2014/main" id="{00000000-0008-0000-1B00-000003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584200</xdr:colOff>
      <xdr:row>11</xdr:row>
      <xdr:rowOff>139700</xdr:rowOff>
    </xdr:from>
    <xdr:to>
      <xdr:col>25</xdr:col>
      <xdr:colOff>571500</xdr:colOff>
      <xdr:row>13</xdr:row>
      <xdr:rowOff>25400</xdr:rowOff>
    </xdr:to>
    <xdr:sp macro="" textlink="">
      <xdr:nvSpPr>
        <xdr:cNvPr id="6148" name="CommandButton3" hidden="1">
          <a:extLst>
            <a:ext uri="{63B3BB69-23CF-44E3-9099-C40C66FF867C}">
              <a14:compatExt xmlns:a14="http://schemas.microsoft.com/office/drawing/2010/main" spid="_x0000_s6148"/>
            </a:ext>
            <a:ext uri="{FF2B5EF4-FFF2-40B4-BE49-F238E27FC236}">
              <a16:creationId xmlns:a16="http://schemas.microsoft.com/office/drawing/2014/main" id="{00000000-0008-0000-1B00-000004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571500</xdr:colOff>
      <xdr:row>11</xdr:row>
      <xdr:rowOff>139700</xdr:rowOff>
    </xdr:from>
    <xdr:to>
      <xdr:col>21</xdr:col>
      <xdr:colOff>558800</xdr:colOff>
      <xdr:row>13</xdr:row>
      <xdr:rowOff>38100</xdr:rowOff>
    </xdr:to>
    <xdr:sp macro="" textlink="">
      <xdr:nvSpPr>
        <xdr:cNvPr id="6149" name="CommandButton4" hidden="1">
          <a:extLst>
            <a:ext uri="{63B3BB69-23CF-44E3-9099-C40C66FF867C}">
              <a14:compatExt xmlns:a14="http://schemas.microsoft.com/office/drawing/2010/main" spid="_x0000_s6149"/>
            </a:ext>
            <a:ext uri="{FF2B5EF4-FFF2-40B4-BE49-F238E27FC236}">
              <a16:creationId xmlns:a16="http://schemas.microsoft.com/office/drawing/2014/main" id="{00000000-0008-0000-1B00-000005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88900</xdr:colOff>
      <xdr:row>0</xdr:row>
      <xdr:rowOff>177800</xdr:rowOff>
    </xdr:from>
    <xdr:to>
      <xdr:col>3</xdr:col>
      <xdr:colOff>431800</xdr:colOff>
      <xdr:row>2</xdr:row>
      <xdr:rowOff>88900</xdr:rowOff>
    </xdr:to>
    <xdr:pic>
      <xdr:nvPicPr>
        <xdr:cNvPr id="2" name="CommandButton1">
          <a:extLst>
            <a:ext uri="{FF2B5EF4-FFF2-40B4-BE49-F238E27FC236}">
              <a16:creationId xmlns:a16="http://schemas.microsoft.com/office/drawing/2014/main" id="{2BC5F4CF-8BA6-2C53-73EB-13795BE2997E}"/>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 y="177800"/>
          <a:ext cx="2362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63500</xdr:colOff>
      <xdr:row>19</xdr:row>
      <xdr:rowOff>76200</xdr:rowOff>
    </xdr:from>
    <xdr:to>
      <xdr:col>3</xdr:col>
      <xdr:colOff>431800</xdr:colOff>
      <xdr:row>20</xdr:row>
      <xdr:rowOff>177800</xdr:rowOff>
    </xdr:to>
    <xdr:pic>
      <xdr:nvPicPr>
        <xdr:cNvPr id="3" name="CommandButton2">
          <a:extLst>
            <a:ext uri="{FF2B5EF4-FFF2-40B4-BE49-F238E27FC236}">
              <a16:creationId xmlns:a16="http://schemas.microsoft.com/office/drawing/2014/main" id="{CB20E0A4-A0F9-57F4-F9A2-0691E6BEEA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4648200"/>
          <a:ext cx="2387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15</xdr:col>
      <xdr:colOff>558800</xdr:colOff>
      <xdr:row>11</xdr:row>
      <xdr:rowOff>127000</xdr:rowOff>
    </xdr:from>
    <xdr:to>
      <xdr:col>17</xdr:col>
      <xdr:colOff>546100</xdr:colOff>
      <xdr:row>13</xdr:row>
      <xdr:rowOff>12700</xdr:rowOff>
    </xdr:to>
    <xdr:pic>
      <xdr:nvPicPr>
        <xdr:cNvPr id="4" name="CommandButton5">
          <a:extLst>
            <a:ext uri="{FF2B5EF4-FFF2-40B4-BE49-F238E27FC236}">
              <a16:creationId xmlns:a16="http://schemas.microsoft.com/office/drawing/2014/main" id="{2D0747E0-A298-18B5-42B0-3140CD7993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60100" y="2755900"/>
          <a:ext cx="13335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23</xdr:col>
      <xdr:colOff>584200</xdr:colOff>
      <xdr:row>11</xdr:row>
      <xdr:rowOff>139700</xdr:rowOff>
    </xdr:from>
    <xdr:to>
      <xdr:col>25</xdr:col>
      <xdr:colOff>571500</xdr:colOff>
      <xdr:row>13</xdr:row>
      <xdr:rowOff>25400</xdr:rowOff>
    </xdr:to>
    <xdr:pic>
      <xdr:nvPicPr>
        <xdr:cNvPr id="5" name="CommandButton3">
          <a:extLst>
            <a:ext uri="{FF2B5EF4-FFF2-40B4-BE49-F238E27FC236}">
              <a16:creationId xmlns:a16="http://schemas.microsoft.com/office/drawing/2014/main" id="{581F6224-26FB-DFAC-E046-321C8A722F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70300" y="2768600"/>
          <a:ext cx="13335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571500</xdr:colOff>
      <xdr:row>11</xdr:row>
      <xdr:rowOff>139700</xdr:rowOff>
    </xdr:from>
    <xdr:to>
      <xdr:col>21</xdr:col>
      <xdr:colOff>558800</xdr:colOff>
      <xdr:row>13</xdr:row>
      <xdr:rowOff>38100</xdr:rowOff>
    </xdr:to>
    <xdr:pic>
      <xdr:nvPicPr>
        <xdr:cNvPr id="6" name="CommandButton4">
          <a:extLst>
            <a:ext uri="{FF2B5EF4-FFF2-40B4-BE49-F238E27FC236}">
              <a16:creationId xmlns:a16="http://schemas.microsoft.com/office/drawing/2014/main" id="{931F775B-9501-F915-D957-89614AD7F5A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665200" y="2768600"/>
          <a:ext cx="13335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25400</xdr:colOff>
      <xdr:row>0</xdr:row>
      <xdr:rowOff>0</xdr:rowOff>
    </xdr:from>
    <xdr:to>
      <xdr:col>2</xdr:col>
      <xdr:colOff>1968500</xdr:colOff>
      <xdr:row>1</xdr:row>
      <xdr:rowOff>12700</xdr:rowOff>
    </xdr:to>
    <xdr:sp macro="" textlink="">
      <xdr:nvSpPr>
        <xdr:cNvPr id="7169" name="ComboBox1" hidden="1">
          <a:extLst>
            <a:ext uri="{63B3BB69-23CF-44E3-9099-C40C66FF867C}">
              <a14:compatExt xmlns:a14="http://schemas.microsoft.com/office/drawing/2010/main" spid="_x0000_s7169"/>
            </a:ext>
            <a:ext uri="{FF2B5EF4-FFF2-40B4-BE49-F238E27FC236}">
              <a16:creationId xmlns:a16="http://schemas.microsoft.com/office/drawing/2014/main" id="{00000000-0008-0000-1C00-0000011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0</xdr:row>
      <xdr:rowOff>50800</xdr:rowOff>
    </xdr:from>
    <xdr:to>
      <xdr:col>6</xdr:col>
      <xdr:colOff>63500</xdr:colOff>
      <xdr:row>1</xdr:row>
      <xdr:rowOff>152400</xdr:rowOff>
    </xdr:to>
    <xdr:sp macro="" textlink="">
      <xdr:nvSpPr>
        <xdr:cNvPr id="7170" name="CommandButton1" hidden="1">
          <a:extLst>
            <a:ext uri="{63B3BB69-23CF-44E3-9099-C40C66FF867C}">
              <a14:compatExt xmlns:a14="http://schemas.microsoft.com/office/drawing/2010/main" spid="_x0000_s7170"/>
            </a:ext>
            <a:ext uri="{FF2B5EF4-FFF2-40B4-BE49-F238E27FC236}">
              <a16:creationId xmlns:a16="http://schemas.microsoft.com/office/drawing/2014/main" id="{00000000-0008-0000-1C00-0000021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25400</xdr:colOff>
      <xdr:row>0</xdr:row>
      <xdr:rowOff>0</xdr:rowOff>
    </xdr:from>
    <xdr:to>
      <xdr:col>2</xdr:col>
      <xdr:colOff>1968500</xdr:colOff>
      <xdr:row>1</xdr:row>
      <xdr:rowOff>12700</xdr:rowOff>
    </xdr:to>
    <xdr:pic>
      <xdr:nvPicPr>
        <xdr:cNvPr id="2" name="ComboBox1">
          <a:extLst>
            <a:ext uri="{FF2B5EF4-FFF2-40B4-BE49-F238E27FC236}">
              <a16:creationId xmlns:a16="http://schemas.microsoft.com/office/drawing/2014/main" id="{E8FCF84F-CBEE-611A-FAEF-6F7886CE159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8200" y="0"/>
          <a:ext cx="19431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139700</xdr:colOff>
      <xdr:row>0</xdr:row>
      <xdr:rowOff>50800</xdr:rowOff>
    </xdr:from>
    <xdr:to>
      <xdr:col>6</xdr:col>
      <xdr:colOff>63500</xdr:colOff>
      <xdr:row>1</xdr:row>
      <xdr:rowOff>152400</xdr:rowOff>
    </xdr:to>
    <xdr:pic>
      <xdr:nvPicPr>
        <xdr:cNvPr id="3" name="CommandButton1">
          <a:extLst>
            <a:ext uri="{FF2B5EF4-FFF2-40B4-BE49-F238E27FC236}">
              <a16:creationId xmlns:a16="http://schemas.microsoft.com/office/drawing/2014/main" id="{D36536E6-2055-0867-67D1-738276513A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75800" y="50800"/>
          <a:ext cx="1651000" cy="381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86591</xdr:colOff>
      <xdr:row>3</xdr:row>
      <xdr:rowOff>153266</xdr:rowOff>
    </xdr:from>
    <xdr:to>
      <xdr:col>3</xdr:col>
      <xdr:colOff>548987</xdr:colOff>
      <xdr:row>8</xdr:row>
      <xdr:rowOff>12124</xdr:rowOff>
    </xdr:to>
    <xdr:sp macro="" textlink="">
      <xdr:nvSpPr>
        <xdr:cNvPr id="2" name="Text Box 443">
          <a:extLst>
            <a:ext uri="{FF2B5EF4-FFF2-40B4-BE49-F238E27FC236}">
              <a16:creationId xmlns:a16="http://schemas.microsoft.com/office/drawing/2014/main" id="{00000000-0008-0000-0600-000002000000}"/>
            </a:ext>
          </a:extLst>
        </xdr:cNvPr>
        <xdr:cNvSpPr txBox="1">
          <a:spLocks noChangeArrowheads="1"/>
        </xdr:cNvSpPr>
      </xdr:nvSpPr>
      <xdr:spPr bwMode="auto">
        <a:xfrm>
          <a:off x="86591" y="705716"/>
          <a:ext cx="4548621" cy="858983"/>
        </a:xfrm>
        <a:prstGeom prst="rect">
          <a:avLst/>
        </a:prstGeom>
        <a:solidFill>
          <a:schemeClr val="accent2">
            <a:lumMod val="60000"/>
            <a:lumOff val="40000"/>
          </a:schemeClr>
        </a:solidFill>
        <a:ln>
          <a:headEnd/>
          <a:tailEnd/>
        </a:ln>
      </xdr:spPr>
      <xdr:style>
        <a:lnRef idx="0">
          <a:schemeClr val="accent2"/>
        </a:lnRef>
        <a:fillRef idx="3">
          <a:schemeClr val="accent2"/>
        </a:fillRef>
        <a:effectRef idx="3">
          <a:schemeClr val="accent2"/>
        </a:effectRef>
        <a:fontRef idx="minor">
          <a:schemeClr val="lt1"/>
        </a:fontRef>
      </xdr:style>
      <xdr:txBody>
        <a:bodyPr vertOverflow="clip" wrap="square" lIns="27432" tIns="22860" rIns="0" bIns="0" anchor="ctr" upright="1"/>
        <a:lstStyle/>
        <a:p>
          <a:pPr algn="ctr" rtl="0">
            <a:defRPr sz="1000"/>
          </a:pPr>
          <a:r>
            <a:rPr lang="en-US" sz="900" b="1" i="0" strike="noStrike" baseline="0">
              <a:solidFill>
                <a:sysClr val="windowText" lastClr="000000"/>
              </a:solidFill>
              <a:latin typeface="Tahoma"/>
              <a:cs typeface="Tahoma"/>
            </a:rPr>
            <a:t>DO NOT INSERT OR HIDE COLUMNS IN THE CAM TOOL!</a:t>
          </a:r>
        </a:p>
        <a:p>
          <a:pPr algn="ctr" rtl="0">
            <a:defRPr sz="1000"/>
          </a:pPr>
          <a:endParaRPr lang="en-US" sz="900" b="1" i="0" strike="noStrike" baseline="0">
            <a:solidFill>
              <a:sysClr val="windowText" lastClr="000000"/>
            </a:solidFill>
            <a:latin typeface="Tahoma"/>
            <a:cs typeface="Tahoma"/>
          </a:endParaRPr>
        </a:p>
        <a:p>
          <a:pPr algn="ctr" rtl="0">
            <a:defRPr sz="1000"/>
          </a:pPr>
          <a:r>
            <a:rPr lang="en-US" sz="900" b="1" i="0" strike="noStrike" baseline="0">
              <a:solidFill>
                <a:sysClr val="windowText" lastClr="000000"/>
              </a:solidFill>
              <a:latin typeface="Tahoma"/>
              <a:cs typeface="Tahoma"/>
            </a:rPr>
            <a:t>THE TOOL WILL NOT RUN PROPERLY.</a:t>
          </a:r>
        </a:p>
        <a:p>
          <a:pPr algn="ctr" rtl="0">
            <a:defRPr sz="1000"/>
          </a:pPr>
          <a:endParaRPr lang="en-US" sz="900" b="1" i="0" strike="noStrike">
            <a:solidFill>
              <a:sysClr val="windowText" lastClr="000000"/>
            </a:solidFill>
            <a:latin typeface="Tahoma"/>
            <a:cs typeface="Tahoma"/>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960499</xdr:colOff>
      <xdr:row>10</xdr:row>
      <xdr:rowOff>134166</xdr:rowOff>
    </xdr:from>
    <xdr:to>
      <xdr:col>2</xdr:col>
      <xdr:colOff>1398736</xdr:colOff>
      <xdr:row>14</xdr:row>
      <xdr:rowOff>76149</xdr:rowOff>
    </xdr:to>
    <xdr:sp macro="[0]!ShowToolbar" textlink="">
      <xdr:nvSpPr>
        <xdr:cNvPr id="2" name="AutoShape 4">
          <a:extLst>
            <a:ext uri="{FF2B5EF4-FFF2-40B4-BE49-F238E27FC236}">
              <a16:creationId xmlns:a16="http://schemas.microsoft.com/office/drawing/2014/main" id="{00000000-0008-0000-0900-000002000000}"/>
            </a:ext>
          </a:extLst>
        </xdr:cNvPr>
        <xdr:cNvSpPr>
          <a:spLocks noChangeArrowheads="1"/>
        </xdr:cNvSpPr>
      </xdr:nvSpPr>
      <xdr:spPr bwMode="auto">
        <a:xfrm>
          <a:off x="1730581" y="2158661"/>
          <a:ext cx="1538807" cy="703983"/>
        </a:xfrm>
        <a:prstGeom prst="bevel">
          <a:avLst>
            <a:gd name="adj" fmla="val 12500"/>
          </a:avLst>
        </a:prstGeom>
        <a:gradFill rotWithShape="1">
          <a:gsLst>
            <a:gs pos="0">
              <a:srgbClr val="FFFFFF">
                <a:gamma/>
                <a:shade val="66275"/>
                <a:invGamma/>
              </a:srgbClr>
            </a:gs>
            <a:gs pos="50000">
              <a:srgbClr val="FFFFFF"/>
            </a:gs>
            <a:gs pos="100000">
              <a:srgbClr val="FFFFFF">
                <a:gamma/>
                <a:shade val="66275"/>
                <a:invGamma/>
              </a:srgbClr>
            </a:gs>
          </a:gsLst>
          <a:lin ang="5400000" scaled="1"/>
        </a:gradFill>
        <a:ln w="19050">
          <a:solidFill>
            <a:srgbClr val="000000"/>
          </a:solidFill>
          <a:miter lim="800000"/>
          <a:headEnd/>
          <a:tailEnd/>
        </a:ln>
        <a:effectLst/>
      </xdr:spPr>
      <xdr:txBody>
        <a:bodyPr vertOverflow="clip" wrap="square" lIns="27432" tIns="22860" rIns="27432" bIns="22860" anchor="ctr" upright="1"/>
        <a:lstStyle/>
        <a:p>
          <a:pPr algn="ctr" rtl="0">
            <a:defRPr sz="1000"/>
          </a:pPr>
          <a:r>
            <a:rPr lang="en-US" sz="1000" b="1" i="0" strike="noStrike">
              <a:solidFill>
                <a:srgbClr val="0000FF"/>
              </a:solidFill>
              <a:latin typeface="Tahoma"/>
              <a:cs typeface="Tahoma"/>
            </a:rPr>
            <a:t>Click To Open Analysis Toolbox or Press "Ctrl" + " t "</a:t>
          </a: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11</xdr:col>
      <xdr:colOff>1400175</xdr:colOff>
      <xdr:row>10</xdr:row>
      <xdr:rowOff>9525</xdr:rowOff>
    </xdr:from>
    <xdr:ext cx="2623854" cy="803746"/>
    <xdr:sp macro="" textlink="">
      <xdr:nvSpPr>
        <xdr:cNvPr id="20" name="CrashType_Dir" hidden="1">
          <a:extLst>
            <a:ext uri="{FF2B5EF4-FFF2-40B4-BE49-F238E27FC236}">
              <a16:creationId xmlns:a16="http://schemas.microsoft.com/office/drawing/2014/main" id="{00000000-0008-0000-0B00-000014000000}"/>
            </a:ext>
          </a:extLst>
        </xdr:cNvPr>
        <xdr:cNvSpPr txBox="1">
          <a:spLocks noChangeArrowheads="1"/>
        </xdr:cNvSpPr>
      </xdr:nvSpPr>
      <xdr:spPr bwMode="auto">
        <a:xfrm>
          <a:off x="14678025" y="2409825"/>
          <a:ext cx="2623854" cy="803746"/>
        </a:xfrm>
        <a:prstGeom prst="rect">
          <a:avLst/>
        </a:prstGeom>
        <a:solidFill>
          <a:srgbClr val="FFFFDF"/>
        </a:solidFill>
        <a:ln w="19050" algn="ctr">
          <a:solidFill>
            <a:srgbClr val="000000"/>
          </a:solidFill>
          <a:miter lim="800000"/>
          <a:headEnd/>
          <a:tailEnd/>
        </a:ln>
        <a:effectLst/>
      </xdr:spPr>
      <xdr:txBody>
        <a:bodyPr vertOverflow="clip" wrap="square" lIns="91440" tIns="91440" rIns="91440" bIns="91440" anchor="t" anchorCtr="0" upright="1">
          <a:spAutoFit/>
        </a:bodyPr>
        <a:lstStyle/>
        <a:p>
          <a:pPr algn="l" rtl="0">
            <a:defRPr sz="1000"/>
          </a:pPr>
          <a:r>
            <a:rPr lang="en-US" sz="800" b="1" i="0" strike="noStrike">
              <a:solidFill>
                <a:srgbClr val="000000"/>
              </a:solidFill>
              <a:latin typeface="Tahoma"/>
              <a:cs typeface="Tahoma"/>
            </a:rPr>
            <a:t>In order to change a crash type before analyzing or using the ROR Analysis tool, select a crash type from the drop-down (leave the cell highlighted) and copy (Ctrl+C) the crash type and paste (Ctrl+V) it in the cell to overwrite.</a:t>
          </a:r>
        </a:p>
      </xdr:txBody>
    </xdr:sp>
    <xdr:clientData fPrintsWithSheet="0"/>
  </xdr:oneCellAnchor>
  <xdr:twoCellAnchor editAs="absolute">
    <xdr:from>
      <xdr:col>0</xdr:col>
      <xdr:colOff>313652</xdr:colOff>
      <xdr:row>4</xdr:row>
      <xdr:rowOff>15477</xdr:rowOff>
    </xdr:from>
    <xdr:to>
      <xdr:col>3</xdr:col>
      <xdr:colOff>200024</xdr:colOff>
      <xdr:row>7</xdr:row>
      <xdr:rowOff>126146</xdr:rowOff>
    </xdr:to>
    <xdr:sp macro="[0]!ShowToolbar" textlink="">
      <xdr:nvSpPr>
        <xdr:cNvPr id="32" name="AutoShape 4">
          <a:extLst>
            <a:ext uri="{FF2B5EF4-FFF2-40B4-BE49-F238E27FC236}">
              <a16:creationId xmlns:a16="http://schemas.microsoft.com/office/drawing/2014/main" id="{00000000-0008-0000-0B00-000020000000}"/>
            </a:ext>
          </a:extLst>
        </xdr:cNvPr>
        <xdr:cNvSpPr>
          <a:spLocks noChangeArrowheads="1"/>
        </xdr:cNvSpPr>
      </xdr:nvSpPr>
      <xdr:spPr bwMode="auto">
        <a:xfrm>
          <a:off x="311747" y="1792842"/>
          <a:ext cx="1896147" cy="684074"/>
        </a:xfrm>
        <a:prstGeom prst="roundRect">
          <a:avLst/>
        </a:prstGeom>
        <a:solidFill>
          <a:srgbClr val="D9D9D9"/>
        </a:solidFill>
        <a:ln w="19050">
          <a:solidFill>
            <a:sysClr val="windowText" lastClr="000000"/>
          </a:solidFill>
          <a:miter lim="800000"/>
          <a:headEnd/>
          <a:tailEnd/>
        </a:ln>
        <a:effectLst/>
      </xdr:spPr>
      <xdr:txBody>
        <a:bodyPr vertOverflow="clip" wrap="square" lIns="27432" tIns="22860" rIns="27432" bIns="22860" anchor="ctr" upright="1"/>
        <a:lstStyle/>
        <a:p>
          <a:pPr algn="ctr" rtl="0">
            <a:defRPr sz="1000"/>
          </a:pPr>
          <a:r>
            <a:rPr lang="en-US" sz="1100" b="1" i="0" strike="noStrike">
              <a:solidFill>
                <a:sysClr val="windowText" lastClr="000000"/>
              </a:solidFill>
              <a:latin typeface="+mn-lt"/>
              <a:cs typeface="Tahoma"/>
            </a:rPr>
            <a:t>Click To Open Analysis Toolbox or Press </a:t>
          </a:r>
        </a:p>
        <a:p>
          <a:pPr algn="ctr" rtl="0">
            <a:defRPr sz="1000"/>
          </a:pPr>
          <a:r>
            <a:rPr lang="en-US" sz="1100" b="1" i="0" strike="noStrike">
              <a:solidFill>
                <a:sysClr val="windowText" lastClr="000000"/>
              </a:solidFill>
              <a:latin typeface="+mn-lt"/>
              <a:cs typeface="Tahoma"/>
            </a:rPr>
            <a:t>"Ctrl" + " t "</a:t>
          </a:r>
        </a:p>
      </xdr:txBody>
    </xdr:sp>
    <xdr:clientData fPrintsWithSheet="0"/>
  </xdr:twoCellAnchor>
  <xdr:twoCellAnchor editAs="oneCell">
    <xdr:from>
      <xdr:col>12</xdr:col>
      <xdr:colOff>0</xdr:colOff>
      <xdr:row>14</xdr:row>
      <xdr:rowOff>152400</xdr:rowOff>
    </xdr:from>
    <xdr:to>
      <xdr:col>14</xdr:col>
      <xdr:colOff>812800</xdr:colOff>
      <xdr:row>16</xdr:row>
      <xdr:rowOff>76200</xdr:rowOff>
    </xdr:to>
    <xdr:sp macro="" textlink="">
      <xdr:nvSpPr>
        <xdr:cNvPr id="12368897" name="CrashType" hidden="1">
          <a:extLst>
            <a:ext uri="{63B3BB69-23CF-44E3-9099-C40C66FF867C}">
              <a14:compatExt xmlns:a14="http://schemas.microsoft.com/office/drawing/2010/main" spid="_x0000_s12368897"/>
            </a:ext>
            <a:ext uri="{FF2B5EF4-FFF2-40B4-BE49-F238E27FC236}">
              <a16:creationId xmlns:a16="http://schemas.microsoft.com/office/drawing/2014/main" id="{00000000-0008-0000-0B00-000001BCB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24</xdr:col>
      <xdr:colOff>12700</xdr:colOff>
      <xdr:row>16</xdr:row>
      <xdr:rowOff>63500</xdr:rowOff>
    </xdr:from>
    <xdr:to>
      <xdr:col>25</xdr:col>
      <xdr:colOff>1282700</xdr:colOff>
      <xdr:row>17</xdr:row>
      <xdr:rowOff>127000</xdr:rowOff>
    </xdr:to>
    <xdr:sp macro="" textlink="">
      <xdr:nvSpPr>
        <xdr:cNvPr id="12368898" name="Direction" hidden="1">
          <a:extLst>
            <a:ext uri="{63B3BB69-23CF-44E3-9099-C40C66FF867C}">
              <a14:compatExt xmlns:a14="http://schemas.microsoft.com/office/drawing/2010/main" spid="_x0000_s12368898"/>
            </a:ext>
            <a:ext uri="{FF2B5EF4-FFF2-40B4-BE49-F238E27FC236}">
              <a16:creationId xmlns:a16="http://schemas.microsoft.com/office/drawing/2014/main" id="{00000000-0008-0000-0B00-000002BCBC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12</xdr:col>
      <xdr:colOff>862853</xdr:colOff>
      <xdr:row>16</xdr:row>
      <xdr:rowOff>112059</xdr:rowOff>
    </xdr:from>
    <xdr:to>
      <xdr:col>12</xdr:col>
      <xdr:colOff>974912</xdr:colOff>
      <xdr:row>18</xdr:row>
      <xdr:rowOff>100853</xdr:rowOff>
    </xdr:to>
    <xdr:cxnSp macro="">
      <xdr:nvCxnSpPr>
        <xdr:cNvPr id="118" name="CrashTypeArrow" hidden="1">
          <a:extLst>
            <a:ext uri="{FF2B5EF4-FFF2-40B4-BE49-F238E27FC236}">
              <a16:creationId xmlns:a16="http://schemas.microsoft.com/office/drawing/2014/main" id="{00000000-0008-0000-0B00-000076000000}"/>
            </a:ext>
          </a:extLst>
        </xdr:cNvPr>
        <xdr:cNvCxnSpPr/>
      </xdr:nvCxnSpPr>
      <xdr:spPr>
        <a:xfrm flipH="1">
          <a:off x="15683753" y="3522009"/>
          <a:ext cx="112059" cy="322169"/>
        </a:xfrm>
        <a:prstGeom prst="straightConnector1">
          <a:avLst/>
        </a:prstGeom>
        <a:ln>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809625</xdr:colOff>
      <xdr:row>12</xdr:row>
      <xdr:rowOff>95250</xdr:rowOff>
    </xdr:from>
    <xdr:to>
      <xdr:col>1</xdr:col>
      <xdr:colOff>1581150</xdr:colOff>
      <xdr:row>18</xdr:row>
      <xdr:rowOff>66675</xdr:rowOff>
    </xdr:to>
    <xdr:sp macro="" textlink="">
      <xdr:nvSpPr>
        <xdr:cNvPr id="123" name="HandlogInd" hidden="1">
          <a:extLst>
            <a:ext uri="{FF2B5EF4-FFF2-40B4-BE49-F238E27FC236}">
              <a16:creationId xmlns:a16="http://schemas.microsoft.com/office/drawing/2014/main" id="{00000000-0008-0000-0B00-00007B000000}"/>
            </a:ext>
          </a:extLst>
        </xdr:cNvPr>
        <xdr:cNvSpPr/>
      </xdr:nvSpPr>
      <xdr:spPr>
        <a:xfrm>
          <a:off x="809625" y="2857500"/>
          <a:ext cx="1600200" cy="952500"/>
        </a:xfrm>
        <a:prstGeom prst="downArrowCallout">
          <a:avLst/>
        </a:prstGeom>
        <a:gradFill>
          <a:gsLst>
            <a:gs pos="0">
              <a:srgbClr val="FFFF00"/>
            </a:gs>
            <a:gs pos="35000">
              <a:srgbClr val="CC9900"/>
            </a:gs>
            <a:gs pos="100000">
              <a:schemeClr val="dk1">
                <a:tint val="15000"/>
                <a:satMod val="350000"/>
              </a:schemeClr>
            </a:gs>
          </a:gsLst>
        </a:gra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n-US" sz="1100"/>
            <a:t>Highlight Yellow </a:t>
          </a:r>
          <a:r>
            <a:rPr lang="en-US" sz="1100" baseline="0"/>
            <a:t> to Indicate hand logged crashes.</a:t>
          </a:r>
          <a:endParaRPr lang="en-US" sz="1100"/>
        </a:p>
      </xdr:txBody>
    </xdr:sp>
    <xdr:clientData/>
  </xdr:twoCellAnchor>
  <xdr:twoCellAnchor>
    <xdr:from>
      <xdr:col>4</xdr:col>
      <xdr:colOff>862853</xdr:colOff>
      <xdr:row>16</xdr:row>
      <xdr:rowOff>112059</xdr:rowOff>
    </xdr:from>
    <xdr:to>
      <xdr:col>4</xdr:col>
      <xdr:colOff>974912</xdr:colOff>
      <xdr:row>18</xdr:row>
      <xdr:rowOff>100853</xdr:rowOff>
    </xdr:to>
    <xdr:cxnSp macro="">
      <xdr:nvCxnSpPr>
        <xdr:cNvPr id="44" name="CrashTypeArrow" hidden="1">
          <a:extLst>
            <a:ext uri="{FF2B5EF4-FFF2-40B4-BE49-F238E27FC236}">
              <a16:creationId xmlns:a16="http://schemas.microsoft.com/office/drawing/2014/main" id="{00000000-0008-0000-0B00-00002C000000}"/>
            </a:ext>
          </a:extLst>
        </xdr:cNvPr>
        <xdr:cNvCxnSpPr/>
      </xdr:nvCxnSpPr>
      <xdr:spPr>
        <a:xfrm flipH="1">
          <a:off x="3044078" y="2702859"/>
          <a:ext cx="7284" cy="312644"/>
        </a:xfrm>
        <a:prstGeom prst="straightConnector1">
          <a:avLst/>
        </a:prstGeom>
        <a:ln>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573405</xdr:colOff>
      <xdr:row>0</xdr:row>
      <xdr:rowOff>53339</xdr:rowOff>
    </xdr:from>
    <xdr:to>
      <xdr:col>8</xdr:col>
      <xdr:colOff>361950</xdr:colOff>
      <xdr:row>5</xdr:row>
      <xdr:rowOff>47624</xdr:rowOff>
    </xdr:to>
    <xdr:sp macro="" textlink="">
      <xdr:nvSpPr>
        <xdr:cNvPr id="2" name="TextBox 1">
          <a:extLst>
            <a:ext uri="{FF2B5EF4-FFF2-40B4-BE49-F238E27FC236}">
              <a16:creationId xmlns:a16="http://schemas.microsoft.com/office/drawing/2014/main" id="{BE9F0EAD-37C4-45FE-884F-74CA16244C72}"/>
            </a:ext>
          </a:extLst>
        </xdr:cNvPr>
        <xdr:cNvSpPr txBox="1"/>
      </xdr:nvSpPr>
      <xdr:spPr>
        <a:xfrm>
          <a:off x="2583180" y="53339"/>
          <a:ext cx="4922520" cy="1975485"/>
        </a:xfrm>
        <a:prstGeom prst="round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none"/>
            <a:t>CAM Tool Version: </a:t>
          </a:r>
          <a:r>
            <a:rPr lang="en-US" sz="1400" b="1" u="none">
              <a:solidFill>
                <a:srgbClr val="009969"/>
              </a:solidFill>
            </a:rPr>
            <a:t>20251021</a:t>
          </a:r>
        </a:p>
        <a:p>
          <a:endParaRPr lang="en-US" sz="1000" b="1" u="sng"/>
        </a:p>
        <a:p>
          <a:r>
            <a:rPr lang="en-US" sz="1400" b="1" u="sng"/>
            <a:t>Notes</a:t>
          </a:r>
          <a:endParaRPr lang="en-US" sz="1400"/>
        </a:p>
        <a:p>
          <a:r>
            <a:rPr lang="en-US" sz="1100"/>
            <a:t>Macros</a:t>
          </a:r>
          <a:r>
            <a:rPr lang="en-US" sz="1100" baseline="0"/>
            <a:t> must be enabled to run the CAM Tool.</a:t>
          </a:r>
        </a:p>
        <a:p>
          <a:r>
            <a:rPr lang="en-US" sz="1100" b="1" baseline="0"/>
            <a:t>DO NOT </a:t>
          </a:r>
          <a:r>
            <a:rPr lang="en-US" sz="1100" baseline="0"/>
            <a:t>insert or hide columns in the CAM Tool. The tool will not run properly.</a:t>
          </a:r>
        </a:p>
        <a:p>
          <a:endParaRPr lang="en-US" sz="1100" baseline="0"/>
        </a:p>
        <a:p>
          <a:r>
            <a:rPr lang="en-US" sz="1400" b="1" u="sng" baseline="0"/>
            <a:t>Helpful Resources</a:t>
          </a:r>
        </a:p>
        <a:p>
          <a:r>
            <a:rPr lang="en-US" sz="1100" b="0" baseline="0"/>
            <a:t>Help with AASHTOWare Safety, the CAM Tool, GCAT, ECAT and more is available on </a:t>
          </a:r>
          <a:r>
            <a:rPr lang="en-US" sz="1100" b="1" baseline="0"/>
            <a:t>ODOT's Crash Analysis Tools webpage</a:t>
          </a:r>
          <a:r>
            <a:rPr lang="en-US" sz="1100" b="0" baseline="0"/>
            <a:t>, linked in the button below.</a:t>
          </a:r>
        </a:p>
      </xdr:txBody>
    </xdr:sp>
    <xdr:clientData/>
  </xdr:twoCellAnchor>
  <xdr:twoCellAnchor>
    <xdr:from>
      <xdr:col>3</xdr:col>
      <xdr:colOff>817245</xdr:colOff>
      <xdr:row>8</xdr:row>
      <xdr:rowOff>163830</xdr:rowOff>
    </xdr:from>
    <xdr:to>
      <xdr:col>5</xdr:col>
      <xdr:colOff>582549</xdr:colOff>
      <xdr:row>12</xdr:row>
      <xdr:rowOff>94488</xdr:rowOff>
    </xdr:to>
    <xdr:sp macro="[0]!Download_All_Reports" textlink="">
      <xdr:nvSpPr>
        <xdr:cNvPr id="3" name="Rectangle: Rounded Corners 2">
          <a:extLst>
            <a:ext uri="{FF2B5EF4-FFF2-40B4-BE49-F238E27FC236}">
              <a16:creationId xmlns:a16="http://schemas.microsoft.com/office/drawing/2014/main" id="{B83E6CEF-B5D8-43FE-84BB-CA7D92219817}"/>
            </a:ext>
          </a:extLst>
        </xdr:cNvPr>
        <xdr:cNvSpPr/>
      </xdr:nvSpPr>
      <xdr:spPr>
        <a:xfrm>
          <a:off x="2827020" y="2716530"/>
          <a:ext cx="1889379" cy="702183"/>
        </a:xfrm>
        <a:prstGeom prst="roundRect">
          <a:avLst/>
        </a:prstGeom>
        <a:solidFill>
          <a:srgbClr val="D9D9D9"/>
        </a:solid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Download All Crash Reports</a:t>
          </a:r>
        </a:p>
        <a:p>
          <a:pPr algn="ctr"/>
          <a:r>
            <a:rPr lang="en-US" sz="1100" b="1">
              <a:solidFill>
                <a:sysClr val="windowText" lastClr="000000"/>
              </a:solidFill>
            </a:rPr>
            <a:t>(After Import)</a:t>
          </a:r>
        </a:p>
      </xdr:txBody>
    </xdr:sp>
    <xdr:clientData/>
  </xdr:twoCellAnchor>
  <xdr:twoCellAnchor>
    <xdr:from>
      <xdr:col>3</xdr:col>
      <xdr:colOff>561976</xdr:colOff>
      <xdr:row>6</xdr:row>
      <xdr:rowOff>19050</xdr:rowOff>
    </xdr:from>
    <xdr:to>
      <xdr:col>8</xdr:col>
      <xdr:colOff>354331</xdr:colOff>
      <xdr:row>8</xdr:row>
      <xdr:rowOff>11430</xdr:rowOff>
    </xdr:to>
    <xdr:sp macro="" textlink="">
      <xdr:nvSpPr>
        <xdr:cNvPr id="4" name="TextBox 3">
          <a:hlinkClick xmlns:r="http://schemas.openxmlformats.org/officeDocument/2006/relationships" r:id="rId1"/>
          <a:extLst>
            <a:ext uri="{FF2B5EF4-FFF2-40B4-BE49-F238E27FC236}">
              <a16:creationId xmlns:a16="http://schemas.microsoft.com/office/drawing/2014/main" id="{989ED68A-A7EB-4EA9-8F55-0494354CDF08}"/>
            </a:ext>
          </a:extLst>
        </xdr:cNvPr>
        <xdr:cNvSpPr txBox="1"/>
      </xdr:nvSpPr>
      <xdr:spPr>
        <a:xfrm>
          <a:off x="2571751" y="2200275"/>
          <a:ext cx="4926330" cy="363855"/>
        </a:xfrm>
        <a:prstGeom prst="roundRect">
          <a:avLst/>
        </a:prstGeom>
        <a:solidFill>
          <a:srgbClr val="009969"/>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u="none">
              <a:solidFill>
                <a:schemeClr val="bg1"/>
              </a:solidFill>
            </a:rPr>
            <a:t>Crash Analysis Tools Webpage</a:t>
          </a:r>
          <a:endParaRPr lang="en-US" sz="1100" b="0" baseline="0">
            <a:solidFill>
              <a:schemeClr val="bg1"/>
            </a:solidFill>
          </a:endParaRPr>
        </a:p>
      </xdr:txBody>
    </xdr:sp>
    <xdr:clientData/>
  </xdr:twoCellAnchor>
  <xdr:twoCellAnchor editAs="oneCell">
    <xdr:from>
      <xdr:col>0</xdr:col>
      <xdr:colOff>87629</xdr:colOff>
      <xdr:row>0</xdr:row>
      <xdr:rowOff>74293</xdr:rowOff>
    </xdr:from>
    <xdr:to>
      <xdr:col>3</xdr:col>
      <xdr:colOff>340807</xdr:colOff>
      <xdr:row>1</xdr:row>
      <xdr:rowOff>91440</xdr:rowOff>
    </xdr:to>
    <xdr:pic>
      <xdr:nvPicPr>
        <xdr:cNvPr id="7" name="Picture 6">
          <a:extLst>
            <a:ext uri="{FF2B5EF4-FFF2-40B4-BE49-F238E27FC236}">
              <a16:creationId xmlns:a16="http://schemas.microsoft.com/office/drawing/2014/main" id="{21BC7C52-3885-097E-F37E-D2145E96059D}"/>
            </a:ext>
          </a:extLst>
        </xdr:cNvPr>
        <xdr:cNvPicPr>
          <a:picLocks noChangeAspect="1"/>
        </xdr:cNvPicPr>
      </xdr:nvPicPr>
      <xdr:blipFill>
        <a:blip xmlns:r="http://schemas.openxmlformats.org/officeDocument/2006/relationships" r:embed="rId2"/>
        <a:stretch>
          <a:fillRect/>
        </a:stretch>
      </xdr:blipFill>
      <xdr:spPr>
        <a:xfrm>
          <a:off x="87629" y="74293"/>
          <a:ext cx="2262953" cy="1221107"/>
        </a:xfrm>
        <a:prstGeom prst="rect">
          <a:avLst/>
        </a:prstGeom>
        <a:ln w="31750">
          <a:solidFill>
            <a:srgbClr val="009969"/>
          </a:solidFill>
        </a:ln>
      </xdr:spPr>
    </xdr:pic>
    <xdr:clientData/>
  </xdr:twoCellAnchor>
  <xdr:twoCellAnchor>
    <xdr:from>
      <xdr:col>6</xdr:col>
      <xdr:colOff>329565</xdr:colOff>
      <xdr:row>8</xdr:row>
      <xdr:rowOff>175259</xdr:rowOff>
    </xdr:from>
    <xdr:to>
      <xdr:col>8</xdr:col>
      <xdr:colOff>134493</xdr:colOff>
      <xdr:row>12</xdr:row>
      <xdr:rowOff>102107</xdr:rowOff>
    </xdr:to>
    <xdr:sp macro="" textlink="">
      <xdr:nvSpPr>
        <xdr:cNvPr id="5" name="TextBox 4">
          <a:hlinkClick xmlns:r="http://schemas.openxmlformats.org/officeDocument/2006/relationships" r:id="rId3"/>
          <a:extLst>
            <a:ext uri="{FF2B5EF4-FFF2-40B4-BE49-F238E27FC236}">
              <a16:creationId xmlns:a16="http://schemas.microsoft.com/office/drawing/2014/main" id="{CDA55A88-8381-4864-B3D2-690CC94C7C38}"/>
            </a:ext>
          </a:extLst>
        </xdr:cNvPr>
        <xdr:cNvSpPr txBox="1"/>
      </xdr:nvSpPr>
      <xdr:spPr>
        <a:xfrm>
          <a:off x="5377815" y="2727959"/>
          <a:ext cx="1900428" cy="698373"/>
        </a:xfrm>
        <a:prstGeom prst="roundRect">
          <a:avLst/>
        </a:prstGeom>
        <a:solidFill>
          <a:srgbClr val="D9D9D9"/>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none">
              <a:solidFill>
                <a:sysClr val="windowText" lastClr="000000"/>
              </a:solidFill>
            </a:rPr>
            <a:t>How To Submit</a:t>
          </a:r>
          <a:r>
            <a:rPr lang="en-US" sz="1100" b="1" u="none" baseline="0">
              <a:solidFill>
                <a:sysClr val="windowText" lastClr="000000"/>
              </a:solidFill>
            </a:rPr>
            <a:t> </a:t>
          </a:r>
        </a:p>
        <a:p>
          <a:pPr algn="ctr"/>
          <a:r>
            <a:rPr lang="en-US" sz="1100" b="1" u="none" baseline="0">
              <a:solidFill>
                <a:sysClr val="windowText" lastClr="000000"/>
              </a:solidFill>
            </a:rPr>
            <a:t>Crash Data Corrections</a:t>
          </a:r>
          <a:endParaRPr lang="en-US" sz="1100" b="0" baseline="0">
            <a:solidFill>
              <a:sysClr val="windowText" lastClr="000000"/>
            </a:solidFill>
          </a:endParaRPr>
        </a:p>
      </xdr:txBody>
    </xdr:sp>
    <xdr:clientData/>
  </xdr:twoCellAnchor>
  <xdr:twoCellAnchor editAs="oneCell">
    <xdr:from>
      <xdr:col>12</xdr:col>
      <xdr:colOff>0</xdr:colOff>
      <xdr:row>14</xdr:row>
      <xdr:rowOff>152400</xdr:rowOff>
    </xdr:from>
    <xdr:to>
      <xdr:col>14</xdr:col>
      <xdr:colOff>812800</xdr:colOff>
      <xdr:row>16</xdr:row>
      <xdr:rowOff>76200</xdr:rowOff>
    </xdr:to>
    <xdr:pic>
      <xdr:nvPicPr>
        <xdr:cNvPr id="6" name="CrashType" hidden="1">
          <a:extLst>
            <a:ext uri="{FF2B5EF4-FFF2-40B4-BE49-F238E27FC236}">
              <a16:creationId xmlns:a16="http://schemas.microsoft.com/office/drawing/2014/main" id="{76D80CB6-6E33-35A0-909B-4AF4DFBC9A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79400" y="3835400"/>
          <a:ext cx="28448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24</xdr:col>
      <xdr:colOff>12700</xdr:colOff>
      <xdr:row>16</xdr:row>
      <xdr:rowOff>63500</xdr:rowOff>
    </xdr:from>
    <xdr:to>
      <xdr:col>25</xdr:col>
      <xdr:colOff>1282700</xdr:colOff>
      <xdr:row>17</xdr:row>
      <xdr:rowOff>127000</xdr:rowOff>
    </xdr:to>
    <xdr:pic>
      <xdr:nvPicPr>
        <xdr:cNvPr id="8" name="Direction" hidden="1">
          <a:extLst>
            <a:ext uri="{FF2B5EF4-FFF2-40B4-BE49-F238E27FC236}">
              <a16:creationId xmlns:a16="http://schemas.microsoft.com/office/drawing/2014/main" id="{E2D70AF6-F037-A204-99A9-30A6D2BEA0E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771600" y="4076700"/>
          <a:ext cx="200660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23</xdr:col>
      <xdr:colOff>358775</xdr:colOff>
      <xdr:row>49</xdr:row>
      <xdr:rowOff>117475</xdr:rowOff>
    </xdr:from>
    <xdr:to>
      <xdr:col>31</xdr:col>
      <xdr:colOff>53975</xdr:colOff>
      <xdr:row>68</xdr:row>
      <xdr:rowOff>3175</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374622</xdr:colOff>
      <xdr:row>22</xdr:row>
      <xdr:rowOff>93842</xdr:rowOff>
    </xdr:from>
    <xdr:to>
      <xdr:col>13</xdr:col>
      <xdr:colOff>209550</xdr:colOff>
      <xdr:row>39</xdr:row>
      <xdr:rowOff>78602</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76531</xdr:colOff>
      <xdr:row>3</xdr:row>
      <xdr:rowOff>10187</xdr:rowOff>
    </xdr:from>
    <xdr:to>
      <xdr:col>9</xdr:col>
      <xdr:colOff>343231</xdr:colOff>
      <xdr:row>19</xdr:row>
      <xdr:rowOff>170207</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411396</xdr:colOff>
      <xdr:row>3</xdr:row>
      <xdr:rowOff>12836</xdr:rowOff>
    </xdr:from>
    <xdr:to>
      <xdr:col>13</xdr:col>
      <xdr:colOff>695241</xdr:colOff>
      <xdr:row>19</xdr:row>
      <xdr:rowOff>165236</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67946</xdr:colOff>
      <xdr:row>104</xdr:row>
      <xdr:rowOff>80009</xdr:rowOff>
    </xdr:from>
    <xdr:to>
      <xdr:col>4</xdr:col>
      <xdr:colOff>85091</xdr:colOff>
      <xdr:row>121</xdr:row>
      <xdr:rowOff>92075</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134620</xdr:colOff>
      <xdr:row>104</xdr:row>
      <xdr:rowOff>64770</xdr:rowOff>
    </xdr:from>
    <xdr:to>
      <xdr:col>9</xdr:col>
      <xdr:colOff>26596</xdr:colOff>
      <xdr:row>121</xdr:row>
      <xdr:rowOff>82296</xdr:rowOff>
    </xdr:to>
    <xdr:graphicFrame macro="">
      <xdr:nvGraphicFramePr>
        <xdr:cNvPr id="6" name="Chart 5">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80967</xdr:colOff>
      <xdr:row>104</xdr:row>
      <xdr:rowOff>79100</xdr:rowOff>
    </xdr:from>
    <xdr:to>
      <xdr:col>13</xdr:col>
      <xdr:colOff>818030</xdr:colOff>
      <xdr:row>121</xdr:row>
      <xdr:rowOff>92816</xdr:rowOff>
    </xdr:to>
    <xdr:graphicFrame macro="">
      <xdr:nvGraphicFramePr>
        <xdr:cNvPr id="7" name="Chart 6">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44975</xdr:colOff>
      <xdr:row>122</xdr:row>
      <xdr:rowOff>40863</xdr:rowOff>
    </xdr:from>
    <xdr:to>
      <xdr:col>4</xdr:col>
      <xdr:colOff>259192</xdr:colOff>
      <xdr:row>139</xdr:row>
      <xdr:rowOff>111348</xdr:rowOff>
    </xdr:to>
    <xdr:graphicFrame macro="">
      <xdr:nvGraphicFramePr>
        <xdr:cNvPr id="9" name="Chart 8">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322242</xdr:colOff>
      <xdr:row>122</xdr:row>
      <xdr:rowOff>55878</xdr:rowOff>
    </xdr:from>
    <xdr:to>
      <xdr:col>9</xdr:col>
      <xdr:colOff>459105</xdr:colOff>
      <xdr:row>139</xdr:row>
      <xdr:rowOff>132078</xdr:rowOff>
    </xdr:to>
    <xdr:graphicFrame macro="">
      <xdr:nvGraphicFramePr>
        <xdr:cNvPr id="11" name="Chart 10">
          <a:extLst>
            <a:ext uri="{FF2B5EF4-FFF2-40B4-BE49-F238E27FC236}">
              <a16:creationId xmlns:a16="http://schemas.microsoft.com/office/drawing/2014/main" id="{00000000-0008-0000-0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34580</xdr:colOff>
      <xdr:row>141</xdr:row>
      <xdr:rowOff>63019</xdr:rowOff>
    </xdr:from>
    <xdr:to>
      <xdr:col>4</xdr:col>
      <xdr:colOff>249321</xdr:colOff>
      <xdr:row>158</xdr:row>
      <xdr:rowOff>141860</xdr:rowOff>
    </xdr:to>
    <xdr:graphicFrame macro="">
      <xdr:nvGraphicFramePr>
        <xdr:cNvPr id="12" name="Chart 11">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360724</xdr:colOff>
      <xdr:row>141</xdr:row>
      <xdr:rowOff>60473</xdr:rowOff>
    </xdr:from>
    <xdr:to>
      <xdr:col>9</xdr:col>
      <xdr:colOff>502666</xdr:colOff>
      <xdr:row>158</xdr:row>
      <xdr:rowOff>129053</xdr:rowOff>
    </xdr:to>
    <xdr:graphicFrame macro="">
      <xdr:nvGraphicFramePr>
        <xdr:cNvPr id="13" name="Chart 12">
          <a:extLst>
            <a:ext uri="{FF2B5EF4-FFF2-40B4-BE49-F238E27FC236}">
              <a16:creationId xmlns:a16="http://schemas.microsoft.com/office/drawing/2014/main" id="{00000000-0008-0000-0D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23381</xdr:rowOff>
    </xdr:from>
    <xdr:to>
      <xdr:col>8</xdr:col>
      <xdr:colOff>1536124</xdr:colOff>
      <xdr:row>63</xdr:row>
      <xdr:rowOff>118630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0</xdr:rowOff>
    </xdr:from>
    <xdr:to>
      <xdr:col>8</xdr:col>
      <xdr:colOff>1536124</xdr:colOff>
      <xdr:row>99</xdr:row>
      <xdr:rowOff>104774</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0.76117</cdr:x>
      <cdr:y>0.01648</cdr:y>
    </cdr:from>
    <cdr:to>
      <cdr:x>0.99443</cdr:x>
      <cdr:y>0.09539</cdr:y>
    </cdr:to>
    <cdr:pic>
      <cdr:nvPicPr>
        <cdr:cNvPr id="4" name="chart">
          <a:extLst xmlns:a="http://schemas.openxmlformats.org/drawingml/2006/main">
            <a:ext uri="{FF2B5EF4-FFF2-40B4-BE49-F238E27FC236}">
              <a16:creationId xmlns:a16="http://schemas.microsoft.com/office/drawing/2014/main" id="{6C5730CE-4606-444A-8AA5-54031B4984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658100" y="108468"/>
          <a:ext cx="2346859" cy="519367"/>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0.76117</cdr:x>
      <cdr:y>0.01648</cdr:y>
    </cdr:from>
    <cdr:to>
      <cdr:x>0.99443</cdr:x>
      <cdr:y>0.09539</cdr:y>
    </cdr:to>
    <cdr:pic>
      <cdr:nvPicPr>
        <cdr:cNvPr id="4" name="chart">
          <a:extLst xmlns:a="http://schemas.openxmlformats.org/drawingml/2006/main">
            <a:ext uri="{FF2B5EF4-FFF2-40B4-BE49-F238E27FC236}">
              <a16:creationId xmlns:a16="http://schemas.microsoft.com/office/drawing/2014/main" id="{36742CBA-5EB8-4FC9-BF53-AA5ACB55F4D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658100" y="108468"/>
          <a:ext cx="2346859" cy="519367"/>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itcfs007/odrive/SAFETY/CEN/_Crash%20Analysis%20Tools/OLD_CAM%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fetySummary"/>
      <sheetName val="RISeg"/>
      <sheetName val="StateBasic"/>
      <sheetName val="Ellis"/>
      <sheetName val="Pavement"/>
      <sheetName val="Bridge"/>
      <sheetName val="AssetSQL"/>
      <sheetName val="ImageQuery"/>
      <sheetName val="HistoricalImages"/>
      <sheetName val="CamSQL"/>
      <sheetName val="Metadata"/>
      <sheetName val="RefTables"/>
      <sheetName val="Data"/>
      <sheetName val="Full Crash Data"/>
      <sheetName val="Crash Data"/>
      <sheetName val="Data Analysis"/>
      <sheetName val="Graphical Analysis"/>
      <sheetName val="Histograms"/>
      <sheetName val="Collision Diagram"/>
      <sheetName val="Diagram Data"/>
      <sheetName val="Rate Calc Sheet"/>
      <sheetName val="Severity Calc Sheet"/>
      <sheetName val="CRF Table_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ow r="20">
          <cell r="A20" t="str">
            <v>HYPERLINK</v>
          </cell>
          <cell r="B20" t="str">
            <v>ACCIDENTS_POINTS_NBR</v>
          </cell>
          <cell r="C20" t="str">
            <v>LOCAL_REPORT_NBR</v>
          </cell>
          <cell r="D20" t="str">
            <v>NLF ID</v>
          </cell>
          <cell r="E20" t="str">
            <v>LOGPOINT_SLM_NBR</v>
          </cell>
          <cell r="F20" t="str">
            <v>CRASH_DT</v>
          </cell>
          <cell r="G20" t="str">
            <v>STREET1</v>
          </cell>
          <cell r="H20" t="str">
            <v>STREET2_REFERENCE</v>
          </cell>
          <cell r="I20" t="str">
            <v>DISTANCE_OFFSET</v>
          </cell>
          <cell r="J20" t="str">
            <v>DAY_OF_WEEK_TXT</v>
          </cell>
          <cell r="K20" t="str">
            <v>HOUR_OF_DAY</v>
          </cell>
          <cell r="L20" t="str">
            <v>LIGHT_CONDITION_TXT</v>
          </cell>
          <cell r="M20" t="str">
            <v>TYPE_OF_CRASH_TXT</v>
          </cell>
          <cell r="N20" t="str">
            <v>NUMBER_OF_VEHICLES</v>
          </cell>
          <cell r="O20" t="str">
            <v>CRASH_SEVERITY_TXT</v>
          </cell>
          <cell r="P20" t="str">
            <v>WEATHER_CONDITION_TXT</v>
          </cell>
          <cell r="Q20" t="str">
            <v>ROAD_CONDITION_TXT</v>
          </cell>
          <cell r="R20" t="str">
            <v>LOCATION_TXT</v>
          </cell>
          <cell r="S20" t="str">
            <v>CONTRIBUTING_FACTOR1_TXT</v>
          </cell>
          <cell r="T20" t="str">
            <v>ACTION1_TXT</v>
          </cell>
          <cell r="U20" t="str">
            <v>PUBLIC_URL</v>
          </cell>
          <cell r="V20" t="str">
            <v>VEHICLE_TYPE1_TXT</v>
          </cell>
          <cell r="W20" t="str">
            <v>DIRECTION_FROM1_TXT</v>
          </cell>
          <cell r="X20" t="str">
            <v>DIRECTION_TO1_TXT</v>
          </cell>
          <cell r="Y20" t="str">
            <v>DRIVER_AGE1</v>
          </cell>
          <cell r="Z20" t="str">
            <v>DRIVER_GENDER1_TXT</v>
          </cell>
          <cell r="AA20" t="str">
            <v>TRAFFIC_CONTROL1_TXT</v>
          </cell>
          <cell r="AB20" t="str">
            <v>DRIVER_ALCOHOL1_TXT</v>
          </cell>
          <cell r="AC20" t="str">
            <v>DRIVER_DRUGS1_TXT</v>
          </cell>
          <cell r="AD20" t="str">
            <v>ESTIMATED_SPEED1_TXT</v>
          </cell>
          <cell r="AE20" t="str">
            <v>POSTED_SPEED1_TXT</v>
          </cell>
          <cell r="AF20" t="str">
            <v>CONTRIBUTING_FACTOR2_TXT</v>
          </cell>
          <cell r="AG20" t="str">
            <v>ACTION2_TXT</v>
          </cell>
          <cell r="AH20" t="str">
            <v>VEHICLE_TYPE2_TXT</v>
          </cell>
          <cell r="AI20" t="str">
            <v>DRIVER_AGE2</v>
          </cell>
          <cell r="AJ20" t="str">
            <v>DRIVER_GENDER2_TXT</v>
          </cell>
          <cell r="AK20" t="str">
            <v>DIRECTION_FROM2_TXT</v>
          </cell>
          <cell r="AL20" t="str">
            <v>DIRECTION_TO2_TXT</v>
          </cell>
          <cell r="AM20" t="str">
            <v>DRIVER_ALCOHOL2_TXT</v>
          </cell>
          <cell r="AN20" t="str">
            <v>DRIVER_DRUGS2_TXT</v>
          </cell>
          <cell r="AO20" t="str">
            <v>SPECIAL_AREA_TXT</v>
          </cell>
          <cell r="AP20" t="str">
            <v>ANIMAL_TYPE_TXT</v>
          </cell>
          <cell r="AQ20" t="str">
            <v>Filename Nme</v>
          </cell>
          <cell r="AR20" t="str">
            <v>ROAD_CONTOUR_TXT</v>
          </cell>
          <cell r="AS20" t="str">
            <v>INJ_TYPE1_FATAL</v>
          </cell>
          <cell r="AT20" t="str">
            <v>INJ_TYPE2_SERIOUS_VISIBLE</v>
          </cell>
          <cell r="AU20" t="str">
            <v>INJ_TYPE3_MINOR_VISIBLE</v>
          </cell>
          <cell r="AV20" t="str">
            <v>INJ_TYPE4_NO_VISIBLE</v>
          </cell>
          <cell r="AW20" t="str">
            <v>DIRECTION_FROM_REF_TXT</v>
          </cell>
          <cell r="AX20" t="str">
            <v>DISTRICT_NBR</v>
          </cell>
          <cell r="AY20" t="str">
            <v>COUNTY_CD</v>
          </cell>
          <cell r="AZ20" t="str">
            <v>City Village Twp Cd</v>
          </cell>
          <cell r="BA20" t="str">
            <v>City Village Twp Nme</v>
          </cell>
          <cell r="BB20" t="str">
            <v>Latitude Nbr</v>
          </cell>
          <cell r="BC20" t="str">
            <v>Longitude Nbr</v>
          </cell>
          <cell r="BD20" t="str">
            <v>TRAFFIC_CRASH_YEAR</v>
          </cell>
          <cell r="BE20" t="str">
            <v>CRASH_MONTH_NBR</v>
          </cell>
          <cell r="BF20" t="str">
            <v>INJ/FAT</v>
          </cell>
          <cell r="BG20" t="str">
            <v>SNOW/ICE</v>
          </cell>
          <cell r="BH20" t="str">
            <v>DAWN/DUSK</v>
          </cell>
          <cell r="BI20" t="str">
            <v>DARK</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
          <cell r="AA6" t="str">
            <v>Add centerlines on roadway segments (2 lane roadway)</v>
          </cell>
        </row>
        <row r="7">
          <cell r="AA7" t="str">
            <v>Add left-turn lanes to major road approaches at intersections - Rural</v>
          </cell>
        </row>
        <row r="8">
          <cell r="AA8" t="str">
            <v>Add left-turn lanes to major road approaches at intersections - Urban</v>
          </cell>
        </row>
        <row r="9">
          <cell r="AA9" t="str">
            <v>Change barrier along embankment to less rigid type</v>
          </cell>
        </row>
        <row r="10">
          <cell r="AA10" t="str">
            <v>Change from permitted or permitted-protected to protected - Urban</v>
          </cell>
        </row>
        <row r="11">
          <cell r="AA11" t="str">
            <v>Conversion of signalized intersection into single- or multi-lane roundabout - Urban</v>
          </cell>
        </row>
        <row r="12">
          <cell r="AA12" t="str">
            <v>Conversion of stop-controlled intersection into multi-lane roundabout - Urban</v>
          </cell>
        </row>
        <row r="13">
          <cell r="AA13" t="str">
            <v>Convert at-grade intersection to grade-separated interchange</v>
          </cell>
        </row>
        <row r="14">
          <cell r="AA14" t="str">
            <v>Convert stop-control to signal</v>
          </cell>
        </row>
        <row r="15">
          <cell r="AA15" t="str">
            <v>Convert two-way stop-controlled intersection to roundabout</v>
          </cell>
        </row>
        <row r="16">
          <cell r="AA16" t="str">
            <v>Convert two-way stop-controlled intersection to roundabout - Rural</v>
          </cell>
        </row>
        <row r="17">
          <cell r="AA17" t="str">
            <v>Convert two-way to all-way stop control</v>
          </cell>
        </row>
        <row r="18">
          <cell r="AA18" t="str">
            <v>Converting four-lane roadways to three-lane roadways with center turn lane (road diet) - Suburban</v>
          </cell>
        </row>
        <row r="19">
          <cell r="AA19" t="str">
            <v>Design diamond, trumpet or cloverleaf interchange with crossroad above freeway</v>
          </cell>
        </row>
        <row r="20">
          <cell r="AA20" t="str">
            <v>Extend acceleration lane by approx. 98 ft (30 m)</v>
          </cell>
        </row>
        <row r="21">
          <cell r="AA21" t="str">
            <v>Extend deceleration lane by approx. 98 ft (30 m)</v>
          </cell>
        </row>
        <row r="22">
          <cell r="AA22" t="str">
            <v>Flashing beacons at four leg stop controlled intersections on two lane roads; Standard and actuated beacons</v>
          </cell>
        </row>
        <row r="23">
          <cell r="AA23" t="str">
            <v>Flatten crest vertical curve</v>
          </cell>
        </row>
        <row r="24">
          <cell r="AA24" t="str">
            <v>Increase triangle sight distance</v>
          </cell>
        </row>
        <row r="25">
          <cell r="AA25" t="str">
            <v>Increased pavement friction</v>
          </cell>
        </row>
        <row r="26">
          <cell r="AA26" t="str">
            <v>Install a combination of edgelines, centerlines and delineators on roadway segments</v>
          </cell>
        </row>
        <row r="27">
          <cell r="AA27" t="str">
            <v>Install cable median barrier (low or high tension) - Rural</v>
          </cell>
        </row>
        <row r="28">
          <cell r="AA28" t="str">
            <v>Install centerline rumble strips - Rural</v>
          </cell>
        </row>
        <row r="29">
          <cell r="AA29" t="str">
            <v>Install centerline rumble strips - Urban</v>
          </cell>
        </row>
        <row r="30">
          <cell r="AA30" t="str">
            <v>Install changeable speed warning signs for individual drivers</v>
          </cell>
        </row>
        <row r="31">
          <cell r="AA31" t="str">
            <v>Install chevron signs on horizontal curves - Rural</v>
          </cell>
        </row>
        <row r="32">
          <cell r="AA32" t="str">
            <v>Install crash cushions at permanent objects</v>
          </cell>
        </row>
        <row r="33">
          <cell r="AA33" t="str">
            <v>Install edgeline rumble strips - Undivided</v>
          </cell>
        </row>
        <row r="34">
          <cell r="AA34" t="str">
            <v>Install median barrier</v>
          </cell>
        </row>
        <row r="35">
          <cell r="AA35" t="str">
            <v>Install median guardrails on divided highways</v>
          </cell>
        </row>
        <row r="36">
          <cell r="AA36" t="str">
            <v>Install new fluorescent curve signs or upgrade existing curve signs to fluorescent sheeting - Rural</v>
          </cell>
        </row>
        <row r="37">
          <cell r="AA37" t="str">
            <v>Install raised median</v>
          </cell>
        </row>
        <row r="38">
          <cell r="AA38" t="str">
            <v>Install TWLTL (two-way left turn lane) on two lane road</v>
          </cell>
        </row>
        <row r="39">
          <cell r="AA39" t="str">
            <v>Install TWLTL (two-way left turn lane) on two lane road</v>
          </cell>
        </row>
        <row r="40">
          <cell r="AA40" t="str">
            <v>Installation of a High intensity Activated crossWalK (HAWK) pedestrian-activated beacon at an intersection - Urban</v>
          </cell>
        </row>
        <row r="41">
          <cell r="AA41" t="str">
            <v>Installation of cable barriers in freeway medians</v>
          </cell>
        </row>
        <row r="42">
          <cell r="AA42" t="str">
            <v>Installation of left-turn lane on single major road approach - Rural</v>
          </cell>
        </row>
        <row r="43">
          <cell r="AA43" t="str">
            <v>Installation of left-turn lane on single major road approach - Urban</v>
          </cell>
        </row>
        <row r="44">
          <cell r="AA44" t="str">
            <v>Installation of right-turn lane on both major road approaches - Signalized</v>
          </cell>
        </row>
        <row r="45">
          <cell r="AA45" t="str">
            <v>Installation of right-turn lane on single major road approach - Stop Controlled</v>
          </cell>
        </row>
        <row r="46">
          <cell r="AA46" t="str">
            <v>Installing gates at crossings with flashing lights and sound signals</v>
          </cell>
        </row>
        <row r="47">
          <cell r="AA47" t="str">
            <v>Installing gates at crossings with signs</v>
          </cell>
        </row>
        <row r="48">
          <cell r="AA48" t="str">
            <v>Introduce TWLTL (two-way left turn lanes) on rural two lane roads</v>
          </cell>
        </row>
        <row r="49">
          <cell r="AA49" t="str">
            <v>Introducing zero or positive offset left-turn lane on crossing roadway</v>
          </cell>
        </row>
        <row r="50">
          <cell r="AA50" t="str">
            <v>Lighting in intersections</v>
          </cell>
        </row>
        <row r="51">
          <cell r="AA51" t="str">
            <v>Modify two-lane to one-lane merge/ diverge area</v>
          </cell>
        </row>
        <row r="52">
          <cell r="AA52" t="str">
            <v>New guardrail along embankment</v>
          </cell>
        </row>
        <row r="53">
          <cell r="AA53" t="str">
            <v>Pave a 3 to 4 ft sod shoulder</v>
          </cell>
        </row>
        <row r="54">
          <cell r="AA54" t="str">
            <v>Permit Right-Turn-On-Red</v>
          </cell>
        </row>
        <row r="55">
          <cell r="AA55" t="str">
            <v>Prohibit on-street parking - Minor Arterial</v>
          </cell>
        </row>
        <row r="56">
          <cell r="AA56" t="str">
            <v>Prohibit on-street parking - Principal Arterial</v>
          </cell>
        </row>
        <row r="57">
          <cell r="AA57" t="str">
            <v>Provide a median - Rural</v>
          </cell>
        </row>
        <row r="58">
          <cell r="AA58" t="str">
            <v>Provide a median - Urban</v>
          </cell>
        </row>
        <row r="59">
          <cell r="AA59" t="str">
            <v>Provide highway lighting</v>
          </cell>
        </row>
        <row r="60">
          <cell r="AA60" t="str">
            <v>Provide static combination horizontal alignment / advisory speed signs</v>
          </cell>
        </row>
        <row r="61">
          <cell r="AA61" t="str">
            <v>Remove an unwarranted signal (one-way streets)</v>
          </cell>
        </row>
        <row r="62">
          <cell r="AA62" t="str">
            <v>Replace 8-inch red signal heads with 12-inch</v>
          </cell>
        </row>
        <row r="63">
          <cell r="AA63" t="str">
            <v>Replace Night-Time Flash with Steady Operation</v>
          </cell>
        </row>
        <row r="64">
          <cell r="AA64" t="str">
            <v>Replace TWLTL with raised median - Urban Only</v>
          </cell>
        </row>
        <row r="65">
          <cell r="AA65" t="str">
            <v>Resurface pavement</v>
          </cell>
        </row>
        <row r="66">
          <cell r="AA66" t="str">
            <v>Retiming signal change intervals to ITE standards</v>
          </cell>
        </row>
        <row r="67">
          <cell r="AA67" t="str">
            <v>Road diet (Convert 4-lane undivided road to 2-lanes plus turning lane) - Minor Arterial</v>
          </cell>
        </row>
        <row r="68">
          <cell r="AA68" t="str">
            <v>Upgrade signs to flashing lights</v>
          </cell>
        </row>
        <row r="69">
          <cell r="AA69" t="str">
            <v>Upgrading signs to flashing lights and sound signals</v>
          </cell>
        </row>
        <row r="70">
          <cell r="AA70" t="str">
            <v>Widen paved shoulder from 3 ft to 4 ft</v>
          </cell>
        </row>
        <row r="71">
          <cell r="AA71" t="str">
            <v>Widen paved shoulder from 3 ft to 5 ft</v>
          </cell>
        </row>
        <row r="72">
          <cell r="AA72" t="str">
            <v>Widen paved shoulder from 3 ft to 6 ft</v>
          </cell>
        </row>
        <row r="73">
          <cell r="AA73" t="str">
            <v>Widen paved shoulder from 3 ft to 7 ft</v>
          </cell>
        </row>
        <row r="74">
          <cell r="AA74" t="str">
            <v>Widen paved shoulder from 3 ft to 8 ft</v>
          </cell>
        </row>
        <row r="75">
          <cell r="AA75">
            <v>0</v>
          </cell>
        </row>
        <row r="76">
          <cell r="AA76">
            <v>0</v>
          </cell>
        </row>
        <row r="77">
          <cell r="AA77">
            <v>0</v>
          </cell>
        </row>
        <row r="78">
          <cell r="AA78">
            <v>0</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row r="100">
          <cell r="AA100">
            <v>0</v>
          </cell>
        </row>
        <row r="101">
          <cell r="AA101">
            <v>0</v>
          </cell>
        </row>
        <row r="102">
          <cell r="AA102">
            <v>0</v>
          </cell>
        </row>
        <row r="103">
          <cell r="AA103">
            <v>0</v>
          </cell>
        </row>
        <row r="104">
          <cell r="AA104">
            <v>0</v>
          </cell>
        </row>
        <row r="105">
          <cell r="AA105">
            <v>0</v>
          </cell>
        </row>
        <row r="106">
          <cell r="AA106">
            <v>0</v>
          </cell>
        </row>
        <row r="107">
          <cell r="AA107">
            <v>0</v>
          </cell>
        </row>
        <row r="108">
          <cell r="AA108">
            <v>0</v>
          </cell>
        </row>
        <row r="109">
          <cell r="AA109">
            <v>0</v>
          </cell>
        </row>
        <row r="110">
          <cell r="AA110">
            <v>0</v>
          </cell>
        </row>
        <row r="111">
          <cell r="AA111">
            <v>0</v>
          </cell>
        </row>
        <row r="112">
          <cell r="AA112">
            <v>0</v>
          </cell>
        </row>
        <row r="113">
          <cell r="AA113">
            <v>0</v>
          </cell>
        </row>
        <row r="114">
          <cell r="AA114">
            <v>0</v>
          </cell>
        </row>
        <row r="115">
          <cell r="AA115">
            <v>0</v>
          </cell>
        </row>
        <row r="116">
          <cell r="AA116">
            <v>0</v>
          </cell>
        </row>
        <row r="117">
          <cell r="AA117">
            <v>0</v>
          </cell>
        </row>
        <row r="118">
          <cell r="AA118">
            <v>0</v>
          </cell>
        </row>
        <row r="119">
          <cell r="AA119">
            <v>0</v>
          </cell>
        </row>
        <row r="120">
          <cell r="AA120">
            <v>0</v>
          </cell>
        </row>
        <row r="121">
          <cell r="AA121">
            <v>0</v>
          </cell>
        </row>
        <row r="122">
          <cell r="AA122">
            <v>0</v>
          </cell>
        </row>
        <row r="123">
          <cell r="AA123">
            <v>0</v>
          </cell>
        </row>
      </sheetData>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remy Thompson" refreshedDate="45838.416201967593" createdVersion="8" refreshedVersion="8" minRefreshableVersion="3" recordCount="186" xr:uid="{62432DAC-2B41-446C-9C82-EAF51CD90C04}">
  <cacheSource type="worksheet">
    <worksheetSource name="LegacyCrashData"/>
  </cacheSource>
  <cacheFields count="116">
    <cacheField name="HYPERLINK" numFmtId="0">
      <sharedItems/>
    </cacheField>
    <cacheField name="ACCIDENTS_POINTS_NBR" numFmtId="0">
      <sharedItems containsSemiMixedTypes="0" containsString="0" containsNumber="1" containsInteger="1" minValue="20252035085" maxValue="20258057164"/>
    </cacheField>
    <cacheField name="LOCAL_REPORT_NBR" numFmtId="49">
      <sharedItems containsMixedTypes="1" containsNumber="1" containsInteger="1" minValue="22925" maxValue="25033023352059"/>
    </cacheField>
    <cacheField name="NLF ID" numFmtId="0">
      <sharedItems/>
    </cacheField>
    <cacheField name="LOGPOINT_SLM_NBR" numFmtId="0">
      <sharedItems containsMixedTypes="1" containsNumber="1" minValue="0" maxValue="35.491" count="184">
        <n v="14.592000000000001"/>
        <s v=""/>
        <n v="0.373"/>
        <n v="0.40699999999999997"/>
        <n v="35.491"/>
        <n v="3.1160000000000001"/>
        <n v="5.5069999999999997"/>
        <n v="11.250999999999999"/>
        <n v="1.371"/>
        <n v="7.4370000000000003"/>
        <n v="18.358000000000001"/>
        <n v="2.097"/>
        <n v="0.32700000000000001"/>
        <n v="0.44800000000000001"/>
        <n v="10.111000000000001"/>
        <n v="13.611000000000001"/>
        <n v="2.4590000000000001"/>
        <n v="0.184"/>
        <n v="7.8230000000000004"/>
        <n v="16.872"/>
        <n v="3.823"/>
        <n v="15.808999999999999"/>
        <n v="2.8130000000000002"/>
        <n v="11.831"/>
        <n v="23.587"/>
        <n v="8.6389999999999993"/>
        <n v="0.52"/>
        <n v="20.460999999999999"/>
        <n v="1.444"/>
        <n v="1.708"/>
        <n v="2.2149999999999999"/>
        <n v="1.1140000000000001"/>
        <n v="2.028"/>
        <n v="3.0000000000000001E-3"/>
        <n v="28.84"/>
        <n v="4.633"/>
        <n v="1.94"/>
        <n v="18.082999999999998"/>
        <n v="6.0579999999999998"/>
        <n v="4.2110000000000003"/>
        <n v="23.103999999999999"/>
        <n v="6.1440000000000001"/>
        <n v="25.721"/>
        <n v="0.51600000000000001"/>
        <n v="0.14099999999999999"/>
        <n v="4.9729999999999999"/>
        <n v="0"/>
        <n v="4.0270000000000001"/>
        <n v="0.316"/>
        <n v="11.082000000000001"/>
        <n v="5.4429999999999996"/>
        <n v="7.5869999999999997"/>
        <n v="2.282"/>
        <n v="3.7250000000000001"/>
        <n v="4.2439999999999998"/>
        <n v="17.143999999999998"/>
        <n v="1.9419999999999999"/>
        <n v="23.067"/>
        <n v="7.952"/>
        <n v="5.2009999999999996"/>
        <n v="1.3979999999999999"/>
        <n v="0.84299999999999997"/>
        <n v="9.83"/>
        <n v="2.6629999999999998"/>
        <n v="0.32500000000000001"/>
        <n v="0.35"/>
        <n v="22.463999999999999"/>
        <n v="3.6789999999999998"/>
        <n v="8.7590000000000003"/>
        <n v="17.724"/>
        <n v="19.574000000000002"/>
        <n v="0.79600000000000004"/>
        <n v="0.93300000000000005"/>
        <n v="25.722000000000001"/>
        <n v="31.138000000000002"/>
        <n v="13.16"/>
        <n v="6.0830000000000002"/>
        <n v="22.093"/>
        <n v="3.214"/>
        <n v="7.18"/>
        <n v="9.1010000000000009"/>
        <n v="0.83199999999999996"/>
        <n v="4.8230000000000004"/>
        <n v="0.92200000000000004"/>
        <n v="3.3570000000000002"/>
        <n v="4.2720000000000002"/>
        <n v="22.010999999999999"/>
        <n v="12.353999999999999"/>
        <n v="3.1059999999999999"/>
        <n v="3.347"/>
        <n v="1.2"/>
        <n v="9.9700000000000006"/>
        <n v="24.6"/>
        <n v="15.5"/>
        <n v="10.108000000000001"/>
        <n v="14.87"/>
        <n v="3.7509999999999999"/>
        <n v="8.0559999999999992"/>
        <n v="9.8260000000000005"/>
        <n v="7.4180000000000001"/>
        <n v="12.493"/>
        <n v="6.2089999999999996"/>
        <n v="0.20200000000000001"/>
        <n v="10.792"/>
        <n v="0.5"/>
        <n v="16.946999999999999"/>
        <n v="18.8"/>
        <n v="0.92400000000000004"/>
        <n v="21.347999999999999"/>
        <n v="2.6840000000000002"/>
        <n v="16.8"/>
        <n v="1.7390000000000001"/>
        <n v="6.9489999999999998"/>
        <n v="3.2610000000000001"/>
        <n v="5.0750000000000002"/>
        <n v="0.65700000000000003"/>
        <n v="5.242"/>
        <n v="2.698"/>
        <n v="7.4459999999999997"/>
        <n v="17.276"/>
        <n v="9.9239999999999995"/>
        <n v="3.2909999999999999"/>
        <n v="0.754"/>
        <n v="6.3869999999999996"/>
        <n v="2.762"/>
        <n v="6.9809999999999999"/>
        <n v="10.88"/>
        <n v="17.399999999999999"/>
        <n v="0.99299999999999999"/>
        <n v="8.0180000000000007"/>
        <n v="9.98"/>
        <n v="2.367"/>
        <n v="8.1839999999999993"/>
        <n v="0.371"/>
        <n v="0.158"/>
        <n v="7.01"/>
        <n v="9.8580000000000005"/>
        <n v="10.648"/>
        <n v="3.786"/>
        <n v="0.70599999999999996"/>
        <n v="0.26600000000000001"/>
        <n v="5.6020000000000003"/>
        <n v="2E-3"/>
        <n v="8.5169999999999995"/>
        <n v="2.2949999999999999"/>
        <n v="1.361"/>
        <n v="2.1259999999999999"/>
        <n v="3.1760000000000002"/>
        <n v="7.7190000000000003"/>
        <n v="7.6820000000000004"/>
        <n v="8.702"/>
        <n v="0.56799999999999995"/>
        <n v="18.545000000000002"/>
        <n v="0.35199999999999998"/>
        <n v="0.35499999999999998"/>
        <n v="0.54300000000000004"/>
        <n v="0.15"/>
        <n v="2.1720000000000002"/>
        <n v="5.3010000000000002"/>
        <n v="6.8719999999999999"/>
        <n v="1.296"/>
        <n v="3.9239999999999999"/>
        <n v="0.84699999999999998"/>
        <n v="18.212"/>
        <n v="1.8340000000000001"/>
        <n v="14.118"/>
        <n v="0.59299999999999997" u="1"/>
        <n v="0.55900000000000005" u="1"/>
        <n v="0.56399999999999995" u="1"/>
        <n v="0.56100000000000005" u="1"/>
        <n v="0.55400000000000005" u="1"/>
        <n v="0.53" u="1"/>
        <n v="1.093" u="1"/>
        <n v="0.56299999999999994" u="1"/>
        <n v="1.0900000000000001" u="1"/>
        <n v="0.53300000000000003" u="1"/>
        <n v="1.0920000000000001" u="1"/>
        <n v="0.55300000000000005" u="1"/>
        <n v="0.52700000000000002" u="1"/>
        <n v="0.53500000000000003" u="1"/>
        <n v="1.0860000000000001" u="1"/>
        <n v="0.54900000000000004" u="1"/>
        <n v="0.56599999999999995" u="1"/>
        <n v="1.089" u="1"/>
      </sharedItems>
    </cacheField>
    <cacheField name="CRASH_DT" numFmtId="0">
      <sharedItems/>
    </cacheField>
    <cacheField name="STREET1" numFmtId="0">
      <sharedItems/>
    </cacheField>
    <cacheField name="STREET2_REFERENCE" numFmtId="0">
      <sharedItems/>
    </cacheField>
    <cacheField name="DISTANCE_OFFSET" numFmtId="0">
      <sharedItems containsNonDate="0" containsString="0" containsBlank="1"/>
    </cacheField>
    <cacheField name="DAY_OF_WEEK_TXT" numFmtId="0">
      <sharedItems count="7">
        <s v="(6) Friday"/>
        <s v="(4) Wednesday"/>
        <s v="(7) Saturday"/>
        <s v="(3) Tuesday"/>
        <s v="(2) Monday"/>
        <s v="(1) Sunday"/>
        <s v="(5) Thursday"/>
      </sharedItems>
    </cacheField>
    <cacheField name="HOUR_OF_DAY" numFmtId="0">
      <sharedItems containsSemiMixedTypes="0" containsString="0" containsNumber="1" containsInteger="1" minValue="0" maxValue="23" count="24">
        <n v="1"/>
        <n v="20"/>
        <n v="0"/>
        <n v="17"/>
        <n v="21"/>
        <n v="18"/>
        <n v="3"/>
        <n v="6"/>
        <n v="12"/>
        <n v="23"/>
        <n v="10"/>
        <n v="11"/>
        <n v="5"/>
        <n v="2"/>
        <n v="7"/>
        <n v="15"/>
        <n v="19"/>
        <n v="22"/>
        <n v="9"/>
        <n v="4"/>
        <n v="16"/>
        <n v="14"/>
        <n v="8"/>
        <n v="13"/>
      </sharedItems>
    </cacheField>
    <cacheField name="LIGHT_CONDITION_TXT" numFmtId="0">
      <sharedItems count="5">
        <s v="Dark - Lighted Roadway"/>
        <s v="Dawn/Dusk"/>
        <s v="Dark - Roadway Not Lighted"/>
        <s v="Daylight"/>
        <s v="Other / Unknown"/>
      </sharedItems>
    </cacheField>
    <cacheField name="TYPE_OF_CRASH_TXT" numFmtId="0">
      <sharedItems count="14">
        <s v="Rear End"/>
        <s v="Pedestrian"/>
        <s v="Fixed Object"/>
        <s v="Other Non-Collision"/>
        <s v="Head On"/>
        <s v="Pedalcycles"/>
        <s v="Overturning"/>
        <s v="Left Turn"/>
        <s v="Train"/>
        <s v="Sideswipe - Passing"/>
        <s v="Angle"/>
        <s v="Parked Vehicle"/>
        <s v="Unknown"/>
        <s v="Right Turn"/>
      </sharedItems>
    </cacheField>
    <cacheField name="NUMBER_OF_VEHICLES" numFmtId="0">
      <sharedItems containsSemiMixedTypes="0" containsString="0" containsNumber="1" containsInteger="1" minValue="1" maxValue="5" count="5">
        <n v="2"/>
        <n v="1"/>
        <n v="5"/>
        <n v="3"/>
        <n v="4"/>
      </sharedItems>
    </cacheField>
    <cacheField name="CRASH_SEVERITY_TXT" numFmtId="0">
      <sharedItems count="3">
        <s v="Fatal Crash"/>
        <s v="Property Damage Crash" u="1"/>
        <s v="Injury Crash" u="1"/>
      </sharedItems>
    </cacheField>
    <cacheField name="WEATHER_CONDITION_TXT" numFmtId="0">
      <sharedItems count="6">
        <s v="Cloudy"/>
        <s v="Clear"/>
        <s v="Snow"/>
        <s v="Rain"/>
        <s v="Other / Unknown"/>
        <s v="Data Not Valid or Not Provided"/>
      </sharedItems>
    </cacheField>
    <cacheField name="ROAD_CONDITION_TXT" numFmtId="0">
      <sharedItems count="7">
        <s v="Dry"/>
        <s v="Wet"/>
        <s v="Snow"/>
        <s v="Ice"/>
        <s v="Slush"/>
        <s v="Water (Standing, Moving)"/>
        <s v="Other / Unknown"/>
      </sharedItems>
    </cacheField>
    <cacheField name="LOCATION_TXT" numFmtId="0">
      <sharedItems count="6">
        <s v="Not An Intersection"/>
        <s v="Four-Way Intersection"/>
        <s v="T-Intersection"/>
        <s v="Off Ramp"/>
        <s v="5 Or More Point Intersection"/>
        <s v="Data Not Valid or Not Provided" u="1"/>
      </sharedItems>
    </cacheField>
    <cacheField name="CONTRIBUTING_FACTOR1_TXT" numFmtId="0">
      <sharedItems count="16">
        <s v="Following Too Closely/ACDA"/>
        <s v="None"/>
        <s v="Drove off Road"/>
        <s v="Other Improper Action"/>
        <s v="Left of Center"/>
        <s v="Failure to Yield"/>
        <s v="Improper Crossing"/>
        <s v="Not Discernible"/>
        <s v="Improper Lane Change"/>
        <s v="Ran Stop Sign"/>
        <s v="Unsafe Speed"/>
        <s v="Wrong Way"/>
        <s v="Ran Red Light"/>
        <s v="Improper Turn"/>
        <s v="Swerving to Avoid"/>
        <s v="Improper Passing"/>
      </sharedItems>
    </cacheField>
    <cacheField name="ACTION1_TXT" numFmtId="0">
      <sharedItems count="14">
        <s v="Straight Ahead"/>
        <s v="Negotiating a Curve"/>
        <s v="Making Left Turn"/>
        <s v="Other / Unknown"/>
        <s v="Walking, Running, Jogging, Playing"/>
        <s v="Driverless"/>
        <s v="Other Non-Motorist"/>
        <s v="Entering Traffic Lane"/>
        <s v="Leaving Traffic Lane"/>
        <s v="Entering or Crossing Specified Location"/>
        <s v="Standing Outside Disabled Vehicle"/>
        <s v="Changing Lanes"/>
        <s v="Making Right Turn"/>
        <s v="Overtaking/Passing"/>
      </sharedItems>
    </cacheField>
    <cacheField name="PUBLIC_URL" numFmtId="0">
      <sharedItems/>
    </cacheField>
    <cacheField name="VEHICLE_TYPE1_TXT" numFmtId="0">
      <sharedItems count="14">
        <s v="Passenger Car"/>
        <s v="Pick up"/>
        <s v="Sport Utility Vehicle"/>
        <s v="Van (9-15 Seats)"/>
        <s v="Bicycle"/>
        <s v="Pedestrian/Skater"/>
        <s v="Passenger Van (minivan)"/>
        <s v="Semi-Tractor"/>
        <s v="Unknown or Hit/Skip"/>
        <s v="Motorcycle 2 Wheeled"/>
        <s v="Cargo Van"/>
        <s v="Single Unit Truck"/>
        <s v="All Terrain Vehicle (ATV/UTV)"/>
        <s v="Farm Equipment"/>
      </sharedItems>
    </cacheField>
    <cacheField name="DIRECTION_FROM1_TXT" numFmtId="0">
      <sharedItems count="9">
        <s v="North"/>
        <s v="South"/>
        <s v="West"/>
        <s v="Southeast"/>
        <s v="Northeast"/>
        <s v="East"/>
        <s v="Northwest"/>
        <s v="Southwest"/>
        <s v="Unknown"/>
      </sharedItems>
    </cacheField>
    <cacheField name="DIRECTION_TO1_TXT" numFmtId="0">
      <sharedItems count="9">
        <s v="South"/>
        <s v="North"/>
        <s v="East"/>
        <s v="Northwest"/>
        <s v="Southwest"/>
        <s v="West"/>
        <s v="Southeast"/>
        <s v="Northeast"/>
        <s v="Unknown"/>
      </sharedItems>
    </cacheField>
    <cacheField name="DRIVER_AGE1" numFmtId="0">
      <sharedItems containsSemiMixedTypes="0" containsString="0" containsNumber="1" containsInteger="1" minValue="0" maxValue="97"/>
    </cacheField>
    <cacheField name="DRIVER_GENDER1_TXT" numFmtId="0">
      <sharedItems/>
    </cacheField>
    <cacheField name="TRAFFIC_CONTROL1_TXT" numFmtId="0">
      <sharedItems count="4">
        <s v="No Control"/>
        <s v="Signal"/>
        <s v="Flasher"/>
        <s v="Stop Sign"/>
      </sharedItems>
    </cacheField>
    <cacheField name="DRIVER_ALCOHOL1_TXT" numFmtId="0">
      <sharedItems count="2">
        <s v="No"/>
        <s v="Yes"/>
      </sharedItems>
    </cacheField>
    <cacheField name="DRIVER_DRUGS1_TXT" numFmtId="0">
      <sharedItems count="2">
        <s v="Yes"/>
        <s v="No"/>
      </sharedItems>
    </cacheField>
    <cacheField name="ESTIMATED_SPEED1_TXT" numFmtId="0">
      <sharedItems containsSemiMixedTypes="0" containsString="0" containsNumber="1" containsInteger="1" minValue="0" maxValue="104" count="30">
        <n v="90"/>
        <n v="30"/>
        <n v="0"/>
        <n v="38"/>
        <n v="15"/>
        <n v="50"/>
        <n v="45"/>
        <n v="55"/>
        <n v="73"/>
        <n v="70"/>
        <n v="5"/>
        <n v="65"/>
        <n v="10"/>
        <n v="56"/>
        <n v="60"/>
        <n v="96"/>
        <n v="100"/>
        <n v="101"/>
        <n v="80"/>
        <n v="82"/>
        <n v="61"/>
        <n v="35"/>
        <n v="25"/>
        <n v="89"/>
        <n v="37"/>
        <n v="40"/>
        <n v="58"/>
        <n v="67"/>
        <n v="104"/>
        <n v="20" u="1"/>
      </sharedItems>
    </cacheField>
    <cacheField name="POSTED_SPEED1_TXT" numFmtId="0">
      <sharedItems containsSemiMixedTypes="0" containsString="0" containsNumber="1" containsInteger="1" minValue="0" maxValue="70" count="11">
        <n v="65"/>
        <n v="35"/>
        <n v="40"/>
        <n v="45"/>
        <n v="0"/>
        <n v="55"/>
        <n v="50"/>
        <n v="25"/>
        <n v="60"/>
        <n v="70"/>
        <n v="30"/>
      </sharedItems>
    </cacheField>
    <cacheField name="CONTRIBUTING_FACTOR2_TXT" numFmtId="0">
      <sharedItems count="11">
        <s v="None"/>
        <s v="Improper Crossing"/>
        <s v=""/>
        <s v="Following Too Closely/ACDA"/>
        <s v="Swerving to Avoid"/>
        <s v="Other Improper Action"/>
        <s v="Failure to Yield"/>
        <s v="Not Discernible"/>
        <s v="Lying in Roadway"/>
        <s v="Unsafe Speed"/>
        <s v="Improper Turn" u="1"/>
      </sharedItems>
    </cacheField>
    <cacheField name="ACTION2_TXT" numFmtId="0">
      <sharedItems count="11">
        <s v="Straight Ahead"/>
        <s v="Walking, Running, Jogging, Playing"/>
        <s v=""/>
        <s v="Other / Unknown"/>
        <s v="Slowing or Stopped In Traffic"/>
        <s v="Negotiating a Curve"/>
        <s v="Parked"/>
        <s v="Making Left Turn"/>
        <s v="Other Non-Motorist"/>
        <s v="Making U-Turn" u="1"/>
        <s v="Making Right Turn" u="1"/>
      </sharedItems>
    </cacheField>
    <cacheField name="VEHICLE_TYPE2_TXT" numFmtId="0">
      <sharedItems count="13">
        <s v="Sport Utility Vehicle"/>
        <s v="Pedestrian/Skater"/>
        <s v=""/>
        <s v="Semi-Tractor"/>
        <s v="Passenger Car"/>
        <s v="Train"/>
        <s v="Pick up"/>
        <s v="Passenger Van (minivan)"/>
        <s v="Cargo Van"/>
        <s v="Unknown or Hit/Skip"/>
        <s v="Single Unit Truck"/>
        <s v="Motorcycle 2 Wheeled"/>
        <s v="Bus (16+ Passengers)"/>
      </sharedItems>
    </cacheField>
    <cacheField name="DRIVER_AGE2" numFmtId="0">
      <sharedItems containsSemiMixedTypes="0" containsString="0" containsNumber="1" containsInteger="1" minValue="0" maxValue="81"/>
    </cacheField>
    <cacheField name="DRIVER_GENDER2_TXT" numFmtId="0">
      <sharedItems/>
    </cacheField>
    <cacheField name="DIRECTION_FROM2_TXT" numFmtId="0">
      <sharedItems count="10">
        <s v="North"/>
        <s v="East"/>
        <s v=""/>
        <s v="West"/>
        <s v="Northeast"/>
        <s v="South"/>
        <s v="Unknown"/>
        <s v="Northwest"/>
        <s v="Southwest"/>
        <s v="Southeast"/>
      </sharedItems>
    </cacheField>
    <cacheField name="DIRECTION_TO2_TXT" numFmtId="0">
      <sharedItems count="10">
        <s v="South"/>
        <s v="West"/>
        <s v=""/>
        <s v="East"/>
        <s v="Southwest"/>
        <s v="North"/>
        <s v="Northwest"/>
        <s v="Unknown"/>
        <s v="Southeast"/>
        <s v="Northeast"/>
      </sharedItems>
    </cacheField>
    <cacheField name="DRIVER_ALCOHOL2_TXT" numFmtId="0">
      <sharedItems containsNonDate="0" containsString="0" containsBlank="1" count="1">
        <m/>
      </sharedItems>
    </cacheField>
    <cacheField name="DRIVER_DRUGS2_TXT" numFmtId="0">
      <sharedItems containsNonDate="0" containsString="0" containsBlank="1" count="1">
        <m/>
      </sharedItems>
    </cacheField>
    <cacheField name="SPECIAL_AREA_TXT" numFmtId="0">
      <sharedItems containsNonDate="0" containsString="0" containsBlank="1" count="1">
        <m/>
      </sharedItems>
    </cacheField>
    <cacheField name="ANIMAL_TYPE_TXT" numFmtId="0">
      <sharedItems containsNonDate="0" containsString="0" containsBlank="1" count="1">
        <m/>
      </sharedItems>
    </cacheField>
    <cacheField name="Filename Nme" numFmtId="0">
      <sharedItems/>
    </cacheField>
    <cacheField name="ROAD_CONTOUR_TXT" numFmtId="0">
      <sharedItems count="4">
        <s v="Straight Level"/>
        <s v="Curve Level"/>
        <s v="Curve Grade"/>
        <s v="Straight Grade"/>
      </sharedItems>
    </cacheField>
    <cacheField name="INJ_TYPE1_FATAL" numFmtId="1">
      <sharedItems containsSemiMixedTypes="0" containsString="0" containsNumber="1" containsInteger="1" minValue="1" maxValue="4"/>
    </cacheField>
    <cacheField name="INJ_TYPE2_SERIOUS_VISIBLE" numFmtId="1">
      <sharedItems containsSemiMixedTypes="0" containsString="0" containsNumber="1" containsInteger="1" minValue="0" maxValue="4"/>
    </cacheField>
    <cacheField name="INJ_TYPE3_MINOR_VISIBLE" numFmtId="1">
      <sharedItems containsSemiMixedTypes="0" containsString="0" containsNumber="1" containsInteger="1" minValue="0" maxValue="6"/>
    </cacheField>
    <cacheField name="INJ_TYPE4_NO_VISIBLE" numFmtId="1">
      <sharedItems containsSemiMixedTypes="0" containsString="0" containsNumber="1" containsInteger="1" minValue="0" maxValue="6"/>
    </cacheField>
    <cacheField name="DIRECTION_FROM_REF_TXT" numFmtId="0">
      <sharedItems containsNonDate="0" containsString="0" containsBlank="1"/>
    </cacheField>
    <cacheField name="DISTRICT_NBR" numFmtId="0">
      <sharedItems containsSemiMixedTypes="0" containsString="0" containsNumber="1" containsInteger="1" minValue="1" maxValue="12"/>
    </cacheField>
    <cacheField name="COUNTY_CD" numFmtId="0">
      <sharedItems/>
    </cacheField>
    <cacheField name="City Village Twp Cd" numFmtId="0">
      <sharedItems containsSemiMixedTypes="0" containsString="0" containsNumber="1" containsInteger="1" minValue="2428" maxValue="88000"/>
    </cacheField>
    <cacheField name="City Village Twp Nme" numFmtId="0">
      <sharedItems/>
    </cacheField>
    <cacheField name="Latitude Nbr" numFmtId="0">
      <sharedItems containsSemiMixedTypes="0" containsString="0" containsNumber="1" minValue="38.534466000000002" maxValue="41.915425999999997"/>
    </cacheField>
    <cacheField name="Longitude Nbr" numFmtId="0">
      <sharedItems containsSemiMixedTypes="0" containsString="0" containsNumber="1" minValue="-84.744264000000001" maxValue="-80.568866"/>
    </cacheField>
    <cacheField name="TRAFFIC_CRASH_YEAR" numFmtId="0">
      <sharedItems containsSemiMixedTypes="0" containsString="0" containsNumber="1" containsInteger="1" minValue="2022" maxValue="2025" count="4">
        <n v="2025"/>
        <n v="2022" u="1"/>
        <n v="2023" u="1"/>
        <n v="2024" u="1"/>
      </sharedItems>
    </cacheField>
    <cacheField name="CRASH_MONTH_NBR" numFmtId="0">
      <sharedItems containsSemiMixedTypes="0" containsString="0" containsNumber="1" containsInteger="1" minValue="1" maxValue="12" count="12">
        <n v="2"/>
        <n v="1"/>
        <n v="3"/>
        <n v="5" u="1"/>
        <n v="6" u="1"/>
        <n v="8" u="1"/>
        <n v="9" u="1"/>
        <n v="4" u="1"/>
        <n v="7" u="1"/>
        <n v="11" u="1"/>
        <n v="12" u="1"/>
        <n v="10" u="1"/>
      </sharedItems>
    </cacheField>
    <cacheField name="INJ/FAT" numFmtId="0">
      <sharedItems containsNonDate="0" containsString="0" containsBlank="1"/>
    </cacheField>
    <cacheField name="SNOW/ICE" numFmtId="0">
      <sharedItems containsNonDate="0" containsString="0" containsBlank="1"/>
    </cacheField>
    <cacheField name="DAWN/DUSK" numFmtId="0">
      <sharedItems containsNonDate="0" containsString="0" containsBlank="1"/>
    </cacheField>
    <cacheField name="DARK" numFmtId="0">
      <sharedItems containsNonDate="0" containsString="0" containsBlank="1"/>
    </cacheField>
    <cacheField name="PDO" numFmtId="0">
      <sharedItems containsNonDate="0" containsString="0" containsBlank="1"/>
    </cacheField>
    <cacheField name="I/F" numFmtId="0">
      <sharedItems containsNonDate="0" containsString="0" containsBlank="1"/>
    </cacheField>
    <cacheField name="PDO2" numFmtId="0">
      <sharedItems containsNonDate="0" containsString="0" containsBlank="1"/>
    </cacheField>
    <cacheField name="I/F2" numFmtId="0">
      <sharedItems containsNonDate="0" containsString="0" containsBlank="1"/>
    </cacheField>
    <cacheField name="PDO3" numFmtId="0">
      <sharedItems containsNonDate="0" containsString="0" containsBlank="1"/>
    </cacheField>
    <cacheField name="I/F3" numFmtId="0">
      <sharedItems containsNonDate="0" containsString="0" containsBlank="1"/>
    </cacheField>
    <cacheField name="PDO4" numFmtId="0">
      <sharedItems containsNonDate="0" containsString="0" containsBlank="1"/>
    </cacheField>
    <cacheField name="I/F4" numFmtId="0">
      <sharedItems containsNonDate="0" containsString="0" containsBlank="1"/>
    </cacheField>
    <cacheField name="PDO5" numFmtId="0">
      <sharedItems containsNonDate="0" containsString="0" containsBlank="1"/>
    </cacheField>
    <cacheField name="I/F5" numFmtId="0">
      <sharedItems containsNonDate="0" containsString="0" containsBlank="1"/>
    </cacheField>
    <cacheField name="PDO6" numFmtId="0">
      <sharedItems containsNonDate="0" containsString="0" containsBlank="1"/>
    </cacheField>
    <cacheField name="I/F6" numFmtId="0">
      <sharedItems containsNonDate="0" containsString="0" containsBlank="1"/>
    </cacheField>
    <cacheField name="PDO7" numFmtId="0">
      <sharedItems containsNonDate="0" containsString="0" containsBlank="1"/>
    </cacheField>
    <cacheField name="I/F7" numFmtId="0">
      <sharedItems containsNonDate="0" containsString="0" containsBlank="1"/>
    </cacheField>
    <cacheField name="PDO8" numFmtId="0">
      <sharedItems containsNonDate="0" containsString="0" containsBlank="1"/>
    </cacheField>
    <cacheField name="I/F8" numFmtId="0">
      <sharedItems containsNonDate="0" containsString="0" containsBlank="1"/>
    </cacheField>
    <cacheField name="PDO9" numFmtId="0">
      <sharedItems containsNonDate="0" containsString="0" containsBlank="1"/>
    </cacheField>
    <cacheField name="I/F9" numFmtId="0">
      <sharedItems containsNonDate="0" containsString="0" containsBlank="1"/>
    </cacheField>
    <cacheField name="PDO10" numFmtId="0">
      <sharedItems containsNonDate="0" containsString="0" containsBlank="1"/>
    </cacheField>
    <cacheField name="I/F10" numFmtId="0">
      <sharedItems containsNonDate="0" containsString="0" containsBlank="1"/>
    </cacheField>
    <cacheField name="PDO11" numFmtId="0">
      <sharedItems containsNonDate="0" containsString="0" containsBlank="1"/>
    </cacheField>
    <cacheField name="I/F11" numFmtId="0">
      <sharedItems containsNonDate="0" containsString="0" containsBlank="1"/>
    </cacheField>
    <cacheField name="PDO12" numFmtId="0">
      <sharedItems containsNonDate="0" containsString="0" containsBlank="1"/>
    </cacheField>
    <cacheField name="I/F12" numFmtId="0">
      <sharedItems containsNonDate="0" containsString="0" containsBlank="1"/>
    </cacheField>
    <cacheField name="PDO13" numFmtId="0">
      <sharedItems containsNonDate="0" containsString="0" containsBlank="1"/>
    </cacheField>
    <cacheField name="I/F13" numFmtId="0">
      <sharedItems containsNonDate="0" containsString="0" containsBlank="1"/>
    </cacheField>
    <cacheField name="PDO14" numFmtId="0">
      <sharedItems containsNonDate="0" containsString="0" containsBlank="1"/>
    </cacheField>
    <cacheField name="I/F14" numFmtId="0">
      <sharedItems containsNonDate="0" containsString="0" containsBlank="1"/>
    </cacheField>
    <cacheField name="PDO15" numFmtId="0">
      <sharedItems containsNonDate="0" containsString="0" containsBlank="1"/>
    </cacheField>
    <cacheField name="I/F15" numFmtId="0">
      <sharedItems containsNonDate="0" containsString="0" containsBlank="1"/>
    </cacheField>
    <cacheField name="PDO16" numFmtId="0">
      <sharedItems containsNonDate="0" containsString="0" containsBlank="1"/>
    </cacheField>
    <cacheField name="I/F16" numFmtId="0">
      <sharedItems containsNonDate="0" containsString="0" containsBlank="1"/>
    </cacheField>
    <cacheField name="Notes/Comments Section" numFmtId="0">
      <sharedItems containsNonDate="0" containsString="0" containsBlank="1"/>
    </cacheField>
    <cacheField name="Roadview" numFmtId="0">
      <sharedItems/>
    </cacheField>
    <cacheField name="Google" numFmtId="0">
      <sharedItems/>
    </cacheField>
    <cacheField name="Mashed Map" numFmtId="0">
      <sharedItems/>
    </cacheField>
    <cacheField name="Label" numFmtId="0">
      <sharedItems containsNonDate="0" containsString="0" containsBlank="1"/>
    </cacheField>
    <cacheField name="ID" numFmtId="0">
      <sharedItems containsNonDate="0" containsString="0" containsBlank="1"/>
    </cacheField>
    <cacheField name="TYPE" numFmtId="0">
      <sharedItems containsNonDate="0" containsString="0" containsBlank="1"/>
    </cacheField>
    <cacheField name="Zone" numFmtId="0">
      <sharedItems containsNonDate="0" containsString="0" containsBlank="1"/>
    </cacheField>
    <cacheField name="Day" numFmtId="0">
      <sharedItems containsNonDate="0" containsString="0" containsBlank="1"/>
    </cacheField>
    <cacheField name="Year" numFmtId="0">
      <sharedItems containsNonDate="0" containsString="0" containsBlank="1"/>
    </cacheField>
    <cacheField name="Severity" numFmtId="0">
      <sharedItems containsNonDate="0" containsString="0" containsBlank="1"/>
    </cacheField>
    <cacheField name="DFrom1" numFmtId="0">
      <sharedItems containsNonDate="0" containsString="0" containsBlank="1"/>
    </cacheField>
    <cacheField name="DFrom2" numFmtId="0">
      <sharedItems containsNonDate="0" containsString="0" containsBlank="1"/>
    </cacheField>
    <cacheField name="DTo1" numFmtId="0">
      <sharedItems containsNonDate="0" containsString="0" containsBlank="1"/>
    </cacheField>
    <cacheField name="DTo2" numFmtId="0">
      <sharedItems containsNonDate="0" containsString="0" containsBlank="1"/>
    </cacheField>
    <cacheField name="StreetOn" numFmtId="0">
      <sharedItems containsNonDate="0" containsString="0" containsBlank="1"/>
    </cacheField>
    <cacheField name="LogPoint" numFmtId="0">
      <sharedItems containsNonDate="0" containsString="0" containsBlank="1"/>
    </cacheField>
    <cacheField name="StreetAt" numFmtId="0">
      <sharedItems containsNonDate="0" containsString="0" containsBlank="1"/>
    </cacheField>
    <cacheField name="Offset" numFmtId="0">
      <sharedItems containsNonDate="0" containsString="0" containsBlank="1"/>
    </cacheField>
    <cacheField name="Box" numFmtId="0">
      <sharedItems containsNonDate="0" containsString="0" containsBlank="1"/>
    </cacheField>
    <cacheField name="Symbol" numFmtId="0">
      <sharedItems containsNonDate="0" containsString="0" containsBlank="1"/>
    </cacheField>
    <cacheField name="CrashType" numFmtId="0">
      <sharedItems containsNonDate="0" containsString="0" containsBlank="1"/>
    </cacheField>
    <cacheField name="ODOT_INTERSECTION_REL_I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crosoft Office User" refreshedDate="46071.43399409722" createdVersion="5" refreshedVersion="8" minRefreshableVersion="3" recordCount="308" xr:uid="{00000000-000A-0000-FFFF-FFFF0F000000}">
  <cacheSource type="worksheet">
    <worksheetSource name="CrashDataArea"/>
  </cacheSource>
  <cacheFields count="150">
    <cacheField name="HYPERLINK" numFmtId="0">
      <sharedItems/>
    </cacheField>
    <cacheField name="Document Number" numFmtId="0">
      <sharedItems containsSemiMixedTypes="0" containsString="0" containsNumber="1" containsInteger="1" minValue="20213005927" maxValue="20253226407"/>
    </cacheField>
    <cacheField name="Year" numFmtId="0">
      <sharedItems containsSemiMixedTypes="0" containsString="0" containsNumber="1" containsInteger="1" minValue="2008" maxValue="2025" count="18">
        <n v="2021"/>
        <n v="2022"/>
        <n v="2023"/>
        <n v="2024"/>
        <n v="2025"/>
        <n v="2018" u="1"/>
        <n v="2019" u="1"/>
        <n v="2020" u="1"/>
        <n v="2015" u="1"/>
        <n v="2008" u="1"/>
        <n v="2013" u="1"/>
        <n v="2011" u="1"/>
        <n v="2016" u="1"/>
        <n v="2009" u="1"/>
        <n v="2014" u="1"/>
        <n v="2012" u="1"/>
        <n v="2017" u="1"/>
        <n v="2010" u="1"/>
      </sharedItems>
    </cacheField>
    <cacheField name="Local Report Number" numFmtId="0">
      <sharedItems containsMixedTypes="1" containsNumber="1" containsInteger="1" minValue="202105202" maxValue="25112230500244"/>
    </cacheField>
    <cacheField name="User Defined" numFmtId="0">
      <sharedItems containsNonDate="0" containsString="0" containsBlank="1"/>
    </cacheField>
    <cacheField name="Severity" numFmtId="0">
      <sharedItems containsBlank="1" count="16">
        <s v="(5) PDO/No Injury"/>
        <s v="(3) Minor Injury Suspected"/>
        <s v="(4) Injury Possible"/>
        <s v="(2) Serious Injury Suspected"/>
        <s v="(1) Fatal"/>
        <m u="1"/>
        <s v="Serious Injury" u="1"/>
        <s v="Injury Possible" u="1"/>
        <s v="Fatal Injury" u="1"/>
        <s v="Visible Injury" u="1"/>
        <s v="Minor Injury Suspected" u="1"/>
        <s v="Possible Injury" u="1"/>
        <s v="Fatal" u="1"/>
        <s v="PDO/No Injury" u="1"/>
        <s v="(1) Serious Injury Suspected" u="1"/>
        <s v="Serious Injury Suspected" u="1"/>
      </sharedItems>
    </cacheField>
    <cacheField name="Crash Type" numFmtId="0">
      <sharedItems containsBlank="1" count="21">
        <s v="Angle"/>
        <s v="Sideswipe - Passing"/>
        <s v="Head On"/>
        <s v="Rear End"/>
        <s v="Left Turn"/>
        <s v="Fixed Object"/>
        <s v="Right Turn"/>
        <s v="Parked Vehicle"/>
        <s v="Backing"/>
        <s v="Pedestrian"/>
        <s v="Unknown"/>
        <s v="Other Non-Collision"/>
        <s v="Pedalcycles"/>
        <s v="Other Object"/>
        <s v="Overturning" u="1"/>
        <s v="Train" u="1"/>
        <m u="1"/>
        <s v="Other Non-Vehicle" u="1"/>
        <s v="Animal" u="1"/>
        <s v="Sideswipe - Meeting" u="1"/>
        <s v="Falling From Or In Vehicle" u="1"/>
      </sharedItems>
    </cacheField>
    <cacheField name="ODOT District" numFmtId="0">
      <sharedItems containsSemiMixedTypes="0" containsString="0" containsNumber="1" containsInteger="1" minValue="2" maxValue="2"/>
    </cacheField>
    <cacheField name="County Cd" numFmtId="0">
      <sharedItems/>
    </cacheField>
    <cacheField name="ODOT Crash Location" numFmtId="0">
      <sharedItems containsBlank="1" count="16">
        <s v="Four-Way Intersection"/>
        <s v="Not An Intersection"/>
        <s v="T-Intersection"/>
        <s v="Traffic Circle/Roundabout"/>
        <s v="Driveway/Alley Access"/>
        <s v="5 Or More Point Intersection"/>
        <s v="Off Ramp" u="1"/>
        <s v="Data Not Valid or Not Provided" u="1"/>
        <m u="1"/>
        <s v="" u="1"/>
        <s v="Crossover" u="1"/>
        <s v="Shared-Use Paths Or Trails" u="1"/>
        <s v="On Ramp" u="1"/>
        <s v="Unknown" u="1"/>
        <s v="Y-Intersection" u="1"/>
        <s v="Railroad Grade Crossing" u="1"/>
      </sharedItems>
    </cacheField>
    <cacheField name="NLFID" numFmtId="0">
      <sharedItems/>
    </cacheField>
    <cacheField name="County True Log" numFmtId="0">
      <sharedItems containsSemiMixedTypes="0" containsString="0" containsNumber="1" minValue="0.01" maxValue="1.077"/>
    </cacheField>
    <cacheField name="State True Log" numFmtId="0">
      <sharedItems containsSemiMixedTypes="0" containsString="0" containsNumber="1" minValue="0.01" maxValue="1.077"/>
    </cacheField>
    <cacheField name="On Road" numFmtId="0">
      <sharedItems/>
    </cacheField>
    <cacheField name="At Road" numFmtId="0">
      <sharedItems containsMixedTypes="1" containsNumber="1" containsInteger="1" minValue="2" maxValue="1696"/>
    </cacheField>
    <cacheField name="ODOT Latitude" numFmtId="0">
      <sharedItems containsSemiMixedTypes="0" containsString="0" containsNumber="1" minValue="41.640701" maxValue="41.656922999999999"/>
    </cacheField>
    <cacheField name="ODOT Longitude" numFmtId="0">
      <sharedItems containsSemiMixedTypes="0" containsString="0" containsNumber="1" minValue="-83.525595999999993" maxValue="-83.509524999999996"/>
    </cacheField>
    <cacheField name="ODOT FIPS" numFmtId="0">
      <sharedItems containsSemiMixedTypes="0" containsString="0" containsNumber="1" containsInteger="1" minValue="77000" maxValue="77000"/>
    </cacheField>
    <cacheField name="ODOT FIPS Name" numFmtId="0">
      <sharedItems/>
    </cacheField>
    <cacheField name="ODOT FIPS CVT Code" numFmtId="0">
      <sharedItems containsSemiMixedTypes="0" containsString="0" containsNumber="1" containsInteger="1" minValue="1" maxValue="1"/>
    </cacheField>
    <cacheField name="Fatalities" numFmtId="0">
      <sharedItems containsSemiMixedTypes="0" containsString="0" containsNumber="1" containsInteger="1" minValue="0" maxValue="1"/>
    </cacheField>
    <cacheField name="Serious Injuries" numFmtId="0">
      <sharedItems containsSemiMixedTypes="0" containsString="0" containsNumber="1" containsInteger="1" minValue="0" maxValue="2"/>
    </cacheField>
    <cacheField name="Non Serious Injuries" numFmtId="0">
      <sharedItems containsSemiMixedTypes="0" containsString="0" containsNumber="1" containsInteger="1" minValue="0" maxValue="3"/>
    </cacheField>
    <cacheField name="Possible Injuries" numFmtId="0">
      <sharedItems containsSemiMixedTypes="0" containsString="0" containsNumber="1" containsInteger="1" minValue="0" maxValue="8"/>
    </cacheField>
    <cacheField name="No Injuries" numFmtId="0">
      <sharedItems containsSemiMixedTypes="0" containsString="0" containsNumber="1" containsInteger="1" minValue="0" maxValue="9"/>
    </cacheField>
    <cacheField name="Unrestrained Occupants" numFmtId="0">
      <sharedItems containsSemiMixedTypes="0" containsString="0" containsNumber="1" containsInteger="1" minValue="0" maxValue="4"/>
    </cacheField>
    <cacheField name="Number of Units" numFmtId="0">
      <sharedItems containsSemiMixedTypes="0" containsString="0" containsNumber="1" containsInteger="1" minValue="1" maxValue="5" count="5">
        <n v="2"/>
        <n v="3"/>
        <n v="1"/>
        <n v="5"/>
        <n v="4"/>
      </sharedItems>
      <fieldGroup base="26">
        <rangePr autoEnd="0" startNum="1" endNum="10"/>
        <groupItems count="11">
          <s v="&lt;1"/>
          <s v="1-1"/>
          <s v="2-2"/>
          <s v="3-3"/>
          <s v="4-4"/>
          <s v="5-5"/>
          <s v="6-6"/>
          <s v="7-7"/>
          <s v="8-8"/>
          <s v="9-10"/>
          <s v="&gt;10"/>
        </groupItems>
      </fieldGroup>
    </cacheField>
    <cacheField name="NLFID Jurisdiction" numFmtId="0">
      <sharedItems/>
    </cacheField>
    <cacheField name="NLFID Route Type" numFmtId="0">
      <sharedItems/>
    </cacheField>
    <cacheField name="Facility Type" numFmtId="0">
      <sharedItems/>
    </cacheField>
    <cacheField name="Urban Area" numFmtId="0">
      <sharedItems/>
    </cacheField>
    <cacheField name="Functional Class" numFmtId="0">
      <sharedItems/>
    </cacheField>
    <cacheField name="NHS" numFmtId="0">
      <sharedItems/>
    </cacheField>
    <cacheField name="Divided Hwy" numFmtId="0">
      <sharedItems/>
    </cacheField>
    <cacheField name="ODOT Number of Lanes" numFmtId="0">
      <sharedItems containsSemiMixedTypes="0" containsString="0" containsNumber="1" containsInteger="1" minValue="2" maxValue="4"/>
    </cacheField>
    <cacheField name="Operational Access Control" numFmtId="0">
      <sharedItems/>
    </cacheField>
    <cacheField name="Freeway" numFmtId="0">
      <sharedItems/>
    </cacheField>
    <cacheField name="Interstate" numFmtId="0">
      <sharedItems/>
    </cacheField>
    <cacheField name="ODOT Maintained" numFmtId="0">
      <sharedItems/>
    </cacheField>
    <cacheField name="Maintenance Authority" numFmtId="0">
      <sharedItems/>
    </cacheField>
    <cacheField name="Date" numFmtId="14">
      <sharedItems containsSemiMixedTypes="0" containsNonDate="0" containsDate="1" containsString="0" minDate="2021-01-05T00:00:00" maxDate="2025-11-23T00:00:00"/>
    </cacheField>
    <cacheField name="Month" numFmtId="0">
      <sharedItems containsSemiMixedTypes="0" containsString="0" containsNumber="1" containsInteger="1" minValue="1" maxValue="12" count="12">
        <n v="1"/>
        <n v="3"/>
        <n v="4"/>
        <n v="5"/>
        <n v="6"/>
        <n v="7"/>
        <n v="8"/>
        <n v="9"/>
        <n v="10"/>
        <n v="11"/>
        <n v="12"/>
        <n v="2"/>
      </sharedItems>
    </cacheField>
    <cacheField name="Hour" numFmtId="0">
      <sharedItems containsSemiMixedTypes="0" containsString="0" containsNumber="1" containsInteger="1" minValue="0" maxValue="23" count="24">
        <n v="7"/>
        <n v="14"/>
        <n v="17"/>
        <n v="18"/>
        <n v="23"/>
        <n v="10"/>
        <n v="15"/>
        <n v="20"/>
        <n v="6"/>
        <n v="21"/>
        <n v="11"/>
        <n v="19"/>
        <n v="16"/>
        <n v="2"/>
        <n v="12"/>
        <n v="3"/>
        <n v="0"/>
        <n v="22"/>
        <n v="8"/>
        <n v="13"/>
        <n v="9"/>
        <n v="1"/>
        <n v="5"/>
        <n v="4"/>
      </sharedItems>
    </cacheField>
    <cacheField name="Day in Week" numFmtId="0">
      <sharedItems containsBlank="1" count="15">
        <s v="(4) Wednesday"/>
        <s v="(5) Thursday"/>
        <s v="(3) Tuesday"/>
        <s v="(6) Friday"/>
        <s v="(2) Monday"/>
        <s v="(1) Sunday"/>
        <s v="(7) Saturday"/>
        <m u="1"/>
        <s v="Saturday" u="1"/>
        <s v="Wednesday" u="1"/>
        <s v="Friday" u="1"/>
        <s v="Thursday" u="1"/>
        <s v="Sunday" u="1"/>
        <s v="Tuesday" u="1"/>
        <s v="Monday" u="1"/>
      </sharedItems>
    </cacheField>
    <cacheField name="Weather Condition" numFmtId="0">
      <sharedItems containsBlank="1" count="14">
        <s v="Cloudy"/>
        <s v="Clear"/>
        <s v="Rain"/>
        <s v="Fog, Smog, Smoke"/>
        <s v="Snow"/>
        <s v="Severe Crosswinds"/>
        <s v="Data Not Valid or Not Provided"/>
        <s v="Sleet, Hail"/>
        <s v="Other / Unknown" u="1"/>
        <m u="1"/>
        <s v="" u="1"/>
        <s v="Blowing Sand, Soil, Dirt, Snow" u="1"/>
        <s v="Other/Unknown" u="1"/>
        <s v="Unknown" u="1"/>
      </sharedItems>
    </cacheField>
    <cacheField name="Road Condition" numFmtId="0">
      <sharedItems containsBlank="1" count="14">
        <s v="Wet"/>
        <s v="Dry"/>
        <s v="Snow"/>
        <s v="Other / Unknown"/>
        <s v="Ice"/>
        <s v="Slush" u="1"/>
        <s v="Water (Standing, Moving)" u="1"/>
        <m u="1"/>
        <s v="" u="1"/>
        <s v="Sand, Mud, Dirt, Oil, Gravel" u="1"/>
        <s v="Other" u="1"/>
        <s v="Debris" u="1"/>
        <s v="Ruts, Holes, Bumps, Uneven Pavement" u="1"/>
        <s v="Unknown" u="1"/>
      </sharedItems>
    </cacheField>
    <cacheField name="Light Condition" numFmtId="0">
      <sharedItems containsBlank="1" count="7">
        <s v="Dawn/Dusk"/>
        <s v="Daylight"/>
        <s v="Dark - Lighted Roadway"/>
        <s v="Dark - Roadway Not Lighted"/>
        <s v="Dark - Unknown Roadway Lighting"/>
        <s v="Other / Unknown"/>
        <m u="1"/>
      </sharedItems>
    </cacheField>
    <cacheField name="Road Contour" numFmtId="0">
      <sharedItems containsBlank="1" count="7">
        <s v="Straight Level"/>
        <s v="Straight Grade"/>
        <s v="Other / Unknown"/>
        <s v="Curve Level"/>
        <s v="Curve Grade" u="1"/>
        <m u="1"/>
        <s v="Unknown" u="1"/>
      </sharedItems>
    </cacheField>
    <cacheField name="Roadway Departure" numFmtId="0">
      <sharedItems containsBlank="1" count="3">
        <s v="No"/>
        <s v="Yes"/>
        <m u="1"/>
      </sharedItems>
    </cacheField>
    <cacheField name="ODOT Intersection Related" numFmtId="0">
      <sharedItems containsBlank="1" count="3">
        <s v="Yes"/>
        <s v="No"/>
        <m u="1"/>
      </sharedItems>
    </cacheField>
    <cacheField name="Alcohol Related" numFmtId="0">
      <sharedItems containsBlank="1" count="3">
        <s v="No"/>
        <s v="Yes"/>
        <m u="1"/>
      </sharedItems>
    </cacheField>
    <cacheField name="Marijuana Related" numFmtId="0">
      <sharedItems containsBlank="1" count="3">
        <s v="No"/>
        <s v="Yes"/>
        <m u="1"/>
      </sharedItems>
    </cacheField>
    <cacheField name="Drug Related" numFmtId="0">
      <sharedItems containsBlank="1" count="3">
        <s v="No"/>
        <s v="Yes"/>
        <m u="1"/>
      </sharedItems>
    </cacheField>
    <cacheField name="School Zone Related" numFmtId="0">
      <sharedItems/>
    </cacheField>
    <cacheField name="Motorcycle Involved" numFmtId="0">
      <sharedItems containsBlank="1" count="3">
        <s v="No"/>
        <s v="Yes"/>
        <m u="1"/>
      </sharedItems>
    </cacheField>
    <cacheField name="Speed Related" numFmtId="0">
      <sharedItems containsBlank="1" count="3">
        <s v="Yes"/>
        <s v="No"/>
        <m u="1"/>
      </sharedItems>
    </cacheField>
    <cacheField name="Senior Driver Involved" numFmtId="0">
      <sharedItems containsBlank="1" count="3">
        <s v="No"/>
        <s v="Yes"/>
        <m u="1"/>
      </sharedItems>
    </cacheField>
    <cacheField name="ODOT Young Driver" numFmtId="0">
      <sharedItems containsBlank="1" count="3">
        <s v="Yes"/>
        <s v="No"/>
        <m u="1"/>
      </sharedItems>
    </cacheField>
    <cacheField name="Work Zone Related" numFmtId="0">
      <sharedItems containsBlank="1" count="3">
        <s v="No"/>
        <s v="Yes"/>
        <m u="1"/>
      </sharedItems>
    </cacheField>
    <cacheField name="Location in Work Zone" numFmtId="0">
      <sharedItems/>
    </cacheField>
    <cacheField name="Type of Work Zone" numFmtId="0">
      <sharedItems/>
    </cacheField>
    <cacheField name="Distracted Driver" numFmtId="0">
      <sharedItems/>
    </cacheField>
    <cacheField name="ODPS FIPS Name" numFmtId="0">
      <sharedItems/>
    </cacheField>
    <cacheField name="ODPS On Road Name Prefix" numFmtId="0">
      <sharedItems/>
    </cacheField>
    <cacheField name="ODPS On Road Name" numFmtId="0">
      <sharedItems/>
    </cacheField>
    <cacheField name="ODPS On Road Name Suffix" numFmtId="0">
      <sharedItems/>
    </cacheField>
    <cacheField name="ODPS On Road Name Directional Suffix" numFmtId="0">
      <sharedItems/>
    </cacheField>
    <cacheField name="ODPS On Route Type" numFmtId="0">
      <sharedItems/>
    </cacheField>
    <cacheField name="ODPS On Route Number" numFmtId="0">
      <sharedItems containsMixedTypes="1" containsNumber="1" containsInteger="1" minValue="65" maxValue="65"/>
    </cacheField>
    <cacheField name="ODPS On Route Suffix" numFmtId="0">
      <sharedItems/>
    </cacheField>
    <cacheField name="ODPS At Road Name Prefix" numFmtId="0">
      <sharedItems/>
    </cacheField>
    <cacheField name="ODPS At Road Name" numFmtId="0">
      <sharedItems/>
    </cacheField>
    <cacheField name="ODPS At Road Name Suffix" numFmtId="0">
      <sharedItems/>
    </cacheField>
    <cacheField name="ODPS At Road Name Directional Suffix" numFmtId="0">
      <sharedItems/>
    </cacheField>
    <cacheField name="ODPS At Route Type" numFmtId="0">
      <sharedItems/>
    </cacheField>
    <cacheField name="ODPS At Route Number" numFmtId="0">
      <sharedItems containsMixedTypes="1" containsNumber="1" containsInteger="1" minValue="65" maxValue="280"/>
    </cacheField>
    <cacheField name="ODPS At Route Suffix" numFmtId="0">
      <sharedItems/>
    </cacheField>
    <cacheField name="ODPS Address Reference" numFmtId="0">
      <sharedItems containsMixedTypes="1" containsNumber="1" containsInteger="1" minValue="2" maxValue="1696"/>
    </cacheField>
    <cacheField name="ODPS Mile Post Reference" numFmtId="0">
      <sharedItems/>
    </cacheField>
    <cacheField name="ODPS Reference Point Used" numFmtId="0">
      <sharedItems/>
    </cacheField>
    <cacheField name="Unit 1 At Fault Ind" numFmtId="0">
      <sharedItems/>
    </cacheField>
    <cacheField name="Unit 1 ODPS Unit Nbr" numFmtId="0">
      <sharedItems containsSemiMixedTypes="0" containsString="0" containsNumber="1" containsInteger="1" minValue="1" maxValue="3"/>
    </cacheField>
    <cacheField name="Unit 1 Direction From Cd" numFmtId="0">
      <sharedItems containsBlank="1" count="10">
        <s v="West"/>
        <s v="East"/>
        <s v="South"/>
        <s v="North"/>
        <s v="Southeast"/>
        <s v="Northeast"/>
        <s v="Northwest"/>
        <s v="Southwest"/>
        <s v="Unknown"/>
        <m u="1"/>
      </sharedItems>
    </cacheField>
    <cacheField name="Unit 1 Direction To Cd" numFmtId="0">
      <sharedItems containsBlank="1" count="10">
        <s v="North"/>
        <s v="South"/>
        <s v="Northwest"/>
        <s v="Southwest"/>
        <s v="West"/>
        <s v="East"/>
        <s v="Southeast"/>
        <s v="Northeast"/>
        <s v="Unknown"/>
        <m u="1"/>
      </sharedItems>
    </cacheField>
    <cacheField name="Unit 1 Turn Cd" numFmtId="0">
      <sharedItems/>
    </cacheField>
    <cacheField name="Unit 1 Traffic Control Cd" numFmtId="0">
      <sharedItems containsBlank="1" count="21">
        <s v="Signal"/>
        <s v="No Control"/>
        <s v="Flasher"/>
        <s v="Roundabout"/>
        <s v="Stop Sign"/>
        <s v="Yield Sign"/>
        <m u="1"/>
        <s v="Crosswalk Lines" u="1"/>
        <s v="Railroad Crossbucks" u="1"/>
        <s v="School Zone" u="1"/>
        <s v="Not Reported" u="1"/>
        <s v="Traffic Signal" u="1"/>
        <s v="Construction Barricade" u="1"/>
        <s v="Traffic Flashers" u="1"/>
        <s v="No Controls" u="1"/>
        <s v="Pavement Markings" u="1"/>
        <s v="Walk/Do Not Walk" u="1"/>
        <s v="Railroad Gates" u="1"/>
        <s v="Other" u="1"/>
        <s v="Person (Flagger, Officer)" u="1"/>
        <s v="Railroad Flashers" u="1"/>
      </sharedItems>
    </cacheField>
    <cacheField name="Unit 1 Type Of Unit Cd" numFmtId="0">
      <sharedItems containsBlank="1" count="50">
        <s v="Passenger Car"/>
        <s v="Passenger Van (minivan)"/>
        <s v="Pick up"/>
        <s v="Sport Utility Vehicle"/>
        <s v="Cargo Van"/>
        <s v="Motorcycle 2 Wheeled"/>
        <s v="Unknown or Hit/Skip"/>
        <s v="Semi-Tractor"/>
        <s v="Pedestrian/Skater"/>
        <s v="Motorhome"/>
        <s v="Bicycle"/>
        <s v="Van (9-15 Seats)"/>
        <s v="Bus (16+ Passengers)"/>
        <s v="Single Unit Truck" u="1"/>
        <s v="All Terrain Vehicle (ATV/UTV)" u="1"/>
        <s v="Farm Equipment" u="1"/>
        <m u="1"/>
        <s v="Tractor/Double" u="1"/>
        <s v="Single Unit Truck/Trailer" u="1"/>
        <s v="Bus/Van (9-15 Seats Inc Driver)" u="1"/>
        <s v="Other Vehicle" u="1"/>
        <s v="Mid Size" u="1"/>
        <s v="Bus (16+ Seats, Inc Driver)" u="1"/>
        <s v="Full Size" u="1"/>
        <s v="Tractor/Triples" u="1"/>
        <s v="Single Unit Truck Or Van 2 Axle, 6 Tires" u="1"/>
        <s v="Autocycle" u="1"/>
        <s v="Heavy Equipment" u="1"/>
        <s v="Compact" u="1"/>
        <s v="Van" u="1"/>
        <s v="Sub-Compact" u="1"/>
        <s v="Other Med/Heavy Vehicle" u="1"/>
        <s v="Other Non-Motorist" u="1"/>
        <s v="Minivan" u="1"/>
        <s v="Motorcycle 3 Wheeled" u="1"/>
        <s v="Limo (Livery Vehicle)" u="1"/>
        <s v="Animal With Rider" u="1"/>
        <s v="Pickup" u="1"/>
        <s v="Motorcycle" u="1"/>
        <s v="Moped or Motorized Bicycle" u="1"/>
        <s v="Single Unit Truck; 3+ Axles" u="1"/>
        <s v="Animal With Buggy, Wagon, Surrey" u="1"/>
        <s v="Snowmobile/ATV" u="1"/>
        <s v="Truck/Tractor (Bobtail)" u="1"/>
        <s v="Tractor/Semi-Trailer" u="1"/>
        <s v="Bicycle/Pedalcyclist" u="1"/>
        <s v="Golf Cart" u="1"/>
        <s v="Other Passenger Vehicle" u="1"/>
        <s v="Motorized Bicycle" u="1"/>
        <s v="Animal with Rider or Animal Drawn Vehicle" u="1"/>
      </sharedItems>
    </cacheField>
    <cacheField name="Unit 1 Special Function Cd" numFmtId="0">
      <sharedItems containsBlank="1" count="35">
        <s v="None"/>
        <s v="Other / Unknown"/>
        <s v="Taxi"/>
        <s v="Fire"/>
        <s v="Towing"/>
        <s v="Police"/>
        <s v="School Transport"/>
        <s v="Construction Equipment" u="1"/>
        <s v="Snow Removal" u="1"/>
        <s v="Public Utility" u="1"/>
        <s v="Farm" u="1"/>
        <m u="1"/>
        <s v="" u="1"/>
        <s v="Rental Truck (Over 10,000 Lbs)" u="1"/>
        <s v="Electronic Ride Sharing" u="1"/>
        <s v="Farm Vehicle" u="1"/>
        <s v="Bus – Transit/Commuter" u="1"/>
        <s v="Bus – Charter/Tour" u="1"/>
        <s v="Bus-School (Public Or Private)" u="1"/>
        <s v="Highway/Maintenance" u="1"/>
        <s v="Bus – Other" u="1"/>
        <s v="Military" u="1"/>
        <s v="Bus-Charter" u="1"/>
        <s v="Bus-Other" u="1"/>
        <s v="Farm Equipment" u="1"/>
        <s v="Motorhome" u="1"/>
        <s v="Mail Carrier" u="1"/>
        <s v="Other" u="1"/>
        <s v="Bus – Shuttle" u="1"/>
        <s v="Bus-Shuttle" u="1"/>
        <s v="Train" u="1"/>
        <s v="Bus-Transit" u="1"/>
        <s v="Mowing" u="1"/>
        <s v="Other Government" u="1"/>
        <s v="Ambulance" u="1"/>
      </sharedItems>
    </cacheField>
    <cacheField name="Unit 1 Unit Speed Nbr" numFmtId="0">
      <sharedItems containsSemiMixedTypes="0" containsString="0" containsNumber="1" containsInteger="1" minValue="0" maxValue="80" count="20">
        <n v="15"/>
        <n v="35"/>
        <n v="20"/>
        <n v="25"/>
        <n v="0"/>
        <n v="10"/>
        <n v="30"/>
        <n v="5"/>
        <n v="29"/>
        <n v="50"/>
        <n v="2"/>
        <n v="33"/>
        <n v="80"/>
        <n v="40"/>
        <n v="7"/>
        <n v="3"/>
        <n v="12"/>
        <n v="18"/>
        <n v="45"/>
        <n v="19"/>
      </sharedItems>
      <fieldGroup base="88">
        <rangePr autoStart="0" autoEnd="0" startNum="15" endNum="70" groupInterval="5"/>
        <groupItems count="13">
          <s v="&lt;15"/>
          <s v="15-19"/>
          <s v="20-24"/>
          <s v="25-29"/>
          <s v="30-34"/>
          <s v="35-39"/>
          <s v="40-44"/>
          <s v="45-49"/>
          <s v="50-54"/>
          <s v="55-59"/>
          <s v="60-64"/>
          <s v="65-70"/>
          <s v="&gt;70"/>
        </groupItems>
      </fieldGroup>
    </cacheField>
    <cacheField name="Unit 1 Posted Speed Nbr" numFmtId="0">
      <sharedItems containsSemiMixedTypes="0" containsString="0" containsNumber="1" containsInteger="1" minValue="0" maxValue="40530" count="7999">
        <n v="35"/>
        <n v="25"/>
        <n v="0"/>
        <n v="10"/>
        <n v="30"/>
        <n v="45"/>
        <n v="15"/>
        <n v="5"/>
        <n v="40"/>
        <n v="65" u="1"/>
        <n v="55" u="1"/>
        <n v="50" u="1"/>
        <n v="60" u="1"/>
        <n v="70" u="1"/>
        <n v="7510" u="1"/>
        <n v="2515" u="1"/>
        <n v="17215" u="1"/>
        <n v="19450" u="1"/>
        <n v="20" u="1"/>
        <n v="21685" u="1"/>
        <n v="23920" u="1"/>
        <n v="26155" u="1"/>
        <n v="28390" u="1"/>
        <n v="35015" u="1"/>
        <n v="30625" u="1"/>
        <n v="39485" u="1"/>
        <n v="9235" u="1"/>
        <n v="1755" u="1"/>
        <n v="11470" u="1"/>
        <n v="13705" u="1"/>
        <n v="15940" u="1"/>
        <n v="5490" u="1"/>
        <n v="33640" u="1"/>
        <n v="38110" u="1"/>
        <n v="7725" u="1"/>
        <n v="18075" u="1"/>
        <n v="20310" u="1"/>
        <n v="22545" u="1"/>
        <n v="3740" u="1"/>
        <n v="24780" u="1"/>
        <n v="27015" u="1"/>
        <n v="29250" u="1"/>
        <n v="36735" u="1"/>
        <n v="1250" u="1"/>
        <n v="31485" u="1"/>
        <n v="9665" u="1"/>
        <n v="11900" u="1"/>
        <n v="14135" u="1"/>
        <n v="16370" u="1"/>
        <n v="5705" u="1"/>
        <n v="35360" u="1"/>
        <n v="39830" u="1"/>
        <n v="7940" u="1"/>
        <n v="2730" u="1"/>
        <n v="16700" u="1"/>
        <n v="18935" u="1"/>
        <n v="21170" u="1"/>
        <n v="23405" u="1"/>
        <n v="25640" u="1"/>
        <n v="27875" u="1"/>
        <n v="33985" u="1"/>
        <n v="30110" u="1"/>
        <n v="38455" u="1"/>
        <n v="32345" u="1"/>
        <n v="10095" u="1"/>
        <n v="12330" u="1"/>
        <n v="14565" u="1"/>
        <n v="5920" u="1"/>
        <n v="37080" u="1"/>
        <n v="8155" u="1"/>
        <n v="435" u="1"/>
        <n v="17560" u="1"/>
        <n v="19795" u="1"/>
        <n v="22030" u="1"/>
        <n v="140" u="1"/>
        <n v="24265" u="1"/>
        <n v="3955" u="1"/>
        <n v="26500" u="1"/>
        <n v="28735" u="1"/>
        <n v="35705" u="1"/>
        <n v="30970" u="1"/>
        <n v="40175" u="1"/>
        <n v="8290" u="1"/>
        <n v="10525" u="1"/>
        <n v="12760" u="1"/>
        <n v="14995" u="1"/>
        <n v="34330" u="1"/>
        <n v="6135" u="1"/>
        <n v="38800" u="1"/>
        <n v="2945" u="1"/>
        <n v="18420" u="1"/>
        <n v="20655" u="1"/>
        <n v="22890" u="1"/>
        <n v="25125" u="1"/>
        <n v="27360" u="1"/>
        <n v="32955" u="1"/>
        <n v="29595" u="1"/>
        <n v="37425" u="1"/>
        <n v="31830" u="1"/>
        <n v="8720" u="1"/>
        <n v="10955" u="1"/>
        <n v="1970" u="1"/>
        <n v="13190" u="1"/>
        <n v="15425" u="1"/>
        <n v="675" u="1"/>
        <n v="4115" u="1"/>
        <n v="36050" u="1"/>
        <n v="6350" u="1"/>
        <n v="40520" u="1"/>
        <n v="17045" u="1"/>
        <n v="19280" u="1"/>
        <n v="21515" u="1"/>
        <n v="25985" u="1"/>
        <n v="28220" u="1"/>
        <n v="34675" u="1"/>
        <n v="30455" u="1"/>
        <n v="39145" u="1"/>
        <n v="32690" u="1"/>
        <n v="1465" u="1"/>
        <n v="9150" u="1"/>
        <n v="11385" u="1"/>
        <n v="13620" u="1"/>
        <n v="15855" u="1"/>
        <n v="4330" u="1"/>
        <n v="33300" u="1"/>
        <n v="37770" u="1"/>
        <n v="6565" u="1"/>
        <n v="17905" u="1"/>
        <n v="3160" u="1"/>
        <n v="20140" u="1"/>
        <n v="22375" u="1"/>
        <n v="24610" u="1"/>
        <n v="26845" u="1"/>
        <n v="29080" u="1"/>
        <n v="36395" u="1"/>
        <n v="31315" u="1"/>
        <n v="230" u="1"/>
        <n v="9580" u="1"/>
        <n v="11815" u="1"/>
        <n v="14050" u="1"/>
        <n v="4545" u="1"/>
        <n v="35020" u="1"/>
        <n v="39490" u="1"/>
        <n v="6780" u="1"/>
        <n v="2150" u="1"/>
        <n v="16530" u="1"/>
        <n v="18765" u="1"/>
        <n v="21000" u="1"/>
        <n v="23235" u="1"/>
        <n v="25470" u="1"/>
        <n v="27705" u="1"/>
        <n v="33645" u="1"/>
        <n v="29940" u="1"/>
        <n v="38115" u="1"/>
        <n v="32175" u="1"/>
        <n v="10010" u="1"/>
        <n v="12245" u="1"/>
        <n v="14480" u="1"/>
        <n v="4760" u="1"/>
        <n v="36740" u="1"/>
        <n v="6995" u="1"/>
        <n v="17390" u="1"/>
        <n v="19625" u="1"/>
        <n v="3375" u="1"/>
        <n v="21860" u="1"/>
        <n v="24095" u="1"/>
        <n v="26330" u="1"/>
        <n v="28565" u="1"/>
        <n v="35365" u="1"/>
        <n v="30800" u="1"/>
        <n v="39835" u="1"/>
        <n v="8205" u="1"/>
        <n v="10440" u="1"/>
        <n v="12675" u="1"/>
        <n v="14910" u="1"/>
        <n v="4975" u="1"/>
        <n v="33990" u="1"/>
        <n v="38460" u="1"/>
        <n v="7210" u="1"/>
        <n v="2365" u="1"/>
        <n v="18250" u="1"/>
        <n v="20485" u="1"/>
        <n v="22720" u="1"/>
        <n v="24955" u="1"/>
        <n v="27190" u="1"/>
        <n v="29425" u="1"/>
        <n v="37085" u="1"/>
        <n v="31660" u="1"/>
        <n v="8635" u="1"/>
        <n v="1680" u="1"/>
        <n v="10870" u="1"/>
        <n v="13105" u="1"/>
        <n v="530" u="1"/>
        <n v="15340" u="1"/>
        <n v="5190" u="1"/>
        <n v="35710" u="1"/>
        <n v="40180" u="1"/>
        <n v="7425" u="1"/>
        <n v="16875" u="1"/>
        <n v="19110" u="1"/>
        <n v="21345" u="1"/>
        <n v="3590" u="1"/>
        <n v="23580" u="1"/>
        <n v="25815" u="1"/>
        <n v="28050" u="1"/>
        <n v="1175" u="1"/>
        <n v="30285" u="1"/>
        <n v="38805" u="1"/>
        <n v="32520" u="1"/>
        <n v="9065" u="1"/>
        <n v="11300" u="1"/>
        <n v="13535" u="1"/>
        <n v="15770" u="1"/>
        <n v="5405" u="1"/>
        <n v="32960" u="1"/>
        <n v="37430" u="1"/>
        <n v="7640" u="1"/>
        <n v="2580" u="1"/>
        <n v="17735" u="1"/>
        <n v="19970" u="1"/>
        <n v="22205" u="1"/>
        <n v="24440" u="1"/>
        <n v="26675" u="1"/>
        <n v="28910" u="1"/>
        <n v="36055" u="1"/>
        <n v="31145" u="1"/>
        <n v="40525" u="1"/>
        <n v="9495" u="1"/>
        <n v="11730" u="1"/>
        <n v="13965" u="1"/>
        <n v="16200" u="1"/>
        <n v="5620" u="1"/>
        <n v="34680" u="1"/>
        <n v="39150" u="1"/>
        <n v="7855" u="1"/>
        <n v="18595" u="1"/>
        <n v="20830" u="1"/>
        <n v="23065" u="1"/>
        <n v="3805" u="1"/>
        <n v="25300" u="1"/>
        <n v="27535" u="1"/>
        <n v="33305" u="1"/>
        <n v="29770" u="1"/>
        <n v="37775" u="1"/>
        <n v="32005" u="1"/>
        <n v="9925" u="1"/>
        <n v="12160" u="1"/>
        <n v="14395" u="1"/>
        <n v="890" u="1"/>
        <n v="5835" u="1"/>
        <n v="36400" u="1"/>
        <n v="290" u="1"/>
        <n v="8070" u="1"/>
        <n v="2795" u="1"/>
        <n v="17220" u="1"/>
        <n v="19455" u="1"/>
        <n v="21690" u="1"/>
        <n v="23925" u="1"/>
        <n v="26160" u="1"/>
        <n v="28395" u="1"/>
        <n v="35025" u="1"/>
        <n v="30630" u="1"/>
        <n v="39495" u="1"/>
        <n v="10355" u="1"/>
        <n v="12590" u="1"/>
        <n v="14825" u="1"/>
        <n v="33650" u="1"/>
        <n v="6050" u="1"/>
        <n v="38120" u="1"/>
        <n v="18080" u="1"/>
        <n v="20315" u="1"/>
        <n v="22550" u="1"/>
        <n v="24785" u="1"/>
        <n v="4020" u="1"/>
        <n v="27020" u="1"/>
        <n v="29255" u="1"/>
        <n v="36745" u="1"/>
        <n v="31490" u="1"/>
        <n v="1390" u="1"/>
        <n v="8550" u="1"/>
        <n v="10785" u="1"/>
        <n v="13020" u="1"/>
        <n v="15255" u="1"/>
        <n v="35370" u="1"/>
        <n v="6265" u="1"/>
        <n v="39840" u="1"/>
        <n v="16705" u="1"/>
        <n v="3010" u="1"/>
        <n v="18940" u="1"/>
        <n v="21175" u="1"/>
        <n v="23410" u="1"/>
        <n v="25645" u="1"/>
        <n v="27880" u="1"/>
        <n v="33995" u="1"/>
        <n v="30115" u="1"/>
        <n v="38465" u="1"/>
        <n v="32350" u="1"/>
        <n v="8980" u="1"/>
        <n v="11215" u="1"/>
        <n v="13450" u="1"/>
        <n v="15685" u="1"/>
        <n v="4245" u="1"/>
        <n v="37090" u="1"/>
        <n v="6480" u="1"/>
        <n v="17565" u="1"/>
        <n v="470" u="1"/>
        <n v="19800" u="1"/>
        <n v="22035" u="1"/>
        <n v="24270" u="1"/>
        <n v="26505" u="1"/>
        <n v="28740" u="1"/>
        <n v="35715" u="1"/>
        <n v="30975" u="1"/>
        <n v="40185" u="1"/>
        <n v="9410" u="1"/>
        <n v="11645" u="1"/>
        <n v="13880" u="1"/>
        <n v="16115" u="1"/>
        <n v="4460" u="1"/>
        <n v="34340" u="1"/>
        <n v="6695" u="1"/>
        <n v="18425" u="1"/>
        <n v="3225" u="1"/>
        <n v="20660" u="1"/>
        <n v="22895" u="1"/>
        <n v="25130" u="1"/>
        <n v="27365" u="1"/>
        <n v="32965" u="1"/>
        <n v="29600" u="1"/>
        <n v="37435" u="1"/>
        <n v="31835" u="1"/>
        <n v="9840" u="1"/>
        <n v="12075" u="1"/>
        <n v="14310" u="1"/>
        <n v="745" u="1"/>
        <n v="4675" u="1"/>
        <n v="36060" u="1"/>
        <n v="40530" u="1"/>
        <n v="6910" u="1"/>
        <n v="2215" u="1"/>
        <n v="17050" u="1"/>
        <n v="19285" u="1"/>
        <n v="21520" u="1"/>
        <n v="23755" u="1"/>
        <n v="25990" u="1"/>
        <n v="34685" u="1"/>
        <n v="30460" u="1"/>
        <n v="39155" u="1"/>
        <n v="32695" u="1"/>
        <n v="1605" u="1"/>
        <n v="10270" u="1"/>
        <n v="12505" u="1"/>
        <n v="14740" u="1"/>
        <n v="4890" u="1"/>
        <n v="33310" u="1"/>
        <n v="37780" u="1"/>
        <n v="7125" u="1"/>
        <n v="17910" u="1"/>
        <n v="20145" u="1"/>
        <n v="3440" u="1"/>
        <n v="22380" u="1"/>
        <n v="24615" u="1"/>
        <n v="26850" u="1"/>
        <n v="1100" u="1"/>
        <n v="29085" u="1"/>
        <n v="36405" u="1"/>
        <n v="31320" u="1"/>
        <n v="8465" u="1"/>
        <n v="10700" u="1"/>
        <n v="12935" u="1"/>
        <n v="85" u="1"/>
        <n v="15170" u="1"/>
        <n v="5105" u="1"/>
        <n v="35030" u="1"/>
        <n v="39500" u="1"/>
        <n v="7340" u="1"/>
        <n v="2430" u="1"/>
        <n v="16535" u="1"/>
        <n v="18770" u="1"/>
        <n v="21005" u="1"/>
        <n v="23240" u="1"/>
        <n v="25475" u="1"/>
        <n v="27710" u="1"/>
        <n v="33655" u="1"/>
        <n v="29945" u="1"/>
        <n v="38125" u="1"/>
        <n v="32180" u="1"/>
        <n v="8895" u="1"/>
        <n v="11130" u="1"/>
        <n v="13365" u="1"/>
        <n v="15600" u="1"/>
        <n v="5320" u="1"/>
        <n v="36750" u="1"/>
        <n v="7555" u="1"/>
        <n v="17395" u="1"/>
        <n v="19630" u="1"/>
        <n v="21865" u="1"/>
        <n v="3655" u="1"/>
        <n v="24100" u="1"/>
        <n v="26335" u="1"/>
        <n v="28570" u="1"/>
        <n v="35375" u="1"/>
        <n v="30805" u="1"/>
        <n v="39845" u="1"/>
        <n v="9325" u="1"/>
        <n v="11560" u="1"/>
        <n v="13795" u="1"/>
        <n v="16030" u="1"/>
        <n v="5535" u="1"/>
        <n v="34000" u="1"/>
        <n v="38470" u="1"/>
        <n v="7770" u="1"/>
        <n v="2645" u="1"/>
        <n v="18255" u="1"/>
        <n v="20490" u="1"/>
        <n v="22725" u="1"/>
        <n v="24960" u="1"/>
        <n v="27195" u="1"/>
        <n v="29430" u="1"/>
        <n v="37095" u="1"/>
        <n v="31665" u="1"/>
        <n v="9755" u="1"/>
        <n v="1820" u="1"/>
        <n v="11990" u="1"/>
        <n v="14225" u="1"/>
        <n v="600" u="1"/>
        <n v="5750" u="1"/>
        <n v="35720" u="1"/>
        <n v="40190" u="1"/>
        <n v="7985" u="1"/>
        <n v="16880" u="1"/>
        <n v="19115" u="1"/>
        <n v="21350" u="1"/>
        <n v="23585" u="1"/>
        <n v="3870" u="1"/>
        <n v="25820" u="1"/>
        <n v="28055" u="1"/>
        <n v="34345" u="1"/>
        <n v="30290" u="1"/>
        <n v="38815" u="1"/>
        <n v="1315" u="1"/>
        <n v="32525" u="1"/>
        <n v="10185" u="1"/>
        <n v="12420" u="1"/>
        <n v="14655" u="1"/>
        <n v="32970" u="1"/>
        <n v="5965" u="1"/>
        <n v="37440" u="1"/>
        <n v="2860" u="1"/>
        <n v="17740" u="1"/>
        <n v="19975" u="1"/>
        <n v="22210" u="1"/>
        <n v="24445" u="1"/>
        <n v="26680" u="1"/>
        <n v="28915" u="1"/>
        <n v="36065" u="1"/>
        <n v="31150" u="1"/>
        <n v="8380" u="1"/>
        <n v="10615" u="1"/>
        <n v="12850" u="1"/>
        <n v="15085" u="1"/>
        <n v="34690" u="1"/>
        <n v="6180" u="1"/>
        <n v="39160" u="1"/>
        <n v="18600" u="1"/>
        <n v="20835" u="1"/>
        <n v="23070" u="1"/>
        <n v="25305" u="1"/>
        <n v="4085" u="1"/>
        <n v="27540" u="1"/>
        <n v="33315" u="1"/>
        <n v="29775" u="1"/>
        <n v="37785" u="1"/>
        <n v="32010" u="1"/>
        <n v="8810" u="1"/>
        <n v="11045" u="1"/>
        <n v="13280" u="1"/>
        <n v="15515" u="1"/>
        <n v="4160" u="1"/>
        <n v="36410" u="1"/>
        <n v="960" u="1"/>
        <n v="6395" u="1"/>
        <n v="325" u="1"/>
        <n v="17225" u="1"/>
        <n v="3075" u="1"/>
        <n v="19460" u="1"/>
        <n v="21695" u="1"/>
        <n v="23930" u="1"/>
        <n v="26165" u="1"/>
        <n v="28400" u="1"/>
        <n v="35035" u="1"/>
        <n v="30635" u="1"/>
        <n v="39505" u="1"/>
        <n v="9240" u="1"/>
        <n v="11475" u="1"/>
        <n v="2035" u="1"/>
        <n v="13710" u="1"/>
        <n v="15945" u="1"/>
        <n v="4375" u="1"/>
        <n v="33660" u="1"/>
        <n v="38130" u="1"/>
        <n v="6610" u="1"/>
        <n v="2065" u="1"/>
        <n v="18085" u="1"/>
        <n v="20320" u="1"/>
        <n v="22555" u="1"/>
        <n v="27025" u="1"/>
        <n v="29260" u="1"/>
        <n v="36755" u="1"/>
        <n v="31495" u="1"/>
        <n v="1530" u="1"/>
        <n v="9670" u="1"/>
        <n v="11905" u="1"/>
        <n v="14140" u="1"/>
        <n v="16375" u="1"/>
        <n v="4590" u="1"/>
        <n v="35380" u="1"/>
        <n v="39850" u="1"/>
        <n v="6825" u="1"/>
        <n v="16710" u="1"/>
        <n v="18945" u="1"/>
        <n v="3290" u="1"/>
        <n v="21180" u="1"/>
        <n v="23415" u="1"/>
        <n v="25650" u="1"/>
        <n v="1025" u="1"/>
        <n v="27885" u="1"/>
        <n v="34005" u="1"/>
        <n v="30120" u="1"/>
        <n v="38475" u="1"/>
        <n v="32355" u="1"/>
        <n v="10100" u="1"/>
        <n v="12335" u="1"/>
        <n v="14570" u="1"/>
        <n v="4805" u="1"/>
        <n v="37100" u="1"/>
        <n v="7040" u="1"/>
        <n v="2280" u="1"/>
        <n v="17570" u="1"/>
        <n v="19805" u="1"/>
        <n v="505" u="1"/>
        <n v="22040" u="1"/>
        <n v="24275" u="1"/>
        <n v="26510" u="1"/>
        <n v="175" u="1"/>
        <n v="28745" u="1"/>
        <n v="35725" u="1"/>
        <n v="30980" u="1"/>
        <n v="40195" u="1"/>
        <n v="8295" u="1"/>
        <n v="10530" u="1"/>
        <n v="12765" u="1"/>
        <n v="15000" u="1"/>
        <n v="5020" u="1"/>
        <n v="34350" u="1"/>
        <n v="38820" u="1"/>
        <n v="7255" u="1"/>
        <n v="18430" u="1"/>
        <n v="20665" u="1"/>
        <n v="3505" u="1"/>
        <n v="22900" u="1"/>
        <n v="25135" u="1"/>
        <n v="27370" u="1"/>
        <n v="32975" u="1"/>
        <n v="29605" u="1"/>
        <n v="37445" u="1"/>
        <n v="31840" u="1"/>
        <n v="8725" u="1"/>
        <n v="10960" u="1"/>
        <n v="13195" u="1"/>
        <n v="15430" u="1"/>
        <n v="815" u="1"/>
        <n v="5235" u="1"/>
        <n v="36070" u="1"/>
        <n v="7470" u="1"/>
        <n v="2495" u="1"/>
        <n v="17055" u="1"/>
        <n v="19290" u="1"/>
        <n v="21525" u="1"/>
        <n v="23760" u="1"/>
        <n v="25995" u="1"/>
        <n v="28230" u="1"/>
        <n v="34695" u="1"/>
        <n v="30465" u="1"/>
        <n v="39165" u="1"/>
        <n v="32700" u="1"/>
        <n v="9155" u="1"/>
        <n v="1745" u="1"/>
        <n v="11390" u="1"/>
        <n v="13625" u="1"/>
        <n v="15860" u="1"/>
        <n v="5450" u="1"/>
        <n v="33320" u="1"/>
        <n v="37790" u="1"/>
        <n v="7685" u="1"/>
        <n v="17915" u="1"/>
        <n v="20150" u="1"/>
        <n v="22385" u="1"/>
        <n v="3720" u="1"/>
        <n v="24620" u="1"/>
        <n v="26855" u="1"/>
        <n v="29090" u="1"/>
        <n v="1240" u="1"/>
        <n v="31325" u="1"/>
        <n v="9585" u="1"/>
        <n v="11820" u="1"/>
        <n v="14055" u="1"/>
        <n v="16290" u="1"/>
        <n v="5665" u="1"/>
        <n v="35040" u="1"/>
        <n v="39510" u="1"/>
        <n v="7900" u="1"/>
        <n v="2710" u="1"/>
        <n v="16540" u="1"/>
        <n v="18775" u="1"/>
        <n v="21010" u="1"/>
        <n v="23245" u="1"/>
        <n v="25480" u="1"/>
        <n v="27715" u="1"/>
        <n v="33665" u="1"/>
        <n v="29950" u="1"/>
        <n v="38135" u="1"/>
        <n v="32185" u="1"/>
        <n v="10015" u="1"/>
        <n v="12250" u="1"/>
        <n v="14485" u="1"/>
        <n v="5880" u="1"/>
        <n v="36760" u="1"/>
        <n v="8115" u="1"/>
        <n v="17400" u="1"/>
        <n v="19635" u="1"/>
        <n v="21870" u="1"/>
        <n v="24105" u="1"/>
        <n v="3935" u="1"/>
        <n v="26340" u="1"/>
        <n v="28575" u="1"/>
        <n v="35385" u="1"/>
        <n v="30810" u="1"/>
        <n v="39855" u="1"/>
        <n v="8210" u="1"/>
        <n v="10445" u="1"/>
        <n v="12680" u="1"/>
        <n v="14915" u="1"/>
        <n v="34010" u="1"/>
        <n v="6095" u="1"/>
        <n v="38480" u="1"/>
        <n v="2925" u="1"/>
        <n v="18260" u="1"/>
        <n v="20495" u="1"/>
        <n v="22730" u="1"/>
        <n v="24965" u="1"/>
        <n v="27200" u="1"/>
        <n v="29435" u="1"/>
        <n v="37105" u="1"/>
        <n v="31670" u="1"/>
        <n v="8640" u="1"/>
        <n v="10875" u="1"/>
        <n v="13110" u="1"/>
        <n v="15345" u="1"/>
        <n v="670" u="1"/>
        <n v="35730" u="1"/>
        <n v="6310" u="1"/>
        <n v="40200" u="1"/>
        <n v="16885" u="1"/>
        <n v="19120" u="1"/>
        <n v="21355" u="1"/>
        <n v="23590" u="1"/>
        <n v="25825" u="1"/>
        <n v="28060" u="1"/>
        <n v="34355" u="1"/>
        <n v="30295" u="1"/>
        <n v="38825" u="1"/>
        <n v="32530" u="1"/>
        <n v="1455" u="1"/>
        <n v="9070" u="1"/>
        <n v="11305" u="1"/>
        <n v="13540" u="1"/>
        <n v="15775" u="1"/>
        <n v="4290" u="1"/>
        <n v="32980" u="1"/>
        <n v="37450" u="1"/>
        <n v="6525" u="1"/>
        <n v="17745" u="1"/>
        <n v="3140" u="1"/>
        <n v="19980" u="1"/>
        <n v="22215" u="1"/>
        <n v="24450" u="1"/>
        <n v="26685" u="1"/>
        <n v="28920" u="1"/>
        <n v="36075" u="1"/>
        <n v="31155" u="1"/>
        <n v="9500" u="1"/>
        <n v="11735" u="1"/>
        <n v="13970" u="1"/>
        <n v="16205" u="1"/>
        <n v="4505" u="1"/>
        <n v="34700" u="1"/>
        <n v="39170" u="1"/>
        <n v="6740" u="1"/>
        <n v="2130" u="1"/>
        <n v="18605" u="1"/>
        <n v="20840" u="1"/>
        <n v="23075" u="1"/>
        <n v="25310" u="1"/>
        <n v="27545" u="1"/>
        <n v="33325" u="1"/>
        <n v="29780" u="1"/>
        <n v="37795" u="1"/>
        <n v="32015" u="1"/>
        <n v="9930" u="1"/>
        <n v="12165" u="1"/>
        <n v="14400" u="1"/>
        <n v="4720" u="1"/>
        <n v="36420" u="1"/>
        <n v="6955" u="1"/>
        <n v="360" u="1"/>
        <n v="17230" u="1"/>
        <n v="19465" u="1"/>
        <n v="3355" u="1"/>
        <n v="21700" u="1"/>
        <n v="23935" u="1"/>
        <n v="26170" u="1"/>
        <n v="28405" u="1"/>
        <n v="35045" u="1"/>
        <n v="30640" u="1"/>
        <n v="39515" u="1"/>
        <n v="10360" u="1"/>
        <n v="12595" u="1"/>
        <n v="14830" u="1"/>
        <n v="4935" u="1"/>
        <n v="33670" u="1"/>
        <n v="38140" u="1"/>
        <n v="7170" u="1"/>
        <n v="2345" u="1"/>
        <n v="18090" u="1"/>
        <n v="20325" u="1"/>
        <n v="22560" u="1"/>
        <n v="24795" u="1"/>
        <n v="27030" u="1"/>
        <n v="36765" u="1"/>
        <n v="31500" u="1"/>
        <n v="8555" u="1"/>
        <n v="1670" u="1"/>
        <n v="10790" u="1"/>
        <n v="13025" u="1"/>
        <n v="525" u="1"/>
        <n v="15260" u="1"/>
        <n v="5150" u="1"/>
        <n v="35390" u="1"/>
        <n v="39860" u="1"/>
        <n v="7385" u="1"/>
        <n v="16715" u="1"/>
        <n v="18950" u="1"/>
        <n v="21185" u="1"/>
        <n v="3570" u="1"/>
        <n v="23420" u="1"/>
        <n v="25655" u="1"/>
        <n v="27890" u="1"/>
        <n v="34015" u="1"/>
        <n v="1165" u="1"/>
        <n v="30125" u="1"/>
        <n v="38485" u="1"/>
        <n v="32360" u="1"/>
        <n v="8985" u="1"/>
        <n v="11220" u="1"/>
        <n v="13455" u="1"/>
        <n v="15690" u="1"/>
        <n v="5365" u="1"/>
        <n v="37110" u="1"/>
        <n v="7600" u="1"/>
        <n v="2560" u="1"/>
        <n v="17575" u="1"/>
        <n v="19810" u="1"/>
        <n v="22045" u="1"/>
        <n v="24280" u="1"/>
        <n v="26515" u="1"/>
        <n v="28750" u="1"/>
        <n v="35735" u="1"/>
        <n v="30985" u="1"/>
        <n v="40205" u="1"/>
        <n v="9415" u="1"/>
        <n v="11650" u="1"/>
        <n v="13885" u="1"/>
        <n v="16120" u="1"/>
        <n v="5580" u="1"/>
        <n v="34360" u="1"/>
        <n v="38830" u="1"/>
        <n v="7815" u="1"/>
        <n v="18435" u="1"/>
        <n v="20670" u="1"/>
        <n v="22905" u="1"/>
        <n v="3785" u="1"/>
        <n v="25140" u="1"/>
        <n v="27375" u="1"/>
        <n v="32985" u="1"/>
        <n v="29610" u="1"/>
        <n v="37455" u="1"/>
        <n v="31845" u="1"/>
        <n v="9845" u="1"/>
        <n v="12080" u="1"/>
        <n v="14315" u="1"/>
        <n v="885" u="1"/>
        <n v="5795" u="1"/>
        <n v="36080" u="1"/>
        <n v="8030" u="1"/>
        <n v="2775" u="1"/>
        <n v="17060" u="1"/>
        <n v="19295" u="1"/>
        <n v="21530" u="1"/>
        <n v="23765" u="1"/>
        <n v="26000" u="1"/>
        <n v="28235" u="1"/>
        <n v="34705" u="1"/>
        <n v="30470" u="1"/>
        <n v="39175" u="1"/>
        <n v="32705" u="1"/>
        <n v="10275" u="1"/>
        <n v="1885" u="1"/>
        <n v="12510" u="1"/>
        <n v="14745" u="1"/>
        <n v="33330" u="1"/>
        <n v="6010" u="1"/>
        <n v="37800" u="1"/>
        <n v="17920" u="1"/>
        <n v="20155" u="1"/>
        <n v="22390" u="1"/>
        <n v="24625" u="1"/>
        <n v="4000" u="1"/>
        <n v="26860" u="1"/>
        <n v="29095" u="1"/>
        <n v="36425" u="1"/>
        <n v="31330" u="1"/>
        <n v="1380" u="1"/>
        <n v="8470" u="1"/>
        <n v="10705" u="1"/>
        <n v="12940" u="1"/>
        <n v="15175" u="1"/>
        <n v="35050" u="1"/>
        <n v="6225" u="1"/>
        <n v="39520" u="1"/>
        <n v="16545" u="1"/>
        <n v="2990" u="1"/>
        <n v="18780" u="1"/>
        <n v="21015" u="1"/>
        <n v="23250" u="1"/>
        <n v="25485" u="1"/>
        <n v="27720" u="1"/>
        <n v="33675" u="1"/>
        <n v="29955" u="1"/>
        <n v="38145" u="1"/>
        <n v="32190" u="1"/>
        <n v="8900" u="1"/>
        <n v="11135" u="1"/>
        <n v="15605" u="1"/>
        <n v="4205" u="1"/>
        <n v="36770" u="1"/>
        <n v="6440" u="1"/>
        <n v="17405" u="1"/>
        <n v="19640" u="1"/>
        <n v="21875" u="1"/>
        <n v="24110" u="1"/>
        <n v="26345" u="1"/>
        <n v="28580" u="1"/>
        <n v="35395" u="1"/>
        <n v="30815" u="1"/>
        <n v="39865" u="1"/>
        <n v="9330" u="1"/>
        <n v="11565" u="1"/>
        <n v="13800" u="1"/>
        <n v="16035" u="1"/>
        <n v="4420" u="1"/>
        <n v="34020" u="1"/>
        <n v="38490" u="1"/>
        <n v="6655" u="1"/>
        <n v="18265" u="1"/>
        <n v="3205" u="1"/>
        <n v="20500" u="1"/>
        <n v="22735" u="1"/>
        <n v="24970" u="1"/>
        <n v="27205" u="1"/>
        <n v="29440" u="1"/>
        <n v="37115" u="1"/>
        <n v="31675" u="1"/>
        <n v="9760" u="1"/>
        <n v="11995" u="1"/>
        <n v="14230" u="1"/>
        <n v="740" u="1"/>
        <n v="4635" u="1"/>
        <n v="35740" u="1"/>
        <n v="40210" u="1"/>
        <n v="6870" u="1"/>
        <n v="2195" u="1"/>
        <n v="16890" u="1"/>
        <n v="19125" u="1"/>
        <n v="21360" u="1"/>
        <n v="23595" u="1"/>
        <n v="28065" u="1"/>
        <n v="34365" u="1"/>
        <n v="30300" u="1"/>
        <n v="38835" u="1"/>
        <n v="32535" u="1"/>
        <n v="1595" u="1"/>
        <n v="10190" u="1"/>
        <n v="12425" u="1"/>
        <n v="14660" u="1"/>
        <n v="4850" u="1"/>
        <n v="32990" u="1"/>
        <n v="37460" u="1"/>
        <n v="7085" u="1"/>
        <n v="17750" u="1"/>
        <n v="19985" u="1"/>
        <n v="3420" u="1"/>
        <n v="22220" u="1"/>
        <n v="24455" u="1"/>
        <n v="26690" u="1"/>
        <n v="1090" u="1"/>
        <n v="28925" u="1"/>
        <n v="36085" u="1"/>
        <n v="31160" u="1"/>
        <n v="8385" u="1"/>
        <n v="10620" u="1"/>
        <n v="12855" u="1"/>
        <n v="15090" u="1"/>
        <n v="5065" u="1"/>
        <n v="34710" u="1"/>
        <n v="39180" u="1"/>
        <n v="7300" u="1"/>
        <n v="2410" u="1"/>
        <n v="18610" u="1"/>
        <n v="20845" u="1"/>
        <n v="23080" u="1"/>
        <n v="25315" u="1"/>
        <n v="27550" u="1"/>
        <n v="33335" u="1"/>
        <n v="29785" u="1"/>
        <n v="37805" u="1"/>
        <n v="32020" u="1"/>
        <n v="8815" u="1"/>
        <n v="11050" u="1"/>
        <n v="13285" u="1"/>
        <n v="15520" u="1"/>
        <n v="5280" u="1"/>
        <n v="36430" u="1"/>
        <n v="7515" u="1"/>
        <n v="395" u="1"/>
        <n v="17235" u="1"/>
        <n v="19470" u="1"/>
        <n v="21705" u="1"/>
        <n v="3635" u="1"/>
        <n v="23940" u="1"/>
        <n v="26175" u="1"/>
        <n v="28410" u="1"/>
        <n v="35055" u="1"/>
        <n v="30645" u="1"/>
        <n v="39525" u="1"/>
        <n v="9245" u="1"/>
        <n v="11480" u="1"/>
        <n v="13715" u="1"/>
        <n v="15950" u="1"/>
        <n v="5495" u="1"/>
        <n v="33680" u="1"/>
        <n v="38150" u="1"/>
        <n v="7730" u="1"/>
        <n v="2625" u="1"/>
        <n v="18095" u="1"/>
        <n v="20330" u="1"/>
        <n v="22565" u="1"/>
        <n v="24800" u="1"/>
        <n v="27035" u="1"/>
        <n v="29270" u="1"/>
        <n v="36775" u="1"/>
        <n v="31505" u="1"/>
        <n v="9675" u="1"/>
        <n v="1810" u="1"/>
        <n v="11910" u="1"/>
        <n v="14145" u="1"/>
        <n v="595" u="1"/>
        <n v="16380" u="1"/>
        <n v="5710" u="1"/>
        <n v="35400" u="1"/>
        <n v="39870" u="1"/>
        <n v="7945" u="1"/>
        <n v="16720" u="1"/>
        <n v="18955" u="1"/>
        <n v="21190" u="1"/>
        <n v="23425" u="1"/>
        <n v="3850" u="1"/>
        <n v="25660" u="1"/>
        <n v="27895" u="1"/>
        <n v="34025" u="1"/>
        <n v="30130" u="1"/>
        <n v="1305" u="1"/>
        <n v="32365" u="1"/>
        <n v="10105" u="1"/>
        <n v="12340" u="1"/>
        <n v="14575" u="1"/>
        <n v="5925" u="1"/>
        <n v="37120" u="1"/>
        <n v="8160" u="1"/>
        <n v="2840" u="1"/>
        <n v="17580" u="1"/>
        <n v="19815" u="1"/>
        <n v="22050" u="1"/>
        <n v="24285" u="1"/>
        <n v="26520" u="1"/>
        <n v="28755" u="1"/>
        <n v="35745" u="1"/>
        <n v="30990" u="1"/>
        <n v="40215" u="1"/>
        <n v="210" u="1"/>
        <n v="8300" u="1"/>
        <n v="10535" u="1"/>
        <n v="48" u="1"/>
        <n v="12770" u="1"/>
        <n v="15005" u="1"/>
        <n v="34370" u="1"/>
        <n v="6140" u="1"/>
        <n v="38840" u="1"/>
        <n v="18440" u="1"/>
        <n v="20675" u="1"/>
        <n v="22910" u="1"/>
        <n v="25145" u="1"/>
        <n v="4065" u="1"/>
        <n v="27380" u="1"/>
        <n v="32995" u="1"/>
        <n v="29615" u="1"/>
        <n v="37465" u="1"/>
        <n v="31850" u="1"/>
        <n v="8730" u="1"/>
        <n v="10965" u="1"/>
        <n v="13200" u="1"/>
        <n v="15435" u="1"/>
        <n v="4120" u="1"/>
        <n v="36090" u="1"/>
        <n v="955" u="1"/>
        <n v="6355" u="1"/>
        <n v="17065" u="1"/>
        <n v="3055" u="1"/>
        <n v="19300" u="1"/>
        <n v="21535" u="1"/>
        <n v="23770" u="1"/>
        <n v="26005" u="1"/>
        <n v="28240" u="1"/>
        <n v="34715" u="1"/>
        <n v="30475" u="1"/>
        <n v="39185" u="1"/>
        <n v="32710" u="1"/>
        <n v="9160" u="1"/>
        <n v="11395" u="1"/>
        <n v="2025" u="1"/>
        <n v="13630" u="1"/>
        <n v="15865" u="1"/>
        <n v="4335" u="1"/>
        <n v="33340" u="1"/>
        <n v="37810" u="1"/>
        <n v="6570" u="1"/>
        <n v="17925" u="1"/>
        <n v="20160" u="1"/>
        <n v="22395" u="1"/>
        <n v="24630" u="1"/>
        <n v="26865" u="1"/>
        <n v="29100" u="1"/>
        <n v="36435" u="1"/>
        <n v="31335" u="1"/>
        <n v="1520" u="1"/>
        <n v="9590" u="1"/>
        <n v="11825" u="1"/>
        <n v="14060" u="1"/>
        <n v="16295" u="1"/>
        <n v="4550" u="1"/>
        <n v="35060" u="1"/>
        <n v="39530" u="1"/>
        <n v="6785" u="1"/>
        <n v="16550" u="1"/>
        <n v="18785" u="1"/>
        <n v="3270" u="1"/>
        <n v="21020" u="1"/>
        <n v="23255" u="1"/>
        <n v="25490" u="1"/>
        <n v="27725" u="1"/>
        <n v="33685" u="1"/>
        <n v="29960" u="1"/>
        <n v="38155" u="1"/>
        <n v="32195" u="1"/>
        <n v="10020" u="1"/>
        <n v="12255" u="1"/>
        <n v="14490" u="1"/>
        <n v="4765" u="1"/>
        <n v="36780" u="1"/>
        <n v="7000" u="1"/>
        <n v="2260" u="1"/>
        <n v="17410" u="1"/>
        <n v="19645" u="1"/>
        <n v="21880" u="1"/>
        <n v="24115" u="1"/>
        <n v="26350" u="1"/>
        <n v="28585" u="1"/>
        <n v="35405" u="1"/>
        <n v="30820" u="1"/>
        <n v="39875" u="1"/>
        <n v="8215" u="1"/>
        <n v="10450" u="1"/>
        <n v="12685" u="1"/>
        <n v="14920" u="1"/>
        <n v="4980" u="1"/>
        <n v="34030" u="1"/>
        <n v="38500" u="1"/>
        <n v="7215" u="1"/>
        <n v="18270" u="1"/>
        <n v="20505" u="1"/>
        <n v="3485" u="1"/>
        <n v="22740" u="1"/>
        <n v="24975" u="1"/>
        <n v="27210" u="1"/>
        <n v="29445" u="1"/>
        <n v="37125" u="1"/>
        <n v="31680" u="1"/>
        <n v="8645" u="1"/>
        <n v="10880" u="1"/>
        <n v="13115" u="1"/>
        <n v="15350" u="1"/>
        <n v="810" u="1"/>
        <n v="5195" u="1"/>
        <n v="35750" u="1"/>
        <n v="40220" u="1"/>
        <n v="7430" u="1"/>
        <n v="2475" u="1"/>
        <n v="16895" u="1"/>
        <n v="19130" u="1"/>
        <n v="21365" u="1"/>
        <n v="23600" u="1"/>
        <n v="25835" u="1"/>
        <n v="28070" u="1"/>
        <n v="34375" u="1"/>
        <n v="38845" u="1"/>
        <n v="32540" u="1"/>
        <n v="9075" u="1"/>
        <n v="1735" u="1"/>
        <n v="11310" u="1"/>
        <n v="13545" u="1"/>
        <n v="15780" u="1"/>
        <n v="5410" u="1"/>
        <n v="33000" u="1"/>
        <n v="37470" u="1"/>
        <n v="7645" u="1"/>
        <n v="17755" u="1"/>
        <n v="19990" u="1"/>
        <n v="22225" u="1"/>
        <n v="3700" u="1"/>
        <n v="24460" u="1"/>
        <n v="26695" u="1"/>
        <n v="28930" u="1"/>
        <n v="36095" u="1"/>
        <n v="1230" u="1"/>
        <n v="31165" u="1"/>
        <n v="9505" u="1"/>
        <n v="11740" u="1"/>
        <n v="13975" u="1"/>
        <n v="16210" u="1"/>
        <n v="5625" u="1"/>
        <n v="34720" u="1"/>
        <n v="39190" u="1"/>
        <n v="7860" u="1"/>
        <n v="2690" u="1"/>
        <n v="18615" u="1"/>
        <n v="20850" u="1"/>
        <n v="23085" u="1"/>
        <n v="25320" u="1"/>
        <n v="27555" u="1"/>
        <n v="33345" u="1"/>
        <n v="29790" u="1"/>
        <n v="37815" u="1"/>
        <n v="32025" u="1"/>
        <n v="9935" u="1"/>
        <n v="12170" u="1"/>
        <n v="14405" u="1"/>
        <n v="5840" u="1"/>
        <n v="36440" u="1"/>
        <n v="8075" u="1"/>
        <n v="430" u="1"/>
        <n v="17240" u="1"/>
        <n v="19475" u="1"/>
        <n v="21710" u="1"/>
        <n v="23945" u="1"/>
        <n v="3915" u="1"/>
        <n v="26180" u="1"/>
        <n v="28415" u="1"/>
        <n v="35065" u="1"/>
        <n v="30650" u="1"/>
        <n v="39535" u="1"/>
        <n v="10365" u="1"/>
        <n v="12600" u="1"/>
        <n v="14835" u="1"/>
        <n v="33690" u="1"/>
        <n v="6055" u="1"/>
        <n v="38160" u="1"/>
        <n v="2905" u="1"/>
        <n v="18100" u="1"/>
        <n v="20335" u="1"/>
        <n v="22570" u="1"/>
        <n v="24805" u="1"/>
        <n v="27040" u="1"/>
        <n v="29275" u="1"/>
        <n v="36785" u="1"/>
        <n v="31510" u="1"/>
        <n v="8560" u="1"/>
        <n v="10795" u="1"/>
        <n v="1950" u="1"/>
        <n v="13030" u="1"/>
        <n v="15265" u="1"/>
        <n v="665" u="1"/>
        <n v="35410" u="1"/>
        <n v="6270" u="1"/>
        <n v="39880" u="1"/>
        <n v="16725" u="1"/>
        <n v="18960" u="1"/>
        <n v="21195" u="1"/>
        <n v="23430" u="1"/>
        <n v="25665" u="1"/>
        <n v="27900" u="1"/>
        <n v="34035" u="1"/>
        <n v="30135" u="1"/>
        <n v="38505" u="1"/>
        <n v="32370" u="1"/>
        <n v="1445" u="1"/>
        <n v="8990" u="1"/>
        <n v="11225" u="1"/>
        <n v="13460" u="1"/>
        <n v="15695" u="1"/>
        <n v="4250" u="1"/>
        <n v="37130" u="1"/>
        <n v="6485" u="1"/>
        <n v="17585" u="1"/>
        <n v="3120" u="1"/>
        <n v="19820" u="1"/>
        <n v="22055" u="1"/>
        <n v="24290" u="1"/>
        <n v="26525" u="1"/>
        <n v="28760" u="1"/>
        <n v="35755" u="1"/>
        <n v="30995" u="1"/>
        <n v="40225" u="1"/>
        <n v="9420" u="1"/>
        <n v="11655" u="1"/>
        <n v="75" u="1"/>
        <n v="16125" u="1"/>
        <n v="4465" u="1"/>
        <n v="34380" u="1"/>
        <n v="38850" u="1"/>
        <n v="6700" u="1"/>
        <n v="2110" u="1"/>
        <n v="18445" u="1"/>
        <n v="20680" u="1"/>
        <n v="22915" u="1"/>
        <n v="25150" u="1"/>
        <n v="27385" u="1"/>
        <n v="33005" u="1"/>
        <n v="29620" u="1"/>
        <n v="37475" u="1"/>
        <n v="31855" u="1"/>
        <n v="9850" u="1"/>
        <n v="12085" u="1"/>
        <n v="14320" u="1"/>
        <n v="4680" u="1"/>
        <n v="36100" u="1"/>
        <n v="6915" u="1"/>
        <n v="17070" u="1"/>
        <n v="19305" u="1"/>
        <n v="3335" u="1"/>
        <n v="21540" u="1"/>
        <n v="23775" u="1"/>
        <n v="26010" u="1"/>
        <n v="28245" u="1"/>
        <n v="34725" u="1"/>
        <n v="30480" u="1"/>
        <n v="39195" u="1"/>
        <n v="32715" u="1"/>
        <n v="10280" u="1"/>
        <n v="12515" u="1"/>
        <n v="14750" u="1"/>
        <n v="4895" u="1"/>
        <n v="33350" u="1"/>
        <n v="37820" u="1"/>
        <n v="7130" u="1"/>
        <n v="2325" u="1"/>
        <n v="17930" u="1"/>
        <n v="20165" u="1"/>
        <n v="22400" u="1"/>
        <n v="24635" u="1"/>
        <n v="29105" u="1"/>
        <n v="36445" u="1"/>
        <n v="31340" u="1"/>
        <n v="8475" u="1"/>
        <n v="1660" u="1"/>
        <n v="10710" u="1"/>
        <n v="12945" u="1"/>
        <n v="520" u="1"/>
        <n v="15180" u="1"/>
        <n v="120" u="1"/>
        <n v="5110" u="1"/>
        <n v="35070" u="1"/>
        <n v="39540" u="1"/>
        <n v="7345" u="1"/>
        <n v="16555" u="1"/>
        <n v="18790" u="1"/>
        <n v="21025" u="1"/>
        <n v="3550" u="1"/>
        <n v="23260" u="1"/>
        <n v="25495" u="1"/>
        <n v="27730" u="1"/>
        <n v="33695" u="1"/>
        <n v="1155" u="1"/>
        <n v="29965" u="1"/>
        <n v="38165" u="1"/>
        <n v="32200" u="1"/>
        <n v="8905" u="1"/>
        <n v="11140" u="1"/>
        <n v="13375" u="1"/>
        <n v="15610" u="1"/>
        <n v="5325" u="1"/>
        <n v="36790" u="1"/>
        <n v="7560" u="1"/>
        <n v="2540" u="1"/>
        <n v="17415" u="1"/>
        <n v="19650" u="1"/>
        <n v="21885" u="1"/>
        <n v="24120" u="1"/>
        <n v="26355" u="1"/>
        <n v="28590" u="1"/>
        <n v="35415" u="1"/>
        <n v="30825" u="1"/>
        <n v="39885" u="1"/>
        <n v="9335" u="1"/>
        <n v="11570" u="1"/>
        <n v="13805" u="1"/>
        <n v="16040" u="1"/>
        <n v="5540" u="1"/>
        <n v="34040" u="1"/>
        <n v="38510" u="1"/>
        <n v="7775" u="1"/>
        <n v="18275" u="1"/>
        <n v="20510" u="1"/>
        <n v="22745" u="1"/>
        <n v="3765" u="1"/>
        <n v="24980" u="1"/>
        <n v="27215" u="1"/>
        <n v="29450" u="1"/>
        <n v="37135" u="1"/>
        <n v="31685" u="1"/>
        <n v="9765" u="1"/>
        <n v="12000" u="1"/>
        <n v="14235" u="1"/>
        <n v="880" u="1"/>
        <n v="5755" u="1"/>
        <n v="35760" u="1"/>
        <n v="40230" u="1"/>
        <n v="285" u="1"/>
        <n v="7990" u="1"/>
        <n v="2755" u="1"/>
        <n v="16900" u="1"/>
        <n v="19135" u="1"/>
        <n v="21370" u="1"/>
        <n v="23605" u="1"/>
        <n v="25840" u="1"/>
        <n v="28075" u="1"/>
        <n v="34385" u="1"/>
        <n v="30310" u="1"/>
        <n v="38855" u="1"/>
        <n v="32545" u="1"/>
        <n v="10195" u="1"/>
        <n v="1875" u="1"/>
        <n v="12430" u="1"/>
        <n v="14665" u="1"/>
        <n v="33010" u="1"/>
        <n v="5970" u="1"/>
        <n v="37480" u="1"/>
        <n v="17760" u="1"/>
        <n v="19995" u="1"/>
        <n v="22230" u="1"/>
        <n v="24465" u="1"/>
        <n v="3980" u="1"/>
        <n v="26700" u="1"/>
        <n v="28935" u="1"/>
        <n v="36105" u="1"/>
        <n v="31170" u="1"/>
        <n v="1370" u="1"/>
        <n v="8390" u="1"/>
        <n v="10625" u="1"/>
        <n v="12860" u="1"/>
        <n v="15095" u="1"/>
        <n v="34730" u="1"/>
        <n v="6185" u="1"/>
        <n v="39200" u="1"/>
        <n v="16385" u="1"/>
        <n v="2970" u="1"/>
        <n v="18620" u="1"/>
        <n v="20855" u="1"/>
        <n v="23090" u="1"/>
        <n v="25325" u="1"/>
        <n v="27560" u="1"/>
        <n v="33355" u="1"/>
        <n v="29795" u="1"/>
        <n v="37825" u="1"/>
        <n v="32030" u="1"/>
        <n v="8820" u="1"/>
        <n v="11055" u="1"/>
        <n v="13290" u="1"/>
        <n v="15525" u="1"/>
        <n v="4165" u="1"/>
        <n v="36450" u="1"/>
        <n v="6400" u="1"/>
        <n v="17245" u="1"/>
        <n v="465" u="1"/>
        <n v="19480" u="1"/>
        <n v="21715" u="1"/>
        <n v="23950" u="1"/>
        <n v="155" u="1"/>
        <n v="26185" u="1"/>
        <n v="28420" u="1"/>
        <n v="35075" u="1"/>
        <n v="30655" u="1"/>
        <n v="39545" u="1"/>
        <n v="9250" u="1"/>
        <n v="11485" u="1"/>
        <n v="13720" u="1"/>
        <n v="15955" u="1"/>
        <n v="4380" u="1"/>
        <n v="33700" u="1"/>
        <n v="38170" u="1"/>
        <n v="6615" u="1"/>
        <n v="18105" u="1"/>
        <n v="3185" u="1"/>
        <n v="20340" u="1"/>
        <n v="22575" u="1"/>
        <n v="24810" u="1"/>
        <n v="27045" u="1"/>
        <n v="29280" u="1"/>
        <n v="36795" u="1"/>
        <n v="31515" u="1"/>
        <n v="9680" u="1"/>
        <n v="11915" u="1"/>
        <n v="14150" u="1"/>
        <n v="735" u="1"/>
        <n v="4595" u="1"/>
        <n v="35420" u="1"/>
        <n v="39890" u="1"/>
        <n v="6830" u="1"/>
        <n v="2175" u="1"/>
        <n v="16730" u="1"/>
        <n v="18965" u="1"/>
        <n v="21200" u="1"/>
        <n v="23435" u="1"/>
        <n v="25670" u="1"/>
        <n v="27905" u="1"/>
        <n v="34045" u="1"/>
        <n v="30140" u="1"/>
        <n v="38515" u="1"/>
        <n v="32375" u="1"/>
        <n v="1585" u="1"/>
        <n v="10110" u="1"/>
        <n v="12345" u="1"/>
        <n v="14580" u="1"/>
        <n v="4810" u="1"/>
        <n v="37140" u="1"/>
        <n v="7045" u="1"/>
        <n v="17590" u="1"/>
        <n v="19825" u="1"/>
        <n v="3400" u="1"/>
        <n v="22060" u="1"/>
        <n v="24295" u="1"/>
        <n v="26530" u="1"/>
        <n v="1080" u="1"/>
        <n v="28765" u="1"/>
        <n v="35765" u="1"/>
        <n v="31000" u="1"/>
        <n v="40235" u="1"/>
        <n v="8305" u="1"/>
        <n v="245" u="1"/>
        <n v="10540" u="1"/>
        <n v="12775" u="1"/>
        <n v="15010" u="1"/>
        <n v="5025" u="1"/>
        <n v="34390" u="1"/>
        <n v="38860" u="1"/>
        <n v="7260" u="1"/>
        <n v="2390" u="1"/>
        <n v="18450" u="1"/>
        <n v="20685" u="1"/>
        <n v="22920" u="1"/>
        <n v="25155" u="1"/>
        <n v="27390" u="1"/>
        <n v="33015" u="1"/>
        <n v="29625" u="1"/>
        <n v="37485" u="1"/>
        <n v="31860" u="1"/>
        <n v="8735" u="1"/>
        <n v="10970" u="1"/>
        <n v="13205" u="1"/>
        <n v="15440" u="1"/>
        <n v="5240" u="1"/>
        <n v="36110" u="1"/>
        <n v="7475" u="1"/>
        <n v="17075" u="1"/>
        <n v="19310" u="1"/>
        <n v="21545" u="1"/>
        <n v="3615" u="1"/>
        <n v="23780" u="1"/>
        <n v="26015" u="1"/>
        <n v="28250" u="1"/>
        <n v="34735" u="1"/>
        <n v="30485" u="1"/>
        <n v="39205" u="1"/>
        <n v="32720" u="1"/>
        <n v="9165" u="1"/>
        <n v="11400" u="1"/>
        <n v="13635" u="1"/>
        <n v="15870" u="1"/>
        <n v="5455" u="1"/>
        <n v="33360" u="1"/>
        <n v="37830" u="1"/>
        <n v="7690" u="1"/>
        <n v="2605" u="1"/>
        <n v="17935" u="1"/>
        <n v="20170" u="1"/>
        <n v="22405" u="1"/>
        <n v="24640" u="1"/>
        <n v="26875" u="1"/>
        <n v="29110" u="1"/>
        <n v="36455" u="1"/>
        <n v="9595" u="1"/>
        <n v="1800" u="1"/>
        <n v="11830" u="1"/>
        <n v="14065" u="1"/>
        <n v="590" u="1"/>
        <n v="16300" u="1"/>
        <n v="5670" u="1"/>
        <n v="35080" u="1"/>
        <n v="39550" u="1"/>
        <n v="7905" u="1"/>
        <n v="16560" u="1"/>
        <n v="18795" u="1"/>
        <n v="21030" u="1"/>
        <n v="23265" u="1"/>
        <n v="3830" u="1"/>
        <n v="25500" u="1"/>
        <n v="27735" u="1"/>
        <n v="33705" u="1"/>
        <n v="29970" u="1"/>
        <n v="38175" u="1"/>
        <n v="1295" u="1"/>
        <n v="32205" u="1"/>
        <n v="10025" u="1"/>
        <n v="12260" u="1"/>
        <n v="14495" u="1"/>
        <n v="5885" u="1"/>
        <n v="36800" u="1"/>
        <n v="8120" u="1"/>
        <n v="2820" u="1"/>
        <n v="17420" u="1"/>
        <n v="19655" u="1"/>
        <n v="21890" u="1"/>
        <n v="24125" u="1"/>
        <n v="26360" u="1"/>
        <n v="28595" u="1"/>
        <n v="35425" u="1"/>
        <n v="30830" u="1"/>
        <n v="39895" u="1"/>
        <n v="8220" u="1"/>
        <n v="10455" u="1"/>
        <n v="12690" u="1"/>
        <n v="14925" u="1"/>
        <n v="34050" u="1"/>
        <n v="6100" u="1"/>
        <n v="38520" u="1"/>
        <n v="18280" u="1"/>
        <n v="20515" u="1"/>
        <n v="22750" u="1"/>
        <n v="24985" u="1"/>
        <n v="4045" u="1"/>
        <n v="27220" u="1"/>
        <n v="29455" u="1"/>
        <n v="37145" u="1"/>
        <n v="31690" u="1"/>
        <n v="8650" u="1"/>
        <n v="10885" u="1"/>
        <n v="13120" u="1"/>
        <n v="15355" u="1"/>
        <n v="35770" u="1"/>
        <n v="950" u="1"/>
        <n v="6315" u="1"/>
        <n v="40240" u="1"/>
        <n v="320" u="1"/>
        <n v="16905" u="1"/>
        <n v="3035" u="1"/>
        <n v="19140" u="1"/>
        <n v="21375" u="1"/>
        <n v="23610" u="1"/>
        <n v="25845" u="1"/>
        <n v="28080" u="1"/>
        <n v="34395" u="1"/>
        <n v="30315" u="1"/>
        <n v="38865" u="1"/>
        <n v="32550" u="1"/>
        <n v="9080" u="1"/>
        <n v="11315" u="1"/>
        <n v="2015" u="1"/>
        <n v="13550" u="1"/>
        <n v="15785" u="1"/>
        <n v="4295" u="1"/>
        <n v="33020" u="1"/>
        <n v="37490" u="1"/>
        <n v="6530" u="1"/>
        <n v="17765" u="1"/>
        <n v="20000" u="1"/>
        <n v="22235" u="1"/>
        <n v="24470" u="1"/>
        <n v="26705" u="1"/>
        <n v="28940" u="1"/>
        <n v="36115" u="1"/>
        <n v="31175" u="1"/>
        <n v="1510" u="1"/>
        <n v="9510" u="1"/>
        <n v="11745" u="1"/>
        <n v="13980" u="1"/>
        <n v="16215" u="1"/>
        <n v="4510" u="1"/>
        <n v="34740" u="1"/>
        <n v="39210" u="1"/>
        <n v="6745" u="1"/>
        <n v="16390" u="1"/>
        <n v="18625" u="1"/>
        <n v="3250" u="1"/>
        <n v="20860" u="1"/>
        <n v="23095" u="1"/>
        <n v="25330" u="1"/>
        <n v="27565" u="1"/>
        <n v="33365" u="1"/>
        <n v="29800" u="1"/>
        <n v="37835" u="1"/>
        <n v="32035" u="1"/>
        <n v="9940" u="1"/>
        <n v="12175" u="1"/>
        <n v="4725" u="1"/>
        <n v="36460" u="1"/>
        <n v="6960" u="1"/>
        <n v="2240" u="1"/>
        <n v="17250" u="1"/>
        <n v="19485" u="1"/>
        <n v="500" u="1"/>
        <n v="21720" u="1"/>
        <n v="23955" u="1"/>
        <n v="26190" u="1"/>
        <n v="28425" u="1"/>
        <n v="35085" u="1"/>
        <n v="30660" u="1"/>
        <n v="39555" u="1"/>
        <n v="10370" u="1"/>
        <n v="12605" u="1"/>
        <n v="14840" u="1"/>
        <n v="4940" u="1"/>
        <n v="33710" u="1"/>
        <n v="38180" u="1"/>
        <n v="7175" u="1"/>
        <n v="18110" u="1"/>
        <n v="20345" u="1"/>
        <n v="3465" u="1"/>
        <n v="22580" u="1"/>
        <n v="24815" u="1"/>
        <n v="27050" u="1"/>
        <n v="29285" u="1"/>
        <n v="36805" u="1"/>
        <n v="31520" u="1"/>
        <n v="8565" u="1"/>
        <n v="10800" u="1"/>
        <n v="13035" u="1"/>
        <n v="15270" u="1"/>
        <n v="805" u="1"/>
        <n v="5155" u="1"/>
        <n v="35430" u="1"/>
        <n v="39900" u="1"/>
        <n v="7390" u="1"/>
        <n v="2455" u="1"/>
        <n v="16735" u="1"/>
        <n v="18970" u="1"/>
        <n v="21205" u="1"/>
        <n v="23440" u="1"/>
        <n v="25675" u="1"/>
        <n v="34055" u="1"/>
        <n v="30145" u="1"/>
        <n v="38525" u="1"/>
        <n v="32380" u="1"/>
        <n v="8995" u="1"/>
        <n v="1725" u="1"/>
        <n v="11230" u="1"/>
        <n v="13465" u="1"/>
        <n v="15700" u="1"/>
        <n v="5370" u="1"/>
        <n v="37150" u="1"/>
        <n v="7605" u="1"/>
        <n v="17595" u="1"/>
        <n v="19830" u="1"/>
        <n v="22065" u="1"/>
        <n v="3680" u="1"/>
        <n v="24300" u="1"/>
        <n v="26535" u="1"/>
        <n v="28770" u="1"/>
        <n v="35775" u="1"/>
        <n v="1220" u="1"/>
        <n v="31005" u="1"/>
        <n v="40245" u="1"/>
        <n v="9425" u="1"/>
        <n v="11660" u="1"/>
        <n v="13895" u="1"/>
        <n v="16130" u="1"/>
        <n v="44" u="1"/>
        <n v="5585" u="1"/>
        <n v="34400" u="1"/>
        <n v="38870" u="1"/>
        <n v="7820" u="1"/>
        <n v="2670" u="1"/>
        <n v="18455" u="1"/>
        <n v="20690" u="1"/>
        <n v="22925" u="1"/>
        <n v="25160" u="1"/>
        <n v="27395" u="1"/>
        <n v="33025" u="1"/>
        <n v="29630" u="1"/>
        <n v="37495" u="1"/>
        <n v="31865" u="1"/>
        <n v="9855" u="1"/>
        <n v="12090" u="1"/>
        <n v="14325" u="1"/>
        <n v="5800" u="1"/>
        <n v="36120" u="1"/>
        <n v="8035" u="1"/>
        <n v="17080" u="1"/>
        <n v="19315" u="1"/>
        <n v="21550" u="1"/>
        <n v="23785" u="1"/>
        <n v="3895" u="1"/>
        <n v="26020" u="1"/>
        <n v="28255" u="1"/>
        <n v="34745" u="1"/>
        <n v="30490" u="1"/>
        <n v="39215" u="1"/>
        <n v="32725" u="1"/>
        <n v="10285" u="1"/>
        <n v="12520" u="1"/>
        <n v="14755" u="1"/>
        <n v="33370" u="1"/>
        <n v="6015" u="1"/>
        <n v="37840" u="1"/>
        <n v="2885" u="1"/>
        <n v="17940" u="1"/>
        <n v="20175" u="1"/>
        <n v="22410" u="1"/>
        <n v="24645" u="1"/>
        <n v="26880" u="1"/>
        <n v="29115" u="1"/>
        <n v="36465" u="1"/>
        <n v="31350" u="1"/>
        <n v="8480" u="1"/>
        <n v="10715" u="1"/>
        <n v="1940" u="1"/>
        <n v="12950" u="1"/>
        <n v="15185" u="1"/>
        <n v="660" u="1"/>
        <n v="35090" u="1"/>
        <n v="6230" u="1"/>
        <n v="39560" u="1"/>
        <n v="16565" u="1"/>
        <n v="18800" u="1"/>
        <n v="21035" u="1"/>
        <n v="23270" u="1"/>
        <n v="25505" u="1"/>
        <n v="27740" u="1"/>
        <n v="33715" u="1"/>
        <n v="29975" u="1"/>
        <n v="38185" u="1"/>
        <n v="32210" u="1"/>
        <n v="1435" u="1"/>
        <n v="8910" u="1"/>
        <n v="11145" u="1"/>
        <n v="13380" u="1"/>
        <n v="15615" u="1"/>
        <n v="4210" u="1"/>
        <n v="36810" u="1"/>
        <n v="6445" u="1"/>
        <n v="17425" u="1"/>
        <n v="3100" u="1"/>
        <n v="19660" u="1"/>
        <n v="21895" u="1"/>
        <n v="24130" u="1"/>
        <n v="26365" u="1"/>
        <n v="28600" u="1"/>
        <n v="35435" u="1"/>
        <n v="30835" u="1"/>
        <n v="39905" u="1"/>
        <n v="9340" u="1"/>
        <n v="11575" u="1"/>
        <n v="13810" u="1"/>
        <n v="16045" u="1"/>
        <n v="4425" u="1"/>
        <n v="34060" u="1"/>
        <n v="38530" u="1"/>
        <n v="6660" u="1"/>
        <n v="2090" u="1"/>
        <n v="18285" u="1"/>
        <n v="20520" u="1"/>
        <n v="22755" u="1"/>
        <n v="24990" u="1"/>
        <n v="27225" u="1"/>
        <n v="29460" u="1"/>
        <n v="37155" u="1"/>
        <n v="31695" u="1"/>
        <n v="9770" u="1"/>
        <n v="12005" u="1"/>
        <n v="14240" u="1"/>
        <n v="4640" u="1"/>
        <n v="35780" u="1"/>
        <n v="40250" u="1"/>
        <n v="1020" u="1"/>
        <n v="6875" u="1"/>
        <n v="355" u="1"/>
        <n v="16910" u="1"/>
        <n v="19145" u="1"/>
        <n v="3315" u="1"/>
        <n v="21380" u="1"/>
        <n v="23615" u="1"/>
        <n v="25850" u="1"/>
        <n v="28085" u="1"/>
        <n v="34405" u="1"/>
        <n v="30320" u="1"/>
        <n v="38875" u="1"/>
        <n v="32555" u="1"/>
        <n v="10200" u="1"/>
        <n v="12435" u="1"/>
        <n v="14670" u="1"/>
        <n v="4855" u="1"/>
        <n v="33030" u="1"/>
        <n v="37500" u="1"/>
        <n v="7090" u="1"/>
        <n v="2305" u="1"/>
        <n v="17770" u="1"/>
        <n v="20005" u="1"/>
        <n v="22240" u="1"/>
        <n v="26710" u="1"/>
        <n v="28945" u="1"/>
        <n v="36125" u="1"/>
        <n v="31180" u="1"/>
        <n v="8395" u="1"/>
        <n v="1650" u="1"/>
        <n v="10630" u="1"/>
        <n v="12865" u="1"/>
        <n v="515" u="1"/>
        <n v="15100" u="1"/>
        <n v="5070" u="1"/>
        <n v="34750" u="1"/>
        <n v="39220" u="1"/>
        <n v="7305" u="1"/>
        <n v="16395" u="1"/>
        <n v="18630" u="1"/>
        <n v="20865" u="1"/>
        <n v="3530" u="1"/>
        <n v="23100" u="1"/>
        <n v="25335" u="1"/>
        <n v="27570" u="1"/>
        <n v="33375" u="1"/>
        <n v="1145" u="1"/>
        <n v="29805" u="1"/>
        <n v="37845" u="1"/>
        <n v="32040" u="1"/>
        <n v="8825" u="1"/>
        <n v="11060" u="1"/>
        <n v="13295" u="1"/>
        <n v="15530" u="1"/>
        <n v="5285" u="1"/>
        <n v="36470" u="1"/>
        <n v="7520" u="1"/>
        <n v="2520" u="1"/>
        <n v="17255" u="1"/>
        <n v="19490" u="1"/>
        <n v="21725" u="1"/>
        <n v="23960" u="1"/>
        <n v="26195" u="1"/>
        <n v="28430" u="1"/>
        <n v="35095" u="1"/>
        <n v="190" u="1"/>
        <n v="30665" u="1"/>
        <n v="39565" u="1"/>
        <n v="9255" u="1"/>
        <n v="11490" u="1"/>
        <n v="13725" u="1"/>
        <n v="15960" u="1"/>
        <n v="5500" u="1"/>
        <n v="33720" u="1"/>
        <n v="38190" u="1"/>
        <n v="7735" u="1"/>
        <n v="18115" u="1"/>
        <n v="20350" u="1"/>
        <n v="22585" u="1"/>
        <n v="3745" u="1"/>
        <n v="24820" u="1"/>
        <n v="27055" u="1"/>
        <n v="29290" u="1"/>
        <n v="36815" u="1"/>
        <n v="31525" u="1"/>
        <n v="9685" u="1"/>
        <n v="11920" u="1"/>
        <n v="14155" u="1"/>
        <n v="875" u="1"/>
        <n v="5715" u="1"/>
        <n v="35440" u="1"/>
        <n v="39910" u="1"/>
        <n v="7950" u="1"/>
        <n v="2735" u="1"/>
        <n v="16740" u="1"/>
        <n v="18975" u="1"/>
        <n v="21210" u="1"/>
        <n v="23445" u="1"/>
        <n v="25680" u="1"/>
        <n v="27915" u="1"/>
        <n v="34065" u="1"/>
        <n v="30150" u="1"/>
        <n v="38535" u="1"/>
        <n v="10115" u="1"/>
        <n v="1865" u="1"/>
        <n v="12350" u="1"/>
        <n v="14585" u="1"/>
        <n v="5930" u="1"/>
        <n v="37160" u="1"/>
        <n v="8165" u="1"/>
        <n v="17600" u="1"/>
        <n v="19835" u="1"/>
        <n v="22070" u="1"/>
        <n v="24305" u="1"/>
        <n v="3960" u="1"/>
        <n v="26540" u="1"/>
        <n v="28775" u="1"/>
        <n v="35785" u="1"/>
        <n v="31010" u="1"/>
        <n v="40255" u="1"/>
        <n v="1360" u="1"/>
        <n v="8310" u="1"/>
        <n v="10545" u="1"/>
        <n v="12780" u="1"/>
        <n v="15015" u="1"/>
        <n v="34410" u="1"/>
        <n v="6145" u="1"/>
        <n v="38880" u="1"/>
        <n v="2950" u="1"/>
        <n v="18460" u="1"/>
        <n v="20695" u="1"/>
        <n v="22930" u="1"/>
        <n v="25165" u="1"/>
        <n v="27400" u="1"/>
        <n v="33035" u="1"/>
        <n v="29635" u="1"/>
        <n v="37505" u="1"/>
        <n v="31870" u="1"/>
        <n v="8740" u="1"/>
        <n v="10975" u="1"/>
        <n v="13210" u="1"/>
        <n v="15445" u="1"/>
        <n v="4125" u="1"/>
        <n v="36130" u="1"/>
        <n v="6360" u="1"/>
        <n v="17085" u="1"/>
        <n v="19320" u="1"/>
        <n v="21555" u="1"/>
        <n v="23790" u="1"/>
        <n v="26025" u="1"/>
        <n v="28260" u="1"/>
        <n v="34755" u="1"/>
        <n v="30495" u="1"/>
        <n v="39225" u="1"/>
        <n v="32730" u="1"/>
        <n v="9170" u="1"/>
        <n v="11405" u="1"/>
        <n v="13640" u="1"/>
        <n v="15875" u="1"/>
        <n v="4340" u="1"/>
        <n v="33380" u="1"/>
        <n v="37850" u="1"/>
        <n v="6575" u="1"/>
        <n v="17945" u="1"/>
        <n v="3165" u="1"/>
        <n v="20180" u="1"/>
        <n v="22415" u="1"/>
        <n v="24650" u="1"/>
        <n v="26885" u="1"/>
        <n v="29120" u="1"/>
        <n v="36475" u="1"/>
        <n v="31355" u="1"/>
        <n v="9600" u="1"/>
        <n v="11835" u="1"/>
        <n v="14070" u="1"/>
        <n v="16305" u="1"/>
        <n v="730" u="1"/>
        <n v="4555" u="1"/>
        <n v="35100" u="1"/>
        <n v="39570" u="1"/>
        <n v="6790" u="1"/>
        <n v="2155" u="1"/>
        <n v="16570" u="1"/>
        <n v="18805" u="1"/>
        <n v="21040" u="1"/>
        <n v="23275" u="1"/>
        <n v="25510" u="1"/>
        <n v="27745" u="1"/>
        <n v="33725" u="1"/>
        <n v="29980" u="1"/>
        <n v="38195" u="1"/>
        <n v="32215" u="1"/>
        <n v="1575" u="1"/>
        <n v="10030" u="1"/>
        <n v="12265" u="1"/>
        <n v="14500" u="1"/>
        <n v="4770" u="1"/>
        <n v="36820" u="1"/>
        <n v="7005" u="1"/>
        <n v="17430" u="1"/>
        <n v="19665" u="1"/>
        <n v="3380" u="1"/>
        <n v="21900" u="1"/>
        <n v="24135" u="1"/>
        <n v="26370" u="1"/>
        <n v="1070" u="1"/>
        <n v="28605" u="1"/>
        <n v="35445" u="1"/>
        <n v="30840" u="1"/>
        <n v="39915" u="1"/>
        <n v="8225" u="1"/>
        <n v="10460" u="1"/>
        <n v="12695" u="1"/>
        <n v="4985" u="1"/>
        <n v="34070" u="1"/>
        <n v="38540" u="1"/>
        <n v="7220" u="1"/>
        <n v="2370" u="1"/>
        <n v="18290" u="1"/>
        <n v="20525" u="1"/>
        <n v="22760" u="1"/>
        <n v="24995" u="1"/>
        <n v="27230" u="1"/>
        <n v="29465" u="1"/>
        <n v="37165" u="1"/>
        <n v="31700" u="1"/>
        <n v="8655" u="1"/>
        <n v="10890" u="1"/>
        <n v="13125" u="1"/>
        <n v="15360" u="1"/>
        <n v="5200" u="1"/>
        <n v="35790" u="1"/>
        <n v="40260" u="1"/>
        <n v="7435" u="1"/>
        <n v="390" u="1"/>
        <n v="16915" u="1"/>
        <n v="19150" u="1"/>
        <n v="21385" u="1"/>
        <n v="3595" u="1"/>
        <n v="23620" u="1"/>
        <n v="25855" u="1"/>
        <n v="42" u="1"/>
        <n v="28090" u="1"/>
        <n v="34415" u="1"/>
        <n v="30325" u="1"/>
        <n v="38885" u="1"/>
        <n v="32560" u="1"/>
        <n v="9085" u="1"/>
        <n v="11320" u="1"/>
        <n v="13555" u="1"/>
        <n v="15790" u="1"/>
        <n v="5415" u="1"/>
        <n v="33040" u="1"/>
        <n v="37510" u="1"/>
        <n v="7650" u="1"/>
        <n v="2585" u="1"/>
        <n v="17775" u="1"/>
        <n v="20010" u="1"/>
        <n v="22245" u="1"/>
        <n v="24480" u="1"/>
        <n v="26715" u="1"/>
        <n v="36135" u="1"/>
        <n v="31185" u="1"/>
        <n v="9515" u="1"/>
        <n v="1790" u="1"/>
        <n v="11750" u="1"/>
        <n v="13985" u="1"/>
        <n v="585" u="1"/>
        <n v="16220" u="1"/>
        <n v="5630" u="1"/>
        <n v="34760" u="1"/>
        <n v="39230" u="1"/>
        <n v="7865" u="1"/>
        <n v="16400" u="1"/>
        <n v="18635" u="1"/>
        <n v="20870" u="1"/>
        <n v="23105" u="1"/>
        <n v="3810" u="1"/>
        <n v="25340" u="1"/>
        <n v="27575" u="1"/>
        <n v="33385" u="1"/>
        <n v="29810" u="1"/>
        <n v="37855" u="1"/>
        <n v="1285" u="1"/>
        <n v="32045" u="1"/>
        <n v="9945" u="1"/>
        <n v="12180" u="1"/>
        <n v="14415" u="1"/>
        <n v="5845" u="1"/>
        <n v="36480" u="1"/>
        <n v="8080" u="1"/>
        <n v="2800" u="1"/>
        <n v="17260" u="1"/>
        <n v="19495" u="1"/>
        <n v="21730" u="1"/>
        <n v="23965" u="1"/>
        <n v="26200" u="1"/>
        <n v="28435" u="1"/>
        <n v="35105" u="1"/>
        <n v="30670" u="1"/>
        <n v="39575" u="1"/>
        <n v="10375" u="1"/>
        <n v="12610" u="1"/>
        <n v="14845" u="1"/>
        <n v="33730" u="1"/>
        <n v="6060" u="1"/>
        <n v="38200" u="1"/>
        <n v="18120" u="1"/>
        <n v="20355" u="1"/>
        <n v="22590" u="1"/>
        <n v="24825" u="1"/>
        <n v="4025" u="1"/>
        <n v="27060" u="1"/>
        <n v="29295" u="1"/>
        <n v="36825" u="1"/>
        <n v="31530" u="1"/>
        <n v="8570" u="1"/>
        <n v="10805" u="1"/>
        <n v="13040" u="1"/>
        <n v="15275" u="1"/>
        <n v="35450" u="1"/>
        <n v="945" u="1"/>
        <n v="6275" u="1"/>
        <n v="39920" u="1"/>
        <n v="16745" u="1"/>
        <n v="3015" u="1"/>
        <n v="18980" u="1"/>
        <n v="21215" u="1"/>
        <n v="23450" u="1"/>
        <n v="25685" u="1"/>
        <n v="27920" u="1"/>
        <n v="34075" u="1"/>
        <n v="30155" u="1"/>
        <n v="38545" u="1"/>
        <n v="32390" u="1"/>
        <n v="9000" u="1"/>
        <n v="11235" u="1"/>
        <n v="2005" u="1"/>
        <n v="13470" u="1"/>
        <n v="15705" u="1"/>
        <n v="4255" u="1"/>
        <n v="37170" u="1"/>
        <n v="6490" u="1"/>
        <n v="17605" u="1"/>
        <n v="19840" u="1"/>
        <n v="22075" u="1"/>
        <n v="24310" u="1"/>
        <n v="26545" u="1"/>
        <n v="28780" u="1"/>
        <n v="35795" u="1"/>
        <n v="31015" u="1"/>
        <n v="40265" u="1"/>
        <n v="1500" u="1"/>
        <n v="9430" u="1"/>
        <n v="11665" u="1"/>
        <n v="13900" u="1"/>
        <n v="16135" u="1"/>
        <n v="110" u="1"/>
        <n v="4470" u="1"/>
        <n v="34420" u="1"/>
        <n v="38890" u="1"/>
        <n v="6705" u="1"/>
        <n v="18465" u="1"/>
        <n v="3230" u="1"/>
        <n v="20700" u="1"/>
        <n v="22935" u="1"/>
        <n v="25170" u="1"/>
        <n v="27405" u="1"/>
        <n v="33045" u="1"/>
        <n v="29640" u="1"/>
        <n v="37515" u="1"/>
        <n v="31875" u="1"/>
        <n v="9860" u="1"/>
        <n v="12095" u="1"/>
        <n v="14330" u="1"/>
        <n v="4685" u="1"/>
        <n v="36140" u="1"/>
        <n v="6920" u="1"/>
        <n v="2220" u="1"/>
        <n v="17090" u="1"/>
        <n v="19325" u="1"/>
        <n v="21560" u="1"/>
        <n v="23795" u="1"/>
        <n v="26030" u="1"/>
        <n v="28265" u="1"/>
        <n v="34765" u="1"/>
        <n v="30500" u="1"/>
        <n v="39235" u="1"/>
        <n v="32735" u="1"/>
        <n v="10290" u="1"/>
        <n v="12525" u="1"/>
        <n v="14760" u="1"/>
        <n v="4900" u="1"/>
        <n v="33390" u="1"/>
        <n v="37860" u="1"/>
        <n v="7135" u="1"/>
        <n v="17950" u="1"/>
        <n v="20185" u="1"/>
        <n v="3445" u="1"/>
        <n v="22420" u="1"/>
        <n v="24655" u="1"/>
        <n v="26890" u="1"/>
        <n v="29125" u="1"/>
        <n v="36485" u="1"/>
        <n v="31360" u="1"/>
        <n v="10720" u="1"/>
        <n v="12955" u="1"/>
        <n v="15190" u="1"/>
        <n v="800" u="1"/>
        <n v="5115" u="1"/>
        <n v="35110" u="1"/>
        <n v="39580" u="1"/>
        <n v="7350" u="1"/>
        <n v="2435" u="1"/>
        <n v="16575" u="1"/>
        <n v="18810" u="1"/>
        <n v="21045" u="1"/>
        <n v="23280" u="1"/>
        <n v="27750" u="1"/>
        <n v="33735" u="1"/>
        <n v="29985" u="1"/>
        <n v="38205" u="1"/>
        <n v="32220" u="1"/>
        <n v="8915" u="1"/>
        <n v="1715" u="1"/>
        <n v="11150" u="1"/>
        <n v="13385" u="1"/>
        <n v="15620" u="1"/>
        <n v="5330" u="1"/>
        <n v="36830" u="1"/>
        <n v="7565" u="1"/>
        <n v="17435" u="1"/>
        <n v="19670" u="1"/>
        <n v="21905" u="1"/>
        <n v="3660" u="1"/>
        <n v="24140" u="1"/>
        <n v="26375" u="1"/>
        <n v="28610" u="1"/>
        <n v="35455" u="1"/>
        <n v="1210" u="1"/>
        <n v="30845" u="1"/>
        <n v="39925" u="1"/>
        <n v="9345" u="1"/>
        <n v="11580" u="1"/>
        <n v="13815" u="1"/>
        <n v="16050" u="1"/>
        <n v="5545" u="1"/>
        <n v="34080" u="1"/>
        <n v="38550" u="1"/>
        <n v="7780" u="1"/>
        <n v="2650" u="1"/>
        <n v="18295" u="1"/>
        <n v="20530" u="1"/>
        <n v="22765" u="1"/>
        <n v="25000" u="1"/>
        <n v="27235" u="1"/>
        <n v="29470" u="1"/>
        <n v="37175" u="1"/>
        <n v="31705" u="1"/>
        <n v="9775" u="1"/>
        <n v="12010" u="1"/>
        <n v="14245" u="1"/>
        <n v="5760" u="1"/>
        <n v="35800" u="1"/>
        <n v="40270" u="1"/>
        <n v="7995" u="1"/>
        <n v="425" u="1"/>
        <n v="16920" u="1"/>
        <n v="19155" u="1"/>
        <n v="21390" u="1"/>
        <n v="135" u="1"/>
        <n v="23625" u="1"/>
        <n v="3875" u="1"/>
        <n v="25860" u="1"/>
        <n v="28095" u="1"/>
        <n v="34425" u="1"/>
        <n v="30330" u="1"/>
        <n v="38895" u="1"/>
        <n v="32565" u="1"/>
        <n v="10205" u="1"/>
        <n v="12440" u="1"/>
        <n v="14675" u="1"/>
        <n v="33050" u="1"/>
        <n v="5975" u="1"/>
        <n v="37520" u="1"/>
        <n v="2865" u="1"/>
        <n v="17780" u="1"/>
        <n v="20015" u="1"/>
        <n v="22250" u="1"/>
        <n v="24485" u="1"/>
        <n v="26720" u="1"/>
        <n v="28955" u="1"/>
        <n v="36145" u="1"/>
        <n v="31190" u="1"/>
        <n v="8400" u="1"/>
        <n v="10635" u="1"/>
        <n v="1930" u="1"/>
        <n v="12870" u="1"/>
        <n v="15105" u="1"/>
        <n v="655" u="1"/>
        <n v="34770" u="1"/>
        <n v="6190" u="1"/>
        <n v="39240" u="1"/>
        <n v="16405" u="1"/>
        <n v="18640" u="1"/>
        <n v="20875" u="1"/>
        <n v="23110" u="1"/>
        <n v="25345" u="1"/>
        <n v="4090" u="1"/>
        <n v="27580" u="1"/>
        <n v="33395" u="1"/>
        <n v="29815" u="1"/>
        <n v="37865" u="1"/>
        <n v="32050" u="1"/>
        <n v="1425" u="1"/>
        <n v="8830" u="1"/>
        <n v="11065" u="1"/>
        <n v="13300" u="1"/>
        <n v="15535" u="1"/>
        <n v="4170" u="1"/>
        <n v="36490" u="1"/>
        <n v="6405" u="1"/>
        <n v="17265" u="1"/>
        <n v="3080" u="1"/>
        <n v="19500" u="1"/>
        <n v="21735" u="1"/>
        <n v="23970" u="1"/>
        <n v="26205" u="1"/>
        <n v="28440" u="1"/>
        <n v="35115" u="1"/>
        <n v="30675" u="1"/>
        <n v="39585" u="1"/>
        <n v="225" u="1"/>
        <n v="9260" u="1"/>
        <n v="11495" u="1"/>
        <n v="13730" u="1"/>
        <n v="15965" u="1"/>
        <n v="4385" u="1"/>
        <n v="33740" u="1"/>
        <n v="38210" u="1"/>
        <n v="6620" u="1"/>
        <n v="2070" u="1"/>
        <n v="18125" u="1"/>
        <n v="20360" u="1"/>
        <n v="22595" u="1"/>
        <n v="24830" u="1"/>
        <n v="27065" u="1"/>
        <n v="29300" u="1"/>
        <n v="36835" u="1"/>
        <n v="31535" u="1"/>
        <n v="9690" u="1"/>
        <n v="11925" u="1"/>
        <n v="14160" u="1"/>
        <n v="4600" u="1"/>
        <n v="35460" u="1"/>
        <n v="39930" u="1"/>
        <n v="1015" u="1"/>
        <n v="6835" u="1"/>
        <n v="16750" u="1"/>
        <n v="18985" u="1"/>
        <n v="3295" u="1"/>
        <n v="21220" u="1"/>
        <n v="23455" u="1"/>
        <n v="25690" u="1"/>
        <n v="27925" u="1"/>
        <n v="34085" u="1"/>
        <n v="30160" u="1"/>
        <n v="38555" u="1"/>
        <n v="32395" u="1"/>
        <n v="10120" u="1"/>
        <n v="12355" u="1"/>
        <n v="14590" u="1"/>
        <n v="4815" u="1"/>
        <n v="37180" u="1"/>
        <n v="7050" u="1"/>
        <n v="2285" u="1"/>
        <n v="17610" u="1"/>
        <n v="19845" u="1"/>
        <n v="22080" u="1"/>
        <n v="24315" u="1"/>
        <n v="26550" u="1"/>
        <n v="28785" u="1"/>
        <n v="35805" u="1"/>
        <n v="31020" u="1"/>
        <n v="40275" u="1"/>
        <n v="8315" u="1"/>
        <n v="1640" u="1"/>
        <n v="10550" u="1"/>
        <n v="12785" u="1"/>
        <n v="15020" u="1"/>
        <n v="5030" u="1"/>
        <n v="34430" u="1"/>
        <n v="38900" u="1"/>
        <n v="7265" u="1"/>
        <n v="18470" u="1"/>
        <n v="20705" u="1"/>
        <n v="3510" u="1"/>
        <n v="22940" u="1"/>
        <n v="25175" u="1"/>
        <n v="27410" u="1"/>
        <n v="33055" u="1"/>
        <n v="1135" u="1"/>
        <n v="29645" u="1"/>
        <n v="37525" u="1"/>
        <n v="31880" u="1"/>
        <n v="8745" u="1"/>
        <n v="10980" u="1"/>
        <n v="13215" u="1"/>
        <n v="5245" u="1"/>
        <n v="36150" u="1"/>
        <n v="7480" u="1"/>
        <n v="2500" u="1"/>
        <n v="17095" u="1"/>
        <n v="19330" u="1"/>
        <n v="21565" u="1"/>
        <n v="23800" u="1"/>
        <n v="26035" u="1"/>
        <n v="28270" u="1"/>
        <n v="34775" u="1"/>
        <n v="30505" u="1"/>
        <n v="39245" u="1"/>
        <n v="32740" u="1"/>
        <n v="9175" u="1"/>
        <n v="11410" u="1"/>
        <n v="13645" u="1"/>
        <n v="15880" u="1"/>
        <n v="5460" u="1"/>
        <n v="33400" u="1"/>
        <n v="37870" u="1"/>
        <n v="7695" u="1"/>
        <n v="17955" u="1"/>
        <n v="20190" u="1"/>
        <n v="22425" u="1"/>
        <n v="3725" u="1"/>
        <n v="24660" u="1"/>
        <n v="26895" u="1"/>
        <n v="29130" u="1"/>
        <n v="36495" u="1"/>
        <n v="31365" u="1"/>
        <n v="9605" u="1"/>
        <n v="11840" u="1"/>
        <n v="14075" u="1"/>
        <n v="16310" u="1"/>
        <n v="870" u="1"/>
        <n v="5675" u="1"/>
        <n v="35120" u="1"/>
        <n v="39590" u="1"/>
        <n v="280" u="1"/>
        <n v="7910" u="1"/>
        <n v="2715" u="1"/>
        <n v="16580" u="1"/>
        <n v="18815" u="1"/>
        <n v="21050" u="1"/>
        <n v="23285" u="1"/>
        <n v="25520" u="1"/>
        <n v="27755" u="1"/>
        <n v="33745" u="1"/>
        <n v="38215" u="1"/>
        <n v="32225" u="1"/>
        <n v="10035" u="1"/>
        <n v="1855" u="1"/>
        <n v="12270" u="1"/>
        <n v="14505" u="1"/>
        <n v="5890" u="1"/>
        <n v="36840" u="1"/>
        <n v="8125" u="1"/>
        <n v="17440" u="1"/>
        <n v="19675" u="1"/>
        <n v="21910" u="1"/>
        <n v="24145" u="1"/>
        <n v="3940" u="1"/>
        <n v="26380" u="1"/>
        <n v="28615" u="1"/>
        <n v="35465" u="1"/>
        <n v="30850" u="1"/>
        <n v="39935" u="1"/>
        <n v="1350" u="1"/>
        <n v="8230" u="1"/>
        <n v="10465" u="1"/>
        <n v="12700" u="1"/>
        <n v="14935" u="1"/>
        <n v="34090" u="1"/>
        <n v="6105" u="1"/>
        <n v="38560" u="1"/>
        <n v="2930" u="1"/>
        <n v="18300" u="1"/>
        <n v="20535" u="1"/>
        <n v="22770" u="1"/>
        <n v="25005" u="1"/>
        <n v="27240" u="1"/>
        <n v="29475" u="1"/>
        <n v="37185" u="1"/>
        <n v="31710" u="1"/>
        <n v="8660" u="1"/>
        <n v="10895" u="1"/>
        <n v="13130" u="1"/>
        <n v="15365" u="1"/>
        <n v="35810" u="1"/>
        <n v="6320" u="1"/>
        <n v="40280" u="1"/>
        <n v="16925" u="1"/>
        <n v="460" u="1"/>
        <n v="19160" u="1"/>
        <n v="21395" u="1"/>
        <n v="23630" u="1"/>
        <n v="25865" u="1"/>
        <n v="28100" u="1"/>
        <n v="34435" u="1"/>
        <n v="30335" u="1"/>
        <n v="38905" u="1"/>
        <n v="32570" u="1"/>
        <n v="9090" u="1"/>
        <n v="11325" u="1"/>
        <n v="13560" u="1"/>
        <n v="15795" u="1"/>
        <n v="4300" u="1"/>
        <n v="33060" u="1"/>
        <n v="37530" u="1"/>
        <n v="6535" u="1"/>
        <n v="17785" u="1"/>
        <n v="3145" u="1"/>
        <n v="20020" u="1"/>
        <n v="22255" u="1"/>
        <n v="24490" u="1"/>
        <n v="26725" u="1"/>
        <n v="28960" u="1"/>
        <n v="36155" u="1"/>
        <n v="31195" u="1"/>
        <n v="9520" u="1"/>
        <n v="11755" u="1"/>
        <n v="13990" u="1"/>
        <n v="16225" u="1"/>
        <n v="725" u="1"/>
        <n v="4515" u="1"/>
        <n v="34780" u="1"/>
        <n v="39250" u="1"/>
        <n v="6750" u="1"/>
        <n v="2135" u="1"/>
        <n v="16410" u="1"/>
        <n v="18645" u="1"/>
        <n v="20880" u="1"/>
        <n v="23115" u="1"/>
        <n v="25350" u="1"/>
        <n v="27585" u="1"/>
        <n v="33405" u="1"/>
        <n v="29820" u="1"/>
        <n v="37875" u="1"/>
        <n v="32055" u="1"/>
        <n v="1565" u="1"/>
        <n v="9950" u="1"/>
        <n v="12185" u="1"/>
        <n v="14420" u="1"/>
        <n v="36500" u="1"/>
        <n v="6965" u="1"/>
        <n v="17270" u="1"/>
        <n v="19505" u="1"/>
        <n v="3360" u="1"/>
        <n v="21740" u="1"/>
        <n v="23975" u="1"/>
        <n v="26210" u="1"/>
        <n v="1060" u="1"/>
        <n v="28445" u="1"/>
        <n v="35125" u="1"/>
        <n v="30680" u="1"/>
        <n v="39595" u="1"/>
        <n v="10380" u="1"/>
        <n v="12615" u="1"/>
        <n v="14850" u="1"/>
        <n v="4945" u="1"/>
        <n v="33750" u="1"/>
        <n v="38220" u="1"/>
        <n v="7180" u="1"/>
        <n v="2350" u="1"/>
        <n v="18130" u="1"/>
        <n v="20365" u="1"/>
        <n v="22600" u="1"/>
        <n v="24835" u="1"/>
        <n v="27070" u="1"/>
        <n v="29305" u="1"/>
        <n v="36845" u="1"/>
        <n v="31540" u="1"/>
        <n v="8575" u="1"/>
        <n v="10810" u="1"/>
        <n v="13045" u="1"/>
        <n v="15280" u="1"/>
        <n v="5160" u="1"/>
        <n v="35470" u="1"/>
        <n v="39940" u="1"/>
        <n v="7395" u="1"/>
        <n v="16755" u="1"/>
        <n v="18990" u="1"/>
        <n v="21225" u="1"/>
        <n v="3575" u="1"/>
        <n v="23460" u="1"/>
        <n v="25695" u="1"/>
        <n v="27930" u="1"/>
        <n v="34095" u="1"/>
        <n v="30165" u="1"/>
        <n v="38565" u="1"/>
        <n v="32400" u="1"/>
        <n v="11240" u="1"/>
        <n v="13475" u="1"/>
        <n v="15710" u="1"/>
        <n v="5375" u="1"/>
        <n v="37190" u="1"/>
        <n v="7610" u="1"/>
        <n v="2565" u="1"/>
        <n v="17615" u="1"/>
        <n v="19850" u="1"/>
        <n v="22085" u="1"/>
        <n v="24320" u="1"/>
        <n v="28790" u="1"/>
        <n v="35815" u="1"/>
        <n v="31025" u="1"/>
        <n v="40285" u="1"/>
        <n v="9435" u="1"/>
        <n v="1780" u="1"/>
        <n v="11670" u="1"/>
        <n v="13905" u="1"/>
        <n v="580" u="1"/>
        <n v="16140" u="1"/>
        <n v="5590" u="1"/>
        <n v="34440" u="1"/>
        <n v="38910" u="1"/>
        <n v="7825" u="1"/>
        <n v="18475" u="1"/>
        <n v="20710" u="1"/>
        <n v="22945" u="1"/>
        <n v="3790" u="1"/>
        <n v="25180" u="1"/>
        <n v="27415" u="1"/>
        <n v="33065" u="1"/>
        <n v="29650" u="1"/>
        <n v="37535" u="1"/>
        <n v="1275" u="1"/>
        <n v="31885" u="1"/>
        <n v="9865" u="1"/>
        <n v="12100" u="1"/>
        <n v="14335" u="1"/>
        <n v="5805" u="1"/>
        <n v="36160" u="1"/>
        <n v="8040" u="1"/>
        <n v="2780" u="1"/>
        <n v="19335" u="1"/>
        <n v="21570" u="1"/>
        <n v="23805" u="1"/>
        <n v="26040" u="1"/>
        <n v="28275" u="1"/>
        <n v="34785" u="1"/>
        <n v="30510" u="1"/>
        <n v="39255" u="1"/>
        <n v="32745" u="1"/>
        <n v="10295" u="1"/>
        <n v="12530" u="1"/>
        <n v="14765" u="1"/>
        <n v="33410" u="1"/>
        <n v="6020" u="1"/>
        <n v="37880" u="1"/>
        <n v="17960" u="1"/>
        <n v="20195" u="1"/>
        <n v="22430" u="1"/>
        <n v="24665" u="1"/>
        <n v="4005" u="1"/>
        <n v="26900" u="1"/>
        <n v="29135" u="1"/>
        <n v="36505" u="1"/>
        <n v="31370" u="1"/>
        <n v="8490" u="1"/>
        <n v="10725" u="1"/>
        <n v="12960" u="1"/>
        <n v="15195" u="1"/>
        <n v="35130" u="1"/>
        <n v="940" u="1"/>
        <n v="6235" u="1"/>
        <n v="39600" u="1"/>
        <n v="315" u="1"/>
        <n v="16585" u="1"/>
        <n v="2995" u="1"/>
        <n v="18820" u="1"/>
        <n v="21055" u="1"/>
        <n v="23290" u="1"/>
        <n v="25525" u="1"/>
        <n v="27760" u="1"/>
        <n v="33755" u="1"/>
        <n v="29995" u="1"/>
        <n v="38225" u="1"/>
        <n v="32230" u="1"/>
        <n v="8920" u="1"/>
        <n v="11155" u="1"/>
        <n v="1995" u="1"/>
        <n v="13390" u="1"/>
        <n v="15625" u="1"/>
        <n v="4215" u="1"/>
        <n v="36850" u="1"/>
        <n v="6450" u="1"/>
        <n v="17445" u="1"/>
        <n v="19680" u="1"/>
        <n v="21915" u="1"/>
        <n v="24150" u="1"/>
        <n v="26385" u="1"/>
        <n v="28620" u="1"/>
        <n v="35475" u="1"/>
        <n v="30855" u="1"/>
        <n v="39945" u="1"/>
        <n v="1490" u="1"/>
        <n v="9350" u="1"/>
        <n v="11585" u="1"/>
        <n v="13820" u="1"/>
        <n v="16055" u="1"/>
        <n v="4430" u="1"/>
        <n v="34100" u="1"/>
        <n v="38570" u="1"/>
        <n v="6665" u="1"/>
        <n v="18305" u="1"/>
        <n v="3210" u="1"/>
        <n v="20540" u="1"/>
        <n v="22775" u="1"/>
        <n v="25010" u="1"/>
        <n v="27245" u="1"/>
        <n v="29480" u="1"/>
        <n v="37195" u="1"/>
        <n v="31715" u="1"/>
        <n v="9780" u="1"/>
        <n v="12015" u="1"/>
        <n v="14250" u="1"/>
        <n v="4645" u="1"/>
        <n v="35820" u="1"/>
        <n v="40290" u="1"/>
        <n v="6880" u="1"/>
        <n v="2200" u="1"/>
        <n v="16930" u="1"/>
        <n v="19165" u="1"/>
        <n v="495" u="1"/>
        <n v="21400" u="1"/>
        <n v="23635" u="1"/>
        <n v="25870" u="1"/>
        <n v="170" u="1"/>
        <n v="28105" u="1"/>
        <n v="34445" u="1"/>
        <n v="30340" u="1"/>
        <n v="38915" u="1"/>
        <n v="32575" u="1"/>
        <n v="10210" u="1"/>
        <n v="12445" u="1"/>
        <n v="14680" u="1"/>
        <n v="4860" u="1"/>
        <n v="33070" u="1"/>
        <n v="37540" u="1"/>
        <n v="7095" u="1"/>
        <n v="17790" u="1"/>
        <n v="20025" u="1"/>
        <n v="3425" u="1"/>
        <n v="22260" u="1"/>
        <n v="24495" u="1"/>
        <n v="26730" u="1"/>
        <n v="28965" u="1"/>
        <n v="36165" u="1"/>
        <n v="31200" u="1"/>
        <n v="8405" u="1"/>
        <n v="10640" u="1"/>
        <n v="12875" u="1"/>
        <n v="15110" u="1"/>
        <n v="795" u="1"/>
        <n v="5075" u="1"/>
        <n v="34790" u="1"/>
        <n v="39260" u="1"/>
        <n v="7310" u="1"/>
        <n v="2415" u="1"/>
        <n v="16415" u="1"/>
        <n v="18650" u="1"/>
        <n v="20885" u="1"/>
        <n v="23120" u="1"/>
        <n v="25355" u="1"/>
        <n v="27590" u="1"/>
        <n v="33415" u="1"/>
        <n v="29825" u="1"/>
        <n v="37885" u="1"/>
        <n v="32060" u="1"/>
        <n v="8835" u="1"/>
        <n v="1705" u="1"/>
        <n v="11070" u="1"/>
        <n v="13305" u="1"/>
        <n v="15540" u="1"/>
        <n v="5290" u="1"/>
        <n v="36510" u="1"/>
        <n v="7525" u="1"/>
        <n v="17275" u="1"/>
        <n v="19510" u="1"/>
        <n v="21745" u="1"/>
        <n v="3640" u="1"/>
        <n v="23980" u="1"/>
        <n v="26215" u="1"/>
        <n v="28450" u="1"/>
        <n v="35135" u="1"/>
        <n v="1200" u="1"/>
        <n v="30685" u="1"/>
        <n v="39605" u="1"/>
        <n v="9265" u="1"/>
        <n v="11500" u="1"/>
        <n v="13735" u="1"/>
        <n v="5505" u="1"/>
        <n v="33760" u="1"/>
        <n v="14" u="1"/>
        <n v="38230" u="1"/>
        <n v="7740" u="1"/>
        <n v="2630" u="1"/>
        <n v="18135" u="1"/>
        <n v="20370" u="1"/>
        <n v="22605" u="1"/>
        <n v="24840" u="1"/>
        <n v="27075" u="1"/>
        <n v="29310" u="1"/>
        <n v="36855" u="1"/>
        <n v="31545" u="1"/>
        <n v="9695" u="1"/>
        <n v="11930" u="1"/>
        <n v="14165" u="1"/>
        <n v="5720" u="1"/>
        <n v="35480" u="1"/>
        <n v="39950" u="1"/>
        <n v="7955" u="1"/>
        <n v="16760" u="1"/>
        <n v="18995" u="1"/>
        <n v="21230" u="1"/>
        <n v="23465" u="1"/>
        <n v="3855" u="1"/>
        <n v="25700" u="1"/>
        <n v="27935" u="1"/>
        <n v="34105" u="1"/>
        <n v="30170" u="1"/>
        <n v="38575" u="1"/>
        <n v="32405" u="1"/>
        <n v="10125" u="1"/>
        <n v="12360" u="1"/>
        <n v="14595" u="1"/>
        <n v="5935" u="1"/>
        <n v="37200" u="1"/>
        <n v="8170" u="1"/>
        <n v="2845" u="1"/>
        <n v="17620" u="1"/>
        <n v="19855" u="1"/>
        <n v="22090" u="1"/>
        <n v="24325" u="1"/>
        <n v="26560" u="1"/>
        <n v="28795" u="1"/>
        <n v="35825" u="1"/>
        <n v="40295" u="1"/>
        <n v="8320" u="1"/>
        <n v="10555" u="1"/>
        <n v="1920" u="1"/>
        <n v="12790" u="1"/>
        <n v="15025" u="1"/>
        <n v="650" u="1"/>
        <n v="34450" u="1"/>
        <n v="6150" u="1"/>
        <n v="38920" u="1"/>
        <n v="18480" u="1"/>
        <n v="20715" u="1"/>
        <n v="22950" u="1"/>
        <n v="25185" u="1"/>
        <n v="4070" u="1"/>
        <n v="27420" u="1"/>
        <n v="33075" u="1"/>
        <n v="29655" u="1"/>
        <n v="37545" u="1"/>
        <n v="31890" u="1"/>
        <n v="1415" u="1"/>
        <n v="8750" u="1"/>
        <n v="10985" u="1"/>
        <n v="13220" u="1"/>
        <n v="15455" u="1"/>
        <n v="4130" u="1"/>
        <n v="36170" u="1"/>
        <n v="6365" u="1"/>
        <n v="17105" u="1"/>
        <n v="3060" u="1"/>
        <n v="19340" u="1"/>
        <n v="21575" u="1"/>
        <n v="23810" u="1"/>
        <n v="26045" u="1"/>
        <n v="28280" u="1"/>
        <n v="34795" u="1"/>
        <n v="30515" u="1"/>
        <n v="39265" u="1"/>
        <n v="32750" u="1"/>
        <n v="9180" u="1"/>
        <n v="11415" u="1"/>
        <n v="13650" u="1"/>
        <n v="15885" u="1"/>
        <n v="4345" u="1"/>
        <n v="33420" u="1"/>
        <n v="37890" u="1"/>
        <n v="6580" u="1"/>
        <n v="2050" u="1"/>
        <n v="17965" u="1"/>
        <n v="20200" u="1"/>
        <n v="22435" u="1"/>
        <n v="24670" u="1"/>
        <n v="26905" u="1"/>
        <n v="29140" u="1"/>
        <n v="36515" u="1"/>
        <n v="31375" u="1"/>
        <n v="9610" u="1"/>
        <n v="11845" u="1"/>
        <n v="14080" u="1"/>
        <n v="16315" u="1"/>
        <n v="4560" u="1"/>
        <n v="35140" u="1"/>
        <n v="39610" u="1"/>
        <n v="1010" u="1"/>
        <n v="6795" u="1"/>
        <n v="350" u="1"/>
        <n v="16590" u="1"/>
        <n v="18825" u="1"/>
        <n v="3275" u="1"/>
        <n v="21060" u="1"/>
        <n v="23295" u="1"/>
        <n v="25530" u="1"/>
        <n v="27765" u="1"/>
        <n v="33765" u="1"/>
        <n v="30000" u="1"/>
        <n v="38235" u="1"/>
        <n v="32235" u="1"/>
        <n v="10040" u="1"/>
        <n v="12275" u="1"/>
        <n v="14510" u="1"/>
        <n v="4775" u="1"/>
        <n v="36860" u="1"/>
        <n v="7010" u="1"/>
        <n v="2265" u="1"/>
        <n v="17450" u="1"/>
        <n v="19685" u="1"/>
        <n v="21920" u="1"/>
        <n v="24155" u="1"/>
        <n v="26390" u="1"/>
        <n v="28625" u="1"/>
        <n v="35485" u="1"/>
        <n v="30860" u="1"/>
        <n v="39955" u="1"/>
        <n v="8235" u="1"/>
        <n v="1630" u="1"/>
        <n v="10470" u="1"/>
        <n v="12705" u="1"/>
        <n v="14940" u="1"/>
        <n v="34110" u="1"/>
        <n v="38580" u="1"/>
        <n v="7225" u="1"/>
        <n v="18310" u="1"/>
        <n v="20545" u="1"/>
        <n v="3490" u="1"/>
        <n v="22780" u="1"/>
        <n v="25015" u="1"/>
        <n v="27250" u="1"/>
        <n v="1125" u="1"/>
        <n v="29485" u="1"/>
        <n v="37205" u="1"/>
        <n v="31720" u="1"/>
        <n v="8665" u="1"/>
        <n v="10900" u="1"/>
        <n v="13135" u="1"/>
        <n v="15370" u="1"/>
        <n v="5205" u="1"/>
        <n v="35830" u="1"/>
        <n v="40300" u="1"/>
        <n v="7440" u="1"/>
        <n v="2480" u="1"/>
        <n v="16935" u="1"/>
        <n v="19170" u="1"/>
        <n v="21405" u="1"/>
        <n v="23640" u="1"/>
        <n v="25875" u="1"/>
        <n v="28110" u="1"/>
        <n v="34455" u="1"/>
        <n v="30345" u="1"/>
        <n v="38925" u="1"/>
        <n v="32580" u="1"/>
        <n v="9095" u="1"/>
        <n v="11330" u="1"/>
        <n v="13565" u="1"/>
        <n v="15800" u="1"/>
        <n v="5420" u="1"/>
        <n v="33080" u="1"/>
        <n v="37550" u="1"/>
        <n v="7655" u="1"/>
        <n v="17795" u="1"/>
        <n v="20030" u="1"/>
        <n v="22265" u="1"/>
        <n v="3705" u="1"/>
        <n v="24500" u="1"/>
        <n v="26735" u="1"/>
        <n v="28970" u="1"/>
        <n v="36175" u="1"/>
        <n v="31205" u="1"/>
        <n v="11760" u="1"/>
        <n v="13995" u="1"/>
        <n v="16230" u="1"/>
        <n v="865" u="1"/>
        <n v="5635" u="1"/>
        <n v="34800" u="1"/>
        <n v="39270" u="1"/>
        <n v="7870" u="1"/>
        <n v="2695" u="1"/>
        <n v="16420" u="1"/>
        <n v="18655" u="1"/>
        <n v="20890" u="1"/>
        <n v="23125" u="1"/>
        <n v="25360" u="1"/>
        <n v="33425" u="1"/>
        <n v="29830" u="1"/>
        <n v="37895" u="1"/>
        <n v="32065" u="1"/>
        <n v="9955" u="1"/>
        <n v="1845" u="1"/>
        <n v="12190" u="1"/>
        <n v="14425" u="1"/>
        <n v="5850" u="1"/>
        <n v="36520" u="1"/>
        <n v="8085" u="1"/>
        <n v="17280" u="1"/>
        <n v="19515" u="1"/>
        <n v="21750" u="1"/>
        <n v="23985" u="1"/>
        <n v="3920" u="1"/>
        <n v="26220" u="1"/>
        <n v="28455" u="1"/>
        <n v="35145" u="1"/>
        <n v="30690" u="1"/>
        <n v="39615" u="1"/>
        <n v="1340" u="1"/>
        <n v="10385" u="1"/>
        <n v="12620" u="1"/>
        <n v="14855" u="1"/>
        <n v="100" u="1"/>
        <n v="33770" u="1"/>
        <n v="6065" u="1"/>
        <n v="38240" u="1"/>
        <n v="2910" u="1"/>
        <n v="20375" u="1"/>
        <n v="22610" u="1"/>
        <n v="24845" u="1"/>
        <n v="27080" u="1"/>
        <n v="29315" u="1"/>
        <n v="36865" u="1"/>
        <n v="31550" u="1"/>
        <n v="8580" u="1"/>
        <n v="10815" u="1"/>
        <n v="13050" u="1"/>
        <n v="15285" u="1"/>
        <n v="35490" u="1"/>
        <n v="6280" u="1"/>
        <n v="39960" u="1"/>
        <n v="16765" u="1"/>
        <n v="19000" u="1"/>
        <n v="21235" u="1"/>
        <n v="23470" u="1"/>
        <n v="25705" u="1"/>
        <n v="27940" u="1"/>
        <n v="34115" u="1"/>
        <n v="30175" u="1"/>
        <n v="38585" u="1"/>
        <n v="32410" u="1"/>
        <n v="9010" u="1"/>
        <n v="11245" u="1"/>
        <n v="13480" u="1"/>
        <n v="15715" u="1"/>
        <n v="4260" u="1"/>
        <n v="37210" u="1"/>
        <n v="6495" u="1"/>
        <n v="17625" u="1"/>
        <n v="3125" u="1"/>
        <n v="19860" u="1"/>
        <n v="22095" u="1"/>
        <n v="24330" u="1"/>
        <n v="26565" u="1"/>
        <n v="28800" u="1"/>
        <n v="35835" u="1"/>
        <n v="31035" u="1"/>
        <n v="40305" u="1"/>
        <n v="9440" u="1"/>
        <n v="11675" u="1"/>
        <n v="13910" u="1"/>
        <n v="16145" u="1"/>
        <n v="720" u="1"/>
        <n v="4475" u="1"/>
        <n v="34460" u="1"/>
        <n v="38930" u="1"/>
        <n v="6710" u="1"/>
        <n v="2115" u="1"/>
        <n v="36" u="1"/>
        <n v="18485" u="1"/>
        <n v="20720" u="1"/>
        <n v="22955" u="1"/>
        <n v="25190" u="1"/>
        <n v="27425" u="1"/>
        <n v="33085" u="1"/>
        <n v="29660" u="1"/>
        <n v="37555" u="1"/>
        <n v="31895" u="1"/>
        <n v="1555" u="1"/>
        <n v="9870" u="1"/>
        <n v="12105" u="1"/>
        <n v="14340" u="1"/>
        <n v="4690" u="1"/>
        <n v="36180" u="1"/>
        <n v="6925" u="1"/>
        <n v="17110" u="1"/>
        <n v="19345" u="1"/>
        <n v="3340" u="1"/>
        <n v="21580" u="1"/>
        <n v="23815" u="1"/>
        <n v="26050" u="1"/>
        <n v="1050" u="1"/>
        <n v="28285" u="1"/>
        <n v="34805" u="1"/>
        <n v="30520" u="1"/>
        <n v="39275" u="1"/>
        <n v="32755" u="1"/>
        <n v="10300" u="1"/>
        <n v="12535" u="1"/>
        <n v="14770" u="1"/>
        <n v="4905" u="1"/>
        <n v="33430" u="1"/>
        <n v="37900" u="1"/>
        <n v="7140" u="1"/>
        <n v="2330" u="1"/>
        <n v="17970" u="1"/>
        <n v="20205" u="1"/>
        <n v="22440" u="1"/>
        <n v="24675" u="1"/>
        <n v="26910" u="1"/>
        <n v="29145" u="1"/>
        <n v="36525" u="1"/>
        <n v="31380" u="1"/>
        <n v="8495" u="1"/>
        <n v="10730" u="1"/>
        <n v="12965" u="1"/>
        <n v="15200" u="1"/>
        <n v="5120" u="1"/>
        <n v="35150" u="1"/>
        <n v="39620" u="1"/>
        <n v="7355" u="1"/>
        <n v="385" u="1"/>
        <n v="16595" u="1"/>
        <n v="18830" u="1"/>
        <n v="21065" u="1"/>
        <n v="3555" u="1"/>
        <n v="23300" u="1"/>
        <n v="25535" u="1"/>
        <n v="27770" u="1"/>
        <n v="33775" u="1"/>
        <n v="30005" u="1"/>
        <n v="38245" u="1"/>
        <n v="32240" u="1"/>
        <n v="8925" u="1"/>
        <n v="11160" u="1"/>
        <n v="13395" u="1"/>
        <n v="15630" u="1"/>
        <n v="5335" u="1"/>
        <n v="36870" u="1"/>
        <n v="7570" u="1"/>
        <n v="2545" u="1"/>
        <n v="17455" u="1"/>
        <n v="19690" u="1"/>
        <n v="21925" u="1"/>
        <n v="24160" u="1"/>
        <n v="26395" u="1"/>
        <n v="28630" u="1"/>
        <n v="35495" u="1"/>
        <n v="30865" u="1"/>
        <n v="39965" u="1"/>
        <n v="9355" u="1"/>
        <n v="1770" u="1"/>
        <n v="11590" u="1"/>
        <n v="13825" u="1"/>
        <n v="575" u="1"/>
        <n v="16060" u="1"/>
        <n v="5550" u="1"/>
        <n v="34120" u="1"/>
        <n v="38590" u="1"/>
        <n v="7785" u="1"/>
        <n v="18315" u="1"/>
        <n v="20550" u="1"/>
        <n v="22785" u="1"/>
        <n v="3770" u="1"/>
        <n v="25020" u="1"/>
        <n v="27255" u="1"/>
        <n v="29490" u="1"/>
        <n v="37215" u="1"/>
        <n v="1265" u="1"/>
        <n v="31725" u="1"/>
        <n v="9785" u="1"/>
        <n v="12020" u="1"/>
        <n v="14255" u="1"/>
        <n v="5765" u="1"/>
        <n v="35840" u="1"/>
        <n v="40310" u="1"/>
        <n v="8000" u="1"/>
        <n v="2760" u="1"/>
        <n v="16940" u="1"/>
        <n v="19175" u="1"/>
        <n v="21410" u="1"/>
        <n v="23645" u="1"/>
        <n v="25880" u="1"/>
        <n v="28115" u="1"/>
        <n v="34465" u="1"/>
        <n v="30350" u="1"/>
        <n v="38935" u="1"/>
        <n v="205" u="1"/>
        <n v="32585" u="1"/>
        <n v="10215" u="1"/>
        <n v="12450" u="1"/>
        <n v="14685" u="1"/>
        <n v="33090" u="1"/>
        <n v="5980" u="1"/>
        <n v="37560" u="1"/>
        <n v="17800" u="1"/>
        <n v="20035" u="1"/>
        <n v="22270" u="1"/>
        <n v="24505" u="1"/>
        <n v="3985" u="1"/>
        <n v="26740" u="1"/>
        <n v="28975" u="1"/>
        <n v="36185" u="1"/>
        <n v="31210" u="1"/>
        <n v="8410" u="1"/>
        <n v="10645" u="1"/>
        <n v="12880" u="1"/>
        <n v="15115" u="1"/>
        <n v="34810" u="1"/>
        <n v="935" u="1"/>
        <n v="6195" u="1"/>
        <n v="39280" u="1"/>
        <n v="16425" u="1"/>
        <n v="2975" u="1"/>
        <n v="18660" u="1"/>
        <n v="20895" u="1"/>
        <n v="23130" u="1"/>
        <n v="25365" u="1"/>
        <n v="27600" u="1"/>
        <n v="33435" u="1"/>
        <n v="29835" u="1"/>
        <n v="37905" u="1"/>
        <n v="8840" u="1"/>
        <n v="11075" u="1"/>
        <n v="1985" u="1"/>
        <n v="13310" u="1"/>
        <n v="15545" u="1"/>
        <n v="4175" u="1"/>
        <n v="36530" u="1"/>
        <n v="6410" u="1"/>
        <n v="17285" u="1"/>
        <n v="19520" u="1"/>
        <n v="21755" u="1"/>
        <n v="23990" u="1"/>
        <n v="26225" u="1"/>
        <n v="28460" u="1"/>
        <n v="35155" u="1"/>
        <n v="30695" u="1"/>
        <n v="39625" u="1"/>
        <n v="1480" u="1"/>
        <n v="9270" u="1"/>
        <n v="11505" u="1"/>
        <n v="13740" u="1"/>
        <n v="15975" u="1"/>
        <n v="4390" u="1"/>
        <n v="33780" u="1"/>
        <n v="38250" u="1"/>
        <n v="6625" u="1"/>
        <n v="18145" u="1"/>
        <n v="3190" u="1"/>
        <n v="20380" u="1"/>
        <n v="22615" u="1"/>
        <n v="24850" u="1"/>
        <n v="27085" u="1"/>
        <n v="29320" u="1"/>
        <n v="36875" u="1"/>
        <n v="31555" u="1"/>
        <n v="9700" u="1"/>
        <n v="11935" u="1"/>
        <n v="14170" u="1"/>
        <n v="4605" u="1"/>
        <n v="35500" u="1"/>
        <n v="39970" u="1"/>
        <n v="6840" u="1"/>
        <n v="2180" u="1"/>
        <n v="16770" u="1"/>
        <n v="19005" u="1"/>
        <n v="21240" u="1"/>
        <n v="23475" u="1"/>
        <n v="25710" u="1"/>
        <n v="27945" u="1"/>
        <n v="34125" u="1"/>
        <n v="30180" u="1"/>
        <n v="38595" u="1"/>
        <n v="32415" u="1"/>
        <n v="10130" u="1"/>
        <n v="12365" u="1"/>
        <n v="14600" u="1"/>
        <n v="4820" u="1"/>
        <n v="37220" u="1"/>
        <n v="7055" u="1"/>
        <n v="17630" u="1"/>
        <n v="19865" u="1"/>
        <n v="3405" u="1"/>
        <n v="22100" u="1"/>
        <n v="24335" u="1"/>
        <n v="26570" u="1"/>
        <n v="28805" u="1"/>
        <n v="35845" u="1"/>
        <n v="31040" u="1"/>
        <n v="40315" u="1"/>
        <n v="8325" u="1"/>
        <n v="10560" u="1"/>
        <n v="12795" u="1"/>
        <n v="15030" u="1"/>
        <n v="790" u="1"/>
        <n v="5035" u="1"/>
        <n v="34470" u="1"/>
        <n v="38940" u="1"/>
        <n v="7270" u="1"/>
        <n v="2395" u="1"/>
        <n v="18490" u="1"/>
        <n v="20725" u="1"/>
        <n v="22960" u="1"/>
        <n v="25195" u="1"/>
        <n v="27430" u="1"/>
        <n v="33095" u="1"/>
        <n v="29665" u="1"/>
        <n v="37565" u="1"/>
        <n v="31900" u="1"/>
        <n v="8755" u="1"/>
        <n v="1695" u="1"/>
        <n v="10990" u="1"/>
        <n v="13225" u="1"/>
        <n v="15460" u="1"/>
        <n v="36190" u="1"/>
        <n v="7485" u="1"/>
        <n v="17115" u="1"/>
        <n v="19350" u="1"/>
        <n v="21585" u="1"/>
        <n v="3620" u="1"/>
        <n v="23820" u="1"/>
        <n v="26055" u="1"/>
        <n v="28290" u="1"/>
        <n v="34815" u="1"/>
        <n v="1190" u="1"/>
        <n v="30525" u="1"/>
        <n v="39285" u="1"/>
        <n v="32760" u="1"/>
        <n v="9185" u="1"/>
        <n v="11420" u="1"/>
        <n v="13655" u="1"/>
        <n v="15890" u="1"/>
        <n v="5465" u="1"/>
        <n v="33440" u="1"/>
        <n v="37910" u="1"/>
        <n v="7700" u="1"/>
        <n v="2610" u="1"/>
        <n v="17975" u="1"/>
        <n v="20210" u="1"/>
        <n v="22445" u="1"/>
        <n v="24680" u="1"/>
        <n v="26915" u="1"/>
        <n v="29150" u="1"/>
        <n v="36535" u="1"/>
        <n v="31385" u="1"/>
        <n v="9615" u="1"/>
        <n v="11850" u="1"/>
        <n v="14085" u="1"/>
        <n v="16320" u="1"/>
        <n v="5680" u="1"/>
        <n v="35160" u="1"/>
        <n v="39630" u="1"/>
        <n v="7915" u="1"/>
        <n v="420" u="1"/>
        <n v="16600" u="1"/>
        <n v="18835" u="1"/>
        <n v="21070" u="1"/>
        <n v="23305" u="1"/>
        <n v="3835" u="1"/>
        <n v="25540" u="1"/>
        <n v="27775" u="1"/>
        <n v="33785" u="1"/>
        <n v="30010" u="1"/>
        <n v="38255" u="1"/>
        <n v="32245" u="1"/>
        <n v="12280" u="1"/>
        <n v="14515" u="1"/>
        <n v="5895" u="1"/>
        <n v="36880" u="1"/>
        <n v="8130" u="1"/>
        <n v="2825" u="1"/>
        <n v="17460" u="1"/>
        <n v="19695" u="1"/>
        <n v="21930" u="1"/>
        <n v="24165" u="1"/>
        <n v="26400" u="1"/>
        <n v="35505" u="1"/>
        <n v="30870" u="1"/>
        <n v="39975" u="1"/>
        <n v="8240" u="1"/>
        <n v="10475" u="1"/>
        <n v="1910" u="1"/>
        <n v="12710" u="1"/>
        <n v="14945" u="1"/>
        <n v="645" u="1"/>
        <n v="34130" u="1"/>
        <n v="6110" u="1"/>
        <n v="38600" u="1"/>
        <n v="18320" u="1"/>
        <n v="20555" u="1"/>
        <n v="22790" u="1"/>
        <n v="25025" u="1"/>
        <n v="4050" u="1"/>
        <n v="27260" u="1"/>
        <n v="29495" u="1"/>
        <n v="37225" u="1"/>
        <n v="31730" u="1"/>
        <n v="1405" u="1"/>
        <n v="8670" u="1"/>
        <n v="10905" u="1"/>
        <n v="13140" u="1"/>
        <n v="15375" u="1"/>
        <n v="35850" u="1"/>
        <n v="6325" u="1"/>
        <n v="40320" u="1"/>
        <n v="16945" u="1"/>
        <n v="3040" u="1"/>
        <n v="21415" u="1"/>
        <n v="23650" u="1"/>
        <n v="25885" u="1"/>
        <n v="28120" u="1"/>
        <n v="34475" u="1"/>
        <n v="30355" u="1"/>
        <n v="38945" u="1"/>
        <n v="32590" u="1"/>
        <n v="9100" u="1"/>
        <n v="11335" u="1"/>
        <n v="13570" u="1"/>
        <n v="34" u="1"/>
        <n v="15805" u="1"/>
        <n v="4305" u="1"/>
        <n v="33100" u="1"/>
        <n v="37570" u="1"/>
        <n v="6540" u="1"/>
        <n v="17805" u="1"/>
        <n v="20040" u="1"/>
        <n v="22275" u="1"/>
        <n v="24510" u="1"/>
        <n v="26745" u="1"/>
        <n v="28980" u="1"/>
        <n v="36195" u="1"/>
        <n v="31215" u="1"/>
        <n v="9530" u="1"/>
        <n v="11765" u="1"/>
        <n v="14000" u="1"/>
        <n v="16235" u="1"/>
        <n v="4520" u="1"/>
        <n v="34820" u="1"/>
        <n v="39290" u="1"/>
        <n v="1005" u="1"/>
        <n v="6755" u="1"/>
        <n v="16430" u="1"/>
        <n v="18665" u="1"/>
        <n v="3255" u="1"/>
        <n v="20900" u="1"/>
        <n v="23135" u="1"/>
        <n v="25370" u="1"/>
        <n v="27605" u="1"/>
        <n v="33445" u="1"/>
        <n v="29840" u="1"/>
        <n v="37915" u="1"/>
        <n v="32075" u="1"/>
        <n v="9960" u="1"/>
        <n v="12195" u="1"/>
        <n v="14430" u="1"/>
        <n v="4735" u="1"/>
        <n v="36540" u="1"/>
        <n v="6970" u="1"/>
        <n v="2245" u="1"/>
        <n v="17290" u="1"/>
        <n v="19525" u="1"/>
        <n v="21760" u="1"/>
        <n v="23995" u="1"/>
        <n v="26230" u="1"/>
        <n v="28465" u="1"/>
        <n v="35165" u="1"/>
        <n v="30700" u="1"/>
        <n v="39635" u="1"/>
        <n v="1620" u="1"/>
        <n v="10390" u="1"/>
        <n v="12625" u="1"/>
        <n v="14860" u="1"/>
        <n v="4950" u="1"/>
        <n v="33790" u="1"/>
        <n v="38260" u="1"/>
        <n v="7185" u="1"/>
        <n v="18150" u="1"/>
        <n v="20385" u="1"/>
        <n v="3470" u="1"/>
        <n v="22620" u="1"/>
        <n v="24855" u="1"/>
        <n v="27090" u="1"/>
        <n v="1115" u="1"/>
        <n v="29325" u="1"/>
        <n v="36885" u="1"/>
        <n v="31560" u="1"/>
        <n v="8585" u="1"/>
        <n v="10820" u="1"/>
        <n v="13055" u="1"/>
        <n v="15290" u="1"/>
        <n v="5165" u="1"/>
        <n v="35510" u="1"/>
        <n v="39980" u="1"/>
        <n v="7400" u="1"/>
        <n v="2460" u="1"/>
        <n v="16775" u="1"/>
        <n v="19010" u="1"/>
        <n v="21245" u="1"/>
        <n v="23480" u="1"/>
        <n v="25715" u="1"/>
        <n v="27950" u="1"/>
        <n v="34135" u="1"/>
        <n v="30185" u="1"/>
        <n v="38605" u="1"/>
        <n v="32420" u="1"/>
        <n v="9015" u="1"/>
        <n v="11250" u="1"/>
        <n v="13485" u="1"/>
        <n v="15720" u="1"/>
        <n v="5380" u="1"/>
        <n v="37230" u="1"/>
        <n v="7615" u="1"/>
        <n v="17635" u="1"/>
        <n v="19870" u="1"/>
        <n v="22105" u="1"/>
        <n v="3685" u="1"/>
        <n v="24340" u="1"/>
        <n v="26575" u="1"/>
        <n v="28810" u="1"/>
        <n v="35855" u="1"/>
        <n v="31045" u="1"/>
        <n v="40325" u="1"/>
        <n v="9445" u="1"/>
        <n v="11680" u="1"/>
        <n v="13915" u="1"/>
        <n v="16150" u="1"/>
        <n v="860" u="1"/>
        <n v="5595" u="1"/>
        <n v="34480" u="1"/>
        <n v="38950" u="1"/>
        <n v="275" u="1"/>
        <n v="7830" u="1"/>
        <n v="2675" u="1"/>
        <n v="18495" u="1"/>
        <n v="20730" u="1"/>
        <n v="22965" u="1"/>
        <n v="25200" u="1"/>
        <n v="27435" u="1"/>
        <n v="33105" u="1"/>
        <n v="29670" u="1"/>
        <n v="37575" u="1"/>
        <n v="31905" u="1"/>
        <n v="9875" u="1"/>
        <n v="1835" u="1"/>
        <n v="12110" u="1"/>
        <n v="14345" u="1"/>
        <n v="5810" u="1"/>
        <n v="36200" u="1"/>
        <n v="8045" u="1"/>
        <n v="17120" u="1"/>
        <n v="19355" u="1"/>
        <n v="21590" u="1"/>
        <n v="23825" u="1"/>
        <n v="3900" u="1"/>
        <n v="26060" u="1"/>
        <n v="28295" u="1"/>
        <n v="34825" u="1"/>
        <n v="30530" u="1"/>
        <n v="39295" u="1"/>
        <n v="1330" u="1"/>
        <n v="32765" u="1"/>
        <n v="10305" u="1"/>
        <n v="12540" u="1"/>
        <n v="14775" u="1"/>
        <n v="33450" u="1"/>
        <n v="6025" u="1"/>
        <n v="37920" u="1"/>
        <n v="2890" u="1"/>
        <n v="17980" u="1"/>
        <n v="20215" u="1"/>
        <n v="22450" u="1"/>
        <n v="24685" u="1"/>
        <n v="26920" u="1"/>
        <n v="29155" u="1"/>
        <n v="36545" u="1"/>
        <n v="31390" u="1"/>
        <n v="8500" u="1"/>
        <n v="10735" u="1"/>
        <n v="12970" u="1"/>
        <n v="15205" u="1"/>
        <n v="35170" u="1"/>
        <n v="6240" u="1"/>
        <n v="39640" u="1"/>
        <n v="16605" u="1"/>
        <n v="455" u="1"/>
        <n v="18840" u="1"/>
        <n v="21075" u="1"/>
        <n v="23310" u="1"/>
        <n v="150" u="1"/>
        <n v="25545" u="1"/>
        <n v="27780" u="1"/>
        <n v="33795" u="1"/>
        <n v="30015" u="1"/>
        <n v="38265" u="1"/>
        <n v="32250" u="1"/>
        <n v="8930" u="1"/>
        <n v="11165" u="1"/>
        <n v="13400" u="1"/>
        <n v="15635" u="1"/>
        <n v="4220" u="1"/>
        <n v="36890" u="1"/>
        <n v="6455" u="1"/>
        <n v="17465" u="1"/>
        <n v="3105" u="1"/>
        <n v="19700" u="1"/>
        <n v="21935" u="1"/>
        <n v="24170" u="1"/>
        <n v="26405" u="1"/>
        <n v="28640" u="1"/>
        <n v="35515" u="1"/>
        <n v="30875" u="1"/>
        <n v="39985" u="1"/>
        <n v="9360" u="1"/>
        <n v="11595" u="1"/>
        <n v="13830" u="1"/>
        <n v="16065" u="1"/>
        <n v="715" u="1"/>
        <n v="4435" u="1"/>
        <n v="34140" u="1"/>
        <n v="38610" u="1"/>
        <n v="6670" u="1"/>
        <n v="2095" u="1"/>
        <n v="18325" u="1"/>
        <n v="20560" u="1"/>
        <n v="22795" u="1"/>
        <n v="25030" u="1"/>
        <n v="27265" u="1"/>
        <n v="29500" u="1"/>
        <n v="37235" u="1"/>
        <n v="31735" u="1"/>
        <n v="1545" u="1"/>
        <n v="9790" u="1"/>
        <n v="12025" u="1"/>
        <n v="14260" u="1"/>
        <n v="4650" u="1"/>
        <n v="35860" u="1"/>
        <n v="40330" u="1"/>
        <n v="6885" u="1"/>
        <n v="16950" u="1"/>
        <n v="19185" u="1"/>
        <n v="3320" u="1"/>
        <n v="21420" u="1"/>
        <n v="23655" u="1"/>
        <n v="25890" u="1"/>
        <n v="1040" u="1"/>
        <n v="28125" u="1"/>
        <n v="34485" u="1"/>
        <n v="30360" u="1"/>
        <n v="38955" u="1"/>
        <n v="32595" u="1"/>
        <n v="240" u="1"/>
        <n v="10220" u="1"/>
        <n v="12455" u="1"/>
        <n v="14690" u="1"/>
        <n v="4865" u="1"/>
        <n v="33110" u="1"/>
        <n v="37580" u="1"/>
        <n v="7100" u="1"/>
        <n v="2310" u="1"/>
        <n v="17810" u="1"/>
        <n v="20045" u="1"/>
        <n v="22280" u="1"/>
        <n v="24515" u="1"/>
        <n v="26750" u="1"/>
        <n v="28985" u="1"/>
        <n v="36205" u="1"/>
        <n v="31220" u="1"/>
        <n v="8415" u="1"/>
        <n v="10650" u="1"/>
        <n v="12885" u="1"/>
        <n v="15120" u="1"/>
        <n v="5080" u="1"/>
        <n v="34830" u="1"/>
        <n v="39300" u="1"/>
        <n v="7315" u="1"/>
        <n v="16435" u="1"/>
        <n v="18670" u="1"/>
        <n v="20905" u="1"/>
        <n v="3535" u="1"/>
        <n v="23140" u="1"/>
        <n v="25375" u="1"/>
        <n v="27610" u="1"/>
        <n v="33455" u="1"/>
        <n v="29845" u="1"/>
        <n v="37925" u="1"/>
        <n v="32080" u="1"/>
        <n v="8845" u="1"/>
        <n v="11080" u="1"/>
        <n v="13315" u="1"/>
        <n v="15550" u="1"/>
        <n v="5295" u="1"/>
        <n v="36550" u="1"/>
        <n v="7530" u="1"/>
        <n v="2525" u="1"/>
        <n v="17295" u="1"/>
        <n v="19530" u="1"/>
        <n v="21765" u="1"/>
        <n v="24000" u="1"/>
        <n v="26235" u="1"/>
        <n v="28470" u="1"/>
        <n v="35175" u="1"/>
        <n v="30705" u="1"/>
        <n v="39645" u="1"/>
        <n v="9275" u="1"/>
        <n v="1760" u="1"/>
        <n v="11510" u="1"/>
        <n v="13745" u="1"/>
        <n v="570" u="1"/>
        <n v="15980" u="1"/>
        <n v="33800" u="1"/>
        <n v="38270" u="1"/>
        <n v="7745" u="1"/>
        <n v="18155" u="1"/>
        <n v="20390" u="1"/>
        <n v="22625" u="1"/>
        <n v="3750" u="1"/>
        <n v="24860" u="1"/>
        <n v="27095" u="1"/>
        <n v="29330" u="1"/>
        <n v="36895" u="1"/>
        <n v="1255" u="1"/>
        <n v="31565" u="1"/>
        <n v="9705" u="1"/>
        <n v="11940" u="1"/>
        <n v="14175" u="1"/>
        <n v="5725" u="1"/>
        <n v="35520" u="1"/>
        <n v="39990" u="1"/>
        <n v="7960" u="1"/>
        <n v="2740" u="1"/>
        <n v="16780" u="1"/>
        <n v="19015" u="1"/>
        <n v="21250" u="1"/>
        <n v="23485" u="1"/>
        <n v="25720" u="1"/>
        <n v="27955" u="1"/>
        <n v="34145" u="1"/>
        <n v="30190" u="1"/>
        <n v="38615" u="1"/>
        <n v="32425" u="1"/>
        <n v="10135" u="1"/>
        <n v="12370" u="1"/>
        <n v="14605" u="1"/>
        <n v="32770" u="1"/>
        <n v="5940" u="1"/>
        <n v="37240" u="1"/>
        <n v="8175" u="1"/>
        <n v="17640" u="1"/>
        <n v="19875" u="1"/>
        <n v="22110" u="1"/>
        <n v="24345" u="1"/>
        <n v="3965" u="1"/>
        <n v="26580" u="1"/>
        <n v="28815" u="1"/>
        <n v="35865" u="1"/>
        <n v="31050" u="1"/>
        <n v="40335" u="1"/>
        <n v="8330" u="1"/>
        <n v="12800" u="1"/>
        <n v="15035" u="1"/>
        <n v="34490" u="1"/>
        <n v="930" u="1"/>
        <n v="6155" u="1"/>
        <n v="38960" u="1"/>
        <n v="310" u="1"/>
        <n v="2955" u="1"/>
        <n v="18500" u="1"/>
        <n v="20735" u="1"/>
        <n v="32" u="1"/>
        <n v="22970" u="1"/>
        <n v="25205" u="1"/>
        <n v="27440" u="1"/>
        <n v="33115" u="1"/>
        <n v="37585" u="1"/>
        <n v="31910" u="1"/>
        <n v="8760" u="1"/>
        <n v="10995" u="1"/>
        <n v="1975" u="1"/>
        <n v="13230" u="1"/>
        <n v="15465" u="1"/>
        <n v="4135" u="1"/>
        <n v="36210" u="1"/>
        <n v="6370" u="1"/>
        <n v="17125" u="1"/>
        <n v="19360" u="1"/>
        <n v="21595" u="1"/>
        <n v="23830" u="1"/>
        <n v="26065" u="1"/>
        <n v="28300" u="1"/>
        <n v="34835" u="1"/>
        <n v="30535" u="1"/>
        <n v="39305" u="1"/>
        <n v="1470" u="1"/>
        <n v="9190" u="1"/>
        <n v="11425" u="1"/>
        <n v="13660" u="1"/>
        <n v="15895" u="1"/>
        <n v="4350" u="1"/>
        <n v="33460" u="1"/>
        <n v="37930" u="1"/>
        <n v="6585" u="1"/>
        <n v="17985" u="1"/>
        <n v="3170" u="1"/>
        <n v="22455" u="1"/>
        <n v="24690" u="1"/>
        <n v="26925" u="1"/>
        <n v="29160" u="1"/>
        <n v="36555" u="1"/>
        <n v="31395" u="1"/>
        <n v="9620" u="1"/>
        <n v="11855" u="1"/>
        <n v="14090" u="1"/>
        <n v="16325" u="1"/>
        <n v="4565" u="1"/>
        <n v="35180" u="1"/>
        <n v="39650" u="1"/>
        <n v="6800" u="1"/>
        <n v="2160" u="1"/>
        <n v="16610" u="1"/>
        <n v="18845" u="1"/>
        <n v="490" u="1"/>
        <n v="21080" u="1"/>
        <n v="23315" u="1"/>
        <n v="25550" u="1"/>
        <n v="27785" u="1"/>
        <n v="33805" u="1"/>
        <n v="30020" u="1"/>
        <n v="38275" u="1"/>
        <n v="32255" u="1"/>
        <n v="10050" u="1"/>
        <n v="12285" u="1"/>
        <n v="14520" u="1"/>
        <n v="4780" u="1"/>
        <n v="36900" u="1"/>
        <n v="7015" u="1"/>
        <n v="17470" u="1"/>
        <n v="19705" u="1"/>
        <n v="3385" u="1"/>
        <n v="21940" u="1"/>
        <n v="24175" u="1"/>
        <n v="26410" u="1"/>
        <n v="28645" u="1"/>
        <n v="35525" u="1"/>
        <n v="30880" u="1"/>
        <n v="39995" u="1"/>
        <n v="8245" u="1"/>
        <n v="10480" u="1"/>
        <n v="12715" u="1"/>
        <n v="14950" u="1"/>
        <n v="785" u="1"/>
        <n v="4995" u="1"/>
        <n v="34150" u="1"/>
        <n v="38620" u="1"/>
        <n v="7230" u="1"/>
        <n v="2375" u="1"/>
        <n v="18330" u="1"/>
        <n v="20565" u="1"/>
        <n v="22800" u="1"/>
        <n v="25035" u="1"/>
        <n v="27270" u="1"/>
        <n v="32775" u="1"/>
        <n v="29505" u="1"/>
        <n v="37245" u="1"/>
        <n v="31740" u="1"/>
        <n v="8675" u="1"/>
        <n v="1685" u="1"/>
        <n v="10910" u="1"/>
        <n v="13145" u="1"/>
        <n v="15380" u="1"/>
        <n v="5210" u="1"/>
        <n v="35870" u="1"/>
        <n v="40340" u="1"/>
        <n v="7445" u="1"/>
        <n v="16955" u="1"/>
        <n v="19190" u="1"/>
        <n v="21425" u="1"/>
        <n v="3600" u="1"/>
        <n v="23660" u="1"/>
        <n v="25895" u="1"/>
        <n v="28130" u="1"/>
        <n v="34495" u="1"/>
        <n v="1180" u="1"/>
        <n v="30365" u="1"/>
        <n v="38965" u="1"/>
        <n v="32600" u="1"/>
        <n v="9105" u="1"/>
        <n v="11340" u="1"/>
        <n v="13575" u="1"/>
        <n v="90" u="1"/>
        <n v="15810" u="1"/>
        <n v="5425" u="1"/>
        <n v="33120" u="1"/>
        <n v="37590" u="1"/>
        <n v="7660" u="1"/>
        <n v="2590" u="1"/>
        <n v="17815" u="1"/>
        <n v="20050" u="1"/>
        <n v="22285" u="1"/>
        <n v="24520" u="1"/>
        <n v="26755" u="1"/>
        <n v="28990" u="1"/>
        <n v="36215" u="1"/>
        <n v="31225" u="1"/>
        <n v="9535" u="1"/>
        <n v="11770" u="1"/>
        <n v="14005" u="1"/>
        <n v="16240" u="1"/>
        <n v="5640" u="1"/>
        <n v="34840" u="1"/>
        <n v="39310" u="1"/>
        <n v="7875" u="1"/>
        <n v="16440" u="1"/>
        <n v="18675" u="1"/>
        <n v="20910" u="1"/>
        <n v="23145" u="1"/>
        <n v="3815" u="1"/>
        <n v="25380" u="1"/>
        <n v="27615" u="1"/>
        <n v="33465" u="1"/>
        <n v="29850" u="1"/>
        <n v="37935" u="1"/>
        <n v="32085" u="1"/>
        <n v="9965" u="1"/>
        <n v="12200" u="1"/>
        <n v="14435" u="1"/>
        <n v="5855" u="1"/>
        <n v="36560" u="1"/>
        <n v="8090" u="1"/>
        <n v="2805" u="1"/>
        <n v="17300" u="1"/>
        <n v="19535" u="1"/>
        <n v="21770" u="1"/>
        <n v="24005" u="1"/>
        <n v="26240" u="1"/>
        <n v="28475" u="1"/>
        <n v="35185" u="1"/>
        <n v="30710" u="1"/>
        <n v="39655" u="1"/>
        <n v="10395" u="1"/>
        <n v="1900" u="1"/>
        <n v="12630" u="1"/>
        <n v="14865" u="1"/>
        <n v="640" u="1"/>
        <n v="33810" u="1"/>
        <n v="6070" u="1"/>
        <n v="38280" u="1"/>
        <n v="18160" u="1"/>
        <n v="20395" u="1"/>
        <n v="22630" u="1"/>
        <n v="24865" u="1"/>
        <n v="4030" u="1"/>
        <n v="27100" u="1"/>
        <n v="29335" u="1"/>
        <n v="36905" u="1"/>
        <n v="31570" u="1"/>
        <n v="1395" u="1"/>
        <n v="8590" u="1"/>
        <n v="10825" u="1"/>
        <n v="13060" u="1"/>
        <n v="15295" u="1"/>
        <n v="35530" u="1"/>
        <n v="6285" u="1"/>
        <n v="40000" u="1"/>
        <n v="3020" u="1"/>
        <n v="19020" u="1"/>
        <n v="21255" u="1"/>
        <n v="23490" u="1"/>
        <n v="25725" u="1"/>
        <n v="27960" u="1"/>
        <n v="34155" u="1"/>
        <n v="30195" u="1"/>
        <n v="38625" u="1"/>
        <n v="32430" u="1"/>
        <n v="9020" u="1"/>
        <n v="11255" u="1"/>
        <n v="13490" u="1"/>
        <n v="15725" u="1"/>
        <n v="4265" u="1"/>
        <n v="32780" u="1"/>
        <n v="37250" u="1"/>
        <n v="6500" u="1"/>
        <n v="17645" u="1"/>
        <n v="19880" u="1"/>
        <n v="22115" u="1"/>
        <n v="24350" u="1"/>
        <n v="26585" u="1"/>
        <n v="28820" u="1"/>
        <n v="35875" u="1"/>
        <n v="31055" u="1"/>
        <n v="40345" u="1"/>
        <n v="9450" u="1"/>
        <n v="11685" u="1"/>
        <n v="13920" u="1"/>
        <n v="16155" u="1"/>
        <n v="4480" u="1"/>
        <n v="34500" u="1"/>
        <n v="38970" u="1"/>
        <n v="1000" u="1"/>
        <n v="6715" u="1"/>
        <n v="345" u="1"/>
        <n v="18505" u="1"/>
        <n v="3235" u="1"/>
        <n v="20740" u="1"/>
        <n v="22975" u="1"/>
        <n v="25210" u="1"/>
        <n v="27445" u="1"/>
        <n v="33125" u="1"/>
        <n v="29680" u="1"/>
        <n v="37595" u="1"/>
        <n v="31915" u="1"/>
        <n v="9880" u="1"/>
        <n v="12115" u="1"/>
        <n v="14350" u="1"/>
        <n v="4695" u="1"/>
        <n v="36220" u="1"/>
        <n v="6930" u="1"/>
        <n v="2225" u="1"/>
        <n v="17130" u="1"/>
        <n v="19365" u="1"/>
        <n v="21600" u="1"/>
        <n v="23835" u="1"/>
        <n v="26070" u="1"/>
        <n v="28305" u="1"/>
        <n v="34845" u="1"/>
        <n v="30540" u="1"/>
        <n v="39315" u="1"/>
        <n v="1610" u="1"/>
        <n v="10310" u="1"/>
        <n v="12545" u="1"/>
        <n v="14780" u="1"/>
        <n v="4910" u="1"/>
        <n v="33470" u="1"/>
        <n v="37940" u="1"/>
        <n v="7145" u="1"/>
        <n v="17990" u="1"/>
        <n v="20225" u="1"/>
        <n v="3450" u="1"/>
        <n v="22460" u="1"/>
        <n v="24695" u="1"/>
        <n v="26930" u="1"/>
        <n v="1105" u="1"/>
        <n v="29165" u="1"/>
        <n v="36565" u="1"/>
        <n v="31400" u="1"/>
        <n v="8505" u="1"/>
        <n v="10740" u="1"/>
        <n v="12975" u="1"/>
        <n v="15210" u="1"/>
        <n v="5125" u="1"/>
        <n v="35190" u="1"/>
        <n v="39660" u="1"/>
        <n v="7360" u="1"/>
        <n v="2440" u="1"/>
        <n v="16615" u="1"/>
        <n v="18850" u="1"/>
        <n v="21085" u="1"/>
        <n v="23320" u="1"/>
        <n v="25555" u="1"/>
        <n v="27790" u="1"/>
        <n v="33815" u="1"/>
        <n v="185" u="1"/>
        <n v="30025" u="1"/>
        <n v="38285" u="1"/>
        <n v="32260" u="1"/>
        <n v="8935" u="1"/>
        <n v="11170" u="1"/>
        <n v="13405" u="1"/>
        <n v="15640" u="1"/>
        <n v="5340" u="1"/>
        <n v="36910" u="1"/>
        <n v="7575" u="1"/>
        <n v="17475" u="1"/>
        <n v="19710" u="1"/>
        <n v="21945" u="1"/>
        <n v="3665" u="1"/>
        <n v="24180" u="1"/>
        <n v="26415" u="1"/>
        <n v="28650" u="1"/>
        <n v="35535" u="1"/>
        <n v="30885" u="1"/>
        <n v="40005" u="1"/>
        <n v="9365" u="1"/>
        <n v="11600" u="1"/>
        <n v="13835" u="1"/>
        <n v="16070" u="1"/>
        <n v="855" u="1"/>
        <n v="5555" u="1"/>
        <n v="34160" u="1"/>
        <n v="38630" u="1"/>
        <n v="7790" u="1"/>
        <n v="2655" u="1"/>
        <n v="18335" u="1"/>
        <n v="20570" u="1"/>
        <n v="22805" u="1"/>
        <n v="25040" u="1"/>
        <n v="27275" u="1"/>
        <n v="32785" u="1"/>
        <n v="29510" u="1"/>
        <n v="37255" u="1"/>
        <n v="31745" u="1"/>
        <n v="9795" u="1"/>
        <n v="1825" u="1"/>
        <n v="12030" u="1"/>
        <n v="14265" u="1"/>
        <n v="35880" u="1"/>
        <n v="40350" u="1"/>
        <n v="8005" u="1"/>
        <n v="16960" u="1"/>
        <n v="19195" u="1"/>
        <n v="21430" u="1"/>
        <n v="23665" u="1"/>
        <n v="3880" u="1"/>
        <n v="25900" u="1"/>
        <n v="28135" u="1"/>
        <n v="34505" u="1"/>
        <n v="30370" u="1"/>
        <n v="38975" u="1"/>
        <n v="1320" u="1"/>
        <n v="32605" u="1"/>
        <n v="10225" u="1"/>
        <n v="12460" u="1"/>
        <n v="14695" u="1"/>
        <n v="33130" u="1"/>
        <n v="5985" u="1"/>
        <n v="37600" u="1"/>
        <n v="2870" u="1"/>
        <n v="17820" u="1"/>
        <n v="20055" u="1"/>
        <n v="22290" u="1"/>
        <n v="24525" u="1"/>
        <n v="26760" u="1"/>
        <n v="28995" u="1"/>
        <n v="36225" u="1"/>
        <n v="31230" u="1"/>
        <n v="8420" u="1"/>
        <n v="10655" u="1"/>
        <n v="12890" u="1"/>
        <n v="15125" u="1"/>
        <n v="34850" u="1"/>
        <n v="6200" u="1"/>
        <n v="39320" u="1"/>
        <n v="16445" u="1"/>
        <n v="18680" u="1"/>
        <n v="20915" u="1"/>
        <n v="23150" u="1"/>
        <n v="25385" u="1"/>
        <n v="4095" u="1"/>
        <n v="27620" u="1"/>
        <n v="33475" u="1"/>
        <n v="29855" u="1"/>
        <n v="37945" u="1"/>
        <n v="32090" u="1"/>
        <n v="8850" u="1"/>
        <n v="13320" u="1"/>
        <n v="15555" u="1"/>
        <n v="4180" u="1"/>
        <n v="36570" u="1"/>
        <n v="6415" u="1"/>
        <n v="17305" u="1"/>
        <n v="3085" u="1"/>
        <n v="19540" u="1"/>
        <n v="21775" u="1"/>
        <n v="24010" u="1"/>
        <n v="26245" u="1"/>
        <n v="28480" u="1"/>
        <n v="35195" u="1"/>
        <n v="39665" u="1"/>
        <n v="9280" u="1"/>
        <n v="11515" u="1"/>
        <n v="2040" u="1"/>
        <n v="13750" u="1"/>
        <n v="15985" u="1"/>
        <n v="710" u="1"/>
        <n v="4395" u="1"/>
        <n v="33820" u="1"/>
        <n v="38290" u="1"/>
        <n v="6630" u="1"/>
        <n v="2075" u="1"/>
        <n v="18165" u="1"/>
        <n v="12" u="1"/>
        <n v="20400" u="1"/>
        <n v="22635" u="1"/>
        <n v="24870" u="1"/>
        <n v="27105" u="1"/>
        <n v="29340" u="1"/>
        <n v="36915" u="1"/>
        <n v="31575" u="1"/>
        <n v="1535" u="1"/>
        <n v="9710" u="1"/>
        <n v="11945" u="1"/>
        <n v="14180" u="1"/>
        <n v="4610" u="1"/>
        <n v="35540" u="1"/>
        <n v="40010" u="1"/>
        <n v="6845" u="1"/>
        <n v="16790" u="1"/>
        <n v="19025" u="1"/>
        <n v="3300" u="1"/>
        <n v="23495" u="1"/>
        <n v="25730" u="1"/>
        <n v="1030" u="1"/>
        <n v="27965" u="1"/>
        <n v="34165" u="1"/>
        <n v="30200" u="1"/>
        <n v="38635" u="1"/>
        <n v="32435" u="1"/>
        <n v="10140" u="1"/>
        <n v="12375" u="1"/>
        <n v="14610" u="1"/>
        <n v="4825" u="1"/>
        <n v="32790" u="1"/>
        <n v="37260" u="1"/>
        <n v="7060" u="1"/>
        <n v="2290" u="1"/>
        <n v="17650" u="1"/>
        <n v="19885" u="1"/>
        <n v="22120" u="1"/>
        <n v="24355" u="1"/>
        <n v="26590" u="1"/>
        <n v="28825" u="1"/>
        <n v="35885" u="1"/>
        <n v="31060" u="1"/>
        <n v="40355" u="1"/>
        <n v="8335" u="1"/>
        <n v="10570" u="1"/>
        <n v="12805" u="1"/>
        <n v="15040" u="1"/>
        <n v="5040" u="1"/>
        <n v="34510" u="1"/>
        <n v="38980" u="1"/>
        <n v="7275" u="1"/>
        <n v="380" u="1"/>
        <n v="18510" u="1"/>
        <n v="20745" u="1"/>
        <n v="3515" u="1"/>
        <n v="22980" u="1"/>
        <n v="25215" u="1"/>
        <n v="27450" u="1"/>
        <n v="33135" u="1"/>
        <n v="29685" u="1"/>
        <n v="37605" u="1"/>
        <n v="31920" u="1"/>
        <n v="8765" u="1"/>
        <n v="11000" u="1"/>
        <n v="13235" u="1"/>
        <n v="15470" u="1"/>
        <n v="5255" u="1"/>
        <n v="36230" u="1"/>
        <n v="7490" u="1"/>
        <n v="2505" u="1"/>
        <n v="17135" u="1"/>
        <n v="19370" u="1"/>
        <n v="21605" u="1"/>
        <n v="23840" u="1"/>
        <n v="26075" u="1"/>
        <n v="28310" u="1"/>
        <n v="34855" u="1"/>
        <n v="30545" u="1"/>
        <n v="39325" u="1"/>
        <n v="9195" u="1"/>
        <n v="1750" u="1"/>
        <n v="11430" u="1"/>
        <n v="13665" u="1"/>
        <n v="565" u="1"/>
        <n v="15900" u="1"/>
        <n v="5470" u="1"/>
        <n v="33480" u="1"/>
        <n v="37950" u="1"/>
        <n v="7705" u="1"/>
        <n v="17995" u="1"/>
        <n v="20230" u="1"/>
        <n v="22465" u="1"/>
        <n v="3730" u="1"/>
        <n v="24700" u="1"/>
        <n v="26935" u="1"/>
        <n v="29170" u="1"/>
        <n v="36575" u="1"/>
        <n v="1245" u="1"/>
        <n v="31405" u="1"/>
        <n v="9625" u="1"/>
        <n v="11860" u="1"/>
        <n v="14095" u="1"/>
        <n v="16330" u="1"/>
        <n v="5685" u="1"/>
        <n v="35200" u="1"/>
        <n v="39670" u="1"/>
        <n v="7920" u="1"/>
        <n v="2720" u="1"/>
        <n v="16620" u="1"/>
        <n v="18855" u="1"/>
        <n v="21090" u="1"/>
        <n v="23325" u="1"/>
        <n v="25560" u="1"/>
        <n v="27795" u="1"/>
        <n v="33825" u="1"/>
        <n v="30030" u="1"/>
        <n v="38295" u="1"/>
        <n v="32265" u="1"/>
        <n v="10055" u="1"/>
        <n v="12290" u="1"/>
        <n v="14525" u="1"/>
        <n v="5900" u="1"/>
        <n v="36920" u="1"/>
        <n v="8135" u="1"/>
        <n v="17480" u="1"/>
        <n v="19715" u="1"/>
        <n v="21950" u="1"/>
        <n v="24185" u="1"/>
        <n v="3945" u="1"/>
        <n v="26420" u="1"/>
        <n v="28655" u="1"/>
        <n v="35545" u="1"/>
        <n v="30890" u="1"/>
        <n v="40015" u="1"/>
        <n v="8250" u="1"/>
        <n v="10485" u="1"/>
        <n v="12720" u="1"/>
        <n v="14955" u="1"/>
        <n v="34170" u="1"/>
        <n v="925" u="1"/>
        <n v="6115" u="1"/>
        <n v="38640" u="1"/>
        <n v="2935" u="1"/>
        <n v="18340" u="1"/>
        <n v="20575" u="1"/>
        <n v="22810" u="1"/>
        <n v="25045" u="1"/>
        <n v="27280" u="1"/>
        <n v="32795" u="1"/>
        <n v="29515" u="1"/>
        <n v="37265" u="1"/>
        <n v="31750" u="1"/>
        <n v="8680" u="1"/>
        <n v="10915" u="1"/>
        <n v="1965" u="1"/>
        <n v="13150" u="1"/>
        <n v="15385" u="1"/>
        <n v="35890" u="1"/>
        <n v="6330" u="1"/>
        <n v="40360" u="1"/>
        <n v="16965" u="1"/>
        <n v="19200" u="1"/>
        <n v="21435" u="1"/>
        <n v="23670" u="1"/>
        <n v="25905" u="1"/>
        <n v="28140" u="1"/>
        <n v="34515" u="1"/>
        <n v="30375" u="1"/>
        <n v="38985" u="1"/>
        <n v="32610" u="1"/>
        <n v="1460" u="1"/>
        <n v="9110" u="1"/>
        <n v="11345" u="1"/>
        <n v="13580" u="1"/>
        <n v="15815" u="1"/>
        <n v="4310" u="1"/>
        <n v="33140" u="1"/>
        <n v="37610" u="1"/>
        <n v="6545" u="1"/>
        <n v="3150" u="1"/>
        <n v="20060" u="1"/>
        <n v="22295" u="1"/>
        <n v="24530" u="1"/>
        <n v="26765" u="1"/>
        <n v="29000" u="1"/>
        <n v="36235" u="1"/>
        <n v="31235" u="1"/>
        <n v="9540" u="1"/>
        <n v="11775" u="1"/>
        <n v="14010" u="1"/>
        <n v="16245" u="1"/>
        <n v="4525" u="1"/>
        <n v="34860" u="1"/>
        <n v="39330" u="1"/>
        <n v="6760" u="1"/>
        <n v="2140" u="1"/>
        <n v="16450" u="1"/>
        <n v="18685" u="1"/>
        <n v="20920" u="1"/>
        <n v="23155" u="1"/>
        <n v="25390" u="1"/>
        <n v="27625" u="1"/>
        <n v="33485" u="1"/>
        <n v="29860" u="1"/>
        <n v="37955" u="1"/>
        <n v="32095" u="1"/>
        <n v="9970" u="1"/>
        <n v="12205" u="1"/>
        <n v="14440" u="1"/>
        <n v="4740" u="1"/>
        <n v="36580" u="1"/>
        <n v="6975" u="1"/>
        <n v="17310" u="1"/>
        <n v="19545" u="1"/>
        <n v="3365" u="1"/>
        <n v="21780" u="1"/>
        <n v="24015" u="1"/>
        <n v="26250" u="1"/>
        <n v="28485" u="1"/>
        <n v="35205" u="1"/>
        <n v="30720" u="1"/>
        <n v="39675" u="1"/>
        <n v="10400" u="1"/>
        <n v="12635" u="1"/>
        <n v="14870" u="1"/>
        <n v="780" u="1"/>
        <n v="4955" u="1"/>
        <n v="38300" u="1"/>
        <n v="7190" u="1"/>
        <n v="2355" u="1"/>
        <n v="18170" u="1"/>
        <n v="20405" u="1"/>
        <n v="22640" u="1"/>
        <n v="24875" u="1"/>
        <n v="27110" u="1"/>
        <n v="29345" u="1"/>
        <n v="36925" u="1"/>
        <n v="31580" u="1"/>
        <n v="8595" u="1"/>
        <n v="1675" u="1"/>
        <n v="10830" u="1"/>
        <n v="13065" u="1"/>
        <n v="15300" u="1"/>
        <n v="5170" u="1"/>
        <n v="35550" u="1"/>
        <n v="40020" u="1"/>
        <n v="7405" u="1"/>
        <n v="16795" u="1"/>
        <n v="19030" u="1"/>
        <n v="21265" u="1"/>
        <n v="3580" u="1"/>
        <n v="23500" u="1"/>
        <n v="25735" u="1"/>
        <n v="27970" u="1"/>
        <n v="34175" u="1"/>
        <n v="1170" u="1"/>
        <n v="30205" u="1"/>
        <n v="38645" u="1"/>
        <n v="32440" u="1"/>
        <n v="9025" u="1"/>
        <n v="11260" u="1"/>
        <n v="13495" u="1"/>
        <n v="15730" u="1"/>
        <n v="5385" u="1"/>
        <n v="32800" u="1"/>
        <n v="37270" u="1"/>
        <n v="7620" u="1"/>
        <n v="2570" u="1"/>
        <n v="17655" u="1"/>
        <n v="19890" u="1"/>
        <n v="22125" u="1"/>
        <n v="24360" u="1"/>
        <n v="26595" u="1"/>
        <n v="28830" u="1"/>
        <n v="35895" u="1"/>
        <n v="31065" u="1"/>
        <n v="40365" u="1"/>
        <n v="9455" u="1"/>
        <n v="11690" u="1"/>
        <n v="13925" u="1"/>
        <n v="16160" u="1"/>
        <n v="5600" u="1"/>
        <n v="34520" u="1"/>
        <n v="38990" u="1"/>
        <n v="7835" u="1"/>
        <n v="415" u="1"/>
        <n v="18515" u="1"/>
        <n v="20750" u="1"/>
        <n v="130" u="1"/>
        <n v="22985" u="1"/>
        <n v="3795" u="1"/>
        <n v="25220" u="1"/>
        <n v="27455" u="1"/>
        <n v="33145" u="1"/>
        <n v="29690" u="1"/>
        <n v="37615" u="1"/>
        <n v="31925" u="1"/>
        <n v="9885" u="1"/>
        <n v="12120" u="1"/>
        <n v="14355" u="1"/>
        <n v="5815" u="1"/>
        <n v="36240" u="1"/>
        <n v="8050" u="1"/>
        <n v="2785" u="1"/>
        <n v="17140" u="1"/>
        <n v="19375" u="1"/>
        <n v="21610" u="1"/>
        <n v="23845" u="1"/>
        <n v="26080" u="1"/>
        <n v="28315" u="1"/>
        <n v="34865" u="1"/>
        <n v="30550" u="1"/>
        <n v="39335" u="1"/>
        <n v="10315" u="1"/>
        <n v="1890" u="1"/>
        <n v="12550" u="1"/>
        <n v="14785" u="1"/>
        <n v="635" u="1"/>
        <n v="33490" u="1"/>
        <n v="37960" u="1"/>
        <n v="18000" u="1"/>
        <n v="20235" u="1"/>
        <n v="22470" u="1"/>
        <n v="24705" u="1"/>
        <n v="4010" u="1"/>
        <n v="26940" u="1"/>
        <n v="29175" u="1"/>
        <n v="36585" u="1"/>
        <n v="31410" u="1"/>
        <n v="1385" u="1"/>
        <n v="8510" u="1"/>
        <n v="10745" u="1"/>
        <n v="12980" u="1"/>
        <n v="15215" u="1"/>
        <n v="35210" u="1"/>
        <n v="6245" u="1"/>
        <n v="39680" u="1"/>
        <n v="16625" u="1"/>
        <n v="3000" u="1"/>
        <n v="18860" u="1"/>
        <n v="21095" u="1"/>
        <n v="23330" u="1"/>
        <n v="25565" u="1"/>
        <n v="27800" u="1"/>
        <n v="33835" u="1"/>
        <n v="30035" u="1"/>
        <n v="38305" u="1"/>
        <n v="32270" u="1"/>
        <n v="220" u="1"/>
        <n v="8940" u="1"/>
        <n v="11175" u="1"/>
        <n v="13410" u="1"/>
        <n v="15645" u="1"/>
        <n v="4225" u="1"/>
        <n v="36930" u="1"/>
        <n v="6460" u="1"/>
        <n v="17485" u="1"/>
        <n v="19720" u="1"/>
        <n v="21955" u="1"/>
        <n v="24190" u="1"/>
        <n v="26425" u="1"/>
        <n v="28660" u="1"/>
        <n v="35555" u="1"/>
        <n v="30895" u="1"/>
        <n v="40025" u="1"/>
        <n v="9370" u="1"/>
        <n v="13840" u="1"/>
        <n v="16075" u="1"/>
        <n v="4440" u="1"/>
        <n v="34180" u="1"/>
        <n v="38650" u="1"/>
        <n v="995" u="1"/>
        <n v="6675" u="1"/>
        <n v="18345" u="1"/>
        <n v="3215" u="1"/>
        <n v="20580" u="1"/>
        <n v="22815" u="1"/>
        <n v="25050" u="1"/>
        <n v="27285" u="1"/>
        <n v="32805" u="1"/>
        <n v="29520" u="1"/>
        <n v="37275" u="1"/>
        <n v="9800" u="1"/>
        <n v="12035" u="1"/>
        <n v="14270" u="1"/>
        <n v="4655" u="1"/>
        <n v="35900" u="1"/>
        <n v="40370" u="1"/>
        <n v="6890" u="1"/>
        <n v="2205" u="1"/>
        <n v="16970" u="1"/>
        <n v="19205" u="1"/>
        <n v="21440" u="1"/>
        <n v="23675" u="1"/>
        <n v="25910" u="1"/>
        <n v="28145" u="1"/>
        <n v="34525" u="1"/>
        <n v="30380" u="1"/>
        <n v="38995" u="1"/>
        <n v="32615" u="1"/>
        <n v="1600" u="1"/>
        <n v="10230" u="1"/>
        <n v="12465" u="1"/>
        <n v="14700" u="1"/>
        <n v="4870" u="1"/>
        <n v="33150" u="1"/>
        <n v="37620" u="1"/>
        <n v="7105" u="1"/>
        <n v="17830" u="1"/>
        <n v="20065" u="1"/>
        <n v="3430" u="1"/>
        <n v="24535" u="1"/>
        <n v="26770" u="1"/>
        <n v="1095" u="1"/>
        <n v="29005" u="1"/>
        <n v="36245" u="1"/>
        <n v="31240" u="1"/>
        <n v="8425" u="1"/>
        <n v="10660" u="1"/>
        <n v="12895" u="1"/>
        <n v="15130" u="1"/>
        <n v="5085" u="1"/>
        <n v="34870" u="1"/>
        <n v="39340" u="1"/>
        <n v="7320" u="1"/>
        <n v="2420" u="1"/>
        <n v="16455" u="1"/>
        <n v="18690" u="1"/>
        <n v="20925" u="1"/>
        <n v="23160" u="1"/>
        <n v="25395" u="1"/>
        <n v="27630" u="1"/>
        <n v="33495" u="1"/>
        <n v="29865" u="1"/>
        <n v="37965" u="1"/>
        <n v="32100" u="1"/>
        <n v="8855" u="1"/>
        <n v="11090" u="1"/>
        <n v="13325" u="1"/>
        <n v="15560" u="1"/>
        <n v="5300" u="1"/>
        <n v="36590" u="1"/>
        <n v="7535" u="1"/>
        <n v="17315" u="1"/>
        <n v="19550" u="1"/>
        <n v="21785" u="1"/>
        <n v="3645" u="1"/>
        <n v="24020" u="1"/>
        <n v="26255" u="1"/>
        <n v="28490" u="1"/>
        <n v="35215" u="1"/>
        <n v="30725" u="1"/>
        <n v="39685" u="1"/>
        <n v="9285" u="1"/>
        <n v="11520" u="1"/>
        <n v="13755" u="1"/>
        <n v="15990" u="1"/>
        <n v="850" u="1"/>
        <n v="5515" u="1"/>
        <n v="33840" u="1"/>
        <n v="38310" u="1"/>
        <n v="270" u="1"/>
        <n v="7750" u="1"/>
        <n v="2635" u="1"/>
        <n v="18175" u="1"/>
        <n v="20410" u="1"/>
        <n v="22645" u="1"/>
        <n v="24880" u="1"/>
        <n v="27115" u="1"/>
        <n v="29350" u="1"/>
        <n v="36935" u="1"/>
        <n v="31585" u="1"/>
        <n v="9715" u="1"/>
        <n v="1815" u="1"/>
        <n v="11950" u="1"/>
        <n v="14185" u="1"/>
        <n v="5730" u="1"/>
        <n v="35560" u="1"/>
        <n v="40030" u="1"/>
        <n v="7965" u="1"/>
        <n v="16800" u="1"/>
        <n v="19035" u="1"/>
        <n v="21270" u="1"/>
        <n v="23505" u="1"/>
        <n v="3860" u="1"/>
        <n v="25740" u="1"/>
        <n v="27975" u="1"/>
        <n v="34185" u="1"/>
        <n v="30210" u="1"/>
        <n v="38655" u="1"/>
        <n v="32445" u="1"/>
        <n v="10145" u="1"/>
        <n v="12380" u="1"/>
        <n v="14615" u="1"/>
        <n v="32810" u="1"/>
        <n v="5945" u="1"/>
        <n v="37280" u="1"/>
        <n v="8180" u="1"/>
        <n v="2850" u="1"/>
        <n v="17660" u="1"/>
        <n v="19895" u="1"/>
        <n v="22130" u="1"/>
        <n v="24365" u="1"/>
        <n v="26600" u="1"/>
        <n v="28835" u="1"/>
        <n v="35905" u="1"/>
        <n v="31070" u="1"/>
        <n v="40375" u="1"/>
        <n v="8340" u="1"/>
        <n v="10575" u="1"/>
        <n v="12810" u="1"/>
        <n v="15045" u="1"/>
        <n v="34530" u="1"/>
        <n v="6160" u="1"/>
        <n v="39000" u="1"/>
        <n v="450" u="1"/>
        <n v="18520" u="1"/>
        <n v="20755" u="1"/>
        <n v="22990" u="1"/>
        <n v="25225" u="1"/>
        <n v="4075" u="1"/>
        <n v="27460" u="1"/>
        <n v="33155" u="1"/>
        <n v="29695" u="1"/>
        <n v="37625" u="1"/>
        <n v="31930" u="1"/>
        <n v="8770" u="1"/>
        <n v="11005" u="1"/>
        <n v="13240" u="1"/>
        <n v="15475" u="1"/>
        <n v="4140" u="1"/>
        <n v="36250" u="1"/>
        <n v="6375" u="1"/>
        <n v="17145" u="1"/>
        <n v="3065" u="1"/>
        <n v="19380" u="1"/>
        <n v="21615" u="1"/>
        <n v="23850" u="1"/>
        <n v="26085" u="1"/>
        <n v="28320" u="1"/>
        <n v="34875" u="1"/>
        <n v="30555" u="1"/>
        <n v="39345" u="1"/>
        <n v="9200" u="1"/>
        <n v="11435" u="1"/>
        <n v="2030" u="1"/>
        <n v="13670" u="1"/>
        <n v="15905" u="1"/>
        <n v="705" u="1"/>
        <n v="4355" u="1"/>
        <n v="33500" u="1"/>
        <n v="37970" u="1"/>
        <n v="6590" u="1"/>
        <n v="2055" u="1"/>
        <n v="18005" u="1"/>
        <n v="20240" u="1"/>
        <n v="22475" u="1"/>
        <n v="24710" u="1"/>
        <n v="26945" u="1"/>
        <n v="29180" u="1"/>
        <n v="36595" u="1"/>
        <n v="31415" u="1"/>
        <n v="1525" u="1"/>
        <n v="9630" u="1"/>
        <n v="11865" u="1"/>
        <n v="14100" u="1"/>
        <n v="16335" u="1"/>
        <n v="4570" u="1"/>
        <n v="35220" u="1"/>
        <n v="39690" u="1"/>
        <n v="6805" u="1"/>
        <n v="16630" u="1"/>
        <n v="3280" u="1"/>
        <n v="21100" u="1"/>
        <n v="23335" u="1"/>
        <n v="25570" u="1"/>
        <n v="27805" u="1"/>
        <n v="33845" u="1"/>
        <n v="30040" u="1"/>
        <n v="38315" u="1"/>
        <n v="32275" u="1"/>
        <n v="10060" u="1"/>
        <n v="12295" u="1"/>
        <n v="80" u="1"/>
        <n v="14530" u="1"/>
        <n v="4785" u="1"/>
        <n v="36940" u="1"/>
        <n v="7020" u="1"/>
        <n v="2270" u="1"/>
        <n v="17490" u="1"/>
        <n v="19725" u="1"/>
        <n v="21960" u="1"/>
        <n v="24195" u="1"/>
        <n v="26430" u="1"/>
        <n v="28665" u="1"/>
        <n v="35565" u="1"/>
        <n v="30900" u="1"/>
        <n v="40035" u="1"/>
        <n v="8255" u="1"/>
        <n v="10490" u="1"/>
        <n v="12725" u="1"/>
        <n v="14960" u="1"/>
        <n v="5000" u="1"/>
        <n v="34190" u="1"/>
        <n v="38660" u="1"/>
        <n v="7235" u="1"/>
        <n v="18350" u="1"/>
        <n v="20585" u="1"/>
        <n v="3495" u="1"/>
        <n v="22820" u="1"/>
        <n v="25055" u="1"/>
        <n v="27290" u="1"/>
        <n v="32815" u="1"/>
        <n v="29525" u="1"/>
        <n v="37285" u="1"/>
        <n v="31760" u="1"/>
        <n v="8685" u="1"/>
        <n v="10920" u="1"/>
        <n v="13155" u="1"/>
        <n v="15390" u="1"/>
        <n v="5215" u="1"/>
        <n v="40380" u="1"/>
        <n v="7450" u="1"/>
        <n v="2485" u="1"/>
        <n v="16975" u="1"/>
        <n v="19210" u="1"/>
        <n v="21445" u="1"/>
        <n v="23680" u="1"/>
        <n v="25915" u="1"/>
        <n v="28150" u="1"/>
        <n v="34535" u="1"/>
        <n v="30385" u="1"/>
        <n v="39005" u="1"/>
        <n v="32620" u="1"/>
        <n v="9115" u="1"/>
        <n v="1740" u="1"/>
        <n v="11350" u="1"/>
        <n v="13585" u="1"/>
        <n v="560" u="1"/>
        <n v="15820" u="1"/>
        <n v="125" u="1"/>
        <n v="5430" u="1"/>
        <n v="33160" u="1"/>
        <n v="37630" u="1"/>
        <n v="7665" u="1"/>
        <n v="17835" u="1"/>
        <n v="20070" u="1"/>
        <n v="22305" u="1"/>
        <n v="3710" u="1"/>
        <n v="24540" u="1"/>
        <n v="26775" u="1"/>
        <n v="29010" u="1"/>
        <n v="36255" u="1"/>
        <n v="1235" u="1"/>
        <n v="31245" u="1"/>
        <n v="9545" u="1"/>
        <n v="11780" u="1"/>
        <n v="14015" u="1"/>
        <n v="16250" u="1"/>
        <n v="5645" u="1"/>
        <n v="34880" u="1"/>
        <n v="39350" u="1"/>
        <n v="7880" u="1"/>
        <n v="2700" u="1"/>
        <n v="16460" u="1"/>
        <n v="18695" u="1"/>
        <n v="20930" u="1"/>
        <n v="23165" u="1"/>
        <n v="25400" u="1"/>
        <n v="27635" u="1"/>
        <n v="33505" u="1"/>
        <n v="29870" u="1"/>
        <n v="37975" u="1"/>
        <n v="32105" u="1"/>
        <n v="9975" u="1"/>
        <n v="12210" u="1"/>
        <n v="14445" u="1"/>
        <n v="5860" u="1"/>
        <n v="36600" u="1"/>
        <n v="8095" u="1"/>
        <n v="17320" u="1"/>
        <n v="19555" u="1"/>
        <n v="21790" u="1"/>
        <n v="24025" u="1"/>
        <n v="3925" u="1"/>
        <n v="26260" u="1"/>
        <n v="28495" u="1"/>
        <n v="35225" u="1"/>
        <n v="30730" u="1"/>
        <n v="39695" u="1"/>
        <n v="10405" u="1"/>
        <n v="12640" u="1"/>
        <n v="14875" u="1"/>
        <n v="33850" u="1"/>
        <n v="920" u="1"/>
        <n v="6075" u="1"/>
        <n v="38320" u="1"/>
        <n v="305" u="1"/>
        <n v="2915" u="1"/>
        <n v="18180" u="1"/>
        <n v="20415" u="1"/>
        <n v="22650" u="1"/>
        <n v="24885" u="1"/>
        <n v="27120" u="1"/>
        <n v="29355" u="1"/>
        <n v="36945" u="1"/>
        <n v="31590" u="1"/>
        <n v="8600" u="1"/>
        <n v="10835" u="1"/>
        <n v="1955" u="1"/>
        <n v="13070" u="1"/>
        <n v="15305" u="1"/>
        <n v="35570" u="1"/>
        <n v="40040" u="1"/>
        <n v="16805" u="1"/>
        <n v="19040" u="1"/>
        <n v="21275" u="1"/>
        <n v="23510" u="1"/>
        <n v="25745" u="1"/>
        <n v="27980" u="1"/>
        <n v="34195" u="1"/>
        <n v="30215" u="1"/>
        <n v="38665" u="1"/>
        <n v="32450" u="1"/>
        <n v="1450" u="1"/>
        <n v="9030" u="1"/>
        <n v="11265" u="1"/>
        <n v="13500" u="1"/>
        <n v="15735" u="1"/>
        <n v="4270" u="1"/>
        <n v="32820" u="1"/>
        <n v="37290" u="1"/>
        <n v="6505" u="1"/>
        <n v="17665" u="1"/>
        <n v="3130" u="1"/>
        <n v="19900" u="1"/>
        <n v="22135" u="1"/>
        <n v="24370" u="1"/>
        <n v="26605" u="1"/>
        <n v="28840" u="1"/>
        <n v="35915" u="1"/>
        <n v="31075" u="1"/>
        <n v="40385" u="1"/>
        <n v="9460" u="1"/>
        <n v="11695" u="1"/>
        <n v="13930" u="1"/>
        <n v="16165" u="1"/>
        <n v="4485" u="1"/>
        <n v="34540" u="1"/>
        <n v="39010" u="1"/>
        <n v="6720" u="1"/>
        <n v="2120" u="1"/>
        <n v="18525" u="1"/>
        <n v="485" u="1"/>
        <n v="20760" u="1"/>
        <n v="22995" u="1"/>
        <n v="25230" u="1"/>
        <n v="165" u="1"/>
        <n v="27465" u="1"/>
        <n v="33165" u="1"/>
        <n v="29700" u="1"/>
        <n v="37635" u="1"/>
        <n v="31935" u="1"/>
        <n v="9890" u="1"/>
        <n v="14360" u="1"/>
        <n v="4700" u="1"/>
        <n v="36260" u="1"/>
        <n v="6935" u="1"/>
        <n v="17150" u="1"/>
        <n v="19385" u="1"/>
        <n v="3345" u="1"/>
        <n v="21620" u="1"/>
        <n v="23855" u="1"/>
        <n v="26090" u="1"/>
        <n v="28325" u="1"/>
        <n v="34885" u="1"/>
        <n v="30560" u="1"/>
        <n v="39355" u="1"/>
        <n v="10320" u="1"/>
        <n v="12555" u="1"/>
        <n v="14790" u="1"/>
        <n v="775" u="1"/>
        <n v="4915" u="1"/>
        <n v="33510" u="1"/>
        <n v="37980" u="1"/>
        <n v="7150" u="1"/>
        <n v="2335" u="1"/>
        <n v="18010" u="1"/>
        <n v="20245" u="1"/>
        <n v="22480" u="1"/>
        <n v="24715" u="1"/>
        <n v="26950" u="1"/>
        <n v="29185" u="1"/>
        <n v="36605" u="1"/>
        <n v="31420" u="1"/>
        <n v="8515" u="1"/>
        <n v="1665" u="1"/>
        <n v="10750" u="1"/>
        <n v="12985" u="1"/>
        <n v="15220" u="1"/>
        <n v="5130" u="1"/>
        <n v="35230" u="1"/>
        <n v="39700" u="1"/>
        <n v="7365" u="1"/>
        <n v="16635" u="1"/>
        <n v="18870" u="1"/>
        <n v="21105" u="1"/>
        <n v="3560" u="1"/>
        <n v="25575" u="1"/>
        <n v="27810" u="1"/>
        <n v="33855" u="1"/>
        <n v="1160" u="1"/>
        <n v="30045" u="1"/>
        <n v="38325" u="1"/>
        <n v="32280" u="1"/>
        <n v="8945" u="1"/>
        <n v="255" u="1"/>
        <n v="11180" u="1"/>
        <n v="13415" u="1"/>
        <n v="15650" u="1"/>
        <n v="5345" u="1"/>
        <n v="36950" u="1"/>
        <n v="7580" u="1"/>
        <n v="2550" u="1"/>
        <n v="17495" u="1"/>
        <n v="19730" u="1"/>
        <n v="21965" u="1"/>
        <n v="24200" u="1"/>
        <n v="26435" u="1"/>
        <n v="28670" u="1"/>
        <n v="35575" u="1"/>
        <n v="30905" u="1"/>
        <n v="40045" u="1"/>
        <n v="9375" u="1"/>
        <n v="11610" u="1"/>
        <n v="13845" u="1"/>
        <n v="16080" u="1"/>
        <n v="5560" u="1"/>
        <n v="34200" u="1"/>
        <n v="38670" u="1"/>
        <n v="7795" u="1"/>
        <n v="18355" u="1"/>
        <n v="20590" u="1"/>
        <n v="22825" u="1"/>
        <n v="3775" u="1"/>
        <n v="25060" u="1"/>
        <n v="27295" u="1"/>
        <n v="32825" u="1"/>
        <n v="29530" u="1"/>
        <n v="37295" u="1"/>
        <n v="31765" u="1"/>
        <n v="9805" u="1"/>
        <n v="12040" u="1"/>
        <n v="14275" u="1"/>
        <n v="5775" u="1"/>
        <n v="35920" u="1"/>
        <n v="40390" u="1"/>
        <n v="8010" u="1"/>
        <n v="2765" u="1"/>
        <n v="16980" u="1"/>
        <n v="19215" u="1"/>
        <n v="21450" u="1"/>
        <n v="23685" u="1"/>
        <n v="25920" u="1"/>
        <n v="28155" u="1"/>
        <n v="34545" u="1"/>
        <n v="30390" u="1"/>
        <n v="39015" u="1"/>
        <n v="32625" u="1"/>
        <n v="10235" u="1"/>
        <n v="1880" u="1"/>
        <n v="12470" u="1"/>
        <n v="14705" u="1"/>
        <n v="630" u="1"/>
        <n v="33170" u="1"/>
        <n v="5990" u="1"/>
        <n v="37640" u="1"/>
        <n v="17840" u="1"/>
        <n v="20075" u="1"/>
        <n v="22310" u="1"/>
        <n v="24545" u="1"/>
        <n v="3990" u="1"/>
        <n v="26780" u="1"/>
        <n v="29015" u="1"/>
        <n v="36265" u="1"/>
        <n v="31250" u="1"/>
        <n v="8430" u="1"/>
        <n v="10665" u="1"/>
        <n v="12900" u="1"/>
        <n v="15135" u="1"/>
        <n v="34890" u="1"/>
        <n v="6205" u="1"/>
        <n v="39360" u="1"/>
        <n v="16465" u="1"/>
        <n v="2980" u="1"/>
        <n v="18700" u="1"/>
        <n v="20935" u="1"/>
        <n v="23170" u="1"/>
        <n v="25405" u="1"/>
        <n v="27640" u="1"/>
        <n v="29875" u="1"/>
        <n v="37985" u="1"/>
        <n v="32110" u="1"/>
        <n v="8860" u="1"/>
        <n v="11095" u="1"/>
        <n v="13330" u="1"/>
        <n v="15565" u="1"/>
        <n v="4185" u="1"/>
        <n v="36610" u="1"/>
        <n v="6420" u="1"/>
        <n v="17325" u="1"/>
        <n v="19560" u="1"/>
        <n v="21795" u="1"/>
        <n v="24030" u="1"/>
        <n v="26265" u="1"/>
        <n v="28500" u="1"/>
        <n v="35235" u="1"/>
        <n v="30735" u="1"/>
        <n v="39705" u="1"/>
        <n v="9290" u="1"/>
        <n v="11525" u="1"/>
        <n v="13760" u="1"/>
        <n v="15995" u="1"/>
        <n v="4400" u="1"/>
        <n v="33860" u="1"/>
        <n v="38330" u="1"/>
        <n v="990" u="1"/>
        <n v="6635" u="1"/>
        <n v="340" u="1"/>
        <n v="18185" u="1"/>
        <n v="3195" u="1"/>
        <n v="20420" u="1"/>
        <n v="22655" u="1"/>
        <n v="24890" u="1"/>
        <n v="27125" u="1"/>
        <n v="29360" u="1"/>
        <n v="36955" u="1"/>
        <n v="31595" u="1"/>
        <n v="9720" u="1"/>
        <n v="11955" u="1"/>
        <n v="14190" u="1"/>
        <n v="4615" u="1"/>
        <n v="35580" u="1"/>
        <n v="40050" u="1"/>
        <n v="6850" u="1"/>
        <n v="2185" u="1"/>
        <n v="16810" u="1"/>
        <n v="19045" u="1"/>
        <n v="21280" u="1"/>
        <n v="23515" u="1"/>
        <n v="25750" u="1"/>
        <n v="27985" u="1"/>
        <n v="34205" u="1"/>
        <n v="30220" u="1"/>
        <n v="38675" u="1"/>
        <n v="32455" u="1"/>
        <n v="1590" u="1"/>
        <n v="10150" u="1"/>
        <n v="12385" u="1"/>
        <n v="14620" u="1"/>
        <n v="4830" u="1"/>
        <n v="32830" u="1"/>
        <n v="37300" u="1"/>
        <n v="7065" u="1"/>
        <n v="17670" u="1"/>
        <n v="3410" u="1"/>
        <n v="22140" u="1"/>
        <n v="24375" u="1"/>
        <n v="26610" u="1"/>
        <n v="1085" u="1"/>
        <n v="28845" u="1"/>
        <n v="35925" u="1"/>
        <n v="31080" u="1"/>
        <n v="40395" u="1"/>
        <n v="8345" u="1"/>
        <n v="10580" u="1"/>
        <n v="12815" u="1"/>
        <n v="15050" u="1"/>
        <n v="5045" u="1"/>
        <n v="34550" u="1"/>
        <n v="39020" u="1"/>
        <n v="7280" u="1"/>
        <n v="2400" u="1"/>
        <n v="18530" u="1"/>
        <n v="20765" u="1"/>
        <n v="23000" u="1"/>
        <n v="25235" u="1"/>
        <n v="27470" u="1"/>
        <n v="33175" u="1"/>
        <n v="29705" u="1"/>
        <n v="37645" u="1"/>
        <n v="31940" u="1"/>
        <n v="8775" u="1"/>
        <n v="11010" u="1"/>
        <n v="13245" u="1"/>
        <n v="15480" u="1"/>
        <n v="5260" u="1"/>
        <n v="36270" u="1"/>
        <n v="7495" u="1"/>
        <n v="17155" u="1"/>
        <n v="19390" u="1"/>
        <n v="21625" u="1"/>
        <n v="3625" u="1"/>
        <n v="23860" u="1"/>
        <n v="26095" u="1"/>
        <n v="28330" u="1"/>
        <n v="34895" u="1"/>
        <n v="30565" u="1"/>
        <n v="39365" u="1"/>
        <n v="9205" u="1"/>
        <n v="11440" u="1"/>
        <n v="13675" u="1"/>
        <n v="15910" u="1"/>
        <n v="845" u="1"/>
        <n v="5475" u="1"/>
        <n v="33520" u="1"/>
        <n v="7710" u="1"/>
        <n v="2615" u="1"/>
        <n v="18015" u="1"/>
        <n v="20250" u="1"/>
        <n v="22485" u="1"/>
        <n v="24720" u="1"/>
        <n v="26955" u="1"/>
        <n v="29190" u="1"/>
        <n v="36615" u="1"/>
        <n v="31425" u="1"/>
        <n v="9635" u="1"/>
        <n v="1805" u="1"/>
        <n v="11870" u="1"/>
        <n v="14105" u="1"/>
        <n v="16340" u="1"/>
        <n v="5690" u="1"/>
        <n v="35240" u="1"/>
        <n v="39710" u="1"/>
        <n v="7925" u="1"/>
        <n v="16640" u="1"/>
        <n v="18875" u="1"/>
        <n v="21110" u="1"/>
        <n v="23345" u="1"/>
        <n v="3840" u="1"/>
        <n v="25580" u="1"/>
        <n v="27815" u="1"/>
        <n v="33865" u="1"/>
        <n v="30050" u="1"/>
        <n v="38335" u="1"/>
        <n v="1300" u="1"/>
        <n v="32285" u="1"/>
        <n v="10065" u="1"/>
        <n v="12300" u="1"/>
        <n v="14535" u="1"/>
        <n v="5905" u="1"/>
        <n v="36960" u="1"/>
        <n v="8140" u="1"/>
        <n v="2830" u="1"/>
        <n v="17500" u="1"/>
        <n v="19735" u="1"/>
        <n v="21970" u="1"/>
        <n v="24205" u="1"/>
        <n v="26440" u="1"/>
        <n v="28675" u="1"/>
        <n v="35585" u="1"/>
        <n v="30910" u="1"/>
        <n v="40055" u="1"/>
        <n v="8260" u="1"/>
        <n v="10495" u="1"/>
        <n v="12730" u="1"/>
        <n v="14965" u="1"/>
        <n v="34210" u="1"/>
        <n v="6120" u="1"/>
        <n v="38680" u="1"/>
        <n v="18360" u="1"/>
        <n v="20595" u="1"/>
        <n v="22830" u="1"/>
        <n v="25065" u="1"/>
        <n v="4055" u="1"/>
        <n v="27300" u="1"/>
        <n v="32835" u="1"/>
        <n v="29535" u="1"/>
        <n v="37305" u="1"/>
        <n v="31770" u="1"/>
        <n v="8690" u="1"/>
        <n v="10925" u="1"/>
        <n v="13160" u="1"/>
        <n v="15395" u="1"/>
        <n v="4100" u="1"/>
        <n v="35930" u="1"/>
        <n v="6335" u="1"/>
        <n v="40400" u="1"/>
        <n v="16985" u="1"/>
        <n v="3045" u="1"/>
        <n v="19220" u="1"/>
        <n v="21455" u="1"/>
        <n v="23690" u="1"/>
        <n v="25925" u="1"/>
        <n v="28160" u="1"/>
        <n v="34555" u="1"/>
        <n v="30395" u="1"/>
        <n v="39025" u="1"/>
        <n v="32630" u="1"/>
        <n v="9120" u="1"/>
        <n v="11355" u="1"/>
        <n v="2020" u="1"/>
        <n v="13590" u="1"/>
        <n v="15825" u="1"/>
        <n v="700" u="1"/>
        <n v="4315" u="1"/>
        <n v="33180" u="1"/>
        <n v="37650" u="1"/>
        <n v="17845" u="1"/>
        <n v="20080" u="1"/>
        <n v="22315" u="1"/>
        <n v="24550" u="1"/>
        <n v="26785" u="1"/>
        <n v="29020" u="1"/>
        <n v="36275" u="1"/>
        <n v="31255" u="1"/>
        <n v="1515" u="1"/>
        <n v="9550" u="1"/>
        <n v="11785" u="1"/>
        <n v="14020" u="1"/>
        <n v="16255" u="1"/>
        <n v="4530" u="1"/>
        <n v="34900" u="1"/>
        <n v="39370" u="1"/>
        <n v="6765" u="1"/>
        <n v="18705" u="1"/>
        <n v="3260" u="1"/>
        <n v="20940" u="1"/>
        <n v="23175" u="1"/>
        <n v="25410" u="1"/>
        <n v="27645" u="1"/>
        <n v="33525" u="1"/>
        <n v="29880" u="1"/>
        <n v="37995" u="1"/>
        <n v="32115" u="1"/>
        <n v="9980" u="1"/>
        <n v="12215" u="1"/>
        <n v="14450" u="1"/>
        <n v="4745" u="1"/>
        <n v="36620" u="1"/>
        <n v="6980" u="1"/>
        <n v="2250" u="1"/>
        <n v="17330" u="1"/>
        <n v="19565" u="1"/>
        <n v="21800" u="1"/>
        <n v="24035" u="1"/>
        <n v="26270" u="1"/>
        <n v="28505" u="1"/>
        <n v="35245" u="1"/>
        <n v="30740" u="1"/>
        <n v="39715" u="1"/>
        <n v="10410" u="1"/>
        <n v="14880" u="1"/>
        <n v="4960" u="1"/>
        <n v="33870" u="1"/>
        <n v="38340" u="1"/>
        <n v="7195" u="1"/>
        <n v="375" u="1"/>
        <n v="18190" u="1"/>
        <n v="20425" u="1"/>
        <n v="3475" u="1"/>
        <n v="22660" u="1"/>
        <n v="24895" u="1"/>
        <n v="27130" u="1"/>
        <n v="29365" u="1"/>
        <n v="36965" u="1"/>
        <n v="31600" u="1"/>
        <n v="8605" u="1"/>
        <n v="10840" u="1"/>
        <n v="13075" u="1"/>
        <n v="15310" u="1"/>
        <n v="5175" u="1"/>
        <n v="35590" u="1"/>
        <n v="40060" u="1"/>
        <n v="7410" u="1"/>
        <n v="2465" u="1"/>
        <n v="16815" u="1"/>
        <n v="19050" u="1"/>
        <n v="21285" u="1"/>
        <n v="23520" u="1"/>
        <n v="25755" u="1"/>
        <n v="27990" u="1"/>
        <n v="34215" u="1"/>
        <n v="30225" u="1"/>
        <n v="38685" u="1"/>
        <n v="32460" u="1"/>
        <n v="9035" u="1"/>
        <n v="1730" u="1"/>
        <n v="11270" u="1"/>
        <n v="13505" u="1"/>
        <n v="555" u="1"/>
        <n v="15740" u="1"/>
        <n v="5390" u="1"/>
        <n v="32840" u="1"/>
        <n v="37310" u="1"/>
        <n v="7625" u="1"/>
        <n v="17675" u="1"/>
        <n v="19910" u="1"/>
        <n v="22145" u="1"/>
        <n v="3690" u="1"/>
        <n v="24380" u="1"/>
        <n v="26615" u="1"/>
        <n v="28850" u="1"/>
        <n v="35935" u="1"/>
        <n v="1225" u="1"/>
        <n v="31085" u="1"/>
        <n v="40405" u="1"/>
        <n v="9465" u="1"/>
        <n v="11700" u="1"/>
        <n v="13935" u="1"/>
        <n v="16170" u="1"/>
        <n v="5605" u="1"/>
        <n v="34560" u="1"/>
        <n v="39030" u="1"/>
        <n v="7840" u="1"/>
        <n v="2680" u="1"/>
        <n v="18535" u="1"/>
        <n v="20770" u="1"/>
        <n v="23005" u="1"/>
        <n v="25240" u="1"/>
        <n v="27475" u="1"/>
        <n v="33185" u="1"/>
        <n v="29710" u="1"/>
        <n v="37655" u="1"/>
        <n v="200" u="1"/>
        <n v="31945" u="1"/>
        <n v="9895" u="1"/>
        <n v="12130" u="1"/>
        <n v="14365" u="1"/>
        <n v="5820" u="1"/>
        <n v="36280" u="1"/>
        <n v="8055" u="1"/>
        <n v="17160" u="1"/>
        <n v="19395" u="1"/>
        <n v="21630" u="1"/>
        <n v="23865" u="1"/>
        <n v="3905" u="1"/>
        <n v="26100" u="1"/>
        <n v="28335" u="1"/>
        <n v="34905" u="1"/>
        <n v="30570" u="1"/>
        <n v="39375" u="1"/>
        <n v="10325" u="1"/>
        <n v="12560" u="1"/>
        <n v="14795" u="1"/>
        <n v="33530" u="1"/>
        <n v="915" u="1"/>
        <n v="6035" u="1"/>
        <n v="38000" u="1"/>
        <n v="2895" u="1"/>
        <n v="18020" u="1"/>
        <n v="20255" u="1"/>
        <n v="22490" u="1"/>
        <n v="24725" u="1"/>
        <n v="26960" u="1"/>
        <n v="29195" u="1"/>
        <n v="36625" u="1"/>
        <n v="31430" u="1"/>
        <n v="8520" u="1"/>
        <n v="10755" u="1"/>
        <n v="1945" u="1"/>
        <n v="12990" u="1"/>
        <n v="15225" u="1"/>
        <n v="35250" u="1"/>
        <n v="6250" u="1"/>
        <n v="39720" u="1"/>
        <n v="16645" u="1"/>
        <n v="18880" u="1"/>
        <n v="21115" u="1"/>
        <n v="23350" u="1"/>
        <n v="25585" u="1"/>
        <n v="27820" u="1"/>
        <n v="33875" u="1"/>
        <n v="30055" u="1"/>
        <n v="38345" u="1"/>
        <n v="32290" u="1"/>
        <n v="8950" u="1"/>
        <n v="11185" u="1"/>
        <n v="13420" u="1"/>
        <n v="15655" u="1"/>
        <n v="4230" u="1"/>
        <n v="36970" u="1"/>
        <n v="6465" u="1"/>
        <n v="17505" u="1"/>
        <n v="3110" u="1"/>
        <n v="19740" u="1"/>
        <n v="21975" u="1"/>
        <n v="24210" u="1"/>
        <n v="26445" u="1"/>
        <n v="28680" u="1"/>
        <n v="30915" u="1"/>
        <n v="40065" u="1"/>
        <n v="9380" u="1"/>
        <n v="11615" u="1"/>
        <n v="13850" u="1"/>
        <n v="16085" u="1"/>
        <n v="4445" u="1"/>
        <n v="34220" u="1"/>
        <n v="38690" u="1"/>
        <n v="6680" u="1"/>
        <n v="2100" u="1"/>
        <n v="18365" u="1"/>
        <n v="20600" u="1"/>
        <n v="22835" u="1"/>
        <n v="25070" u="1"/>
        <n v="27305" u="1"/>
        <n v="32845" u="1"/>
        <n v="29540" u="1"/>
        <n v="37315" u="1"/>
        <n v="31775" u="1"/>
        <n v="9810" u="1"/>
        <n v="12045" u="1"/>
        <n v="14280" u="1"/>
        <n v="4660" u="1"/>
        <n v="35940" u="1"/>
        <n v="40410" u="1"/>
        <n v="6895" u="1"/>
        <n v="16990" u="1"/>
        <n v="19225" u="1"/>
        <n v="3325" u="1"/>
        <n v="21460" u="1"/>
        <n v="23695" u="1"/>
        <n v="25930" u="1"/>
        <n v="28165" u="1"/>
        <n v="34565" u="1"/>
        <n v="30400" u="1"/>
        <n v="39035" u="1"/>
        <n v="32635" u="1"/>
        <n v="10240" u="1"/>
        <n v="12475" u="1"/>
        <n v="14710" u="1"/>
        <n v="770" u="1"/>
        <n v="4875" u="1"/>
        <n v="33190" u="1"/>
        <n v="37660" u="1"/>
        <n v="7110" u="1"/>
        <n v="2315" u="1"/>
        <n v="17850" u="1"/>
        <n v="20085" u="1"/>
        <n v="22320" u="1"/>
        <n v="24555" u="1"/>
        <n v="26790" u="1"/>
        <n v="29025" u="1"/>
        <n v="36285" u="1"/>
        <n v="31260" u="1"/>
        <n v="8435" u="1"/>
        <n v="1655" u="1"/>
        <n v="10670" u="1"/>
        <n v="12905" u="1"/>
        <n v="15140" u="1"/>
        <n v="5090" u="1"/>
        <n v="34910" u="1"/>
        <n v="39380" u="1"/>
        <n v="7325" u="1"/>
        <n v="16475" u="1"/>
        <n v="18710" u="1"/>
        <n v="3540" u="1"/>
        <n v="23180" u="1"/>
        <n v="25415" u="1"/>
        <n v="27650" u="1"/>
        <n v="33535" u="1"/>
        <n v="1150" u="1"/>
        <n v="29885" u="1"/>
        <n v="38005" u="1"/>
        <n v="32120" u="1"/>
        <n v="8865" u="1"/>
        <n v="11100" u="1"/>
        <n v="13335" u="1"/>
        <n v="15570" u="1"/>
        <n v="5305" u="1"/>
        <n v="36630" u="1"/>
        <n v="7540" u="1"/>
        <n v="2530" u="1"/>
        <n v="17335" u="1"/>
        <n v="19570" u="1"/>
        <n v="21805" u="1"/>
        <n v="24040" u="1"/>
        <n v="26275" u="1"/>
        <n v="28510" u="1"/>
        <n v="35255" u="1"/>
        <n v="30745" u="1"/>
        <n v="39725" u="1"/>
        <n v="9295" u="1"/>
        <n v="11530" u="1"/>
        <n v="13765" u="1"/>
        <n v="16000" u="1"/>
        <n v="5520" u="1"/>
        <n v="33880" u="1"/>
        <n v="38350" u="1"/>
        <n v="7755" u="1"/>
        <n v="410" u="1"/>
        <n v="18195" u="1"/>
        <n v="20430" u="1"/>
        <n v="22665" u="1"/>
        <n v="3755" u="1"/>
        <n v="24900" u="1"/>
        <n v="27135" u="1"/>
        <n v="29370" u="1"/>
        <n v="36975" u="1"/>
        <n v="31605" u="1"/>
        <n v="9725" u="1"/>
        <n v="11960" u="1"/>
        <n v="14195" u="1"/>
        <n v="5735" u="1"/>
        <n v="35600" u="1"/>
        <n v="7970" u="1"/>
        <n v="2745" u="1"/>
        <n v="16820" u="1"/>
        <n v="19055" u="1"/>
        <n v="21290" u="1"/>
        <n v="23525" u="1"/>
        <n v="25760" u="1"/>
        <n v="27995" u="1"/>
        <n v="34225" u="1"/>
        <n v="30230" u="1"/>
        <n v="38695" u="1"/>
        <n v="32465" u="1"/>
        <n v="10155" u="1"/>
        <n v="1870" u="1"/>
        <n v="12390" u="1"/>
        <n v="14625" u="1"/>
        <n v="625" u="1"/>
        <n v="32850" u="1"/>
        <n v="5950" u="1"/>
        <n v="37320" u="1"/>
        <n v="8185" u="1"/>
        <n v="17680" u="1"/>
        <n v="19915" u="1"/>
        <n v="22150" u="1"/>
        <n v="24385" u="1"/>
        <n v="3970" u="1"/>
        <n v="26620" u="1"/>
        <n v="28855" u="1"/>
        <n v="35945" u="1"/>
        <n v="31090" u="1"/>
        <n v="40415" u="1"/>
        <n v="1365" u="1"/>
        <n v="8350" u="1"/>
        <n v="10585" u="1"/>
        <n v="12820" u="1"/>
        <n v="15055" u="1"/>
        <n v="34570" u="1"/>
        <n v="6165" u="1"/>
        <n v="39040" u="1"/>
        <n v="2960" u="1"/>
        <n v="18540" u="1"/>
        <n v="20775" u="1"/>
        <n v="23010" u="1"/>
        <n v="25245" u="1"/>
        <n v="27480" u="1"/>
        <n v="33195" u="1"/>
        <n v="29715" u="1"/>
        <n v="37665" u="1"/>
        <n v="31950" u="1"/>
        <n v="8780" u="1"/>
        <n v="11015" u="1"/>
        <n v="13250" u="1"/>
        <n v="15485" u="1"/>
        <n v="4145" u="1"/>
        <n v="36290" u="1"/>
        <n v="6380" u="1"/>
        <n v="17165" u="1"/>
        <n v="19400" u="1"/>
        <n v="21635" u="1"/>
        <n v="23870" u="1"/>
        <n v="26105" u="1"/>
        <n v="28340" u="1"/>
        <n v="34915" u="1"/>
        <n v="30575" u="1"/>
        <n v="39385" u="1"/>
        <n v="9210" u="1"/>
        <n v="11445" u="1"/>
        <n v="13680" u="1"/>
        <n v="15915" u="1"/>
        <n v="4360" u="1"/>
        <n v="33540" u="1"/>
        <n v="38010" u="1"/>
        <n v="985" u="1"/>
        <n v="6595" u="1"/>
        <n v="18025" u="1"/>
        <n v="3175" u="1"/>
        <n v="20260" u="1"/>
        <n v="22495" u="1"/>
        <n v="24730" u="1"/>
        <n v="26965" u="1"/>
        <n v="29200" u="1"/>
        <n v="36635" u="1"/>
        <n v="31435" u="1"/>
        <n v="9640" u="1"/>
        <n v="11875" u="1"/>
        <n v="14110" u="1"/>
        <n v="16345" u="1"/>
        <n v="4575" u="1"/>
        <n v="35260" u="1"/>
        <n v="39730" u="1"/>
        <n v="2165" u="1"/>
        <n v="16650" u="1"/>
        <n v="18885" u="1"/>
        <n v="21120" u="1"/>
        <n v="23355" u="1"/>
        <n v="25590" u="1"/>
        <n v="27825" u="1"/>
        <n v="33885" u="1"/>
        <n v="30060" u="1"/>
        <n v="38355" u="1"/>
        <n v="32295" u="1"/>
        <n v="1580" u="1"/>
        <n v="10070" u="1"/>
        <n v="12305" u="1"/>
        <n v="14540" u="1"/>
        <n v="115" u="1"/>
        <n v="4790" u="1"/>
        <n v="36980" u="1"/>
        <n v="7025" u="1"/>
        <n v="19745" u="1"/>
        <n v="3390" u="1"/>
        <n v="21980" u="1"/>
        <n v="24215" u="1"/>
        <n v="26450" u="1"/>
        <n v="1075" u="1"/>
        <n v="28685" u="1"/>
        <n v="35605" u="1"/>
        <n v="30920" u="1"/>
        <n v="40075" u="1"/>
        <n v="8265" u="1"/>
        <n v="10500" u="1"/>
        <n v="12735" u="1"/>
        <n v="14970" u="1"/>
        <n v="5005" u="1"/>
        <n v="34230" u="1"/>
        <n v="38700" u="1"/>
        <n v="7240" u="1"/>
        <n v="2380" u="1"/>
        <n v="18370" u="1"/>
        <n v="20605" u="1"/>
        <n v="22840" u="1"/>
        <n v="25075" u="1"/>
        <n v="27310" u="1"/>
        <n v="32855" u="1"/>
        <n v="29545" u="1"/>
        <n v="37325" u="1"/>
        <n v="31780" u="1"/>
        <n v="8695" u="1"/>
        <n v="10930" u="1"/>
        <n v="15400" u="1"/>
        <n v="5220" u="1"/>
        <n v="35950" u="1"/>
        <n v="40420" u="1"/>
        <n v="7455" u="1"/>
        <n v="16995" u="1"/>
        <n v="19230" u="1"/>
        <n v="21465" u="1"/>
        <n v="3605" u="1"/>
        <n v="23700" u="1"/>
        <n v="25935" u="1"/>
        <n v="28170" u="1"/>
        <n v="34575" u="1"/>
        <n v="30405" u="1"/>
        <n v="39045" u="1"/>
        <n v="32640" u="1"/>
        <n v="9125" u="1"/>
        <n v="11360" u="1"/>
        <n v="13595" u="1"/>
        <n v="15830" u="1"/>
        <n v="840" u="1"/>
        <n v="5435" u="1"/>
        <n v="37670" u="1"/>
        <n v="265" u="1"/>
        <n v="7670" u="1"/>
        <n v="2595" u="1"/>
        <n v="17855" u="1"/>
        <n v="20090" u="1"/>
        <n v="22325" u="1"/>
        <n v="24560" u="1"/>
        <n v="26795" u="1"/>
        <n v="29030" u="1"/>
        <n v="36295" u="1"/>
        <n v="31265" u="1"/>
        <n v="9555" u="1"/>
        <n v="1795" u="1"/>
        <n v="11790" u="1"/>
        <n v="14025" u="1"/>
        <n v="16260" u="1"/>
        <n v="5650" u="1"/>
        <n v="34920" u="1"/>
        <n v="39390" u="1"/>
        <n v="7885" u="1"/>
        <n v="16480" u="1"/>
        <n v="18715" u="1"/>
        <n v="20950" u="1"/>
        <n v="23185" u="1"/>
        <n v="3820" u="1"/>
        <n v="25420" u="1"/>
        <n v="27655" u="1"/>
        <n v="33545" u="1"/>
        <n v="29890" u="1"/>
        <n v="38015" u="1"/>
        <n v="1290" u="1"/>
        <n v="32125" u="1"/>
        <n v="9985" u="1"/>
        <n v="12220" u="1"/>
        <n v="14455" u="1"/>
        <n v="5865" u="1"/>
        <n v="36640" u="1"/>
        <n v="8100" u="1"/>
        <n v="2810" u="1"/>
        <n v="17340" u="1"/>
        <n v="19575" u="1"/>
        <n v="21810" u="1"/>
        <n v="24045" u="1"/>
        <n v="26280" u="1"/>
        <n v="28515" u="1"/>
        <n v="35265" u="1"/>
        <n v="30750" u="1"/>
        <n v="39735" u="1"/>
        <n v="10415" u="1"/>
        <n v="12650" u="1"/>
        <n v="14885" u="1"/>
        <n v="33890" u="1"/>
        <n v="6080" u="1"/>
        <n v="38360" u="1"/>
        <n v="445" u="1"/>
        <n v="18200" u="1"/>
        <n v="20435" u="1"/>
        <n v="22670" u="1"/>
        <n v="145" u="1"/>
        <n v="24905" u="1"/>
        <n v="4035" u="1"/>
        <n v="27140" u="1"/>
        <n v="29375" u="1"/>
        <n v="36985" u="1"/>
        <n v="31610" u="1"/>
        <n v="8610" u="1"/>
        <n v="10845" u="1"/>
        <n v="13080" u="1"/>
        <n v="15315" u="1"/>
        <n v="35610" u="1"/>
        <n v="6295" u="1"/>
        <n v="40080" u="1"/>
        <n v="16825" u="1"/>
        <n v="3025" u="1"/>
        <n v="19060" u="1"/>
        <n v="21295" u="1"/>
        <n v="23530" u="1"/>
        <n v="25765" u="1"/>
        <n v="28000" u="1"/>
        <n v="34235" u="1"/>
        <n v="30235" u="1"/>
        <n v="38705" u="1"/>
        <n v="32470" u="1"/>
        <n v="9040" u="1"/>
        <n v="11275" u="1"/>
        <n v="2010" u="1"/>
        <n v="13510" u="1"/>
        <n v="15745" u="1"/>
        <n v="695" u="1"/>
        <n v="4275" u="1"/>
        <n v="32860" u="1"/>
        <n v="37330" u="1"/>
        <n v="6510" u="1"/>
        <n v="17685" u="1"/>
        <n v="19920" u="1"/>
        <n v="22155" u="1"/>
        <n v="24390" u="1"/>
        <n v="26625" u="1"/>
        <n v="28860" u="1"/>
        <n v="35955" u="1"/>
        <n v="31095" u="1"/>
        <n v="40425" u="1"/>
        <n v="9470" u="1"/>
        <n v="11705" u="1"/>
        <n v="13940" u="1"/>
        <n v="16175" u="1"/>
        <n v="4490" u="1"/>
        <n v="34580" u="1"/>
        <n v="39050" u="1"/>
        <n v="6725" u="1"/>
        <n v="18545" u="1"/>
        <n v="3240" u="1"/>
        <n v="20780" u="1"/>
        <n v="23015" u="1"/>
        <n v="25250" u="1"/>
        <n v="27485" u="1"/>
        <n v="33205" u="1"/>
        <n v="29720" u="1"/>
        <n v="31955" u="1"/>
        <n v="235" u="1"/>
        <n v="9900" u="1"/>
        <n v="12135" u="1"/>
        <n v="14370" u="1"/>
        <n v="4705" u="1"/>
        <n v="36300" u="1"/>
        <n v="6940" u="1"/>
        <n v="2230" u="1"/>
        <n v="17170" u="1"/>
        <n v="19405" u="1"/>
        <n v="21640" u="1"/>
        <n v="23875" u="1"/>
        <n v="26110" u="1"/>
        <n v="28345" u="1"/>
        <n v="34925" u="1"/>
        <n v="30580" u="1"/>
        <n v="39395" u="1"/>
        <n v="10330" u="1"/>
        <n v="12565" u="1"/>
        <n v="14800" u="1"/>
        <n v="4920" u="1"/>
        <n v="33550" u="1"/>
        <n v="38020" u="1"/>
        <n v="7155" u="1"/>
        <n v="18030" u="1"/>
        <n v="20265" u="1"/>
        <n v="3455" u="1"/>
        <n v="22500" u="1"/>
        <n v="24735" u="1"/>
        <n v="26970" u="1"/>
        <n v="29205" u="1"/>
        <n v="36645" u="1"/>
        <n v="31440" u="1"/>
        <n v="8525" u="1"/>
        <n v="10760" u="1"/>
        <n v="12995" u="1"/>
        <n v="15230" u="1"/>
        <n v="5135" u="1"/>
        <n v="35270" u="1"/>
        <n v="39740" u="1"/>
        <n v="7370" u="1"/>
        <n v="2445" u="1"/>
        <n v="16655" u="1"/>
        <n v="18890" u="1"/>
        <n v="21125" u="1"/>
        <n v="23360" u="1"/>
        <n v="25595" u="1"/>
        <n v="27830" u="1"/>
        <n v="33895" u="1"/>
        <n v="30065" u="1"/>
        <n v="38365" u="1"/>
        <n v="32300" u="1"/>
        <n v="8955" u="1"/>
        <n v="1720" u="1"/>
        <n v="11190" u="1"/>
        <n v="13425" u="1"/>
        <n v="550" u="1"/>
        <n v="15660" u="1"/>
        <n v="5350" u="1"/>
        <n v="36990" u="1"/>
        <n v="7585" u="1"/>
        <n v="17515" u="1"/>
        <n v="19750" u="1"/>
        <n v="3670" u="1"/>
        <n v="24220" u="1"/>
        <n v="26455" u="1"/>
        <n v="28690" u="1"/>
        <n v="35615" u="1"/>
        <n v="1215" u="1"/>
        <n v="30925" u="1"/>
        <n v="40085" u="1"/>
        <n v="9385" u="1"/>
        <n v="11620" u="1"/>
        <n v="13855" u="1"/>
        <n v="16090" u="1"/>
        <n v="5565" u="1"/>
        <n v="34240" u="1"/>
        <n v="38710" u="1"/>
        <n v="7800" u="1"/>
        <n v="2660" u="1"/>
        <n v="18375" u="1"/>
        <n v="20610" u="1"/>
        <n v="22845" u="1"/>
        <n v="25080" u="1"/>
        <n v="27315" u="1"/>
        <n v="32865" u="1"/>
        <n v="29550" u="1"/>
        <n v="37335" u="1"/>
        <n v="31785" u="1"/>
        <n v="9815" u="1"/>
        <n v="12050" u="1"/>
        <n v="14285" u="1"/>
        <n v="5780" u="1"/>
        <n v="35960" u="1"/>
        <n v="40430" u="1"/>
        <n v="8015" u="1"/>
        <n v="17000" u="1"/>
        <n v="19235" u="1"/>
        <n v="21470" u="1"/>
        <n v="23705" u="1"/>
        <n v="3885" u="1"/>
        <n v="25940" u="1"/>
        <n v="28175" u="1"/>
        <n v="34585" u="1"/>
        <n v="30410" u="1"/>
        <n v="39055" u="1"/>
        <n v="32645" u="1"/>
        <n v="10245" u="1"/>
        <n v="12480" u="1"/>
        <n v="14715" u="1"/>
        <n v="33210" u="1"/>
        <n v="910" u="1"/>
        <n v="5995" u="1"/>
        <n v="37680" u="1"/>
        <n v="300" u="1"/>
        <n v="2875" u="1"/>
        <n v="17860" u="1"/>
        <n v="20095" u="1"/>
        <n v="22330" u="1"/>
        <n v="24565" u="1"/>
        <n v="26800" u="1"/>
        <n v="29035" u="1"/>
        <n v="36305" u="1"/>
        <n v="31270" u="1"/>
        <n v="8440" u="1"/>
        <n v="10675" u="1"/>
        <n v="1935" u="1"/>
        <n v="12910" u="1"/>
        <n v="15145" u="1"/>
        <n v="34930" u="1"/>
        <n v="6210" u="1"/>
        <n v="39400" u="1"/>
        <n v="16485" u="1"/>
        <n v="18720" u="1"/>
        <n v="20955" u="1"/>
        <n v="23190" u="1"/>
        <n v="25425" u="1"/>
        <n v="27660" u="1"/>
        <n v="33555" u="1"/>
        <n v="29895" u="1"/>
        <n v="38025" u="1"/>
        <n v="32130" u="1"/>
        <n v="1430" u="1"/>
        <n v="8870" u="1"/>
        <n v="11105" u="1"/>
        <n v="13340" u="1"/>
        <n v="15575" u="1"/>
        <n v="4190" u="1"/>
        <n v="36650" u="1"/>
        <n v="6425" u="1"/>
        <n v="17345" u="1"/>
        <n v="3090" u="1"/>
        <n v="19580" u="1"/>
        <n v="21815" u="1"/>
        <n v="24050" u="1"/>
        <n v="26285" u="1"/>
        <n v="28520" u="1"/>
        <n v="35275" u="1"/>
        <n v="30755" u="1"/>
        <n v="39745" u="1"/>
        <n v="9300" u="1"/>
        <n v="11535" u="1"/>
        <n v="13770" u="1"/>
        <n v="16005" u="1"/>
        <n v="4405" u="1"/>
        <n v="33900" u="1"/>
        <n v="38370" u="1"/>
        <n v="6640" u="1"/>
        <n v="2080" u="1"/>
        <n v="18205" u="1"/>
        <n v="480" u="1"/>
        <n v="20440" u="1"/>
        <n v="22675" u="1"/>
        <n v="24910" u="1"/>
        <n v="27145" u="1"/>
        <n v="29380" u="1"/>
        <n v="36995" u="1"/>
        <n v="31615" u="1"/>
        <n v="9730" u="1"/>
        <n v="11965" u="1"/>
        <n v="14200" u="1"/>
        <n v="4620" u="1"/>
        <n v="35620" u="1"/>
        <n v="40090" u="1"/>
        <n v="6855" u="1"/>
        <n v="16830" u="1"/>
        <n v="19065" u="1"/>
        <n v="3305" u="1"/>
        <n v="21300" u="1"/>
        <n v="23535" u="1"/>
        <n v="25770" u="1"/>
        <n v="28005" u="1"/>
        <n v="34245" u="1"/>
        <n v="30240" u="1"/>
        <n v="38715" u="1"/>
        <n v="32475" u="1"/>
        <n v="10160" u="1"/>
        <n v="12395" u="1"/>
        <n v="14630" u="1"/>
        <n v="765" u="1"/>
        <n v="4835" u="1"/>
        <n v="32870" u="1"/>
        <n v="37340" u="1"/>
        <n v="2295" u="1"/>
        <n v="17690" u="1"/>
        <n v="19925" u="1"/>
        <n v="22160" u="1"/>
        <n v="24395" u="1"/>
        <n v="26630" u="1"/>
        <n v="28865" u="1"/>
        <n v="35965" u="1"/>
        <n v="31100" u="1"/>
        <n v="40435" u="1"/>
        <n v="8355" u="1"/>
        <n v="1645" u="1"/>
        <n v="10590" u="1"/>
        <n v="12825" u="1"/>
        <n v="15060" u="1"/>
        <n v="5050" u="1"/>
        <n v="34590" u="1"/>
        <n v="39060" u="1"/>
        <n v="7285" u="1"/>
        <n v="20785" u="1"/>
        <n v="3520" u="1"/>
        <n v="23020" u="1"/>
        <n v="25255" u="1"/>
        <n v="27490" u="1"/>
        <n v="33215" u="1"/>
        <n v="1140" u="1"/>
        <n v="29725" u="1"/>
        <n v="37685" u="1"/>
        <n v="31960" u="1"/>
        <n v="8785" u="1"/>
        <n v="11020" u="1"/>
        <n v="13255" u="1"/>
        <n v="15490" u="1"/>
        <n v="5265" u="1"/>
        <n v="36310" u="1"/>
        <n v="7500" u="1"/>
        <n v="2510" u="1"/>
        <n v="17175" u="1"/>
        <n v="19410" u="1"/>
        <n v="21645" u="1"/>
        <n v="23880" u="1"/>
        <n v="26115" u="1"/>
        <n v="28350" u="1"/>
        <n v="34935" u="1"/>
        <n v="30585" u="1"/>
        <n v="39405" u="1"/>
        <n v="9215" u="1"/>
        <n v="11450" u="1"/>
        <n v="15920" u="1"/>
        <n v="5480" u="1"/>
        <n v="33560" u="1"/>
        <n v="38030" u="1"/>
        <n v="7715" u="1"/>
        <n v="18035" u="1"/>
        <n v="20270" u="1"/>
        <n v="22505" u="1"/>
        <n v="3735" u="1"/>
        <n v="24740" u="1"/>
        <n v="26975" u="1"/>
        <n v="29210" u="1"/>
        <n v="36655" u="1"/>
        <n v="31445" u="1"/>
        <n v="9645" u="1"/>
        <n v="11880" u="1"/>
        <n v="14115" u="1"/>
        <n v="16350" u="1"/>
        <n v="5695" u="1"/>
        <n v="39750" u="1"/>
        <n v="7930" u="1"/>
        <n v="2725" u="1"/>
        <n v="16660" u="1"/>
        <n v="18895" u="1"/>
        <n v="21130" u="1"/>
        <n v="23365" u="1"/>
        <n v="25600" u="1"/>
        <n v="27835" u="1"/>
        <n v="33905" u="1"/>
        <n v="30070" u="1"/>
        <n v="38375" u="1"/>
        <n v="32305" u="1"/>
        <n v="10075" u="1"/>
        <n v="1860" u="1"/>
        <n v="12310" u="1"/>
        <n v="14545" u="1"/>
        <n v="620" u="1"/>
        <n v="5910" u="1"/>
        <n v="37000" u="1"/>
        <n v="8145" u="1"/>
        <n v="17520" u="1"/>
        <n v="19755" u="1"/>
        <n v="21990" u="1"/>
        <n v="24225" u="1"/>
        <n v="3950" u="1"/>
        <n v="26460" u="1"/>
        <n v="28695" u="1"/>
        <n v="35625" u="1"/>
        <n v="30930" u="1"/>
        <n v="40095" u="1"/>
        <n v="1355" u="1"/>
        <n v="8270" u="1"/>
        <n v="10505" u="1"/>
        <n v="12740" u="1"/>
        <n v="14975" u="1"/>
        <n v="34250" u="1"/>
        <n v="6125" u="1"/>
        <n v="38720" u="1"/>
        <n v="2940" u="1"/>
        <n v="18380" u="1"/>
        <n v="20615" u="1"/>
        <n v="22850" u="1"/>
        <n v="25085" u="1"/>
        <n v="27320" u="1"/>
        <n v="32875" u="1"/>
        <n v="29555" u="1"/>
        <n v="37345" u="1"/>
        <n v="31790" u="1"/>
        <n v="8700" u="1"/>
        <n v="10935" u="1"/>
        <n v="13170" u="1"/>
        <n v="15405" u="1"/>
        <n v="4105" u="1"/>
        <n v="35970" u="1"/>
        <n v="6340" u="1"/>
        <n v="40440" u="1"/>
        <n v="17005" u="1"/>
        <n v="19240" u="1"/>
        <n v="21475" u="1"/>
        <n v="23710" u="1"/>
        <n v="25945" u="1"/>
        <n v="28180" u="1"/>
        <n v="34595" u="1"/>
        <n v="30415" u="1"/>
        <n v="39065" u="1"/>
        <n v="32650" u="1"/>
        <n v="9130" u="1"/>
        <n v="11365" u="1"/>
        <n v="13600" u="1"/>
        <n v="15835" u="1"/>
        <n v="4320" u="1"/>
        <n v="33220" u="1"/>
        <n v="37690" u="1"/>
        <n v="980" u="1"/>
        <n v="6555" u="1"/>
        <n v="335" u="1"/>
        <n v="17865" u="1"/>
        <n v="3155" u="1"/>
        <n v="20100" u="1"/>
        <n v="22335" u="1"/>
        <n v="24570" u="1"/>
        <n v="26805" u="1"/>
        <n v="29040" u="1"/>
        <n v="36315" u="1"/>
        <n v="31275" u="1"/>
        <n v="9560" u="1"/>
        <n v="11795" u="1"/>
        <n v="14030" u="1"/>
        <n v="16265" u="1"/>
        <n v="4535" u="1"/>
        <n v="34940" u="1"/>
        <n v="39410" u="1"/>
        <n v="6770" u="1"/>
        <n v="2145" u="1"/>
        <n v="16490" u="1"/>
        <n v="18725" u="1"/>
        <n v="20960" u="1"/>
        <n v="23195" u="1"/>
        <n v="25430" u="1"/>
        <n v="27665" u="1"/>
        <n v="33565" u="1"/>
        <n v="29900" u="1"/>
        <n v="38035" u="1"/>
        <n v="32135" u="1"/>
        <n v="9990" u="1"/>
        <n v="12225" u="1"/>
        <n v="14460" u="1"/>
        <n v="4750" u="1"/>
        <n v="36660" u="1"/>
        <n v="6985" u="1"/>
        <n v="17350" u="1"/>
        <n v="19585" u="1"/>
        <n v="3370" u="1"/>
        <n v="21820" u="1"/>
        <n v="24055" u="1"/>
        <n v="26290" u="1"/>
        <n v="1065" u="1"/>
        <n v="28525" u="1"/>
        <n v="35285" u="1"/>
        <n v="30760" u="1"/>
        <n v="10420" u="1"/>
        <n v="12655" u="1"/>
        <n v="14890" u="1"/>
        <n v="4965" u="1"/>
        <n v="33910" u="1"/>
        <n v="38380" u="1"/>
        <n v="7200" u="1"/>
        <n v="2360" u="1"/>
        <n v="18210" u="1"/>
        <n v="20445" u="1"/>
        <n v="22680" u="1"/>
        <n v="24915" u="1"/>
        <n v="27150" u="1"/>
        <n v="180" u="1"/>
        <n v="29385" u="1"/>
        <n v="37005" u="1"/>
        <n v="31620" u="1"/>
        <n v="8615" u="1"/>
        <n v="10850" u="1"/>
        <n v="13085" u="1"/>
        <n v="15320" u="1"/>
        <n v="5180" u="1"/>
        <n v="35630" u="1"/>
        <n v="40100" u="1"/>
        <n v="7415" u="1"/>
        <n v="16835" u="1"/>
        <n v="19070" u="1"/>
        <n v="21305" u="1"/>
        <n v="3585" u="1"/>
        <n v="23540" u="1"/>
        <n v="25775" u="1"/>
        <n v="28010" u="1"/>
        <n v="34255" u="1"/>
        <n v="30245" u="1"/>
        <n v="38725" u="1"/>
        <n v="32480" u="1"/>
        <n v="9045" u="1"/>
        <n v="11280" u="1"/>
        <n v="13515" u="1"/>
        <n v="15750" u="1"/>
        <n v="835" u="1"/>
        <n v="5395" u="1"/>
        <n v="32880" u="1"/>
        <n v="37350" u="1"/>
        <n v="7630" u="1"/>
        <n v="2575" u="1"/>
        <n v="17695" u="1"/>
        <n v="19930" u="1"/>
        <n v="22165" u="1"/>
        <n v="24400" u="1"/>
        <n v="26635" u="1"/>
        <n v="28870" u="1"/>
        <n v="35975" u="1"/>
        <n v="31105" u="1"/>
        <n v="40445" u="1"/>
        <n v="9475" u="1"/>
        <n v="1785" u="1"/>
        <n v="11710" u="1"/>
        <n v="13945" u="1"/>
        <n v="16180" u="1"/>
        <n v="5610" u="1"/>
        <n v="34600" u="1"/>
        <n v="39070" u="1"/>
        <n v="7845" u="1"/>
        <n v="18555" u="1"/>
        <n v="20790" u="1"/>
        <n v="3800" u="1"/>
        <n v="25260" u="1"/>
        <n v="27495" u="1"/>
        <n v="33225" u="1"/>
        <n v="29730" u="1"/>
        <n v="37695" u="1"/>
        <n v="1280" u="1"/>
        <n v="31965" u="1"/>
        <n v="9905" u="1"/>
        <n v="12140" u="1"/>
        <n v="14375" u="1"/>
        <n v="5825" u="1"/>
        <n v="36320" u="1"/>
        <n v="8060" u="1"/>
        <n v="2790" u="1"/>
        <n v="17180" u="1"/>
        <n v="19415" u="1"/>
        <n v="21650" u="1"/>
        <n v="23885" u="1"/>
        <n v="26120" u="1"/>
        <n v="28355" u="1"/>
        <n v="34945" u="1"/>
        <n v="30590" u="1"/>
        <n v="39415" u="1"/>
        <n v="10335" u="1"/>
        <n v="12570" u="1"/>
        <n v="14805" u="1"/>
        <n v="33570" u="1"/>
        <n v="6040" u="1"/>
        <n v="38040" u="1"/>
        <n v="18040" u="1"/>
        <n v="20275" u="1"/>
        <n v="22510" u="1"/>
        <n v="24745" u="1"/>
        <n v="4015" u="1"/>
        <n v="26980" u="1"/>
        <n v="29215" u="1"/>
        <n v="36665" u="1"/>
        <n v="31450" u="1"/>
        <n v="8530" u="1"/>
        <n v="10765" u="1"/>
        <n v="13000" u="1"/>
        <n v="15235" u="1"/>
        <n v="35290" u="1"/>
        <n v="6255" u="1"/>
        <n v="39760" u="1"/>
        <n v="16665" u="1"/>
        <n v="3005" u="1"/>
        <n v="18900" u="1"/>
        <n v="21135" u="1"/>
        <n v="23370" u="1"/>
        <n v="25605" u="1"/>
        <n v="27840" u="1"/>
        <n v="33915" u="1"/>
        <n v="30075" u="1"/>
        <n v="38385" u="1"/>
        <n v="32310" u="1"/>
        <n v="8960" u="1"/>
        <n v="11195" u="1"/>
        <n v="2000" u="1"/>
        <n v="13430" u="1"/>
        <n v="15665" u="1"/>
        <n v="690" u="1"/>
        <n v="4235" u="1"/>
        <n v="37010" u="1"/>
        <n v="6470" u="1"/>
        <n v="17525" u="1"/>
        <n v="19760" u="1"/>
        <n v="21995" u="1"/>
        <n v="24230" u="1"/>
        <n v="26465" u="1"/>
        <n v="28700" u="1"/>
        <n v="35635" u="1"/>
        <n v="30935" u="1"/>
        <n v="40105" u="1"/>
        <n v="1495" u="1"/>
        <n v="9390" u="1"/>
        <n v="11625" u="1"/>
        <n v="13860" u="1"/>
        <n v="16095" u="1"/>
        <n v="4450" u="1"/>
        <n v="34260" u="1"/>
        <n v="38730" u="1"/>
        <n v="6685" u="1"/>
        <n v="18385" u="1"/>
        <n v="3220" u="1"/>
        <n v="20620" u="1"/>
        <n v="22855" u="1"/>
        <n v="25090" u="1"/>
        <n v="27325" u="1"/>
        <n v="29560" u="1"/>
        <n v="37355" u="1"/>
        <n v="31795" u="1"/>
        <n v="9820" u="1"/>
        <n v="12055" u="1"/>
        <n v="14290" u="1"/>
        <n v="4665" u="1"/>
        <n v="35980" u="1"/>
        <n v="40450" u="1"/>
        <n v="6900" u="1"/>
        <n v="2210" u="1"/>
        <n v="17010" u="1"/>
        <n v="19245" u="1"/>
        <n v="21480" u="1"/>
        <n v="23715" u="1"/>
        <n v="25950" u="1"/>
        <n v="28185" u="1"/>
        <n v="34605" u="1"/>
        <n v="30420" u="1"/>
        <n v="39075" u="1"/>
        <n v="32655" u="1"/>
        <n v="10250" u="1"/>
        <n v="12485" u="1"/>
        <n v="14720" u="1"/>
        <n v="4880" u="1"/>
        <n v="33230" u="1"/>
        <n v="37700" u="1"/>
        <n v="7115" u="1"/>
        <n v="370" u="1"/>
        <n v="17870" u="1"/>
        <n v="20105" u="1"/>
        <n v="3435" u="1"/>
        <n v="22340" u="1"/>
        <n v="24575" u="1"/>
        <n v="26810" u="1"/>
        <n v="29045" u="1"/>
        <n v="36325" u="1"/>
        <n v="31280" u="1"/>
        <n v="8445" u="1"/>
        <n v="10680" u="1"/>
        <n v="12915" u="1"/>
        <n v="15150" u="1"/>
        <n v="5095" u="1"/>
        <n v="34950" u="1"/>
        <n v="39420" u="1"/>
        <n v="2425" u="1"/>
        <n v="16495" u="1"/>
        <n v="18730" u="1"/>
        <n v="20965" u="1"/>
        <n v="23200" u="1"/>
        <n v="25435" u="1"/>
        <n v="27670" u="1"/>
        <n v="33575" u="1"/>
        <n v="29905" u="1"/>
        <n v="38045" u="1"/>
        <n v="32140" u="1"/>
        <n v="8875" u="1"/>
        <n v="1710" u="1"/>
        <n v="11110" u="1"/>
        <n v="13345" u="1"/>
        <n v="545" u="1"/>
        <n v="15580" u="1"/>
        <n v="5310" u="1"/>
        <n v="36670" u="1"/>
        <n v="7545" u="1"/>
        <n v="17355" u="1"/>
        <n v="21825" u="1"/>
        <n v="3650" u="1"/>
        <n v="24060" u="1"/>
        <n v="26295" u="1"/>
        <n v="28530" u="1"/>
        <n v="35295" u="1"/>
        <n v="1205" u="1"/>
        <n v="30765" u="1"/>
        <n v="39765" u="1"/>
        <n v="9305" u="1"/>
        <n v="11540" u="1"/>
        <n v="13775" u="1"/>
        <n v="16010" u="1"/>
        <n v="5525" u="1"/>
        <n v="33920" u="1"/>
        <n v="38390" u="1"/>
        <n v="7760" u="1"/>
        <n v="2640" u="1"/>
        <n v="18215" u="1"/>
        <n v="20450" u="1"/>
        <n v="22685" u="1"/>
        <n v="24920" u="1"/>
        <n v="27155" u="1"/>
        <n v="29390" u="1"/>
        <n v="37015" u="1"/>
        <n v="31625" u="1"/>
        <n v="9735" u="1"/>
        <n v="11970" u="1"/>
        <n v="5740" u="1"/>
        <n v="35640" u="1"/>
        <n v="40110" u="1"/>
        <n v="7975" u="1"/>
        <n v="16840" u="1"/>
        <n v="19075" u="1"/>
        <n v="21310" u="1"/>
        <n v="23545" u="1"/>
        <n v="3865" u="1"/>
        <n v="25780" u="1"/>
        <n v="28015" u="1"/>
        <n v="34265" u="1"/>
        <n v="30250" u="1"/>
        <n v="38735" u="1"/>
        <n v="32485" u="1"/>
        <n v="10165" u="1"/>
        <n v="12400" u="1"/>
        <n v="14635" u="1"/>
        <n v="32890" u="1"/>
        <n v="905" u="1"/>
        <n v="5955" u="1"/>
        <n v="8190" u="1"/>
        <n v="2855" u="1"/>
        <n v="17700" u="1"/>
        <n v="19935" u="1"/>
        <n v="22170" u="1"/>
        <n v="24405" u="1"/>
        <n v="26640" u="1"/>
        <n v="28875" u="1"/>
        <n v="35985" u="1"/>
        <n v="31110" u="1"/>
        <n v="40455" u="1"/>
        <n v="8360" u="1"/>
        <n v="10595" u="1"/>
        <n v="1925" u="1"/>
        <n v="12830" u="1"/>
        <n v="15065" u="1"/>
        <n v="34610" u="1"/>
        <n v="6170" u="1"/>
        <n v="39080" u="1"/>
        <n v="18560" u="1"/>
        <n v="20795" u="1"/>
        <n v="23030" u="1"/>
        <n v="25265" u="1"/>
        <n v="4080" u="1"/>
        <n v="27500" u="1"/>
        <n v="33235" u="1"/>
        <n v="29735" u="1"/>
        <n v="37705" u="1"/>
        <n v="31970" u="1"/>
        <n v="1420" u="1"/>
        <n v="8790" u="1"/>
        <n v="11025" u="1"/>
        <n v="13260" u="1"/>
        <n v="15495" u="1"/>
        <n v="105" u="1"/>
        <n v="4150" u="1"/>
        <n v="36330" u="1"/>
        <n v="24" u="1"/>
        <n v="6385" u="1"/>
        <n v="17185" u="1"/>
        <n v="3070" u="1"/>
        <n v="19420" u="1"/>
        <n v="21655" u="1"/>
        <n v="23890" u="1"/>
        <n v="26125" u="1"/>
        <n v="28360" u="1"/>
        <n v="34955" u="1"/>
        <n v="30595" u="1"/>
        <n v="39425" u="1"/>
        <n v="9220" u="1"/>
        <n v="11455" u="1"/>
        <n v="13690" u="1"/>
        <n v="15925" u="1"/>
        <n v="4365" u="1"/>
        <n v="33580" u="1"/>
        <n v="38050" u="1"/>
        <n v="6600" u="1"/>
        <n v="2060" u="1"/>
        <n v="18045" u="1"/>
        <n v="20280" u="1"/>
        <n v="22515" u="1"/>
        <n v="24750" u="1"/>
        <n v="26985" u="1"/>
        <n v="29220" u="1"/>
        <n v="36675" u="1"/>
        <n v="31455" u="1"/>
        <n v="9650" u="1"/>
        <n v="11885" u="1"/>
        <n v="14120" u="1"/>
        <n v="16355" u="1"/>
        <n v="4580" u="1"/>
        <n v="35300" u="1"/>
        <n v="39770" u="1"/>
        <n v="6815" u="1"/>
        <n v="16670" u="1"/>
        <n v="18905" u="1"/>
        <n v="3285" u="1"/>
        <n v="21140" u="1"/>
        <n v="23375" u="1"/>
        <n v="25610" u="1"/>
        <n v="27845" u="1"/>
        <n v="33925" u="1"/>
        <n v="30080" u="1"/>
        <n v="38395" u="1"/>
        <n v="32315" u="1"/>
        <n v="10080" u="1"/>
        <n v="12315" u="1"/>
        <n v="14550" u="1"/>
        <n v="760" u="1"/>
        <n v="4795" u="1"/>
        <n v="37020" u="1"/>
        <n v="7030" u="1"/>
        <n v="2275" u="1"/>
        <n v="17530" u="1"/>
        <n v="19765" u="1"/>
        <n v="22000" u="1"/>
        <n v="24235" u="1"/>
        <n v="26470" u="1"/>
        <n v="28705" u="1"/>
        <n v="35645" u="1"/>
        <n v="30940" u="1"/>
        <n v="40115" u="1"/>
        <n v="8275" u="1"/>
        <n v="10510" u="1"/>
        <n v="12745" u="1"/>
        <n v="14980" u="1"/>
        <n v="5010" u="1"/>
        <n v="34270" u="1"/>
        <n v="38740" u="1"/>
        <n v="7245" u="1"/>
        <n v="18390" u="1"/>
        <n v="20625" u="1"/>
        <n v="3500" u="1"/>
        <n v="22860" u="1"/>
        <n v="25095" u="1"/>
        <n v="27330" u="1"/>
        <n v="32895" u="1"/>
        <n v="1130" u="1"/>
        <n v="29565" u="1"/>
        <n v="37365" u="1"/>
        <n v="31800" u="1"/>
        <n v="8705" u="1"/>
        <n v="10940" u="1"/>
        <n v="13175" u="1"/>
        <n v="15410" u="1"/>
        <n v="5225" u="1"/>
        <n v="35990" u="1"/>
        <n v="40460" u="1"/>
        <n v="7460" u="1"/>
        <n v="2490" u="1"/>
        <n v="17015" u="1"/>
        <n v="19250" u="1"/>
        <n v="21485" u="1"/>
        <n v="23720" u="1"/>
        <n v="25955" u="1"/>
        <n v="28190" u="1"/>
        <n v="34615" u="1"/>
        <n v="30425" u="1"/>
        <n v="39085" u="1"/>
        <n v="32660" u="1"/>
        <n v="9135" u="1"/>
        <n v="11370" u="1"/>
        <n v="13605" u="1"/>
        <n v="15840" u="1"/>
        <n v="5440" u="1"/>
        <n v="33240" u="1"/>
        <n v="37710" u="1"/>
        <n v="7675" u="1"/>
        <n v="405" u="1"/>
        <n v="17875" u="1"/>
        <n v="20110" u="1"/>
        <n v="22345" u="1"/>
        <n v="3715" u="1"/>
        <n v="24580" u="1"/>
        <n v="26815" u="1"/>
        <n v="29050" u="1"/>
        <n v="36335" u="1"/>
        <n v="31285" u="1"/>
        <n v="9565" u="1"/>
        <n v="11800" u="1"/>
        <n v="14035" u="1"/>
        <n v="16270" u="1"/>
        <n v="5655" u="1"/>
        <n v="34960" u="1"/>
        <n v="39430" u="1"/>
        <n v="7890" u="1"/>
        <n v="2705" u="1"/>
        <n v="16500" u="1"/>
        <n v="18735" u="1"/>
        <n v="20970" u="1"/>
        <n v="23205" u="1"/>
        <n v="25440" u="1"/>
        <n v="27675" u="1"/>
        <n v="33585" u="1"/>
        <n v="29910" u="1"/>
        <n v="38055" u="1"/>
        <n v="32145" u="1"/>
        <n v="9995" u="1"/>
        <n v="1850" u="1"/>
        <n v="12230" u="1"/>
        <n v="14465" u="1"/>
        <n v="615" u="1"/>
        <n v="5870" u="1"/>
        <n v="36680" u="1"/>
        <n v="8105" u="1"/>
        <n v="17360" u="1"/>
        <n v="19595" u="1"/>
        <n v="21830" u="1"/>
        <n v="3930" u="1"/>
        <n v="26300" u="1"/>
        <n v="28535" u="1"/>
        <n v="35305" u="1"/>
        <n v="30770" u="1"/>
        <n v="39775" u="1"/>
        <n v="1345" u="1"/>
        <n v="10425" u="1"/>
        <n v="12660" u="1"/>
        <n v="14895" u="1"/>
        <n v="33930" u="1"/>
        <n v="6085" u="1"/>
        <n v="38400" u="1"/>
        <n v="2920" u="1"/>
        <n v="18220" u="1"/>
        <n v="20455" u="1"/>
        <n v="22690" u="1"/>
        <n v="24925" u="1"/>
        <n v="27160" u="1"/>
        <n v="29395" u="1"/>
        <n v="37025" u="1"/>
        <n v="31630" u="1"/>
        <n v="215" u="1"/>
        <n v="8620" u="1"/>
        <n v="10855" u="1"/>
        <n v="13090" u="1"/>
        <n v="15325" u="1"/>
        <n v="35650" u="1"/>
        <n v="6300" u="1"/>
        <n v="40120" u="1"/>
        <n v="16845" u="1"/>
        <n v="19080" u="1"/>
        <n v="21315" u="1"/>
        <n v="23550" u="1"/>
        <n v="25785" u="1"/>
        <n v="28020" u="1"/>
        <n v="34275" u="1"/>
        <n v="30255" u="1"/>
        <n v="38745" u="1"/>
        <n v="32490" u="1"/>
        <n v="9050" u="1"/>
        <n v="11285" u="1"/>
        <n v="13520" u="1"/>
        <n v="15755" u="1"/>
        <n v="4280" u="1"/>
        <n v="32900" u="1"/>
        <n v="37370" u="1"/>
        <n v="975" u="1"/>
        <n v="6515" u="1"/>
        <n v="17705" u="1"/>
        <n v="3135" u="1"/>
        <n v="19940" u="1"/>
        <n v="22175" u="1"/>
        <n v="24410" u="1"/>
        <n v="26645" u="1"/>
        <n v="28880" u="1"/>
        <n v="35995" u="1"/>
        <n v="31115" u="1"/>
        <n v="40465" u="1"/>
        <n v="9480" u="1"/>
        <n v="11715" u="1"/>
        <n v="13950" u="1"/>
        <n v="16185" u="1"/>
        <n v="4495" u="1"/>
        <n v="34620" u="1"/>
        <n v="39090" u="1"/>
        <n v="6730" u="1"/>
        <n v="2125" u="1"/>
        <n v="18565" u="1"/>
        <n v="20800" u="1"/>
        <n v="23035" u="1"/>
        <n v="25270" u="1"/>
        <n v="27505" u="1"/>
        <n v="33245" u="1"/>
        <n v="29740" u="1"/>
        <n v="37715" u="1"/>
        <n v="31975" u="1"/>
        <n v="1560" u="1"/>
        <n v="9910" u="1"/>
        <n v="12145" u="1"/>
        <n v="14380" u="1"/>
        <n v="4710" u="1"/>
        <n v="36340" u="1"/>
        <n v="6945" u="1"/>
        <n v="17190" u="1"/>
        <n v="19425" u="1"/>
        <n v="3350" u="1"/>
        <n v="21660" u="1"/>
        <n v="23895" u="1"/>
        <n v="26130" u="1"/>
        <n v="1055" u="1"/>
        <n v="28365" u="1"/>
        <n v="30600" u="1"/>
        <n v="39435" u="1"/>
        <n v="10340" u="1"/>
        <n v="12575" u="1"/>
        <n v="14810" u="1"/>
        <n v="4925" u="1"/>
        <n v="33590" u="1"/>
        <n v="38060" u="1"/>
        <n v="7160" u="1"/>
        <n v="2340" u="1"/>
        <n v="18050" u="1"/>
        <n v="20285" u="1"/>
        <n v="22520" u="1"/>
        <n v="24755" u="1"/>
        <n v="26990" u="1"/>
        <n v="29225" u="1"/>
        <n v="36685" u="1"/>
        <n v="31460" u="1"/>
        <n v="8535" u="1"/>
        <n v="10770" u="1"/>
        <n v="13005" u="1"/>
        <n v="15240" u="1"/>
        <n v="5140" u="1"/>
        <n v="35310" u="1"/>
        <n v="39780" u="1"/>
        <n v="7375" u="1"/>
        <n v="16675" u="1"/>
        <n v="18910" u="1"/>
        <n v="21145" u="1"/>
        <n v="3565" u="1"/>
        <n v="23380" u="1"/>
        <n v="25615" u="1"/>
        <n v="27850" u="1"/>
        <n v="33935" u="1"/>
        <n v="30085" u="1"/>
        <n v="38405" u="1"/>
        <n v="32320" u="1"/>
        <n v="8965" u="1"/>
        <n v="11200" u="1"/>
        <n v="13435" u="1"/>
        <n v="15670" u="1"/>
        <n v="830" u="1"/>
        <n v="5355" u="1"/>
        <n v="37030" u="1"/>
        <n v="260" u="1"/>
        <n v="2555" u="1"/>
        <n v="17535" u="1"/>
        <n v="19770" u="1"/>
        <n v="22005" u="1"/>
        <n v="24240" u="1"/>
        <n v="26475" u="1"/>
        <n v="28710" u="1"/>
        <n v="35655" u="1"/>
        <n v="30945" u="1"/>
        <n v="40125" u="1"/>
        <n v="9395" u="1"/>
        <n v="1775" u="1"/>
        <n v="11630" u="1"/>
        <n v="13865" u="1"/>
        <n v="16100" u="1"/>
        <n v="5570" u="1"/>
        <n v="34280" u="1"/>
        <n v="38750" u="1"/>
        <n v="7805" u="1"/>
        <n v="18395" u="1"/>
        <n v="22865" u="1"/>
        <n v="3780" u="1"/>
        <n v="25100" u="1"/>
        <n v="27335" u="1"/>
        <n v="32905" u="1"/>
        <n v="29570" u="1"/>
        <n v="37375" u="1"/>
        <n v="1270" u="1"/>
        <n v="31805" u="1"/>
        <n v="9825" u="1"/>
        <n v="12060" u="1"/>
        <n v="14295" u="1"/>
        <n v="5785" u="1"/>
        <n v="36000" u="1"/>
        <n v="40470" u="1"/>
        <n v="8020" u="1"/>
        <n v="2770" u="1"/>
        <n v="17020" u="1"/>
        <n v="19255" u="1"/>
        <n v="21490" u="1"/>
        <n v="23725" u="1"/>
        <n v="25960" u="1"/>
        <n v="28195" u="1"/>
        <n v="34625" u="1"/>
        <n v="30430" u="1"/>
        <n v="39095" u="1"/>
        <n v="32665" u="1"/>
        <n v="10255" u="1"/>
        <n v="12490" u="1"/>
        <n v="33250" u="1"/>
        <n v="6000" u="1"/>
        <n v="37720" u="1"/>
        <n v="440" u="1"/>
        <n v="17880" u="1"/>
        <n v="20115" u="1"/>
        <n v="22350" u="1"/>
        <n v="24585" u="1"/>
        <n v="3995" u="1"/>
        <n v="26820" u="1"/>
        <n v="29055" u="1"/>
        <n v="36345" u="1"/>
        <n v="31290" u="1"/>
        <n v="8450" u="1"/>
        <n v="10685" u="1"/>
        <n v="12920" u="1"/>
        <n v="15155" u="1"/>
        <n v="34970" u="1"/>
        <n v="6215" u="1"/>
        <n v="16505" u="1"/>
        <n v="2985" u="1"/>
        <n v="18740" u="1"/>
        <n v="20975" u="1"/>
        <n v="23210" u="1"/>
        <n v="25445" u="1"/>
        <n v="27680" u="1"/>
        <n v="33595" u="1"/>
        <n v="29915" u="1"/>
        <n v="38065" u="1"/>
        <n v="32150" u="1"/>
        <n v="8880" u="1"/>
        <n v="11115" u="1"/>
        <n v="1990" u="1"/>
        <n v="13350" u="1"/>
        <n v="15585" u="1"/>
        <n v="685" u="1"/>
        <n v="4195" u="1"/>
        <n v="36690" u="1"/>
        <n v="6430" u="1"/>
        <n v="17365" u="1"/>
        <n v="19600" u="1"/>
        <n v="21835" u="1"/>
        <n v="24070" u="1"/>
        <n v="26305" u="1"/>
        <n v="28540" u="1"/>
        <n v="35315" u="1"/>
        <n v="30775" u="1"/>
        <n v="39785" u="1"/>
        <n v="1485" u="1"/>
        <n v="9310" u="1"/>
        <n v="11545" u="1"/>
        <n v="13780" u="1"/>
        <n v="16015" u="1"/>
        <n v="4410" u="1"/>
        <n v="33940" u="1"/>
        <n v="38410" u="1"/>
        <n v="6645" u="1"/>
        <n v="18225" u="1"/>
        <n v="3200" u="1"/>
        <n v="20460" u="1"/>
        <n v="22695" u="1"/>
        <n v="24930" u="1"/>
        <n v="27165" u="1"/>
        <n v="29400" u="1"/>
        <n v="37035" u="1"/>
        <n v="31635" u="1"/>
        <n v="9740" u="1"/>
        <n v="11975" u="1"/>
        <n v="14210" u="1"/>
        <n v="4625" u="1"/>
        <n v="35660" u="1"/>
        <n v="40130" u="1"/>
        <n v="6860" u="1"/>
        <n v="2190" u="1"/>
        <n v="16850" u="1"/>
        <n v="19085" u="1"/>
        <n v="21320" u="1"/>
        <n v="23555" u="1"/>
        <n v="25790" u="1"/>
        <n v="28025" u="1"/>
        <n v="34285" u="1"/>
        <n v="30260" u="1"/>
        <n v="38755" u="1"/>
        <n v="32495" u="1"/>
        <n v="10170" u="1"/>
        <n v="12405" u="1"/>
        <n v="14640" u="1"/>
        <n v="4840" u="1"/>
        <n v="32910" u="1"/>
        <n v="37380" u="1"/>
        <n v="7075" u="1"/>
        <n v="17710" u="1"/>
        <n v="19945" u="1"/>
        <n v="3415" u="1"/>
        <n v="22180" u="1"/>
        <n v="24415" u="1"/>
        <n v="26650" u="1"/>
        <n v="28885" u="1"/>
        <n v="36005" u="1"/>
        <n v="31120" u="1"/>
        <n v="40475" u="1"/>
        <n v="8365" u="1"/>
        <n v="10600" u="1"/>
        <n v="12835" u="1"/>
        <n v="15070" u="1"/>
        <n v="5055" u="1"/>
        <n v="34630" u="1"/>
        <n v="39100" u="1"/>
        <n v="7290" u="1"/>
        <n v="2405" u="1"/>
        <n v="18570" u="1"/>
        <n v="20805" u="1"/>
        <n v="23040" u="1"/>
        <n v="25275" u="1"/>
        <n v="27510" u="1"/>
        <n v="33255" u="1"/>
        <n v="29745" u="1"/>
        <n v="37725" u="1"/>
        <n v="31980" u="1"/>
        <n v="8795" u="1"/>
        <n v="11030" u="1"/>
        <n v="13265" u="1"/>
        <n v="540" u="1"/>
        <n v="15500" u="1"/>
        <n v="5270" u="1"/>
        <n v="36350" u="1"/>
        <n v="7505" u="1"/>
        <n v="17195" u="1"/>
        <n v="19430" u="1"/>
        <n v="21665" u="1"/>
        <n v="3630" u="1"/>
        <n v="23900" u="1"/>
        <n v="26135" u="1"/>
        <n v="28370" u="1"/>
        <n v="34975" u="1"/>
        <n v="1195" u="1"/>
        <n v="30605" u="1"/>
        <n v="39445" u="1"/>
        <n v="9225" u="1"/>
        <n v="11460" u="1"/>
        <n v="13695" u="1"/>
        <n v="15930" u="1"/>
        <n v="5485" u="1"/>
        <n v="33600" u="1"/>
        <n v="38070" u="1"/>
        <n v="7720" u="1"/>
        <n v="2620" u="1"/>
        <n v="18055" u="1"/>
        <n v="20290" u="1"/>
        <n v="22525" u="1"/>
        <n v="24760" u="1"/>
        <n v="26995" u="1"/>
        <n v="29230" u="1"/>
        <n v="36695" u="1"/>
        <n v="31465" u="1"/>
        <n v="9655" u="1"/>
        <n v="11890" u="1"/>
        <n v="14125" u="1"/>
        <n v="16360" u="1"/>
        <n v="5700" u="1"/>
        <n v="35320" u="1"/>
        <n v="39790" u="1"/>
        <n v="7935" u="1"/>
        <n v="16680" u="1"/>
        <n v="18915" u="1"/>
        <n v="21150" u="1"/>
        <n v="23385" u="1"/>
        <n v="3845" u="1"/>
        <n v="25620" u="1"/>
        <n v="27855" u="1"/>
        <n v="33945" u="1"/>
        <n v="30090" u="1"/>
        <n v="38415" u="1"/>
        <n v="32325" u="1"/>
        <n v="10085" u="1"/>
        <n v="12320" u="1"/>
        <n v="14555" u="1"/>
        <n v="900" u="1"/>
        <n v="5915" u="1"/>
        <n v="37040" u="1"/>
        <n v="295" u="1"/>
        <n v="8150" u="1"/>
        <n v="2835" u="1"/>
        <n v="17540" u="1"/>
        <n v="19775" u="1"/>
        <n v="22010" u="1"/>
        <n v="24245" u="1"/>
        <n v="26480" u="1"/>
        <n v="28715" u="1"/>
        <n v="35665" u="1"/>
        <n v="30950" u="1"/>
        <n v="40135" u="1"/>
        <n v="8280" u="1"/>
        <n v="10515" u="1"/>
        <n v="1915" u="1"/>
        <n v="12750" u="1"/>
        <n v="14985" u="1"/>
        <n v="34290" u="1"/>
        <n v="6130" u="1"/>
        <n v="38760" u="1"/>
        <n v="18400" u="1"/>
        <n v="20635" u="1"/>
        <n v="22870" u="1"/>
        <n v="4060" u="1"/>
        <n v="27340" u="1"/>
        <n v="32915" u="1"/>
        <n v="29575" u="1"/>
        <n v="37385" u="1"/>
        <n v="31810" u="1"/>
        <n v="1410" u="1"/>
        <n v="8710" u="1"/>
        <n v="10945" u="1"/>
        <n v="13180" u="1"/>
        <n v="15415" u="1"/>
        <n v="4110" u="1"/>
        <n v="36010" u="1"/>
        <n v="6345" u="1"/>
        <n v="40480" u="1"/>
        <n v="17025" u="1"/>
        <n v="3050" u="1"/>
        <n v="19260" u="1"/>
        <n v="21495" u="1"/>
        <n v="23730" u="1"/>
        <n v="25965" u="1"/>
        <n v="28200" u="1"/>
        <n v="34635" u="1"/>
        <n v="30435" u="1"/>
        <n v="39105" u="1"/>
        <n v="32670" u="1"/>
        <n v="9140" u="1"/>
        <n v="11375" u="1"/>
        <n v="13610" u="1"/>
        <n v="15845" u="1"/>
        <n v="4325" u="1"/>
        <n v="33260" u="1"/>
        <n v="37730" u="1"/>
        <n v="6560" u="1"/>
        <n v="17885" u="1"/>
        <n v="475" u="1"/>
        <n v="20120" u="1"/>
        <n v="22355" u="1"/>
        <n v="24590" u="1"/>
        <n v="160" u="1"/>
        <n v="26825" u="1"/>
        <n v="29060" u="1"/>
        <n v="36355" u="1"/>
        <n v="31295" u="1"/>
        <n v="9570" u="1"/>
        <n v="11805" u="1"/>
        <n v="14040" u="1"/>
        <n v="16275" u="1"/>
        <n v="4540" u="1"/>
        <n v="34980" u="1"/>
        <n v="39450" u="1"/>
        <n v="6775" u="1"/>
        <n v="16510" u="1"/>
        <n v="18745" u="1"/>
        <n v="3265" u="1"/>
        <n v="20980" u="1"/>
        <n v="23215" u="1"/>
        <n v="25450" u="1"/>
        <n v="27685" u="1"/>
        <n v="33605" u="1"/>
        <n v="29920" u="1"/>
        <n v="38075" u="1"/>
        <n v="32155" u="1"/>
        <n v="10000" u="1"/>
        <n v="12235" u="1"/>
        <n v="14470" u="1"/>
        <n v="755" u="1"/>
        <n v="4755" u="1"/>
        <n v="36700" u="1"/>
        <n v="6990" u="1"/>
        <n v="2255" u="1"/>
        <n v="17370" u="1"/>
        <n v="19605" u="1"/>
        <n v="21840" u="1"/>
        <n v="24075" u="1"/>
        <n v="26310" u="1"/>
        <n v="28545" u="1"/>
        <n v="35325" u="1"/>
        <n v="30780" u="1"/>
        <n v="39795" u="1"/>
        <n v="8195" u="1"/>
        <n v="1625" u="1"/>
        <n v="10430" u="1"/>
        <n v="12665" u="1"/>
        <n v="14900" u="1"/>
        <n v="4970" u="1"/>
        <n v="33950" u="1"/>
        <n v="38420" u="1"/>
        <n v="7205" u="1"/>
        <n v="18230" u="1"/>
        <n v="20465" u="1"/>
        <n v="3480" u="1"/>
        <n v="22700" u="1"/>
        <n v="24935" u="1"/>
        <n v="27170" u="1"/>
        <n v="1120" u="1"/>
        <n v="29405" u="1"/>
        <n v="31640" u="1"/>
        <n v="8625" u="1"/>
        <n v="250" u="1"/>
        <n v="10860" u="1"/>
        <n v="13095" u="1"/>
        <n v="15330" u="1"/>
        <n v="5185" u="1"/>
        <n v="35670" u="1"/>
        <n v="40140" u="1"/>
        <n v="7420" u="1"/>
        <n v="2470" u="1"/>
        <n v="16855" u="1"/>
        <n v="19090" u="1"/>
        <n v="21325" u="1"/>
        <n v="23560" u="1"/>
        <n v="25795" u="1"/>
        <n v="28030" u="1"/>
        <n v="34295" u="1"/>
        <n v="30265" u="1"/>
        <n v="38765" u="1"/>
        <n v="32500" u="1"/>
        <n v="9055" u="1"/>
        <n v="11290" u="1"/>
        <n v="13525" u="1"/>
        <n v="15760" u="1"/>
        <n v="5400" u="1"/>
        <n v="32920" u="1"/>
        <n v="37390" u="1"/>
        <n v="7635" u="1"/>
        <n v="17715" u="1"/>
        <n v="19950" u="1"/>
        <n v="22185" u="1"/>
        <n v="3695" u="1"/>
        <n v="24420" u="1"/>
        <n v="26655" u="1"/>
        <n v="28890" u="1"/>
        <n v="36015" u="1"/>
        <n v="31125" u="1"/>
        <n v="40485" u="1"/>
        <n v="9485" u="1"/>
        <n v="11720" u="1"/>
        <n v="13955" u="1"/>
        <n v="16190" u="1"/>
        <n v="5615" u="1"/>
        <n v="34640" u="1"/>
        <n v="39110" u="1"/>
        <n v="2685" u="1"/>
        <n v="18575" u="1"/>
        <n v="20810" u="1"/>
        <n v="23045" u="1"/>
        <n v="25280" u="1"/>
        <n v="27515" u="1"/>
        <n v="33265" u="1"/>
        <n v="29750" u="1"/>
        <n v="37735" u="1"/>
        <n v="31985" u="1"/>
        <n v="9915" u="1"/>
        <n v="1840" u="1"/>
        <n v="12150" u="1"/>
        <n v="14385" u="1"/>
        <n v="610" u="1"/>
        <n v="5830" u="1"/>
        <n v="36360" u="1"/>
        <n v="8065" u="1"/>
        <n v="17200" u="1"/>
        <n v="19435" u="1"/>
        <n v="23905" u="1"/>
        <n v="3910" u="1"/>
        <n v="26140" u="1"/>
        <n v="28375" u="1"/>
        <n v="34985" u="1"/>
        <n v="30610" u="1"/>
        <n v="39455" u="1"/>
        <n v="1335" u="1"/>
        <n v="10345" u="1"/>
        <n v="12580" u="1"/>
        <n v="14815" u="1"/>
        <n v="33610" u="1"/>
        <n v="6045" u="1"/>
        <n v="38080" u="1"/>
        <n v="2900" u="1"/>
        <n v="18060" u="1"/>
        <n v="20295" u="1"/>
        <n v="22530" u="1"/>
        <n v="24765" u="1"/>
        <n v="27000" u="1"/>
        <n v="29235" u="1"/>
        <n v="36705" u="1"/>
        <n v="31470" u="1"/>
        <n v="8540" u="1"/>
        <n v="10775" u="1"/>
        <n v="13010" u="1"/>
        <n v="35330" u="1"/>
        <n v="6260" u="1"/>
        <n v="39800" u="1"/>
        <n v="16685" u="1"/>
        <n v="18920" u="1"/>
        <n v="21155" u="1"/>
        <n v="23390" u="1"/>
        <n v="25625" u="1"/>
        <n v="27860" u="1"/>
        <n v="33955" u="1"/>
        <n v="30095" u="1"/>
        <n v="38425" u="1"/>
        <n v="32330" u="1"/>
        <n v="8970" u="1"/>
        <n v="11205" u="1"/>
        <n v="13440" u="1"/>
        <n v="15675" u="1"/>
        <n v="4240" u="1"/>
        <n v="37050" u="1"/>
        <n v="970" u="1"/>
        <n v="6475" u="1"/>
        <n v="330" u="1"/>
        <n v="17545" u="1"/>
        <n v="3115" u="1"/>
        <n v="19780" u="1"/>
        <n v="22015" u="1"/>
        <n v="24250" u="1"/>
        <n v="26485" u="1"/>
        <n v="28720" u="1"/>
        <n v="35675" u="1"/>
        <n v="30955" u="1"/>
        <n v="40145" u="1"/>
        <n v="9400" u="1"/>
        <n v="11635" u="1"/>
        <n v="13870" u="1"/>
        <n v="16105" u="1"/>
        <n v="4455" u="1"/>
        <n v="34300" u="1"/>
        <n v="38770" u="1"/>
        <n v="6690" u="1"/>
        <n v="2105" u="1"/>
        <n v="18405" u="1"/>
        <n v="20640" u="1"/>
        <n v="22875" u="1"/>
        <n v="25110" u="1"/>
        <n v="27345" u="1"/>
        <n v="32925" u="1"/>
        <n v="29580" u="1"/>
        <n v="37395" u="1"/>
        <n v="31815" u="1"/>
        <n v="1550" u="1"/>
        <n v="9830" u="1"/>
        <n v="12065" u="1"/>
        <n v="14300" u="1"/>
        <n v="4670" u="1"/>
        <n v="36020" u="1"/>
        <n v="40490" u="1"/>
        <n v="6905" u="1"/>
        <n v="17030" u="1"/>
        <n v="19265" u="1"/>
        <n v="3330" u="1"/>
        <n v="21500" u="1"/>
        <n v="23735" u="1"/>
        <n v="25970" u="1"/>
        <n v="1045" u="1"/>
        <n v="28205" u="1"/>
        <n v="34645" u="1"/>
        <n v="30440" u="1"/>
        <n v="39115" u="1"/>
        <n v="32675" u="1"/>
        <n v="10260" u="1"/>
        <n v="12495" u="1"/>
        <n v="14730" u="1"/>
        <n v="4885" u="1"/>
        <n v="33270" u="1"/>
        <n v="37740" u="1"/>
        <n v="7120" u="1"/>
        <n v="2320" u="1"/>
        <n v="17890" u="1"/>
        <n v="20125" u="1"/>
        <n v="510" u="1"/>
        <n v="22360" u="1"/>
        <n v="24595" u="1"/>
        <n v="26830" u="1"/>
        <n v="29065" u="1"/>
        <n v="36365" u="1"/>
        <n v="31300" u="1"/>
        <n v="8455" u="1"/>
        <n v="10690" u="1"/>
        <n v="12925" u="1"/>
        <n v="15160" u="1"/>
        <n v="5100" u="1"/>
        <n v="34990" u="1"/>
        <n v="39460" u="1"/>
        <n v="7335" u="1"/>
        <n v="16515" u="1"/>
        <n v="18750" u="1"/>
        <n v="20985" u="1"/>
        <n v="3545" u="1"/>
        <n v="23220" u="1"/>
        <n v="25455" u="1"/>
        <n v="27690" u="1"/>
        <n v="33615" u="1"/>
        <n v="29925" u="1"/>
        <n v="38085" u="1"/>
        <n v="32160" u="1"/>
        <n v="8885" u="1"/>
        <n v="11120" u="1"/>
        <n v="13355" u="1"/>
        <n v="15590" u="1"/>
        <n v="825" u="1"/>
        <n v="5315" u="1"/>
        <n v="36710" u="1"/>
        <n v="7550" u="1"/>
        <n v="2535" u="1"/>
        <n v="17375" u="1"/>
        <n v="19610" u="1"/>
        <n v="21845" u="1"/>
        <n v="24080" u="1"/>
        <n v="26315" u="1"/>
        <n v="28550" u="1"/>
        <n v="35335" u="1"/>
        <n v="30785" u="1"/>
        <n v="39805" u="1"/>
        <n v="9315" u="1"/>
        <n v="11550" u="1"/>
        <n v="13785" u="1"/>
        <n v="16020" u="1"/>
        <n v="5530" u="1"/>
        <n v="33960" u="1"/>
        <n v="38430" u="1"/>
        <n v="7765" u="1"/>
        <n v="18235" u="1"/>
        <n v="20470" u="1"/>
        <n v="22705" u="1"/>
        <n v="3760" u="1"/>
        <n v="24940" u="1"/>
        <n v="27175" u="1"/>
        <n v="29410" u="1"/>
        <n v="37055" u="1"/>
        <n v="1260" u="1"/>
        <n v="31645" u="1"/>
        <n v="9745" u="1"/>
        <n v="11980" u="1"/>
        <n v="14215" u="1"/>
        <n v="95" u="1"/>
        <n v="5745" u="1"/>
        <n v="35680" u="1"/>
        <n v="40150" u="1"/>
        <n v="7980" u="1"/>
        <n v="2750" u="1"/>
        <n v="16860" u="1"/>
        <n v="19095" u="1"/>
        <n v="21330" u="1"/>
        <n v="23565" u="1"/>
        <n v="25800" u="1"/>
        <n v="28035" u="1"/>
        <n v="34305" u="1"/>
        <n v="30270" u="1"/>
        <n v="38775" u="1"/>
        <n v="32505" u="1"/>
        <n v="10175" u="1"/>
        <n v="12410" u="1"/>
        <n v="14645" u="1"/>
        <n v="32930" u="1"/>
        <n v="5960" u="1"/>
        <n v="37400" u="1"/>
        <n v="17720" u="1"/>
        <n v="19955" u="1"/>
        <n v="22190" u="1"/>
        <n v="24425" u="1"/>
        <n v="3975" u="1"/>
        <n v="26660" u="1"/>
        <n v="28895" u="1"/>
        <n v="36025" u="1"/>
        <n v="31130" u="1"/>
        <n v="40495" u="1"/>
        <n v="8370" u="1"/>
        <n v="10605" u="1"/>
        <n v="12840" u="1"/>
        <n v="15075" u="1"/>
        <n v="6175" u="1"/>
        <n v="39120" u="1"/>
        <n v="2965" u="1"/>
        <n v="18580" u="1"/>
        <n v="20815" u="1"/>
        <n v="23050" u="1"/>
        <n v="25285" u="1"/>
        <n v="27520" u="1"/>
        <n v="33275" u="1"/>
        <n v="29755" u="1"/>
        <n v="37745" u="1"/>
        <n v="31990" u="1"/>
        <n v="8800" u="1"/>
        <n v="11035" u="1"/>
        <n v="1980" u="1"/>
        <n v="13270" u="1"/>
        <n v="15505" u="1"/>
        <n v="680" u="1"/>
        <n v="4155" u="1"/>
        <n v="36370" u="1"/>
        <n v="6390" u="1"/>
        <n v="17205" u="1"/>
        <n v="19440" u="1"/>
        <n v="21675" u="1"/>
        <n v="23910" u="1"/>
        <n v="28380" u="1"/>
        <n v="34995" u="1"/>
        <n v="30615" u="1"/>
        <n v="39465" u="1"/>
        <n v="1475" u="1"/>
        <n v="9230" u="1"/>
        <n v="11465" u="1"/>
        <n v="13700" u="1"/>
        <n v="15935" u="1"/>
        <n v="4370" u="1"/>
        <n v="33620" u="1"/>
        <n v="38090" u="1"/>
        <n v="6605" u="1"/>
        <n v="18065" u="1"/>
        <n v="3180" u="1"/>
        <n v="20300" u="1"/>
        <n v="22535" u="1"/>
        <n v="24770" u="1"/>
        <n v="27005" u="1"/>
        <n v="29240" u="1"/>
        <n v="36715" u="1"/>
        <n v="31475" u="1"/>
        <n v="9660" u="1"/>
        <n v="11895" u="1"/>
        <n v="14130" u="1"/>
        <n v="16365" u="1"/>
        <n v="4585" u="1"/>
        <n v="35340" u="1"/>
        <n v="39810" u="1"/>
        <n v="6820" u="1"/>
        <n v="2170" u="1"/>
        <n v="16690" u="1"/>
        <n v="18925" u="1"/>
        <n v="21160" u="1"/>
        <n v="23395" u="1"/>
        <n v="25630" u="1"/>
        <n v="27865" u="1"/>
        <n v="33965" u="1"/>
        <n v="30100" u="1"/>
        <n v="38435" u="1"/>
        <n v="32335" u="1"/>
        <n v="10090" u="1"/>
        <n v="12325" u="1"/>
        <n v="14560" u="1"/>
        <n v="4800" u="1"/>
        <n v="37060" u="1"/>
        <n v="7035" u="1"/>
        <n v="365" u="1"/>
        <n v="17550" u="1"/>
        <n v="19785" u="1"/>
        <n v="3395" u="1"/>
        <n v="22020" u="1"/>
        <n v="24255" u="1"/>
        <n v="26490" u="1"/>
        <n v="28725" u="1"/>
        <n v="35685" u="1"/>
        <n v="30960" u="1"/>
        <n v="40155" u="1"/>
        <n v="8285" u="1"/>
        <n v="10520" u="1"/>
        <n v="12755" u="1"/>
        <n v="14990" u="1"/>
        <n v="5015" u="1"/>
        <n v="34310" u="1"/>
        <n v="38780" u="1"/>
        <n v="7250" u="1"/>
        <n v="2385" u="1"/>
        <n v="18410" u="1"/>
        <n v="20645" u="1"/>
        <n v="22880" u="1"/>
        <n v="25115" u="1"/>
        <n v="27350" u="1"/>
        <n v="32935" u="1"/>
        <n v="29585" u="1"/>
        <n v="37405" u="1"/>
        <n v="31820" u="1"/>
        <n v="8715" u="1"/>
        <n v="1690" u="1"/>
        <n v="10950" u="1"/>
        <n v="13185" u="1"/>
        <n v="535" u="1"/>
        <n v="15420" u="1"/>
        <n v="5230" u="1"/>
        <n v="36030" u="1"/>
        <n v="40500" u="1"/>
        <n v="7465" u="1"/>
        <n v="17035" u="1"/>
        <n v="19270" u="1"/>
        <n v="21505" u="1"/>
        <n v="3610" u="1"/>
        <n v="23740" u="1"/>
        <n v="25975" u="1"/>
        <n v="28210" u="1"/>
        <n v="34655" u="1"/>
        <n v="1185" u="1"/>
        <n v="30445" u="1"/>
        <n v="32680" u="1"/>
        <n v="9145" u="1"/>
        <n v="11380" u="1"/>
        <n v="13615" u="1"/>
        <n v="15850" u="1"/>
        <n v="5445" u="1"/>
        <n v="33280" u="1"/>
        <n v="37750" u="1"/>
        <n v="7680" u="1"/>
        <n v="2600" u="1"/>
        <n v="17895" u="1"/>
        <n v="20130" u="1"/>
        <n v="22365" u="1"/>
        <n v="24600" u="1"/>
        <n v="26835" u="1"/>
        <n v="29070" u="1"/>
        <n v="36375" u="1"/>
        <n v="195" u="1"/>
        <n v="31305" u="1"/>
        <n v="9575" u="1"/>
        <n v="11810" u="1"/>
        <n v="14045" u="1"/>
        <n v="16280" u="1"/>
        <n v="5660" u="1"/>
        <n v="35000" u="1"/>
        <n v="39470" u="1"/>
        <n v="7895" u="1"/>
        <n v="16520" u="1"/>
        <n v="18755" u="1"/>
        <n v="20990" u="1"/>
        <n v="23225" u="1"/>
        <n v="3825" u="1"/>
        <n v="25460" u="1"/>
        <n v="27695" u="1"/>
        <n v="33625" u="1"/>
        <n v="29930" u="1"/>
        <n v="38095" u="1"/>
        <n v="32165" u="1"/>
        <n v="10005" u="1"/>
        <n v="12240" u="1"/>
        <n v="14475" u="1"/>
        <n v="895" u="1"/>
        <n v="5875" u="1"/>
        <n v="36720" u="1"/>
        <n v="2815" u="1"/>
        <n v="17380" u="1"/>
        <n v="19615" u="1"/>
        <n v="21850" u="1"/>
        <n v="24085" u="1"/>
        <n v="26320" u="1"/>
        <n v="28555" u="1"/>
        <n v="35345" u="1"/>
        <n v="30790" u="1"/>
        <n v="39815" u="1"/>
        <n v="8200" u="1"/>
        <n v="10435" u="1"/>
        <n v="1905" u="1"/>
        <n v="12670" u="1"/>
        <n v="14905" u="1"/>
        <n v="33970" u="1"/>
        <n v="6090" u="1"/>
        <n v="38440" u="1"/>
        <n v="18240" u="1"/>
        <n v="20475" u="1"/>
        <n v="24945" u="1"/>
        <n v="4040" u="1"/>
        <n v="27180" u="1"/>
        <n v="29415" u="1"/>
        <n v="37065" u="1"/>
        <n v="31650" u="1"/>
        <n v="1400" u="1"/>
        <n v="8630" u="1"/>
        <n v="10865" u="1"/>
        <n v="13100" u="1"/>
        <n v="15335" u="1"/>
        <n v="35690" u="1"/>
        <n v="6305" u="1"/>
        <n v="40160" u="1"/>
        <n v="16865" u="1"/>
        <n v="3030" u="1"/>
        <n v="19100" u="1"/>
        <n v="21335" u="1"/>
        <n v="23570" u="1"/>
        <n v="25805" u="1"/>
        <n v="28040" u="1"/>
        <n v="34315" u="1"/>
        <n v="30275" u="1"/>
        <n v="38785" u="1"/>
        <n v="32510" u="1"/>
        <n v="9060" u="1"/>
        <n v="11295" u="1"/>
        <n v="13530" u="1"/>
        <n v="4285" u="1"/>
        <n v="32940" u="1"/>
        <n v="37410" u="1"/>
        <n v="6520" u="1"/>
        <n v="17725" u="1"/>
        <n v="19960" u="1"/>
        <n v="22195" u="1"/>
        <n v="24430" u="1"/>
        <n v="26665" u="1"/>
        <n v="28900" u="1"/>
        <n v="36035" u="1"/>
        <n v="31135" u="1"/>
        <n v="40505" u="1"/>
        <n v="9490" u="1"/>
        <n v="11725" u="1"/>
        <n v="13960" u="1"/>
        <n v="16195" u="1"/>
        <n v="4500" u="1"/>
        <n v="34660" u="1"/>
        <n v="39130" u="1"/>
        <n v="6735" u="1"/>
        <n v="18585" u="1"/>
        <n v="3245" u="1"/>
        <n v="20820" u="1"/>
        <n v="23055" u="1"/>
        <n v="25290" u="1"/>
        <n v="27525" u="1"/>
        <n v="33285" u="1"/>
        <n v="29760" u="1"/>
        <n v="37755" u="1"/>
        <n v="31995" u="1"/>
        <n v="9920" u="1"/>
        <n v="12155" u="1"/>
        <n v="14390" u="1"/>
        <n v="750" u="1"/>
        <n v="4715" u="1"/>
        <n v="36380" u="1"/>
        <n v="6950" u="1"/>
        <n v="2235" u="1"/>
        <n v="17210" u="1"/>
        <n v="19445" u="1"/>
        <n v="21680" u="1"/>
        <n v="23915" u="1"/>
        <n v="26150" u="1"/>
        <n v="28385" u="1"/>
        <n v="35005" u="1"/>
        <n v="30620" u="1"/>
        <n v="39475" u="1"/>
        <n v="1615" u="1"/>
        <n v="10350" u="1"/>
        <n v="12585" u="1"/>
        <n v="14820" u="1"/>
        <n v="4930" u="1"/>
        <n v="33630" u="1"/>
        <n v="38100" u="1"/>
        <n v="7165" u="1"/>
        <n v="18070" u="1"/>
        <n v="20305" u="1"/>
        <n v="3460" u="1"/>
        <n v="22540" u="1"/>
        <n v="24775" u="1"/>
        <n v="27010" u="1"/>
        <n v="1110" u="1"/>
        <n v="29245" u="1"/>
        <n v="36725" u="1"/>
        <n v="31480" u="1"/>
        <n v="8545" u="1"/>
        <n v="10780" u="1"/>
        <n v="13015" u="1"/>
        <n v="15250" u="1"/>
        <n v="5145" u="1"/>
        <n v="35350" u="1"/>
        <n v="39820" u="1"/>
        <n v="7380" u="1"/>
        <n v="2450" u="1"/>
        <n v="16695" u="1"/>
        <n v="18930" u="1"/>
        <n v="21165" u="1"/>
        <n v="23400" u="1"/>
        <n v="25635" u="1"/>
        <n v="27870" u="1"/>
        <n v="33975" u="1"/>
        <n v="30105" u="1"/>
        <n v="38445" u="1"/>
        <n v="32340" u="1"/>
        <n v="8975" u="1"/>
        <n v="11210" u="1"/>
        <n v="13445" u="1"/>
        <n v="15680" u="1"/>
        <n v="5360" u="1"/>
        <n v="37070" u="1"/>
        <n v="7595" u="1"/>
        <n v="400" u="1"/>
        <n v="17555" u="1"/>
        <n v="19790" u="1"/>
        <n v="22025" u="1"/>
        <n v="3675" u="1"/>
        <n v="24260" u="1"/>
        <n v="26495" u="1"/>
        <n v="28730" u="1"/>
        <n v="35695" u="1"/>
        <n v="30965" u="1"/>
        <n v="40165" u="1"/>
        <n v="9405" u="1"/>
        <n v="11640" u="1"/>
        <n v="13875" u="1"/>
        <n v="16110" u="1"/>
        <n v="5575" u="1"/>
        <n v="34320" u="1"/>
        <n v="38790" u="1"/>
        <n v="7810" u="1"/>
        <n v="2665" u="1"/>
        <n v="18415" u="1"/>
        <n v="20650" u="1"/>
        <n v="22885" u="1"/>
        <n v="25120" u="1"/>
        <n v="27355" u="1"/>
        <n v="32945" u="1"/>
        <n v="29590" u="1"/>
        <n v="37415" u="1"/>
        <n v="31825" u="1"/>
        <n v="9835" u="1"/>
        <n v="12070" u="1"/>
        <n v="14305" u="1"/>
        <n v="605" u="1"/>
        <n v="5790" u="1"/>
        <n v="36040" u="1"/>
        <n v="40510" u="1"/>
        <n v="8025" u="1"/>
        <n v="17040" u="1"/>
        <n v="19275" u="1"/>
        <n v="21510" u="1"/>
        <n v="23745" u="1"/>
        <n v="3890" u="1"/>
        <n v="25980" u="1"/>
        <n v="28215" u="1"/>
        <n v="34665" u="1"/>
        <n v="30450" u="1"/>
        <n v="39135" u="1"/>
        <n v="1325" u="1"/>
        <n v="32685" u="1"/>
        <n v="10265" u="1"/>
        <n v="12500" u="1"/>
        <n v="14735" u="1"/>
        <n v="33290" u="1"/>
        <n v="6005" u="1"/>
        <n v="37760" u="1"/>
        <n v="2880" u="1"/>
        <n v="17900" u="1"/>
        <n v="20135" u="1"/>
        <n v="22370" u="1"/>
        <n v="24605" u="1"/>
        <n v="26840" u="1"/>
        <n v="29075" u="1"/>
        <n v="36385" u="1"/>
        <n v="31310" u="1"/>
        <n v="8460" u="1"/>
        <n v="10695" u="1"/>
        <n v="12930" u="1"/>
        <n v="15165" u="1"/>
        <n v="35010" u="1"/>
        <n v="6220" u="1"/>
        <n v="39480" u="1"/>
        <n v="16525" u="1"/>
        <n v="18760" u="1"/>
        <n v="20995" u="1"/>
        <n v="23230" u="1"/>
        <n v="25465" u="1"/>
        <n v="27700" u="1"/>
        <n v="33635" u="1"/>
        <n v="29935" u="1"/>
        <n v="38105" u="1"/>
        <n v="32170" u="1"/>
        <n v="8890" u="1"/>
        <n v="11125" u="1"/>
        <n v="13360" u="1"/>
        <n v="15595" u="1"/>
        <n v="4200" u="1"/>
        <n v="965" u="1"/>
        <n v="6435" u="1"/>
        <n v="17385" u="1"/>
        <n v="3095" u="1"/>
        <n v="19620" u="1"/>
        <n v="21855" u="1"/>
        <n v="24090" u="1"/>
        <n v="26325" u="1"/>
        <n v="28560" u="1"/>
        <n v="35355" u="1"/>
        <n v="30795" u="1"/>
        <n v="39825" u="1"/>
        <n v="9320" u="1"/>
        <n v="11555" u="1"/>
        <n v="2045" u="1"/>
        <n v="13790" u="1"/>
        <n v="16025" u="1"/>
        <n v="4415" u="1"/>
        <n v="33980" u="1"/>
        <n v="38450" u="1"/>
        <n v="6650" u="1"/>
        <n v="2085" u="1"/>
        <n v="18245" u="1"/>
        <n v="20480" u="1"/>
        <n v="22715" u="1"/>
        <n v="24950" u="1"/>
        <n v="29420" u="1"/>
        <n v="37075" u="1"/>
        <n v="31655" u="1"/>
        <n v="1540" u="1"/>
        <n v="9750" u="1"/>
        <n v="11985" u="1"/>
        <n v="14220" u="1"/>
        <n v="4630" u="1"/>
        <n v="35700" u="1"/>
        <n v="40170" u="1"/>
        <n v="6865" u="1"/>
        <n v="16870" u="1"/>
        <n v="19105" u="1"/>
        <n v="3310" u="1"/>
        <n v="21340" u="1"/>
        <n v="23575" u="1"/>
        <n v="25810" u="1"/>
        <n v="1035" u="1"/>
        <n v="28045" u="1"/>
        <n v="34325" u="1"/>
        <n v="30280" u="1"/>
        <n v="38795" u="1"/>
        <n v="32515" u="1"/>
        <n v="10180" u="1"/>
        <n v="12415" u="1"/>
        <n v="14650" u="1"/>
        <n v="4845" u="1"/>
        <n v="32950" u="1"/>
        <n v="37420" u="1"/>
        <n v="7080" u="1"/>
        <n v="2300" u="1"/>
        <n v="17730" u="1"/>
        <n v="19965" u="1"/>
        <n v="22200" u="1"/>
        <n v="24435" u="1"/>
        <n v="26670" u="1"/>
        <n v="28905" u="1"/>
        <n v="36045" u="1"/>
        <n v="31140" u="1"/>
        <n v="40515" u="1"/>
        <n v="8375" u="1"/>
        <n v="10610" u="1"/>
        <n v="12845" u="1"/>
        <n v="15080" u="1"/>
        <n v="5060" u="1"/>
        <n v="34670" u="1"/>
        <n v="39140" u="1"/>
        <n v="7295" u="1"/>
        <n v="18590" u="1"/>
        <n v="20825" u="1"/>
        <n v="3525" u="1"/>
        <n v="23060" u="1"/>
        <n v="25295" u="1"/>
        <n v="27530" u="1"/>
        <n v="33295" u="1"/>
        <n v="29765" u="1"/>
        <n v="37765" u="1"/>
        <n v="32000" u="1"/>
        <n v="8805" u="1"/>
        <n v="11040" u="1"/>
        <n v="13275" u="1"/>
        <n v="15510" u="1"/>
        <n v="820" u="1"/>
        <n v="5275" u="1"/>
      </sharedItems>
    </cacheField>
    <cacheField name="Unit 1 Precrash Action Cd" numFmtId="0">
      <sharedItems containsBlank="1" count="27">
        <s v="Making Left Turn"/>
        <s v="Straight Ahead"/>
        <s v="Leaving Traffic Lane"/>
        <s v="Changing Lanes"/>
        <s v="Negotiating a Curve"/>
        <s v="Entering Traffic Lane"/>
        <s v="Slowing or Stopped In Traffic"/>
        <s v="Making Right Turn"/>
        <s v="Backing"/>
        <s v="Making U-Turn"/>
        <s v="Overtaking/Passing"/>
        <s v="Other / Unknown"/>
        <s v="Other Non-Motorist"/>
        <s v="Walking, Running, Jogging, Playing" u="1"/>
        <s v="Driverless" u="1"/>
        <s v="Entering or Crossing Specified Location" u="1"/>
        <s v="Standing Outside Disabled Vehicle" u="1"/>
        <m u="1"/>
        <s v="Standing" u="1"/>
        <s v="Other Non-Motorist Action" u="1"/>
        <s v="Approaching Or Leaving Vehicle" u="1"/>
        <s v="Other Motorist Action" u="1"/>
        <s v="Data Not Valid or Not Provided" u="1"/>
        <s v="Parked" u="1"/>
        <s v="Unknown" u="1"/>
        <s v="Working" u="1"/>
        <s v="Walking, Running, Jogging, Playing, Cycling" u="1"/>
      </sharedItems>
    </cacheField>
    <cacheField name="Unit 1 Cont Cir Primary Cd" numFmtId="0">
      <sharedItems containsBlank="1" count="43">
        <s v="Unsafe Speed"/>
        <s v="Improper Turn"/>
        <s v="Operating Defective Equipment"/>
        <s v="Following Too Closely/ACDA"/>
        <s v="None"/>
        <s v="Improper Passing"/>
        <s v="Other Improper Action"/>
        <s v="Failure to Yield"/>
        <s v="Left of Center"/>
        <s v="Improper Lane Change"/>
        <s v="Not Discernible"/>
        <s v="Ran Red Light"/>
        <s v="Ran Stop Sign"/>
        <s v="Improper Backing"/>
        <s v="Swerving to Avoid"/>
        <s v="Drove off Road"/>
        <s v="Load shifting/Falling/Spilling"/>
        <s v="Improper Crossing" u="1"/>
        <s v="Wrong Way" u="1"/>
        <m u="1"/>
        <s v="Lying in Roadway" u="1"/>
        <s v="Stopped or Parked Illegally" u="1"/>
        <s v="Vision Obstruction" u="1"/>
        <s v="Exceeded Speed Limit" u="1"/>
        <s v="Improper Start From Parked Position" u="1"/>
        <s v="Inattentive" u="1"/>
        <s v="Not Visible (Dark Clothing)" u="1"/>
        <s v="Lying And/Or Illegally In Roadway" u="1"/>
        <s v="Failure To Obey Signs/Signals/Officer" u="1"/>
        <s v="Other Non-Motorist" u="1"/>
        <s v="Wrong Side/Wrong Way" u="1"/>
        <s v="Improper Lane Change/Passing/Offroad" u="1"/>
        <s v="Improper Start From a Parked Position" u="1"/>
        <s v="Following too Close / ACDA" u="1"/>
        <s v="Darting" u="1"/>
        <s v="None-Motorist" u="1"/>
        <s v="Failure To Control" u="1"/>
        <s v="Followed To Closely/ACDA" u="1"/>
        <s v="Operating Vehicle In Negligent Manner" u="1"/>
        <s v="None Non-Motorist" u="1"/>
        <s v="Failure To Yield Right Of Way" u="1"/>
        <s v="Unknown" u="1"/>
        <s v="Wrong Side Of The Road" u="1"/>
      </sharedItems>
    </cacheField>
    <cacheField name="Unit 1 Object Struck" numFmtId="0">
      <sharedItems containsBlank="1" count="37">
        <s v="Nothing Struck"/>
        <s v="Curb"/>
        <s v="Other Post, Pole Or Support"/>
        <s v="Traffic Sign Post"/>
        <s v="Tree"/>
        <s v="Utility Pole"/>
        <s v="Light/Luminaries Support"/>
        <s v="Building"/>
        <s v="Other Fixed Object"/>
        <s v="Overhead Sign Post"/>
        <s v="Work Zone Maintenance Equipment"/>
        <s v="Guardrail Face"/>
        <s v="Bridge Rail"/>
        <s v="Fire Hydrant"/>
        <s v="Bridge Pier Or Abutment" u="1"/>
        <s v="Ditch" u="1"/>
        <s v="Embankment" u="1"/>
        <s v="Guardrail End" u="1"/>
        <s v="Impact Attenuator/Crash Cushion" u="1"/>
        <s v="Median Guardrail Barrier" u="1"/>
        <s v="Other / Unknown" u="1"/>
        <s v="Fence" u="1"/>
        <s v="Median Cable Barrier" u="1"/>
        <s v="Median Concrete Barrier" u="1"/>
        <s v="Bridge Parapet" u="1"/>
        <s v="Wall" u="1"/>
        <s v="Portable Barrier" u="1"/>
        <s v="Culvert" u="1"/>
        <s v="Median Other Barrier" u="1"/>
        <m u="1"/>
        <s v="" u="1"/>
        <s v="Mailbox" u="1"/>
        <s v="Wall, Building, Tunnel" u="1"/>
        <s v="Bridge Overhead Structure" u="1"/>
        <s v="WZ Maintenance Equip-Fixed Object" u="1"/>
        <s v="Tunnel" u="1"/>
        <s v="Unknown" u="1"/>
      </sharedItems>
    </cacheField>
    <cacheField name="Unit 1 Seq Of Events 1 Cd" numFmtId="0">
      <sharedItems/>
    </cacheField>
    <cacheField name="Unit 1 Seq Of Events 2 Cd" numFmtId="0">
      <sharedItems/>
    </cacheField>
    <cacheField name="Unit 1 Seq Of Events 3 Cd" numFmtId="0">
      <sharedItems/>
    </cacheField>
    <cacheField name="Unit 1 Seq Of Events 4 Cd" numFmtId="0">
      <sharedItems/>
    </cacheField>
    <cacheField name="Unit 1 Seq Of Events 5 Cd" numFmtId="0">
      <sharedItems/>
    </cacheField>
    <cacheField name="Unit 1 Seq Of Events 6 Cd" numFmtId="0">
      <sharedItems/>
    </cacheField>
    <cacheField name="Unit 1 Non Motorist Loc Cd" numFmtId="0">
      <sharedItems containsBlank="1" count="22">
        <s v=""/>
        <s v="Travel Lane – Other Location"/>
        <s v="Shoulder/Roadside" u="1"/>
        <s v="Intersection – Marked Crosswalk" u="1"/>
        <m u="1"/>
        <s v="Driveway Access" u="1"/>
        <s v="Intersection – Other" u="1"/>
        <s v="Sidewalk" u="1"/>
        <s v="Bicycle Lane" u="1"/>
        <s v="Midblock – Marked Crosswalk" u="1"/>
        <s v="Intersection-Marked Crosswalk" u="1"/>
        <s v="Median/Crossing Island" u="1"/>
        <s v="Intersection – Unmarked Crosswalk" u="1"/>
        <s v="Data Not Valid or Not Provided" u="1"/>
        <s v="Shared Use Paths or Trails" u="1"/>
        <s v="Non-Trafficway Area" u="1"/>
        <s v="Midblock-Marked Crosswalk" u="1"/>
        <s v="Other / Unknown" u="1"/>
        <s v="Other/Unknown" u="1"/>
        <s v="Intersection-Other" u="1"/>
        <s v="Intersection-No Crosswalk" u="1"/>
        <s v="Travel Lane-Other Location" u="1"/>
      </sharedItems>
    </cacheField>
    <cacheField name="Unit 1 Age Nbr" numFmtId="0">
      <sharedItems containsSemiMixedTypes="0" containsString="0" containsNumber="1" containsInteger="1" minValue="0" maxValue="81" count="57">
        <n v="30"/>
        <n v="45"/>
        <n v="26"/>
        <n v="79"/>
        <n v="32"/>
        <n v="22"/>
        <n v="0"/>
        <n v="43"/>
        <n v="34"/>
        <n v="24"/>
        <n v="19"/>
        <n v="21"/>
        <n v="25"/>
        <n v="73"/>
        <n v="31"/>
        <n v="48"/>
        <n v="36"/>
        <n v="35"/>
        <n v="23"/>
        <n v="51"/>
        <n v="58"/>
        <n v="33"/>
        <n v="52"/>
        <n v="81"/>
        <n v="44"/>
        <n v="49"/>
        <n v="59"/>
        <n v="20"/>
        <n v="27"/>
        <n v="17"/>
        <n v="46"/>
        <n v="38"/>
        <n v="18"/>
        <n v="61"/>
        <n v="64"/>
        <n v="57"/>
        <n v="39"/>
        <n v="37"/>
        <n v="29"/>
        <n v="69"/>
        <n v="78"/>
        <n v="40"/>
        <n v="28"/>
        <n v="50"/>
        <n v="56"/>
        <n v="16"/>
        <n v="62"/>
        <n v="42"/>
        <n v="66"/>
        <n v="55"/>
        <n v="54"/>
        <n v="71"/>
        <n v="77"/>
        <n v="41"/>
        <n v="65"/>
        <n v="47"/>
        <n v="60"/>
      </sharedItems>
      <fieldGroup base="100">
        <rangePr autoStart="0" autoEnd="0" startNum="15" endNum="90" groupInterval="5"/>
        <groupItems count="17">
          <s v="&lt;15"/>
          <s v="15-19"/>
          <s v="20-24"/>
          <s v="25-29"/>
          <s v="30-34"/>
          <s v="35-39"/>
          <s v="40-44"/>
          <s v="45-49"/>
          <s v="50-54"/>
          <s v="55-59"/>
          <s v="60-64"/>
          <s v="65-69"/>
          <s v="70-74"/>
          <s v="75-79"/>
          <s v="80-84"/>
          <s v="85-90"/>
          <s v="&gt;90"/>
        </groupItems>
      </fieldGroup>
    </cacheField>
    <cacheField name="Unit 1 Gender Cd" numFmtId="0">
      <sharedItems containsBlank="1" count="4">
        <s v="Male"/>
        <s v="Female"/>
        <s v="Unknown"/>
        <m u="1"/>
      </sharedItems>
    </cacheField>
    <cacheField name="Unit 1 Distracted By 1 Cd" numFmtId="0">
      <sharedItems containsBlank="1" count="20">
        <s v="Not Distracted"/>
        <s v="Other / Unknown"/>
        <s v="Manually operating an electronic communication device (testing, typing, dialing)"/>
        <s v="Passenger"/>
        <s v="Other activity with an electronic device"/>
        <s v="Other distraction outside the vehicle"/>
        <s v="Other distraction inside the vehicle"/>
        <s v="Talking on hands free communication device" u="1"/>
        <m u="1"/>
        <s v="" u="1"/>
        <s v="No Distraction Reported" u="1"/>
        <s v="Texting/Emailing" u="1"/>
        <s v="Electronic Communication Device" u="1"/>
        <s v="Other Inside The Vehicle" u="1"/>
        <s v="Other Electronic Device" u="1"/>
        <s v="External Distraction" u="1"/>
        <s v="Phone" u="1"/>
        <s v="Old Data Not Available" u="1"/>
        <s v="Talking on hand held communication device" u="1"/>
        <s v="Unknown" u="1"/>
      </sharedItems>
    </cacheField>
    <cacheField name="Unit 2 ODPS Unit Nbr" numFmtId="0">
      <sharedItems containsMixedTypes="1" containsNumber="1" containsInteger="1" minValue="1" maxValue="2"/>
    </cacheField>
    <cacheField name="Unit 2 Direction From Cd" numFmtId="0">
      <sharedItems containsBlank="1" count="11">
        <s v="North"/>
        <s v="East"/>
        <s v="Southeast"/>
        <s v="West"/>
        <s v="South"/>
        <s v=""/>
        <s v="Northwest"/>
        <s v="Northeast"/>
        <s v="Southwest"/>
        <s v="Unknown"/>
        <m u="1"/>
      </sharedItems>
    </cacheField>
    <cacheField name="Unit 2 Direction To Cd" numFmtId="0">
      <sharedItems containsBlank="1" count="11">
        <s v="South"/>
        <s v="West"/>
        <s v="Northwest"/>
        <s v="Southeast"/>
        <s v="East"/>
        <s v="North"/>
        <s v=""/>
        <s v="Southwest"/>
        <s v="Northeast"/>
        <s v="Unknown"/>
        <m u="1"/>
      </sharedItems>
    </cacheField>
    <cacheField name="Unit 2 Turn Cd" numFmtId="0">
      <sharedItems/>
    </cacheField>
    <cacheField name="Unit 2 Traffic Control Cd" numFmtId="0">
      <sharedItems/>
    </cacheField>
    <cacheField name="Unit 2 Type Of Unit Cd" numFmtId="0">
      <sharedItems containsBlank="1" count="18">
        <s v="Passenger Car"/>
        <s v="Sport Utility Vehicle"/>
        <s v="Pick up"/>
        <s v="Van (9-15 Seats)"/>
        <s v=""/>
        <s v="Cargo Van"/>
        <s v="Passenger Van (minivan)"/>
        <s v="Motorcycle 2 Wheeled"/>
        <s v="Pedestrian/Skater"/>
        <s v="Single Unit Truck"/>
        <s v="Unknown or Hit/Skip"/>
        <s v="Bicycle"/>
        <s v="Semi-Tractor"/>
        <s v="Heavy Equipment"/>
        <s v="Bus (16+ Passengers)"/>
        <s v="Train" u="1"/>
        <m u="1"/>
        <s v="Other Vehicle" u="1"/>
      </sharedItems>
    </cacheField>
    <cacheField name="Unit 2 Special Function Cd" numFmtId="0">
      <sharedItems containsBlank="1" count="17">
        <s v="None"/>
        <s v=""/>
        <s v="Other / Unknown"/>
        <s v="Public Utility"/>
        <s v="Fire"/>
        <s v="Police"/>
        <s v="Construction Equipment"/>
        <s v="Ambulance"/>
        <s v="Bus – Transit/Commuter"/>
        <s v="Snow Removal" u="1"/>
        <s v="School Transport" u="1"/>
        <s v="Mail Carrier" u="1"/>
        <m u="1"/>
        <s v="Farm" u="1"/>
        <s v="Bus – Other" u="1"/>
        <s v="Taxi" u="1"/>
        <s v="Towing" u="1"/>
      </sharedItems>
    </cacheField>
    <cacheField name="Unit 2 Unit Speed Nbr" numFmtId="0">
      <sharedItems containsMixedTypes="1" containsNumber="1" containsInteger="1" minValue="0" maxValue="45"/>
    </cacheField>
    <cacheField name="Unit 2 Posted Speed Nbr" numFmtId="0">
      <sharedItems containsMixedTypes="1" containsNumber="1" containsInteger="1" minValue="5" maxValue="45"/>
    </cacheField>
    <cacheField name="Unit 2 Precrash Action Cd" numFmtId="0">
      <sharedItems containsBlank="1" count="19">
        <s v="Slowing or Stopped In Traffic"/>
        <s v="Straight Ahead"/>
        <s v="Making Left Turn"/>
        <s v=""/>
        <s v="Making Right Turn"/>
        <s v="Parked"/>
        <s v="Entering or Crossing Specified Location"/>
        <s v="Changing Lanes"/>
        <s v="Leaving Traffic Lane"/>
        <s v="Entering Traffic Lane"/>
        <s v="Negotiating a Curve"/>
        <s v="Other / Unknown"/>
        <s v="Backing"/>
        <s v="Walking, Running, Jogging, Playing"/>
        <s v="Other Non-Motorist"/>
        <s v="Making U-Turn" u="1"/>
        <m u="1"/>
        <s v="Overtaking/Passing" u="1"/>
        <s v="Driverless" u="1"/>
      </sharedItems>
    </cacheField>
    <cacheField name="Unit 2 Cont Cir Primary Cd" numFmtId="0">
      <sharedItems containsBlank="1" count="19">
        <s v="None"/>
        <s v=""/>
        <s v="Not Discernible"/>
        <s v="Improper Turn"/>
        <s v="Unsafe Speed"/>
        <s v="Following Too Closely/ACDA"/>
        <s v="Failure to Yield"/>
        <s v="Other Improper Action"/>
        <s v="Improper Passing"/>
        <s v="Improper Crossing" u="1"/>
        <s v="Swerving to Avoid" u="1"/>
        <s v="Lying in Roadway" u="1"/>
        <m u="1"/>
        <s v="Stopped or Parked Illegally" u="1"/>
        <s v="Wrong Way" u="1"/>
        <s v="Improper Lane Change" u="1"/>
        <s v="Ran Red Light" u="1"/>
        <s v="Improper Start From a Parked Position" u="1"/>
        <s v="Following too Close / ACDA" u="1"/>
      </sharedItems>
    </cacheField>
    <cacheField name="Unit 2 Seq Of Events 1 Cd" numFmtId="0">
      <sharedItems/>
    </cacheField>
    <cacheField name="Unit 2 Seq Of Events 2 Cd" numFmtId="0">
      <sharedItems/>
    </cacheField>
    <cacheField name="Unit 2 Seq Of Events 3 Cd" numFmtId="0">
      <sharedItems/>
    </cacheField>
    <cacheField name="Unit 2 Seq Of Events 4 Cd" numFmtId="0">
      <sharedItems/>
    </cacheField>
    <cacheField name="Unit 2 Seq Of Events 5 Cd" numFmtId="0">
      <sharedItems/>
    </cacheField>
    <cacheField name="Unit 2 Seq Of Events 6 Cd" numFmtId="0">
      <sharedItems/>
    </cacheField>
    <cacheField name="Unit 2 Non Motorist Loc Cd" numFmtId="0">
      <sharedItems/>
    </cacheField>
    <cacheField name="Unit 2 Age Nbr" numFmtId="0">
      <sharedItems containsSemiMixedTypes="0" containsString="0" containsNumber="1" containsInteger="1" minValue="0" maxValue="84"/>
    </cacheField>
    <cacheField name="Unit 2 Gender Cd" numFmtId="0">
      <sharedItems/>
    </cacheField>
    <cacheField name="Unit 2 Distracted By 1 Cd" numFmtId="0">
      <sharedItems/>
    </cacheField>
    <cacheField name="Unit 3 ODPS Unit Nbr" numFmtId="0">
      <sharedItems containsMixedTypes="1" containsNumber="1" containsInteger="1" minValue="1" maxValue="3"/>
    </cacheField>
    <cacheField name="Unit 3 Traffic Control Cd" numFmtId="0">
      <sharedItems/>
    </cacheField>
    <cacheField name="Unit 3 Type Of Unit Cd" numFmtId="0">
      <sharedItems/>
    </cacheField>
    <cacheField name="Unit 3 Special Function Cd" numFmtId="0">
      <sharedItems/>
    </cacheField>
    <cacheField name="Unit 3 Precrash Action Cd" numFmtId="0">
      <sharedItems/>
    </cacheField>
    <cacheField name="Unit 3 Cont Cir Primary Cd" numFmtId="0">
      <sharedItems/>
    </cacheField>
    <cacheField name="Unit 3 Seq Of Events 1 Cd" numFmtId="0">
      <sharedItems/>
    </cacheField>
    <cacheField name="Unit 3 Seq Of Events 2 Cd" numFmtId="0">
      <sharedItems/>
    </cacheField>
    <cacheField name="Unit 3 Seq Of Events 3 Cd" numFmtId="0">
      <sharedItems/>
    </cacheField>
    <cacheField name="Unit 3 Seq Of Events 4 Cd" numFmtId="0">
      <sharedItems/>
    </cacheField>
    <cacheField name="Unit 3 Seq Of Events 5 Cd" numFmtId="0">
      <sharedItems/>
    </cacheField>
    <cacheField name="Unit 3 Seq Of Events 6 Cd" numFmtId="0">
      <sharedItems/>
    </cacheField>
    <cacheField name="Intersection ID" numFmtId="0">
      <sharedItems/>
    </cacheField>
    <cacheField name="Intersection Leg" numFmtId="0">
      <sharedItems/>
    </cacheField>
    <cacheField name="Interchange ID" numFmtId="0">
      <sharedItems/>
    </cacheField>
    <cacheField name="SA Ramp ID" numFmtId="0">
      <sharedItems/>
    </cacheField>
    <cacheField name="SA Segment ID" numFmtId="0">
      <sharedItems containsMixedTypes="1" containsNumber="1" containsInteger="1" minValue="89652" maxValue="145188"/>
    </cacheField>
    <cacheField name="Jurisdiction Type" numFmtId="0">
      <sharedItems/>
    </cacheField>
    <cacheField name="CRASH_REPORT_LINK" numFmtId="0">
      <sharedItems/>
    </cacheField>
    <cacheField name="HistoricalImagePath" numFmtId="0">
      <sharedItems/>
    </cacheField>
    <cacheField name="Roadview" numFmtId="0">
      <sharedItems/>
    </cacheField>
    <cacheField name="Google" numFmtId="0">
      <sharedItems/>
    </cacheField>
    <cacheField name="Mashed Map" numFmtId="0">
      <sharedItems/>
    </cacheField>
    <cacheField name="HSM_MV_SV" numFmtId="0">
      <sharedItems containsBlank="1" count="3">
        <s v="MV"/>
        <s v="SV"/>
        <m u="1"/>
      </sharedItems>
    </cacheField>
    <cacheField name="HSM_Severity" numFmtId="0">
      <sharedItems containsBlank="1" count="3">
        <s v="PDO"/>
        <s v="FI"/>
        <m u="1"/>
      </sharedItems>
    </cacheField>
    <cacheField name="Unrestrained" numFmtId="0" formula="IF('Unrestrained Occupants'&gt;0,&quot;Yes&quot;,&quot;No&quot;)" databaseField="0"/>
  </cacheFields>
  <extLst>
    <ext xmlns:x14="http://schemas.microsoft.com/office/spreadsheetml/2009/9/main" uri="{725AE2AE-9491-48be-B2B4-4EB974FC3084}">
      <x14:pivotCacheDefinition pivotCacheId="2"/>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717118-7354-4574-A97A-6856A897EE86}" name="PivotTable31"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Direction From">
  <location ref="B193:D203"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1">
        <item x="1"/>
        <item x="3"/>
        <item x="5"/>
        <item x="6"/>
        <item x="2"/>
        <item x="4"/>
        <item x="7"/>
        <item x="8"/>
        <item x="0"/>
        <item m="1" x="9"/>
        <item t="default"/>
      </items>
      <autoSortScope>
        <pivotArea dataOnly="0" outline="0" fieldPosition="0">
          <references count="1">
            <reference field="4294967294" count="1" selected="0">
              <x v="0"/>
            </reference>
          </references>
        </pivotArea>
      </autoSortScope>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2"/>
  </rowFields>
  <rowItems count="10">
    <i>
      <x v="4"/>
    </i>
    <i>
      <x v="1"/>
    </i>
    <i>
      <x/>
    </i>
    <i>
      <x v="8"/>
    </i>
    <i>
      <x v="6"/>
    </i>
    <i>
      <x v="2"/>
    </i>
    <i>
      <x v="5"/>
    </i>
    <i>
      <x v="3"/>
    </i>
    <i>
      <x v="7"/>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53">
      <pivotArea field="2" type="button" dataOnly="0" labelOnly="1" outline="0"/>
    </format>
    <format dxfId="152">
      <pivotArea dataOnly="0" labelOnly="1" grandRow="1" outline="0" fieldPosition="0"/>
    </format>
    <format dxfId="151">
      <pivotArea outline="0" fieldPosition="0">
        <references count="1">
          <reference field="4294967294" count="1">
            <x v="0"/>
          </reference>
        </references>
      </pivotArea>
    </format>
    <format dxfId="150">
      <pivotArea outline="0" fieldPosition="0">
        <references count="1">
          <reference field="4294967294" count="1">
            <x v="1"/>
          </reference>
        </references>
      </pivotArea>
    </format>
    <format dxfId="14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8E67981-33AD-44E6-91D1-EA0899B14E1B}" name="PivotTable11"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Light Condition">
  <location ref="B79:D86"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8">
        <item x="2"/>
        <item x="3"/>
        <item x="4"/>
        <item x="0"/>
        <item x="1"/>
        <item x="5"/>
        <item m="1"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6"/>
  </rowFields>
  <rowItems count="7">
    <i>
      <x v="4"/>
    </i>
    <i>
      <x/>
    </i>
    <i>
      <x v="3"/>
    </i>
    <i>
      <x v="1"/>
    </i>
    <i>
      <x v="5"/>
    </i>
    <i>
      <x v="2"/>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98">
      <pivotArea field="2" type="button" dataOnly="0" labelOnly="1" outline="0"/>
    </format>
    <format dxfId="197">
      <pivotArea dataOnly="0" labelOnly="1" grandRow="1" outline="0" fieldPosition="0"/>
    </format>
    <format dxfId="196">
      <pivotArea outline="0" fieldPosition="0">
        <references count="1">
          <reference field="4294967294" count="1">
            <x v="0"/>
          </reference>
        </references>
      </pivotArea>
    </format>
    <format dxfId="195">
      <pivotArea outline="0" fieldPosition="0">
        <references count="1">
          <reference field="4294967294" count="1">
            <x v="1"/>
          </reference>
        </references>
      </pivotArea>
    </format>
    <format dxfId="19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86E38158-CCF3-4D67-8517-D6DC0376581F}" name="hour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29:D54"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axis="axisRow" compact="0" outline="0" subtotalTop="0" showAll="0" includeNewItemsInFilter="1" sortType="ascending" rankBy="0">
      <items count="25">
        <item x="2"/>
        <item x="0"/>
        <item x="13"/>
        <item x="6"/>
        <item x="19"/>
        <item x="12"/>
        <item x="7"/>
        <item x="14"/>
        <item x="22"/>
        <item x="18"/>
        <item x="10"/>
        <item x="11"/>
        <item x="8"/>
        <item x="23"/>
        <item x="21"/>
        <item x="15"/>
        <item x="20"/>
        <item x="3"/>
        <item x="5"/>
        <item x="16"/>
        <item x="1"/>
        <item x="4"/>
        <item x="17"/>
        <item x="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 fld="9" subtotal="count" showDataAs="percentOfCol" baseField="0" baseItem="0" numFmtId="165"/>
  </dataFields>
  <formats count="1">
    <format dxfId="47">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96641E4C-1477-4717-8E96-A6142CC128E8}" name="alcohol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311:B313"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RIVER_ALCOHOL2" axis="axisRow" compact="0" outline="0" subtotalTop="0" showAll="0" includeNewItemsInFilter="1" sortType="descending" rankBy="0">
      <items count="2">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8"/>
  </rowFields>
  <rowItems count="2">
    <i>
      <x/>
    </i>
    <i t="grand">
      <x/>
    </i>
  </rowItems>
  <colItems count="1">
    <i/>
  </colItems>
  <dataFields count="1">
    <dataField name="Number" fld="9" subtotal="count" baseField="0" baseItem="0"/>
  </dataFields>
  <formats count="2">
    <format dxfId="49">
      <pivotArea type="all" dataOnly="0" outline="0" fieldPosition="0"/>
    </format>
    <format dxfId="48">
      <pivotArea outline="0" fieldPosition="0">
        <references count="1">
          <reference field="38" count="0" selected="0"/>
        </references>
      </pivotArea>
    </format>
  </formats>
  <chartFormats count="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8"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84F90BB9-F4EE-47D0-88AD-1B4F2F00EC86}" name="animal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F113:G115"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ANIMAL_TYPE" axis="axisRow" compact="0" outline="0" subtotalTop="0" showAll="0" includeNewItemsInFilter="1" sortType="descending" rankBy="0">
      <items count="2">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1"/>
  </rowFields>
  <rowItems count="2">
    <i>
      <x/>
    </i>
    <i t="grand">
      <x/>
    </i>
  </rowItems>
  <colItems count="1">
    <i/>
  </colItems>
  <dataFields count="1">
    <dataField name="Number" fld="9" subtotal="count" baseField="0" baseItem="0"/>
  </dataFields>
  <formats count="2">
    <format dxfId="51">
      <pivotArea type="all" dataOnly="0" outline="0" fieldPosition="0"/>
    </format>
    <format dxfId="50">
      <pivotArea outline="0" fieldPosition="0">
        <references count="1">
          <reference field="41"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E3E8201B-9DCC-4AE7-80F7-960F8174BA2A}" name="fatinc" cacheId="2" autoFormatId="4112" applyNumberFormats="1" applyBorderFormats="1" applyFontFormats="1" applyPatternFormats="1" applyAlignmentFormats="1" applyWidthHeightFormats="1" dataCaption="Data" missingCaption="0" updatedVersion="8" showMemberPropertyTips="0" useAutoFormatting="1" colGrandTotals="0" itemPrintTitles="1" showDropZones="0" createdVersion="1" indent="0" compact="0" compactData="0" gridDropZones="1">
  <location ref="K22:M24" firstHeaderRow="0"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CRASH_SEVERITY" compact="0" outline="0" subtotalTop="0" showAll="0" includeNewItemsInFilter="1"/>
    <pivotField compact="0" outline="0" subtotalTop="0" showAll="0" includeNewItemsInFilter="1"/>
    <pivotField compact="0" outline="0" subtotalTop="0" showAll="0" includeNewItemsInFilter="1"/>
    <pivotField compact="0" outline="0" subtotalTop="0" showAll="0" insertBlankRow="1"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dataField="1" compact="0" outline="0" subtotalTop="0" showAll="0" insertBlankRow="1" includeNewItemsInFilter="1" sortType="ascending"/>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Row" compact="0" outline="0" subtotalTop="0" showAll="0" includeNewItemsInFilter="1" sortType="ascending" rankBy="0">
      <items count="5">
        <item m="1" x="1"/>
        <item m="1" x="2"/>
        <item m="1" x="3"/>
        <item x="0"/>
        <item t="default"/>
      </items>
    </pivotField>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55"/>
  </rowFields>
  <rowItems count="2">
    <i>
      <x v="3"/>
    </i>
    <i t="grand">
      <x/>
    </i>
  </rowItems>
  <colFields count="1">
    <field x="-2"/>
  </colFields>
  <colItems count="2">
    <i>
      <x/>
    </i>
    <i i="1">
      <x v="1"/>
    </i>
  </colItems>
  <dataFields count="2">
    <dataField name="Fatalities" fld="44" baseField="0" baseItem="0"/>
    <dataField name="Incapacitating Injuries" fld="45" baseField="0" baseItem="0"/>
  </dataFields>
  <formats count="2">
    <format dxfId="53">
      <pivotArea type="all" dataOnly="0" outline="0" fieldPosition="0"/>
    </format>
    <format dxfId="52">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65B31B2C-43F9-4749-A3F5-A305B9C372CB}" name="type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29:I44"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name="TYPE_OF_CRASH" axis="axisRow" compact="0" outline="0" subtotalTop="0" showAll="0" includeNewItemsInFilter="1" sortType="descending" rankBy="0">
      <items count="15">
        <item x="2"/>
        <item x="13"/>
        <item x="7"/>
        <item x="0"/>
        <item x="10"/>
        <item x="9"/>
        <item x="4"/>
        <item x="1"/>
        <item x="3"/>
        <item x="5"/>
        <item x="6"/>
        <item x="8"/>
        <item x="11"/>
        <item x="1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2"/>
  </rowFields>
  <rowItems count="15">
    <i>
      <x/>
    </i>
    <i>
      <x v="6"/>
    </i>
    <i>
      <x v="4"/>
    </i>
    <i>
      <x v="7"/>
    </i>
    <i>
      <x v="5"/>
    </i>
    <i>
      <x v="3"/>
    </i>
    <i>
      <x v="10"/>
    </i>
    <i>
      <x v="2"/>
    </i>
    <i>
      <x v="12"/>
    </i>
    <i>
      <x v="9"/>
    </i>
    <i>
      <x v="8"/>
    </i>
    <i>
      <x v="11"/>
    </i>
    <i>
      <x v="13"/>
    </i>
    <i>
      <x v="1"/>
    </i>
    <i t="grand">
      <x/>
    </i>
  </rowItems>
  <colItems count="1">
    <i/>
  </colItems>
  <dataFields count="1">
    <dataField name="%" fld="9" subtotal="count" showDataAs="percentOfCol" baseField="0" baseItem="0" numFmtId="165"/>
  </dataFields>
  <formats count="1">
    <format dxfId="54">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00000000-0007-0000-1300-000015000000}" name="drugs2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311:I313"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RIVER_DRUGS2" axis="axisRow" compact="0" outline="0" subtotalTop="0" showAll="0" includeNewItemsInFilter="1" sortType="descending" rankBy="0">
      <items count="2">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9"/>
  </rowFields>
  <rowItems count="2">
    <i>
      <x/>
    </i>
    <i t="grand">
      <x/>
    </i>
  </rowItems>
  <colItems count="1">
    <i/>
  </colItems>
  <dataFields count="1">
    <dataField name="%" fld="9" subtotal="count" showDataAs="percentOfCol" baseField="0" baseItem="0" numFmtId="165"/>
  </dataFields>
  <formats count="1">
    <format dxfId="55">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F3F6C868-9E19-48F4-9A8F-8116CAF376EA}" name="contour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102:D10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name="ROAD_CONTOUR" axis="axisRow" compact="0" outline="0" subtotalTop="0" showAll="0" includeNewItemsInFilter="1" sortType="descending" rankBy="0">
      <items count="5">
        <item x="0"/>
        <item x="3"/>
        <item x="1"/>
        <item x="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3"/>
  </rowFields>
  <rowItems count="5">
    <i>
      <x/>
    </i>
    <i>
      <x v="2"/>
    </i>
    <i>
      <x v="1"/>
    </i>
    <i>
      <x v="3"/>
    </i>
    <i t="grand">
      <x/>
    </i>
  </rowItems>
  <colItems count="1">
    <i/>
  </colItems>
  <dataFields count="1">
    <dataField name="%" fld="9" subtotal="count" showDataAs="percentOfCol" baseField="0" baseItem="0" numFmtId="165"/>
  </dataFields>
  <formats count="1">
    <format dxfId="56">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10DC41FC-3D71-4E0A-9E56-D991302CA08D}" name="to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F295:G306"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IRECTION_TO2" axis="axisRow" compact="0" outline="0" subtotalTop="0" showAll="0" includeNewItemsInFilter="1" sortType="descending" rankBy="0">
      <items count="11">
        <item x="2"/>
        <item x="1"/>
        <item x="5"/>
        <item x="0"/>
        <item x="3"/>
        <item x="4"/>
        <item x="6"/>
        <item x="7"/>
        <item x="8"/>
        <item x="9"/>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7"/>
  </rowFields>
  <rowItems count="11">
    <i>
      <x/>
    </i>
    <i>
      <x v="1"/>
    </i>
    <i>
      <x v="4"/>
    </i>
    <i>
      <x v="2"/>
    </i>
    <i>
      <x v="3"/>
    </i>
    <i>
      <x v="5"/>
    </i>
    <i>
      <x v="8"/>
    </i>
    <i>
      <x v="9"/>
    </i>
    <i>
      <x v="6"/>
    </i>
    <i>
      <x v="7"/>
    </i>
    <i t="grand">
      <x/>
    </i>
  </rowItems>
  <colItems count="1">
    <i/>
  </colItems>
  <dataFields count="1">
    <dataField name="Number" fld="9" subtotal="count" baseField="0" baseItem="0"/>
  </dataFields>
  <formats count="2">
    <format dxfId="58">
      <pivotArea type="all" dataOnly="0" outline="0" fieldPosition="0"/>
    </format>
    <format dxfId="57">
      <pivotArea outline="0" fieldPosition="0">
        <references count="1">
          <reference field="37"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8233B671-C46F-4437-B363-F482673867F9}" name="month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F85:G89"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axis="axisRow" compact="0" outline="0" subtotalTop="0" showAll="0" includeNewItemsInFilter="1" sortType="ascending" rankBy="0">
      <items count="13">
        <item x="1"/>
        <item x="0"/>
        <item x="2"/>
        <item m="1" x="7"/>
        <item m="1" x="3"/>
        <item m="1" x="4"/>
        <item m="1" x="8"/>
        <item m="1" x="5"/>
        <item m="1" x="6"/>
        <item m="1" x="11"/>
        <item m="1" x="9"/>
        <item m="1" x="10"/>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56"/>
  </rowFields>
  <rowItems count="4">
    <i>
      <x/>
    </i>
    <i>
      <x v="1"/>
    </i>
    <i>
      <x v="2"/>
    </i>
    <i t="grand">
      <x/>
    </i>
  </rowItems>
  <colItems count="1">
    <i/>
  </colItems>
  <dataFields count="1">
    <dataField name="Number" fld="9" subtotal="count" baseField="0" baseItem="0"/>
  </dataFields>
  <formats count="2">
    <format dxfId="60">
      <pivotArea type="all" dataOnly="0" outline="0" fieldPosition="0"/>
    </format>
    <format dxfId="59">
      <pivotArea outline="0" fieldPosition="0">
        <references count="1">
          <reference field="56"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7797CFAA-4831-4E45-8432-A34980BB212E}" name="weather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58:D65"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WEATHER_CONDITION" axis="axisRow" compact="0" outline="0" subtotalTop="0" showAll="0" includeNewItemsInFilter="1" sortType="descending" rankBy="0">
      <items count="7">
        <item x="2"/>
        <item x="0"/>
        <item x="1"/>
        <item x="3"/>
        <item x="4"/>
        <item x="5"/>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5"/>
  </rowFields>
  <rowItems count="7">
    <i>
      <x v="2"/>
    </i>
    <i>
      <x v="1"/>
    </i>
    <i>
      <x v="3"/>
    </i>
    <i>
      <x/>
    </i>
    <i>
      <x v="4"/>
    </i>
    <i>
      <x v="5"/>
    </i>
    <i t="grand">
      <x/>
    </i>
  </rowItems>
  <colItems count="1">
    <i/>
  </colItems>
  <dataFields count="1">
    <dataField name="%" fld="9" subtotal="count" showDataAs="percentOfCol" baseField="0" baseItem="0" numFmtId="165"/>
  </dataFields>
  <formats count="1">
    <format dxfId="61">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0124C81-C891-4F37-A339-9882347C3F14}" name="PivotTable33"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Special Function">
  <location ref="F207:H215"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36">
        <item m="1" x="12"/>
        <item m="1" x="34"/>
        <item m="1" x="17"/>
        <item m="1" x="20"/>
        <item m="1" x="28"/>
        <item m="1" x="16"/>
        <item m="1" x="22"/>
        <item m="1" x="23"/>
        <item m="1" x="18"/>
        <item m="1" x="29"/>
        <item m="1" x="31"/>
        <item m="1" x="7"/>
        <item m="1" x="14"/>
        <item m="1" x="10"/>
        <item m="1" x="24"/>
        <item m="1" x="15"/>
        <item x="3"/>
        <item m="1" x="19"/>
        <item m="1" x="26"/>
        <item m="1" x="21"/>
        <item m="1" x="25"/>
        <item m="1" x="32"/>
        <item x="0"/>
        <item m="1" x="27"/>
        <item x="1"/>
        <item m="1" x="33"/>
        <item x="5"/>
        <item m="1" x="9"/>
        <item m="1" x="13"/>
        <item x="6"/>
        <item m="1" x="8"/>
        <item x="2"/>
        <item x="4"/>
        <item m="1" x="30"/>
        <item m="1" x="1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7"/>
  </rowFields>
  <rowItems count="8">
    <i>
      <x v="22"/>
    </i>
    <i>
      <x v="24"/>
    </i>
    <i>
      <x v="31"/>
    </i>
    <i>
      <x v="29"/>
    </i>
    <i>
      <x v="32"/>
    </i>
    <i>
      <x v="16"/>
    </i>
    <i>
      <x v="26"/>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03">
      <pivotArea field="2" type="button" dataOnly="0" labelOnly="1" outline="0"/>
    </format>
    <format dxfId="202">
      <pivotArea dataOnly="0" labelOnly="1" grandRow="1" outline="0" fieldPosition="0"/>
    </format>
    <format dxfId="201">
      <pivotArea outline="0" fieldPosition="0">
        <references count="1">
          <reference field="4294967294" count="1">
            <x v="0"/>
          </reference>
        </references>
      </pivotArea>
    </format>
    <format dxfId="200">
      <pivotArea outline="0" fieldPosition="0">
        <references count="1">
          <reference field="4294967294" count="1">
            <x v="1"/>
          </reference>
        </references>
      </pivotArea>
    </format>
    <format dxfId="19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00000000-0007-0000-1300-00002B000000}" name="object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150:D151"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Items count="1">
    <i/>
  </rowItems>
  <colItems count="1">
    <i/>
  </colItems>
  <dataFields count="1">
    <dataField name="%" fld="9" subtotal="count" showDataAs="percentOfCol" baseField="0" baseItem="0" numFmtId="165"/>
  </dataFields>
  <formats count="1">
    <format dxfId="62">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3A6F88DC-8E04-41AB-9636-E1A8FD26E1AE}" name="from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182:D192"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name="DIRECTION_FROM1" axis="axisRow" compact="0" outline="0" subtotalTop="0" showAll="0" includeNewItemsInFilter="1" sortType="descending" rankBy="0">
      <items count="10">
        <item x="2"/>
        <item x="5"/>
        <item x="1"/>
        <item x="0"/>
        <item x="3"/>
        <item x="4"/>
        <item x="6"/>
        <item x="7"/>
        <item x="8"/>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2"/>
  </rowFields>
  <rowItems count="10">
    <i>
      <x/>
    </i>
    <i>
      <x v="1"/>
    </i>
    <i>
      <x v="3"/>
    </i>
    <i>
      <x v="2"/>
    </i>
    <i>
      <x v="4"/>
    </i>
    <i>
      <x v="7"/>
    </i>
    <i>
      <x v="5"/>
    </i>
    <i>
      <x v="6"/>
    </i>
    <i>
      <x v="8"/>
    </i>
    <i t="grand">
      <x/>
    </i>
  </rowItems>
  <colItems count="1">
    <i/>
  </colItems>
  <dataFields count="1">
    <dataField name="%" fld="9" subtotal="count" showDataAs="percentOfCol" baseField="0" baseItem="0" numFmtId="165"/>
  </dataFields>
  <formats count="1">
    <format dxfId="63">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64CCD8F5-15E5-4030-836F-88652672D464}" name="drugs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176:I179"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RIVER_DRUGS1" axis="axisRow" compact="0" outline="0" subtotalTop="0" showAll="0" includeNewItemsInFilter="1" sortType="descending" rankBy="0">
      <items count="3">
        <item x="1"/>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8"/>
  </rowFields>
  <rowItems count="3">
    <i>
      <x/>
    </i>
    <i>
      <x v="1"/>
    </i>
    <i t="grand">
      <x/>
    </i>
  </rowItems>
  <colItems count="1">
    <i/>
  </colItems>
  <dataFields count="1">
    <dataField name="%" fld="9" subtotal="count" showDataAs="percentOfCol" baseField="0" baseItem="0" numFmtId="165"/>
  </dataFields>
  <formats count="1">
    <format dxfId="64">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DF7A378F-7A11-4BC3-8235-2413CB8423FC}" name="action21" cacheId="2" autoFormatId="4112" applyNumberFormats="1" applyBorderFormats="1" applyFontFormats="1" applyPatternFormats="1" applyAlignmentFormats="1" applyWidthHeightFormats="1" dataCaption="Data" updatedVersion="8" showMemberPropertyTips="0" useAutoFormatting="1" colGrandTotals="0" itemPrintTitles="1" createdVersion="1" indent="0" compact="0" compactData="0" gridDropZones="1">
  <location ref="C267:D27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ACTION2" axis="axisRow" compact="0" outline="0" subtotalTop="0" showAll="0" includeNewItemsInFilter="1" sortType="descending" rankBy="0">
      <items count="12">
        <item x="2"/>
        <item x="4"/>
        <item x="7"/>
        <item x="0"/>
        <item m="1" x="10"/>
        <item m="1" x="9"/>
        <item x="1"/>
        <item x="3"/>
        <item x="5"/>
        <item x="6"/>
        <item x="8"/>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2"/>
  </rowFields>
  <rowItems count="10">
    <i>
      <x v="3"/>
    </i>
    <i>
      <x/>
    </i>
    <i>
      <x v="9"/>
    </i>
    <i>
      <x v="1"/>
    </i>
    <i>
      <x v="8"/>
    </i>
    <i>
      <x v="7"/>
    </i>
    <i>
      <x v="6"/>
    </i>
    <i>
      <x v="10"/>
    </i>
    <i>
      <x v="2"/>
    </i>
    <i t="grand">
      <x/>
    </i>
  </rowItems>
  <colItems count="1">
    <i/>
  </colItems>
  <dataFields count="1">
    <dataField name="%" fld="9" subtotal="count" showDataAs="percentOfCol" baseField="0" baseItem="0" numFmtId="165"/>
  </dataFields>
  <formats count="1">
    <format dxfId="65">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479724F1-61AF-463C-A8AF-9E7BB69D7EF7}" name="action2" cacheId="2" autoFormatId="4112" applyNumberFormats="1" applyBorderFormats="1" applyFontFormats="1" applyPatternFormats="1" applyAlignmentFormats="1" applyWidthHeightFormats="1" dataCaption="Data" updatedVersion="8" showMemberPropertyTips="0" useAutoFormatting="1" colGrandTotals="0" itemPrintTitles="1" createdVersion="1" indent="0" compact="0" compactData="0" gridDropZones="1" chartFormat="1">
  <location ref="A267:B27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ACTION2" axis="axisRow" compact="0" outline="0" subtotalTop="0" showAll="0" includeNewItemsInFilter="1" sortType="descending" rankBy="0">
      <items count="12">
        <item x="2"/>
        <item x="4"/>
        <item x="7"/>
        <item x="0"/>
        <item m="1" x="10"/>
        <item m="1" x="9"/>
        <item x="1"/>
        <item x="3"/>
        <item x="5"/>
        <item x="6"/>
        <item x="8"/>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2"/>
  </rowFields>
  <rowItems count="10">
    <i>
      <x v="3"/>
    </i>
    <i>
      <x/>
    </i>
    <i>
      <x v="9"/>
    </i>
    <i>
      <x v="1"/>
    </i>
    <i>
      <x v="8"/>
    </i>
    <i>
      <x v="7"/>
    </i>
    <i>
      <x v="6"/>
    </i>
    <i>
      <x v="10"/>
    </i>
    <i>
      <x v="2"/>
    </i>
    <i t="grand">
      <x/>
    </i>
  </rowItems>
  <colItems count="1">
    <i/>
  </colItems>
  <dataFields count="1">
    <dataField name="Number" fld="9" subtotal="count" baseField="0" baseItem="0"/>
  </dataFields>
  <formats count="2">
    <format dxfId="67">
      <pivotArea type="all" dataOnly="0" outline="0" fieldPosition="0"/>
    </format>
    <format dxfId="66">
      <pivotArea outline="0" fieldPosition="0">
        <references count="1">
          <reference field="32"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89A92325-682B-4629-943B-FEEB56224917}" name="from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A295:B306"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IRECTION_FROM2" axis="axisRow" compact="0" outline="0" subtotalTop="0" showAll="0" includeNewItemsInFilter="1" sortType="descending" rankBy="0">
      <items count="11">
        <item x="2"/>
        <item x="1"/>
        <item x="3"/>
        <item x="5"/>
        <item x="0"/>
        <item x="4"/>
        <item x="6"/>
        <item x="7"/>
        <item x="8"/>
        <item x="9"/>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6"/>
  </rowFields>
  <rowItems count="11">
    <i>
      <x/>
    </i>
    <i>
      <x v="2"/>
    </i>
    <i>
      <x v="1"/>
    </i>
    <i>
      <x v="3"/>
    </i>
    <i>
      <x v="4"/>
    </i>
    <i>
      <x v="5"/>
    </i>
    <i>
      <x v="7"/>
    </i>
    <i>
      <x v="8"/>
    </i>
    <i>
      <x v="9"/>
    </i>
    <i>
      <x v="6"/>
    </i>
    <i t="grand">
      <x/>
    </i>
  </rowItems>
  <colItems count="1">
    <i/>
  </colItems>
  <dataFields count="1">
    <dataField name="Number" fld="9" subtotal="count" baseField="0" baseItem="0"/>
  </dataFields>
  <formats count="2">
    <format dxfId="69">
      <pivotArea type="all" dataOnly="0" outline="0" fieldPosition="0"/>
    </format>
    <format dxfId="68">
      <pivotArea outline="0" fieldPosition="0">
        <references count="1">
          <reference field="36"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806EAB45-85C3-4E33-AC4D-BE9374F439AE}" name="action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122:B13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ACTION1" axis="axisRow" compact="0" outline="0" subtotalTop="0" showAll="0" includeNewItemsInFilter="1" sortType="descending" rankBy="0">
      <items count="15">
        <item x="12"/>
        <item x="2"/>
        <item x="0"/>
        <item x="1"/>
        <item x="3"/>
        <item x="4"/>
        <item x="5"/>
        <item x="6"/>
        <item x="7"/>
        <item x="8"/>
        <item x="9"/>
        <item x="10"/>
        <item x="11"/>
        <item x="13"/>
        <item t="default"/>
      </items>
      <autoSortScope>
        <pivotArea dataOnly="0" outline="0" fieldPosition="0">
          <references count="1">
            <reference field="4294967294" count="1" selected="0">
              <x v="0"/>
            </reference>
          </references>
        </pivotArea>
      </autoSortScope>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9"/>
  </rowFields>
  <rowItems count="15">
    <i>
      <x v="2"/>
    </i>
    <i>
      <x v="3"/>
    </i>
    <i>
      <x v="1"/>
    </i>
    <i>
      <x v="4"/>
    </i>
    <i>
      <x v="5"/>
    </i>
    <i>
      <x v="8"/>
    </i>
    <i>
      <x v="7"/>
    </i>
    <i>
      <x v="12"/>
    </i>
    <i>
      <x v="11"/>
    </i>
    <i>
      <x v="10"/>
    </i>
    <i>
      <x v="13"/>
    </i>
    <i>
      <x v="9"/>
    </i>
    <i>
      <x/>
    </i>
    <i>
      <x v="6"/>
    </i>
    <i t="grand">
      <x/>
    </i>
  </rowItems>
  <colItems count="1">
    <i/>
  </colItems>
  <dataFields count="1">
    <dataField name="Number" fld="9" subtotal="count" baseField="0" baseItem="0"/>
  </dataFields>
  <formats count="2">
    <format dxfId="71">
      <pivotArea type="all" dataOnly="0" outline="0" fieldPosition="0"/>
    </format>
    <format dxfId="70">
      <pivotArea outline="0" fieldPosition="0">
        <references count="1">
          <reference field="19"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98C8C0BC-CCFC-4EFC-A71E-2511AF96EE5F}" name="month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85:I89"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axis="axisRow" compact="0" outline="0" subtotalTop="0" showAll="0" includeNewItemsInFilter="1" sortType="ascending" rankBy="0">
      <items count="13">
        <item x="1"/>
        <item x="0"/>
        <item x="2"/>
        <item m="1" x="7"/>
        <item m="1" x="3"/>
        <item m="1" x="4"/>
        <item m="1" x="8"/>
        <item m="1" x="5"/>
        <item m="1" x="6"/>
        <item m="1" x="11"/>
        <item m="1" x="9"/>
        <item m="1" x="10"/>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56"/>
  </rowFields>
  <rowItems count="4">
    <i>
      <x/>
    </i>
    <i>
      <x v="1"/>
    </i>
    <i>
      <x v="2"/>
    </i>
    <i t="grand">
      <x/>
    </i>
  </rowItems>
  <colItems count="1">
    <i/>
  </colItems>
  <dataFields count="1">
    <dataField name="%" fld="9" subtotal="count" showDataAs="percentOfCol" baseField="0" baseItem="0" numFmtId="165"/>
  </dataFields>
  <formats count="1">
    <format dxfId="72">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6C9E0662-F914-4221-BD01-F4DA1C5D84A7}" name="hour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29:B54"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axis="axisRow" compact="0" outline="0" subtotalTop="0" showAll="0" includeNewItemsInFilter="1" sortType="ascending" rankBy="0">
      <items count="25">
        <item x="2"/>
        <item x="0"/>
        <item x="13"/>
        <item x="6"/>
        <item x="19"/>
        <item x="12"/>
        <item x="7"/>
        <item x="14"/>
        <item x="22"/>
        <item x="18"/>
        <item x="10"/>
        <item x="11"/>
        <item x="8"/>
        <item x="23"/>
        <item x="21"/>
        <item x="15"/>
        <item x="20"/>
        <item x="3"/>
        <item x="5"/>
        <item x="16"/>
        <item x="1"/>
        <item x="4"/>
        <item x="17"/>
        <item x="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Number" fld="9" subtotal="count" baseField="0" baseItem="0"/>
  </dataFields>
  <formats count="2">
    <format dxfId="74">
      <pivotArea type="all" dataOnly="0" outline="0" fieldPosition="0"/>
    </format>
    <format dxfId="73">
      <pivotArea outline="0" fieldPosition="0">
        <references count="1">
          <reference field="10"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90926653-847F-43A5-B39C-CD3B5402235C}" name="day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17:B25"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axis="axisRow" dataField="1" compact="0" outline="0" subtotalTop="0" showAll="0" includeNewItemsInFilter="1" sortType="descending" rankBy="0">
      <items count="8">
        <item x="0"/>
        <item x="4"/>
        <item x="5"/>
        <item x="3"/>
        <item x="1"/>
        <item x="6"/>
        <item x="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9"/>
  </rowFields>
  <rowItems count="8">
    <i>
      <x/>
    </i>
    <i>
      <x v="4"/>
    </i>
    <i>
      <x v="6"/>
    </i>
    <i>
      <x v="2"/>
    </i>
    <i>
      <x v="1"/>
    </i>
    <i>
      <x v="5"/>
    </i>
    <i>
      <x v="3"/>
    </i>
    <i t="grand">
      <x/>
    </i>
  </rowItems>
  <colItems count="1">
    <i/>
  </colItems>
  <dataFields count="1">
    <dataField name="Number" fld="9" subtotal="count" baseField="0" baseItem="0"/>
  </dataFields>
  <formats count="2">
    <format dxfId="76">
      <pivotArea type="all" dataOnly="0" outline="0" fieldPosition="0"/>
    </format>
    <format dxfId="75">
      <pivotArea outline="0" fieldPosition="0">
        <references count="1">
          <reference field="9"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6C776C5-A3EA-4339-ACE9-EEDC83E84C98}" name="PivotTable10"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Number of Units">
  <location ref="F79:H85"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2">
        <item x="0"/>
        <item n="1" x="1"/>
        <item n="2" x="2"/>
        <item n="3" x="3"/>
        <item n="4" x="4"/>
        <item n="5" x="5"/>
        <item n="6" x="6"/>
        <item n="7" x="7"/>
        <item n="8" x="8"/>
        <item n="9 or 10" x="9"/>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26"/>
  </rowFields>
  <rowItems count="6">
    <i>
      <x v="2"/>
    </i>
    <i>
      <x v="1"/>
    </i>
    <i>
      <x v="3"/>
    </i>
    <i>
      <x v="4"/>
    </i>
    <i>
      <x v="5"/>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08">
      <pivotArea field="2" type="button" dataOnly="0" labelOnly="1" outline="0"/>
    </format>
    <format dxfId="207">
      <pivotArea dataOnly="0" labelOnly="1" grandRow="1" outline="0" fieldPosition="0"/>
    </format>
    <format dxfId="206">
      <pivotArea outline="0" fieldPosition="0">
        <references count="1">
          <reference field="4294967294" count="1">
            <x v="0"/>
          </reference>
        </references>
      </pivotArea>
    </format>
    <format dxfId="205">
      <pivotArea outline="0" fieldPosition="0">
        <references count="1">
          <reference field="4294967294" count="1">
            <x v="1"/>
          </reference>
        </references>
      </pivotArea>
    </format>
    <format dxfId="20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6141210C-F0A4-4950-AC3A-4448E75069FB}" name="units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F71:G7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sortType="ascending" rankBy="0">
      <items count="6">
        <item x="1"/>
        <item x="0"/>
        <item x="3"/>
        <item x="4"/>
        <item x="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3"/>
  </rowFields>
  <rowItems count="6">
    <i>
      <x/>
    </i>
    <i>
      <x v="1"/>
    </i>
    <i>
      <x v="2"/>
    </i>
    <i>
      <x v="3"/>
    </i>
    <i>
      <x v="4"/>
    </i>
    <i t="grand">
      <x/>
    </i>
  </rowItems>
  <colItems count="1">
    <i/>
  </colItems>
  <dataFields count="1">
    <dataField name="Number" fld="9" subtotal="count" baseField="0" baseItem="0"/>
  </dataFields>
  <formats count="2">
    <format dxfId="78">
      <pivotArea type="all" dataOnly="0" outline="0" fieldPosition="0"/>
    </format>
    <format dxfId="77">
      <pivotArea outline="0" fieldPosition="0">
        <references count="1">
          <reference field="13"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B0E95652-A624-41B5-8DE4-2CA8324E7090}" name="type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F29:G44"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name="TYPE_OF_CRASH" axis="axisRow" compact="0" outline="0" subtotalTop="0" showAll="0" includeNewItemsInFilter="1" sortType="descending" rankBy="0">
      <items count="15">
        <item x="2"/>
        <item x="13"/>
        <item x="7"/>
        <item x="0"/>
        <item x="10"/>
        <item x="9"/>
        <item x="4"/>
        <item x="1"/>
        <item x="3"/>
        <item x="5"/>
        <item x="6"/>
        <item x="8"/>
        <item x="11"/>
        <item x="1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2"/>
  </rowFields>
  <rowItems count="15">
    <i>
      <x/>
    </i>
    <i>
      <x v="6"/>
    </i>
    <i>
      <x v="4"/>
    </i>
    <i>
      <x v="7"/>
    </i>
    <i>
      <x v="5"/>
    </i>
    <i>
      <x v="3"/>
    </i>
    <i>
      <x v="10"/>
    </i>
    <i>
      <x v="2"/>
    </i>
    <i>
      <x v="12"/>
    </i>
    <i>
      <x v="9"/>
    </i>
    <i>
      <x v="8"/>
    </i>
    <i>
      <x v="11"/>
    </i>
    <i>
      <x v="13"/>
    </i>
    <i>
      <x v="1"/>
    </i>
    <i t="grand">
      <x/>
    </i>
  </rowItems>
  <colItems count="1">
    <i/>
  </colItems>
  <dataFields count="1">
    <dataField name="Number" fld="9" subtotal="count" baseField="0" baseItem="0"/>
  </dataFields>
  <formats count="2">
    <format dxfId="80">
      <pivotArea type="all" dataOnly="0" outline="0" fieldPosition="0"/>
    </format>
    <format dxfId="79">
      <pivotArea outline="0" fieldPosition="0">
        <references count="1">
          <reference field="12"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DD86C85E-1F0E-44AC-AC4E-29DC8EFAFCC2}" name="year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F9:G11"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Row" compact="0" outline="0" subtotalTop="0" showAll="0" includeNewItemsInFilter="1" sortType="ascending" rankBy="0">
      <items count="5">
        <item m="1" x="1"/>
        <item m="1" x="2"/>
        <item m="1" x="3"/>
        <item x="0"/>
        <item t="default"/>
      </items>
    </pivotField>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55"/>
  </rowFields>
  <rowItems count="2">
    <i>
      <x v="3"/>
    </i>
    <i t="grand">
      <x/>
    </i>
  </rowItems>
  <colItems count="1">
    <i/>
  </colItems>
  <dataFields count="1">
    <dataField name="Number" fld="9" subtotal="count" baseField="0" baseItem="0"/>
  </dataFields>
  <formats count="2">
    <format dxfId="82">
      <pivotArea type="all" dataOnly="0" outline="0" fieldPosition="0"/>
    </format>
    <format dxfId="81">
      <pivotArea outline="0" fieldPosition="0">
        <references count="1">
          <reference field="55"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BF3B638D-A3B4-4135-A3A9-D892FE00A9EA}" name="special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113:D115"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SPECIAL_AREA" axis="axisRow" compact="0" outline="0" subtotalTop="0" showAll="0" includeNewItemsInFilter="1" sortType="descending" rankBy="0">
      <items count="2">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0"/>
  </rowFields>
  <rowItems count="2">
    <i>
      <x/>
    </i>
    <i t="grand">
      <x/>
    </i>
  </rowItems>
  <colItems count="1">
    <i/>
  </colItems>
  <dataFields count="1">
    <dataField name="%" fld="9" subtotal="count" showDataAs="percentOfCol" baseField="0" baseItem="0" numFmtId="165"/>
  </dataFields>
  <formats count="1">
    <format dxfId="83">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5BAA460B-4123-48E3-AB66-A2EB38218396}" name="injuries" cacheId="2" autoFormatId="4112" applyNumberFormats="1" applyBorderFormats="1" applyFontFormats="1" applyPatternFormats="1" applyAlignmentFormats="1" applyWidthHeightFormats="1" dataCaption="Data" missingCaption="0" updatedVersion="8" showMemberPropertyTips="0" useAutoFormatting="1" itemPrintTitles="1" showDropZones="0" createdVersion="1" indent="0" compact="0" compactData="0" gridDropZones="1">
  <location ref="K40:N42" firstHeaderRow="0"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CRASH_SEVERITY"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dataField="1" compact="0" outline="0" subtotalTop="0" showAll="0" includeNewItemsInFilter="1" sortType="ascending"/>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Row" compact="0" outline="0" subtotalTop="0" showAll="0" includeNewItemsInFilter="1" sortType="ascending">
      <items count="5">
        <item m="1" x="1"/>
        <item m="1" x="2"/>
        <item m="1" x="3"/>
        <item x="0"/>
        <item t="default"/>
      </items>
    </pivotField>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55"/>
  </rowFields>
  <rowItems count="2">
    <i>
      <x v="3"/>
    </i>
    <i t="grand">
      <x/>
    </i>
  </rowItems>
  <colFields count="1">
    <field x="-2"/>
  </colFields>
  <colItems count="3">
    <i>
      <x/>
    </i>
    <i i="1">
      <x v="1"/>
    </i>
    <i i="2">
      <x v="2"/>
    </i>
  </colItems>
  <dataFields count="3">
    <dataField name="Sum of INJ_TYPE2_SERIOUS_VISIBLE" fld="45" baseField="0" baseItem="0"/>
    <dataField name="Sum of INJ_TYPE3_MINOR_VISIBLE" fld="46" baseField="0" baseItem="0"/>
    <dataField name="Sum of INJ_TYPE4_NO_VISIBLE" fld="47" baseField="0" baseItem="0"/>
  </dataFields>
  <formats count="2">
    <format dxfId="85">
      <pivotArea type="all" dataOnly="0" outline="0" fieldPosition="0"/>
    </format>
    <format dxfId="84">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8A9F96E4-E2D0-419D-93A8-21E1D382A6A7}" name="drugs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F311:G313"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RIVER_DRUGS2" axis="axisRow" compact="0" outline="0" subtotalTop="0" showAll="0" includeNewItemsInFilter="1" sortType="descending" rankBy="0">
      <items count="2">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9"/>
  </rowFields>
  <rowItems count="2">
    <i>
      <x/>
    </i>
    <i t="grand">
      <x/>
    </i>
  </rowItems>
  <colItems count="1">
    <i/>
  </colItems>
  <dataFields count="1">
    <dataField name="Number" fld="9" subtotal="count" baseField="0" baseItem="0"/>
  </dataFields>
  <formats count="2">
    <format dxfId="87">
      <pivotArea type="all" dataOnly="0" outline="0" fieldPosition="0"/>
    </format>
    <format dxfId="86">
      <pivotArea outline="0" fieldPosition="0">
        <references count="1">
          <reference field="39"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1CE94FDD-E842-4C72-BB2C-B01857699918}" name="factor2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267:I278"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CONTRIBUTING_FACTOR2" axis="axisRow" compact="0" outline="0" subtotalTop="0" showAll="0" includeNewItemsInFilter="1" sortType="descending" rankBy="0">
      <items count="12">
        <item x="2"/>
        <item x="0"/>
        <item x="5"/>
        <item m="1" x="10"/>
        <item x="1"/>
        <item x="3"/>
        <item x="4"/>
        <item x="6"/>
        <item x="7"/>
        <item x="8"/>
        <item x="9"/>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1"/>
  </rowFields>
  <rowItems count="11">
    <i>
      <x v="1"/>
    </i>
    <i>
      <x/>
    </i>
    <i>
      <x v="8"/>
    </i>
    <i>
      <x v="2"/>
    </i>
    <i>
      <x v="7"/>
    </i>
    <i>
      <x v="4"/>
    </i>
    <i>
      <x v="9"/>
    </i>
    <i>
      <x v="10"/>
    </i>
    <i>
      <x v="6"/>
    </i>
    <i>
      <x v="5"/>
    </i>
    <i t="grand">
      <x/>
    </i>
  </rowItems>
  <colItems count="1">
    <i/>
  </colItems>
  <dataFields count="1">
    <dataField name="%" fld="9" subtotal="count" showDataAs="percentOfCol" baseField="0" baseItem="0" numFmtId="165"/>
  </dataFields>
  <formats count="1">
    <format dxfId="88">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C3E5B910-3E28-4923-B0FB-02F4C4A07BFD}" name="totalcount" cacheId="2" autoFormatId="4112" applyNumberFormats="1" applyBorderFormats="1" applyFontFormats="1" applyPatternFormats="1" applyAlignmentFormats="1" applyWidthHeightFormats="1" dataCaption="Data" updatedVersion="8" asteriskTotals="1" showMemberPropertyTips="0" useAutoFormatting="1" colGrandTotals="0" itemPrintTitles="1" showDropZones="0" createdVersion="1" indent="0" compact="0" compactData="0" gridDropZones="1">
  <location ref="A4:B5"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Items count="1">
    <i/>
  </rowItems>
  <colItems count="1">
    <i/>
  </colItems>
  <dataFields count="1">
    <dataField name="Number" fld="9"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669E74A8-E358-488E-84D6-F997929C04EA}" name="typesevyear" cacheId="2" autoFormatId="4112" applyNumberFormats="1" applyBorderFormats="1" applyFontFormats="1" applyPatternFormats="1" applyAlignmentFormats="1" applyWidthHeightFormats="1" dataCaption="Data" missingCaption="0" updatedVersion="8" showMemberPropertyTips="0" useAutoFormatting="1" itemPrintTitles="1" showDropZones="0" createdVersion="1" indent="0" compact="0" compactData="0" gridDropZones="1">
  <location ref="K255:N298" firstHeaderRow="1" firstDataRow="1" firstDataCol="3"/>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compact="0" outline="0" subtotalTop="0" showAll="0" includeNewItemsInFilter="1"/>
    <pivotField compact="0" outline="0" subtotalTop="0" showAll="0" includeNewItemsInFilter="1"/>
    <pivotField compact="0" outline="0" subtotalTop="0" showAll="0" includeNewItemsInFilter="1"/>
    <pivotField name="TYPE_OF_CRASH" axis="axisRow" compact="0" outline="0" subtotalTop="0" showAll="0" insertBlankRow="1" includeNewItemsInFilter="1">
      <items count="15">
        <item x="2"/>
        <item x="13"/>
        <item x="7"/>
        <item x="0"/>
        <item x="10"/>
        <item x="9"/>
        <item x="4"/>
        <item x="1"/>
        <item x="3"/>
        <item x="5"/>
        <item x="6"/>
        <item x="8"/>
        <item x="11"/>
        <item x="12"/>
        <item t="default"/>
      </items>
    </pivotField>
    <pivotField compact="0" outline="0" subtotalTop="0" showAll="0" includeNewItemsInFilter="1"/>
    <pivotField name="CRASH_SEVERITY" axis="axisRow" compact="0" outline="0" subtotalTop="0" showAll="0" includeNewItemsInFilter="1" defaultSubtotal="0">
      <items count="3">
        <item m="1" x="1"/>
        <item m="1" x="2"/>
        <item x="0"/>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Row" compact="0" outline="0" subtotalTop="0" showAll="0" includeNewItemsInFilter="1">
      <items count="5">
        <item m="1" x="1"/>
        <item m="1" x="2"/>
        <item m="1" x="3"/>
        <item x="0"/>
        <item t="default"/>
      </items>
    </pivotField>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3">
    <field x="12"/>
    <field x="14"/>
    <field x="55"/>
  </rowFields>
  <rowItems count="43">
    <i>
      <x/>
      <x v="2"/>
      <x v="3"/>
    </i>
    <i t="default">
      <x/>
    </i>
    <i t="blank">
      <x/>
    </i>
    <i>
      <x v="1"/>
      <x v="2"/>
      <x v="3"/>
    </i>
    <i t="default">
      <x v="1"/>
    </i>
    <i t="blank">
      <x v="1"/>
    </i>
    <i>
      <x v="2"/>
      <x v="2"/>
      <x v="3"/>
    </i>
    <i t="default">
      <x v="2"/>
    </i>
    <i t="blank">
      <x v="2"/>
    </i>
    <i>
      <x v="3"/>
      <x v="2"/>
      <x v="3"/>
    </i>
    <i t="default">
      <x v="3"/>
    </i>
    <i t="blank">
      <x v="3"/>
    </i>
    <i>
      <x v="4"/>
      <x v="2"/>
      <x v="3"/>
    </i>
    <i t="default">
      <x v="4"/>
    </i>
    <i t="blank">
      <x v="4"/>
    </i>
    <i>
      <x v="5"/>
      <x v="2"/>
      <x v="3"/>
    </i>
    <i t="default">
      <x v="5"/>
    </i>
    <i t="blank">
      <x v="5"/>
    </i>
    <i>
      <x v="6"/>
      <x v="2"/>
      <x v="3"/>
    </i>
    <i t="default">
      <x v="6"/>
    </i>
    <i t="blank">
      <x v="6"/>
    </i>
    <i>
      <x v="7"/>
      <x v="2"/>
      <x v="3"/>
    </i>
    <i t="default">
      <x v="7"/>
    </i>
    <i t="blank">
      <x v="7"/>
    </i>
    <i>
      <x v="8"/>
      <x v="2"/>
      <x v="3"/>
    </i>
    <i t="default">
      <x v="8"/>
    </i>
    <i t="blank">
      <x v="8"/>
    </i>
    <i>
      <x v="9"/>
      <x v="2"/>
      <x v="3"/>
    </i>
    <i t="default">
      <x v="9"/>
    </i>
    <i t="blank">
      <x v="9"/>
    </i>
    <i>
      <x v="10"/>
      <x v="2"/>
      <x v="3"/>
    </i>
    <i t="default">
      <x v="10"/>
    </i>
    <i t="blank">
      <x v="10"/>
    </i>
    <i>
      <x v="11"/>
      <x v="2"/>
      <x v="3"/>
    </i>
    <i t="default">
      <x v="11"/>
    </i>
    <i t="blank">
      <x v="11"/>
    </i>
    <i>
      <x v="12"/>
      <x v="2"/>
      <x v="3"/>
    </i>
    <i t="default">
      <x v="12"/>
    </i>
    <i t="blank">
      <x v="12"/>
    </i>
    <i>
      <x v="13"/>
      <x v="2"/>
      <x v="3"/>
    </i>
    <i t="default">
      <x v="13"/>
    </i>
    <i t="blank">
      <x v="13"/>
    </i>
    <i t="grand">
      <x/>
    </i>
  </rowItems>
  <colItems count="1">
    <i/>
  </colItems>
  <dataFields count="1">
    <dataField name="Number" fld="1" subtotal="count" baseField="0" baseItem="0"/>
  </dataFields>
  <formats count="2">
    <format dxfId="90">
      <pivotArea field="12" type="button" dataOnly="0" labelOnly="1" outline="0" axis="axisRow" fieldPosition="0"/>
    </format>
    <format dxfId="89">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CCDD4FB2-1476-494B-BFE6-92A1CBC8B3B3}" name="to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F182:G192"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name="DIRECTION_TO1" axis="axisRow" compact="0" outline="0" subtotalTop="0" showAll="0" includeNewItemsInFilter="1" sortType="descending" rankBy="0">
      <items count="10">
        <item x="0"/>
        <item x="1"/>
        <item x="5"/>
        <item x="2"/>
        <item x="3"/>
        <item x="4"/>
        <item x="6"/>
        <item x="7"/>
        <item x="8"/>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3"/>
  </rowFields>
  <rowItems count="10">
    <i>
      <x/>
    </i>
    <i>
      <x v="3"/>
    </i>
    <i>
      <x v="2"/>
    </i>
    <i>
      <x v="1"/>
    </i>
    <i>
      <x v="4"/>
    </i>
    <i>
      <x v="7"/>
    </i>
    <i>
      <x v="5"/>
    </i>
    <i>
      <x v="6"/>
    </i>
    <i>
      <x v="8"/>
    </i>
    <i t="grand">
      <x/>
    </i>
  </rowItems>
  <colItems count="1">
    <i/>
  </colItems>
  <dataFields count="1">
    <dataField name="Number" fld="9" subtotal="count" baseField="0" baseItem="0"/>
  </dataFields>
  <formats count="2">
    <format dxfId="92">
      <pivotArea type="all" dataOnly="0" outline="0" fieldPosition="0"/>
    </format>
    <format dxfId="91">
      <pivotArea outline="0" fieldPosition="0">
        <references count="1">
          <reference field="23"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BF3152F-F1A7-42D7-9BC6-8C9F5497072A}" name="PivotTable23"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Roadway Departure">
  <location ref="B114:D117"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8"/>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13">
      <pivotArea field="2" type="button" dataOnly="0" labelOnly="1" outline="0"/>
    </format>
    <format dxfId="212">
      <pivotArea dataOnly="0" labelOnly="1" grandRow="1" outline="0" fieldPosition="0"/>
    </format>
    <format dxfId="211">
      <pivotArea outline="0" fieldPosition="0">
        <references count="1">
          <reference field="4294967294" count="1">
            <x v="0"/>
          </reference>
        </references>
      </pivotArea>
    </format>
    <format dxfId="210">
      <pivotArea outline="0" fieldPosition="0">
        <references count="1">
          <reference field="4294967294" count="1">
            <x v="1"/>
          </reference>
        </references>
      </pivotArea>
    </format>
    <format dxfId="20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1A14F4B4-7F9B-4575-BA59-74F045901068}" name="vehicle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A232:B24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name="VEHICLE_TYPE1" axis="axisRow" compact="0" outline="0" subtotalTop="0" showAll="0" includeNewItemsInFilter="1" sortType="descending" rankBy="0">
      <items count="15">
        <item x="2"/>
        <item x="0"/>
        <item x="1"/>
        <item x="3"/>
        <item x="4"/>
        <item x="5"/>
        <item x="6"/>
        <item x="7"/>
        <item x="8"/>
        <item x="9"/>
        <item x="10"/>
        <item x="11"/>
        <item x="12"/>
        <item x="13"/>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1"/>
  </rowFields>
  <rowItems count="15">
    <i>
      <x v="1"/>
    </i>
    <i>
      <x/>
    </i>
    <i>
      <x v="5"/>
    </i>
    <i>
      <x v="9"/>
    </i>
    <i>
      <x v="2"/>
    </i>
    <i>
      <x v="7"/>
    </i>
    <i>
      <x v="6"/>
    </i>
    <i>
      <x v="11"/>
    </i>
    <i>
      <x v="4"/>
    </i>
    <i>
      <x v="8"/>
    </i>
    <i>
      <x v="13"/>
    </i>
    <i>
      <x v="12"/>
    </i>
    <i>
      <x v="3"/>
    </i>
    <i>
      <x v="10"/>
    </i>
    <i t="grand">
      <x/>
    </i>
  </rowItems>
  <colItems count="1">
    <i/>
  </colItems>
  <dataFields count="1">
    <dataField name="Number" fld="9" subtotal="count" baseField="0" baseItem="0"/>
  </dataFields>
  <formats count="2">
    <format dxfId="94">
      <pivotArea type="all" dataOnly="0" outline="0" fieldPosition="0"/>
    </format>
    <format dxfId="93">
      <pivotArea outline="0" fieldPosition="0">
        <references count="1">
          <reference field="21"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C3B930E7-8598-479A-BC75-9B2FF9595C3F}" name="speed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197:D209"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POSTED_SPEED1" axis="axisRow" compact="0" outline="0" subtotalTop="0" showAll="0" includeNewItemsInFilter="1" sortType="descending" rankBy="0">
      <items count="12">
        <item x="3"/>
        <item x="1"/>
        <item x="5"/>
        <item x="0"/>
        <item x="2"/>
        <item x="4"/>
        <item x="6"/>
        <item x="7"/>
        <item x="8"/>
        <item x="9"/>
        <item x="1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0"/>
  </rowFields>
  <rowItems count="12">
    <i>
      <x v="2"/>
    </i>
    <i>
      <x v="1"/>
    </i>
    <i>
      <x v="5"/>
    </i>
    <i>
      <x v="7"/>
    </i>
    <i>
      <x v="3"/>
    </i>
    <i>
      <x v="8"/>
    </i>
    <i>
      <x/>
    </i>
    <i>
      <x v="6"/>
    </i>
    <i>
      <x v="4"/>
    </i>
    <i>
      <x v="9"/>
    </i>
    <i>
      <x v="10"/>
    </i>
    <i t="grand">
      <x/>
    </i>
  </rowItems>
  <colItems count="1">
    <i/>
  </colItems>
  <dataFields count="1">
    <dataField name="%" fld="9" subtotal="count" showDataAs="percentOfCol" baseField="0" baseItem="0" numFmtId="165"/>
  </dataFields>
  <formats count="1">
    <format dxfId="95">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9CDEC498-3ECC-44EB-B949-D4BF028C7E57}" name="speed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A197:B209"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POSTED_SPEED1" axis="axisRow" compact="0" outline="0" subtotalTop="0" showAll="0" includeNewItemsInFilter="1" sortType="descending" rankBy="0">
      <items count="12">
        <item x="3"/>
        <item x="1"/>
        <item x="5"/>
        <item x="0"/>
        <item x="2"/>
        <item x="4"/>
        <item x="6"/>
        <item x="7"/>
        <item x="8"/>
        <item x="9"/>
        <item x="1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0"/>
  </rowFields>
  <rowItems count="12">
    <i>
      <x v="2"/>
    </i>
    <i>
      <x v="1"/>
    </i>
    <i>
      <x v="5"/>
    </i>
    <i>
      <x v="7"/>
    </i>
    <i>
      <x v="3"/>
    </i>
    <i>
      <x v="8"/>
    </i>
    <i>
      <x/>
    </i>
    <i>
      <x v="6"/>
    </i>
    <i>
      <x v="4"/>
    </i>
    <i>
      <x v="9"/>
    </i>
    <i>
      <x v="10"/>
    </i>
    <i t="grand">
      <x/>
    </i>
  </rowItems>
  <colItems count="1">
    <i/>
  </colItems>
  <dataFields count="1">
    <dataField name="Number" fld="9" subtotal="count" baseField="0" baseItem="0"/>
  </dataFields>
  <formats count="2">
    <format dxfId="97">
      <pivotArea type="all" dataOnly="0" outline="0" fieldPosition="0"/>
    </format>
    <format dxfId="96">
      <pivotArea outline="0" fieldPosition="0">
        <references count="1">
          <reference field="30"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AD824EC7-DD74-4A9E-BF25-5E5AB7FCE74B}" name="vehicle2" cacheId="2" autoFormatId="4112" applyNumberFormats="1" applyBorderFormats="1" applyFontFormats="1" applyPatternFormats="1" applyAlignmentFormats="1" applyWidthHeightFormats="1" dataCaption="Data" updatedVersion="8" showMemberPropertyTips="0" useAutoFormatting="1" colGrandTotals="0" itemPrintTitles="1" createdVersion="1" indent="0" compact="0" compactData="0" gridDropZones="1">
  <location ref="F232:G246"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VEHICLE_TYPE2" axis="axisRow" compact="0" outline="0" subtotalTop="0" showAll="0" includeNewItemsInFilter="1" sortType="descending" rankBy="0">
      <items count="14">
        <item x="2"/>
        <item x="0"/>
        <item x="6"/>
        <item x="4"/>
        <item x="7"/>
        <item x="1"/>
        <item x="3"/>
        <item x="5"/>
        <item x="8"/>
        <item x="9"/>
        <item x="10"/>
        <item x="11"/>
        <item x="1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3"/>
  </rowFields>
  <rowItems count="14">
    <i>
      <x/>
    </i>
    <i>
      <x v="3"/>
    </i>
    <i>
      <x v="1"/>
    </i>
    <i>
      <x v="2"/>
    </i>
    <i>
      <x v="6"/>
    </i>
    <i>
      <x v="5"/>
    </i>
    <i>
      <x v="4"/>
    </i>
    <i>
      <x v="10"/>
    </i>
    <i>
      <x v="11"/>
    </i>
    <i>
      <x v="12"/>
    </i>
    <i>
      <x v="7"/>
    </i>
    <i>
      <x v="8"/>
    </i>
    <i>
      <x v="9"/>
    </i>
    <i t="grand">
      <x/>
    </i>
  </rowItems>
  <colItems count="1">
    <i/>
  </colItems>
  <dataFields count="1">
    <dataField name="Number" fld="9" subtotal="count" baseField="0" baseItem="0"/>
  </dataFields>
  <formats count="2">
    <format dxfId="99">
      <pivotArea type="all" dataOnly="0" outline="0" fieldPosition="0"/>
    </format>
    <format dxfId="98">
      <pivotArea outline="0" fieldPosition="0">
        <references count="1">
          <reference field="33"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347776DF-F0A9-4992-9251-DF2FA4BDD4D9}" name="espeed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F197:G22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ESTIMATED_SPEED1" axis="axisRow" compact="0" outline="0" subtotalTop="0" showAll="0" includeNewItemsInFilter="1" sortType="descending" rankBy="0">
      <items count="31">
        <item x="4"/>
        <item x="2"/>
        <item x="12"/>
        <item x="10"/>
        <item m="1" x="29"/>
        <item x="21"/>
        <item x="6"/>
        <item x="22"/>
        <item x="25"/>
        <item x="0"/>
        <item x="1"/>
        <item x="3"/>
        <item x="5"/>
        <item x="7"/>
        <item x="8"/>
        <item x="9"/>
        <item x="11"/>
        <item x="13"/>
        <item x="14"/>
        <item x="15"/>
        <item x="16"/>
        <item x="17"/>
        <item x="18"/>
        <item x="19"/>
        <item x="20"/>
        <item x="23"/>
        <item x="24"/>
        <item x="26"/>
        <item x="27"/>
        <item x="28"/>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9"/>
  </rowFields>
  <rowItems count="30">
    <i>
      <x v="1"/>
    </i>
    <i>
      <x v="13"/>
    </i>
    <i>
      <x v="12"/>
    </i>
    <i>
      <x v="18"/>
    </i>
    <i>
      <x v="3"/>
    </i>
    <i>
      <x v="7"/>
    </i>
    <i>
      <x v="2"/>
    </i>
    <i>
      <x v="16"/>
    </i>
    <i>
      <x v="9"/>
    </i>
    <i>
      <x v="5"/>
    </i>
    <i>
      <x v="15"/>
    </i>
    <i>
      <x/>
    </i>
    <i>
      <x v="14"/>
    </i>
    <i>
      <x v="6"/>
    </i>
    <i>
      <x v="10"/>
    </i>
    <i>
      <x v="27"/>
    </i>
    <i>
      <x v="21"/>
    </i>
    <i>
      <x v="29"/>
    </i>
    <i>
      <x v="23"/>
    </i>
    <i>
      <x v="22"/>
    </i>
    <i>
      <x v="25"/>
    </i>
    <i>
      <x v="24"/>
    </i>
    <i>
      <x v="17"/>
    </i>
    <i>
      <x v="26"/>
    </i>
    <i>
      <x v="11"/>
    </i>
    <i>
      <x v="28"/>
    </i>
    <i>
      <x v="19"/>
    </i>
    <i>
      <x v="8"/>
    </i>
    <i>
      <x v="20"/>
    </i>
    <i t="grand">
      <x/>
    </i>
  </rowItems>
  <colItems count="1">
    <i/>
  </colItems>
  <dataFields count="1">
    <dataField name="Number" fld="9" subtotal="count" baseField="0" baseItem="0"/>
  </dataFields>
  <formats count="2">
    <format dxfId="101">
      <pivotArea type="all" dataOnly="0" outline="0" fieldPosition="0"/>
    </format>
    <format dxfId="100">
      <pivotArea outline="0" fieldPosition="0">
        <references count="1">
          <reference field="29"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E2298A72-904E-4B17-85A8-997AC5611D6C}" name="special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113:B115"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SPECIAL_AREA" axis="axisRow" compact="0" outline="0" subtotalTop="0" showAll="0" includeNewItemsInFilter="1" sortType="descending" rankBy="0">
      <items count="2">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0"/>
  </rowFields>
  <rowItems count="2">
    <i>
      <x/>
    </i>
    <i t="grand">
      <x/>
    </i>
  </rowItems>
  <colItems count="1">
    <i/>
  </colItems>
  <dataFields count="1">
    <dataField name="Number" fld="9" subtotal="count" baseField="0" baseItem="0"/>
  </dataFields>
  <formats count="2">
    <format dxfId="103">
      <pivotArea type="all" dataOnly="0" outline="0" fieldPosition="0"/>
    </format>
    <format dxfId="102">
      <pivotArea outline="0" fieldPosition="0">
        <references count="1">
          <reference field="40" count="0" selected="0"/>
        </references>
      </pivotArea>
    </format>
  </formats>
  <chartFormats count="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0"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249063C9-3F24-4456-8FE9-05AE55101C1E}" name="alcohol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171:B174"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RIVER_ALCOHOL1" axis="axisRow" compact="0" outline="0" subtotalTop="0" showAll="0" includeNewItemsInFilter="1" sortType="descending" rankBy="0">
      <items count="3">
        <item x="0"/>
        <item x="1"/>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7"/>
  </rowFields>
  <rowItems count="3">
    <i>
      <x/>
    </i>
    <i>
      <x v="1"/>
    </i>
    <i t="grand">
      <x/>
    </i>
  </rowItems>
  <colItems count="1">
    <i/>
  </colItems>
  <dataFields count="1">
    <dataField name="Number" fld="9" subtotal="count" baseField="0" baseItem="0"/>
  </dataFields>
  <formats count="2">
    <format dxfId="105">
      <pivotArea type="all" dataOnly="0" outline="0" fieldPosition="0"/>
    </format>
    <format dxfId="104">
      <pivotArea outline="0" fieldPosition="0">
        <references count="1">
          <reference field="27"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5C6E2AED-6C63-448E-8E77-2973916C71FB}" name="Day"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DZ2:EG170"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rankBy="0">
      <items count="8">
        <item x="0"/>
        <item x="4"/>
        <item x="5"/>
        <item x="3"/>
        <item x="1"/>
        <item x="6"/>
        <item x="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9"/>
  </colFields>
  <colItems count="7">
    <i>
      <x/>
    </i>
    <i>
      <x v="1"/>
    </i>
    <i>
      <x v="2"/>
    </i>
    <i>
      <x v="3"/>
    </i>
    <i>
      <x v="4"/>
    </i>
    <i>
      <x v="5"/>
    </i>
    <i>
      <x v="6"/>
    </i>
  </colItems>
  <dataFields count="1">
    <dataField name="Count of ACCIDENTS_POINTS_NBR" fld="1" subtotal="count" baseField="0" baseItem="0"/>
  </dataFields>
  <chartFormats count="8">
    <chartFormat chart="0" format="0" series="1">
      <pivotArea type="data" outline="0" fieldPosition="0">
        <references count="1">
          <reference field="4294967294" count="1" selected="0">
            <x v="0"/>
          </reference>
        </references>
      </pivotArea>
    </chartFormat>
    <chartFormat chart="0" format="6" series="1">
      <pivotArea type="data" outline="0" fieldPosition="0">
        <references count="2">
          <reference field="4294967294" count="1" selected="0">
            <x v="0"/>
          </reference>
          <reference field="9" count="1" selected="0">
            <x v="0"/>
          </reference>
        </references>
      </pivotArea>
    </chartFormat>
    <chartFormat chart="0" format="7" series="1">
      <pivotArea type="data" outline="0" fieldPosition="0">
        <references count="2">
          <reference field="4294967294" count="1" selected="0">
            <x v="0"/>
          </reference>
          <reference field="9" count="1" selected="0">
            <x v="1"/>
          </reference>
        </references>
      </pivotArea>
    </chartFormat>
    <chartFormat chart="0" format="8" series="1">
      <pivotArea type="data" outline="0" fieldPosition="0">
        <references count="2">
          <reference field="4294967294" count="1" selected="0">
            <x v="0"/>
          </reference>
          <reference field="9" count="1" selected="0">
            <x v="2"/>
          </reference>
        </references>
      </pivotArea>
    </chartFormat>
    <chartFormat chart="0" format="9" series="1">
      <pivotArea type="data" outline="0" fieldPosition="0">
        <references count="2">
          <reference field="4294967294" count="1" selected="0">
            <x v="0"/>
          </reference>
          <reference field="9" count="1" selected="0">
            <x v="3"/>
          </reference>
        </references>
      </pivotArea>
    </chartFormat>
    <chartFormat chart="0" format="10" series="1">
      <pivotArea type="data" outline="0" fieldPosition="0">
        <references count="2">
          <reference field="4294967294" count="1" selected="0">
            <x v="0"/>
          </reference>
          <reference field="9" count="1" selected="0">
            <x v="4"/>
          </reference>
        </references>
      </pivotArea>
    </chartFormat>
    <chartFormat chart="0" format="11" series="1">
      <pivotArea type="data" outline="0" fieldPosition="0">
        <references count="2">
          <reference field="4294967294" count="1" selected="0">
            <x v="0"/>
          </reference>
          <reference field="9" count="1" selected="0">
            <x v="5"/>
          </reference>
        </references>
      </pivotArea>
    </chartFormat>
    <chartFormat chart="0" format="12" series="1">
      <pivotArea type="data" outline="0" fieldPosition="0">
        <references count="2">
          <reference field="4294967294" count="1" selected="0">
            <x v="0"/>
          </reference>
          <reference field="9" count="1" selected="0">
            <x v="6"/>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A45F2A57-3820-4B17-98A7-0A47033A0D6A}" name="Logpoint_Anaylsis" cacheId="2" dataOnRows="1" applyNumberFormats="0" applyBorderFormats="0" applyFontFormats="0" applyPatternFormats="0" applyAlignmentFormats="0" applyWidthHeightFormats="1" dataCaption="Data" updatedVersion="8" showItems="0" showMultipleLabel="0" showMemberPropertyTips="0" useAutoFormatting="1" colGrandTotals="0" itemPrintTitles="1" showDropZones="0" indent="0" compact="0" compactData="0" gridDropZones="1" chartFormat="1">
  <location ref="AG2:AH170" firstHeaderRow="2"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Items count="1">
    <i/>
  </colItems>
  <dataFields count="1">
    <dataField name="Count of ACCIDENTS_POINTS_NBR" fld="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E0215DA9-5F4D-4004-9822-F94EDDC5219E}" name="Road_Condition"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BH2:BO170"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sortType="descending" rankBy="0">
      <items count="8">
        <item x="0"/>
        <item x="1"/>
        <item x="2"/>
        <item x="3"/>
        <item x="4"/>
        <item x="5"/>
        <item x="6"/>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16"/>
  </colFields>
  <colItems count="7">
    <i>
      <x/>
    </i>
    <i>
      <x v="1"/>
    </i>
    <i>
      <x v="3"/>
    </i>
    <i>
      <x v="2"/>
    </i>
    <i>
      <x v="6"/>
    </i>
    <i>
      <x v="5"/>
    </i>
    <i>
      <x v="4"/>
    </i>
  </colItems>
  <dataFields count="1">
    <dataField name="Count of ACCIDENTS_POINTS_NBR" fld="1" subtotal="count" baseField="0" baseItem="0"/>
  </dataFields>
  <chartFormats count="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6" count="1" selected="0">
            <x v="0"/>
          </reference>
        </references>
      </pivotArea>
    </chartFormat>
    <chartFormat chart="0" format="2" series="1">
      <pivotArea type="data" outline="0" fieldPosition="0">
        <references count="2">
          <reference field="4294967294" count="1" selected="0">
            <x v="0"/>
          </reference>
          <reference field="16" count="1" selected="0">
            <x v="1"/>
          </reference>
        </references>
      </pivotArea>
    </chartFormat>
    <chartFormat chart="0" format="3" series="1">
      <pivotArea type="data" outline="0" fieldPosition="0">
        <references count="2">
          <reference field="4294967294" count="1" selected="0">
            <x v="0"/>
          </reference>
          <reference field="16" count="1" selected="0">
            <x v="2"/>
          </reference>
        </references>
      </pivotArea>
    </chartFormat>
    <chartFormat chart="0" format="4" series="1">
      <pivotArea type="data" outline="0" fieldPosition="0">
        <references count="2">
          <reference field="4294967294" count="1" selected="0">
            <x v="0"/>
          </reference>
          <reference field="16" count="1" selected="0">
            <x v="6"/>
          </reference>
        </references>
      </pivotArea>
    </chartFormat>
    <chartFormat chart="0" format="5" series="1">
      <pivotArea type="data" outline="0" fieldPosition="0">
        <references count="2">
          <reference field="4294967294" count="1" selected="0">
            <x v="0"/>
          </reference>
          <reference field="16" count="1" selected="0">
            <x v="5"/>
          </reference>
        </references>
      </pivotArea>
    </chartFormat>
    <chartFormat chart="0" format="6" series="1">
      <pivotArea type="data" outline="0" fieldPosition="0">
        <references count="2">
          <reference field="4294967294" count="1" selected="0">
            <x v="0"/>
          </reference>
          <reference field="16" count="1" selected="0">
            <x v="4"/>
          </reference>
        </references>
      </pivotArea>
    </chartFormat>
    <chartFormat chart="0" format="7" series="1">
      <pivotArea type="data" outline="0" fieldPosition="0">
        <references count="2">
          <reference field="4294967294" count="1" selected="0">
            <x v="0"/>
          </reference>
          <reference field="16"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978D8A4-CD7B-4706-8A53-114B48CA5CCC}" name="PivotTable12"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ODOT Location">
  <location ref="B89:D96"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sortType="ascending"/>
    <pivotField showAll="0"/>
    <pivotField showAll="0"/>
    <pivotField showAll="0"/>
    <pivotField axis="axisRow" showAll="0" sortType="descending">
      <items count="17">
        <item m="1" x="9"/>
        <item x="5"/>
        <item m="1" x="10"/>
        <item m="1" x="7"/>
        <item x="4"/>
        <item x="0"/>
        <item x="1"/>
        <item m="1" x="6"/>
        <item m="1" x="12"/>
        <item m="1" x="15"/>
        <item m="1" x="11"/>
        <item x="2"/>
        <item x="3"/>
        <item m="1" x="13"/>
        <item m="1" x="14"/>
        <item m="1"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9"/>
  </rowFields>
  <rowItems count="7">
    <i>
      <x v="6"/>
    </i>
    <i>
      <x v="5"/>
    </i>
    <i>
      <x v="11"/>
    </i>
    <i>
      <x v="12"/>
    </i>
    <i>
      <x v="4"/>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18">
      <pivotArea field="2" type="button" dataOnly="0" labelOnly="1" outline="0"/>
    </format>
    <format dxfId="217">
      <pivotArea dataOnly="0" labelOnly="1" grandRow="1" outline="0" fieldPosition="0"/>
    </format>
    <format dxfId="216">
      <pivotArea outline="0" fieldPosition="0">
        <references count="1">
          <reference field="4294967294" count="1">
            <x v="0"/>
          </reference>
        </references>
      </pivotArea>
    </format>
    <format dxfId="215">
      <pivotArea outline="0" fieldPosition="0">
        <references count="1">
          <reference field="4294967294" count="1">
            <x v="1"/>
          </reference>
        </references>
      </pivotArea>
    </format>
    <format dxfId="21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637E9FD6-D1F9-4E25-8840-65B8EC584BDD}" name="Direction_Type"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FK2:FZ343" firstHeaderRow="1" firstDataRow="2" firstDataCol="2"/>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sortType="descending" rankBy="0">
      <items count="15">
        <item x="2"/>
        <item x="4"/>
        <item x="10"/>
        <item x="7"/>
        <item x="9"/>
        <item x="0"/>
        <item x="13"/>
        <item x="1"/>
        <item x="3"/>
        <item x="5"/>
        <item x="6"/>
        <item x="8"/>
        <item x="11"/>
        <item x="1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axis="axisRow" compact="0" outline="0" subtotalTop="0" showAll="0" includeNewItemsInFilter="1">
      <items count="10">
        <item x="5"/>
        <item x="2"/>
        <item x="1"/>
        <item x="0"/>
        <item x="3"/>
        <item x="4"/>
        <item x="6"/>
        <item x="7"/>
        <item x="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2">
    <field x="4"/>
    <field x="23"/>
  </rowFields>
  <rowItems count="340">
    <i>
      <x v="16"/>
      <x v="2"/>
    </i>
    <i t="default">
      <x v="16"/>
    </i>
    <i>
      <x v="19"/>
      <x v="3"/>
    </i>
    <i t="default">
      <x v="19"/>
    </i>
    <i>
      <x v="20"/>
      <x/>
    </i>
    <i r="1">
      <x v="1"/>
    </i>
    <i r="1">
      <x v="2"/>
    </i>
    <i r="1">
      <x v="3"/>
    </i>
    <i r="1">
      <x v="4"/>
    </i>
    <i r="1">
      <x v="5"/>
    </i>
    <i r="1">
      <x v="6"/>
    </i>
    <i t="default">
      <x v="20"/>
    </i>
    <i>
      <x v="21"/>
      <x v="1"/>
    </i>
    <i t="default">
      <x v="21"/>
    </i>
    <i>
      <x v="22"/>
      <x v="3"/>
    </i>
    <i t="default">
      <x v="22"/>
    </i>
    <i>
      <x v="23"/>
      <x v="3"/>
    </i>
    <i t="default">
      <x v="23"/>
    </i>
    <i>
      <x v="24"/>
      <x v="1"/>
    </i>
    <i t="default">
      <x v="24"/>
    </i>
    <i>
      <x v="25"/>
      <x v="4"/>
    </i>
    <i t="default">
      <x v="25"/>
    </i>
    <i>
      <x v="26"/>
      <x v="5"/>
    </i>
    <i t="default">
      <x v="26"/>
    </i>
    <i>
      <x v="27"/>
      <x/>
    </i>
    <i t="default">
      <x v="27"/>
    </i>
    <i>
      <x v="28"/>
      <x v="3"/>
    </i>
    <i t="default">
      <x v="28"/>
    </i>
    <i>
      <x v="29"/>
      <x v="3"/>
    </i>
    <i t="default">
      <x v="29"/>
    </i>
    <i>
      <x v="30"/>
      <x/>
    </i>
    <i t="default">
      <x v="30"/>
    </i>
    <i>
      <x v="31"/>
      <x v="1"/>
    </i>
    <i t="default">
      <x v="31"/>
    </i>
    <i>
      <x v="32"/>
      <x v="7"/>
    </i>
    <i t="default">
      <x v="32"/>
    </i>
    <i>
      <x v="33"/>
      <x v="7"/>
    </i>
    <i t="default">
      <x v="33"/>
    </i>
    <i>
      <x v="34"/>
      <x v="3"/>
    </i>
    <i t="default">
      <x v="34"/>
    </i>
    <i>
      <x v="35"/>
      <x/>
    </i>
    <i t="default">
      <x v="35"/>
    </i>
    <i>
      <x v="36"/>
      <x v="2"/>
    </i>
    <i t="default">
      <x v="36"/>
    </i>
    <i>
      <x v="37"/>
      <x v="8"/>
    </i>
    <i t="default">
      <x v="37"/>
    </i>
    <i>
      <x v="38"/>
      <x v="2"/>
    </i>
    <i t="default">
      <x v="38"/>
    </i>
    <i>
      <x v="39"/>
      <x v="6"/>
    </i>
    <i t="default">
      <x v="39"/>
    </i>
    <i>
      <x v="40"/>
      <x v="3"/>
    </i>
    <i t="default">
      <x v="40"/>
    </i>
    <i>
      <x v="41"/>
      <x/>
    </i>
    <i t="default">
      <x v="41"/>
    </i>
    <i>
      <x v="42"/>
      <x v="2"/>
    </i>
    <i t="default">
      <x v="42"/>
    </i>
    <i>
      <x v="43"/>
      <x v="1"/>
    </i>
    <i t="default">
      <x v="43"/>
    </i>
    <i>
      <x v="44"/>
      <x v="2"/>
    </i>
    <i t="default">
      <x v="44"/>
    </i>
    <i>
      <x v="45"/>
      <x v="6"/>
    </i>
    <i t="default">
      <x v="45"/>
    </i>
    <i>
      <x v="46"/>
      <x v="2"/>
    </i>
    <i t="default">
      <x v="46"/>
    </i>
    <i>
      <x v="47"/>
      <x/>
    </i>
    <i t="default">
      <x v="47"/>
    </i>
    <i>
      <x v="48"/>
      <x/>
    </i>
    <i t="default">
      <x v="48"/>
    </i>
    <i>
      <x v="49"/>
      <x v="1"/>
    </i>
    <i t="default">
      <x v="49"/>
    </i>
    <i>
      <x v="50"/>
      <x v="1"/>
    </i>
    <i t="default">
      <x v="50"/>
    </i>
    <i>
      <x v="51"/>
      <x v="2"/>
    </i>
    <i t="default">
      <x v="51"/>
    </i>
    <i>
      <x v="52"/>
      <x v="3"/>
    </i>
    <i r="1">
      <x v="7"/>
    </i>
    <i t="default">
      <x v="52"/>
    </i>
    <i>
      <x v="53"/>
      <x/>
    </i>
    <i t="default">
      <x v="53"/>
    </i>
    <i>
      <x v="54"/>
      <x v="2"/>
    </i>
    <i t="default">
      <x v="54"/>
    </i>
    <i>
      <x v="55"/>
      <x v="3"/>
    </i>
    <i t="default">
      <x v="55"/>
    </i>
    <i>
      <x v="56"/>
      <x/>
    </i>
    <i t="default">
      <x v="56"/>
    </i>
    <i>
      <x v="57"/>
      <x v="2"/>
    </i>
    <i t="default">
      <x v="57"/>
    </i>
    <i>
      <x v="58"/>
      <x v="3"/>
    </i>
    <i t="default">
      <x v="58"/>
    </i>
    <i>
      <x v="59"/>
      <x v="8"/>
    </i>
    <i t="default">
      <x v="59"/>
    </i>
    <i>
      <x v="60"/>
      <x/>
    </i>
    <i t="default">
      <x v="60"/>
    </i>
    <i>
      <x v="61"/>
      <x v="1"/>
    </i>
    <i t="default">
      <x v="61"/>
    </i>
    <i>
      <x v="62"/>
      <x v="2"/>
    </i>
    <i t="default">
      <x v="62"/>
    </i>
    <i>
      <x v="63"/>
      <x v="1"/>
    </i>
    <i t="default">
      <x v="63"/>
    </i>
    <i>
      <x v="64"/>
      <x v="3"/>
    </i>
    <i t="default">
      <x v="64"/>
    </i>
    <i>
      <x v="65"/>
      <x v="1"/>
    </i>
    <i t="default">
      <x v="65"/>
    </i>
    <i>
      <x v="66"/>
      <x/>
    </i>
    <i t="default">
      <x v="66"/>
    </i>
    <i>
      <x v="67"/>
      <x v="5"/>
    </i>
    <i t="default">
      <x v="67"/>
    </i>
    <i>
      <x v="68"/>
      <x v="2"/>
    </i>
    <i t="default">
      <x v="68"/>
    </i>
    <i>
      <x v="69"/>
      <x v="3"/>
    </i>
    <i t="default">
      <x v="69"/>
    </i>
    <i>
      <x v="70"/>
      <x v="1"/>
    </i>
    <i t="default">
      <x v="70"/>
    </i>
    <i>
      <x v="71"/>
      <x v="2"/>
    </i>
    <i t="default">
      <x v="71"/>
    </i>
    <i>
      <x v="72"/>
      <x/>
    </i>
    <i t="default">
      <x v="72"/>
    </i>
    <i>
      <x v="73"/>
      <x v="3"/>
    </i>
    <i t="default">
      <x v="73"/>
    </i>
    <i>
      <x v="74"/>
      <x/>
    </i>
    <i t="default">
      <x v="74"/>
    </i>
    <i>
      <x v="75"/>
      <x v="1"/>
    </i>
    <i t="default">
      <x v="75"/>
    </i>
    <i>
      <x v="76"/>
      <x/>
    </i>
    <i t="default">
      <x v="76"/>
    </i>
    <i>
      <x v="77"/>
      <x v="1"/>
    </i>
    <i t="default">
      <x v="77"/>
    </i>
    <i>
      <x v="78"/>
      <x v="3"/>
    </i>
    <i t="default">
      <x v="78"/>
    </i>
    <i>
      <x v="79"/>
      <x/>
    </i>
    <i t="default">
      <x v="79"/>
    </i>
    <i>
      <x v="80"/>
      <x v="2"/>
    </i>
    <i t="default">
      <x v="80"/>
    </i>
    <i>
      <x v="81"/>
      <x v="3"/>
    </i>
    <i t="default">
      <x v="81"/>
    </i>
    <i>
      <x v="82"/>
      <x v="2"/>
    </i>
    <i t="default">
      <x v="82"/>
    </i>
    <i>
      <x v="83"/>
      <x v="1"/>
    </i>
    <i t="default">
      <x v="83"/>
    </i>
    <i>
      <x v="84"/>
      <x v="3"/>
    </i>
    <i t="default">
      <x v="84"/>
    </i>
    <i>
      <x v="85"/>
      <x v="8"/>
    </i>
    <i t="default">
      <x v="85"/>
    </i>
    <i>
      <x v="86"/>
      <x v="2"/>
    </i>
    <i t="default">
      <x v="86"/>
    </i>
    <i>
      <x v="87"/>
      <x v="4"/>
    </i>
    <i t="default">
      <x v="87"/>
    </i>
    <i>
      <x v="88"/>
      <x v="1"/>
    </i>
    <i t="default">
      <x v="88"/>
    </i>
    <i>
      <x v="89"/>
      <x v="3"/>
    </i>
    <i t="default">
      <x v="89"/>
    </i>
    <i>
      <x v="90"/>
      <x v="3"/>
    </i>
    <i t="default">
      <x v="90"/>
    </i>
    <i>
      <x v="91"/>
      <x/>
    </i>
    <i t="default">
      <x v="91"/>
    </i>
    <i>
      <x v="92"/>
      <x v="3"/>
    </i>
    <i t="default">
      <x v="92"/>
    </i>
    <i>
      <x v="93"/>
      <x v="3"/>
    </i>
    <i t="default">
      <x v="93"/>
    </i>
    <i>
      <x v="94"/>
      <x v="8"/>
    </i>
    <i t="default">
      <x v="94"/>
    </i>
    <i>
      <x v="95"/>
      <x v="4"/>
    </i>
    <i t="default">
      <x v="95"/>
    </i>
    <i>
      <x v="96"/>
      <x v="1"/>
    </i>
    <i t="default">
      <x v="96"/>
    </i>
    <i>
      <x v="97"/>
      <x v="1"/>
    </i>
    <i t="default">
      <x v="97"/>
    </i>
    <i>
      <x v="98"/>
      <x v="2"/>
    </i>
    <i t="default">
      <x v="98"/>
    </i>
    <i>
      <x v="99"/>
      <x v="2"/>
    </i>
    <i t="default">
      <x v="99"/>
    </i>
    <i>
      <x v="100"/>
      <x v="3"/>
    </i>
    <i t="default">
      <x v="100"/>
    </i>
    <i>
      <x v="101"/>
      <x v="4"/>
    </i>
    <i t="default">
      <x v="101"/>
    </i>
    <i>
      <x v="102"/>
      <x v="7"/>
    </i>
    <i t="default">
      <x v="102"/>
    </i>
    <i>
      <x v="103"/>
      <x v="1"/>
    </i>
    <i t="default">
      <x v="103"/>
    </i>
    <i>
      <x v="104"/>
      <x v="4"/>
    </i>
    <i t="default">
      <x v="104"/>
    </i>
    <i>
      <x v="105"/>
      <x v="1"/>
    </i>
    <i t="default">
      <x v="105"/>
    </i>
    <i>
      <x v="106"/>
      <x v="6"/>
    </i>
    <i t="default">
      <x v="106"/>
    </i>
    <i>
      <x v="107"/>
      <x v="5"/>
    </i>
    <i t="default">
      <x v="107"/>
    </i>
    <i>
      <x v="108"/>
      <x v="3"/>
    </i>
    <i t="default">
      <x v="108"/>
    </i>
    <i>
      <x v="109"/>
      <x v="1"/>
    </i>
    <i t="default">
      <x v="109"/>
    </i>
    <i>
      <x v="110"/>
      <x v="3"/>
    </i>
    <i t="default">
      <x v="110"/>
    </i>
    <i>
      <x v="111"/>
      <x/>
    </i>
    <i t="default">
      <x v="111"/>
    </i>
    <i>
      <x v="112"/>
      <x v="7"/>
    </i>
    <i t="default">
      <x v="112"/>
    </i>
    <i>
      <x v="113"/>
      <x v="3"/>
    </i>
    <i t="default">
      <x v="113"/>
    </i>
    <i>
      <x v="114"/>
      <x v="7"/>
    </i>
    <i t="default">
      <x v="114"/>
    </i>
    <i>
      <x v="115"/>
      <x v="2"/>
    </i>
    <i t="default">
      <x v="115"/>
    </i>
    <i>
      <x v="116"/>
      <x/>
    </i>
    <i t="default">
      <x v="116"/>
    </i>
    <i>
      <x v="117"/>
      <x v="1"/>
    </i>
    <i t="default">
      <x v="117"/>
    </i>
    <i>
      <x v="118"/>
      <x v="4"/>
    </i>
    <i t="default">
      <x v="118"/>
    </i>
    <i>
      <x v="119"/>
      <x v="2"/>
    </i>
    <i t="default">
      <x v="119"/>
    </i>
    <i>
      <x v="120"/>
      <x v="3"/>
    </i>
    <i t="default">
      <x v="120"/>
    </i>
    <i>
      <x v="121"/>
      <x v="1"/>
    </i>
    <i t="default">
      <x v="121"/>
    </i>
    <i>
      <x v="122"/>
      <x v="2"/>
    </i>
    <i t="default">
      <x v="122"/>
    </i>
    <i>
      <x v="123"/>
      <x v="3"/>
    </i>
    <i t="default">
      <x v="123"/>
    </i>
    <i>
      <x v="124"/>
      <x v="3"/>
    </i>
    <i t="default">
      <x v="124"/>
    </i>
    <i>
      <x v="125"/>
      <x v="5"/>
    </i>
    <i t="default">
      <x v="125"/>
    </i>
    <i>
      <x v="126"/>
      <x v="1"/>
    </i>
    <i t="default">
      <x v="126"/>
    </i>
    <i>
      <x v="127"/>
      <x v="3"/>
    </i>
    <i t="default">
      <x v="127"/>
    </i>
    <i>
      <x v="128"/>
      <x/>
    </i>
    <i t="default">
      <x v="128"/>
    </i>
    <i>
      <x v="129"/>
      <x v="7"/>
    </i>
    <i t="default">
      <x v="129"/>
    </i>
    <i>
      <x v="130"/>
      <x v="6"/>
    </i>
    <i t="default">
      <x v="130"/>
    </i>
    <i>
      <x v="131"/>
      <x v="3"/>
    </i>
    <i t="default">
      <x v="131"/>
    </i>
    <i>
      <x v="132"/>
      <x v="1"/>
    </i>
    <i t="default">
      <x v="132"/>
    </i>
    <i>
      <x v="133"/>
      <x v="7"/>
    </i>
    <i t="default">
      <x v="133"/>
    </i>
    <i>
      <x v="134"/>
      <x v="1"/>
    </i>
    <i t="default">
      <x v="134"/>
    </i>
    <i>
      <x v="135"/>
      <x v="7"/>
    </i>
    <i t="default">
      <x v="135"/>
    </i>
    <i>
      <x v="136"/>
      <x v="4"/>
    </i>
    <i t="default">
      <x v="136"/>
    </i>
    <i>
      <x v="137"/>
      <x v="5"/>
    </i>
    <i t="default">
      <x v="137"/>
    </i>
    <i>
      <x v="138"/>
      <x v="4"/>
    </i>
    <i t="default">
      <x v="138"/>
    </i>
    <i>
      <x v="139"/>
      <x v="5"/>
    </i>
    <i t="default">
      <x v="139"/>
    </i>
    <i>
      <x v="140"/>
      <x/>
    </i>
    <i t="default">
      <x v="140"/>
    </i>
    <i>
      <x v="141"/>
      <x v="4"/>
    </i>
    <i t="default">
      <x v="141"/>
    </i>
    <i>
      <x v="142"/>
      <x v="3"/>
    </i>
    <i t="default">
      <x v="142"/>
    </i>
    <i>
      <x v="143"/>
      <x v="2"/>
    </i>
    <i t="default">
      <x v="143"/>
    </i>
    <i>
      <x v="144"/>
      <x v="4"/>
    </i>
    <i t="default">
      <x v="144"/>
    </i>
    <i>
      <x v="145"/>
      <x v="4"/>
    </i>
    <i t="default">
      <x v="145"/>
    </i>
    <i>
      <x v="146"/>
      <x v="5"/>
    </i>
    <i t="default">
      <x v="146"/>
    </i>
    <i>
      <x v="147"/>
      <x v="5"/>
    </i>
    <i t="default">
      <x v="147"/>
    </i>
    <i>
      <x v="148"/>
      <x v="1"/>
    </i>
    <i t="default">
      <x v="148"/>
    </i>
    <i>
      <x v="149"/>
      <x v="1"/>
    </i>
    <i t="default">
      <x v="149"/>
    </i>
    <i>
      <x v="150"/>
      <x/>
    </i>
    <i t="default">
      <x v="150"/>
    </i>
    <i>
      <x v="151"/>
      <x v="3"/>
    </i>
    <i t="default">
      <x v="151"/>
    </i>
    <i>
      <x v="152"/>
      <x v="4"/>
    </i>
    <i t="default">
      <x v="152"/>
    </i>
    <i>
      <x v="153"/>
      <x v="4"/>
    </i>
    <i t="default">
      <x v="153"/>
    </i>
    <i>
      <x v="154"/>
      <x/>
    </i>
    <i t="default">
      <x v="154"/>
    </i>
    <i>
      <x v="155"/>
      <x v="7"/>
    </i>
    <i t="default">
      <x v="155"/>
    </i>
    <i>
      <x v="156"/>
      <x/>
    </i>
    <i t="default">
      <x v="156"/>
    </i>
    <i>
      <x v="157"/>
      <x v="2"/>
    </i>
    <i t="default">
      <x v="157"/>
    </i>
    <i>
      <x v="158"/>
      <x v="3"/>
    </i>
    <i t="default">
      <x v="158"/>
    </i>
    <i>
      <x v="159"/>
      <x v="1"/>
    </i>
    <i t="default">
      <x v="159"/>
    </i>
    <i>
      <x v="160"/>
      <x v="6"/>
    </i>
    <i t="default">
      <x v="160"/>
    </i>
    <i>
      <x v="161"/>
      <x v="7"/>
    </i>
    <i t="default">
      <x v="161"/>
    </i>
    <i>
      <x v="162"/>
      <x v="1"/>
    </i>
    <i t="default">
      <x v="162"/>
    </i>
    <i>
      <x v="163"/>
      <x/>
    </i>
    <i t="default">
      <x v="163"/>
    </i>
    <i>
      <x v="164"/>
      <x v="7"/>
    </i>
    <i t="default">
      <x v="164"/>
    </i>
    <i>
      <x v="165"/>
      <x v="1"/>
    </i>
    <i t="default">
      <x v="165"/>
    </i>
    <i>
      <x v="166"/>
      <x v="2"/>
    </i>
    <i t="default">
      <x v="166"/>
    </i>
    <i>
      <x v="167"/>
      <x v="8"/>
    </i>
    <i t="default">
      <x v="167"/>
    </i>
    <i>
      <x v="168"/>
      <x v="3"/>
    </i>
    <i t="default">
      <x v="168"/>
    </i>
    <i>
      <x v="169"/>
      <x v="3"/>
    </i>
    <i t="default">
      <x v="169"/>
    </i>
    <i>
      <x v="170"/>
      <x v="3"/>
    </i>
    <i t="default">
      <x v="170"/>
    </i>
    <i>
      <x v="171"/>
      <x/>
    </i>
    <i t="default">
      <x v="171"/>
    </i>
    <i>
      <x v="172"/>
      <x v="8"/>
    </i>
    <i t="default">
      <x v="172"/>
    </i>
    <i>
      <x v="173"/>
      <x/>
    </i>
    <i t="default">
      <x v="173"/>
    </i>
    <i>
      <x v="174"/>
      <x v="1"/>
    </i>
    <i t="default">
      <x v="174"/>
    </i>
    <i>
      <x v="175"/>
      <x v="3"/>
    </i>
    <i t="default">
      <x v="175"/>
    </i>
    <i>
      <x v="176"/>
      <x/>
    </i>
    <i t="default">
      <x v="176"/>
    </i>
    <i>
      <x v="177"/>
      <x v="2"/>
    </i>
    <i t="default">
      <x v="177"/>
    </i>
    <i>
      <x v="178"/>
      <x v="1"/>
    </i>
    <i t="default">
      <x v="178"/>
    </i>
    <i>
      <x v="179"/>
      <x/>
    </i>
    <i t="default">
      <x v="179"/>
    </i>
    <i>
      <x v="180"/>
      <x v="1"/>
    </i>
    <i t="default">
      <x v="180"/>
    </i>
    <i>
      <x v="181"/>
      <x v="4"/>
    </i>
    <i t="default">
      <x v="181"/>
    </i>
    <i>
      <x v="182"/>
      <x/>
    </i>
    <i t="default">
      <x v="182"/>
    </i>
    <i>
      <x v="183"/>
      <x v="3"/>
    </i>
    <i t="default">
      <x v="183"/>
    </i>
    <i t="grand">
      <x/>
    </i>
  </rowItems>
  <colFields count="1">
    <field x="12"/>
  </colFields>
  <colItems count="14">
    <i>
      <x/>
    </i>
    <i>
      <x v="1"/>
    </i>
    <i>
      <x v="2"/>
    </i>
    <i>
      <x v="7"/>
    </i>
    <i>
      <x v="4"/>
    </i>
    <i>
      <x v="5"/>
    </i>
    <i>
      <x v="10"/>
    </i>
    <i>
      <x v="3"/>
    </i>
    <i>
      <x v="12"/>
    </i>
    <i>
      <x v="9"/>
    </i>
    <i>
      <x v="8"/>
    </i>
    <i>
      <x v="11"/>
    </i>
    <i>
      <x v="13"/>
    </i>
    <i>
      <x v="6"/>
    </i>
  </colItems>
  <dataFields count="1">
    <dataField name="Count of ACCIDENTS_POINTS_NBR" fld="1" subtotal="count" baseField="0" baseItem="0"/>
  </dataFields>
  <chartFormats count="1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2" count="1" selected="0">
            <x v="5"/>
          </reference>
        </references>
      </pivotArea>
    </chartFormat>
    <chartFormat chart="0" format="2" series="1">
      <pivotArea type="data" outline="0" fieldPosition="0">
        <references count="2">
          <reference field="4294967294" count="1" selected="0">
            <x v="0"/>
          </reference>
          <reference field="12" count="1" selected="0">
            <x v="3"/>
          </reference>
        </references>
      </pivotArea>
    </chartFormat>
    <chartFormat chart="0" format="3" series="1">
      <pivotArea type="data" outline="0" fieldPosition="0">
        <references count="2">
          <reference field="4294967294" count="1" selected="0">
            <x v="0"/>
          </reference>
          <reference field="12" count="1" selected="0">
            <x v="6"/>
          </reference>
        </references>
      </pivotArea>
    </chartFormat>
    <chartFormat chart="0" format="4" series="1">
      <pivotArea type="data" outline="0" fieldPosition="0">
        <references count="2">
          <reference field="4294967294" count="1" selected="0">
            <x v="0"/>
          </reference>
          <reference field="12" count="1" selected="0">
            <x v="2"/>
          </reference>
        </references>
      </pivotArea>
    </chartFormat>
    <chartFormat chart="0" format="5" series="1">
      <pivotArea type="data" outline="0" fieldPosition="0">
        <references count="2">
          <reference field="4294967294" count="1" selected="0">
            <x v="0"/>
          </reference>
          <reference field="12" count="1" selected="0">
            <x v="0"/>
          </reference>
        </references>
      </pivotArea>
    </chartFormat>
    <chartFormat chart="0" format="6" series="1">
      <pivotArea type="data" outline="0" fieldPosition="0">
        <references count="2">
          <reference field="4294967294" count="1" selected="0">
            <x v="0"/>
          </reference>
          <reference field="12" count="1" selected="0">
            <x v="4"/>
          </reference>
        </references>
      </pivotArea>
    </chartFormat>
    <chartFormat chart="0" format="7" series="1">
      <pivotArea type="data" outline="0" fieldPosition="0">
        <references count="2">
          <reference field="4294967294" count="1" selected="0">
            <x v="0"/>
          </reference>
          <reference field="12" count="1" selected="0">
            <x v="1"/>
          </reference>
        </references>
      </pivotArea>
    </chartFormat>
    <chartFormat chart="0" format="8" series="1">
      <pivotArea type="data" outline="0" fieldPosition="0">
        <references count="2">
          <reference field="4294967294" count="1" selected="0">
            <x v="0"/>
          </reference>
          <reference field="12" count="1" selected="0">
            <x v="12"/>
          </reference>
        </references>
      </pivotArea>
    </chartFormat>
    <chartFormat chart="0" format="9" series="1">
      <pivotArea type="data" outline="0" fieldPosition="0">
        <references count="2">
          <reference field="4294967294" count="1" selected="0">
            <x v="0"/>
          </reference>
          <reference field="12" count="1" selected="0">
            <x v="9"/>
          </reference>
        </references>
      </pivotArea>
    </chartFormat>
    <chartFormat chart="0" format="10" series="1">
      <pivotArea type="data" outline="0" fieldPosition="0">
        <references count="2">
          <reference field="4294967294" count="1" selected="0">
            <x v="0"/>
          </reference>
          <reference field="12" count="1" selected="0">
            <x v="8"/>
          </reference>
        </references>
      </pivotArea>
    </chartFormat>
    <chartFormat chart="0" format="11" series="1">
      <pivotArea type="data" outline="0" fieldPosition="0">
        <references count="2">
          <reference field="4294967294" count="1" selected="0">
            <x v="0"/>
          </reference>
          <reference field="12" count="1" selected="0">
            <x v="11"/>
          </reference>
        </references>
      </pivotArea>
    </chartFormat>
    <chartFormat chart="0" format="12" series="1">
      <pivotArea type="data" outline="0" fieldPosition="0">
        <references count="2">
          <reference field="4294967294" count="1" selected="0">
            <x v="0"/>
          </reference>
          <reference field="12" count="1" selected="0">
            <x v="13"/>
          </reference>
        </references>
      </pivotArea>
    </chartFormat>
    <chartFormat chart="0" format="13" series="1">
      <pivotArea type="data" outline="0" fieldPosition="0">
        <references count="2">
          <reference field="4294967294" count="1" selected="0">
            <x v="0"/>
          </reference>
          <reference field="12" count="1" selected="0">
            <x v="7"/>
          </reference>
        </references>
      </pivotArea>
    </chartFormat>
    <chartFormat chart="0" format="14" series="1">
      <pivotArea type="data" outline="0" fieldPosition="0">
        <references count="2">
          <reference field="4294967294" count="1" selected="0">
            <x v="0"/>
          </reference>
          <reference field="12" count="1" selected="0">
            <x v="1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281C3DCC-4C89-4171-B750-8942807527D0}" name="Hour"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EJ2:FH170"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sortType="ascending" rankBy="0">
      <items count="25">
        <item x="2"/>
        <item x="0"/>
        <item x="13"/>
        <item x="6"/>
        <item x="19"/>
        <item x="12"/>
        <item x="7"/>
        <item x="14"/>
        <item x="22"/>
        <item x="18"/>
        <item x="10"/>
        <item x="11"/>
        <item x="8"/>
        <item x="23"/>
        <item x="21"/>
        <item x="15"/>
        <item x="20"/>
        <item x="3"/>
        <item x="5"/>
        <item x="16"/>
        <item x="1"/>
        <item x="4"/>
        <item x="17"/>
        <item x="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10"/>
  </colFields>
  <colItems count="24">
    <i>
      <x/>
    </i>
    <i>
      <x v="1"/>
    </i>
    <i>
      <x v="2"/>
    </i>
    <i>
      <x v="3"/>
    </i>
    <i>
      <x v="4"/>
    </i>
    <i>
      <x v="5"/>
    </i>
    <i>
      <x v="6"/>
    </i>
    <i>
      <x v="7"/>
    </i>
    <i>
      <x v="8"/>
    </i>
    <i>
      <x v="9"/>
    </i>
    <i>
      <x v="10"/>
    </i>
    <i>
      <x v="11"/>
    </i>
    <i>
      <x v="12"/>
    </i>
    <i>
      <x v="13"/>
    </i>
    <i>
      <x v="14"/>
    </i>
    <i>
      <x v="15"/>
    </i>
    <i>
      <x v="16"/>
    </i>
    <i>
      <x v="17"/>
    </i>
    <i>
      <x v="18"/>
    </i>
    <i>
      <x v="19"/>
    </i>
    <i>
      <x v="20"/>
    </i>
    <i>
      <x v="21"/>
    </i>
    <i>
      <x v="22"/>
    </i>
    <i>
      <x v="23"/>
    </i>
  </colItems>
  <dataFields count="1">
    <dataField name="Count of ACCIDENTS_POINTS_NBR" fld="1" subtotal="count" baseField="0" baseItem="0"/>
  </dataFields>
  <chartFormats count="25">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0" count="1" selected="0">
            <x v="11"/>
          </reference>
        </references>
      </pivotArea>
    </chartFormat>
    <chartFormat chart="0" format="3" series="1">
      <pivotArea type="data" outline="0" fieldPosition="0">
        <references count="2">
          <reference field="4294967294" count="1" selected="0">
            <x v="0"/>
          </reference>
          <reference field="10" count="1" selected="0">
            <x v="14"/>
          </reference>
        </references>
      </pivotArea>
    </chartFormat>
    <chartFormat chart="0" format="5" series="1">
      <pivotArea type="data" outline="0" fieldPosition="0">
        <references count="2">
          <reference field="4294967294" count="1" selected="0">
            <x v="0"/>
          </reference>
          <reference field="10" count="1" selected="0">
            <x v="17"/>
          </reference>
        </references>
      </pivotArea>
    </chartFormat>
    <chartFormat chart="0" format="6" series="1">
      <pivotArea type="data" outline="0" fieldPosition="0">
        <references count="2">
          <reference field="4294967294" count="1" selected="0">
            <x v="0"/>
          </reference>
          <reference field="10" count="1" selected="0">
            <x v="20"/>
          </reference>
        </references>
      </pivotArea>
    </chartFormat>
    <chartFormat chart="0" format="7" series="1">
      <pivotArea type="data" outline="0" fieldPosition="0">
        <references count="2">
          <reference field="4294967294" count="1" selected="0">
            <x v="0"/>
          </reference>
          <reference field="10" count="1" selected="0">
            <x v="22"/>
          </reference>
        </references>
      </pivotArea>
    </chartFormat>
    <chartFormat chart="0" format="8" series="1">
      <pivotArea type="data" outline="0" fieldPosition="0">
        <references count="2">
          <reference field="4294967294" count="1" selected="0">
            <x v="0"/>
          </reference>
          <reference field="10" count="1" selected="0">
            <x v="0"/>
          </reference>
        </references>
      </pivotArea>
    </chartFormat>
    <chartFormat chart="0" format="9" series="1">
      <pivotArea type="data" outline="0" fieldPosition="0">
        <references count="2">
          <reference field="4294967294" count="1" selected="0">
            <x v="0"/>
          </reference>
          <reference field="10" count="1" selected="0">
            <x v="12"/>
          </reference>
        </references>
      </pivotArea>
    </chartFormat>
    <chartFormat chart="0" format="10" series="1">
      <pivotArea type="data" outline="0" fieldPosition="0">
        <references count="2">
          <reference field="4294967294" count="1" selected="0">
            <x v="0"/>
          </reference>
          <reference field="10" count="1" selected="0">
            <x v="13"/>
          </reference>
        </references>
      </pivotArea>
    </chartFormat>
    <chartFormat chart="0" format="11" series="1">
      <pivotArea type="data" outline="0" fieldPosition="0">
        <references count="2">
          <reference field="4294967294" count="1" selected="0">
            <x v="0"/>
          </reference>
          <reference field="10" count="1" selected="0">
            <x v="15"/>
          </reference>
        </references>
      </pivotArea>
    </chartFormat>
    <chartFormat chart="0" format="12" series="1">
      <pivotArea type="data" outline="0" fieldPosition="0">
        <references count="2">
          <reference field="4294967294" count="1" selected="0">
            <x v="0"/>
          </reference>
          <reference field="10" count="1" selected="0">
            <x v="18"/>
          </reference>
        </references>
      </pivotArea>
    </chartFormat>
    <chartFormat chart="0" format="13" series="1">
      <pivotArea type="data" outline="0" fieldPosition="0">
        <references count="2">
          <reference field="4294967294" count="1" selected="0">
            <x v="0"/>
          </reference>
          <reference field="10" count="1" selected="0">
            <x v="19"/>
          </reference>
        </references>
      </pivotArea>
    </chartFormat>
    <chartFormat chart="0" format="14" series="1">
      <pivotArea type="data" outline="0" fieldPosition="0">
        <references count="2">
          <reference field="4294967294" count="1" selected="0">
            <x v="0"/>
          </reference>
          <reference field="10" count="1" selected="0">
            <x v="21"/>
          </reference>
        </references>
      </pivotArea>
    </chartFormat>
    <chartFormat chart="0" format="15" series="1">
      <pivotArea type="data" outline="0" fieldPosition="0">
        <references count="2">
          <reference field="4294967294" count="1" selected="0">
            <x v="0"/>
          </reference>
          <reference field="10" count="1" selected="0">
            <x v="16"/>
          </reference>
        </references>
      </pivotArea>
    </chartFormat>
    <chartFormat chart="0" format="16" series="1">
      <pivotArea type="data" outline="0" fieldPosition="0">
        <references count="2">
          <reference field="4294967294" count="1" selected="0">
            <x v="0"/>
          </reference>
          <reference field="10" count="1" selected="0">
            <x v="23"/>
          </reference>
        </references>
      </pivotArea>
    </chartFormat>
    <chartFormat chart="0" format="17" series="1">
      <pivotArea type="data" outline="0" fieldPosition="0">
        <references count="2">
          <reference field="4294967294" count="1" selected="0">
            <x v="0"/>
          </reference>
          <reference field="10" count="1" selected="0">
            <x v="1"/>
          </reference>
        </references>
      </pivotArea>
    </chartFormat>
    <chartFormat chart="0" format="18" series="1">
      <pivotArea type="data" outline="0" fieldPosition="0">
        <references count="2">
          <reference field="4294967294" count="1" selected="0">
            <x v="0"/>
          </reference>
          <reference field="10" count="1" selected="0">
            <x v="2"/>
          </reference>
        </references>
      </pivotArea>
    </chartFormat>
    <chartFormat chart="0" format="19" series="1">
      <pivotArea type="data" outline="0" fieldPosition="0">
        <references count="2">
          <reference field="4294967294" count="1" selected="0">
            <x v="0"/>
          </reference>
          <reference field="10" count="1" selected="0">
            <x v="3"/>
          </reference>
        </references>
      </pivotArea>
    </chartFormat>
    <chartFormat chart="0" format="20" series="1">
      <pivotArea type="data" outline="0" fieldPosition="0">
        <references count="2">
          <reference field="4294967294" count="1" selected="0">
            <x v="0"/>
          </reference>
          <reference field="10" count="1" selected="0">
            <x v="4"/>
          </reference>
        </references>
      </pivotArea>
    </chartFormat>
    <chartFormat chart="0" format="21" series="1">
      <pivotArea type="data" outline="0" fieldPosition="0">
        <references count="2">
          <reference field="4294967294" count="1" selected="0">
            <x v="0"/>
          </reference>
          <reference field="10" count="1" selected="0">
            <x v="5"/>
          </reference>
        </references>
      </pivotArea>
    </chartFormat>
    <chartFormat chart="0" format="22" series="1">
      <pivotArea type="data" outline="0" fieldPosition="0">
        <references count="2">
          <reference field="4294967294" count="1" selected="0">
            <x v="0"/>
          </reference>
          <reference field="10" count="1" selected="0">
            <x v="6"/>
          </reference>
        </references>
      </pivotArea>
    </chartFormat>
    <chartFormat chart="0" format="23" series="1">
      <pivotArea type="data" outline="0" fieldPosition="0">
        <references count="2">
          <reference field="4294967294" count="1" selected="0">
            <x v="0"/>
          </reference>
          <reference field="10" count="1" selected="0">
            <x v="7"/>
          </reference>
        </references>
      </pivotArea>
    </chartFormat>
    <chartFormat chart="0" format="24" series="1">
      <pivotArea type="data" outline="0" fieldPosition="0">
        <references count="2">
          <reference field="4294967294" count="1" selected="0">
            <x v="0"/>
          </reference>
          <reference field="10" count="1" selected="0">
            <x v="8"/>
          </reference>
        </references>
      </pivotArea>
    </chartFormat>
    <chartFormat chart="0" format="25" series="1">
      <pivotArea type="data" outline="0" fieldPosition="0">
        <references count="2">
          <reference field="4294967294" count="1" selected="0">
            <x v="0"/>
          </reference>
          <reference field="10" count="1" selected="0">
            <x v="9"/>
          </reference>
        </references>
      </pivotArea>
    </chartFormat>
    <chartFormat chart="0" format="26" series="1">
      <pivotArea type="data" outline="0" fieldPosition="0">
        <references count="2">
          <reference field="4294967294" count="1" selected="0">
            <x v="0"/>
          </reference>
          <reference field="10" count="1" selected="0">
            <x v="1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8022EDAE-6721-48B1-BF73-AFD0842D711F}" name="Animal"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BZ2:CA170"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sortType="descending" rankBy="0">
      <items count="2">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41"/>
  </colFields>
  <colItems count="1">
    <i>
      <x/>
    </i>
  </colItems>
  <dataFields count="1">
    <dataField name="Count of ACCIDENTS_POINTS_NBR" fld="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BD22CE3E-0601-4AE0-86D3-B498D194F416}" name="Contributing_Factor1"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CF2:CV170"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sortType="descending" rankBy="0">
      <items count="17">
        <item x="5"/>
        <item x="15"/>
        <item x="12"/>
        <item x="4"/>
        <item x="3"/>
        <item x="2"/>
        <item x="0"/>
        <item x="1"/>
        <item x="6"/>
        <item x="7"/>
        <item x="8"/>
        <item x="9"/>
        <item x="10"/>
        <item x="11"/>
        <item x="13"/>
        <item x="14"/>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18"/>
  </colFields>
  <colItems count="16">
    <i>
      <x v="5"/>
    </i>
    <i>
      <x v="3"/>
    </i>
    <i>
      <x v="4"/>
    </i>
    <i>
      <x v="12"/>
    </i>
    <i>
      <x/>
    </i>
    <i>
      <x v="7"/>
    </i>
    <i>
      <x v="8"/>
    </i>
    <i>
      <x v="13"/>
    </i>
    <i>
      <x v="11"/>
    </i>
    <i>
      <x v="2"/>
    </i>
    <i>
      <x v="6"/>
    </i>
    <i>
      <x v="9"/>
    </i>
    <i>
      <x v="1"/>
    </i>
    <i>
      <x v="14"/>
    </i>
    <i>
      <x v="10"/>
    </i>
    <i>
      <x v="15"/>
    </i>
  </colItems>
  <dataFields count="1">
    <dataField name="Count of ACCIDENTS_POINTS_NBR" fld="1" subtotal="count" baseField="0" baseItem="0"/>
  </dataFields>
  <chartFormats count="17">
    <chartFormat chart="0" format="0" series="1">
      <pivotArea type="data" outline="0" fieldPosition="0">
        <references count="1">
          <reference field="4294967294" count="1" selected="0">
            <x v="0"/>
          </reference>
        </references>
      </pivotArea>
    </chartFormat>
    <chartFormat chart="0" format="6" series="1">
      <pivotArea type="data" outline="0" fieldPosition="0">
        <references count="2">
          <reference field="4294967294" count="1" selected="0">
            <x v="0"/>
          </reference>
          <reference field="18" count="1" selected="0">
            <x v="5"/>
          </reference>
        </references>
      </pivotArea>
    </chartFormat>
    <chartFormat chart="0" format="7" series="1">
      <pivotArea type="data" outline="0" fieldPosition="0">
        <references count="2">
          <reference field="4294967294" count="1" selected="0">
            <x v="0"/>
          </reference>
          <reference field="18" count="1" selected="0">
            <x v="0"/>
          </reference>
        </references>
      </pivotArea>
    </chartFormat>
    <chartFormat chart="0" format="8" series="1">
      <pivotArea type="data" outline="0" fieldPosition="0">
        <references count="2">
          <reference field="4294967294" count="1" selected="0">
            <x v="0"/>
          </reference>
          <reference field="18" count="1" selected="0">
            <x v="2"/>
          </reference>
        </references>
      </pivotArea>
    </chartFormat>
    <chartFormat chart="0" format="9" series="1">
      <pivotArea type="data" outline="0" fieldPosition="0">
        <references count="2">
          <reference field="4294967294" count="1" selected="0">
            <x v="0"/>
          </reference>
          <reference field="18" count="1" selected="0">
            <x v="1"/>
          </reference>
        </references>
      </pivotArea>
    </chartFormat>
    <chartFormat chart="0" format="10" series="1">
      <pivotArea type="data" outline="0" fieldPosition="0">
        <references count="2">
          <reference field="4294967294" count="1" selected="0">
            <x v="0"/>
          </reference>
          <reference field="18" count="1" selected="0">
            <x v="4"/>
          </reference>
        </references>
      </pivotArea>
    </chartFormat>
    <chartFormat chart="0" format="11" series="1">
      <pivotArea type="data" outline="0" fieldPosition="0">
        <references count="2">
          <reference field="4294967294" count="1" selected="0">
            <x v="0"/>
          </reference>
          <reference field="18" count="1" selected="0">
            <x v="3"/>
          </reference>
        </references>
      </pivotArea>
    </chartFormat>
    <chartFormat chart="0" format="12" series="1">
      <pivotArea type="data" outline="0" fieldPosition="0">
        <references count="2">
          <reference field="4294967294" count="1" selected="0">
            <x v="0"/>
          </reference>
          <reference field="18" count="1" selected="0">
            <x v="6"/>
          </reference>
        </references>
      </pivotArea>
    </chartFormat>
    <chartFormat chart="0" format="13" series="1">
      <pivotArea type="data" outline="0" fieldPosition="0">
        <references count="2">
          <reference field="4294967294" count="1" selected="0">
            <x v="0"/>
          </reference>
          <reference field="18" count="1" selected="0">
            <x v="13"/>
          </reference>
        </references>
      </pivotArea>
    </chartFormat>
    <chartFormat chart="0" format="14" series="1">
      <pivotArea type="data" outline="0" fieldPosition="0">
        <references count="2">
          <reference field="4294967294" count="1" selected="0">
            <x v="0"/>
          </reference>
          <reference field="18" count="1" selected="0">
            <x v="11"/>
          </reference>
        </references>
      </pivotArea>
    </chartFormat>
    <chartFormat chart="0" format="15" series="1">
      <pivotArea type="data" outline="0" fieldPosition="0">
        <references count="2">
          <reference field="4294967294" count="1" selected="0">
            <x v="0"/>
          </reference>
          <reference field="18" count="1" selected="0">
            <x v="9"/>
          </reference>
        </references>
      </pivotArea>
    </chartFormat>
    <chartFormat chart="0" format="16" series="1">
      <pivotArea type="data" outline="0" fieldPosition="0">
        <references count="2">
          <reference field="4294967294" count="1" selected="0">
            <x v="0"/>
          </reference>
          <reference field="18" count="1" selected="0">
            <x v="14"/>
          </reference>
        </references>
      </pivotArea>
    </chartFormat>
    <chartFormat chart="0" format="17" series="1">
      <pivotArea type="data" outline="0" fieldPosition="0">
        <references count="2">
          <reference field="4294967294" count="1" selected="0">
            <x v="0"/>
          </reference>
          <reference field="18" count="1" selected="0">
            <x v="10"/>
          </reference>
        </references>
      </pivotArea>
    </chartFormat>
    <chartFormat chart="0" format="18" series="1">
      <pivotArea type="data" outline="0" fieldPosition="0">
        <references count="2">
          <reference field="4294967294" count="1" selected="0">
            <x v="0"/>
          </reference>
          <reference field="18" count="1" selected="0">
            <x v="15"/>
          </reference>
        </references>
      </pivotArea>
    </chartFormat>
    <chartFormat chart="0" format="19" series="1">
      <pivotArea type="data" outline="0" fieldPosition="0">
        <references count="2">
          <reference field="4294967294" count="1" selected="0">
            <x v="0"/>
          </reference>
          <reference field="18" count="1" selected="0">
            <x v="12"/>
          </reference>
        </references>
      </pivotArea>
    </chartFormat>
    <chartFormat chart="0" format="20" series="1">
      <pivotArea type="data" outline="0" fieldPosition="0">
        <references count="2">
          <reference field="4294967294" count="1" selected="0">
            <x v="0"/>
          </reference>
          <reference field="18" count="1" selected="0">
            <x v="7"/>
          </reference>
        </references>
      </pivotArea>
    </chartFormat>
    <chartFormat chart="0" format="21" series="1">
      <pivotArea type="data" outline="0" fieldPosition="0">
        <references count="2">
          <reference field="4294967294" count="1" selected="0">
            <x v="0"/>
          </reference>
          <reference field="18" count="1" selected="0">
            <x v="8"/>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F565B112-E993-417D-925F-1C282D9A8E28}" name="Crash_Type"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AO2:BC170"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sortType="descending" rankBy="0">
      <items count="15">
        <item x="2"/>
        <item x="4"/>
        <item x="10"/>
        <item x="7"/>
        <item x="9"/>
        <item x="0"/>
        <item x="13"/>
        <item x="1"/>
        <item x="3"/>
        <item x="5"/>
        <item x="6"/>
        <item x="8"/>
        <item x="11"/>
        <item x="1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12"/>
  </colFields>
  <colItems count="14">
    <i>
      <x/>
    </i>
    <i>
      <x v="1"/>
    </i>
    <i>
      <x v="2"/>
    </i>
    <i>
      <x v="7"/>
    </i>
    <i>
      <x v="4"/>
    </i>
    <i>
      <x v="5"/>
    </i>
    <i>
      <x v="10"/>
    </i>
    <i>
      <x v="3"/>
    </i>
    <i>
      <x v="12"/>
    </i>
    <i>
      <x v="9"/>
    </i>
    <i>
      <x v="8"/>
    </i>
    <i>
      <x v="11"/>
    </i>
    <i>
      <x v="13"/>
    </i>
    <i>
      <x v="6"/>
    </i>
  </colItems>
  <dataFields count="1">
    <dataField name="Count of ACCIDENTS_POINTS_NBR" fld="1" subtotal="count" baseField="0" baseItem="0"/>
  </dataFields>
  <chartFormats count="1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2" count="1" selected="0">
            <x v="5"/>
          </reference>
        </references>
      </pivotArea>
    </chartFormat>
    <chartFormat chart="0" format="2" series="1">
      <pivotArea type="data" outline="0" fieldPosition="0">
        <references count="2">
          <reference field="4294967294" count="1" selected="0">
            <x v="0"/>
          </reference>
          <reference field="12" count="1" selected="0">
            <x v="3"/>
          </reference>
        </references>
      </pivotArea>
    </chartFormat>
    <chartFormat chart="0" format="3" series="1">
      <pivotArea type="data" outline="0" fieldPosition="0">
        <references count="2">
          <reference field="4294967294" count="1" selected="0">
            <x v="0"/>
          </reference>
          <reference field="12" count="1" selected="0">
            <x v="6"/>
          </reference>
        </references>
      </pivotArea>
    </chartFormat>
    <chartFormat chart="0" format="4" series="1">
      <pivotArea type="data" outline="0" fieldPosition="0">
        <references count="2">
          <reference field="4294967294" count="1" selected="0">
            <x v="0"/>
          </reference>
          <reference field="12" count="1" selected="0">
            <x v="2"/>
          </reference>
        </references>
      </pivotArea>
    </chartFormat>
    <chartFormat chart="0" format="5" series="1">
      <pivotArea type="data" outline="0" fieldPosition="0">
        <references count="2">
          <reference field="4294967294" count="1" selected="0">
            <x v="0"/>
          </reference>
          <reference field="12" count="1" selected="0">
            <x v="0"/>
          </reference>
        </references>
      </pivotArea>
    </chartFormat>
    <chartFormat chart="0" format="6" series="1">
      <pivotArea type="data" outline="0" fieldPosition="0">
        <references count="2">
          <reference field="4294967294" count="1" selected="0">
            <x v="0"/>
          </reference>
          <reference field="12" count="1" selected="0">
            <x v="4"/>
          </reference>
        </references>
      </pivotArea>
    </chartFormat>
    <chartFormat chart="0" format="7" series="1">
      <pivotArea type="data" outline="0" fieldPosition="0">
        <references count="2">
          <reference field="4294967294" count="1" selected="0">
            <x v="0"/>
          </reference>
          <reference field="12" count="1" selected="0">
            <x v="1"/>
          </reference>
        </references>
      </pivotArea>
    </chartFormat>
    <chartFormat chart="0" format="8" series="1">
      <pivotArea type="data" outline="0" fieldPosition="0">
        <references count="2">
          <reference field="4294967294" count="1" selected="0">
            <x v="0"/>
          </reference>
          <reference field="12" count="1" selected="0">
            <x v="12"/>
          </reference>
        </references>
      </pivotArea>
    </chartFormat>
    <chartFormat chart="0" format="9" series="1">
      <pivotArea type="data" outline="0" fieldPosition="0">
        <references count="2">
          <reference field="4294967294" count="1" selected="0">
            <x v="0"/>
          </reference>
          <reference field="12" count="1" selected="0">
            <x v="9"/>
          </reference>
        </references>
      </pivotArea>
    </chartFormat>
    <chartFormat chart="0" format="10" series="1">
      <pivotArea type="data" outline="0" fieldPosition="0">
        <references count="2">
          <reference field="4294967294" count="1" selected="0">
            <x v="0"/>
          </reference>
          <reference field="12" count="1" selected="0">
            <x v="8"/>
          </reference>
        </references>
      </pivotArea>
    </chartFormat>
    <chartFormat chart="0" format="11" series="1">
      <pivotArea type="data" outline="0" fieldPosition="0">
        <references count="2">
          <reference field="4294967294" count="1" selected="0">
            <x v="0"/>
          </reference>
          <reference field="12" count="1" selected="0">
            <x v="11"/>
          </reference>
        </references>
      </pivotArea>
    </chartFormat>
    <chartFormat chart="0" format="12" series="1">
      <pivotArea type="data" outline="0" fieldPosition="0">
        <references count="2">
          <reference field="4294967294" count="1" selected="0">
            <x v="0"/>
          </reference>
          <reference field="12" count="1" selected="0">
            <x v="13"/>
          </reference>
        </references>
      </pivotArea>
    </chartFormat>
    <chartFormat chart="0" format="13" series="1">
      <pivotArea type="data" outline="0" fieldPosition="0">
        <references count="2">
          <reference field="4294967294" count="1" selected="0">
            <x v="0"/>
          </reference>
          <reference field="12" count="1" selected="0">
            <x v="7"/>
          </reference>
        </references>
      </pivotArea>
    </chartFormat>
    <chartFormat chart="0" format="14" series="1">
      <pivotArea type="data" outline="0" fieldPosition="0">
        <references count="2">
          <reference field="4294967294" count="1" selected="0">
            <x v="0"/>
          </reference>
          <reference field="12" count="1" selected="0">
            <x v="1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5.xml><?xml version="1.0" encoding="utf-8"?>
<pivotTableDefinition xmlns="http://schemas.openxmlformats.org/spreadsheetml/2006/main" xmlns:mc="http://schemas.openxmlformats.org/markup-compatibility/2006" xmlns:xr="http://schemas.microsoft.com/office/spreadsheetml/2014/revision" mc:Ignorable="xr" xr:uid="{808EDDCC-C511-4BB0-9A7B-1AF698841907}" name="Logpoint_Severity" cacheId="2" dataOnRows="1" applyNumberFormats="0" applyBorderFormats="0" applyFontFormats="0" applyPatternFormats="0" applyAlignmentFormats="0" applyWidthHeightFormats="1" dataCaption="Data" updatedVersion="8" showItems="0" showMultipleLabel="0" showMemberPropertyTips="0" useAutoFormatting="1" colGrandTotals="0" itemPrintTitles="1" showDropZones="0" indent="0" compact="0" compactData="0" gridDropZones="1" chartFormat="1">
  <location ref="AJ2:AK170"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sortType="descending" rankBy="0">
      <items count="4">
        <item m="1" x="1"/>
        <item m="1" x="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14"/>
  </colFields>
  <colItems count="1">
    <i>
      <x v="2"/>
    </i>
  </colItems>
  <dataFields count="1">
    <dataField name="Count of ACCIDENTS_POINTS_NBR" fld="1" subtotal="count"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4" count="1" selected="0">
            <x v="0"/>
          </reference>
        </references>
      </pivotArea>
    </chartFormat>
    <chartFormat chart="0" format="2" series="1">
      <pivotArea type="data" outline="0" fieldPosition="0">
        <references count="2">
          <reference field="4294967294" count="1" selected="0">
            <x v="0"/>
          </reference>
          <reference field="14"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6.xml><?xml version="1.0" encoding="utf-8"?>
<pivotTableDefinition xmlns="http://schemas.openxmlformats.org/spreadsheetml/2006/main" xmlns:mc="http://schemas.openxmlformats.org/markup-compatibility/2006" xmlns:xr="http://schemas.microsoft.com/office/spreadsheetml/2014/revision" mc:Ignorable="xr" xr:uid="{723405F7-78D2-4475-B630-B9D8B890C4F1}" name="Direction_To1"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A690:J858"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axis="axisCol" compact="0" outline="0" subtotalTop="0" showAll="0" includeNewItemsInFilter="1" sortType="descending" rankBy="0">
      <items count="10">
        <item x="5"/>
        <item x="2"/>
        <item x="1"/>
        <item x="0"/>
        <item x="3"/>
        <item x="4"/>
        <item x="6"/>
        <item x="7"/>
        <item x="8"/>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23"/>
  </colFields>
  <colItems count="9">
    <i>
      <x v="3"/>
    </i>
    <i>
      <x v="1"/>
    </i>
    <i>
      <x/>
    </i>
    <i>
      <x v="2"/>
    </i>
    <i>
      <x v="4"/>
    </i>
    <i>
      <x v="7"/>
    </i>
    <i>
      <x v="5"/>
    </i>
    <i>
      <x v="6"/>
    </i>
    <i>
      <x v="8"/>
    </i>
  </colItems>
  <dataFields count="1">
    <dataField name="Count of ACCIDENTS_POINTS_NBR" fld="1" subtotal="count" baseField="0" baseItem="0"/>
  </dataFields>
  <chartFormats count="1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3" count="1" selected="0">
            <x v="3"/>
          </reference>
        </references>
      </pivotArea>
    </chartFormat>
    <chartFormat chart="0" format="2" series="1">
      <pivotArea type="data" outline="0" fieldPosition="0">
        <references count="2">
          <reference field="4294967294" count="1" selected="0">
            <x v="0"/>
          </reference>
          <reference field="23" count="1" selected="0">
            <x v="0"/>
          </reference>
        </references>
      </pivotArea>
    </chartFormat>
    <chartFormat chart="0" format="3" series="1">
      <pivotArea type="data" outline="0" fieldPosition="0">
        <references count="2">
          <reference field="4294967294" count="1" selected="0">
            <x v="0"/>
          </reference>
          <reference field="23" count="1" selected="0">
            <x v="2"/>
          </reference>
        </references>
      </pivotArea>
    </chartFormat>
    <chartFormat chart="0" format="5" series="1">
      <pivotArea type="data" outline="0" fieldPosition="0">
        <references count="2">
          <reference field="4294967294" count="1" selected="0">
            <x v="0"/>
          </reference>
          <reference field="23" count="1" selected="0">
            <x v="1"/>
          </reference>
        </references>
      </pivotArea>
    </chartFormat>
    <chartFormat chart="0" format="6" series="1">
      <pivotArea type="data" outline="0" fieldPosition="0">
        <references count="2">
          <reference field="4294967294" count="1" selected="0">
            <x v="0"/>
          </reference>
          <reference field="23" count="1" selected="0">
            <x v="4"/>
          </reference>
        </references>
      </pivotArea>
    </chartFormat>
    <chartFormat chart="0" format="7" series="1">
      <pivotArea type="data" outline="0" fieldPosition="0">
        <references count="2">
          <reference field="4294967294" count="1" selected="0">
            <x v="0"/>
          </reference>
          <reference field="23" count="1" selected="0">
            <x v="7"/>
          </reference>
        </references>
      </pivotArea>
    </chartFormat>
    <chartFormat chart="0" format="8" series="1">
      <pivotArea type="data" outline="0" fieldPosition="0">
        <references count="2">
          <reference field="4294967294" count="1" selected="0">
            <x v="0"/>
          </reference>
          <reference field="23" count="1" selected="0">
            <x v="5"/>
          </reference>
        </references>
      </pivotArea>
    </chartFormat>
    <chartFormat chart="0" format="9" series="1">
      <pivotArea type="data" outline="0" fieldPosition="0">
        <references count="2">
          <reference field="4294967294" count="1" selected="0">
            <x v="0"/>
          </reference>
          <reference field="23" count="1" selected="0">
            <x v="6"/>
          </reference>
        </references>
      </pivotArea>
    </chartFormat>
    <chartFormat chart="0" format="10" series="1">
      <pivotArea type="data" outline="0" fieldPosition="0">
        <references count="2">
          <reference field="4294967294" count="1" selected="0">
            <x v="0"/>
          </reference>
          <reference field="23" count="1" selected="0">
            <x v="8"/>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7.xml><?xml version="1.0" encoding="utf-8"?>
<pivotTableDefinition xmlns="http://schemas.openxmlformats.org/spreadsheetml/2006/main" xmlns:mc="http://schemas.openxmlformats.org/markup-compatibility/2006" xmlns:xr="http://schemas.microsoft.com/office/spreadsheetml/2014/revision" mc:Ignorable="xr" xr:uid="{BE11C834-CD68-4F12-976D-AFD4C9EBAB74}" name="Light_Condition"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BP2:BU170"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sortType="descending" rankBy="0">
      <items count="6">
        <item x="3"/>
        <item x="2"/>
        <item x="0"/>
        <item x="1"/>
        <item x="4"/>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11"/>
  </colFields>
  <colItems count="5">
    <i>
      <x v="1"/>
    </i>
    <i>
      <x/>
    </i>
    <i>
      <x v="2"/>
    </i>
    <i>
      <x v="3"/>
    </i>
    <i>
      <x v="4"/>
    </i>
  </colItems>
  <dataFields count="1">
    <dataField name="Count of ACCIDENTS_POINTS_NBR" fld="1" subtotal="count" baseField="0"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1" count="1" selected="0">
            <x v="0"/>
          </reference>
        </references>
      </pivotArea>
    </chartFormat>
    <chartFormat chart="0" format="2" series="1">
      <pivotArea type="data" outline="0" fieldPosition="0">
        <references count="2">
          <reference field="4294967294" count="1" selected="0">
            <x v="0"/>
          </reference>
          <reference field="11" count="1" selected="0">
            <x v="1"/>
          </reference>
        </references>
      </pivotArea>
    </chartFormat>
    <chartFormat chart="0" format="3" series="1">
      <pivotArea type="data" outline="0" fieldPosition="0">
        <references count="2">
          <reference field="4294967294" count="1" selected="0">
            <x v="0"/>
          </reference>
          <reference field="11" count="1" selected="0">
            <x v="2"/>
          </reference>
        </references>
      </pivotArea>
    </chartFormat>
    <chartFormat chart="0" format="4" series="1">
      <pivotArea type="data" outline="0" fieldPosition="0">
        <references count="2">
          <reference field="4294967294" count="1" selected="0">
            <x v="0"/>
          </reference>
          <reference field="11" count="1" selected="0">
            <x v="3"/>
          </reference>
        </references>
      </pivotArea>
    </chartFormat>
    <chartFormat chart="0" format="5" series="1">
      <pivotArea type="data" outline="0" fieldPosition="0">
        <references count="2">
          <reference field="4294967294" count="1" selected="0">
            <x v="0"/>
          </reference>
          <reference field="11" count="1" selected="0">
            <x v="4"/>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8.xml><?xml version="1.0" encoding="utf-8"?>
<pivotTableDefinition xmlns="http://schemas.openxmlformats.org/spreadsheetml/2006/main" xmlns:mc="http://schemas.openxmlformats.org/markup-compatibility/2006" xmlns:xr="http://schemas.microsoft.com/office/spreadsheetml/2014/revision" mc:Ignorable="xr" xr:uid="{588B12DE-BD24-4177-9867-BF13F7393700}" name="Action1" cacheId="2" dataOnRows="1" applyNumberFormats="0" applyBorderFormats="0" applyFontFormats="0" applyPatternFormats="0" applyAlignmentFormats="0" applyWidthHeightFormats="1" dataCaption="Data" updatedVersion="8" showMemberPropertyTips="0" useAutoFormatting="1" colGrandTotals="0" itemPrintTitles="1" showDropZones="0" createdVersion="1" indent="0" compact="0" compactData="0" gridDropZones="1" chartFormat="1">
  <location ref="DG2:DU170" firstHeaderRow="1" firstDataRow="2" firstDataCol="1"/>
  <pivotFields count="116">
    <pivotField compact="0" outline="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185">
        <item m="1" x="166"/>
        <item m="1" x="167"/>
        <item m="1" x="168"/>
        <item m="1" x="169"/>
        <item m="1" x="170"/>
        <item m="1" x="171"/>
        <item m="1" x="172"/>
        <item m="1" x="173"/>
        <item m="1" x="174"/>
        <item m="1" x="175"/>
        <item m="1" x="176"/>
        <item m="1" x="177"/>
        <item m="1" x="178"/>
        <item m="1" x="179"/>
        <item m="1" x="180"/>
        <item m="1" x="181"/>
        <item x="155"/>
        <item m="1" x="182"/>
        <item m="1" x="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sortType="descending" rankBy="0">
      <items count="15">
        <item x="0"/>
        <item x="2"/>
        <item x="12"/>
        <item x="1"/>
        <item x="3"/>
        <item x="4"/>
        <item x="5"/>
        <item x="6"/>
        <item x="7"/>
        <item x="8"/>
        <item x="9"/>
        <item x="10"/>
        <item x="11"/>
        <item x="13"/>
        <item t="default"/>
      </items>
      <autoSortScope>
        <pivotArea dataOnly="0" outline="0" fieldPosition="0">
          <references count="1">
            <reference field="4294967294" count="1" selected="0">
              <x v="0"/>
            </reference>
          </references>
        </pivotArea>
      </autoSortScope>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
  </rowFields>
  <rowItems count="167">
    <i>
      <x v="16"/>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t="grand">
      <x/>
    </i>
  </rowItems>
  <colFields count="1">
    <field x="19"/>
  </colFields>
  <colItems count="14">
    <i>
      <x/>
    </i>
    <i>
      <x v="3"/>
    </i>
    <i>
      <x v="1"/>
    </i>
    <i>
      <x v="5"/>
    </i>
    <i>
      <x v="4"/>
    </i>
    <i>
      <x v="8"/>
    </i>
    <i>
      <x v="12"/>
    </i>
    <i>
      <x v="7"/>
    </i>
    <i>
      <x v="11"/>
    </i>
    <i>
      <x v="10"/>
    </i>
    <i>
      <x v="2"/>
    </i>
    <i>
      <x v="9"/>
    </i>
    <i>
      <x v="13"/>
    </i>
    <i>
      <x v="6"/>
    </i>
  </colItems>
  <dataFields count="1">
    <dataField name="Count of ACCIDENTS_POINTS_NBR" fld="1" subtotal="count" baseField="0" baseItem="0"/>
  </dataFields>
  <chartFormats count="1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9" count="1" selected="0">
            <x v="0"/>
          </reference>
        </references>
      </pivotArea>
    </chartFormat>
    <chartFormat chart="0" format="3" series="1">
      <pivotArea type="data" outline="0" fieldPosition="0">
        <references count="2">
          <reference field="4294967294" count="1" selected="0">
            <x v="0"/>
          </reference>
          <reference field="19" count="1" selected="0">
            <x v="1"/>
          </reference>
        </references>
      </pivotArea>
    </chartFormat>
    <chartFormat chart="0" format="6" series="1">
      <pivotArea type="data" outline="0" fieldPosition="0">
        <references count="2">
          <reference field="4294967294" count="1" selected="0">
            <x v="0"/>
          </reference>
          <reference field="19" count="1" selected="0">
            <x v="2"/>
          </reference>
        </references>
      </pivotArea>
    </chartFormat>
    <chartFormat chart="0" format="7" series="1">
      <pivotArea type="data" outline="0" fieldPosition="0">
        <references count="2">
          <reference field="4294967294" count="1" selected="0">
            <x v="0"/>
          </reference>
          <reference field="19" count="1" selected="0">
            <x v="5"/>
          </reference>
        </references>
      </pivotArea>
    </chartFormat>
    <chartFormat chart="0" format="8" series="1">
      <pivotArea type="data" outline="0" fieldPosition="0">
        <references count="2">
          <reference field="4294967294" count="1" selected="0">
            <x v="0"/>
          </reference>
          <reference field="19" count="1" selected="0">
            <x v="4"/>
          </reference>
        </references>
      </pivotArea>
    </chartFormat>
    <chartFormat chart="0" format="9" series="1">
      <pivotArea type="data" outline="0" fieldPosition="0">
        <references count="2">
          <reference field="4294967294" count="1" selected="0">
            <x v="0"/>
          </reference>
          <reference field="19" count="1" selected="0">
            <x v="8"/>
          </reference>
        </references>
      </pivotArea>
    </chartFormat>
    <chartFormat chart="0" format="10" series="1">
      <pivotArea type="data" outline="0" fieldPosition="0">
        <references count="2">
          <reference field="4294967294" count="1" selected="0">
            <x v="0"/>
          </reference>
          <reference field="19" count="1" selected="0">
            <x v="12"/>
          </reference>
        </references>
      </pivotArea>
    </chartFormat>
    <chartFormat chart="0" format="11" series="1">
      <pivotArea type="data" outline="0" fieldPosition="0">
        <references count="2">
          <reference field="4294967294" count="1" selected="0">
            <x v="0"/>
          </reference>
          <reference field="19" count="1" selected="0">
            <x v="7"/>
          </reference>
        </references>
      </pivotArea>
    </chartFormat>
    <chartFormat chart="0" format="12" series="1">
      <pivotArea type="data" outline="0" fieldPosition="0">
        <references count="2">
          <reference field="4294967294" count="1" selected="0">
            <x v="0"/>
          </reference>
          <reference field="19" count="1" selected="0">
            <x v="11"/>
          </reference>
        </references>
      </pivotArea>
    </chartFormat>
    <chartFormat chart="0" format="13" series="1">
      <pivotArea type="data" outline="0" fieldPosition="0">
        <references count="2">
          <reference field="4294967294" count="1" selected="0">
            <x v="0"/>
          </reference>
          <reference field="19" count="1" selected="0">
            <x v="10"/>
          </reference>
        </references>
      </pivotArea>
    </chartFormat>
    <chartFormat chart="0" format="14" series="1">
      <pivotArea type="data" outline="0" fieldPosition="0">
        <references count="2">
          <reference field="4294967294" count="1" selected="0">
            <x v="0"/>
          </reference>
          <reference field="19" count="1" selected="0">
            <x v="9"/>
          </reference>
        </references>
      </pivotArea>
    </chartFormat>
    <chartFormat chart="0" format="15" series="1">
      <pivotArea type="data" outline="0" fieldPosition="0">
        <references count="2">
          <reference field="4294967294" count="1" selected="0">
            <x v="0"/>
          </reference>
          <reference field="19" count="1" selected="0">
            <x v="13"/>
          </reference>
        </references>
      </pivotArea>
    </chartFormat>
    <chartFormat chart="0" format="16" series="1">
      <pivotArea type="data" outline="0" fieldPosition="0">
        <references count="2">
          <reference field="4294967294" count="1" selected="0">
            <x v="0"/>
          </reference>
          <reference field="19" count="1" selected="0">
            <x v="6"/>
          </reference>
        </references>
      </pivotArea>
    </chartFormat>
    <chartFormat chart="0" format="17" series="1">
      <pivotArea type="data" outline="0" fieldPosition="0">
        <references count="2">
          <reference field="4294967294" count="1" selected="0">
            <x v="0"/>
          </reference>
          <reference field="19"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C7BCD1D-97ED-44E8-B8BA-60D4BA32FA3B}" name="PivotTable24"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Contributing Factor">
  <location ref="F134:H152"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44">
        <item m="1" x="34"/>
        <item x="15"/>
        <item m="1" x="23"/>
        <item m="1" x="36"/>
        <item m="1" x="28"/>
        <item x="7"/>
        <item m="1" x="40"/>
        <item m="1" x="37"/>
        <item m="1" x="33"/>
        <item x="13"/>
        <item m="1" x="17"/>
        <item x="9"/>
        <item m="1" x="31"/>
        <item x="5"/>
        <item m="1" x="32"/>
        <item m="1" x="24"/>
        <item x="1"/>
        <item m="1" x="25"/>
        <item x="8"/>
        <item x="16"/>
        <item m="1" x="27"/>
        <item m="1" x="20"/>
        <item x="4"/>
        <item m="1" x="39"/>
        <item m="1" x="35"/>
        <item x="10"/>
        <item m="1" x="26"/>
        <item x="2"/>
        <item m="1" x="38"/>
        <item x="6"/>
        <item m="1" x="29"/>
        <item x="11"/>
        <item x="12"/>
        <item m="1" x="21"/>
        <item x="14"/>
        <item m="1" x="41"/>
        <item x="0"/>
        <item m="1" x="22"/>
        <item m="1" x="42"/>
        <item m="1" x="30"/>
        <item m="1" x="18"/>
        <item m="1" x="19"/>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91"/>
  </rowFields>
  <rowItems count="18">
    <i>
      <x v="5"/>
    </i>
    <i>
      <x v="42"/>
    </i>
    <i>
      <x v="29"/>
    </i>
    <i>
      <x v="22"/>
    </i>
    <i>
      <x v="16"/>
    </i>
    <i>
      <x v="11"/>
    </i>
    <i>
      <x v="31"/>
    </i>
    <i>
      <x v="18"/>
    </i>
    <i>
      <x v="36"/>
    </i>
    <i>
      <x v="9"/>
    </i>
    <i>
      <x v="25"/>
    </i>
    <i>
      <x v="1"/>
    </i>
    <i>
      <x v="13"/>
    </i>
    <i>
      <x v="34"/>
    </i>
    <i>
      <x v="27"/>
    </i>
    <i>
      <x v="32"/>
    </i>
    <i>
      <x v="19"/>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23">
      <pivotArea field="2" type="button" dataOnly="0" labelOnly="1" outline="0"/>
    </format>
    <format dxfId="222">
      <pivotArea dataOnly="0" labelOnly="1" grandRow="1" outline="0" fieldPosition="0"/>
    </format>
    <format dxfId="221">
      <pivotArea outline="0" fieldPosition="0">
        <references count="1">
          <reference field="4294967294" count="1">
            <x v="0"/>
          </reference>
        </references>
      </pivotArea>
    </format>
    <format dxfId="220">
      <pivotArea outline="0" fieldPosition="0">
        <references count="1">
          <reference field="4294967294" count="1">
            <x v="1"/>
          </reference>
        </references>
      </pivotArea>
    </format>
    <format dxfId="21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56A7121-5B30-4EAB-A5D0-F6BD6F026349}" name="PivotTable5"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Day of Week">
  <location ref="B17:D25"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6">
        <item m="1" x="12"/>
        <item m="1" x="14"/>
        <item m="1" x="13"/>
        <item m="1" x="9"/>
        <item m="1" x="11"/>
        <item m="1" x="10"/>
        <item m="1" x="8"/>
        <item x="5"/>
        <item x="4"/>
        <item x="2"/>
        <item x="0"/>
        <item x="1"/>
        <item x="3"/>
        <item x="6"/>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3"/>
  </rowFields>
  <rowItems count="8">
    <i>
      <x v="7"/>
    </i>
    <i>
      <x v="8"/>
    </i>
    <i>
      <x v="9"/>
    </i>
    <i>
      <x v="10"/>
    </i>
    <i>
      <x v="11"/>
    </i>
    <i>
      <x v="12"/>
    </i>
    <i>
      <x v="13"/>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28">
      <pivotArea field="2" type="button" dataOnly="0" labelOnly="1" outline="0"/>
    </format>
    <format dxfId="227">
      <pivotArea dataOnly="0" labelOnly="1" grandRow="1" outline="0" fieldPosition="0"/>
    </format>
    <format dxfId="226">
      <pivotArea outline="0" fieldPosition="0">
        <references count="1">
          <reference field="4294967294" count="1">
            <x v="0"/>
          </reference>
        </references>
      </pivotArea>
    </format>
    <format dxfId="225">
      <pivotArea outline="0" fieldPosition="0">
        <references count="1">
          <reference field="4294967294" count="1">
            <x v="1"/>
          </reference>
        </references>
      </pivotArea>
    </format>
    <format dxfId="22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01887A7-D2EC-4EE7-8618-69E51A74398F}" name="PivotTable36"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Motorcycle Involved">
  <location ref="F124:H127"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4"/>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33">
      <pivotArea field="2" type="button" dataOnly="0" labelOnly="1" outline="0"/>
    </format>
    <format dxfId="232">
      <pivotArea dataOnly="0" labelOnly="1" grandRow="1" outline="0" fieldPosition="0"/>
    </format>
    <format dxfId="231">
      <pivotArea outline="0" fieldPosition="0">
        <references count="1">
          <reference field="4294967294" count="1">
            <x v="0"/>
          </reference>
        </references>
      </pivotArea>
    </format>
    <format dxfId="230">
      <pivotArea outline="0" fieldPosition="0">
        <references count="1">
          <reference field="4294967294" count="1">
            <x v="1"/>
          </reference>
        </references>
      </pivotArea>
    </format>
    <format dxfId="22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1441F61-05F7-425D-A671-9C0877A6D8D0}" name="PivotTable37"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2 Direction From">
  <location ref="B263:D274"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5"/>
        <item x="1"/>
        <item x="0"/>
        <item x="7"/>
        <item x="6"/>
        <item x="4"/>
        <item x="2"/>
        <item x="8"/>
        <item x="9"/>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04"/>
  </rowFields>
  <rowItems count="11">
    <i>
      <x/>
    </i>
    <i>
      <x v="1"/>
    </i>
    <i>
      <x v="2"/>
    </i>
    <i>
      <x v="3"/>
    </i>
    <i>
      <x v="4"/>
    </i>
    <i>
      <x v="5"/>
    </i>
    <i>
      <x v="6"/>
    </i>
    <i>
      <x v="7"/>
    </i>
    <i>
      <x v="8"/>
    </i>
    <i>
      <x v="9"/>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38">
      <pivotArea field="2" type="button" dataOnly="0" labelOnly="1" outline="0"/>
    </format>
    <format dxfId="237">
      <pivotArea dataOnly="0" labelOnly="1" grandRow="1" outline="0" fieldPosition="0"/>
    </format>
    <format dxfId="236">
      <pivotArea outline="0" fieldPosition="0">
        <references count="1">
          <reference field="4294967294" count="1">
            <x v="0"/>
          </reference>
        </references>
      </pivotArea>
    </format>
    <format dxfId="235">
      <pivotArea outline="0" fieldPosition="0">
        <references count="1">
          <reference field="4294967294" count="1">
            <x v="1"/>
          </reference>
        </references>
      </pivotArea>
    </format>
    <format dxfId="23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1C7D85C6-6C9D-4FEB-A1FA-3FBB911BB75F}" name="PivotTable38"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2 Direction To">
  <location ref="F263:H274"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6"/>
        <item x="4"/>
        <item x="5"/>
        <item x="8"/>
        <item x="2"/>
        <item x="0"/>
        <item x="3"/>
        <item x="7"/>
        <item x="9"/>
        <item x="1"/>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05"/>
  </rowFields>
  <rowItems count="11">
    <i>
      <x/>
    </i>
    <i>
      <x v="1"/>
    </i>
    <i>
      <x v="2"/>
    </i>
    <i>
      <x v="3"/>
    </i>
    <i>
      <x v="4"/>
    </i>
    <i>
      <x v="5"/>
    </i>
    <i>
      <x v="6"/>
    </i>
    <i>
      <x v="7"/>
    </i>
    <i>
      <x v="8"/>
    </i>
    <i>
      <x v="9"/>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43">
      <pivotArea field="2" type="button" dataOnly="0" labelOnly="1" outline="0"/>
    </format>
    <format dxfId="242">
      <pivotArea dataOnly="0" labelOnly="1" grandRow="1" outline="0" fieldPosition="0"/>
    </format>
    <format dxfId="241">
      <pivotArea outline="0" fieldPosition="0">
        <references count="1">
          <reference field="4294967294" count="1">
            <x v="0"/>
          </reference>
        </references>
      </pivotArea>
    </format>
    <format dxfId="240">
      <pivotArea outline="0" fieldPosition="0">
        <references count="1">
          <reference field="4294967294" count="1">
            <x v="1"/>
          </reference>
        </references>
      </pivotArea>
    </format>
    <format dxfId="23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50A60B2-83F0-46A8-901E-3C3EBB4225D9}" name="PivotTable4"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Crash Severity">
  <location ref="B8:D14"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axis="axisRow" showAll="0" sortType="ascending">
      <items count="17">
        <item x="4"/>
        <item m="1" x="14"/>
        <item x="3"/>
        <item x="1"/>
        <item x="2"/>
        <item x="0"/>
        <item m="1" x="12"/>
        <item m="1" x="8"/>
        <item m="1" x="7"/>
        <item m="1" x="10"/>
        <item m="1" x="13"/>
        <item m="1" x="11"/>
        <item m="1" x="6"/>
        <item m="1" x="15"/>
        <item m="1" x="9"/>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
  </rowFields>
  <rowItems count="6">
    <i>
      <x/>
    </i>
    <i>
      <x v="2"/>
    </i>
    <i>
      <x v="3"/>
    </i>
    <i>
      <x v="4"/>
    </i>
    <i>
      <x v="5"/>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58">
      <pivotArea field="2" type="button" dataOnly="0" labelOnly="1" outline="0"/>
    </format>
    <format dxfId="157">
      <pivotArea dataOnly="0" labelOnly="1" grandRow="1" outline="0" fieldPosition="0"/>
    </format>
    <format dxfId="156">
      <pivotArea outline="0" fieldPosition="0">
        <references count="1">
          <reference field="4294967294" count="1">
            <x v="0"/>
          </reference>
        </references>
      </pivotArea>
    </format>
    <format dxfId="155">
      <pivotArea outline="0" fieldPosition="0">
        <references count="1">
          <reference field="4294967294" count="1">
            <x v="1"/>
          </reference>
        </references>
      </pivotArea>
    </format>
    <format dxfId="15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B910608-C653-4734-ACA0-8A3558B2C89D}" name="PivotTable25"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Pre-Crash Action">
  <location ref="B134:D148"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m="1" x="20"/>
        <item x="8"/>
        <item x="3"/>
        <item m="1" x="22"/>
        <item m="1" x="14"/>
        <item m="1" x="15"/>
        <item x="5"/>
        <item x="2"/>
        <item x="0"/>
        <item x="7"/>
        <item x="9"/>
        <item x="4"/>
        <item x="11"/>
        <item m="1" x="21"/>
        <item x="12"/>
        <item m="1" x="19"/>
        <item x="10"/>
        <item m="1" x="23"/>
        <item x="6"/>
        <item m="1" x="18"/>
        <item x="1"/>
        <item m="1" x="24"/>
        <item m="1" x="13"/>
        <item m="1" x="26"/>
        <item m="1" x="25"/>
        <item m="1" x="17"/>
        <item m="1" x="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90"/>
  </rowFields>
  <rowItems count="14">
    <i>
      <x v="20"/>
    </i>
    <i>
      <x v="8"/>
    </i>
    <i>
      <x v="2"/>
    </i>
    <i>
      <x v="12"/>
    </i>
    <i>
      <x v="9"/>
    </i>
    <i>
      <x v="6"/>
    </i>
    <i>
      <x v="1"/>
    </i>
    <i>
      <x v="7"/>
    </i>
    <i>
      <x v="11"/>
    </i>
    <i>
      <x v="16"/>
    </i>
    <i>
      <x v="18"/>
    </i>
    <i>
      <x v="10"/>
    </i>
    <i>
      <x v="14"/>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48">
      <pivotArea field="2" type="button" dataOnly="0" labelOnly="1" outline="0"/>
    </format>
    <format dxfId="247">
      <pivotArea dataOnly="0" labelOnly="1" grandRow="1" outline="0" fieldPosition="0"/>
    </format>
    <format dxfId="246">
      <pivotArea outline="0" fieldPosition="0">
        <references count="1">
          <reference field="4294967294" count="1">
            <x v="0"/>
          </reference>
        </references>
      </pivotArea>
    </format>
    <format dxfId="245">
      <pivotArea outline="0" fieldPosition="0">
        <references count="1">
          <reference field="4294967294" count="1">
            <x v="1"/>
          </reference>
        </references>
      </pivotArea>
    </format>
    <format dxfId="24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EA801BA9-5763-4154-8A9A-B748507E904E}" name="PivotTable21"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Speed Related">
  <location ref="B124:D127"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5"/>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53">
      <pivotArea field="2" type="button" dataOnly="0" labelOnly="1" outline="0"/>
    </format>
    <format dxfId="252">
      <pivotArea dataOnly="0" labelOnly="1" grandRow="1" outline="0" fieldPosition="0"/>
    </format>
    <format dxfId="251">
      <pivotArea outline="0" fieldPosition="0">
        <references count="1">
          <reference field="4294967294" count="1">
            <x v="0"/>
          </reference>
        </references>
      </pivotArea>
    </format>
    <format dxfId="250">
      <pivotArea outline="0" fieldPosition="0">
        <references count="1">
          <reference field="4294967294" count="1">
            <x v="1"/>
          </reference>
        </references>
      </pivotArea>
    </format>
    <format dxfId="24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9C215763-F7CF-4AEF-8E3C-BDC5B52C5525}" name="PivotTable26"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Object Struck">
  <location ref="B158:D173"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8">
        <item m="1" x="30"/>
        <item m="1" x="33"/>
        <item m="1" x="24"/>
        <item m="1" x="14"/>
        <item x="12"/>
        <item x="7"/>
        <item m="1" x="27"/>
        <item x="1"/>
        <item m="1" x="15"/>
        <item m="1" x="16"/>
        <item m="1" x="21"/>
        <item x="13"/>
        <item m="1" x="17"/>
        <item x="11"/>
        <item m="1" x="18"/>
        <item x="6"/>
        <item m="1" x="31"/>
        <item m="1" x="22"/>
        <item m="1" x="23"/>
        <item m="1" x="19"/>
        <item m="1" x="28"/>
        <item x="0"/>
        <item m="1" x="20"/>
        <item x="8"/>
        <item x="2"/>
        <item x="9"/>
        <item m="1" x="26"/>
        <item x="3"/>
        <item x="4"/>
        <item m="1" x="35"/>
        <item m="1" x="36"/>
        <item x="5"/>
        <item m="1" x="25"/>
        <item m="1" x="32"/>
        <item x="10"/>
        <item m="1" x="34"/>
        <item m="1" x="2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92"/>
  </rowFields>
  <rowItems count="15">
    <i>
      <x v="21"/>
    </i>
    <i>
      <x v="31"/>
    </i>
    <i>
      <x v="7"/>
    </i>
    <i>
      <x v="28"/>
    </i>
    <i>
      <x v="5"/>
    </i>
    <i>
      <x v="15"/>
    </i>
    <i>
      <x v="25"/>
    </i>
    <i>
      <x v="13"/>
    </i>
    <i>
      <x v="27"/>
    </i>
    <i>
      <x v="11"/>
    </i>
    <i>
      <x v="24"/>
    </i>
    <i>
      <x v="34"/>
    </i>
    <i>
      <x v="4"/>
    </i>
    <i>
      <x v="23"/>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58">
      <pivotArea field="2" type="button" dataOnly="0" labelOnly="1" outline="0"/>
    </format>
    <format dxfId="257">
      <pivotArea dataOnly="0" labelOnly="1" grandRow="1" outline="0" fieldPosition="0"/>
    </format>
    <format dxfId="256">
      <pivotArea outline="0" fieldPosition="0">
        <references count="1">
          <reference field="4294967294" count="1">
            <x v="0"/>
          </reference>
        </references>
      </pivotArea>
    </format>
    <format dxfId="255">
      <pivotArea outline="0" fieldPosition="0">
        <references count="1">
          <reference field="4294967294" count="1">
            <x v="1"/>
          </reference>
        </references>
      </pivotArea>
    </format>
    <format dxfId="25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CCE8A4A-C771-45DB-AC22-5F1B5B4C20E0}" name="PivotTable28"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Posted Speed">
  <location ref="F172:H182"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axis="axisRow" showAll="0" sortType="ascending">
      <items count="8000">
        <item x="2"/>
        <item x="7"/>
        <item x="3"/>
        <item m="1" x="4222"/>
        <item m="1" x="2824"/>
        <item x="6"/>
        <item m="1" x="18"/>
        <item m="1" x="6608"/>
        <item x="1"/>
        <item x="4"/>
        <item m="1" x="3811"/>
        <item m="1" x="3461"/>
        <item x="0"/>
        <item m="1" x="3110"/>
        <item x="8"/>
        <item m="1" x="2063"/>
        <item m="1" x="1714"/>
        <item x="5"/>
        <item m="1" x="1012"/>
        <item m="1" x="11"/>
        <item m="1" x="10"/>
        <item m="1" x="12"/>
        <item m="1" x="9"/>
        <item m="1" x="13"/>
        <item m="1" x="1244"/>
        <item m="1" x="4806"/>
        <item m="1" x="370"/>
        <item m="1" x="3931"/>
        <item m="1" x="7482"/>
        <item m="1" x="3054"/>
        <item m="1" x="6605"/>
        <item m="1" x="2179"/>
        <item m="1" x="5733"/>
        <item m="1" x="1298"/>
        <item m="1" x="4863"/>
        <item m="1" x="4511"/>
        <item m="1" x="2292"/>
        <item m="1" x="74"/>
        <item m="1" x="5848"/>
        <item m="1" x="3631"/>
        <item m="1" x="1416"/>
        <item m="1" x="7187"/>
        <item m="1" x="4980"/>
        <item m="1" x="2758"/>
        <item m="1" x="544"/>
        <item m="1" x="6313"/>
        <item m="1" x="4103"/>
        <item m="1" x="1887"/>
        <item m="1" x="7656"/>
        <item m="1" x="5447"/>
        <item m="1" x="3229"/>
        <item m="1" x="1009"/>
        <item m="1" x="6781"/>
        <item m="1" x="4571"/>
        <item m="1" x="2354"/>
        <item m="1" x="136"/>
        <item m="1" x="5909"/>
        <item m="1" x="3693"/>
        <item m="1" x="1477"/>
        <item m="1" x="7247"/>
        <item m="1" x="5039"/>
        <item m="1" x="6895"/>
        <item m="1" x="5790"/>
        <item m="1" x="4684"/>
        <item m="1" x="3573"/>
        <item m="1" x="2469"/>
        <item m="1" x="1356"/>
        <item m="1" x="251"/>
        <item m="1" x="7125"/>
        <item m="1" x="6023"/>
        <item m="1" x="4920"/>
        <item m="1" x="3807"/>
        <item m="1" x="2697"/>
        <item m="1" x="1591"/>
        <item m="1" x="482"/>
        <item m="1" x="7358"/>
        <item m="1" x="6255"/>
        <item m="1" x="5151"/>
        <item m="1" x="4042"/>
        <item m="1" x="2933"/>
        <item m="1" x="1823"/>
        <item m="1" x="715"/>
        <item m="1" x="7590"/>
        <item m="1" x="6484"/>
        <item m="1" x="5380"/>
        <item m="1" x="4274"/>
        <item m="1" x="3163"/>
        <item m="1" x="2056"/>
        <item m="1" x="944"/>
        <item m="1" x="7823"/>
        <item m="1" x="6719"/>
        <item m="1" x="5613"/>
        <item m="1" x="4508"/>
        <item m="1" x="3396"/>
        <item m="1" x="2288"/>
        <item m="1" x="1179"/>
        <item m="1" x="70"/>
        <item m="1" x="6948"/>
        <item m="1" x="5844"/>
        <item m="1" x="4738"/>
        <item m="1" x="3627"/>
        <item m="1" x="2523"/>
        <item m="1" x="1412"/>
        <item m="1" x="305"/>
        <item m="1" x="7183"/>
        <item m="1" x="6079"/>
        <item m="1" x="4976"/>
        <item m="1" x="3863"/>
        <item m="1" x="2754"/>
        <item m="1" x="1648"/>
        <item m="1" x="540"/>
        <item m="1" x="7417"/>
        <item m="1" x="1854"/>
        <item m="1" x="1296"/>
        <item m="1" x="745"/>
        <item m="1" x="192"/>
        <item m="1" x="7623"/>
        <item m="1" x="7067"/>
        <item m="1" x="6516"/>
        <item m="1" x="5965"/>
        <item m="1" x="5413"/>
        <item m="1" x="4861"/>
        <item m="1" x="4306"/>
        <item m="1" x="3750"/>
        <item m="1" x="3196"/>
        <item m="1" x="2641"/>
        <item m="1" x="2089"/>
        <item m="1" x="1533"/>
        <item m="1" x="976"/>
        <item m="1" x="425"/>
        <item m="1" x="7855"/>
        <item m="1" x="7305"/>
        <item m="1" x="6752"/>
        <item m="1" x="6196"/>
        <item m="1" x="5644"/>
        <item m="1" x="5096"/>
        <item m="1" x="4540"/>
        <item m="1" x="3985"/>
        <item m="1" x="3427"/>
        <item m="1" x="2874"/>
        <item m="1" x="2321"/>
        <item m="1" x="1766"/>
        <item m="1" x="1210"/>
        <item m="1" x="659"/>
        <item m="1" x="104"/>
        <item m="1" x="7535"/>
        <item m="1" x="6980"/>
        <item m="1" x="6428"/>
        <item m="1" x="5878"/>
        <item m="1" x="5327"/>
        <item m="1" x="4771"/>
        <item m="1" x="4215"/>
        <item m="1" x="3659"/>
        <item m="1" x="3104"/>
        <item m="1" x="2554"/>
        <item m="1" x="1998"/>
        <item m="1" x="1442"/>
        <item m="1" x="886"/>
        <item m="1" x="334"/>
        <item m="1" x="7765"/>
        <item m="1" x="7214"/>
        <item m="1" x="6659"/>
        <item m="1" x="6108"/>
        <item m="1" x="5554"/>
        <item m="1" x="5004"/>
        <item m="1" x="4448"/>
        <item m="1" x="3892"/>
        <item m="1" x="3337"/>
        <item m="1" x="2784"/>
        <item m="1" x="2230"/>
        <item m="1" x="1676"/>
        <item m="1" x="1121"/>
        <item m="1" x="571"/>
        <item m="1" x="7997"/>
        <item m="1" x="7447"/>
        <item m="1" x="6892"/>
        <item m="1" x="6340"/>
        <item m="1" x="5787"/>
        <item m="1" x="5236"/>
        <item m="1" x="4680"/>
        <item m="1" x="4128"/>
        <item m="1" x="3569"/>
        <item m="1" x="3018"/>
        <item m="1" x="2465"/>
        <item m="1" x="1910"/>
        <item m="1" x="1352"/>
        <item m="1" x="801"/>
        <item m="1" x="248"/>
        <item m="1" x="7680"/>
        <item m="1" x="7122"/>
        <item m="1" x="6569"/>
        <item m="1" x="6020"/>
        <item m="1" x="5469"/>
        <item m="1" x="4917"/>
        <item m="1" x="4362"/>
        <item m="1" x="3804"/>
        <item m="1" x="3251"/>
        <item m="1" x="2694"/>
        <item m="1" x="2143"/>
        <item m="1" x="1588"/>
        <item m="1" x="1034"/>
        <item m="1" x="480"/>
        <item m="1" x="7909"/>
        <item m="1" x="7356"/>
        <item m="1" x="6806"/>
        <item m="1" x="6253"/>
        <item m="1" x="5700"/>
        <item m="1" x="5149"/>
        <item m="1" x="4594"/>
        <item m="1" x="4040"/>
        <item m="1" x="3482"/>
        <item m="1" x="2931"/>
        <item m="1" x="2378"/>
        <item m="1" x="1821"/>
        <item m="1" x="525"/>
        <item m="1" x="4243"/>
        <item m="1" x="7952"/>
        <item m="1" x="3687"/>
        <item m="1" x="7401"/>
        <item m="1" x="3133"/>
        <item m="1" x="6849"/>
        <item m="1" x="2582"/>
        <item m="1" x="6296"/>
        <item m="1" x="2027"/>
        <item m="1" x="5742"/>
        <item m="1" x="1471"/>
        <item m="1" x="5192"/>
        <item m="1" x="915"/>
        <item m="1" x="4636"/>
        <item m="1" x="363"/>
        <item m="1" x="4083"/>
        <item m="1" x="7793"/>
        <item m="1" x="3525"/>
        <item m="1" x="7243"/>
        <item m="1" x="2975"/>
        <item m="1" x="6688"/>
        <item m="1" x="2423"/>
        <item m="1" x="6137"/>
        <item m="1" x="1868"/>
        <item m="1" x="5584"/>
        <item m="1" x="1311"/>
        <item m="1" x="5034"/>
        <item m="1" x="759"/>
        <item m="1" x="4478"/>
        <item m="1" x="205"/>
        <item m="1" x="3924"/>
        <item m="1" x="7637"/>
        <item m="1" x="3367"/>
        <item m="1" x="7080"/>
        <item m="1" x="2816"/>
        <item m="1" x="6528"/>
        <item m="1" x="2261"/>
        <item m="1" x="5977"/>
        <item m="1" x="1707"/>
        <item m="1" x="5427"/>
        <item m="1" x="1153"/>
        <item m="1" x="4876"/>
        <item m="1" x="602"/>
        <item m="1" x="4320"/>
        <item m="1" x="43"/>
        <item m="1" x="3763"/>
        <item m="1" x="7477"/>
        <item m="1" x="3210"/>
        <item m="1" x="6923"/>
        <item m="1" x="2656"/>
        <item m="1" x="6372"/>
        <item m="1" x="2105"/>
        <item m="1" x="5820"/>
        <item m="1" x="1549"/>
        <item m="1" x="5268"/>
        <item m="1" x="991"/>
        <item m="1" x="440"/>
        <item m="1" x="4160"/>
        <item m="1" x="7870"/>
        <item m="1" x="3602"/>
        <item m="1" x="7318"/>
        <item m="1" x="3050"/>
        <item m="1" x="6765"/>
        <item m="1" x="2498"/>
        <item m="1" x="6210"/>
        <item m="1" x="1942"/>
        <item m="1" x="5659"/>
        <item m="1" x="1385"/>
        <item m="1" x="832"/>
        <item m="1" x="4552"/>
        <item m="1" x="278"/>
        <item m="1" x="3998"/>
        <item m="1" x="7709"/>
        <item m="1" x="3440"/>
        <item m="1" x="7154"/>
        <item m="1" x="2888"/>
        <item m="1" x="6600"/>
        <item m="1" x="2336"/>
        <item m="1" x="6051"/>
        <item m="1" x="1780"/>
        <item m="1" x="1224"/>
        <item m="1" x="4947"/>
        <item m="1" x="673"/>
        <item m="1" x="4393"/>
        <item m="1" x="118"/>
        <item m="1" x="3835"/>
        <item m="1" x="7547"/>
        <item m="1" x="3281"/>
        <item m="1" x="6993"/>
        <item m="1" x="2726"/>
        <item m="1" x="6441"/>
        <item m="1" x="2174"/>
        <item m="1" x="1620"/>
        <item m="1" x="5339"/>
        <item m="1" x="1064"/>
        <item m="1" x="4785"/>
        <item m="1" x="510"/>
        <item m="1" x="4230"/>
        <item m="1" x="7938"/>
        <item m="1" x="3673"/>
        <item m="1" x="7387"/>
        <item m="1" x="3120"/>
        <item m="1" x="6836"/>
        <item m="1" x="2570"/>
        <item m="1" x="2014"/>
        <item m="1" x="5729"/>
        <item m="1" x="1458"/>
        <item m="1" x="5179"/>
        <item m="1" x="901"/>
        <item m="1" x="4623"/>
        <item m="1" x="349"/>
        <item m="1" x="4069"/>
        <item m="1" x="7779"/>
        <item m="1" x="3511"/>
        <item m="1" x="7229"/>
        <item m="1" x="2962"/>
        <item m="1" x="2408"/>
        <item m="1" x="6123"/>
        <item m="1" x="1851"/>
        <item m="1" x="5569"/>
        <item m="1" x="1293"/>
        <item m="1" x="5019"/>
        <item m="1" x="742"/>
        <item m="1" x="4462"/>
        <item m="1" x="189"/>
        <item m="1" x="3908"/>
        <item m="1" x="7620"/>
        <item m="1" x="3353"/>
        <item m="1" x="2801"/>
        <item m="1" x="6513"/>
        <item m="1" x="2246"/>
        <item m="1" x="5962"/>
        <item m="1" x="1692"/>
        <item m="1" x="5410"/>
        <item m="1" x="1137"/>
        <item m="1" x="4858"/>
        <item m="1" x="587"/>
        <item m="1" x="4303"/>
        <item m="1" x="27"/>
        <item m="1" x="3747"/>
        <item m="1" x="3193"/>
        <item m="1" x="6907"/>
        <item m="1" x="2638"/>
        <item m="1" x="6356"/>
        <item m="1" x="2086"/>
        <item m="1" x="5802"/>
        <item m="1" x="1530"/>
        <item m="1" x="5250"/>
        <item m="1" x="973"/>
        <item m="1" x="4696"/>
        <item m="1" x="422"/>
        <item m="1" x="4144"/>
        <item m="1" x="3586"/>
        <item m="1" x="7302"/>
        <item m="1" x="3034"/>
        <item m="1" x="6749"/>
        <item m="1" x="2482"/>
        <item m="1" x="6193"/>
        <item m="1" x="1926"/>
        <item m="1" x="5641"/>
        <item m="1" x="1370"/>
        <item m="1" x="5093"/>
        <item m="1" x="817"/>
        <item m="1" x="4537"/>
        <item m="1" x="3982"/>
        <item m="1" x="7695"/>
        <item m="1" x="3424"/>
        <item m="1" x="7139"/>
        <item m="1" x="2871"/>
        <item m="1" x="6584"/>
        <item m="1" x="2318"/>
        <item m="1" x="6035"/>
        <item m="1" x="1763"/>
        <item m="1" x="5483"/>
        <item m="1" x="1207"/>
        <item m="1" x="4932"/>
        <item m="1" x="4377"/>
        <item m="1" x="101"/>
        <item m="1" x="3820"/>
        <item m="1" x="7532"/>
        <item m="1" x="3266"/>
        <item m="1" x="6977"/>
        <item m="1" x="2711"/>
        <item m="1" x="6425"/>
        <item m="1" x="2159"/>
        <item m="1" x="5875"/>
        <item m="1" x="1605"/>
        <item m="1" x="5324"/>
        <item m="1" x="1049"/>
        <item m="1" x="4768"/>
        <item m="1" x="495"/>
        <item m="1" x="4212"/>
        <item m="1" x="7923"/>
        <item m="1" x="2915"/>
        <item m="1" x="4776"/>
        <item m="1" x="6628"/>
        <item m="1" x="502"/>
        <item m="1" x="2363"/>
        <item m="1" x="4220"/>
        <item m="1" x="6077"/>
        <item m="1" x="7930"/>
        <item m="1" x="1806"/>
        <item m="1" x="3664"/>
        <item m="1" x="5523"/>
        <item m="1" x="7377"/>
        <item m="1" x="1250"/>
        <item m="1" x="3109"/>
        <item m="1" x="4974"/>
        <item m="1" x="6826"/>
        <item m="1" x="699"/>
        <item m="1" x="2559"/>
        <item m="1" x="4418"/>
        <item m="1" x="6273"/>
        <item m="1" x="144"/>
        <item m="1" x="2003"/>
        <item m="1" x="3860"/>
        <item m="1" x="5718"/>
        <item m="1" x="7573"/>
        <item m="1" x="1447"/>
        <item m="1" x="3306"/>
        <item m="1" x="5168"/>
        <item m="1" x="7018"/>
        <item m="1" x="891"/>
        <item m="1" x="2751"/>
        <item m="1" x="4612"/>
        <item m="1" x="6466"/>
        <item m="1" x="339"/>
        <item m="1" x="2200"/>
        <item m="1" x="4059"/>
        <item m="1" x="5916"/>
        <item m="1" x="7769"/>
        <item m="1" x="1645"/>
        <item m="1" x="3501"/>
        <item m="1" x="5364"/>
        <item m="1" x="7218"/>
        <item m="1" x="1090"/>
        <item m="1" x="2951"/>
        <item m="1" x="4811"/>
        <item m="1" x="6663"/>
        <item m="1" x="537"/>
        <item m="1" x="2397"/>
        <item m="1" x="4256"/>
        <item m="1" x="6112"/>
        <item m="1" x="7965"/>
        <item m="1" x="1842"/>
        <item m="1" x="3701"/>
        <item m="1" x="5559"/>
        <item m="1" x="7414"/>
        <item m="1" x="1284"/>
        <item m="1" x="3146"/>
        <item m="1" x="5009"/>
        <item m="1" x="6860"/>
        <item m="1" x="733"/>
        <item m="1" x="2594"/>
        <item m="1" x="4452"/>
        <item m="1" x="6307"/>
        <item m="1" x="179"/>
        <item m="1" x="2039"/>
        <item m="1" x="3897"/>
        <item m="1" x="5755"/>
        <item m="1" x="7609"/>
        <item m="1" x="1485"/>
        <item m="1" x="3342"/>
        <item m="1" x="5205"/>
        <item m="1" x="7054"/>
        <item m="1" x="927"/>
        <item m="1" x="2789"/>
        <item m="1" x="4648"/>
        <item m="1" x="6501"/>
        <item m="1" x="376"/>
        <item m="1" x="2235"/>
        <item m="1" x="4095"/>
        <item m="1" x="5950"/>
        <item m="1" x="7805"/>
        <item m="1" x="1681"/>
        <item m="1" x="3537"/>
        <item m="1" x="5398"/>
        <item m="1" x="7255"/>
        <item m="1" x="1126"/>
        <item m="1" x="2987"/>
        <item m="1" x="4846"/>
        <item m="1" x="6700"/>
        <item m="1" x="575"/>
        <item m="1" x="2433"/>
        <item m="1" x="4292"/>
        <item m="1" x="6148"/>
        <item m="1" x="15"/>
        <item m="1" x="1879"/>
        <item m="1" x="3736"/>
        <item m="1" x="5595"/>
        <item m="1" x="7451"/>
        <item m="1" x="1322"/>
        <item m="1" x="3182"/>
        <item m="1" x="5046"/>
        <item m="1" x="6896"/>
        <item m="1" x="770"/>
        <item m="1" x="2628"/>
        <item m="1" x="4490"/>
        <item m="1" x="6345"/>
        <item m="1" x="217"/>
        <item m="1" x="2077"/>
        <item m="1" x="3937"/>
        <item m="1" x="5792"/>
        <item m="1" x="7648"/>
        <item m="1" x="1521"/>
        <item m="1" x="3379"/>
        <item m="1" x="5240"/>
        <item m="1" x="7091"/>
        <item m="1" x="963"/>
        <item m="1" x="2827"/>
        <item m="1" x="4686"/>
        <item m="1" x="6539"/>
        <item m="1" x="412"/>
        <item m="1" x="2272"/>
        <item m="1" x="4133"/>
        <item m="1" x="5988"/>
        <item m="1" x="7842"/>
        <item m="1" x="1719"/>
        <item m="1" x="3575"/>
        <item m="1" x="5438"/>
        <item m="1" x="7291"/>
        <item m="1" x="1163"/>
        <item m="1" x="3023"/>
        <item m="1" x="4886"/>
        <item m="1" x="6737"/>
        <item m="1" x="612"/>
        <item m="1" x="2471"/>
        <item m="1" x="4330"/>
        <item m="1" x="6181"/>
        <item m="1" x="53"/>
        <item m="1" x="1915"/>
        <item m="1" x="3772"/>
        <item m="1" x="5629"/>
        <item m="1" x="7487"/>
        <item m="1" x="1358"/>
        <item m="1" x="3219"/>
        <item m="1" x="5081"/>
        <item m="1" x="6932"/>
        <item m="1" x="805"/>
        <item m="1" x="2664"/>
        <item m="1" x="4526"/>
        <item m="1" x="6380"/>
        <item m="1" x="253"/>
        <item m="1" x="2113"/>
        <item m="1" x="3971"/>
        <item m="1" x="5828"/>
        <item m="1" x="7683"/>
        <item m="1" x="1557"/>
        <item m="1" x="3413"/>
        <item m="1" x="5276"/>
        <item m="1" x="7127"/>
        <item m="1" x="999"/>
        <item m="1" x="2860"/>
        <item m="1" x="4721"/>
        <item m="1" x="6572"/>
        <item m="1" x="448"/>
        <item m="1" x="2307"/>
        <item m="1" x="4168"/>
        <item m="1" x="6024"/>
        <item m="1" x="7878"/>
        <item m="1" x="1752"/>
        <item m="1" x="3610"/>
        <item m="1" x="5472"/>
        <item m="1" x="7325"/>
        <item m="1" x="1196"/>
        <item m="1" x="3058"/>
        <item m="1" x="4921"/>
        <item m="1" x="6772"/>
        <item m="1" x="646"/>
        <item m="1" x="2506"/>
        <item m="1" x="4365"/>
        <item m="1" x="6218"/>
        <item m="1" x="89"/>
        <item m="1" x="1950"/>
        <item m="1" x="3808"/>
        <item m="1" x="5667"/>
        <item m="1" x="7520"/>
        <item m="1" x="1394"/>
        <item m="1" x="3255"/>
        <item m="1" x="5117"/>
        <item m="1" x="6965"/>
        <item m="1" x="841"/>
        <item m="1" x="2699"/>
        <item m="1" x="4561"/>
        <item m="1" x="6413"/>
        <item m="1" x="287"/>
        <item m="1" x="2147"/>
        <item m="1" x="4006"/>
        <item m="1" x="5863"/>
        <item m="1" x="7718"/>
        <item m="1" x="1593"/>
        <item m="1" x="3449"/>
        <item m="1" x="5312"/>
        <item m="1" x="7164"/>
        <item m="1" x="1037"/>
        <item m="1" x="2897"/>
        <item m="1" x="4757"/>
        <item m="1" x="6611"/>
        <item m="1" x="484"/>
        <item m="1" x="2345"/>
        <item m="1" x="4202"/>
        <item m="1" x="6060"/>
        <item m="1" x="7912"/>
        <item m="1" x="1789"/>
        <item m="1" x="3646"/>
        <item m="1" x="5507"/>
        <item m="1" x="7360"/>
        <item m="1" x="1233"/>
        <item m="1" x="3091"/>
        <item m="1" x="4957"/>
        <item m="1" x="6809"/>
        <item m="1" x="683"/>
        <item m="1" x="2542"/>
        <item m="1" x="4402"/>
        <item m="1" x="6257"/>
        <item m="1" x="128"/>
        <item m="1" x="1986"/>
        <item m="1" x="3845"/>
        <item m="1" x="5703"/>
        <item m="1" x="7557"/>
        <item m="1" x="1431"/>
        <item m="1" x="3291"/>
        <item m="1" x="5153"/>
        <item m="1" x="7003"/>
        <item m="1" x="875"/>
        <item m="1" x="2736"/>
        <item m="1" x="4597"/>
        <item m="1" x="6451"/>
        <item m="1" x="322"/>
        <item m="1" x="2185"/>
        <item m="1" x="4044"/>
        <item m="1" x="5901"/>
        <item m="1" x="7753"/>
        <item m="1" x="1631"/>
        <item m="1" x="3486"/>
        <item m="1" x="5349"/>
        <item m="1" x="7202"/>
        <item m="1" x="1075"/>
        <item m="1" x="2936"/>
        <item m="1" x="4795"/>
        <item m="1" x="6647"/>
        <item m="1" x="521"/>
        <item m="1" x="2382"/>
        <item m="1" x="4240"/>
        <item m="1" x="6096"/>
        <item m="1" x="7948"/>
        <item m="1" x="1826"/>
        <item m="1" x="3683"/>
        <item m="1" x="5542"/>
        <item m="1" x="7397"/>
        <item m="1" x="1268"/>
        <item m="1" x="3129"/>
        <item m="1" x="4993"/>
        <item m="1" x="6845"/>
        <item m="1" x="718"/>
        <item m="1" x="2578"/>
        <item m="1" x="4437"/>
        <item m="1" x="6292"/>
        <item m="1" x="163"/>
        <item m="1" x="2023"/>
        <item m="1" x="3880"/>
        <item m="1" x="5738"/>
        <item m="1" x="7593"/>
        <item m="1" x="1467"/>
        <item m="1" x="3325"/>
        <item m="1" x="5188"/>
        <item m="1" x="7038"/>
        <item m="1" x="911"/>
        <item m="1" x="2773"/>
        <item m="1" x="4633"/>
        <item m="1" x="6487"/>
        <item m="1" x="359"/>
        <item m="1" x="2220"/>
        <item m="1" x="4079"/>
        <item m="1" x="5935"/>
        <item m="1" x="7789"/>
        <item m="1" x="1665"/>
        <item m="1" x="3521"/>
        <item m="1" x="5383"/>
        <item m="1" x="7239"/>
        <item m="1" x="1110"/>
        <item m="1" x="2971"/>
        <item m="1" x="4831"/>
        <item m="1" x="6683"/>
        <item m="1" x="559"/>
        <item m="1" x="2418"/>
        <item m="1" x="4277"/>
        <item m="1" x="6132"/>
        <item m="1" x="7985"/>
        <item m="1" x="1863"/>
        <item m="1" x="3721"/>
        <item m="1" x="5579"/>
        <item m="1" x="7435"/>
        <item m="1" x="1306"/>
        <item m="1" x="3167"/>
        <item m="1" x="5030"/>
        <item m="1" x="6880"/>
        <item m="1" x="754"/>
        <item m="1" x="2614"/>
        <item m="1" x="4473"/>
        <item m="1" x="6328"/>
        <item m="1" x="201"/>
        <item m="1" x="2060"/>
        <item m="1" x="3919"/>
        <item m="1" x="5775"/>
        <item m="1" x="7632"/>
        <item m="1" x="1505"/>
        <item m="1" x="3362"/>
        <item m="1" x="5225"/>
        <item m="1" x="7075"/>
        <item m="1" x="948"/>
        <item m="1" x="2811"/>
        <item m="1" x="4669"/>
        <item m="1" x="6523"/>
        <item m="1" x="397"/>
        <item m="1" x="2256"/>
        <item m="1" x="4117"/>
        <item m="1" x="5972"/>
        <item m="1" x="7827"/>
        <item m="1" x="1702"/>
        <item m="1" x="3558"/>
        <item m="1" x="5422"/>
        <item m="1" x="7277"/>
        <item m="1" x="1148"/>
        <item m="1" x="3009"/>
        <item m="1" x="4871"/>
        <item m="1" x="6723"/>
        <item m="1" x="598"/>
        <item m="1" x="2455"/>
        <item m="1" x="4315"/>
        <item m="1" x="6168"/>
        <item m="1" x="38"/>
        <item m="1" x="1901"/>
        <item m="1" x="3758"/>
        <item m="1" x="5617"/>
        <item m="1" x="7472"/>
        <item m="1" x="1343"/>
        <item m="1" x="3205"/>
        <item m="1" x="5067"/>
        <item m="1" x="6917"/>
        <item m="1" x="791"/>
        <item m="1" x="2650"/>
        <item m="1" x="4513"/>
        <item m="1" x="6366"/>
        <item m="1" x="238"/>
        <item m="1" x="2099"/>
        <item m="1" x="3958"/>
        <item m="1" x="5814"/>
        <item m="1" x="7670"/>
        <item m="1" x="1543"/>
        <item m="1" x="3401"/>
        <item m="1" x="5262"/>
        <item m="1" x="7112"/>
        <item m="1" x="986"/>
        <item m="1" x="2847"/>
        <item m="1" x="4707"/>
        <item m="1" x="6558"/>
        <item m="1" x="434"/>
        <item m="1" x="2294"/>
        <item m="1" x="4154"/>
        <item m="1" x="6009"/>
        <item m="1" x="7864"/>
        <item m="1" x="1739"/>
        <item m="1" x="3596"/>
        <item m="1" x="5459"/>
        <item m="1" x="7312"/>
        <item m="1" x="1184"/>
        <item m="1" x="3044"/>
        <item m="1" x="4907"/>
        <item m="1" x="6759"/>
        <item m="1" x="633"/>
        <item m="1" x="2492"/>
        <item m="1" x="4351"/>
        <item m="1" x="6204"/>
        <item m="1" x="76"/>
        <item m="1" x="1936"/>
        <item m="1" x="3794"/>
        <item m="1" x="5653"/>
        <item m="1" x="7508"/>
        <item m="1" x="1380"/>
        <item m="1" x="3241"/>
        <item m="1" x="5104"/>
        <item m="1" x="6953"/>
        <item m="1" x="827"/>
        <item m="1" x="2684"/>
        <item m="1" x="4547"/>
        <item m="1" x="6400"/>
        <item m="1" x="273"/>
        <item m="1" x="2133"/>
        <item m="1" x="3993"/>
        <item m="1" x="5850"/>
        <item m="1" x="7704"/>
        <item m="1" x="1578"/>
        <item m="1" x="3435"/>
        <item m="1" x="5297"/>
        <item m="1" x="7148"/>
        <item m="1" x="1022"/>
        <item m="1" x="2882"/>
        <item m="1" x="4743"/>
        <item m="1" x="6594"/>
        <item m="1" x="468"/>
        <item m="1" x="2330"/>
        <item m="1" x="4189"/>
        <item m="1" x="5307"/>
        <item m="1" x="6232"/>
        <item m="1" x="7159"/>
        <item m="1" x="105"/>
        <item m="1" x="1032"/>
        <item m="1" x="1964"/>
        <item m="1" x="2893"/>
        <item m="1" x="3823"/>
        <item m="1" x="4753"/>
        <item m="1" x="5681"/>
        <item m="1" x="6606"/>
        <item m="1" x="7536"/>
        <item m="1" x="478"/>
        <item m="1" x="1408"/>
        <item m="1" x="2341"/>
        <item m="1" x="3269"/>
        <item m="1" x="4198"/>
        <item m="1" x="5130"/>
        <item m="1" x="6056"/>
        <item m="1" x="6981"/>
        <item m="1" x="7908"/>
        <item m="1" x="854"/>
        <item m="1" x="1785"/>
        <item m="1" x="2714"/>
        <item m="1" x="3642"/>
        <item m="1" x="4576"/>
        <item m="1" x="5503"/>
        <item m="1" x="6429"/>
        <item m="1" x="7354"/>
        <item m="1" x="301"/>
        <item m="1" x="1229"/>
        <item m="1" x="2162"/>
        <item m="1" x="3087"/>
        <item m="1" x="4020"/>
        <item m="1" x="4952"/>
        <item m="1" x="5879"/>
        <item m="1" x="6803"/>
        <item m="1" x="7731"/>
        <item m="1" x="678"/>
        <item m="1" x="1608"/>
        <item m="1" x="2537"/>
        <item m="1" x="3463"/>
        <item m="1" x="4398"/>
        <item m="1" x="5328"/>
        <item m="1" x="6250"/>
        <item m="1" x="7178"/>
        <item m="1" x="123"/>
        <item m="1" x="1052"/>
        <item m="1" x="1981"/>
        <item m="1" x="2911"/>
        <item m="1" x="3840"/>
        <item m="1" x="4772"/>
        <item m="1" x="5697"/>
        <item m="1" x="6624"/>
        <item m="1" x="7552"/>
        <item m="1" x="498"/>
        <item m="1" x="1426"/>
        <item m="1" x="2359"/>
        <item m="1" x="3286"/>
        <item m="1" x="4216"/>
        <item m="1" x="5146"/>
        <item m="1" x="6073"/>
        <item m="1" x="6998"/>
        <item m="1" x="7926"/>
        <item m="1" x="870"/>
        <item m="1" x="1802"/>
        <item m="1" x="2731"/>
        <item m="1" x="3660"/>
        <item m="1" x="4591"/>
        <item m="1" x="5519"/>
        <item m="1" x="6446"/>
        <item m="1" x="7373"/>
        <item m="1" x="318"/>
        <item m="1" x="1246"/>
        <item m="1" x="2180"/>
        <item m="1" x="3105"/>
        <item m="1" x="4037"/>
        <item m="1" x="4970"/>
        <item m="1" x="5896"/>
        <item m="1" x="6822"/>
        <item m="1" x="7748"/>
        <item m="1" x="695"/>
        <item m="1" x="1625"/>
        <item m="1" x="2555"/>
        <item m="1" x="3479"/>
        <item m="1" x="4414"/>
        <item m="1" x="5344"/>
        <item m="1" x="6269"/>
        <item m="1" x="7196"/>
        <item m="1" x="140"/>
        <item m="1" x="1069"/>
        <item m="1" x="1999"/>
        <item m="1" x="2928"/>
        <item m="1" x="3856"/>
        <item m="1" x="4790"/>
        <item m="1" x="5715"/>
        <item m="1" x="6641"/>
        <item m="1" x="7569"/>
        <item m="1" x="515"/>
        <item m="1" x="1443"/>
        <item m="1" x="2375"/>
        <item m="1" x="3302"/>
        <item m="1" x="4234"/>
        <item m="1" x="5164"/>
        <item m="1" x="6090"/>
        <item m="1" x="7014"/>
        <item m="1" x="7942"/>
        <item m="1" x="887"/>
        <item m="1" x="1818"/>
        <item m="1" x="2747"/>
        <item m="1" x="3677"/>
        <item m="1" x="4608"/>
        <item m="1" x="5536"/>
        <item m="1" x="6462"/>
        <item m="1" x="7391"/>
        <item m="1" x="335"/>
        <item m="1" x="1263"/>
        <item m="1" x="2197"/>
        <item m="1" x="3124"/>
        <item m="1" x="4056"/>
        <item m="1" x="4988"/>
        <item m="1" x="5913"/>
        <item m="1" x="6840"/>
        <item m="1" x="7766"/>
        <item m="1" x="712"/>
        <item m="1" x="1642"/>
        <item m="1" x="3498"/>
        <item m="1" x="4432"/>
        <item m="1" x="5361"/>
        <item m="1" x="6287"/>
        <item m="1" x="7215"/>
        <item m="1" x="158"/>
        <item m="1" x="1087"/>
        <item m="1" x="2018"/>
        <item m="1" x="2948"/>
        <item m="1" x="3875"/>
        <item m="1" x="4808"/>
        <item m="1" x="5734"/>
        <item m="1" x="6660"/>
        <item m="1" x="7587"/>
        <item m="1" x="534"/>
        <item m="1" x="1462"/>
        <item m="1" x="2394"/>
        <item m="1" x="3320"/>
        <item m="1" x="4252"/>
        <item m="1" x="5183"/>
        <item m="1" x="6109"/>
        <item m="1" x="7032"/>
        <item m="1" x="7961"/>
        <item m="1" x="905"/>
        <item m="1" x="1838"/>
        <item m="1" x="2767"/>
        <item m="1" x="3697"/>
        <item m="1" x="4627"/>
        <item m="1" x="5555"/>
        <item m="1" x="6480"/>
        <item m="1" x="7410"/>
        <item m="1" x="353"/>
        <item m="1" x="1280"/>
        <item m="1" x="2214"/>
        <item m="1" x="3142"/>
        <item m="1" x="4073"/>
        <item m="1" x="5005"/>
        <item m="1" x="5929"/>
        <item m="1" x="6856"/>
        <item m="1" x="7783"/>
        <item m="1" x="729"/>
        <item m="1" x="1659"/>
        <item m="1" x="2590"/>
        <item m="1" x="3515"/>
        <item m="1" x="4449"/>
        <item m="1" x="5376"/>
        <item m="1" x="6303"/>
        <item m="1" x="7233"/>
        <item m="1" x="175"/>
        <item m="1" x="1104"/>
        <item m="1" x="2035"/>
        <item m="1" x="3893"/>
        <item m="1" x="4825"/>
        <item m="1" x="5751"/>
        <item m="1" x="6677"/>
        <item m="1" x="7605"/>
        <item m="1" x="553"/>
        <item m="1" x="1481"/>
        <item m="1" x="2412"/>
        <item m="1" x="3338"/>
        <item m="1" x="4270"/>
        <item m="1" x="5201"/>
        <item m="1" x="6127"/>
        <item m="1" x="7050"/>
        <item m="1" x="7979"/>
        <item m="1" x="923"/>
        <item m="1" x="1856"/>
        <item m="1" x="2785"/>
        <item m="1" x="3714"/>
        <item m="1" x="4644"/>
        <item m="1" x="5573"/>
        <item m="1" x="6498"/>
        <item m="1" x="7428"/>
        <item m="1" x="372"/>
        <item m="1" x="1299"/>
        <item m="1" x="2231"/>
        <item m="1" x="3159"/>
        <item m="1" x="4091"/>
        <item m="1" x="5023"/>
        <item m="1" x="5946"/>
        <item m="1" x="6873"/>
        <item m="1" x="7801"/>
        <item m="1" x="747"/>
        <item m="1" x="1677"/>
        <item m="1" x="2607"/>
        <item m="1" x="3533"/>
        <item m="1" x="4466"/>
        <item m="1" x="5394"/>
        <item m="1" x="6321"/>
        <item m="1" x="7251"/>
        <item m="1" x="194"/>
        <item m="1" x="1122"/>
        <item m="1" x="2052"/>
        <item m="1" x="2983"/>
        <item m="1" x="3912"/>
        <item m="1" x="4843"/>
        <item m="1" x="5768"/>
        <item m="1" x="6696"/>
        <item m="1" x="7625"/>
        <item m="1" x="572"/>
        <item m="1" x="1499"/>
        <item m="1" x="2430"/>
        <item m="1" x="4289"/>
        <item m="1" x="5219"/>
        <item m="1" x="6145"/>
        <item m="1" x="7069"/>
        <item m="1" x="7998"/>
        <item m="1" x="941"/>
        <item m="1" x="1876"/>
        <item m="1" x="2805"/>
        <item m="1" x="3733"/>
        <item m="1" x="4663"/>
        <item m="1" x="5592"/>
        <item m="1" x="6518"/>
        <item m="1" x="7448"/>
        <item m="1" x="391"/>
        <item m="1" x="1319"/>
        <item m="1" x="2250"/>
        <item m="1" x="3179"/>
        <item m="1" x="4111"/>
        <item m="1" x="5043"/>
        <item m="1" x="5967"/>
        <item m="1" x="6893"/>
        <item m="1" x="7820"/>
        <item m="1" x="767"/>
        <item m="1" x="1696"/>
        <item m="1" x="2625"/>
        <item m="1" x="3552"/>
        <item m="1" x="4486"/>
        <item m="1" x="5415"/>
        <item m="1" x="6341"/>
        <item m="1" x="7270"/>
        <item m="1" x="213"/>
        <item m="1" x="1141"/>
        <item m="1" x="2073"/>
        <item m="1" x="3002"/>
        <item m="1" x="3933"/>
        <item m="1" x="4864"/>
        <item m="1" x="5788"/>
        <item m="1" x="6715"/>
        <item m="1" x="7644"/>
        <item m="1" x="591"/>
        <item m="1" x="1517"/>
        <item m="1" x="2448"/>
        <item m="1" x="3375"/>
        <item m="1" x="4308"/>
        <item m="1" x="5237"/>
        <item m="1" x="6161"/>
        <item m="1" x="7087"/>
        <item m="1" x="31"/>
        <item m="1" x="959"/>
        <item m="1" x="1894"/>
        <item m="1" x="2822"/>
        <item m="1" x="4681"/>
        <item m="1" x="5609"/>
        <item m="1" x="6535"/>
        <item m="1" x="7465"/>
        <item m="1" x="408"/>
        <item m="1" x="1336"/>
        <item m="1" x="2268"/>
        <item m="1" x="3198"/>
        <item m="1" x="4129"/>
        <item m="1" x="5060"/>
        <item m="1" x="5984"/>
        <item m="1" x="6911"/>
        <item m="1" x="7838"/>
        <item m="1" x="784"/>
        <item m="1" x="1715"/>
        <item m="1" x="2643"/>
        <item m="1" x="3570"/>
        <item m="1" x="4504"/>
        <item m="1" x="5434"/>
        <item m="1" x="6360"/>
        <item m="1" x="7288"/>
        <item m="1" x="231"/>
        <item m="1" x="1159"/>
        <item m="1" x="2091"/>
        <item m="1" x="3019"/>
        <item m="1" x="3950"/>
        <item m="1" x="4882"/>
        <item m="1" x="5806"/>
        <item m="1" x="6733"/>
        <item m="1" x="7662"/>
        <item m="1" x="608"/>
        <item m="1" x="1535"/>
        <item m="1" x="2466"/>
        <item m="1" x="3392"/>
        <item m="1" x="4326"/>
        <item m="1" x="5254"/>
        <item m="1" x="6178"/>
        <item m="1" x="7104"/>
        <item m="1" x="49"/>
        <item m="1" x="978"/>
        <item m="1" x="1911"/>
        <item m="1" x="2839"/>
        <item m="1" x="3768"/>
        <item m="1" x="4699"/>
        <item m="1" x="5626"/>
        <item m="1" x="6550"/>
        <item m="1" x="7483"/>
        <item m="1" x="426"/>
        <item m="1" x="1353"/>
        <item m="1" x="2284"/>
        <item m="1" x="3215"/>
        <item m="1" x="5077"/>
        <item m="1" x="6001"/>
        <item m="1" x="6928"/>
        <item m="1" x="7856"/>
        <item m="1" x="802"/>
        <item m="1" x="1732"/>
        <item m="1" x="2661"/>
        <item m="1" x="3589"/>
        <item m="1" x="4523"/>
        <item m="1" x="5452"/>
        <item m="1" x="6377"/>
        <item m="1" x="7306"/>
        <item m="1" x="249"/>
        <item m="1" x="1176"/>
        <item m="1" x="2110"/>
        <item m="1" x="3037"/>
        <item m="1" x="3968"/>
        <item m="1" x="4900"/>
        <item m="1" x="5825"/>
        <item m="1" x="6753"/>
        <item m="1" x="7681"/>
        <item m="1" x="626"/>
        <item m="1" x="1554"/>
        <item m="1" x="2485"/>
        <item m="1" x="3410"/>
        <item m="1" x="4344"/>
        <item m="1" x="5273"/>
        <item m="1" x="6197"/>
        <item m="1" x="7123"/>
        <item m="1" x="67"/>
        <item m="1" x="996"/>
        <item m="1" x="1929"/>
        <item m="1" x="2857"/>
        <item m="1" x="3787"/>
        <item m="1" x="4718"/>
        <item m="1" x="5646"/>
        <item m="1" x="6570"/>
        <item m="1" x="7502"/>
        <item m="1" x="446"/>
        <item m="1" x="1374"/>
        <item m="1" x="2305"/>
        <item m="1" x="3235"/>
        <item m="1" x="4166"/>
        <item m="1" x="5098"/>
        <item m="1" x="6021"/>
        <item m="1" x="6946"/>
        <item m="1" x="7876"/>
        <item m="1" x="821"/>
        <item m="1" x="1750"/>
        <item m="1" x="2678"/>
        <item m="1" x="3608"/>
        <item m="1" x="5470"/>
        <item m="1" x="6394"/>
        <item m="1" x="7323"/>
        <item m="1" x="267"/>
        <item m="1" x="1194"/>
        <item m="1" x="2127"/>
        <item m="1" x="3056"/>
        <item m="1" x="3987"/>
        <item m="1" x="4918"/>
        <item m="1" x="5842"/>
        <item m="1" x="6770"/>
        <item m="1" x="7699"/>
        <item m="1" x="644"/>
        <item m="1" x="1572"/>
        <item m="1" x="2504"/>
        <item m="1" x="3429"/>
        <item m="1" x="4363"/>
        <item m="1" x="5291"/>
        <item m="1" x="6216"/>
        <item m="1" x="7143"/>
        <item m="1" x="87"/>
        <item m="1" x="1016"/>
        <item m="1" x="1948"/>
        <item m="1" x="2876"/>
        <item m="1" x="3805"/>
        <item m="1" x="4736"/>
        <item m="1" x="5665"/>
        <item m="1" x="6588"/>
        <item m="1" x="7518"/>
        <item m="1" x="462"/>
        <item m="1" x="1391"/>
        <item m="1" x="2323"/>
        <item m="1" x="3252"/>
        <item m="1" x="4182"/>
        <item m="1" x="5114"/>
        <item m="1" x="6039"/>
        <item m="1" x="6963"/>
        <item m="1" x="7892"/>
        <item m="1" x="838"/>
        <item m="1" x="1768"/>
        <item m="1" x="2695"/>
        <item m="1" x="3624"/>
        <item m="1" x="4558"/>
        <item m="1" x="5487"/>
        <item m="1" x="6410"/>
        <item m="1" x="7338"/>
        <item m="1" x="284"/>
        <item m="1" x="1212"/>
        <item m="1" x="2144"/>
        <item m="1" x="3071"/>
        <item m="1" x="4004"/>
        <item m="1" x="5860"/>
        <item m="1" x="6787"/>
        <item m="1" x="7715"/>
        <item m="1" x="661"/>
        <item m="1" x="1589"/>
        <item m="1" x="2520"/>
        <item m="1" x="3446"/>
        <item m="1" x="4381"/>
        <item m="1" x="5309"/>
        <item m="1" x="6234"/>
        <item m="1" x="7161"/>
        <item m="1" x="107"/>
        <item m="1" x="1035"/>
        <item m="1" x="1966"/>
        <item m="1" x="2895"/>
        <item m="1" x="3825"/>
        <item m="1" x="4755"/>
        <item m="1" x="5683"/>
        <item m="1" x="6609"/>
        <item m="1" x="7538"/>
        <item m="1" x="481"/>
        <item m="1" x="1410"/>
        <item m="1" x="2343"/>
        <item m="1" x="3271"/>
        <item m="1" x="4200"/>
        <item m="1" x="5132"/>
        <item m="1" x="6058"/>
        <item m="1" x="6983"/>
        <item m="1" x="7910"/>
        <item m="1" x="856"/>
        <item m="1" x="1787"/>
        <item m="1" x="2716"/>
        <item m="1" x="3644"/>
        <item m="1" x="4578"/>
        <item m="1" x="5505"/>
        <item m="1" x="6431"/>
        <item m="1" x="7357"/>
        <item m="1" x="303"/>
        <item m="1" x="1231"/>
        <item m="1" x="2164"/>
        <item m="1" x="3089"/>
        <item m="1" x="4023"/>
        <item m="1" x="4955"/>
        <item m="1" x="5882"/>
        <item m="1" x="6807"/>
        <item m="1" x="7734"/>
        <item m="1" x="681"/>
        <item m="1" x="1611"/>
        <item m="1" x="2540"/>
        <item m="1" x="3466"/>
        <item m="1" x="4401"/>
        <item m="1" x="6254"/>
        <item m="1" x="7181"/>
        <item m="1" x="126"/>
        <item m="1" x="1055"/>
        <item m="1" x="1984"/>
        <item m="1" x="2914"/>
        <item m="1" x="3843"/>
        <item m="1" x="4775"/>
        <item m="1" x="5701"/>
        <item m="1" x="6627"/>
        <item m="1" x="7555"/>
        <item m="1" x="501"/>
        <item m="1" x="1429"/>
        <item m="1" x="2362"/>
        <item m="1" x="3289"/>
        <item m="1" x="4219"/>
        <item m="1" x="5150"/>
        <item m="1" x="6076"/>
        <item m="1" x="7001"/>
        <item m="1" x="7929"/>
        <item m="1" x="873"/>
        <item m="1" x="1805"/>
        <item m="1" x="2734"/>
        <item m="1" x="3663"/>
        <item m="1" x="4595"/>
        <item m="1" x="5522"/>
        <item m="1" x="6449"/>
        <item m="1" x="7376"/>
        <item m="1" x="320"/>
        <item m="1" x="1249"/>
        <item m="1" x="2183"/>
        <item m="1" x="3108"/>
        <item m="1" x="4041"/>
        <item m="1" x="4973"/>
        <item m="1" x="5899"/>
        <item m="1" x="6825"/>
        <item m="1" x="7751"/>
        <item m="1" x="698"/>
        <item m="1" x="1628"/>
        <item m="1" x="2558"/>
        <item m="1" x="3483"/>
        <item m="1" x="4417"/>
        <item m="1" x="5347"/>
        <item m="1" x="6272"/>
        <item m="1" x="7199"/>
        <item m="1" x="143"/>
        <item m="1" x="1072"/>
        <item m="1" x="2002"/>
        <item m="1" x="2932"/>
        <item m="1" x="3859"/>
        <item m="1" x="4793"/>
        <item m="1" x="6644"/>
        <item m="1" x="7572"/>
        <item m="1" x="518"/>
        <item m="1" x="1446"/>
        <item m="1" x="2379"/>
        <item m="1" x="3305"/>
        <item m="1" x="4237"/>
        <item m="1" x="5167"/>
        <item m="1" x="6093"/>
        <item m="1" x="7017"/>
        <item m="1" x="7945"/>
        <item m="1" x="890"/>
        <item m="1" x="1822"/>
        <item m="1" x="2750"/>
        <item m="1" x="3680"/>
        <item m="1" x="4611"/>
        <item m="1" x="5539"/>
        <item m="1" x="6465"/>
        <item m="1" x="7394"/>
        <item m="1" x="338"/>
        <item m="1" x="1265"/>
        <item m="1" x="2199"/>
        <item m="1" x="3126"/>
        <item m="1" x="4058"/>
        <item m="1" x="4990"/>
        <item m="1" x="5915"/>
        <item m="1" x="6842"/>
        <item m="1" x="7768"/>
        <item m="1" x="714"/>
        <item m="1" x="1644"/>
        <item m="1" x="2575"/>
        <item m="1" x="3500"/>
        <item m="1" x="4434"/>
        <item m="1" x="5363"/>
        <item m="1" x="6289"/>
        <item m="1" x="7217"/>
        <item m="1" x="160"/>
        <item m="1" x="1089"/>
        <item m="1" x="2020"/>
        <item m="1" x="2950"/>
        <item m="1" x="3877"/>
        <item m="1" x="4810"/>
        <item m="1" x="5736"/>
        <item m="1" x="6662"/>
        <item m="1" x="7589"/>
        <item m="1" x="536"/>
        <item m="1" x="1464"/>
        <item m="1" x="2396"/>
        <item m="1" x="3322"/>
        <item m="1" x="4255"/>
        <item m="1" x="5186"/>
        <item m="1" x="7035"/>
        <item m="1" x="7964"/>
        <item m="1" x="908"/>
        <item m="1" x="1841"/>
        <item m="1" x="2770"/>
        <item m="1" x="3700"/>
        <item m="1" x="4630"/>
        <item m="1" x="5558"/>
        <item m="1" x="6483"/>
        <item m="1" x="7413"/>
        <item m="1" x="356"/>
        <item m="1" x="1283"/>
        <item m="1" x="2217"/>
        <item m="1" x="3145"/>
        <item m="1" x="4076"/>
        <item m="1" x="5008"/>
        <item m="1" x="5932"/>
        <item m="1" x="6859"/>
        <item m="1" x="7786"/>
        <item m="1" x="732"/>
        <item m="1" x="1662"/>
        <item m="1" x="2593"/>
        <item m="1" x="3518"/>
        <item m="1" x="4451"/>
        <item m="1" x="5379"/>
        <item m="1" x="6306"/>
        <item m="1" x="7236"/>
        <item m="1" x="178"/>
        <item m="1" x="1107"/>
        <item m="1" x="2038"/>
        <item m="1" x="2968"/>
        <item m="1" x="3896"/>
        <item m="1" x="4828"/>
        <item m="1" x="5754"/>
        <item m="1" x="6680"/>
        <item m="1" x="7608"/>
        <item m="1" x="556"/>
        <item m="1" x="1484"/>
        <item m="1" x="2415"/>
        <item m="1" x="3341"/>
        <item m="1" x="4273"/>
        <item m="1" x="5204"/>
        <item m="1" x="6130"/>
        <item m="1" x="7053"/>
        <item m="1" x="7982"/>
        <item m="1" x="926"/>
        <item m="1" x="1859"/>
        <item m="1" x="2788"/>
        <item m="1" x="3717"/>
        <item m="1" x="4647"/>
        <item m="1" x="5576"/>
        <item m="1" x="7431"/>
        <item m="1" x="375"/>
        <item m="1" x="1302"/>
        <item m="1" x="2234"/>
        <item m="1" x="3162"/>
        <item m="1" x="4094"/>
        <item m="1" x="5026"/>
        <item m="1" x="5949"/>
        <item m="1" x="6876"/>
        <item m="1" x="7804"/>
        <item m="1" x="750"/>
        <item m="1" x="1680"/>
        <item m="1" x="2610"/>
        <item m="1" x="3536"/>
        <item m="1" x="4469"/>
        <item m="1" x="5397"/>
        <item m="1" x="6324"/>
        <item m="1" x="7254"/>
        <item m="1" x="197"/>
        <item m="1" x="1125"/>
        <item m="1" x="2055"/>
        <item m="1" x="2986"/>
        <item m="1" x="3915"/>
        <item m="1" x="4845"/>
        <item m="1" x="5771"/>
        <item m="1" x="6699"/>
        <item m="1" x="7628"/>
        <item m="1" x="574"/>
        <item m="1" x="1501"/>
        <item m="1" x="2432"/>
        <item m="1" x="3358"/>
        <item m="1" x="4291"/>
        <item m="1" x="5221"/>
        <item m="1" x="6147"/>
        <item m="1" x="7071"/>
        <item m="1" x="14"/>
        <item m="1" x="943"/>
        <item m="1" x="1878"/>
        <item m="1" x="2807"/>
        <item m="1" x="3735"/>
        <item m="1" x="4665"/>
        <item m="1" x="5594"/>
        <item m="1" x="6520"/>
        <item m="1" x="7450"/>
        <item m="1" x="393"/>
        <item m="1" x="1321"/>
        <item m="1" x="2252"/>
        <item m="1" x="3181"/>
        <item m="1" x="4113"/>
        <item m="1" x="5045"/>
        <item m="1" x="5969"/>
        <item m="1" x="7822"/>
        <item m="1" x="769"/>
        <item m="1" x="1698"/>
        <item m="1" x="2627"/>
        <item m="1" x="3554"/>
        <item m="1" x="4489"/>
        <item m="1" x="5418"/>
        <item m="1" x="6344"/>
        <item m="1" x="7273"/>
        <item m="1" x="216"/>
        <item m="1" x="1144"/>
        <item m="1" x="2076"/>
        <item m="1" x="3005"/>
        <item m="1" x="3936"/>
        <item m="1" x="4867"/>
        <item m="1" x="5791"/>
        <item m="1" x="6718"/>
        <item m="1" x="7647"/>
        <item m="1" x="594"/>
        <item m="1" x="1520"/>
        <item m="1" x="2451"/>
        <item m="1" x="3378"/>
        <item m="1" x="4311"/>
        <item m="1" x="5239"/>
        <item m="1" x="6164"/>
        <item m="1" x="7090"/>
        <item m="1" x="34"/>
        <item m="1" x="962"/>
        <item m="1" x="1897"/>
        <item m="1" x="2826"/>
        <item m="1" x="3754"/>
        <item m="1" x="4685"/>
        <item m="1" x="5612"/>
        <item m="1" x="6538"/>
        <item m="1" x="7468"/>
        <item m="1" x="411"/>
        <item m="1" x="1339"/>
        <item m="1" x="2271"/>
        <item m="1" x="3201"/>
        <item m="1" x="4132"/>
        <item m="1" x="5063"/>
        <item m="1" x="5987"/>
        <item m="1" x="6914"/>
        <item m="1" x="7841"/>
        <item m="1" x="787"/>
        <item m="1" x="1718"/>
        <item m="1" x="2646"/>
        <item m="1" x="3574"/>
        <item m="1" x="4507"/>
        <item m="1" x="5437"/>
        <item m="1" x="6363"/>
        <item m="1" x="234"/>
        <item m="1" x="1162"/>
        <item m="1" x="2094"/>
        <item m="1" x="3022"/>
        <item m="1" x="3953"/>
        <item m="1" x="4885"/>
        <item m="1" x="5809"/>
        <item m="1" x="6736"/>
        <item m="1" x="7665"/>
        <item m="1" x="611"/>
        <item m="1" x="1538"/>
        <item m="1" x="2470"/>
        <item m="1" x="3395"/>
        <item m="1" x="4329"/>
        <item m="1" x="5257"/>
        <item m="1" x="6180"/>
        <item m="1" x="7107"/>
        <item m="1" x="52"/>
        <item m="1" x="981"/>
        <item m="1" x="1914"/>
        <item m="1" x="2842"/>
        <item m="1" x="3771"/>
        <item m="1" x="4702"/>
        <item m="1" x="5628"/>
        <item m="1" x="6553"/>
        <item m="1" x="7486"/>
        <item m="1" x="429"/>
        <item m="1" x="1357"/>
        <item m="1" x="2287"/>
        <item m="1" x="3218"/>
        <item m="1" x="4149"/>
        <item m="1" x="5080"/>
        <item m="1" x="6004"/>
        <item m="1" x="6931"/>
        <item m="1" x="7859"/>
        <item m="1" x="804"/>
        <item m="1" x="1734"/>
        <item m="1" x="2663"/>
        <item m="1" x="3591"/>
        <item m="1" x="4525"/>
        <item m="1" x="5454"/>
        <item m="1" x="6379"/>
        <item m="1" x="7308"/>
        <item m="1" x="252"/>
        <item m="1" x="1178"/>
        <item m="1" x="2112"/>
        <item m="1" x="3039"/>
        <item m="1" x="3970"/>
        <item m="1" x="4902"/>
        <item m="1" x="5827"/>
        <item m="1" x="6755"/>
        <item m="1" x="628"/>
        <item m="1" x="1556"/>
        <item m="1" x="2487"/>
        <item m="1" x="3412"/>
        <item m="1" x="4346"/>
        <item m="1" x="5275"/>
        <item m="1" x="6199"/>
        <item m="1" x="7126"/>
        <item m="1" x="69"/>
        <item m="1" x="998"/>
        <item m="1" x="1931"/>
        <item m="1" x="2859"/>
        <item m="1" x="3789"/>
        <item m="1" x="4720"/>
        <item m="1" x="5648"/>
        <item m="1" x="6571"/>
        <item m="1" x="7228"/>
        <item m="1" x="7693"/>
        <item m="1" x="171"/>
        <item m="1" x="639"/>
        <item m="1" x="1100"/>
        <item m="1" x="1567"/>
        <item m="1" x="2032"/>
        <item m="1" x="2499"/>
        <item m="1" x="2961"/>
        <item m="1" x="3422"/>
        <item m="1" x="3888"/>
        <item m="1" x="4357"/>
        <item m="1" x="4821"/>
        <item m="1" x="5286"/>
        <item m="1" x="5747"/>
        <item m="1" x="6211"/>
        <item m="1" x="6673"/>
        <item m="1" x="7137"/>
        <item m="1" x="7601"/>
        <item m="1" x="82"/>
        <item m="1" x="549"/>
        <item m="1" x="1010"/>
        <item m="1" x="1476"/>
        <item m="1" x="1943"/>
        <item m="1" x="2407"/>
        <item m="1" x="2869"/>
        <item m="1" x="3333"/>
        <item m="1" x="3800"/>
        <item m="1" x="4266"/>
        <item m="1" x="4731"/>
        <item m="1" x="5197"/>
        <item m="1" x="5660"/>
        <item m="1" x="6122"/>
        <item m="1" x="6582"/>
        <item m="1" x="7046"/>
        <item m="1" x="7514"/>
        <item m="1" x="7975"/>
        <item m="1" x="457"/>
        <item m="1" x="919"/>
        <item m="1" x="1386"/>
        <item m="1" x="1850"/>
        <item m="1" x="2316"/>
        <item m="1" x="2780"/>
        <item m="1" x="3246"/>
        <item m="1" x="3710"/>
        <item m="1" x="4177"/>
        <item m="1" x="4640"/>
        <item m="1" x="5109"/>
        <item m="1" x="5568"/>
        <item m="1" x="6033"/>
        <item m="1" x="6494"/>
        <item m="1" x="6958"/>
        <item m="1" x="7424"/>
        <item m="1" x="7887"/>
        <item m="1" x="367"/>
        <item m="1" x="833"/>
        <item m="1" x="1292"/>
        <item m="1" x="1761"/>
        <item m="1" x="2689"/>
        <item m="1" x="3155"/>
        <item m="1" x="3619"/>
        <item m="1" x="4087"/>
        <item m="1" x="4553"/>
        <item m="1" x="5018"/>
        <item m="1" x="5481"/>
        <item m="1" x="5942"/>
        <item m="1" x="6405"/>
        <item m="1" x="6869"/>
        <item m="1" x="7334"/>
        <item m="1" x="7797"/>
        <item m="1" x="279"/>
        <item m="1" x="741"/>
        <item m="1" x="1205"/>
        <item m="1" x="1672"/>
        <item m="1" x="2138"/>
        <item m="1" x="2603"/>
        <item m="1" x="3066"/>
        <item m="1" x="3529"/>
        <item m="1" x="3999"/>
        <item m="1" x="4461"/>
        <item m="1" x="4930"/>
        <item m="1" x="5390"/>
        <item m="1" x="5855"/>
        <item m="1" x="6317"/>
        <item m="1" x="6782"/>
        <item m="1" x="7246"/>
        <item m="1" x="7710"/>
        <item m="1" x="188"/>
        <item m="1" x="655"/>
        <item m="1" x="1117"/>
        <item m="1" x="1583"/>
        <item m="1" x="2048"/>
        <item m="1" x="2515"/>
        <item m="1" x="2979"/>
        <item m="1" x="3441"/>
        <item m="1" x="3907"/>
        <item m="1" x="4375"/>
        <item m="1" x="4839"/>
        <item m="1" x="5303"/>
        <item m="1" x="5765"/>
        <item m="1" x="6228"/>
        <item m="1" x="6692"/>
        <item m="1" x="7155"/>
        <item m="1" x="7619"/>
        <item m="1" x="99"/>
        <item m="1" x="567"/>
        <item m="1" x="1028"/>
        <item m="1" x="1495"/>
        <item m="1" x="1960"/>
        <item m="1" x="2427"/>
        <item m="1" x="2889"/>
        <item m="1" x="3352"/>
        <item m="1" x="3818"/>
        <item m="1" x="4285"/>
        <item m="1" x="4749"/>
        <item m="1" x="5215"/>
        <item m="1" x="5677"/>
        <item m="1" x="6141"/>
        <item m="1" x="6601"/>
        <item m="1" x="7064"/>
        <item m="1" x="7530"/>
        <item m="1" x="7993"/>
        <item m="1" x="474"/>
        <item m="1" x="937"/>
        <item m="1" x="1404"/>
        <item m="1" x="1872"/>
        <item m="1" x="2337"/>
        <item m="1" x="2800"/>
        <item m="1" x="3264"/>
        <item m="1" x="3729"/>
        <item m="1" x="4195"/>
        <item m="1" x="4659"/>
        <item m="1" x="5126"/>
        <item m="1" x="5588"/>
        <item m="1" x="6052"/>
        <item m="1" x="6512"/>
        <item m="1" x="6975"/>
        <item m="1" x="7443"/>
        <item m="1" x="7904"/>
        <item m="1" x="387"/>
        <item m="1" x="851"/>
        <item m="1" x="1315"/>
        <item m="1" x="1781"/>
        <item m="1" x="2245"/>
        <item m="1" x="2709"/>
        <item m="1" x="3175"/>
        <item m="1" x="3638"/>
        <item m="1" x="4107"/>
        <item m="1" x="4572"/>
        <item m="1" x="5038"/>
        <item m="1" x="5499"/>
        <item m="1" x="5961"/>
        <item m="1" x="6423"/>
        <item m="1" x="6888"/>
        <item m="1" x="7350"/>
        <item m="1" x="7816"/>
        <item m="1" x="297"/>
        <item m="1" x="763"/>
        <item m="1" x="1225"/>
        <item m="1" x="1691"/>
        <item m="1" x="2157"/>
        <item m="1" x="3083"/>
        <item m="1" x="3548"/>
        <item m="1" x="4016"/>
        <item m="1" x="4482"/>
        <item m="1" x="4948"/>
        <item m="1" x="5409"/>
        <item m="1" x="5873"/>
        <item m="1" x="6336"/>
        <item m="1" x="6799"/>
        <item m="1" x="7266"/>
        <item m="1" x="7728"/>
        <item m="1" x="209"/>
        <item m="1" x="674"/>
        <item m="1" x="1136"/>
        <item m="1" x="1603"/>
        <item m="1" x="2069"/>
        <item m="1" x="2533"/>
        <item m="1" x="2998"/>
        <item m="1" x="3458"/>
        <item m="1" x="3928"/>
        <item m="1" x="4394"/>
        <item m="1" x="4857"/>
        <item m="1" x="5322"/>
        <item m="1" x="5783"/>
        <item m="1" x="6246"/>
        <item m="1" x="6711"/>
        <item m="1" x="7174"/>
        <item m="1" x="7640"/>
        <item m="1" x="119"/>
        <item m="1" x="586"/>
        <item m="1" x="1047"/>
        <item m="1" x="1513"/>
        <item m="1" x="1977"/>
        <item m="1" x="2444"/>
        <item m="1" x="2907"/>
        <item m="1" x="3371"/>
        <item m="1" x="3836"/>
        <item m="1" x="4302"/>
        <item m="1" x="4766"/>
        <item m="1" x="5232"/>
        <item m="1" x="5693"/>
        <item m="1" x="6158"/>
        <item m="1" x="6620"/>
        <item m="1" x="7083"/>
        <item m="1" x="7548"/>
        <item m="1" x="26"/>
        <item m="1" x="493"/>
        <item m="1" x="955"/>
        <item m="1" x="1422"/>
        <item m="1" x="1890"/>
        <item m="1" x="2355"/>
        <item m="1" x="2819"/>
        <item m="1" x="3282"/>
        <item m="1" x="3746"/>
        <item m="1" x="4210"/>
        <item m="1" x="4676"/>
        <item m="1" x="5142"/>
        <item m="1" x="5605"/>
        <item m="1" x="6069"/>
        <item m="1" x="6531"/>
        <item m="1" x="6994"/>
        <item m="1" x="7461"/>
        <item m="1" x="7921"/>
        <item m="1" x="404"/>
        <item m="1" x="866"/>
        <item m="1" x="1332"/>
        <item m="1" x="1798"/>
        <item m="1" x="2264"/>
        <item m="1" x="2727"/>
        <item m="1" x="3192"/>
        <item m="1" x="3655"/>
        <item m="1" x="4124"/>
        <item m="1" x="4588"/>
        <item m="1" x="5056"/>
        <item m="1" x="5515"/>
        <item m="1" x="5980"/>
        <item m="1" x="6442"/>
        <item m="1" x="6906"/>
        <item m="1" x="7369"/>
        <item m="1" x="7834"/>
        <item m="1" x="314"/>
        <item m="1" x="780"/>
        <item m="1" x="1242"/>
        <item m="1" x="1710"/>
        <item m="1" x="2175"/>
        <item m="1" x="2637"/>
        <item m="1" x="3100"/>
        <item m="1" x="3565"/>
        <item m="1" x="4033"/>
        <item m="1" x="4500"/>
        <item m="1" x="4966"/>
        <item m="1" x="5430"/>
        <item m="1" x="5892"/>
        <item m="1" x="6355"/>
        <item m="1" x="6818"/>
        <item m="1" x="7284"/>
        <item m="1" x="7744"/>
        <item m="1" x="227"/>
        <item m="1" x="691"/>
        <item m="1" x="1155"/>
        <item m="1" x="1621"/>
        <item m="1" x="2085"/>
        <item m="1" x="2550"/>
        <item m="1" x="3475"/>
        <item m="1" x="3946"/>
        <item m="1" x="4410"/>
        <item m="1" x="4878"/>
        <item m="1" x="5340"/>
        <item m="1" x="5801"/>
        <item m="1" x="6265"/>
        <item m="1" x="6729"/>
        <item m="1" x="7192"/>
        <item m="1" x="7658"/>
        <item m="1" x="137"/>
        <item m="1" x="604"/>
        <item m="1" x="1065"/>
        <item m="1" x="1529"/>
        <item m="1" x="1994"/>
        <item m="1" x="2461"/>
        <item m="1" x="2924"/>
        <item m="1" x="3388"/>
        <item m="1" x="3852"/>
        <item m="1" x="4322"/>
        <item m="1" x="4786"/>
        <item m="1" x="5249"/>
        <item m="1" x="5711"/>
        <item m="1" x="6174"/>
        <item m="1" x="6637"/>
        <item m="1" x="7100"/>
        <item m="1" x="7565"/>
        <item m="1" x="45"/>
        <item m="1" x="511"/>
        <item m="1" x="972"/>
        <item m="1" x="1439"/>
        <item m="1" x="1907"/>
        <item m="1" x="2372"/>
        <item m="1" x="2836"/>
        <item m="1" x="3299"/>
        <item m="1" x="3765"/>
        <item m="1" x="4231"/>
        <item m="1" x="4695"/>
        <item m="1" x="5161"/>
        <item m="1" x="5623"/>
        <item m="1" x="6087"/>
        <item m="1" x="6548"/>
        <item m="1" x="7011"/>
        <item m="1" x="7479"/>
        <item m="1" x="7939"/>
        <item m="1" x="421"/>
        <item m="1" x="883"/>
        <item m="1" x="1349"/>
        <item m="1" x="1815"/>
        <item m="1" x="2281"/>
        <item m="1" x="2744"/>
        <item m="1" x="3212"/>
        <item m="1" x="3674"/>
        <item m="1" x="4143"/>
        <item m="1" x="4605"/>
        <item m="1" x="5074"/>
        <item m="1" x="5533"/>
        <item m="1" x="5998"/>
        <item m="1" x="6459"/>
        <item m="1" x="6925"/>
        <item m="1" x="7388"/>
        <item m="1" x="7852"/>
        <item m="1" x="331"/>
        <item m="1" x="798"/>
        <item m="1" x="1260"/>
        <item m="1" x="1729"/>
        <item m="1" x="2194"/>
        <item m="1" x="2658"/>
        <item m="1" x="3121"/>
        <item m="1" x="3585"/>
        <item m="1" x="4053"/>
        <item m="1" x="4520"/>
        <item m="1" x="4986"/>
        <item m="1" x="5449"/>
        <item m="1" x="5910"/>
        <item m="1" x="6374"/>
        <item m="1" x="6837"/>
        <item m="1" x="7301"/>
        <item m="1" x="7762"/>
        <item m="1" x="245"/>
        <item m="1" x="709"/>
        <item m="1" x="1173"/>
        <item m="1" x="1640"/>
        <item m="1" x="2107"/>
        <item m="1" x="2571"/>
        <item m="1" x="3033"/>
        <item m="1" x="3495"/>
        <item m="1" x="3965"/>
        <item m="1" x="4429"/>
        <item m="1" x="4897"/>
        <item m="1" x="5358"/>
        <item m="1" x="5822"/>
        <item m="1" x="6284"/>
        <item m="1" x="6748"/>
        <item m="1" x="7211"/>
        <item m="1" x="7677"/>
        <item m="1" x="155"/>
        <item m="1" x="623"/>
        <item m="1" x="1084"/>
        <item m="1" x="1551"/>
        <item m="1" x="2015"/>
        <item m="1" x="2481"/>
        <item m="1" x="2945"/>
        <item m="1" x="3872"/>
        <item m="1" x="4341"/>
        <item m="1" x="4804"/>
        <item m="1" x="5270"/>
        <item m="1" x="5730"/>
        <item m="1" x="6192"/>
        <item m="1" x="6656"/>
        <item m="1" x="7119"/>
        <item m="1" x="7584"/>
        <item m="1" x="64"/>
        <item m="1" x="531"/>
        <item m="1" x="993"/>
        <item m="1" x="1459"/>
        <item m="1" x="1925"/>
        <item m="1" x="2391"/>
        <item m="1" x="2854"/>
        <item m="1" x="3317"/>
        <item m="1" x="3783"/>
        <item m="1" x="4249"/>
        <item m="1" x="4714"/>
        <item m="1" x="5180"/>
        <item m="1" x="5640"/>
        <item m="1" x="6105"/>
        <item m="1" x="6565"/>
        <item m="1" x="7029"/>
        <item m="1" x="7498"/>
        <item m="1" x="7958"/>
        <item m="1" x="442"/>
        <item m="1" x="902"/>
        <item m="1" x="1369"/>
        <item m="1" x="1835"/>
        <item m="1" x="2301"/>
        <item m="1" x="2764"/>
        <item m="1" x="3231"/>
        <item m="1" x="3694"/>
        <item m="1" x="4162"/>
        <item m="1" x="4624"/>
        <item m="1" x="5092"/>
        <item m="1" x="5551"/>
        <item m="1" x="6016"/>
        <item m="1" x="6477"/>
        <item m="1" x="6943"/>
        <item m="1" x="7407"/>
        <item m="1" x="7872"/>
        <item m="1" x="350"/>
        <item m="1" x="816"/>
        <item m="1" x="1277"/>
        <item m="1" x="1746"/>
        <item m="1" x="2211"/>
        <item m="1" x="2674"/>
        <item m="1" x="3139"/>
        <item m="1" x="3604"/>
        <item m="1" x="4070"/>
        <item m="1" x="4536"/>
        <item m="1" x="5001"/>
        <item m="1" x="5465"/>
        <item m="1" x="5926"/>
        <item m="1" x="6390"/>
        <item m="1" x="6853"/>
        <item m="1" x="7319"/>
        <item m="1" x="7780"/>
        <item m="1" x="263"/>
        <item m="1" x="726"/>
        <item m="1" x="1190"/>
        <item m="1" x="1656"/>
        <item m="1" x="2123"/>
        <item m="1" x="2587"/>
        <item m="1" x="3051"/>
        <item m="1" x="3512"/>
        <item m="1" x="3981"/>
        <item m="1" x="4445"/>
        <item m="1" x="4913"/>
        <item m="1" x="5374"/>
        <item m="1" x="5838"/>
        <item m="1" x="6300"/>
        <item m="1" x="6766"/>
        <item m="1" x="7230"/>
        <item m="1" x="7694"/>
        <item m="1" x="172"/>
        <item m="1" x="640"/>
        <item m="1" x="1101"/>
        <item m="1" x="1568"/>
        <item m="1" x="2033"/>
        <item m="1" x="2500"/>
        <item m="1" x="2963"/>
        <item m="1" x="3423"/>
        <item m="1" x="3889"/>
        <item m="1" x="4358"/>
        <item m="1" x="4822"/>
        <item m="1" x="5287"/>
        <item m="1" x="5748"/>
        <item m="1" x="6212"/>
        <item m="1" x="6674"/>
        <item m="1" x="7138"/>
        <item m="1" x="7602"/>
        <item m="1" x="83"/>
        <item m="1" x="550"/>
        <item m="1" x="1011"/>
        <item m="1" x="1478"/>
        <item m="1" x="1944"/>
        <item m="1" x="2409"/>
        <item m="1" x="2870"/>
        <item m="1" x="3334"/>
        <item m="1" x="4267"/>
        <item m="1" x="4732"/>
        <item m="1" x="5198"/>
        <item m="1" x="5661"/>
        <item m="1" x="6124"/>
        <item m="1" x="6583"/>
        <item m="1" x="7047"/>
        <item m="1" x="7515"/>
        <item m="1" x="7976"/>
        <item m="1" x="458"/>
        <item m="1" x="920"/>
        <item m="1" x="1387"/>
        <item m="1" x="1852"/>
        <item m="1" x="2317"/>
        <item m="1" x="2781"/>
        <item m="1" x="3247"/>
        <item m="1" x="3711"/>
        <item m="1" x="4178"/>
        <item m="1" x="4641"/>
        <item m="1" x="5110"/>
        <item m="1" x="5570"/>
        <item m="1" x="6034"/>
        <item m="1" x="6495"/>
        <item m="1" x="6959"/>
        <item m="1" x="7425"/>
        <item m="1" x="7888"/>
        <item m="1" x="368"/>
        <item m="1" x="834"/>
        <item m="1" x="1294"/>
        <item m="1" x="1762"/>
        <item m="1" x="2227"/>
        <item m="1" x="2690"/>
        <item m="1" x="3156"/>
        <item m="1" x="3620"/>
        <item m="1" x="4088"/>
        <item m="1" x="4554"/>
        <item m="1" x="5020"/>
        <item m="1" x="5482"/>
        <item m="1" x="5943"/>
        <item m="1" x="6406"/>
        <item m="1" x="6870"/>
        <item m="1" x="7335"/>
        <item m="1" x="7798"/>
        <item m="1" x="280"/>
        <item m="1" x="743"/>
        <item m="1" x="1206"/>
        <item m="1" x="1673"/>
        <item m="1" x="2139"/>
        <item m="1" x="2604"/>
        <item m="1" x="3067"/>
        <item m="1" x="3530"/>
        <item m="1" x="4000"/>
        <item m="1" x="4463"/>
        <item m="1" x="4931"/>
        <item m="1" x="5391"/>
        <item m="1" x="5856"/>
        <item m="1" x="6318"/>
        <item m="1" x="6783"/>
        <item m="1" x="7248"/>
        <item m="1" x="7711"/>
        <item m="1" x="190"/>
        <item m="1" x="656"/>
        <item m="1" x="1118"/>
        <item m="1" x="1584"/>
        <item m="1" x="2049"/>
        <item m="1" x="2516"/>
        <item m="1" x="2980"/>
        <item m="1" x="3442"/>
        <item m="1" x="3909"/>
        <item m="1" x="4376"/>
        <item m="1" x="4840"/>
        <item m="1" x="5304"/>
        <item m="1" x="5766"/>
        <item m="1" x="6229"/>
        <item m="1" x="6693"/>
        <item m="1" x="7156"/>
        <item m="1" x="7621"/>
        <item m="1" x="100"/>
        <item m="1" x="568"/>
        <item m="1" x="1029"/>
        <item m="1" x="1496"/>
        <item m="1" x="1961"/>
        <item m="1" x="2428"/>
        <item m="1" x="2890"/>
        <item m="1" x="3354"/>
        <item m="1" x="3819"/>
        <item m="1" x="4286"/>
        <item m="1" x="4750"/>
        <item m="1" x="5216"/>
        <item m="1" x="5678"/>
        <item m="1" x="6142"/>
        <item m="1" x="6602"/>
        <item m="1" x="7065"/>
        <item m="1" x="7531"/>
        <item m="1" x="7994"/>
        <item m="1" x="475"/>
        <item m="1" x="938"/>
        <item m="1" x="1405"/>
        <item m="1" x="1873"/>
        <item m="1" x="2338"/>
        <item m="1" x="2802"/>
        <item m="1" x="3265"/>
        <item m="1" x="3730"/>
        <item m="1" x="4660"/>
        <item m="1" x="5127"/>
        <item m="1" x="5589"/>
        <item m="1" x="6053"/>
        <item m="1" x="6514"/>
        <item m="1" x="6976"/>
        <item m="1" x="7444"/>
        <item m="1" x="7905"/>
        <item m="1" x="388"/>
        <item m="1" x="852"/>
        <item m="1" x="1316"/>
        <item m="1" x="1782"/>
        <item m="1" x="2247"/>
        <item m="1" x="2710"/>
        <item m="1" x="3176"/>
        <item m="1" x="3639"/>
        <item m="1" x="4108"/>
        <item m="1" x="4573"/>
        <item m="1" x="5040"/>
        <item m="1" x="5500"/>
        <item m="1" x="5963"/>
        <item m="1" x="6424"/>
        <item m="1" x="6889"/>
        <item m="1" x="7351"/>
        <item m="1" x="7817"/>
        <item m="1" x="298"/>
        <item m="1" x="764"/>
        <item m="1" x="1226"/>
        <item m="1" x="1693"/>
        <item m="1" x="2158"/>
        <item m="1" x="2622"/>
        <item m="1" x="3084"/>
        <item m="1" x="3549"/>
        <item m="1" x="4017"/>
        <item m="1" x="4483"/>
        <item m="1" x="4949"/>
        <item m="1" x="5411"/>
        <item m="1" x="5874"/>
        <item m="1" x="6337"/>
        <item m="1" x="6800"/>
        <item m="1" x="7267"/>
        <item m="1" x="7729"/>
        <item m="1" x="210"/>
        <item m="1" x="675"/>
        <item m="1" x="1138"/>
        <item m="1" x="1604"/>
        <item m="1" x="2070"/>
        <item m="1" x="2534"/>
        <item m="1" x="2999"/>
        <item m="1" x="3459"/>
        <item m="1" x="3929"/>
        <item m="1" x="4395"/>
        <item m="1" x="4859"/>
        <item m="1" x="5323"/>
        <item m="1" x="5784"/>
        <item m="1" x="6247"/>
        <item m="1" x="6712"/>
        <item m="1" x="7175"/>
        <item m="1" x="7641"/>
        <item m="1" x="120"/>
        <item m="1" x="588"/>
        <item m="1" x="1048"/>
        <item m="1" x="1514"/>
        <item m="1" x="1978"/>
        <item m="1" x="2445"/>
        <item m="1" x="2908"/>
        <item m="1" x="3372"/>
        <item m="1" x="3837"/>
        <item m="1" x="4304"/>
        <item m="1" x="4767"/>
        <item m="1" x="5233"/>
        <item m="1" x="5694"/>
        <item m="1" x="6159"/>
        <item m="1" x="6621"/>
        <item m="1" x="7084"/>
        <item m="1" x="7549"/>
        <item m="1" x="28"/>
        <item m="1" x="494"/>
        <item m="1" x="956"/>
        <item m="1" x="1423"/>
        <item m="1" x="1891"/>
        <item m="1" x="2356"/>
        <item m="1" x="2820"/>
        <item m="1" x="3283"/>
        <item m="1" x="3748"/>
        <item m="1" x="4211"/>
        <item m="1" x="4677"/>
        <item m="1" x="5143"/>
        <item m="1" x="5606"/>
        <item m="1" x="6070"/>
        <item m="1" x="6532"/>
        <item m="1" x="6995"/>
        <item m="1" x="7462"/>
        <item m="1" x="7922"/>
        <item m="1" x="405"/>
        <item m="1" x="867"/>
        <item m="1" x="1333"/>
        <item m="1" x="1799"/>
        <item m="1" x="2265"/>
        <item m="1" x="2728"/>
        <item m="1" x="3194"/>
        <item m="1" x="3656"/>
        <item m="1" x="4125"/>
        <item m="1" x="5057"/>
        <item m="1" x="5516"/>
        <item m="1" x="5981"/>
        <item m="1" x="6443"/>
        <item m="1" x="6908"/>
        <item m="1" x="7370"/>
        <item m="1" x="7835"/>
        <item m="1" x="315"/>
        <item m="1" x="781"/>
        <item m="1" x="1243"/>
        <item m="1" x="1711"/>
        <item m="1" x="2176"/>
        <item m="1" x="2639"/>
        <item m="1" x="3101"/>
        <item m="1" x="3566"/>
        <item m="1" x="4034"/>
        <item m="1" x="4501"/>
        <item m="1" x="4967"/>
        <item m="1" x="5431"/>
        <item m="1" x="5893"/>
        <item m="1" x="6357"/>
        <item m="1" x="6819"/>
        <item m="1" x="7285"/>
        <item m="1" x="7745"/>
        <item m="1" x="228"/>
        <item m="1" x="692"/>
        <item m="1" x="1156"/>
        <item m="1" x="1622"/>
        <item m="1" x="2087"/>
        <item m="1" x="2551"/>
        <item m="1" x="3015"/>
        <item m="1" x="3476"/>
        <item m="1" x="3947"/>
        <item m="1" x="4411"/>
        <item m="1" x="4879"/>
        <item m="1" x="5341"/>
        <item m="1" x="5803"/>
        <item m="1" x="6266"/>
        <item m="1" x="6730"/>
        <item m="1" x="7193"/>
        <item m="1" x="7659"/>
        <item m="1" x="138"/>
        <item m="1" x="605"/>
        <item m="1" x="1066"/>
        <item m="1" x="1531"/>
        <item m="1" x="1995"/>
        <item m="1" x="2462"/>
        <item m="1" x="2925"/>
        <item m="1" x="3389"/>
        <item m="1" x="3853"/>
        <item m="1" x="4323"/>
        <item m="1" x="4787"/>
        <item m="1" x="5251"/>
        <item m="1" x="5712"/>
        <item m="1" x="6175"/>
        <item m="1" x="6638"/>
        <item m="1" x="7101"/>
        <item m="1" x="7566"/>
        <item m="1" x="46"/>
        <item m="1" x="512"/>
        <item m="1" x="974"/>
        <item m="1" x="1440"/>
        <item m="1" x="1908"/>
        <item m="1" x="2373"/>
        <item m="1" x="2837"/>
        <item m="1" x="3300"/>
        <item m="1" x="3766"/>
        <item m="1" x="4232"/>
        <item m="1" x="4697"/>
        <item m="1" x="5162"/>
        <item m="1" x="5624"/>
        <item m="1" x="6088"/>
        <item m="1" x="6549"/>
        <item m="1" x="7012"/>
        <item m="1" x="7480"/>
        <item m="1" x="7940"/>
        <item m="1" x="423"/>
        <item m="1" x="884"/>
        <item m="1" x="1350"/>
        <item m="1" x="1816"/>
        <item m="1" x="2282"/>
        <item m="1" x="2745"/>
        <item m="1" x="3213"/>
        <item m="1" x="3675"/>
        <item m="1" x="4145"/>
        <item m="1" x="4606"/>
        <item m="1" x="5075"/>
        <item m="1" x="5534"/>
        <item m="1" x="5999"/>
        <item m="1" x="6460"/>
        <item m="1" x="6926"/>
        <item m="1" x="7389"/>
        <item m="1" x="7853"/>
        <item m="1" x="332"/>
        <item m="1" x="799"/>
        <item m="1" x="1261"/>
        <item m="1" x="1730"/>
        <item m="1" x="2195"/>
        <item m="1" x="2659"/>
        <item m="1" x="3122"/>
        <item m="1" x="3587"/>
        <item m="1" x="4054"/>
        <item m="1" x="4521"/>
        <item m="1" x="5450"/>
        <item m="1" x="5911"/>
        <item m="1" x="6375"/>
        <item m="1" x="6838"/>
        <item m="1" x="7303"/>
        <item m="1" x="7763"/>
        <item m="1" x="246"/>
        <item m="1" x="710"/>
        <item m="1" x="1174"/>
        <item m="1" x="1641"/>
        <item m="1" x="2108"/>
        <item m="1" x="2572"/>
        <item m="1" x="3035"/>
        <item m="1" x="3496"/>
        <item m="1" x="3966"/>
        <item m="1" x="4430"/>
        <item m="1" x="4898"/>
        <item m="1" x="5359"/>
        <item m="1" x="5823"/>
        <item m="1" x="6285"/>
        <item m="1" x="6750"/>
        <item m="1" x="7212"/>
        <item m="1" x="7678"/>
        <item m="1" x="156"/>
        <item m="1" x="624"/>
        <item m="1" x="1085"/>
        <item m="1" x="1552"/>
        <item m="1" x="2016"/>
        <item m="1" x="2483"/>
        <item m="1" x="2946"/>
        <item m="1" x="3408"/>
        <item m="1" x="3873"/>
        <item m="1" x="4342"/>
        <item m="1" x="4805"/>
        <item m="1" x="5271"/>
        <item m="1" x="5731"/>
        <item m="1" x="6194"/>
        <item m="1" x="6657"/>
        <item m="1" x="7120"/>
        <item m="1" x="7585"/>
        <item m="1" x="65"/>
        <item m="1" x="532"/>
        <item m="1" x="994"/>
        <item m="1" x="1460"/>
        <item m="1" x="1927"/>
        <item m="1" x="2392"/>
        <item m="1" x="2855"/>
        <item m="1" x="3318"/>
        <item m="1" x="3784"/>
        <item m="1" x="4250"/>
        <item m="1" x="4715"/>
        <item m="1" x="5181"/>
        <item m="1" x="5642"/>
        <item m="1" x="6106"/>
        <item m="1" x="6566"/>
        <item m="1" x="7030"/>
        <item m="1" x="7499"/>
        <item m="1" x="7959"/>
        <item m="1" x="443"/>
        <item m="1" x="903"/>
        <item m="1" x="1371"/>
        <item m="1" x="1836"/>
        <item m="1" x="2302"/>
        <item m="1" x="2765"/>
        <item m="1" x="3232"/>
        <item m="1" x="3695"/>
        <item m="1" x="4163"/>
        <item m="1" x="4625"/>
        <item m="1" x="5094"/>
        <item m="1" x="5552"/>
        <item m="1" x="6017"/>
        <item m="1" x="6478"/>
        <item m="1" x="6944"/>
        <item m="1" x="7408"/>
        <item m="1" x="7873"/>
        <item m="1" x="351"/>
        <item m="1" x="818"/>
        <item m="1" x="1278"/>
        <item m="1" x="1747"/>
        <item m="1" x="2212"/>
        <item m="1" x="2675"/>
        <item m="1" x="3140"/>
        <item m="1" x="3605"/>
        <item m="1" x="4071"/>
        <item m="1" x="4538"/>
        <item m="1" x="5002"/>
        <item m="1" x="5466"/>
        <item m="1" x="5927"/>
        <item m="1" x="6391"/>
        <item m="1" x="6854"/>
        <item m="1" x="7320"/>
        <item m="1" x="7781"/>
        <item m="1" x="264"/>
        <item m="1" x="727"/>
        <item m="1" x="1191"/>
        <item m="1" x="1657"/>
        <item m="1" x="2124"/>
        <item m="1" x="2588"/>
        <item m="1" x="3052"/>
        <item m="1" x="3513"/>
        <item m="1" x="3983"/>
        <item m="1" x="4446"/>
        <item m="1" x="4914"/>
        <item m="1" x="5839"/>
        <item m="1" x="6301"/>
        <item m="1" x="6767"/>
        <item m="1" x="7231"/>
        <item m="1" x="7696"/>
        <item m="1" x="173"/>
        <item m="1" x="641"/>
        <item m="1" x="1102"/>
        <item m="1" x="1569"/>
        <item m="1" x="2034"/>
        <item m="1" x="2501"/>
        <item m="1" x="2964"/>
        <item m="1" x="3425"/>
        <item m="1" x="3890"/>
        <item m="1" x="4359"/>
        <item m="1" x="4823"/>
        <item m="1" x="5288"/>
        <item m="1" x="5749"/>
        <item m="1" x="6213"/>
        <item m="1" x="6675"/>
        <item m="1" x="7140"/>
        <item m="1" x="7603"/>
        <item m="1" x="84"/>
        <item m="1" x="551"/>
        <item m="1" x="1013"/>
        <item m="1" x="1479"/>
        <item m="1" x="1945"/>
        <item m="1" x="2410"/>
        <item m="1" x="2872"/>
        <item m="1" x="3335"/>
        <item m="1" x="3801"/>
        <item m="1" x="4268"/>
        <item m="1" x="4733"/>
        <item m="1" x="5199"/>
        <item m="1" x="5662"/>
        <item m="1" x="6125"/>
        <item m="1" x="6585"/>
        <item m="1" x="7048"/>
        <item m="1" x="7516"/>
        <item m="1" x="7977"/>
        <item m="1" x="459"/>
        <item m="1" x="921"/>
        <item m="1" x="1388"/>
        <item m="1" x="1853"/>
        <item m="1" x="2319"/>
        <item m="1" x="2782"/>
        <item m="1" x="3248"/>
        <item m="1" x="3712"/>
        <item m="1" x="4179"/>
        <item m="1" x="4642"/>
        <item m="1" x="5111"/>
        <item m="1" x="5571"/>
        <item m="1" x="6036"/>
        <item m="1" x="6496"/>
        <item m="1" x="6960"/>
        <item m="1" x="7426"/>
        <item m="1" x="7889"/>
        <item m="1" x="369"/>
        <item m="1" x="835"/>
        <item m="1" x="1295"/>
        <item m="1" x="1764"/>
        <item m="1" x="2228"/>
        <item m="1" x="2691"/>
        <item m="1" x="3157"/>
        <item m="1" x="3621"/>
        <item m="1" x="4089"/>
        <item m="1" x="4555"/>
        <item m="1" x="5021"/>
        <item m="1" x="5484"/>
        <item m="1" x="5944"/>
        <item m="1" x="6407"/>
        <item m="1" x="6871"/>
        <item m="1" x="7336"/>
        <item m="1" x="7799"/>
        <item m="1" x="281"/>
        <item m="1" x="744"/>
        <item m="1" x="1208"/>
        <item m="1" x="1674"/>
        <item m="1" x="2140"/>
        <item m="1" x="2605"/>
        <item m="1" x="3068"/>
        <item m="1" x="3531"/>
        <item m="1" x="4001"/>
        <item m="1" x="4464"/>
        <item m="1" x="4933"/>
        <item m="1" x="5392"/>
        <item m="1" x="5857"/>
        <item m="1" x="6319"/>
        <item m="1" x="6784"/>
        <item m="1" x="7249"/>
        <item m="1" x="7712"/>
        <item m="1" x="191"/>
        <item m="1" x="657"/>
        <item m="1" x="1119"/>
        <item m="1" x="1585"/>
        <item m="1" x="2050"/>
        <item m="1" x="2517"/>
        <item m="1" x="2981"/>
        <item m="1" x="3443"/>
        <item m="1" x="3910"/>
        <item m="1" x="4378"/>
        <item m="1" x="4841"/>
        <item m="1" x="5305"/>
        <item m="1" x="6230"/>
        <item m="1" x="6694"/>
        <item m="1" x="7157"/>
        <item m="1" x="7622"/>
        <item m="1" x="102"/>
        <item m="1" x="569"/>
        <item m="1" x="1030"/>
        <item m="1" x="1497"/>
        <item m="1" x="1962"/>
        <item m="1" x="2429"/>
        <item m="1" x="2891"/>
        <item m="1" x="3355"/>
        <item m="1" x="3821"/>
        <item m="1" x="4287"/>
        <item m="1" x="4751"/>
        <item m="1" x="5217"/>
        <item m="1" x="5679"/>
        <item m="1" x="6143"/>
        <item m="1" x="6603"/>
        <item m="1" x="7066"/>
        <item m="1" x="7533"/>
        <item m="1" x="7995"/>
        <item m="1" x="476"/>
        <item m="1" x="939"/>
        <item m="1" x="1406"/>
        <item m="1" x="1874"/>
        <item m="1" x="2339"/>
        <item m="1" x="2803"/>
        <item m="1" x="3267"/>
        <item m="1" x="3731"/>
        <item m="1" x="4196"/>
        <item m="1" x="4661"/>
        <item m="1" x="5128"/>
        <item m="1" x="5590"/>
        <item m="1" x="6054"/>
        <item m="1" x="6515"/>
        <item m="1" x="6978"/>
        <item m="1" x="7445"/>
        <item m="1" x="7906"/>
        <item m="1" x="389"/>
        <item m="1" x="1317"/>
        <item m="1" x="1783"/>
        <item m="1" x="2248"/>
        <item m="1" x="2712"/>
        <item m="1" x="3177"/>
        <item m="1" x="3640"/>
        <item m="1" x="4109"/>
        <item m="1" x="4574"/>
        <item m="1" x="5041"/>
        <item m="1" x="5501"/>
        <item m="1" x="5964"/>
        <item m="1" x="6426"/>
        <item m="1" x="6890"/>
        <item m="1" x="7352"/>
        <item m="1" x="7818"/>
        <item m="1" x="299"/>
        <item m="1" x="765"/>
        <item m="1" x="1227"/>
        <item m="1" x="1694"/>
        <item m="1" x="2160"/>
        <item m="1" x="2623"/>
        <item m="1" x="3085"/>
        <item m="1" x="3550"/>
        <item m="1" x="4018"/>
        <item m="1" x="4484"/>
        <item m="1" x="4950"/>
        <item m="1" x="5412"/>
        <item m="1" x="5876"/>
        <item m="1" x="6338"/>
        <item m="1" x="6801"/>
        <item m="1" x="7268"/>
        <item m="1" x="7730"/>
        <item m="1" x="211"/>
        <item m="1" x="676"/>
        <item m="1" x="1139"/>
        <item m="1" x="1606"/>
        <item m="1" x="2071"/>
        <item m="1" x="2535"/>
        <item m="1" x="3000"/>
        <item m="1" x="3460"/>
        <item m="1" x="3930"/>
        <item m="1" x="4396"/>
        <item m="1" x="4860"/>
        <item m="1" x="5325"/>
        <item m="1" x="5785"/>
        <item m="1" x="6248"/>
        <item m="1" x="6713"/>
        <item m="1" x="7176"/>
        <item m="1" x="7642"/>
        <item m="1" x="121"/>
        <item m="1" x="589"/>
        <item m="1" x="1050"/>
        <item m="1" x="1515"/>
        <item m="1" x="1979"/>
        <item m="1" x="2446"/>
        <item m="1" x="2909"/>
        <item m="1" x="3373"/>
        <item m="1" x="3838"/>
        <item m="1" x="4305"/>
        <item m="1" x="4769"/>
        <item m="1" x="5234"/>
        <item m="1" x="5695"/>
        <item m="1" x="6622"/>
        <item m="1" x="7085"/>
        <item m="1" x="7550"/>
        <item m="1" x="29"/>
        <item m="1" x="496"/>
        <item m="1" x="957"/>
        <item m="1" x="1424"/>
        <item m="1" x="1892"/>
        <item m="1" x="2357"/>
        <item m="1" x="2821"/>
        <item m="1" x="3284"/>
        <item m="1" x="3749"/>
        <item m="1" x="4213"/>
        <item m="1" x="4678"/>
        <item m="1" x="5144"/>
        <item m="1" x="5607"/>
        <item m="1" x="6071"/>
        <item m="1" x="6533"/>
        <item m="1" x="6996"/>
        <item m="1" x="7463"/>
        <item m="1" x="7924"/>
        <item m="1" x="406"/>
        <item m="1" x="868"/>
        <item m="1" x="1334"/>
        <item m="1" x="1800"/>
        <item m="1" x="2266"/>
        <item m="1" x="2729"/>
        <item m="1" x="3195"/>
        <item m="1" x="3657"/>
        <item m="1" x="4126"/>
        <item m="1" x="4589"/>
        <item m="1" x="5058"/>
        <item m="1" x="5517"/>
        <item m="1" x="5982"/>
        <item m="1" x="6444"/>
        <item m="1" x="6909"/>
        <item m="1" x="7371"/>
        <item m="1" x="7836"/>
        <item m="1" x="316"/>
        <item m="1" x="782"/>
        <item m="1" x="1712"/>
        <item m="1" x="2177"/>
        <item m="1" x="2640"/>
        <item m="1" x="3102"/>
        <item m="1" x="3567"/>
        <item m="1" x="4035"/>
        <item m="1" x="4502"/>
        <item m="1" x="4968"/>
        <item m="1" x="5432"/>
        <item m="1" x="5894"/>
        <item m="1" x="6358"/>
        <item m="1" x="6820"/>
        <item m="1" x="7286"/>
        <item m="1" x="7746"/>
        <item m="1" x="229"/>
        <item m="1" x="693"/>
        <item m="1" x="1157"/>
        <item m="1" x="1623"/>
        <item m="1" x="2088"/>
        <item m="1" x="2552"/>
        <item m="1" x="3016"/>
        <item m="1" x="3477"/>
        <item m="1" x="3948"/>
        <item m="1" x="4412"/>
        <item m="1" x="4880"/>
        <item m="1" x="5342"/>
        <item m="1" x="5804"/>
        <item m="1" x="6267"/>
        <item m="1" x="6731"/>
        <item m="1" x="7194"/>
        <item m="1" x="7660"/>
        <item m="1" x="139"/>
        <item m="1" x="606"/>
        <item m="1" x="1067"/>
        <item m="1" x="1532"/>
        <item m="1" x="1996"/>
        <item m="1" x="2463"/>
        <item m="1" x="2926"/>
        <item m="1" x="3390"/>
        <item m="1" x="3854"/>
        <item m="1" x="4324"/>
        <item m="1" x="4788"/>
        <item m="1" x="5252"/>
        <item m="1" x="5713"/>
        <item m="1" x="6176"/>
        <item m="1" x="6639"/>
        <item m="1" x="7102"/>
        <item m="1" x="7567"/>
        <item m="1" x="47"/>
        <item m="1" x="513"/>
        <item m="1" x="975"/>
        <item m="1" x="1441"/>
        <item m="1" x="1909"/>
        <item m="1" x="2374"/>
        <item m="1" x="2838"/>
        <item m="1" x="3301"/>
        <item m="1" x="3767"/>
        <item m="1" x="4233"/>
        <item m="1" x="4698"/>
        <item m="1" x="5163"/>
        <item m="1" x="5625"/>
        <item m="1" x="6089"/>
        <item m="1" x="7013"/>
        <item m="1" x="7481"/>
        <item m="1" x="7941"/>
        <item m="1" x="424"/>
        <item m="1" x="885"/>
        <item m="1" x="1351"/>
        <item m="1" x="1817"/>
        <item m="1" x="2283"/>
        <item m="1" x="2746"/>
        <item m="1" x="3214"/>
        <item m="1" x="3676"/>
        <item m="1" x="4146"/>
        <item m="1" x="4607"/>
        <item m="1" x="5076"/>
        <item m="1" x="5535"/>
        <item m="1" x="6000"/>
        <item m="1" x="6461"/>
        <item m="1" x="6927"/>
        <item m="1" x="7390"/>
        <item m="1" x="7854"/>
        <item m="1" x="333"/>
        <item m="1" x="800"/>
        <item m="1" x="1262"/>
        <item m="1" x="1731"/>
        <item m="1" x="2196"/>
        <item m="1" x="2660"/>
        <item m="1" x="3123"/>
        <item m="1" x="3588"/>
        <item m="1" x="4055"/>
        <item m="1" x="4522"/>
        <item m="1" x="4987"/>
        <item m="1" x="5451"/>
        <item m="1" x="5912"/>
        <item m="1" x="6376"/>
        <item m="1" x="6839"/>
        <item m="1" x="7304"/>
        <item m="1" x="7764"/>
        <item m="1" x="247"/>
        <item m="1" x="711"/>
        <item m="1" x="1175"/>
        <item m="1" x="2109"/>
        <item m="1" x="2573"/>
        <item m="1" x="3036"/>
        <item m="1" x="3497"/>
        <item m="1" x="3967"/>
        <item m="1" x="4431"/>
        <item m="1" x="4899"/>
        <item m="1" x="5360"/>
        <item m="1" x="5824"/>
        <item m="1" x="6286"/>
        <item m="1" x="6751"/>
        <item m="1" x="7213"/>
        <item m="1" x="7679"/>
        <item m="1" x="157"/>
        <item m="1" x="625"/>
        <item m="1" x="1086"/>
        <item m="1" x="1553"/>
        <item m="1" x="2017"/>
        <item m="1" x="2484"/>
        <item m="1" x="2947"/>
        <item m="1" x="3409"/>
        <item m="1" x="3874"/>
        <item m="1" x="4343"/>
        <item m="1" x="4807"/>
        <item m="1" x="5272"/>
        <item m="1" x="5732"/>
        <item m="1" x="6195"/>
        <item m="1" x="6658"/>
        <item m="1" x="7121"/>
        <item m="1" x="7586"/>
        <item m="1" x="66"/>
        <item m="1" x="533"/>
        <item m="1" x="995"/>
        <item m="1" x="1461"/>
        <item m="1" x="1928"/>
        <item m="1" x="2393"/>
        <item m="1" x="2856"/>
        <item m="1" x="3319"/>
        <item m="1" x="3785"/>
        <item m="1" x="4251"/>
        <item m="1" x="4716"/>
        <item m="1" x="5182"/>
        <item m="1" x="5643"/>
        <item m="1" x="6107"/>
        <item m="1" x="6567"/>
        <item m="1" x="7031"/>
        <item m="1" x="7500"/>
        <item m="1" x="7960"/>
        <item m="1" x="444"/>
        <item m="1" x="904"/>
        <item m="1" x="1372"/>
        <item m="1" x="1837"/>
        <item m="1" x="2303"/>
        <item m="1" x="2766"/>
        <item m="1" x="3233"/>
        <item m="1" x="3696"/>
        <item m="1" x="4164"/>
        <item m="1" x="4626"/>
        <item m="1" x="5095"/>
        <item m="1" x="5553"/>
        <item m="1" x="6018"/>
        <item m="1" x="6479"/>
        <item m="1" x="7409"/>
        <item m="1" x="7874"/>
        <item m="1" x="352"/>
        <item m="1" x="819"/>
        <item m="1" x="1279"/>
        <item m="1" x="1748"/>
        <item m="1" x="2213"/>
        <item m="1" x="2676"/>
        <item m="1" x="3141"/>
        <item m="1" x="3606"/>
        <item m="1" x="4072"/>
        <item m="1" x="4539"/>
        <item m="1" x="5003"/>
        <item m="1" x="5467"/>
        <item m="1" x="5928"/>
        <item m="1" x="6392"/>
        <item m="1" x="6855"/>
        <item m="1" x="7321"/>
        <item m="1" x="7782"/>
        <item m="1" x="265"/>
        <item m="1" x="728"/>
        <item m="1" x="1192"/>
        <item m="1" x="1658"/>
        <item m="1" x="2125"/>
        <item m="1" x="2589"/>
        <item m="1" x="3053"/>
        <item m="1" x="3514"/>
        <item m="1" x="3984"/>
        <item m="1" x="4447"/>
        <item m="1" x="4915"/>
        <item m="1" x="5375"/>
        <item m="1" x="5840"/>
        <item m="1" x="6302"/>
        <item m="1" x="6768"/>
        <item m="1" x="7232"/>
        <item m="1" x="7697"/>
        <item m="1" x="174"/>
        <item m="1" x="642"/>
        <item m="1" x="1103"/>
        <item m="1" x="1570"/>
        <item m="1" x="2502"/>
        <item m="1" x="2965"/>
        <item m="1" x="3426"/>
        <item m="1" x="3891"/>
        <item m="1" x="4360"/>
        <item m="1" x="4824"/>
        <item m="1" x="5289"/>
        <item m="1" x="5750"/>
        <item m="1" x="6214"/>
        <item m="1" x="6676"/>
        <item m="1" x="7141"/>
        <item m="1" x="7604"/>
        <item m="1" x="85"/>
        <item m="1" x="552"/>
        <item m="1" x="1014"/>
        <item m="1" x="1480"/>
        <item m="1" x="1946"/>
        <item m="1" x="2411"/>
        <item m="1" x="2873"/>
        <item m="1" x="3336"/>
        <item m="1" x="3802"/>
        <item m="1" x="4269"/>
        <item m="1" x="4734"/>
        <item m="1" x="5200"/>
        <item m="1" x="5663"/>
        <item m="1" x="6126"/>
        <item m="1" x="6586"/>
        <item m="1" x="7049"/>
        <item m="1" x="7517"/>
        <item m="1" x="7978"/>
        <item m="1" x="460"/>
        <item m="1" x="922"/>
        <item m="1" x="1389"/>
        <item m="1" x="1855"/>
        <item m="1" x="2320"/>
        <item m="1" x="2783"/>
        <item m="1" x="3249"/>
        <item m="1" x="3713"/>
        <item m="1" x="4180"/>
        <item m="1" x="4643"/>
        <item m="1" x="5112"/>
        <item m="1" x="5572"/>
        <item m="1" x="6037"/>
        <item m="1" x="6497"/>
        <item m="1" x="6961"/>
        <item m="1" x="7427"/>
        <item m="1" x="7890"/>
        <item m="1" x="371"/>
        <item m="1" x="836"/>
        <item m="1" x="1297"/>
        <item m="1" x="1765"/>
        <item m="1" x="2229"/>
        <item m="1" x="2692"/>
        <item m="1" x="3158"/>
        <item m="1" x="3622"/>
        <item m="1" x="4090"/>
        <item m="1" x="4556"/>
        <item m="1" x="5022"/>
        <item m="1" x="5485"/>
        <item m="1" x="5945"/>
        <item m="1" x="6408"/>
        <item m="1" x="6872"/>
        <item m="1" x="7800"/>
        <item m="1" x="282"/>
        <item m="1" x="746"/>
        <item m="1" x="1209"/>
        <item m="1" x="1675"/>
        <item m="1" x="2141"/>
        <item m="1" x="2606"/>
        <item m="1" x="3069"/>
        <item m="1" x="3532"/>
        <item m="1" x="4002"/>
        <item m="1" x="4465"/>
        <item m="1" x="4934"/>
        <item m="1" x="5393"/>
        <item m="1" x="5858"/>
        <item m="1" x="6320"/>
        <item m="1" x="6785"/>
        <item m="1" x="7250"/>
        <item m="1" x="7713"/>
        <item m="1" x="193"/>
        <item m="1" x="658"/>
        <item m="1" x="1120"/>
        <item m="1" x="1586"/>
        <item m="1" x="2051"/>
        <item m="1" x="2518"/>
        <item m="1" x="2982"/>
        <item m="1" x="3444"/>
        <item m="1" x="3911"/>
        <item m="1" x="4379"/>
        <item m="1" x="4842"/>
        <item m="1" x="5306"/>
        <item m="1" x="5767"/>
        <item m="1" x="6231"/>
        <item m="1" x="6695"/>
        <item m="1" x="7158"/>
        <item m="1" x="7624"/>
        <item m="1" x="103"/>
        <item m="1" x="570"/>
        <item m="1" x="1031"/>
        <item m="1" x="1498"/>
        <item m="1" x="1963"/>
        <item m="1" x="2892"/>
        <item m="1" x="3356"/>
        <item m="1" x="3822"/>
        <item m="1" x="4288"/>
        <item m="1" x="4752"/>
        <item m="1" x="5218"/>
        <item m="1" x="5680"/>
        <item m="1" x="6144"/>
        <item m="1" x="6604"/>
        <item m="1" x="7068"/>
        <item m="1" x="7534"/>
        <item m="1" x="7996"/>
        <item m="1" x="477"/>
        <item m="1" x="940"/>
        <item m="1" x="1407"/>
        <item m="1" x="1875"/>
        <item m="1" x="2340"/>
        <item m="1" x="2804"/>
        <item m="1" x="3268"/>
        <item m="1" x="3732"/>
        <item m="1" x="4197"/>
        <item m="1" x="4662"/>
        <item m="1" x="5129"/>
        <item m="1" x="5591"/>
        <item m="1" x="6055"/>
        <item m="1" x="6517"/>
        <item m="1" x="6979"/>
        <item m="1" x="7446"/>
        <item m="1" x="7907"/>
        <item m="1" x="390"/>
        <item m="1" x="853"/>
        <item m="1" x="1318"/>
        <item m="1" x="1784"/>
        <item m="1" x="2249"/>
        <item m="1" x="2713"/>
        <item m="1" x="3178"/>
        <item m="1" x="3641"/>
        <item m="1" x="4110"/>
        <item m="1" x="4575"/>
        <item m="1" x="5042"/>
        <item m="1" x="5502"/>
        <item m="1" x="5966"/>
        <item m="1" x="6427"/>
        <item m="1" x="6891"/>
        <item m="1" x="7353"/>
        <item m="1" x="7819"/>
        <item m="1" x="300"/>
        <item m="1" x="766"/>
        <item m="1" x="1228"/>
        <item m="1" x="1695"/>
        <item m="1" x="2161"/>
        <item m="1" x="2624"/>
        <item m="1" x="3086"/>
        <item m="1" x="3551"/>
        <item m="1" x="4019"/>
        <item m="1" x="4485"/>
        <item m="1" x="4951"/>
        <item m="1" x="5414"/>
        <item m="1" x="5877"/>
        <item m="1" x="6339"/>
        <item m="1" x="6802"/>
        <item m="1" x="7269"/>
        <item m="1" x="212"/>
        <item m="1" x="677"/>
        <item m="1" x="1140"/>
        <item m="1" x="1607"/>
        <item m="1" x="2072"/>
        <item m="1" x="2536"/>
        <item m="1" x="3001"/>
        <item m="1" x="3462"/>
        <item m="1" x="3932"/>
        <item m="1" x="4397"/>
        <item m="1" x="4862"/>
        <item m="1" x="5326"/>
        <item m="1" x="5786"/>
        <item m="1" x="6249"/>
        <item m="1" x="6714"/>
        <item m="1" x="7177"/>
        <item m="1" x="7643"/>
        <item m="1" x="122"/>
        <item m="1" x="590"/>
        <item m="1" x="1051"/>
        <item m="1" x="1516"/>
        <item m="1" x="1980"/>
        <item m="1" x="2447"/>
        <item m="1" x="2910"/>
        <item m="1" x="3374"/>
        <item m="1" x="3839"/>
        <item m="1" x="4307"/>
        <item m="1" x="4770"/>
        <item m="1" x="5235"/>
        <item m="1" x="5696"/>
        <item m="1" x="6160"/>
        <item m="1" x="6623"/>
        <item m="1" x="7086"/>
        <item m="1" x="7551"/>
        <item m="1" x="30"/>
        <item m="1" x="497"/>
        <item m="1" x="958"/>
        <item m="1" x="1425"/>
        <item m="1" x="1893"/>
        <item m="1" x="2358"/>
        <item m="1" x="3285"/>
        <item m="1" x="3751"/>
        <item m="1" x="4214"/>
        <item m="1" x="4679"/>
        <item m="1" x="5145"/>
        <item m="1" x="5608"/>
        <item m="1" x="6072"/>
        <item m="1" x="6534"/>
        <item m="1" x="6997"/>
        <item m="1" x="7464"/>
        <item m="1" x="7925"/>
        <item m="1" x="407"/>
        <item m="1" x="869"/>
        <item m="1" x="1335"/>
        <item m="1" x="1801"/>
        <item m="1" x="2267"/>
        <item m="1" x="2730"/>
        <item m="1" x="3197"/>
        <item m="1" x="3658"/>
        <item m="1" x="4127"/>
        <item m="1" x="4590"/>
        <item m="1" x="5059"/>
        <item m="1" x="5518"/>
        <item m="1" x="5983"/>
        <item m="1" x="6445"/>
        <item m="1" x="6910"/>
        <item m="1" x="7372"/>
        <item m="1" x="7837"/>
        <item m="1" x="317"/>
        <item m="1" x="783"/>
        <item m="1" x="1245"/>
        <item m="1" x="1713"/>
        <item m="1" x="2178"/>
        <item m="1" x="2642"/>
        <item m="1" x="3103"/>
        <item m="1" x="3568"/>
        <item m="1" x="4036"/>
        <item m="1" x="4503"/>
        <item m="1" x="4969"/>
        <item m="1" x="5433"/>
        <item m="1" x="5895"/>
        <item m="1" x="6359"/>
        <item m="1" x="6821"/>
        <item m="1" x="7287"/>
        <item m="1" x="7747"/>
        <item m="1" x="230"/>
        <item m="1" x="694"/>
        <item m="1" x="1158"/>
        <item m="1" x="1624"/>
        <item m="1" x="2090"/>
        <item m="1" x="2553"/>
        <item m="1" x="3017"/>
        <item m="1" x="3478"/>
        <item m="1" x="3949"/>
        <item m="1" x="4413"/>
        <item m="1" x="4881"/>
        <item m="1" x="5343"/>
        <item m="1" x="5805"/>
        <item m="1" x="6268"/>
        <item m="1" x="6732"/>
        <item m="1" x="7195"/>
        <item m="1" x="7661"/>
        <item m="1" x="607"/>
        <item m="1" x="1068"/>
        <item m="1" x="1534"/>
        <item m="1" x="1997"/>
        <item m="1" x="2464"/>
        <item m="1" x="2927"/>
        <item m="1" x="3391"/>
        <item m="1" x="3855"/>
        <item m="1" x="4325"/>
        <item m="1" x="4789"/>
        <item m="1" x="5253"/>
        <item m="1" x="5714"/>
        <item m="1" x="6177"/>
        <item m="1" x="6640"/>
        <item m="1" x="7103"/>
        <item m="1" x="7568"/>
        <item m="1" x="48"/>
        <item m="1" x="514"/>
        <item m="1" x="977"/>
        <item m="1" x="1393"/>
        <item m="1" x="1629"/>
        <item m="1" x="1860"/>
        <item m="1" x="2095"/>
        <item m="1" x="2325"/>
        <item m="1" x="2560"/>
        <item m="1" x="2790"/>
        <item m="1" x="3024"/>
        <item m="1" x="3254"/>
        <item m="1" x="3484"/>
        <item m="1" x="3718"/>
        <item m="1" x="3954"/>
        <item m="1" x="4184"/>
        <item m="1" x="4419"/>
        <item m="1" x="4649"/>
        <item m="1" x="4887"/>
        <item m="1" x="5116"/>
        <item m="1" x="5577"/>
        <item m="1" x="5810"/>
        <item m="1" x="6041"/>
        <item m="1" x="6274"/>
        <item m="1" x="6502"/>
        <item m="1" x="6738"/>
        <item m="1" x="6964"/>
        <item m="1" x="7200"/>
        <item m="1" x="7432"/>
        <item m="1" x="7666"/>
        <item m="1" x="7894"/>
        <item m="1" x="145"/>
        <item m="1" x="377"/>
        <item m="1" x="613"/>
        <item m="1" x="840"/>
        <item m="1" x="1073"/>
        <item m="1" x="1303"/>
        <item m="1" x="1539"/>
        <item m="1" x="1770"/>
        <item m="1" x="2004"/>
        <item m="1" x="2236"/>
        <item m="1" x="2472"/>
        <item m="1" x="2698"/>
        <item m="1" x="2934"/>
        <item m="1" x="3164"/>
        <item m="1" x="3397"/>
        <item m="1" x="3626"/>
        <item m="1" x="3861"/>
        <item m="1" x="4096"/>
        <item m="1" x="4331"/>
        <item m="1" x="4560"/>
        <item m="1" x="4794"/>
        <item m="1" x="5027"/>
        <item m="1" x="5258"/>
        <item m="1" x="5489"/>
        <item m="1" x="5719"/>
        <item m="1" x="5951"/>
        <item m="1" x="6182"/>
        <item m="1" x="6412"/>
        <item m="1" x="6645"/>
        <item m="1" x="6877"/>
        <item m="1" x="7108"/>
        <item m="1" x="7340"/>
        <item m="1" x="7574"/>
        <item m="1" x="7806"/>
        <item m="1" x="54"/>
        <item m="1" x="286"/>
        <item m="1" x="519"/>
        <item m="1" x="751"/>
        <item m="1" x="982"/>
        <item m="1" x="1214"/>
        <item m="1" x="1448"/>
        <item m="1" x="1682"/>
        <item m="1" x="1916"/>
        <item m="1" x="2146"/>
        <item m="1" x="2380"/>
        <item m="1" x="2611"/>
        <item m="1" x="2843"/>
        <item m="1" x="3073"/>
        <item m="1" x="3307"/>
        <item m="1" x="3538"/>
        <item m="1" x="3773"/>
        <item m="1" x="4238"/>
        <item m="1" x="4470"/>
        <item m="1" x="4703"/>
        <item m="1" x="4937"/>
        <item m="1" x="5169"/>
        <item m="1" x="5399"/>
        <item m="1" x="5630"/>
        <item m="1" x="5862"/>
        <item m="1" x="6094"/>
        <item m="1" x="6325"/>
        <item m="1" x="6554"/>
        <item m="1" x="6789"/>
        <item m="1" x="7019"/>
        <item m="1" x="7256"/>
        <item m="1" x="7488"/>
        <item m="1" x="7717"/>
        <item m="1" x="7946"/>
        <item m="1" x="198"/>
        <item m="1" x="430"/>
        <item m="1" x="663"/>
        <item m="1" x="892"/>
        <item m="1" x="1127"/>
        <item m="1" x="1359"/>
        <item m="1" x="1592"/>
        <item m="1" x="1824"/>
        <item m="1" x="2057"/>
        <item m="1" x="2289"/>
        <item m="1" x="2522"/>
        <item m="1" x="2752"/>
        <item m="1" x="2988"/>
        <item m="1" x="3220"/>
        <item m="1" x="3448"/>
        <item m="1" x="3681"/>
        <item m="1" x="3916"/>
        <item m="1" x="4150"/>
        <item m="1" x="4383"/>
        <item m="1" x="4613"/>
        <item m="1" x="4847"/>
        <item m="1" x="5082"/>
        <item m="1" x="5311"/>
        <item m="1" x="5540"/>
        <item m="1" x="5772"/>
        <item m="1" x="6005"/>
        <item m="1" x="6236"/>
        <item m="1" x="6467"/>
        <item m="1" x="6701"/>
        <item m="1" x="6933"/>
        <item m="1" x="7163"/>
        <item m="1" x="7395"/>
        <item m="1" x="7629"/>
        <item m="1" x="7860"/>
        <item m="1" x="109"/>
        <item m="1" x="340"/>
        <item m="1" x="576"/>
        <item m="1" x="806"/>
        <item m="1" x="1036"/>
        <item m="1" x="1266"/>
        <item m="1" x="1502"/>
        <item m="1" x="1735"/>
        <item m="1" x="1967"/>
        <item m="1" x="2201"/>
        <item m="1" x="2434"/>
        <item m="1" x="2896"/>
        <item m="1" x="3127"/>
        <item m="1" x="3359"/>
        <item m="1" x="3592"/>
        <item m="1" x="3826"/>
        <item m="1" x="4060"/>
        <item m="1" x="4293"/>
        <item m="1" x="4527"/>
        <item m="1" x="4756"/>
        <item m="1" x="4991"/>
        <item m="1" x="5222"/>
        <item m="1" x="5455"/>
        <item m="1" x="5684"/>
        <item m="1" x="5917"/>
        <item m="1" x="6149"/>
        <item m="1" x="6381"/>
        <item m="1" x="6610"/>
        <item m="1" x="6843"/>
        <item m="1" x="7072"/>
        <item m="1" x="7309"/>
        <item m="1" x="7539"/>
        <item m="1" x="7770"/>
        <item m="1" x="16"/>
        <item m="1" x="254"/>
        <item m="1" x="483"/>
        <item m="1" x="716"/>
        <item m="1" x="945"/>
        <item m="1" x="1180"/>
        <item m="1" x="1411"/>
        <item m="1" x="1646"/>
        <item m="1" x="1880"/>
        <item m="1" x="2114"/>
        <item m="1" x="2344"/>
        <item m="1" x="2576"/>
        <item m="1" x="2808"/>
        <item m="1" x="3040"/>
        <item m="1" x="3272"/>
        <item m="1" x="3502"/>
        <item m="1" x="3737"/>
        <item m="1" x="3972"/>
        <item m="1" x="4201"/>
        <item m="1" x="4435"/>
        <item m="1" x="4666"/>
        <item m="1" x="4903"/>
        <item m="1" x="5133"/>
        <item m="1" x="5365"/>
        <item m="1" x="5596"/>
        <item m="1" x="5829"/>
        <item m="1" x="6059"/>
        <item m="1" x="6290"/>
        <item m="1" x="6521"/>
        <item m="1" x="6756"/>
        <item m="1" x="6984"/>
        <item m="1" x="7219"/>
        <item m="1" x="7452"/>
        <item m="1" x="7684"/>
        <item m="1" x="7911"/>
        <item m="1" x="161"/>
        <item m="1" x="394"/>
        <item m="1" x="629"/>
        <item m="1" x="857"/>
        <item m="1" x="1091"/>
        <item m="1" x="1323"/>
        <item m="1" x="1558"/>
        <item m="1" x="1788"/>
        <item m="1" x="2021"/>
        <item m="1" x="2253"/>
        <item m="1" x="2488"/>
        <item m="1" x="2717"/>
        <item m="1" x="2952"/>
        <item m="1" x="3183"/>
        <item m="1" x="3414"/>
        <item m="1" x="3645"/>
        <item m="1" x="3878"/>
        <item m="1" x="4114"/>
        <item m="1" x="4347"/>
        <item m="1" x="4579"/>
        <item m="1" x="4812"/>
        <item m="1" x="5047"/>
        <item m="1" x="5277"/>
        <item m="1" x="5506"/>
        <item m="1" x="5970"/>
        <item m="1" x="6200"/>
        <item m="1" x="6432"/>
        <item m="1" x="6664"/>
        <item m="1" x="6897"/>
        <item m="1" x="7128"/>
        <item m="1" x="7359"/>
        <item m="1" x="7591"/>
        <item m="1" x="7824"/>
        <item m="1" x="71"/>
        <item m="1" x="304"/>
        <item m="1" x="538"/>
        <item m="1" x="771"/>
        <item m="1" x="1000"/>
        <item m="1" x="1232"/>
        <item m="1" x="1465"/>
        <item m="1" x="1699"/>
        <item m="1" x="1932"/>
        <item m="1" x="2165"/>
        <item m="1" x="2398"/>
        <item m="1" x="2629"/>
        <item m="1" x="2861"/>
        <item m="1" x="3090"/>
        <item m="1" x="3323"/>
        <item m="1" x="3555"/>
        <item m="1" x="3790"/>
        <item m="1" x="4024"/>
        <item m="1" x="4257"/>
        <item m="1" x="4491"/>
        <item m="1" x="4722"/>
        <item m="1" x="4956"/>
        <item m="1" x="5187"/>
        <item m="1" x="5419"/>
        <item m="1" x="5649"/>
        <item m="1" x="5883"/>
        <item m="1" x="6113"/>
        <item m="1" x="6346"/>
        <item m="1" x="6573"/>
        <item m="1" x="6808"/>
        <item m="1" x="7036"/>
        <item m="1" x="7274"/>
        <item m="1" x="7504"/>
        <item m="1" x="7735"/>
        <item m="1" x="7966"/>
        <item m="1" x="218"/>
        <item m="1" x="449"/>
        <item m="1" x="682"/>
        <item m="1" x="909"/>
        <item m="1" x="1145"/>
        <item m="1" x="1376"/>
        <item m="1" x="1612"/>
        <item m="1" x="1843"/>
        <item m="1" x="2078"/>
        <item m="1" x="2308"/>
        <item m="1" x="2541"/>
        <item m="1" x="2771"/>
        <item m="1" x="3006"/>
        <item m="1" x="3237"/>
        <item m="1" x="3467"/>
        <item m="1" x="3702"/>
        <item m="1" x="3938"/>
        <item m="1" x="4169"/>
        <item m="1" x="4631"/>
        <item m="1" x="4868"/>
        <item m="1" x="5100"/>
        <item m="1" x="5331"/>
        <item m="1" x="5560"/>
        <item m="1" x="5793"/>
        <item m="1" x="6025"/>
        <item m="1" x="6256"/>
        <item m="1" x="6485"/>
        <item m="1" x="6720"/>
        <item m="1" x="6949"/>
        <item m="1" x="7182"/>
        <item m="1" x="7415"/>
        <item m="1" x="7649"/>
        <item m="1" x="7879"/>
        <item m="1" x="127"/>
        <item m="1" x="357"/>
        <item m="1" x="595"/>
        <item m="1" x="823"/>
        <item m="1" x="1056"/>
        <item m="1" x="1285"/>
        <item m="1" x="1522"/>
        <item m="1" x="1753"/>
        <item m="1" x="1985"/>
        <item m="1" x="2218"/>
        <item m="1" x="2452"/>
        <item m="1" x="2680"/>
        <item m="1" x="2916"/>
        <item m="1" x="3147"/>
        <item m="1" x="3380"/>
        <item m="1" x="3611"/>
        <item m="1" x="3844"/>
        <item m="1" x="4077"/>
        <item m="1" x="4312"/>
        <item m="1" x="4543"/>
        <item m="1" x="4777"/>
        <item m="1" x="5010"/>
        <item m="1" x="5241"/>
        <item m="1" x="5473"/>
        <item m="1" x="5702"/>
        <item m="1" x="5933"/>
        <item m="1" x="6165"/>
        <item m="1" x="6396"/>
        <item m="1" x="6629"/>
        <item m="1" x="6861"/>
        <item m="1" x="7092"/>
        <item m="1" x="7326"/>
        <item m="1" x="7556"/>
        <item m="1" x="7787"/>
        <item m="1" x="35"/>
        <item m="1" x="269"/>
        <item m="1" x="503"/>
        <item m="1" x="734"/>
        <item m="1" x="964"/>
        <item m="1" x="1197"/>
        <item m="1" x="1430"/>
        <item m="1" x="1663"/>
        <item m="1" x="1898"/>
        <item m="1" x="2129"/>
        <item m="1" x="2364"/>
        <item m="1" x="2595"/>
        <item m="1" x="2828"/>
        <item m="1" x="3290"/>
        <item m="1" x="3519"/>
        <item m="1" x="3755"/>
        <item m="1" x="3989"/>
        <item m="1" x="4221"/>
        <item m="1" x="4453"/>
        <item m="1" x="4687"/>
        <item m="1" x="4922"/>
        <item m="1" x="5152"/>
        <item m="1" x="5381"/>
        <item m="1" x="5614"/>
        <item m="1" x="5845"/>
        <item m="1" x="6078"/>
        <item m="1" x="6308"/>
        <item m="1" x="6540"/>
        <item m="1" x="6773"/>
        <item m="1" x="7002"/>
        <item m="1" x="7237"/>
        <item m="1" x="7469"/>
        <item m="1" x="7701"/>
        <item m="1" x="7931"/>
        <item m="1" x="180"/>
        <item m="1" x="413"/>
        <item m="1" x="647"/>
        <item m="1" x="874"/>
        <item m="1" x="1108"/>
        <item m="1" x="1340"/>
        <item m="1" x="1574"/>
        <item m="1" x="1807"/>
        <item m="1" x="2040"/>
        <item m="1" x="2273"/>
        <item m="1" x="2507"/>
        <item m="1" x="2735"/>
        <item m="1" x="2969"/>
        <item m="1" x="3202"/>
        <item m="1" x="3431"/>
        <item m="1" x="3665"/>
        <item m="1" x="3898"/>
        <item m="1" x="4134"/>
        <item m="1" x="4366"/>
        <item m="1" x="4596"/>
        <item m="1" x="4829"/>
        <item m="1" x="5064"/>
        <item m="1" x="5293"/>
        <item m="1" x="5524"/>
        <item m="1" x="5756"/>
        <item m="1" x="5989"/>
        <item m="1" x="6219"/>
        <item m="1" x="6450"/>
        <item m="1" x="6681"/>
        <item m="1" x="6915"/>
        <item m="1" x="7145"/>
        <item m="1" x="7378"/>
        <item m="1" x="7610"/>
        <item m="1" x="7843"/>
        <item m="1" x="90"/>
        <item m="1" x="321"/>
        <item m="1" x="557"/>
        <item m="1" x="788"/>
        <item m="1" x="1018"/>
        <item m="1" x="1251"/>
        <item m="1" x="1486"/>
        <item m="1" x="1720"/>
        <item m="1" x="1951"/>
        <item m="1" x="2184"/>
        <item m="1" x="2416"/>
        <item m="1" x="2647"/>
        <item m="1" x="2878"/>
        <item m="1" x="3111"/>
        <item m="1" x="3343"/>
        <item m="1" x="3576"/>
        <item m="1" x="3809"/>
        <item m="1" x="4043"/>
        <item m="1" x="4275"/>
        <item m="1" x="4509"/>
        <item m="1" x="4739"/>
        <item m="1" x="4975"/>
        <item m="1" x="5206"/>
        <item m="1" x="5439"/>
        <item m="1" x="5668"/>
        <item m="1" x="5900"/>
        <item m="1" x="6364"/>
        <item m="1" x="6590"/>
        <item m="1" x="6827"/>
        <item m="1" x="7055"/>
        <item m="1" x="7292"/>
        <item m="1" x="7521"/>
        <item m="1" x="7752"/>
        <item m="1" x="7983"/>
        <item m="1" x="235"/>
        <item m="1" x="464"/>
        <item m="1" x="700"/>
        <item m="1" x="928"/>
        <item m="1" x="1164"/>
        <item m="1" x="1395"/>
        <item m="1" x="1630"/>
        <item m="1" x="1861"/>
        <item m="1" x="2096"/>
        <item m="1" x="2326"/>
        <item m="1" x="2561"/>
        <item m="1" x="2791"/>
        <item m="1" x="3025"/>
        <item m="1" x="3256"/>
        <item m="1" x="3485"/>
        <item m="1" x="3719"/>
        <item m="1" x="3955"/>
        <item m="1" x="4185"/>
        <item m="1" x="4420"/>
        <item m="1" x="4650"/>
        <item m="1" x="4888"/>
        <item m="1" x="5118"/>
        <item m="1" x="5348"/>
        <item m="1" x="5578"/>
        <item m="1" x="5811"/>
        <item m="1" x="6042"/>
        <item m="1" x="6275"/>
        <item m="1" x="6503"/>
        <item m="1" x="6739"/>
        <item m="1" x="6966"/>
        <item m="1" x="7201"/>
        <item m="1" x="7433"/>
        <item m="1" x="7667"/>
        <item m="1" x="7895"/>
        <item m="1" x="146"/>
        <item m="1" x="378"/>
        <item m="1" x="614"/>
        <item m="1" x="842"/>
        <item m="1" x="1074"/>
        <item m="1" x="1304"/>
        <item m="1" x="1540"/>
        <item m="1" x="1771"/>
        <item m="1" x="2005"/>
        <item m="1" x="2237"/>
        <item m="1" x="2473"/>
        <item m="1" x="2700"/>
        <item m="1" x="2935"/>
        <item m="1" x="3165"/>
        <item m="1" x="3398"/>
        <item m="1" x="3628"/>
        <item m="1" x="3862"/>
        <item m="1" x="4097"/>
        <item m="1" x="4332"/>
        <item m="1" x="4562"/>
        <item m="1" x="5028"/>
        <item m="1" x="5259"/>
        <item m="1" x="5490"/>
        <item m="1" x="5720"/>
        <item m="1" x="5952"/>
        <item m="1" x="6183"/>
        <item m="1" x="6414"/>
        <item m="1" x="6646"/>
        <item m="1" x="6878"/>
        <item m="1" x="7109"/>
        <item m="1" x="7341"/>
        <item m="1" x="7575"/>
        <item m="1" x="7807"/>
        <item m="1" x="55"/>
        <item m="1" x="288"/>
        <item m="1" x="520"/>
        <item m="1" x="752"/>
        <item m="1" x="983"/>
        <item m="1" x="1215"/>
        <item m="1" x="1449"/>
        <item m="1" x="1683"/>
        <item m="1" x="1917"/>
        <item m="1" x="2148"/>
        <item m="1" x="2381"/>
        <item m="1" x="2612"/>
        <item m="1" x="2844"/>
        <item m="1" x="3074"/>
        <item m="1" x="3308"/>
        <item m="1" x="3539"/>
        <item m="1" x="3774"/>
        <item m="1" x="4007"/>
        <item m="1" x="4239"/>
        <item m="1" x="4471"/>
        <item m="1" x="4704"/>
        <item m="1" x="4938"/>
        <item m="1" x="5170"/>
        <item m="1" x="5400"/>
        <item m="1" x="5631"/>
        <item m="1" x="5864"/>
        <item m="1" x="6095"/>
        <item m="1" x="6326"/>
        <item m="1" x="6555"/>
        <item m="1" x="6790"/>
        <item m="1" x="7020"/>
        <item m="1" x="7257"/>
        <item m="1" x="7489"/>
        <item m="1" x="7719"/>
        <item m="1" x="7947"/>
        <item m="1" x="199"/>
        <item m="1" x="431"/>
        <item m="1" x="664"/>
        <item m="1" x="893"/>
        <item m="1" x="1128"/>
        <item m="1" x="1360"/>
        <item m="1" x="1594"/>
        <item m="1" x="1825"/>
        <item m="1" x="2058"/>
        <item m="1" x="2290"/>
        <item m="1" x="2524"/>
        <item m="1" x="2753"/>
        <item m="1" x="2989"/>
        <item m="1" x="3221"/>
        <item m="1" x="3682"/>
        <item m="1" x="3917"/>
        <item m="1" x="4151"/>
        <item m="1" x="4384"/>
        <item m="1" x="4614"/>
        <item m="1" x="4848"/>
        <item m="1" x="5083"/>
        <item m="1" x="5313"/>
        <item m="1" x="5541"/>
        <item m="1" x="5773"/>
        <item m="1" x="6006"/>
        <item m="1" x="6237"/>
        <item m="1" x="6468"/>
        <item m="1" x="6702"/>
        <item m="1" x="6934"/>
        <item m="1" x="7165"/>
        <item m="1" x="7396"/>
        <item m="1" x="7630"/>
        <item m="1" x="7861"/>
        <item m="1" x="110"/>
        <item m="1" x="341"/>
        <item m="1" x="577"/>
        <item m="1" x="807"/>
        <item m="1" x="1038"/>
        <item m="1" x="1267"/>
        <item m="1" x="1503"/>
        <item m="1" x="1736"/>
        <item m="1" x="1968"/>
        <item m="1" x="2202"/>
        <item m="1" x="2435"/>
        <item m="1" x="2665"/>
        <item m="1" x="2898"/>
        <item m="1" x="3128"/>
        <item m="1" x="3360"/>
        <item m="1" x="3593"/>
        <item m="1" x="3827"/>
        <item m="1" x="4061"/>
        <item m="1" x="4294"/>
        <item m="1" x="4528"/>
        <item m="1" x="4758"/>
        <item m="1" x="4992"/>
        <item m="1" x="5223"/>
        <item m="1" x="5456"/>
        <item m="1" x="5685"/>
        <item m="1" x="5918"/>
        <item m="1" x="6150"/>
        <item m="1" x="6382"/>
        <item m="1" x="6612"/>
        <item m="1" x="6844"/>
        <item m="1" x="7073"/>
        <item m="1" x="7310"/>
        <item m="1" x="7540"/>
        <item m="1" x="7771"/>
        <item m="1" x="17"/>
        <item m="1" x="255"/>
        <item m="1" x="485"/>
        <item m="1" x="717"/>
        <item m="1" x="946"/>
        <item m="1" x="1181"/>
        <item m="1" x="1413"/>
        <item m="1" x="1647"/>
        <item m="1" x="1881"/>
        <item m="1" x="2115"/>
        <item m="1" x="2346"/>
        <item m="1" x="2577"/>
        <item m="1" x="2809"/>
        <item m="1" x="3041"/>
        <item m="1" x="3273"/>
        <item m="1" x="3503"/>
        <item m="1" x="3738"/>
        <item m="1" x="3973"/>
        <item m="1" x="4203"/>
        <item m="1" x="4436"/>
        <item m="1" x="4667"/>
        <item m="1" x="4904"/>
        <item m="1" x="5134"/>
        <item m="1" x="5366"/>
        <item m="1" x="5597"/>
        <item m="1" x="5830"/>
        <item m="1" x="6061"/>
        <item m="1" x="6291"/>
        <item m="1" x="6757"/>
        <item m="1" x="6985"/>
        <item m="1" x="7220"/>
        <item m="1" x="7453"/>
        <item m="1" x="7685"/>
        <item m="1" x="7913"/>
        <item m="1" x="162"/>
        <item m="1" x="395"/>
        <item m="1" x="630"/>
        <item m="1" x="858"/>
        <item m="1" x="1092"/>
        <item m="1" x="1324"/>
        <item m="1" x="1559"/>
        <item m="1" x="1790"/>
        <item m="1" x="2022"/>
        <item m="1" x="2254"/>
        <item m="1" x="2489"/>
        <item m="1" x="2718"/>
        <item m="1" x="2953"/>
        <item m="1" x="3184"/>
        <item m="1" x="3415"/>
        <item m="1" x="3647"/>
        <item m="1" x="3879"/>
        <item m="1" x="4115"/>
        <item m="1" x="4348"/>
        <item m="1" x="4580"/>
        <item m="1" x="4813"/>
        <item m="1" x="5048"/>
        <item m="1" x="5278"/>
        <item m="1" x="5508"/>
        <item m="1" x="5737"/>
        <item m="1" x="5971"/>
        <item m="1" x="6201"/>
        <item m="1" x="6433"/>
        <item m="1" x="6665"/>
        <item m="1" x="6898"/>
        <item m="1" x="7129"/>
        <item m="1" x="7361"/>
        <item m="1" x="7592"/>
        <item m="1" x="7825"/>
        <item m="1" x="72"/>
        <item m="1" x="306"/>
        <item m="1" x="539"/>
        <item m="1" x="772"/>
        <item m="1" x="1001"/>
        <item m="1" x="1234"/>
        <item m="1" x="1466"/>
        <item m="1" x="1700"/>
        <item m="1" x="1933"/>
        <item m="1" x="2166"/>
        <item m="1" x="2399"/>
        <item m="1" x="2630"/>
        <item m="1" x="2862"/>
        <item m="1" x="3092"/>
        <item m="1" x="3324"/>
        <item m="1" x="3556"/>
        <item m="1" x="3791"/>
        <item m="1" x="4025"/>
        <item m="1" x="4258"/>
        <item m="1" x="4492"/>
        <item m="1" x="4723"/>
        <item m="1" x="4958"/>
        <item m="1" x="5420"/>
        <item m="1" x="5650"/>
        <item m="1" x="5884"/>
        <item m="1" x="6114"/>
        <item m="1" x="6347"/>
        <item m="1" x="6574"/>
        <item m="1" x="6810"/>
        <item m="1" x="7037"/>
        <item m="1" x="7275"/>
        <item m="1" x="7505"/>
        <item m="1" x="7736"/>
        <item m="1" x="7967"/>
        <item m="1" x="219"/>
        <item m="1" x="450"/>
        <item m="1" x="684"/>
        <item m="1" x="910"/>
        <item m="1" x="1146"/>
        <item m="1" x="1377"/>
        <item m="1" x="1613"/>
        <item m="1" x="1844"/>
        <item m="1" x="2079"/>
        <item m="1" x="2309"/>
        <item m="1" x="2543"/>
        <item m="1" x="2772"/>
        <item m="1" x="3007"/>
        <item m="1" x="3238"/>
        <item m="1" x="3468"/>
        <item m="1" x="3703"/>
        <item m="1" x="3939"/>
        <item m="1" x="4170"/>
        <item m="1" x="4403"/>
        <item m="1" x="4632"/>
        <item m="1" x="4869"/>
        <item m="1" x="5101"/>
        <item m="1" x="5332"/>
        <item m="1" x="5561"/>
        <item m="1" x="5794"/>
        <item m="1" x="6026"/>
        <item m="1" x="6258"/>
        <item m="1" x="6486"/>
        <item m="1" x="6721"/>
        <item m="1" x="6950"/>
        <item m="1" x="7184"/>
        <item m="1" x="7416"/>
        <item m="1" x="7650"/>
        <item m="1" x="7880"/>
        <item m="1" x="129"/>
        <item m="1" x="358"/>
        <item m="1" x="596"/>
        <item m="1" x="824"/>
        <item m="1" x="1057"/>
        <item m="1" x="1286"/>
        <item m="1" x="1523"/>
        <item m="1" x="1754"/>
        <item m="1" x="1987"/>
        <item m="1" x="2219"/>
        <item m="1" x="2453"/>
        <item m="1" x="2681"/>
        <item m="1" x="2917"/>
        <item m="1" x="3148"/>
        <item m="1" x="3381"/>
        <item m="1" x="3612"/>
        <item m="1" x="4078"/>
        <item m="1" x="4313"/>
        <item m="1" x="4544"/>
        <item m="1" x="4778"/>
        <item m="1" x="5011"/>
        <item m="1" x="5242"/>
        <item m="1" x="5474"/>
        <item m="1" x="5704"/>
        <item m="1" x="5934"/>
        <item m="1" x="6166"/>
        <item m="1" x="6397"/>
        <item m="1" x="6630"/>
        <item m="1" x="6862"/>
        <item m="1" x="7093"/>
        <item m="1" x="7327"/>
        <item m="1" x="7558"/>
        <item m="1" x="7788"/>
        <item m="1" x="36"/>
        <item m="1" x="270"/>
        <item m="1" x="504"/>
        <item m="1" x="735"/>
        <item m="1" x="965"/>
        <item m="1" x="1198"/>
        <item m="1" x="1432"/>
        <item m="1" x="1664"/>
        <item m="1" x="1899"/>
        <item m="1" x="2130"/>
        <item m="1" x="2365"/>
        <item m="1" x="2596"/>
        <item m="1" x="2829"/>
        <item m="1" x="3059"/>
        <item m="1" x="3292"/>
        <item m="1" x="3520"/>
        <item m="1" x="3756"/>
        <item m="1" x="3990"/>
        <item m="1" x="4223"/>
        <item m="1" x="4454"/>
        <item m="1" x="4688"/>
        <item m="1" x="4923"/>
        <item m="1" x="5154"/>
        <item m="1" x="5382"/>
        <item m="1" x="5615"/>
        <item m="1" x="5846"/>
        <item m="1" x="6080"/>
        <item m="1" x="6309"/>
        <item m="1" x="6541"/>
        <item m="1" x="6774"/>
        <item m="1" x="7004"/>
        <item m="1" x="7238"/>
        <item m="1" x="7470"/>
        <item m="1" x="7702"/>
        <item m="1" x="7932"/>
        <item m="1" x="181"/>
        <item m="1" x="414"/>
        <item m="1" x="648"/>
        <item m="1" x="876"/>
        <item m="1" x="1109"/>
        <item m="1" x="1341"/>
        <item m="1" x="1575"/>
        <item m="1" x="1808"/>
        <item m="1" x="2041"/>
        <item m="1" x="2274"/>
        <item m="1" x="2508"/>
        <item m="1" x="2737"/>
        <item m="1" x="2970"/>
        <item m="1" x="3203"/>
        <item m="1" x="3432"/>
        <item m="1" x="3666"/>
        <item m="1" x="3899"/>
        <item m="1" x="4135"/>
        <item m="1" x="4367"/>
        <item m="1" x="4598"/>
        <item m="1" x="4830"/>
        <item m="1" x="5065"/>
        <item m="1" x="5294"/>
        <item m="1" x="5525"/>
        <item m="1" x="5757"/>
        <item m="1" x="5990"/>
        <item m="1" x="6220"/>
        <item m="1" x="6452"/>
        <item m="1" x="6682"/>
        <item m="1" x="7146"/>
        <item m="1" x="7379"/>
        <item m="1" x="7611"/>
        <item m="1" x="7844"/>
        <item m="1" x="91"/>
        <item m="1" x="323"/>
        <item m="1" x="558"/>
        <item m="1" x="789"/>
        <item m="1" x="1019"/>
        <item m="1" x="1252"/>
        <item m="1" x="1487"/>
        <item m="1" x="1721"/>
        <item m="1" x="1952"/>
        <item m="1" x="2186"/>
        <item m="1" x="2417"/>
        <item m="1" x="2648"/>
        <item m="1" x="2879"/>
        <item m="1" x="3112"/>
        <item m="1" x="3344"/>
        <item m="1" x="3577"/>
        <item m="1" x="3810"/>
        <item m="1" x="4045"/>
        <item m="1" x="4276"/>
        <item m="1" x="4510"/>
        <item m="1" x="4740"/>
        <item m="1" x="4977"/>
        <item m="1" x="5207"/>
        <item m="1" x="5440"/>
        <item m="1" x="5669"/>
        <item m="1" x="5902"/>
        <item m="1" x="6131"/>
        <item m="1" x="6365"/>
        <item m="1" x="6591"/>
        <item m="1" x="6828"/>
        <item m="1" x="7056"/>
        <item m="1" x="7293"/>
        <item m="1" x="7522"/>
        <item m="1" x="7754"/>
        <item m="1" x="7984"/>
        <item m="1" x="236"/>
        <item m="1" x="465"/>
        <item m="1" x="701"/>
        <item m="1" x="929"/>
        <item m="1" x="1165"/>
        <item m="1" x="1396"/>
        <item m="1" x="1632"/>
        <item m="1" x="1862"/>
        <item m="1" x="2097"/>
        <item m="1" x="2327"/>
        <item m="1" x="2562"/>
        <item m="1" x="2792"/>
        <item m="1" x="3026"/>
        <item m="1" x="3257"/>
        <item m="1" x="3487"/>
        <item m="1" x="3720"/>
        <item m="1" x="3956"/>
        <item m="1" x="4186"/>
        <item m="1" x="4421"/>
        <item m="1" x="4651"/>
        <item m="1" x="4889"/>
        <item m="1" x="5119"/>
        <item m="1" x="5350"/>
        <item m="1" x="5812"/>
        <item m="1" x="6043"/>
        <item m="1" x="6276"/>
        <item m="1" x="6504"/>
        <item m="1" x="6740"/>
        <item m="1" x="6967"/>
        <item m="1" x="7203"/>
        <item m="1" x="7434"/>
        <item m="1" x="7668"/>
        <item m="1" x="7896"/>
        <item m="1" x="147"/>
        <item m="1" x="379"/>
        <item m="1" x="615"/>
        <item m="1" x="843"/>
        <item m="1" x="1076"/>
        <item m="1" x="1305"/>
        <item m="1" x="1541"/>
        <item m="1" x="1772"/>
        <item m="1" x="2006"/>
        <item m="1" x="2238"/>
        <item m="1" x="2474"/>
        <item m="1" x="2701"/>
        <item m="1" x="2937"/>
        <item m="1" x="3166"/>
        <item m="1" x="3399"/>
        <item m="1" x="3629"/>
        <item m="1" x="3864"/>
        <item m="1" x="4098"/>
        <item m="1" x="4333"/>
        <item m="1" x="4563"/>
        <item m="1" x="4796"/>
        <item m="1" x="5029"/>
        <item m="1" x="5260"/>
        <item m="1" x="5491"/>
        <item m="1" x="5721"/>
        <item m="1" x="5953"/>
        <item m="1" x="6184"/>
        <item m="1" x="6415"/>
        <item m="1" x="6648"/>
        <item m="1" x="6879"/>
        <item m="1" x="7110"/>
        <item m="1" x="7342"/>
        <item m="1" x="7576"/>
        <item m="1" x="7808"/>
        <item m="1" x="56"/>
        <item m="1" x="289"/>
        <item m="1" x="522"/>
        <item m="1" x="753"/>
        <item m="1" x="984"/>
        <item m="1" x="1216"/>
        <item m="1" x="1450"/>
        <item m="1" x="1684"/>
        <item m="1" x="1918"/>
        <item m="1" x="2149"/>
        <item m="1" x="2383"/>
        <item m="1" x="2613"/>
        <item m="1" x="2845"/>
        <item m="1" x="3075"/>
        <item m="1" x="3309"/>
        <item m="1" x="3540"/>
        <item m="1" x="3775"/>
        <item m="1" x="4008"/>
        <item m="1" x="4472"/>
        <item m="1" x="4705"/>
        <item m="1" x="4939"/>
        <item m="1" x="5171"/>
        <item m="1" x="5401"/>
        <item m="1" x="5632"/>
        <item m="1" x="5865"/>
        <item m="1" x="6097"/>
        <item m="1" x="6327"/>
        <item m="1" x="6556"/>
        <item m="1" x="6791"/>
        <item m="1" x="7021"/>
        <item m="1" x="7258"/>
        <item m="1" x="7490"/>
        <item m="1" x="7720"/>
        <item m="1" x="7949"/>
        <item m="1" x="200"/>
        <item m="1" x="432"/>
        <item m="1" x="665"/>
        <item m="1" x="894"/>
        <item m="1" x="1129"/>
        <item m="1" x="1361"/>
        <item m="1" x="1595"/>
        <item m="1" x="1827"/>
        <item m="1" x="2059"/>
        <item m="1" x="2291"/>
        <item m="1" x="2525"/>
        <item m="1" x="2755"/>
        <item m="1" x="2990"/>
        <item m="1" x="3222"/>
        <item m="1" x="3450"/>
        <item m="1" x="3684"/>
        <item m="1" x="3918"/>
        <item m="1" x="4152"/>
        <item m="1" x="4385"/>
        <item m="1" x="4615"/>
        <item m="1" x="4849"/>
        <item m="1" x="5084"/>
        <item m="1" x="5314"/>
        <item m="1" x="5543"/>
        <item m="1" x="5774"/>
        <item m="1" x="6007"/>
        <item m="1" x="6238"/>
        <item m="1" x="6469"/>
        <item m="1" x="6703"/>
        <item m="1" x="6935"/>
        <item m="1" x="7166"/>
        <item m="1" x="7398"/>
        <item m="1" x="7631"/>
        <item m="1" x="7862"/>
        <item m="1" x="111"/>
        <item m="1" x="342"/>
        <item m="1" x="578"/>
        <item m="1" x="808"/>
        <item m="1" x="1039"/>
        <item m="1" x="1269"/>
        <item m="1" x="1504"/>
        <item m="1" x="1737"/>
        <item m="1" x="1969"/>
        <item m="1" x="2203"/>
        <item m="1" x="2436"/>
        <item m="1" x="2666"/>
        <item m="1" x="2899"/>
        <item m="1" x="3130"/>
        <item m="1" x="3361"/>
        <item m="1" x="3594"/>
        <item m="1" x="3828"/>
        <item m="1" x="4062"/>
        <item m="1" x="4295"/>
        <item m="1" x="4529"/>
        <item m="1" x="4759"/>
        <item m="1" x="4994"/>
        <item m="1" x="5224"/>
        <item m="1" x="5457"/>
        <item m="1" x="5686"/>
        <item m="1" x="5919"/>
        <item m="1" x="6151"/>
        <item m="1" x="6383"/>
        <item m="1" x="6613"/>
        <item m="1" x="6846"/>
        <item m="1" x="7074"/>
        <item m="1" x="7541"/>
        <item m="1" x="7772"/>
        <item m="1" x="19"/>
        <item m="1" x="256"/>
        <item m="1" x="486"/>
        <item m="1" x="719"/>
        <item m="1" x="947"/>
        <item m="1" x="1182"/>
        <item m="1" x="1414"/>
        <item m="1" x="1649"/>
        <item m="1" x="1882"/>
        <item m="1" x="2116"/>
        <item m="1" x="2347"/>
        <item m="1" x="2579"/>
        <item m="1" x="2810"/>
        <item m="1" x="3042"/>
        <item m="1" x="3274"/>
        <item m="1" x="3504"/>
        <item m="1" x="3739"/>
        <item m="1" x="3974"/>
        <item m="1" x="4204"/>
        <item m="1" x="4438"/>
        <item m="1" x="4668"/>
        <item m="1" x="4905"/>
        <item m="1" x="5135"/>
        <item m="1" x="5367"/>
        <item m="1" x="5598"/>
        <item m="1" x="5831"/>
        <item m="1" x="6062"/>
        <item m="1" x="6293"/>
        <item m="1" x="6522"/>
        <item m="1" x="6758"/>
        <item m="1" x="6986"/>
        <item m="1" x="7221"/>
        <item m="1" x="7454"/>
        <item m="1" x="7686"/>
        <item m="1" x="7914"/>
        <item m="1" x="164"/>
        <item m="1" x="396"/>
        <item m="1" x="631"/>
        <item m="1" x="859"/>
        <item m="1" x="1093"/>
        <item m="1" x="1325"/>
        <item m="1" x="1560"/>
        <item m="1" x="1791"/>
        <item m="1" x="2024"/>
        <item m="1" x="2255"/>
        <item m="1" x="2490"/>
        <item m="1" x="2719"/>
        <item m="1" x="2954"/>
        <item m="1" x="3185"/>
        <item m="1" x="3416"/>
        <item m="1" x="3648"/>
        <item m="1" x="3881"/>
        <item m="1" x="4116"/>
        <item m="1" x="4349"/>
        <item m="1" x="4581"/>
        <item m="1" x="4814"/>
        <item m="1" x="5049"/>
        <item m="1" x="5279"/>
        <item m="1" x="5509"/>
        <item m="1" x="5739"/>
        <item m="1" x="6202"/>
        <item m="1" x="6434"/>
        <item m="1" x="6666"/>
        <item m="1" x="6899"/>
        <item m="1" x="7130"/>
        <item m="1" x="7362"/>
        <item m="1" x="7594"/>
        <item m="1" x="7826"/>
        <item m="1" x="73"/>
        <item m="1" x="307"/>
        <item m="1" x="541"/>
        <item m="1" x="773"/>
        <item m="1" x="1002"/>
        <item m="1" x="1235"/>
        <item m="1" x="1468"/>
        <item m="1" x="1701"/>
        <item m="1" x="1934"/>
        <item m="1" x="2167"/>
        <item m="1" x="2400"/>
        <item m="1" x="2631"/>
        <item m="1" x="2863"/>
        <item m="1" x="3093"/>
        <item m="1" x="3326"/>
        <item m="1" x="3557"/>
        <item m="1" x="3792"/>
        <item m="1" x="4026"/>
        <item m="1" x="4259"/>
        <item m="1" x="4493"/>
        <item m="1" x="4724"/>
        <item m="1" x="4959"/>
        <item m="1" x="5189"/>
        <item m="1" x="5421"/>
        <item m="1" x="5651"/>
        <item m="1" x="5885"/>
        <item m="1" x="6115"/>
        <item m="1" x="6348"/>
        <item m="1" x="6575"/>
        <item m="1" x="6811"/>
        <item m="1" x="7039"/>
        <item m="1" x="7276"/>
        <item m="1" x="7506"/>
        <item m="1" x="7737"/>
        <item m="1" x="7968"/>
        <item m="1" x="220"/>
        <item m="1" x="451"/>
        <item m="1" x="685"/>
        <item m="1" x="912"/>
        <item m="1" x="1147"/>
        <item m="1" x="1378"/>
        <item m="1" x="1614"/>
        <item m="1" x="1845"/>
        <item m="1" x="2080"/>
        <item m="1" x="2310"/>
        <item m="1" x="2544"/>
        <item m="1" x="2774"/>
        <item m="1" x="3008"/>
        <item m="1" x="3239"/>
        <item m="1" x="3469"/>
        <item m="1" x="3704"/>
        <item m="1" x="3940"/>
        <item m="1" x="4171"/>
        <item m="1" x="4404"/>
        <item m="1" x="4870"/>
        <item m="1" x="5102"/>
        <item m="1" x="5333"/>
        <item m="1" x="5562"/>
        <item m="1" x="5795"/>
        <item m="1" x="6027"/>
        <item m="1" x="6259"/>
        <item m="1" x="6488"/>
        <item m="1" x="6722"/>
        <item m="1" x="6951"/>
        <item m="1" x="7185"/>
        <item m="1" x="7418"/>
        <item m="1" x="7651"/>
        <item m="1" x="7881"/>
        <item m="1" x="130"/>
        <item m="1" x="360"/>
        <item m="1" x="597"/>
        <item m="1" x="825"/>
        <item m="1" x="1058"/>
        <item m="1" x="1287"/>
        <item m="1" x="1524"/>
        <item m="1" x="1755"/>
        <item m="1" x="1988"/>
        <item m="1" x="2221"/>
        <item m="1" x="2454"/>
        <item m="1" x="2682"/>
        <item m="1" x="2918"/>
        <item m="1" x="3149"/>
        <item m="1" x="3382"/>
        <item m="1" x="3613"/>
        <item m="1" x="3846"/>
        <item m="1" x="4080"/>
        <item m="1" x="4314"/>
        <item m="1" x="4545"/>
        <item m="1" x="4779"/>
        <item m="1" x="5012"/>
        <item m="1" x="5243"/>
        <item m="1" x="5475"/>
        <item m="1" x="5705"/>
        <item m="1" x="5936"/>
        <item m="1" x="6167"/>
        <item m="1" x="6398"/>
        <item m="1" x="6631"/>
        <item m="1" x="6863"/>
        <item m="1" x="7094"/>
        <item m="1" x="7328"/>
        <item m="1" x="7559"/>
        <item m="1" x="7790"/>
        <item m="1" x="37"/>
        <item m="1" x="271"/>
        <item m="1" x="505"/>
        <item m="1" x="736"/>
        <item m="1" x="966"/>
        <item m="1" x="1199"/>
        <item m="1" x="1433"/>
        <item m="1" x="1666"/>
        <item m="1" x="1900"/>
        <item m="1" x="2131"/>
        <item m="1" x="2366"/>
        <item m="1" x="2597"/>
        <item m="1" x="2830"/>
        <item m="1" x="3060"/>
        <item m="1" x="3293"/>
        <item m="1" x="3522"/>
        <item m="1" x="3757"/>
        <item m="1" x="3991"/>
        <item m="1" x="4224"/>
        <item m="1" x="4455"/>
        <item m="1" x="4689"/>
        <item m="1" x="4924"/>
        <item m="1" x="5155"/>
        <item m="1" x="5384"/>
        <item m="1" x="5616"/>
        <item m="1" x="5847"/>
        <item m="1" x="6081"/>
        <item m="1" x="6310"/>
        <item m="1" x="6542"/>
        <item m="1" x="6775"/>
        <item m="1" x="7005"/>
        <item m="1" x="7240"/>
        <item m="1" x="7471"/>
        <item m="1" x="7933"/>
        <item m="1" x="182"/>
        <item m="1" x="415"/>
        <item m="1" x="649"/>
        <item m="1" x="877"/>
        <item m="1" x="1111"/>
        <item m="1" x="1342"/>
        <item m="1" x="1576"/>
        <item m="1" x="1809"/>
        <item m="1" x="2042"/>
        <item m="1" x="2275"/>
        <item m="1" x="2509"/>
        <item m="1" x="2738"/>
        <item m="1" x="2972"/>
        <item m="1" x="3204"/>
        <item m="1" x="3433"/>
        <item m="1" x="3667"/>
        <item m="1" x="3900"/>
        <item m="1" x="4136"/>
        <item m="1" x="4368"/>
        <item m="1" x="4599"/>
        <item m="1" x="4832"/>
        <item m="1" x="5066"/>
        <item m="1" x="5295"/>
        <item m="1" x="5526"/>
        <item m="1" x="5758"/>
        <item m="1" x="5991"/>
        <item m="1" x="6221"/>
        <item m="1" x="6453"/>
        <item m="1" x="6684"/>
        <item m="1" x="6916"/>
        <item m="1" x="7147"/>
        <item m="1" x="7380"/>
        <item m="1" x="7612"/>
        <item m="1" x="7845"/>
        <item m="1" x="92"/>
        <item m="1" x="324"/>
        <item m="1" x="560"/>
        <item m="1" x="790"/>
        <item m="1" x="1020"/>
        <item m="1" x="1253"/>
        <item m="1" x="1488"/>
        <item m="1" x="1722"/>
        <item m="1" x="1953"/>
        <item m="1" x="2187"/>
        <item m="1" x="2419"/>
        <item m="1" x="2649"/>
        <item m="1" x="2880"/>
        <item m="1" x="3113"/>
        <item m="1" x="3345"/>
        <item m="1" x="3578"/>
        <item m="1" x="3812"/>
        <item m="1" x="4046"/>
        <item m="1" x="4278"/>
        <item m="1" x="4512"/>
        <item m="1" x="4741"/>
        <item m="1" x="4978"/>
        <item m="1" x="5208"/>
        <item m="1" x="5441"/>
        <item m="1" x="5670"/>
        <item m="1" x="5903"/>
        <item m="1" x="6133"/>
        <item m="1" x="6592"/>
        <item m="1" x="6829"/>
        <item m="1" x="7057"/>
        <item m="1" x="7294"/>
        <item m="1" x="7523"/>
        <item m="1" x="7755"/>
        <item m="1" x="7986"/>
        <item m="1" x="237"/>
        <item m="1" x="466"/>
        <item m="1" x="702"/>
        <item m="1" x="930"/>
        <item m="1" x="1166"/>
        <item m="1" x="1397"/>
        <item m="1" x="1633"/>
        <item m="1" x="1864"/>
        <item m="1" x="2098"/>
        <item m="1" x="2328"/>
        <item m="1" x="2563"/>
        <item m="1" x="2793"/>
        <item m="1" x="3027"/>
        <item m="1" x="3258"/>
        <item m="1" x="3488"/>
        <item m="1" x="3722"/>
        <item m="1" x="3957"/>
        <item m="1" x="4187"/>
        <item m="1" x="4422"/>
        <item m="1" x="4652"/>
        <item m="1" x="4890"/>
        <item m="1" x="5120"/>
        <item m="1" x="5351"/>
        <item m="1" x="5580"/>
        <item m="1" x="5813"/>
        <item m="1" x="6044"/>
        <item m="1" x="6277"/>
        <item m="1" x="6505"/>
        <item m="1" x="6741"/>
        <item m="1" x="6968"/>
        <item m="1" x="7204"/>
        <item m="1" x="7436"/>
        <item m="1" x="7669"/>
        <item m="1" x="7897"/>
        <item m="1" x="148"/>
        <item m="1" x="380"/>
        <item m="1" x="616"/>
        <item m="1" x="844"/>
        <item m="1" x="1077"/>
        <item m="1" x="1307"/>
        <item m="1" x="1542"/>
        <item m="1" x="1773"/>
        <item m="1" x="2007"/>
        <item m="1" x="2239"/>
        <item m="1" x="2475"/>
        <item m="1" x="2702"/>
        <item m="1" x="2938"/>
        <item m="1" x="3168"/>
        <item m="1" x="3400"/>
        <item m="1" x="3630"/>
        <item m="1" x="3865"/>
        <item m="1" x="4099"/>
        <item m="1" x="4334"/>
        <item m="1" x="4564"/>
        <item m="1" x="4797"/>
        <item m="1" x="5261"/>
        <item m="1" x="5492"/>
        <item m="1" x="5722"/>
        <item m="1" x="5954"/>
        <item m="1" x="6185"/>
        <item m="1" x="6416"/>
        <item m="1" x="6649"/>
        <item m="1" x="6881"/>
        <item m="1" x="7111"/>
        <item m="1" x="7343"/>
        <item m="1" x="7577"/>
        <item m="1" x="7809"/>
        <item m="1" x="57"/>
        <item m="1" x="290"/>
        <item m="1" x="523"/>
        <item m="1" x="755"/>
        <item m="1" x="985"/>
        <item m="1" x="1217"/>
        <item m="1" x="1451"/>
        <item m="1" x="1685"/>
        <item m="1" x="1919"/>
        <item m="1" x="2150"/>
        <item m="1" x="2384"/>
        <item m="1" x="2615"/>
        <item m="1" x="2846"/>
        <item m="1" x="3076"/>
        <item m="1" x="3310"/>
        <item m="1" x="3541"/>
        <item m="1" x="3776"/>
        <item m="1" x="4009"/>
        <item m="1" x="4241"/>
        <item m="1" x="4474"/>
        <item m="1" x="4706"/>
        <item m="1" x="4940"/>
        <item m="1" x="5172"/>
        <item m="1" x="5402"/>
        <item m="1" x="5633"/>
        <item m="1" x="5866"/>
        <item m="1" x="6098"/>
        <item m="1" x="6329"/>
        <item m="1" x="6557"/>
        <item m="1" x="6792"/>
        <item m="1" x="7022"/>
        <item m="1" x="7259"/>
        <item m="1" x="7491"/>
        <item m="1" x="7721"/>
        <item m="1" x="7950"/>
        <item m="1" x="202"/>
        <item m="1" x="433"/>
        <item m="1" x="666"/>
        <item m="1" x="895"/>
        <item m="1" x="1130"/>
        <item m="1" x="1362"/>
        <item m="1" x="1596"/>
        <item m="1" x="1828"/>
        <item m="1" x="2061"/>
        <item m="1" x="2293"/>
        <item m="1" x="2526"/>
        <item m="1" x="2756"/>
        <item m="1" x="2991"/>
        <item m="1" x="3223"/>
        <item m="1" x="3451"/>
        <item m="1" x="3685"/>
        <item m="1" x="3920"/>
        <item m="1" x="4153"/>
        <item m="1" x="4386"/>
        <item m="1" x="4616"/>
        <item m="1" x="4850"/>
        <item m="1" x="5085"/>
        <item m="1" x="5315"/>
        <item m="1" x="5544"/>
        <item m="1" x="5776"/>
        <item m="1" x="6008"/>
        <item m="1" x="6239"/>
        <item m="1" x="6470"/>
        <item m="1" x="6704"/>
        <item m="1" x="6936"/>
        <item m="1" x="7167"/>
        <item m="1" x="7399"/>
        <item m="1" x="7633"/>
        <item m="1" x="7863"/>
        <item m="1" x="343"/>
        <item m="1" x="579"/>
        <item m="1" x="809"/>
        <item m="1" x="1040"/>
        <item m="1" x="1270"/>
        <item m="1" x="1506"/>
        <item m="1" x="1738"/>
        <item m="1" x="1970"/>
        <item m="1" x="2204"/>
        <item m="1" x="2437"/>
        <item m="1" x="2667"/>
        <item m="1" x="2900"/>
        <item m="1" x="3131"/>
        <item m="1" x="3363"/>
        <item m="1" x="3595"/>
        <item m="1" x="3829"/>
        <item m="1" x="4063"/>
        <item m="1" x="4296"/>
        <item m="1" x="4530"/>
        <item m="1" x="4760"/>
        <item m="1" x="4995"/>
        <item m="1" x="5226"/>
        <item m="1" x="5458"/>
        <item m="1" x="5687"/>
        <item m="1" x="5920"/>
        <item m="1" x="6152"/>
        <item m="1" x="6384"/>
        <item m="1" x="6614"/>
        <item m="1" x="6847"/>
        <item m="1" x="7076"/>
        <item m="1" x="7311"/>
        <item m="1" x="7542"/>
        <item m="1" x="7773"/>
        <item m="1" x="20"/>
        <item m="1" x="257"/>
        <item m="1" x="487"/>
        <item m="1" x="720"/>
        <item m="1" x="949"/>
        <item m="1" x="1183"/>
        <item m="1" x="1415"/>
        <item m="1" x="1650"/>
        <item m="1" x="1883"/>
        <item m="1" x="2117"/>
        <item m="1" x="2348"/>
        <item m="1" x="2580"/>
        <item m="1" x="2812"/>
        <item m="1" x="3043"/>
        <item m="1" x="3275"/>
        <item m="1" x="3505"/>
        <item m="1" x="3740"/>
        <item m="1" x="3975"/>
        <item m="1" x="4205"/>
        <item m="1" x="4439"/>
        <item m="1" x="4670"/>
        <item m="1" x="4906"/>
        <item m="1" x="5136"/>
        <item m="1" x="5368"/>
        <item m="1" x="5599"/>
        <item m="1" x="5832"/>
        <item m="1" x="6063"/>
        <item m="1" x="6294"/>
        <item m="1" x="6524"/>
        <item m="1" x="6987"/>
        <item m="1" x="7222"/>
        <item m="1" x="7455"/>
        <item m="1" x="7687"/>
        <item m="1" x="7915"/>
        <item m="1" x="165"/>
        <item m="1" x="398"/>
        <item m="1" x="632"/>
        <item m="1" x="860"/>
        <item m="1" x="1094"/>
        <item m="1" x="1326"/>
        <item m="1" x="1561"/>
        <item m="1" x="1792"/>
        <item m="1" x="2025"/>
        <item m="1" x="2257"/>
        <item m="1" x="2491"/>
        <item m="1" x="2720"/>
        <item m="1" x="2955"/>
        <item m="1" x="3186"/>
        <item m="1" x="3417"/>
        <item m="1" x="3649"/>
        <item m="1" x="3882"/>
        <item m="1" x="4118"/>
        <item m="1" x="4350"/>
        <item m="1" x="4582"/>
        <item m="1" x="4815"/>
        <item m="1" x="5050"/>
        <item m="1" x="5280"/>
        <item m="1" x="5510"/>
        <item m="1" x="5740"/>
        <item m="1" x="5973"/>
        <item m="1" x="6203"/>
        <item m="1" x="6435"/>
        <item m="1" x="6667"/>
        <item m="1" x="6900"/>
        <item m="1" x="7131"/>
        <item m="1" x="7363"/>
        <item m="1" x="7595"/>
        <item m="1" x="7828"/>
        <item m="1" x="75"/>
        <item m="1" x="308"/>
        <item m="1" x="542"/>
        <item m="1" x="774"/>
        <item m="1" x="1003"/>
        <item m="1" x="1236"/>
        <item m="1" x="1469"/>
        <item m="1" x="1703"/>
        <item m="1" x="1935"/>
        <item m="1" x="2168"/>
        <item m="1" x="2401"/>
        <item m="1" x="2632"/>
        <item m="1" x="2864"/>
        <item m="1" x="3094"/>
        <item m="1" x="3327"/>
        <item m="1" x="3559"/>
        <item m="1" x="3793"/>
        <item m="1" x="4027"/>
        <item m="1" x="4260"/>
        <item m="1" x="4494"/>
        <item m="1" x="4725"/>
        <item m="1" x="4960"/>
        <item m="1" x="5190"/>
        <item m="1" x="5423"/>
        <item m="1" x="5652"/>
        <item m="1" x="5886"/>
        <item m="1" x="6116"/>
        <item m="1" x="6349"/>
        <item m="1" x="6576"/>
        <item m="1" x="6812"/>
        <item m="1" x="7040"/>
        <item m="1" x="7278"/>
        <item m="1" x="7507"/>
        <item m="1" x="7738"/>
        <item m="1" x="7969"/>
        <item m="1" x="221"/>
        <item m="1" x="452"/>
        <item m="1" x="686"/>
        <item m="1" x="913"/>
        <item m="1" x="1149"/>
        <item m="1" x="1379"/>
        <item m="1" x="1615"/>
        <item m="1" x="2081"/>
        <item m="1" x="2311"/>
        <item m="1" x="2545"/>
        <item m="1" x="2775"/>
        <item m="1" x="3010"/>
        <item m="1" x="3240"/>
        <item m="1" x="3470"/>
        <item m="1" x="3705"/>
        <item m="1" x="3941"/>
        <item m="1" x="4172"/>
        <item m="1" x="4405"/>
        <item m="1" x="4634"/>
        <item m="1" x="4872"/>
        <item m="1" x="5103"/>
        <item m="1" x="5334"/>
        <item m="1" x="5563"/>
        <item m="1" x="5796"/>
        <item m="1" x="6028"/>
        <item m="1" x="6260"/>
        <item m="1" x="6489"/>
        <item m="1" x="6724"/>
        <item m="1" x="6952"/>
        <item m="1" x="7186"/>
        <item m="1" x="7419"/>
        <item m="1" x="7652"/>
        <item m="1" x="7882"/>
        <item m="1" x="131"/>
        <item m="1" x="361"/>
        <item m="1" x="599"/>
        <item m="1" x="826"/>
        <item m="1" x="1059"/>
        <item m="1" x="1288"/>
        <item m="1" x="1525"/>
        <item m="1" x="1756"/>
        <item m="1" x="1989"/>
        <item m="1" x="2222"/>
        <item m="1" x="2456"/>
        <item m="1" x="2683"/>
        <item m="1" x="2919"/>
        <item m="1" x="3150"/>
        <item m="1" x="3383"/>
        <item m="1" x="3614"/>
        <item m="1" x="3847"/>
        <item m="1" x="4081"/>
        <item m="1" x="4316"/>
        <item m="1" x="4546"/>
        <item m="1" x="4780"/>
        <item m="1" x="5013"/>
        <item m="1" x="5244"/>
        <item m="1" x="5476"/>
        <item m="1" x="5706"/>
        <item m="1" x="5937"/>
        <item m="1" x="6169"/>
        <item m="1" x="6399"/>
        <item m="1" x="6632"/>
        <item m="1" x="6864"/>
        <item m="1" x="7095"/>
        <item m="1" x="7329"/>
        <item m="1" x="7560"/>
        <item m="1" x="7791"/>
        <item m="1" x="39"/>
        <item m="1" x="272"/>
        <item m="1" x="737"/>
        <item m="1" x="967"/>
        <item m="1" x="1200"/>
        <item m="1" x="1434"/>
        <item m="1" x="1667"/>
        <item m="1" x="1902"/>
        <item m="1" x="2132"/>
        <item m="1" x="2367"/>
        <item m="1" x="2598"/>
        <item m="1" x="2831"/>
        <item m="1" x="3061"/>
        <item m="1" x="3294"/>
        <item m="1" x="3523"/>
        <item m="1" x="3759"/>
        <item m="1" x="3992"/>
        <item m="1" x="4225"/>
        <item m="1" x="4456"/>
        <item m="1" x="4690"/>
        <item m="1" x="4925"/>
        <item m="1" x="5156"/>
        <item m="1" x="5385"/>
        <item m="1" x="5618"/>
        <item m="1" x="5849"/>
        <item m="1" x="6082"/>
        <item m="1" x="6311"/>
        <item m="1" x="6543"/>
        <item m="1" x="6776"/>
        <item m="1" x="7006"/>
        <item m="1" x="7241"/>
        <item m="1" x="7473"/>
        <item m="1" x="7703"/>
        <item m="1" x="7934"/>
        <item m="1" x="183"/>
        <item m="1" x="416"/>
        <item m="1" x="650"/>
        <item m="1" x="878"/>
        <item m="1" x="1112"/>
        <item m="1" x="1344"/>
        <item m="1" x="1577"/>
        <item m="1" x="1810"/>
        <item m="1" x="2043"/>
        <item m="1" x="2276"/>
        <item m="1" x="2510"/>
        <item m="1" x="2739"/>
        <item m="1" x="2973"/>
        <item m="1" x="3206"/>
        <item m="1" x="3434"/>
        <item m="1" x="3668"/>
        <item m="1" x="3901"/>
        <item m="1" x="4137"/>
        <item m="1" x="4369"/>
        <item m="1" x="4600"/>
        <item m="1" x="4833"/>
        <item m="1" x="5068"/>
        <item m="1" x="5296"/>
        <item m="1" x="5527"/>
        <item m="1" x="5759"/>
        <item m="1" x="5992"/>
        <item m="1" x="6222"/>
        <item m="1" x="6454"/>
        <item m="1" x="6685"/>
        <item m="1" x="6918"/>
        <item m="1" x="7381"/>
        <item m="1" x="7613"/>
        <item m="1" x="7846"/>
        <item m="1" x="93"/>
        <item m="1" x="325"/>
        <item m="1" x="561"/>
        <item m="1" x="792"/>
        <item m="1" x="1021"/>
        <item m="1" x="1254"/>
        <item m="1" x="1489"/>
        <item m="1" x="1723"/>
        <item m="1" x="1954"/>
        <item m="1" x="2188"/>
        <item m="1" x="2420"/>
        <item m="1" x="2651"/>
        <item m="1" x="2881"/>
        <item m="1" x="3114"/>
        <item m="1" x="3346"/>
        <item m="1" x="3579"/>
        <item m="1" x="3813"/>
        <item m="1" x="4047"/>
        <item m="1" x="4279"/>
        <item m="1" x="4514"/>
        <item m="1" x="4742"/>
        <item m="1" x="4979"/>
        <item m="1" x="5209"/>
        <item m="1" x="5442"/>
        <item m="1" x="5671"/>
        <item m="1" x="5904"/>
        <item m="1" x="6134"/>
        <item m="1" x="6367"/>
        <item m="1" x="6593"/>
        <item m="1" x="6830"/>
        <item m="1" x="7058"/>
        <item m="1" x="7295"/>
        <item m="1" x="7524"/>
        <item m="1" x="7756"/>
        <item m="1" x="7987"/>
        <item m="1" x="239"/>
        <item m="1" x="467"/>
        <item m="1" x="703"/>
        <item m="1" x="931"/>
        <item m="1" x="1167"/>
        <item m="1" x="1398"/>
        <item m="1" x="1634"/>
        <item m="1" x="1865"/>
        <item m="1" x="2100"/>
        <item m="1" x="2329"/>
        <item m="1" x="2564"/>
        <item m="1" x="2794"/>
        <item m="1" x="3028"/>
        <item m="1" x="3259"/>
        <item m="1" x="3489"/>
        <item m="1" x="3723"/>
        <item m="1" x="3959"/>
        <item m="1" x="4188"/>
        <item m="1" x="4423"/>
        <item m="1" x="4653"/>
        <item m="1" x="4891"/>
        <item m="1" x="5121"/>
        <item m="1" x="5352"/>
        <item m="1" x="5581"/>
        <item m="1" x="5815"/>
        <item m="1" x="6045"/>
        <item m="1" x="6278"/>
        <item m="1" x="6506"/>
        <item m="1" x="6742"/>
        <item m="1" x="6969"/>
        <item m="1" x="7205"/>
        <item m="1" x="7437"/>
        <item m="1" x="7671"/>
        <item m="1" x="7898"/>
        <item m="1" x="149"/>
        <item m="1" x="381"/>
        <item m="1" x="617"/>
        <item m="1" x="845"/>
        <item m="1" x="1078"/>
        <item m="1" x="1308"/>
        <item m="1" x="1544"/>
        <item m="1" x="1774"/>
        <item m="1" x="2008"/>
        <item m="1" x="2476"/>
        <item m="1" x="2703"/>
        <item m="1" x="2939"/>
        <item m="1" x="3169"/>
        <item m="1" x="3402"/>
        <item m="1" x="3632"/>
        <item m="1" x="3866"/>
        <item m="1" x="4100"/>
        <item m="1" x="4335"/>
        <item m="1" x="4565"/>
        <item m="1" x="4798"/>
        <item m="1" x="5031"/>
        <item m="1" x="5263"/>
        <item m="1" x="5493"/>
        <item m="1" x="5723"/>
        <item m="1" x="5955"/>
        <item m="1" x="6186"/>
        <item m="1" x="6417"/>
        <item m="1" x="6650"/>
        <item m="1" x="6882"/>
        <item m="1" x="7113"/>
        <item m="1" x="7344"/>
        <item m="1" x="7578"/>
        <item m="1" x="7810"/>
        <item m="1" x="58"/>
        <item m="1" x="291"/>
        <item m="1" x="524"/>
        <item m="1" x="756"/>
        <item m="1" x="987"/>
        <item m="1" x="1218"/>
        <item m="1" x="1452"/>
        <item m="1" x="1686"/>
        <item m="1" x="1920"/>
        <item m="1" x="2151"/>
        <item m="1" x="2385"/>
        <item m="1" x="2616"/>
        <item m="1" x="2848"/>
        <item m="1" x="3077"/>
        <item m="1" x="3311"/>
        <item m="1" x="3542"/>
        <item m="1" x="3777"/>
        <item m="1" x="4010"/>
        <item m="1" x="4242"/>
        <item m="1" x="4475"/>
        <item m="1" x="4708"/>
        <item m="1" x="4941"/>
        <item m="1" x="5173"/>
        <item m="1" x="5403"/>
        <item m="1" x="5634"/>
        <item m="1" x="5867"/>
        <item m="1" x="6099"/>
        <item m="1" x="6330"/>
        <item m="1" x="6559"/>
        <item m="1" x="6793"/>
        <item m="1" x="7023"/>
        <item m="1" x="7260"/>
        <item m="1" x="7492"/>
        <item m="1" x="7722"/>
        <item m="1" x="7951"/>
        <item m="1" x="203"/>
        <item m="1" x="435"/>
        <item m="1" x="667"/>
        <item m="1" x="1131"/>
        <item m="1" x="1363"/>
        <item m="1" x="1597"/>
        <item m="1" x="1829"/>
        <item m="1" x="2062"/>
        <item m="1" x="2295"/>
        <item m="1" x="2527"/>
        <item m="1" x="2757"/>
        <item m="1" x="2992"/>
        <item m="1" x="3224"/>
        <item m="1" x="3452"/>
        <item m="1" x="3686"/>
        <item m="1" x="3921"/>
        <item m="1" x="4155"/>
        <item m="1" x="4387"/>
        <item m="1" x="4617"/>
        <item m="1" x="4851"/>
        <item m="1" x="5086"/>
        <item m="1" x="5316"/>
        <item m="1" x="5545"/>
        <item m="1" x="5777"/>
        <item m="1" x="6010"/>
        <item m="1" x="6240"/>
        <item m="1" x="6471"/>
        <item m="1" x="6705"/>
        <item m="1" x="6937"/>
        <item m="1" x="7168"/>
        <item m="1" x="7400"/>
        <item m="1" x="7634"/>
        <item m="1" x="7865"/>
        <item m="1" x="112"/>
        <item m="1" x="344"/>
        <item m="1" x="580"/>
        <item m="1" x="810"/>
        <item m="1" x="1041"/>
        <item m="1" x="1271"/>
        <item m="1" x="1507"/>
        <item m="1" x="1740"/>
        <item m="1" x="1971"/>
        <item m="1" x="2205"/>
        <item m="1" x="2438"/>
        <item m="1" x="2668"/>
        <item m="1" x="2901"/>
        <item m="1" x="3132"/>
        <item m="1" x="3364"/>
        <item m="1" x="3597"/>
        <item m="1" x="3830"/>
        <item m="1" x="4064"/>
        <item m="1" x="4297"/>
        <item m="1" x="4531"/>
        <item m="1" x="4761"/>
        <item m="1" x="4996"/>
        <item m="1" x="5227"/>
        <item m="1" x="5460"/>
        <item m="1" x="5688"/>
        <item m="1" x="5921"/>
        <item m="1" x="6153"/>
        <item m="1" x="6385"/>
        <item m="1" x="6615"/>
        <item m="1" x="6848"/>
        <item m="1" x="7077"/>
        <item m="1" x="7313"/>
        <item m="1" x="7774"/>
        <item m="1" x="21"/>
        <item m="1" x="258"/>
        <item m="1" x="488"/>
        <item m="1" x="721"/>
        <item m="1" x="950"/>
        <item m="1" x="1185"/>
        <item m="1" x="1417"/>
        <item m="1" x="1651"/>
        <item m="1" x="1884"/>
        <item m="1" x="2118"/>
        <item m="1" x="2349"/>
        <item m="1" x="2581"/>
        <item m="1" x="2813"/>
        <item m="1" x="3045"/>
        <item m="1" x="3276"/>
        <item m="1" x="3506"/>
        <item m="1" x="3741"/>
        <item m="1" x="3976"/>
        <item m="1" x="4206"/>
        <item m="1" x="4440"/>
        <item m="1" x="4671"/>
        <item m="1" x="4908"/>
        <item m="1" x="5137"/>
        <item m="1" x="5369"/>
        <item m="1" x="5600"/>
        <item m="1" x="5833"/>
        <item m="1" x="6064"/>
        <item m="1" x="6295"/>
        <item m="1" x="6525"/>
        <item m="1" x="6760"/>
        <item m="1" x="6988"/>
        <item m="1" x="7223"/>
        <item m="1" x="7456"/>
        <item m="1" x="7688"/>
        <item m="1" x="7916"/>
        <item m="1" x="166"/>
        <item m="1" x="399"/>
        <item m="1" x="634"/>
        <item m="1" x="861"/>
        <item m="1" x="1095"/>
        <item m="1" x="1327"/>
        <item m="1" x="1562"/>
        <item m="1" x="1793"/>
        <item m="1" x="2026"/>
        <item m="1" x="2258"/>
        <item m="1" x="2493"/>
        <item m="1" x="2721"/>
        <item m="1" x="2956"/>
        <item m="1" x="3187"/>
        <item m="1" x="3418"/>
        <item m="1" x="3650"/>
        <item m="1" x="3883"/>
        <item m="1" x="4119"/>
        <item m="1" x="4352"/>
        <item m="1" x="4583"/>
        <item m="1" x="4816"/>
        <item m="1" x="5051"/>
        <item m="1" x="5281"/>
        <item m="1" x="5511"/>
        <item m="1" x="5741"/>
        <item m="1" x="5974"/>
        <item m="1" x="6205"/>
        <item m="1" x="6436"/>
        <item m="1" x="6668"/>
        <item m="1" x="6901"/>
        <item m="1" x="7132"/>
        <item m="1" x="7364"/>
        <item m="1" x="7596"/>
        <item m="1" x="7829"/>
        <item m="1" x="77"/>
        <item m="1" x="309"/>
        <item m="1" x="543"/>
        <item m="1" x="775"/>
        <item m="1" x="1004"/>
        <item m="1" x="1237"/>
        <item m="1" x="1470"/>
        <item m="1" x="1704"/>
        <item m="1" x="1937"/>
        <item m="1" x="2169"/>
        <item m="1" x="2402"/>
        <item m="1" x="2865"/>
        <item m="1" x="3095"/>
        <item m="1" x="3328"/>
        <item m="1" x="3560"/>
        <item m="1" x="3795"/>
        <item m="1" x="4028"/>
        <item m="1" x="4261"/>
        <item m="1" x="4495"/>
        <item m="1" x="4726"/>
        <item m="1" x="4961"/>
        <item m="1" x="5191"/>
        <item m="1" x="5424"/>
        <item m="1" x="5654"/>
        <item m="1" x="5887"/>
        <item m="1" x="6117"/>
        <item m="1" x="6350"/>
        <item m="1" x="6577"/>
        <item m="1" x="6813"/>
        <item m="1" x="7041"/>
        <item m="1" x="7279"/>
        <item m="1" x="7509"/>
        <item m="1" x="7739"/>
        <item m="1" x="7970"/>
        <item m="1" x="222"/>
        <item m="1" x="453"/>
        <item m="1" x="687"/>
        <item m="1" x="914"/>
        <item m="1" x="1150"/>
        <item m="1" x="1381"/>
        <item m="1" x="1616"/>
        <item m="1" x="1846"/>
        <item m="1" x="2082"/>
        <item m="1" x="2312"/>
        <item m="1" x="2546"/>
        <item m="1" x="2776"/>
        <item m="1" x="3011"/>
        <item m="1" x="3242"/>
        <item m="1" x="3471"/>
        <item m="1" x="3706"/>
        <item m="1" x="3942"/>
        <item m="1" x="4173"/>
        <item m="1" x="4406"/>
        <item m="1" x="4635"/>
        <item m="1" x="4873"/>
        <item m="1" x="5105"/>
        <item m="1" x="5335"/>
        <item m="1" x="5564"/>
        <item m="1" x="5797"/>
        <item m="1" x="6029"/>
        <item m="1" x="6261"/>
        <item m="1" x="6490"/>
        <item m="1" x="6725"/>
        <item m="1" x="6954"/>
        <item m="1" x="7188"/>
        <item m="1" x="7420"/>
        <item m="1" x="7653"/>
        <item m="1" x="7883"/>
        <item m="1" x="132"/>
        <item m="1" x="362"/>
        <item m="1" x="600"/>
        <item m="1" x="828"/>
        <item m="1" x="1060"/>
        <item m="1" x="1526"/>
        <item m="1" x="1757"/>
        <item m="1" x="1990"/>
        <item m="1" x="2223"/>
        <item m="1" x="2457"/>
        <item m="1" x="2685"/>
        <item m="1" x="2920"/>
        <item m="1" x="3151"/>
        <item m="1" x="3384"/>
        <item m="1" x="3615"/>
        <item m="1" x="3848"/>
        <item m="1" x="4082"/>
        <item m="1" x="4317"/>
        <item m="1" x="4548"/>
        <item m="1" x="4781"/>
        <item m="1" x="5014"/>
        <item m="1" x="5245"/>
        <item m="1" x="5477"/>
        <item m="1" x="5707"/>
        <item m="1" x="5938"/>
        <item m="1" x="6170"/>
        <item m="1" x="6401"/>
        <item m="1" x="6633"/>
        <item m="1" x="6865"/>
        <item m="1" x="7096"/>
        <item m="1" x="7330"/>
        <item m="1" x="7561"/>
        <item m="1" x="7792"/>
        <item m="1" x="40"/>
        <item m="1" x="274"/>
        <item m="1" x="506"/>
        <item m="1" x="738"/>
        <item m="1" x="968"/>
        <item m="1" x="1201"/>
        <item m="1" x="1435"/>
        <item m="1" x="1668"/>
        <item m="1" x="1903"/>
        <item m="1" x="2134"/>
        <item m="1" x="2368"/>
        <item m="1" x="2599"/>
        <item m="1" x="2832"/>
        <item m="1" x="3062"/>
        <item m="1" x="3295"/>
        <item m="1" x="3524"/>
        <item m="1" x="3760"/>
        <item m="1" x="3994"/>
        <item m="1" x="4226"/>
        <item m="1" x="4457"/>
        <item m="1" x="4691"/>
        <item m="1" x="4926"/>
        <item m="1" x="5157"/>
        <item m="1" x="5386"/>
        <item m="1" x="5619"/>
        <item m="1" x="5851"/>
        <item m="1" x="6083"/>
        <item m="1" x="6312"/>
        <item m="1" x="6544"/>
        <item m="1" x="6777"/>
        <item m="1" x="7007"/>
        <item m="1" x="7242"/>
        <item m="1" x="7474"/>
        <item m="1" x="7705"/>
        <item m="1" x="184"/>
        <item m="1" x="417"/>
        <item m="1" x="651"/>
        <item m="1" x="879"/>
        <item m="1" x="1113"/>
        <item m="1" x="1345"/>
        <item m="1" x="1579"/>
        <item m="1" x="1811"/>
        <item m="1" x="2044"/>
        <item m="1" x="2277"/>
        <item m="1" x="2511"/>
        <item m="1" x="2740"/>
        <item m="1" x="2974"/>
        <item m="1" x="3207"/>
        <item m="1" x="3436"/>
        <item m="1" x="3669"/>
        <item m="1" x="3902"/>
        <item m="1" x="4138"/>
        <item m="1" x="4370"/>
        <item m="1" x="4601"/>
        <item m="1" x="4834"/>
        <item m="1" x="5069"/>
        <item m="1" x="5298"/>
        <item m="1" x="5528"/>
        <item m="1" x="5760"/>
        <item m="1" x="5993"/>
        <item m="1" x="6223"/>
        <item m="1" x="6455"/>
        <item m="1" x="6686"/>
        <item m="1" x="6919"/>
        <item m="1" x="7149"/>
        <item m="1" x="7382"/>
        <item m="1" x="7614"/>
        <item m="1" x="7847"/>
        <item m="1" x="94"/>
        <item m="1" x="326"/>
        <item m="1" x="562"/>
        <item m="1" x="793"/>
        <item m="1" x="1023"/>
        <item m="1" x="1255"/>
        <item m="1" x="1490"/>
        <item m="1" x="1724"/>
        <item m="1" x="1955"/>
        <item m="1" x="2189"/>
        <item m="1" x="2421"/>
        <item m="1" x="2652"/>
        <item m="1" x="2883"/>
        <item m="1" x="3115"/>
        <item m="1" x="3347"/>
        <item m="1" x="3580"/>
        <item m="1" x="3814"/>
        <item m="1" x="4048"/>
        <item m="1" x="4280"/>
        <item m="1" x="4515"/>
        <item m="1" x="4744"/>
        <item m="1" x="4981"/>
        <item m="1" x="5210"/>
        <item m="1" x="5443"/>
        <item m="1" x="5672"/>
        <item m="1" x="5905"/>
        <item m="1" x="6135"/>
        <item m="1" x="6368"/>
        <item m="1" x="6595"/>
        <item m="1" x="6831"/>
        <item m="1" x="7059"/>
        <item m="1" x="7296"/>
        <item m="1" x="7525"/>
        <item m="1" x="7757"/>
        <item m="1" x="7988"/>
        <item m="1" x="240"/>
        <item m="1" x="469"/>
        <item m="1" x="704"/>
        <item m="1" x="932"/>
        <item m="1" x="1168"/>
        <item m="1" x="1399"/>
        <item m="1" x="1635"/>
        <item m="1" x="1866"/>
        <item m="1" x="2101"/>
        <item m="1" x="2331"/>
        <item m="1" x="2565"/>
        <item m="1" x="2795"/>
        <item m="1" x="3260"/>
        <item m="1" x="3490"/>
        <item m="1" x="3724"/>
        <item m="1" x="3960"/>
        <item m="1" x="4190"/>
        <item m="1" x="4424"/>
        <item m="1" x="4654"/>
        <item m="1" x="4892"/>
        <item m="1" x="5122"/>
        <item m="1" x="5353"/>
        <item m="1" x="5582"/>
        <item m="1" x="5816"/>
        <item m="1" x="6046"/>
        <item m="1" x="6279"/>
        <item m="1" x="6507"/>
        <item m="1" x="6743"/>
        <item m="1" x="6970"/>
        <item m="1" x="7206"/>
        <item m="1" x="7438"/>
        <item m="1" x="7672"/>
        <item m="1" x="7899"/>
        <item m="1" x="150"/>
        <item m="1" x="382"/>
        <item m="1" x="618"/>
        <item m="1" x="846"/>
        <item m="1" x="1079"/>
        <item m="1" x="1309"/>
        <item m="1" x="1545"/>
        <item m="1" x="1775"/>
        <item m="1" x="2009"/>
        <item m="1" x="2240"/>
        <item m="1" x="2477"/>
        <item m="1" x="2704"/>
        <item m="1" x="2940"/>
        <item m="1" x="3170"/>
        <item m="1" x="3403"/>
        <item m="1" x="3633"/>
        <item m="1" x="3867"/>
        <item m="1" x="4101"/>
        <item m="1" x="4336"/>
        <item m="1" x="4566"/>
        <item m="1" x="4799"/>
        <item m="1" x="5032"/>
        <item m="1" x="5264"/>
        <item m="1" x="5494"/>
        <item m="1" x="5724"/>
        <item m="1" x="5956"/>
        <item m="1" x="6187"/>
        <item m="1" x="6418"/>
        <item m="1" x="6651"/>
        <item m="1" x="6883"/>
        <item m="1" x="7114"/>
        <item m="1" x="7345"/>
        <item m="1" x="7579"/>
        <item m="1" x="7811"/>
        <item m="1" x="59"/>
        <item m="1" x="292"/>
        <item m="1" x="526"/>
        <item m="1" x="757"/>
        <item m="1" x="988"/>
        <item m="1" x="1219"/>
        <item m="1" x="1453"/>
        <item m="1" x="1921"/>
        <item m="1" x="2152"/>
        <item m="1" x="2386"/>
        <item m="1" x="2617"/>
        <item m="1" x="2849"/>
        <item m="1" x="3078"/>
        <item m="1" x="3312"/>
        <item m="1" x="3543"/>
        <item m="1" x="3778"/>
        <item m="1" x="4011"/>
        <item m="1" x="4244"/>
        <item m="1" x="4476"/>
        <item m="1" x="4709"/>
        <item m="1" x="4942"/>
        <item m="1" x="5174"/>
        <item m="1" x="5404"/>
        <item m="1" x="5635"/>
        <item m="1" x="5868"/>
        <item m="1" x="6100"/>
        <item m="1" x="6331"/>
        <item m="1" x="6560"/>
        <item m="1" x="6794"/>
        <item m="1" x="7024"/>
        <item m="1" x="7261"/>
        <item m="1" x="7493"/>
        <item m="1" x="7723"/>
        <item m="1" x="7953"/>
        <item m="1" x="204"/>
        <item m="1" x="436"/>
        <item m="1" x="668"/>
        <item m="1" x="896"/>
        <item m="1" x="1132"/>
        <item m="1" x="1364"/>
        <item m="1" x="1598"/>
        <item m="1" x="1830"/>
        <item m="1" x="2064"/>
        <item m="1" x="2296"/>
        <item m="1" x="2528"/>
        <item m="1" x="2759"/>
        <item m="1" x="2993"/>
        <item m="1" x="3225"/>
        <item m="1" x="3453"/>
        <item m="1" x="3688"/>
        <item m="1" x="3922"/>
        <item m="1" x="4156"/>
        <item m="1" x="4388"/>
        <item m="1" x="4618"/>
        <item m="1" x="4852"/>
        <item m="1" x="5087"/>
        <item m="1" x="5317"/>
        <item m="1" x="5546"/>
        <item m="1" x="5778"/>
        <item m="1" x="6011"/>
        <item m="1" x="6241"/>
        <item m="1" x="6472"/>
        <item m="1" x="6706"/>
        <item m="1" x="6938"/>
        <item m="1" x="7169"/>
        <item m="1" x="7402"/>
        <item m="1" x="7635"/>
        <item m="1" x="7866"/>
        <item m="1" x="113"/>
        <item m="1" x="581"/>
        <item m="1" x="811"/>
        <item m="1" x="1042"/>
        <item m="1" x="1272"/>
        <item m="1" x="1508"/>
        <item m="1" x="1741"/>
        <item m="1" x="1972"/>
        <item m="1" x="2206"/>
        <item m="1" x="2439"/>
        <item m="1" x="2669"/>
        <item m="1" x="2902"/>
        <item m="1" x="3134"/>
        <item m="1" x="3365"/>
        <item m="1" x="3598"/>
        <item m="1" x="3831"/>
        <item m="1" x="4065"/>
        <item m="1" x="4298"/>
        <item m="1" x="4532"/>
        <item m="1" x="4762"/>
        <item m="1" x="4997"/>
        <item m="1" x="5228"/>
        <item m="1" x="5461"/>
        <item m="1" x="5689"/>
        <item m="1" x="5922"/>
        <item m="1" x="6154"/>
        <item m="1" x="6386"/>
        <item m="1" x="6616"/>
        <item m="1" x="6850"/>
        <item m="1" x="7078"/>
        <item m="1" x="7314"/>
        <item m="1" x="7543"/>
        <item m="1" x="7775"/>
        <item m="1" x="22"/>
        <item m="1" x="259"/>
        <item m="1" x="489"/>
        <item m="1" x="722"/>
        <item m="1" x="951"/>
        <item m="1" x="1186"/>
        <item m="1" x="1418"/>
        <item m="1" x="1652"/>
        <item m="1" x="1885"/>
        <item m="1" x="2119"/>
        <item m="1" x="2350"/>
        <item m="1" x="2583"/>
        <item m="1" x="2814"/>
        <item m="1" x="3046"/>
        <item m="1" x="3277"/>
        <item m="1" x="3507"/>
        <item m="1" x="3742"/>
        <item m="1" x="3977"/>
        <item m="1" x="4207"/>
        <item m="1" x="4441"/>
        <item m="1" x="4672"/>
        <item m="1" x="4909"/>
        <item m="1" x="5138"/>
        <item m="1" x="5370"/>
        <item m="1" x="5601"/>
        <item m="1" x="5834"/>
        <item m="1" x="6065"/>
        <item m="1" x="6297"/>
        <item m="1" x="6526"/>
        <item m="1" x="6761"/>
        <item m="1" x="6989"/>
        <item m="1" x="7224"/>
        <item m="1" x="7457"/>
        <item m="1" x="7689"/>
        <item m="1" x="7917"/>
        <item m="1" x="167"/>
        <item m="1" x="400"/>
        <item m="1" x="635"/>
        <item m="1" x="862"/>
        <item m="1" x="1096"/>
        <item m="1" x="1328"/>
        <item m="1" x="1563"/>
        <item m="1" x="1794"/>
        <item m="1" x="2028"/>
        <item m="1" x="2259"/>
        <item m="1" x="2494"/>
        <item m="1" x="2722"/>
        <item m="1" x="2957"/>
        <item m="1" x="3188"/>
        <item m="1" x="3651"/>
        <item m="1" x="3884"/>
        <item m="1" x="4120"/>
        <item m="1" x="4353"/>
        <item m="1" x="4584"/>
        <item m="1" x="4817"/>
        <item m="1" x="5052"/>
        <item m="1" x="5282"/>
        <item m="1" x="5512"/>
        <item m="1" x="5743"/>
        <item m="1" x="5975"/>
        <item m="1" x="6206"/>
        <item m="1" x="6437"/>
        <item m="1" x="6669"/>
        <item m="1" x="6902"/>
        <item m="1" x="7133"/>
        <item m="1" x="7365"/>
        <item m="1" x="7597"/>
        <item m="1" x="7830"/>
        <item m="1" x="78"/>
        <item m="1" x="310"/>
        <item m="1" x="545"/>
        <item m="1" x="776"/>
        <item m="1" x="1005"/>
        <item m="1" x="1238"/>
        <item m="1" x="1472"/>
        <item m="1" x="1705"/>
        <item m="1" x="1938"/>
        <item m="1" x="2170"/>
        <item m="1" x="2403"/>
        <item m="1" x="2633"/>
        <item m="1" x="2866"/>
        <item m="1" x="3096"/>
        <item m="1" x="3329"/>
        <item m="1" x="3561"/>
        <item m="1" x="3796"/>
        <item m="1" x="4029"/>
        <item m="1" x="4262"/>
        <item m="1" x="4496"/>
        <item m="1" x="4727"/>
        <item m="1" x="4962"/>
        <item m="1" x="5193"/>
        <item m="1" x="5425"/>
        <item m="1" x="5655"/>
        <item m="1" x="5888"/>
        <item m="1" x="6118"/>
        <item m="1" x="6351"/>
        <item m="1" x="6578"/>
        <item m="1" x="6814"/>
        <item m="1" x="7042"/>
        <item m="1" x="7280"/>
        <item m="1" x="7510"/>
        <item m="1" x="7740"/>
        <item m="1" x="7971"/>
        <item m="1" x="223"/>
        <item m="1" x="454"/>
        <item m="1" x="688"/>
        <item m="1" x="916"/>
        <item m="1" x="1151"/>
        <item m="1" x="1382"/>
        <item m="1" x="1617"/>
        <item m="1" x="1847"/>
        <item m="1" x="2313"/>
        <item m="1" x="2547"/>
        <item m="1" x="2777"/>
        <item m="1" x="3012"/>
        <item m="1" x="3243"/>
        <item m="1" x="3472"/>
        <item m="1" x="3707"/>
        <item m="1" x="3943"/>
        <item m="1" x="4174"/>
        <item m="1" x="4407"/>
        <item m="1" x="4637"/>
        <item m="1" x="4874"/>
        <item m="1" x="5106"/>
        <item m="1" x="5336"/>
        <item m="1" x="5565"/>
        <item m="1" x="5798"/>
        <item m="1" x="6030"/>
        <item m="1" x="6262"/>
        <item m="1" x="6491"/>
        <item m="1" x="6726"/>
        <item m="1" x="6955"/>
        <item m="1" x="7189"/>
        <item m="1" x="7421"/>
        <item m="1" x="7654"/>
        <item m="1" x="7884"/>
        <item m="1" x="133"/>
        <item m="1" x="364"/>
        <item m="1" x="601"/>
        <item m="1" x="829"/>
        <item m="1" x="1061"/>
        <item m="1" x="1289"/>
        <item m="1" x="1527"/>
        <item m="1" x="1758"/>
        <item m="1" x="1991"/>
        <item m="1" x="2224"/>
        <item m="1" x="2458"/>
        <item m="1" x="2686"/>
        <item m="1" x="2921"/>
        <item m="1" x="3152"/>
        <item m="1" x="3385"/>
        <item m="1" x="3616"/>
        <item m="1" x="3849"/>
        <item m="1" x="4084"/>
        <item m="1" x="4318"/>
        <item m="1" x="4549"/>
        <item m="1" x="4782"/>
        <item m="1" x="5015"/>
        <item m="1" x="5246"/>
        <item m="1" x="5478"/>
        <item m="1" x="5708"/>
        <item m="1" x="5939"/>
        <item m="1" x="6171"/>
        <item m="1" x="6402"/>
        <item m="1" x="6634"/>
        <item m="1" x="6866"/>
        <item m="1" x="7097"/>
        <item m="1" x="7331"/>
        <item m="1" x="7562"/>
        <item m="1" x="7794"/>
        <item m="1" x="41"/>
        <item m="1" x="275"/>
        <item m="1" x="507"/>
        <item m="1" x="969"/>
        <item m="1" x="1202"/>
        <item m="1" x="1436"/>
        <item m="1" x="1669"/>
        <item m="1" x="1904"/>
        <item m="1" x="2135"/>
        <item m="1" x="2369"/>
        <item m="1" x="2600"/>
        <item m="1" x="2833"/>
        <item m="1" x="3063"/>
        <item m="1" x="3296"/>
        <item m="1" x="3526"/>
        <item m="1" x="3761"/>
        <item m="1" x="3995"/>
        <item m="1" x="4227"/>
        <item m="1" x="4458"/>
        <item m="1" x="4692"/>
        <item m="1" x="4927"/>
        <item m="1" x="5158"/>
        <item m="1" x="5387"/>
        <item m="1" x="5620"/>
        <item m="1" x="5852"/>
        <item m="1" x="6084"/>
        <item m="1" x="6314"/>
        <item m="1" x="6545"/>
        <item m="1" x="6778"/>
        <item m="1" x="7008"/>
        <item m="1" x="7244"/>
        <item m="1" x="7475"/>
        <item m="1" x="7706"/>
        <item m="1" x="7935"/>
        <item m="1" x="185"/>
        <item m="1" x="418"/>
        <item m="1" x="652"/>
        <item m="1" x="880"/>
        <item m="1" x="1114"/>
        <item m="1" x="1346"/>
        <item m="1" x="1580"/>
        <item m="1" x="1812"/>
        <item m="1" x="2045"/>
        <item m="1" x="2278"/>
        <item m="1" x="2512"/>
        <item m="1" x="2741"/>
        <item m="1" x="2976"/>
        <item m="1" x="3208"/>
        <item m="1" x="3437"/>
        <item m="1" x="3670"/>
        <item m="1" x="3904"/>
        <item m="1" x="4140"/>
        <item m="1" x="4372"/>
        <item m="1" x="4603"/>
        <item m="1" x="4836"/>
        <item m="1" x="5071"/>
        <item m="1" x="5300"/>
        <item m="1" x="5530"/>
        <item m="1" x="5762"/>
        <item m="1" x="5995"/>
        <item m="1" x="6225"/>
        <item m="1" x="6456"/>
        <item m="1" x="6689"/>
        <item m="1" x="6921"/>
        <item m="1" x="7151"/>
        <item m="1" x="7384"/>
        <item m="1" x="7616"/>
        <item m="1" x="7849"/>
        <item m="1" x="96"/>
        <item m="1" x="328"/>
        <item m="1" x="564"/>
        <item m="1" x="795"/>
        <item m="1" x="1025"/>
        <item m="1" x="1257"/>
        <item m="1" x="1492"/>
        <item m="1" x="1726"/>
        <item m="1" x="1957"/>
        <item m="1" x="2191"/>
        <item m="1" x="2424"/>
        <item m="1" x="2654"/>
        <item m="1" x="2885"/>
        <item m="1" x="3117"/>
        <item m="1" x="3349"/>
        <item m="1" x="3582"/>
        <item m="1" x="4050"/>
        <item m="1" x="4282"/>
        <item m="1" x="4517"/>
        <item m="1" x="4746"/>
        <item m="1" x="4983"/>
        <item m="1" x="5212"/>
        <item m="1" x="5445"/>
        <item m="1" x="5674"/>
        <item m="1" x="5907"/>
        <item m="1" x="6138"/>
        <item m="1" x="6370"/>
        <item m="1" x="6597"/>
        <item m="1" x="6833"/>
        <item m="1" x="7061"/>
        <item m="1" x="7298"/>
        <item m="1" x="7527"/>
        <item m="1" x="7759"/>
        <item m="1" x="7990"/>
        <item m="1" x="242"/>
        <item m="1" x="471"/>
        <item m="1" x="706"/>
        <item m="1" x="934"/>
        <item m="1" x="1170"/>
        <item m="1" x="1401"/>
        <item m="1" x="1637"/>
        <item m="1" x="1869"/>
        <item m="1" x="2103"/>
        <item m="1" x="2333"/>
        <item m="1" x="2567"/>
        <item m="1" x="2797"/>
        <item m="1" x="3030"/>
        <item m="1" x="3262"/>
        <item m="1" x="3492"/>
        <item m="1" x="3726"/>
        <item m="1" x="3962"/>
        <item m="1" x="4192"/>
        <item m="1" x="4426"/>
        <item m="1" x="4656"/>
        <item m="1" x="4894"/>
        <item m="1" x="5123"/>
        <item m="1" x="5355"/>
        <item m="1" x="5585"/>
        <item m="1" x="5818"/>
        <item m="1" x="6048"/>
        <item m="1" x="6281"/>
        <item m="1" x="6509"/>
        <item m="1" x="6745"/>
        <item m="1" x="6972"/>
        <item m="1" x="7208"/>
        <item m="1" x="7440"/>
        <item m="1" x="7674"/>
        <item m="1" x="7901"/>
        <item m="1" x="152"/>
        <item m="1" x="384"/>
        <item m="1" x="620"/>
        <item m="1" x="848"/>
        <item m="1" x="1081"/>
        <item m="1" x="1312"/>
        <item m="1" x="1547"/>
        <item m="1" x="1777"/>
        <item m="1" x="2011"/>
        <item m="1" x="2242"/>
        <item m="1" x="2706"/>
        <item m="1" x="2942"/>
        <item m="1" x="3172"/>
        <item m="1" x="3405"/>
        <item m="1" x="3635"/>
        <item m="1" x="3869"/>
        <item m="1" x="4104"/>
        <item m="1" x="4338"/>
        <item m="1" x="4568"/>
        <item m="1" x="4801"/>
        <item m="1" x="5035"/>
        <item m="1" x="5266"/>
        <item m="1" x="5496"/>
        <item m="1" x="5726"/>
        <item m="1" x="5958"/>
        <item m="1" x="6189"/>
        <item m="1" x="6420"/>
        <item m="1" x="6653"/>
        <item m="1" x="6885"/>
        <item m="1" x="7116"/>
        <item m="1" x="7347"/>
        <item m="1" x="7581"/>
        <item m="1" x="7813"/>
        <item m="1" x="61"/>
        <item m="1" x="294"/>
        <item m="1" x="528"/>
        <item m="1" x="760"/>
        <item m="1" x="990"/>
        <item m="1" x="1221"/>
        <item m="1" x="1455"/>
        <item m="1" x="1688"/>
        <item m="1" x="1923"/>
        <item m="1" x="2154"/>
        <item m="1" x="2388"/>
        <item m="1" x="2619"/>
        <item m="1" x="2851"/>
        <item m="1" x="3080"/>
        <item m="1" x="3314"/>
        <item m="1" x="3545"/>
        <item m="1" x="3780"/>
        <item m="1" x="4013"/>
        <item m="1" x="4246"/>
        <item m="1" x="4479"/>
        <item m="1" x="4711"/>
        <item m="1" x="4944"/>
        <item m="1" x="5176"/>
        <item m="1" x="5406"/>
        <item m="1" x="5637"/>
        <item m="1" x="5870"/>
        <item m="1" x="6102"/>
        <item m="1" x="6333"/>
        <item m="1" x="6562"/>
        <item m="1" x="6796"/>
        <item m="1" x="7026"/>
        <item m="1" x="7263"/>
        <item m="1" x="7495"/>
        <item m="1" x="7725"/>
        <item m="1" x="7955"/>
        <item m="1" x="206"/>
        <item m="1" x="438"/>
        <item m="1" x="670"/>
        <item m="1" x="898"/>
        <item m="1" x="1366"/>
        <item m="1" x="1600"/>
        <item m="1" x="1832"/>
        <item m="1" x="2066"/>
        <item m="1" x="2298"/>
        <item m="1" x="2530"/>
        <item m="1" x="2761"/>
        <item m="1" x="2995"/>
        <item m="1" x="3227"/>
        <item m="1" x="3455"/>
        <item m="1" x="3690"/>
        <item m="1" x="3925"/>
        <item m="1" x="4158"/>
        <item m="1" x="4390"/>
        <item m="1" x="4620"/>
        <item m="1" x="4854"/>
        <item m="1" x="5089"/>
        <item m="1" x="5319"/>
        <item m="1" x="5548"/>
        <item m="1" x="5780"/>
        <item m="1" x="6013"/>
        <item m="1" x="6243"/>
        <item m="1" x="6474"/>
        <item m="1" x="6708"/>
        <item m="1" x="6940"/>
        <item m="1" x="7171"/>
        <item m="1" x="7404"/>
        <item m="1" x="7638"/>
        <item m="1" x="7868"/>
        <item m="1" x="115"/>
        <item m="1" x="346"/>
        <item m="1" x="583"/>
        <item m="1" x="813"/>
        <item m="1" x="1044"/>
        <item m="1" x="1274"/>
        <item m="1" x="1510"/>
        <item m="1" x="1743"/>
        <item m="1" x="1974"/>
        <item m="1" x="2208"/>
        <item m="1" x="2441"/>
        <item m="1" x="2671"/>
        <item m="1" x="2904"/>
        <item m="1" x="3136"/>
        <item m="1" x="3368"/>
        <item m="1" x="3600"/>
        <item m="1" x="3833"/>
        <item m="1" x="4067"/>
        <item m="1" x="4300"/>
        <item m="1" x="4534"/>
        <item m="1" x="4764"/>
        <item m="1" x="4999"/>
        <item m="1" x="5230"/>
        <item m="1" x="5463"/>
        <item m="1" x="5691"/>
        <item m="1" x="5924"/>
        <item m="1" x="6156"/>
        <item m="1" x="6388"/>
        <item m="1" x="6618"/>
        <item m="1" x="6851"/>
        <item m="1" x="7081"/>
        <item m="1" x="7316"/>
        <item m="1" x="7545"/>
        <item m="1" x="7777"/>
        <item m="1" x="24"/>
        <item m="1" x="261"/>
        <item m="1" x="491"/>
        <item m="1" x="724"/>
        <item m="1" x="953"/>
        <item m="1" x="1188"/>
        <item m="1" x="1420"/>
        <item m="1" x="1654"/>
        <item m="1" x="1888"/>
        <item m="1" x="2121"/>
        <item m="1" x="2352"/>
        <item m="1" x="2585"/>
        <item m="1" x="2817"/>
        <item m="1" x="3048"/>
        <item m="1" x="3279"/>
        <item m="1" x="3509"/>
        <item m="1" x="3744"/>
        <item m="1" x="3979"/>
        <item m="1" x="4443"/>
        <item m="1" x="4674"/>
        <item m="1" x="4911"/>
        <item m="1" x="5140"/>
        <item m="1" x="5372"/>
        <item m="1" x="5603"/>
        <item m="1" x="5836"/>
        <item m="1" x="6067"/>
        <item m="1" x="6299"/>
        <item m="1" x="6529"/>
        <item m="1" x="6763"/>
        <item m="1" x="6991"/>
        <item m="1" x="7226"/>
        <item m="1" x="7459"/>
        <item m="1" x="7691"/>
        <item m="1" x="7919"/>
        <item m="1" x="169"/>
        <item m="1" x="402"/>
        <item m="1" x="637"/>
        <item m="1" x="864"/>
        <item m="1" x="1098"/>
        <item m="1" x="1330"/>
        <item m="1" x="1565"/>
        <item m="1" x="1796"/>
        <item m="1" x="2030"/>
        <item m="1" x="2262"/>
        <item m="1" x="2496"/>
        <item m="1" x="2724"/>
        <item m="1" x="2959"/>
        <item m="1" x="3190"/>
        <item m="1" x="3420"/>
        <item m="1" x="3653"/>
        <item m="1" x="3886"/>
        <item m="1" x="4122"/>
        <item m="1" x="4355"/>
        <item m="1" x="4586"/>
        <item m="1" x="4819"/>
        <item m="1" x="5054"/>
        <item m="1" x="5284"/>
        <item m="1" x="5513"/>
        <item m="1" x="5745"/>
        <item m="1" x="5978"/>
        <item m="1" x="6208"/>
        <item m="1" x="6439"/>
        <item m="1" x="6671"/>
        <item m="1" x="6904"/>
        <item m="1" x="7135"/>
        <item m="1" x="7367"/>
        <item m="1" x="7599"/>
        <item m="1" x="7832"/>
        <item m="1" x="80"/>
        <item m="1" x="312"/>
        <item m="1" x="547"/>
        <item m="1" x="778"/>
        <item m="1" x="1007"/>
        <item m="1" x="1240"/>
        <item m="1" x="1474"/>
        <item m="1" x="1708"/>
        <item m="1" x="1940"/>
        <item m="1" x="2172"/>
        <item m="1" x="2405"/>
        <item m="1" x="2635"/>
        <item m="1" x="3098"/>
        <item m="1" x="3331"/>
        <item m="1" x="3563"/>
        <item m="1" x="3798"/>
        <item m="1" x="4031"/>
        <item m="1" x="4264"/>
        <item m="1" x="4498"/>
        <item m="1" x="4729"/>
        <item m="1" x="4964"/>
        <item m="1" x="5195"/>
        <item m="1" x="5428"/>
        <item m="1" x="5657"/>
        <item m="1" x="5890"/>
        <item m="1" x="6120"/>
        <item m="1" x="6353"/>
        <item m="1" x="6580"/>
        <item m="1" x="6816"/>
        <item m="1" x="7044"/>
        <item m="1" x="7282"/>
        <item m="1" x="7512"/>
        <item m="1" x="7742"/>
        <item m="1" x="7973"/>
        <item m="1" x="225"/>
        <item m="1" x="456"/>
        <item m="1" x="690"/>
        <item m="1" x="918"/>
        <item m="1" x="1154"/>
        <item m="1" x="1384"/>
        <item m="1" x="1619"/>
        <item m="1" x="1849"/>
        <item m="1" x="2084"/>
        <item m="1" x="2315"/>
        <item m="1" x="2549"/>
        <item m="1" x="2779"/>
        <item m="1" x="3014"/>
        <item m="1" x="3245"/>
        <item m="1" x="3474"/>
        <item m="1" x="3709"/>
        <item m="1" x="3945"/>
        <item m="1" x="4176"/>
        <item m="1" x="4409"/>
        <item m="1" x="4639"/>
        <item m="1" x="4877"/>
        <item m="1" x="5108"/>
        <item m="1" x="5338"/>
        <item m="1" x="5567"/>
        <item m="1" x="5800"/>
        <item m="1" x="6032"/>
        <item m="1" x="6264"/>
        <item m="1" x="6493"/>
        <item m="1" x="6728"/>
        <item m="1" x="6957"/>
        <item m="1" x="7191"/>
        <item m="1" x="7423"/>
        <item m="1" x="7657"/>
        <item m="1" x="7886"/>
        <item m="1" x="135"/>
        <item m="1" x="366"/>
        <item m="1" x="603"/>
        <item m="1" x="831"/>
        <item m="1" x="1063"/>
        <item m="1" x="1291"/>
        <item m="1" x="1760"/>
        <item m="1" x="1993"/>
        <item m="1" x="2226"/>
        <item m="1" x="2460"/>
        <item m="1" x="2688"/>
        <item m="1" x="2923"/>
        <item m="1" x="3154"/>
        <item m="1" x="3387"/>
        <item m="1" x="3618"/>
        <item m="1" x="3851"/>
        <item m="1" x="4086"/>
        <item m="1" x="4321"/>
        <item m="1" x="4551"/>
        <item m="1" x="4784"/>
        <item m="1" x="5017"/>
        <item m="1" x="5248"/>
        <item m="1" x="5480"/>
        <item m="1" x="5710"/>
        <item m="1" x="5941"/>
        <item m="1" x="6173"/>
        <item m="1" x="6404"/>
        <item m="1" x="6636"/>
        <item m="1" x="6868"/>
        <item m="1" x="7099"/>
        <item m="1" x="7333"/>
        <item m="1" x="7564"/>
        <item m="1" x="7796"/>
        <item m="1" x="44"/>
        <item m="1" x="277"/>
        <item m="1" x="509"/>
        <item m="1" x="740"/>
        <item m="1" x="971"/>
        <item m="1" x="1204"/>
        <item m="1" x="1438"/>
        <item m="1" x="1671"/>
        <item m="1" x="1906"/>
        <item m="1" x="2137"/>
        <item m="1" x="2371"/>
        <item m="1" x="2602"/>
        <item m="1" x="2835"/>
        <item m="1" x="3065"/>
        <item m="1" x="3298"/>
        <item m="1" x="3528"/>
        <item m="1" x="3764"/>
        <item m="1" x="3997"/>
        <item m="1" x="4229"/>
        <item m="1" x="4460"/>
        <item m="1" x="4694"/>
        <item m="1" x="4929"/>
        <item m="1" x="5160"/>
        <item m="1" x="5389"/>
        <item m="1" x="5622"/>
        <item m="1" x="5854"/>
        <item m="1" x="6086"/>
        <item m="1" x="6316"/>
        <item m="1" x="6547"/>
        <item m="1" x="6780"/>
        <item m="1" x="7010"/>
        <item m="1" x="7245"/>
        <item m="1" x="7478"/>
        <item m="1" x="7708"/>
        <item m="1" x="7937"/>
        <item m="1" x="187"/>
        <item m="1" x="420"/>
        <item m="1" x="654"/>
        <item m="1" x="882"/>
        <item m="1" x="1116"/>
        <item m="1" x="1348"/>
        <item m="1" x="1582"/>
        <item m="1" x="1814"/>
        <item m="1" x="2047"/>
        <item m="1" x="2280"/>
        <item m="1" x="2514"/>
        <item m="1" x="2743"/>
        <item m="1" x="2978"/>
        <item m="1" x="3211"/>
        <item m="1" x="3439"/>
        <item m="1" x="3672"/>
        <item m="1" x="3906"/>
        <item m="1" x="4142"/>
        <item m="1" x="4374"/>
        <item m="1" x="4838"/>
        <item m="1" x="5073"/>
        <item m="1" x="5302"/>
        <item m="1" x="5532"/>
        <item m="1" x="5764"/>
        <item m="1" x="5997"/>
        <item m="1" x="6227"/>
        <item m="1" x="6458"/>
        <item m="1" x="6691"/>
        <item m="1" x="6924"/>
        <item m="1" x="7153"/>
        <item m="1" x="7386"/>
        <item m="1" x="7618"/>
        <item m="1" x="7851"/>
        <item m="1" x="98"/>
        <item m="1" x="330"/>
        <item m="1" x="566"/>
        <item m="1" x="797"/>
        <item m="1" x="1027"/>
        <item m="1" x="1259"/>
        <item m="1" x="1494"/>
        <item m="1" x="1728"/>
        <item m="1" x="1959"/>
        <item m="1" x="2193"/>
        <item m="1" x="2426"/>
        <item m="1" x="2657"/>
        <item m="1" x="2887"/>
        <item m="1" x="3119"/>
        <item m="1" x="3351"/>
        <item m="1" x="3584"/>
        <item m="1" x="3817"/>
        <item m="1" x="4052"/>
        <item m="1" x="4284"/>
        <item m="1" x="4519"/>
        <item m="1" x="4748"/>
        <item m="1" x="4985"/>
        <item m="1" x="5214"/>
        <item m="1" x="5448"/>
        <item m="1" x="5676"/>
        <item m="1" x="5908"/>
        <item m="1" x="6140"/>
        <item m="1" x="6373"/>
        <item m="1" x="6599"/>
        <item m="1" x="6835"/>
        <item m="1" x="7063"/>
        <item m="1" x="7300"/>
        <item m="1" x="7529"/>
        <item m="1" x="7761"/>
        <item m="1" x="7992"/>
        <item m="1" x="244"/>
        <item m="1" x="473"/>
        <item m="1" x="708"/>
        <item m="1" x="936"/>
        <item m="1" x="1172"/>
        <item m="1" x="1403"/>
        <item m="1" x="1639"/>
        <item m="1" x="1871"/>
        <item m="1" x="2106"/>
        <item m="1" x="2335"/>
        <item m="1" x="2569"/>
        <item m="1" x="2799"/>
        <item m="1" x="3032"/>
        <item m="1" x="3494"/>
        <item m="1" x="3728"/>
        <item m="1" x="3964"/>
        <item m="1" x="4194"/>
        <item m="1" x="4428"/>
        <item m="1" x="4658"/>
        <item m="1" x="4896"/>
        <item m="1" x="5125"/>
        <item m="1" x="5357"/>
        <item m="1" x="5587"/>
        <item m="1" x="5821"/>
        <item m="1" x="6050"/>
        <item m="1" x="6283"/>
        <item m="1" x="6511"/>
        <item m="1" x="6747"/>
        <item m="1" x="6974"/>
        <item m="1" x="7210"/>
        <item m="1" x="7442"/>
        <item m="1" x="7676"/>
        <item m="1" x="7903"/>
        <item m="1" x="154"/>
        <item m="1" x="386"/>
        <item m="1" x="622"/>
        <item m="1" x="850"/>
        <item m="1" x="1083"/>
        <item m="1" x="1314"/>
        <item m="1" x="1550"/>
        <item m="1" x="1779"/>
        <item m="1" x="2013"/>
        <item m="1" x="2244"/>
        <item m="1" x="2480"/>
        <item m="1" x="2708"/>
        <item m="1" x="2944"/>
        <item m="1" x="3174"/>
        <item m="1" x="3407"/>
        <item m="1" x="3637"/>
        <item m="1" x="3871"/>
        <item m="1" x="4106"/>
        <item m="1" x="4340"/>
        <item m="1" x="4570"/>
        <item m="1" x="4803"/>
        <item m="1" x="5037"/>
        <item m="1" x="5269"/>
        <item m="1" x="5498"/>
        <item m="1" x="5728"/>
        <item m="1" x="5960"/>
        <item m="1" x="6191"/>
        <item m="1" x="6422"/>
        <item m="1" x="6655"/>
        <item m="1" x="6887"/>
        <item m="1" x="7118"/>
        <item m="1" x="7349"/>
        <item m="1" x="7583"/>
        <item m="1" x="7815"/>
        <item m="1" x="63"/>
        <item m="1" x="296"/>
        <item m="1" x="530"/>
        <item m="1" x="762"/>
        <item m="1" x="992"/>
        <item m="1" x="1223"/>
        <item m="1" x="1457"/>
        <item m="1" x="1690"/>
        <item m="1" x="2156"/>
        <item m="1" x="2390"/>
        <item m="1" x="2621"/>
        <item m="1" x="2853"/>
        <item m="1" x="3082"/>
        <item m="1" x="3316"/>
        <item m="1" x="3547"/>
        <item m="1" x="3782"/>
        <item m="1" x="4015"/>
        <item m="1" x="4248"/>
        <item m="1" x="4481"/>
        <item m="1" x="4713"/>
        <item m="1" x="4946"/>
        <item m="1" x="5178"/>
        <item m="1" x="5408"/>
        <item m="1" x="5639"/>
        <item m="1" x="5872"/>
        <item m="1" x="6104"/>
        <item m="1" x="6335"/>
        <item m="1" x="6564"/>
        <item m="1" x="6798"/>
        <item m="1" x="7028"/>
        <item m="1" x="7265"/>
        <item m="1" x="7497"/>
        <item m="1" x="7727"/>
        <item m="1" x="7957"/>
        <item m="1" x="208"/>
        <item m="1" x="441"/>
        <item m="1" x="672"/>
        <item m="1" x="900"/>
        <item m="1" x="1135"/>
        <item m="1" x="1368"/>
        <item m="1" x="1602"/>
        <item m="1" x="1834"/>
        <item m="1" x="2068"/>
        <item m="1" x="2300"/>
        <item m="1" x="2532"/>
        <item m="1" x="2763"/>
        <item m="1" x="2997"/>
        <item m="1" x="3230"/>
        <item m="1" x="3457"/>
        <item m="1" x="3692"/>
        <item m="1" x="3927"/>
        <item m="1" x="4161"/>
        <item m="1" x="4392"/>
        <item m="1" x="4622"/>
        <item m="1" x="4856"/>
        <item m="1" x="5091"/>
        <item m="1" x="5321"/>
        <item m="1" x="5550"/>
        <item m="1" x="5782"/>
        <item m="1" x="6015"/>
        <item m="1" x="6245"/>
        <item m="1" x="6476"/>
        <item m="1" x="6710"/>
        <item m="1" x="6942"/>
        <item m="1" x="7173"/>
        <item m="1" x="7406"/>
        <item m="1" x="7639"/>
        <item m="1" x="7871"/>
        <item m="1" x="117"/>
        <item m="1" x="348"/>
        <item m="1" x="585"/>
        <item m="1" x="815"/>
        <item m="1" x="1046"/>
        <item m="1" x="1276"/>
        <item m="1" x="1512"/>
        <item m="1" x="1745"/>
        <item m="1" x="1976"/>
        <item m="1" x="2210"/>
        <item m="1" x="2443"/>
        <item m="1" x="2673"/>
        <item m="1" x="2906"/>
        <item m="1" x="3138"/>
        <item m="1" x="3370"/>
        <item m="1" x="3603"/>
        <item m="1" x="3786"/>
        <item m="1" x="3903"/>
        <item m="1" x="4021"/>
        <item m="1" x="4139"/>
        <item m="1" x="4253"/>
        <item m="1" x="4371"/>
        <item m="1" x="4487"/>
        <item m="1" x="4602"/>
        <item m="1" x="4717"/>
        <item m="1" x="4835"/>
        <item m="1" x="4953"/>
        <item m="1" x="5070"/>
        <item m="1" x="5184"/>
        <item m="1" x="5299"/>
        <item m="1" x="5416"/>
        <item m="1" x="5529"/>
        <item m="1" x="5645"/>
        <item m="1" x="5761"/>
        <item m="1" x="5880"/>
        <item m="1" x="5994"/>
        <item m="1" x="6110"/>
        <item m="1" x="6224"/>
        <item m="1" x="6342"/>
        <item m="1" x="6568"/>
        <item m="1" x="6687"/>
        <item m="1" x="6804"/>
        <item m="1" x="6920"/>
        <item m="1" x="7033"/>
        <item m="1" x="7150"/>
        <item m="1" x="7271"/>
        <item m="1" x="7383"/>
        <item m="1" x="7501"/>
        <item m="1" x="7615"/>
        <item m="1" x="7732"/>
        <item m="1" x="7848"/>
        <item m="1" x="7962"/>
        <item m="1" x="95"/>
        <item m="1" x="214"/>
        <item m="1" x="327"/>
        <item m="1" x="445"/>
        <item m="1" x="563"/>
        <item m="1" x="679"/>
        <item m="1" x="794"/>
        <item m="1" x="906"/>
        <item m="1" x="1024"/>
        <item m="1" x="1142"/>
        <item m="1" x="1256"/>
        <item m="1" x="1373"/>
        <item m="1" x="1491"/>
        <item m="1" x="1609"/>
        <item m="1" x="1725"/>
        <item m="1" x="1839"/>
        <item m="1" x="1956"/>
        <item m="1" x="2074"/>
        <item m="1" x="2190"/>
        <item m="1" x="2304"/>
        <item m="1" x="2422"/>
        <item m="1" x="2538"/>
        <item m="1" x="2653"/>
        <item m="1" x="2768"/>
        <item m="1" x="2884"/>
        <item m="1" x="3003"/>
        <item m="1" x="3116"/>
        <item m="1" x="3234"/>
        <item m="1" x="3348"/>
        <item m="1" x="3464"/>
        <item m="1" x="3581"/>
        <item m="1" x="3698"/>
        <item m="1" x="3815"/>
        <item m="1" x="3934"/>
        <item m="1" x="4049"/>
        <item m="1" x="4165"/>
        <item m="1" x="4281"/>
        <item m="1" x="4399"/>
        <item m="1" x="4516"/>
        <item m="1" x="4628"/>
        <item m="1" x="4745"/>
        <item m="1" x="4865"/>
        <item m="1" x="4982"/>
        <item m="1" x="5097"/>
        <item m="1" x="5211"/>
        <item m="1" x="5329"/>
        <item m="1" x="5444"/>
        <item m="1" x="5556"/>
        <item m="1" x="5673"/>
        <item m="1" x="5906"/>
        <item m="1" x="6019"/>
        <item m="1" x="6136"/>
        <item m="1" x="6251"/>
        <item m="1" x="6369"/>
        <item m="1" x="6481"/>
        <item m="1" x="6596"/>
        <item m="1" x="6716"/>
        <item m="1" x="6832"/>
        <item m="1" x="6945"/>
        <item m="1" x="7060"/>
        <item m="1" x="7179"/>
        <item m="1" x="7297"/>
        <item m="1" x="7411"/>
        <item m="1" x="7526"/>
        <item m="1" x="7645"/>
        <item m="1" x="7758"/>
        <item m="1" x="7875"/>
        <item m="1" x="7989"/>
        <item m="1" x="124"/>
        <item m="1" x="241"/>
        <item m="1" x="354"/>
        <item m="1" x="470"/>
        <item m="1" x="592"/>
        <item m="1" x="705"/>
        <item m="1" x="820"/>
        <item m="1" x="933"/>
        <item m="1" x="1053"/>
        <item m="1" x="1169"/>
        <item m="1" x="1281"/>
        <item m="1" x="1400"/>
        <item m="1" x="1518"/>
        <item m="1" x="1636"/>
        <item m="1" x="1749"/>
        <item m="1" x="1867"/>
        <item m="1" x="1982"/>
        <item m="1" x="2102"/>
        <item m="1" x="2215"/>
        <item m="1" x="2332"/>
        <item m="1" x="2449"/>
        <item m="1" x="2566"/>
        <item m="1" x="2677"/>
        <item m="1" x="2796"/>
        <item m="1" x="2912"/>
        <item m="1" x="3029"/>
        <item m="1" x="3143"/>
        <item m="1" x="3261"/>
        <item m="1" x="3376"/>
        <item m="1" x="3491"/>
        <item m="1" x="3607"/>
        <item m="1" x="3725"/>
        <item m="1" x="3841"/>
        <item m="1" x="3961"/>
        <item m="1" x="4074"/>
        <item m="1" x="4191"/>
        <item m="1" x="4309"/>
        <item m="1" x="4425"/>
        <item m="1" x="4541"/>
        <item m="1" x="4655"/>
        <item m="1" x="4773"/>
        <item m="1" x="4893"/>
        <item m="1" x="5006"/>
        <item m="1" x="5238"/>
        <item m="1" x="5354"/>
        <item m="1" x="5468"/>
        <item m="1" x="5583"/>
        <item m="1" x="5698"/>
        <item m="1" x="5817"/>
        <item m="1" x="5930"/>
        <item m="1" x="6047"/>
        <item m="1" x="6162"/>
        <item m="1" x="6280"/>
        <item m="1" x="6393"/>
        <item m="1" x="6508"/>
        <item m="1" x="6625"/>
        <item m="1" x="6744"/>
        <item m="1" x="6857"/>
        <item m="1" x="6971"/>
        <item m="1" x="7088"/>
        <item m="1" x="7207"/>
        <item m="1" x="7322"/>
        <item m="1" x="7439"/>
        <item m="1" x="7553"/>
        <item m="1" x="7673"/>
        <item m="1" x="7784"/>
        <item m="1" x="7900"/>
        <item m="1" x="32"/>
        <item m="1" x="151"/>
        <item m="1" x="266"/>
        <item m="1" x="383"/>
        <item m="1" x="499"/>
        <item m="1" x="619"/>
        <item m="1" x="730"/>
        <item m="1" x="847"/>
        <item m="1" x="960"/>
        <item m="1" x="1080"/>
        <item m="1" x="1193"/>
        <item m="1" x="1310"/>
        <item m="1" x="1427"/>
        <item m="1" x="1546"/>
        <item m="1" x="1660"/>
        <item m="1" x="1776"/>
        <item m="1" x="1895"/>
        <item m="1" x="2010"/>
        <item m="1" x="2126"/>
        <item m="1" x="2241"/>
        <item m="1" x="2360"/>
        <item m="1" x="2478"/>
        <item m="1" x="2591"/>
        <item m="1" x="2705"/>
        <item m="1" x="2823"/>
        <item m="1" x="2941"/>
        <item m="1" x="3055"/>
        <item m="1" x="3171"/>
        <item m="1" x="3287"/>
        <item m="1" x="3404"/>
        <item m="1" x="3516"/>
        <item m="1" x="3634"/>
        <item m="1" x="3752"/>
        <item m="1" x="3868"/>
        <item m="1" x="3986"/>
        <item m="1" x="4102"/>
        <item m="1" x="4217"/>
        <item m="1" x="4337"/>
        <item m="1" x="4567"/>
        <item m="1" x="4682"/>
        <item m="1" x="4800"/>
        <item m="1" x="4916"/>
        <item m="1" x="5033"/>
        <item m="1" x="5147"/>
        <item m="1" x="5265"/>
        <item m="1" x="5377"/>
        <item m="1" x="5495"/>
        <item m="1" x="5610"/>
        <item m="1" x="5725"/>
        <item m="1" x="5841"/>
        <item m="1" x="5957"/>
        <item m="1" x="6074"/>
        <item m="1" x="6188"/>
        <item m="1" x="6304"/>
        <item m="1" x="6419"/>
        <item m="1" x="6536"/>
        <item m="1" x="6652"/>
        <item m="1" x="6769"/>
        <item m="1" x="6884"/>
        <item m="1" x="6999"/>
        <item m="1" x="7115"/>
        <item m="1" x="7234"/>
        <item m="1" x="7346"/>
        <item m="1" x="7466"/>
        <item m="1" x="7580"/>
        <item m="1" x="7698"/>
        <item m="1" x="7812"/>
        <item m="1" x="7927"/>
        <item m="1" x="60"/>
        <item m="1" x="176"/>
        <item m="1" x="293"/>
        <item m="1" x="409"/>
        <item m="1" x="527"/>
        <item m="1" x="643"/>
        <item m="1" x="758"/>
        <item m="1" x="871"/>
        <item m="1" x="989"/>
        <item m="1" x="1105"/>
        <item m="1" x="1220"/>
        <item m="1" x="1337"/>
        <item m="1" x="1454"/>
        <item m="1" x="1571"/>
        <item m="1" x="1687"/>
        <item m="1" x="1803"/>
        <item m="1" x="1922"/>
        <item m="1" x="2036"/>
        <item m="1" x="2153"/>
        <item m="1" x="2269"/>
        <item m="1" x="2387"/>
        <item m="1" x="2503"/>
        <item m="1" x="2618"/>
        <item m="1" x="2732"/>
        <item m="1" x="2850"/>
        <item m="1" x="2966"/>
        <item m="1" x="3079"/>
        <item m="1" x="3199"/>
        <item m="1" x="3313"/>
        <item m="1" x="3428"/>
        <item m="1" x="3544"/>
        <item m="1" x="3661"/>
        <item m="1" x="3779"/>
        <item m="1" x="3894"/>
        <item m="1" x="4012"/>
        <item m="1" x="4130"/>
        <item m="1" x="4245"/>
        <item m="1" x="4361"/>
        <item m="1" x="4477"/>
        <item m="1" x="4592"/>
        <item m="1" x="4710"/>
        <item m="1" x="4826"/>
        <item m="1" x="4943"/>
        <item m="1" x="5061"/>
        <item m="1" x="5175"/>
        <item m="1" x="5290"/>
        <item m="1" x="5405"/>
        <item m="1" x="5520"/>
        <item m="1" x="5636"/>
        <item m="1" x="5752"/>
        <item m="1" x="5869"/>
        <item m="1" x="5985"/>
        <item m="1" x="6101"/>
        <item m="1" x="6215"/>
        <item m="1" x="6332"/>
        <item m="1" x="6447"/>
        <item m="1" x="6561"/>
        <item m="1" x="6678"/>
        <item m="1" x="6795"/>
        <item m="1" x="6912"/>
        <item m="1" x="7025"/>
        <item m="1" x="7142"/>
        <item m="1" x="7262"/>
        <item m="1" x="7374"/>
        <item m="1" x="7494"/>
        <item m="1" x="7606"/>
        <item m="1" x="7724"/>
        <item m="1" x="7839"/>
        <item m="1" x="7954"/>
        <item m="1" x="86"/>
        <item m="1" x="319"/>
        <item m="1" x="437"/>
        <item m="1" x="554"/>
        <item m="1" x="669"/>
        <item m="1" x="785"/>
        <item m="1" x="897"/>
        <item m="1" x="1015"/>
        <item m="1" x="1133"/>
        <item m="1" x="1247"/>
        <item m="1" x="1365"/>
        <item m="1" x="1482"/>
        <item m="1" x="1599"/>
        <item m="1" x="1716"/>
        <item m="1" x="1831"/>
        <item m="1" x="1947"/>
        <item m="1" x="2065"/>
        <item m="1" x="2181"/>
        <item m="1" x="2297"/>
        <item m="1" x="2413"/>
        <item m="1" x="2529"/>
        <item m="1" x="2644"/>
        <item m="1" x="2760"/>
        <item m="1" x="2875"/>
        <item m="1" x="2994"/>
        <item m="1" x="3106"/>
        <item m="1" x="3226"/>
        <item m="1" x="3339"/>
        <item m="1" x="3454"/>
        <item m="1" x="3571"/>
        <item m="1" x="3689"/>
        <item m="1" x="3803"/>
        <item m="1" x="3923"/>
        <item m="1" x="4038"/>
        <item m="1" x="4157"/>
        <item m="1" x="4271"/>
        <item m="1" x="4389"/>
        <item m="1" x="4505"/>
        <item m="1" x="4619"/>
        <item m="1" x="4735"/>
        <item m="1" x="4853"/>
        <item m="1" x="4971"/>
        <item m="1" x="5088"/>
        <item m="1" x="5202"/>
        <item m="1" x="5318"/>
        <item m="1" x="5435"/>
        <item m="1" x="5547"/>
        <item m="1" x="5664"/>
        <item m="1" x="5779"/>
        <item m="1" x="5897"/>
        <item m="1" x="6012"/>
        <item m="1" x="6128"/>
        <item m="1" x="6242"/>
        <item m="1" x="6361"/>
        <item m="1" x="6473"/>
        <item m="1" x="6587"/>
        <item m="1" x="6707"/>
        <item m="1" x="6823"/>
        <item m="1" x="6939"/>
        <item m="1" x="7051"/>
        <item m="1" x="7170"/>
        <item m="1" x="7289"/>
        <item m="1" x="7403"/>
        <item m="1" x="7636"/>
        <item m="1" x="7749"/>
        <item m="1" x="7867"/>
        <item m="1" x="7980"/>
        <item m="1" x="114"/>
        <item m="1" x="232"/>
        <item m="1" x="345"/>
        <item m="1" x="461"/>
        <item m="1" x="582"/>
        <item m="1" x="696"/>
        <item m="1" x="812"/>
        <item m="1" x="924"/>
        <item m="1" x="1043"/>
        <item m="1" x="1160"/>
        <item m="1" x="1273"/>
        <item m="1" x="1390"/>
        <item m="1" x="1509"/>
        <item m="1" x="1626"/>
        <item m="1" x="1742"/>
        <item m="1" x="1857"/>
        <item m="1" x="1973"/>
        <item m="1" x="2092"/>
        <item m="1" x="2207"/>
        <item m="1" x="2322"/>
        <item m="1" x="2440"/>
        <item m="1" x="2556"/>
        <item m="1" x="2670"/>
        <item m="1" x="2786"/>
        <item m="1" x="2903"/>
        <item m="1" x="3020"/>
        <item m="1" x="3135"/>
        <item m="1" x="3250"/>
        <item m="1" x="3366"/>
        <item m="1" x="3480"/>
        <item m="1" x="3599"/>
        <item m="1" x="3715"/>
        <item m="1" x="3832"/>
        <item m="1" x="3951"/>
        <item m="1" x="4066"/>
        <item m="1" x="4181"/>
        <item m="1" x="4299"/>
        <item m="1" x="4415"/>
        <item m="1" x="4533"/>
        <item m="1" x="4645"/>
        <item m="1" x="4763"/>
        <item m="1" x="4883"/>
        <item m="1" x="4998"/>
        <item m="1" x="5113"/>
        <item m="1" x="5229"/>
        <item m="1" x="5345"/>
        <item m="1" x="5462"/>
        <item m="1" x="5574"/>
        <item m="1" x="5690"/>
        <item m="1" x="5807"/>
        <item m="1" x="5923"/>
        <item m="1" x="6038"/>
        <item m="1" x="6155"/>
        <item m="1" x="6270"/>
        <item m="1" x="6387"/>
        <item m="1" x="6499"/>
        <item m="1" x="6617"/>
        <item m="1" x="6734"/>
        <item m="1" x="6962"/>
        <item m="1" x="7079"/>
        <item m="1" x="7197"/>
        <item m="1" x="7315"/>
        <item m="1" x="7429"/>
        <item m="1" x="7544"/>
        <item m="1" x="7663"/>
        <item m="1" x="7776"/>
        <item m="1" x="7891"/>
        <item m="1" x="23"/>
        <item m="1" x="141"/>
        <item m="1" x="260"/>
        <item m="1" x="373"/>
        <item m="1" x="490"/>
        <item m="1" x="609"/>
        <item m="1" x="723"/>
        <item m="1" x="837"/>
        <item m="1" x="952"/>
        <item m="1" x="1070"/>
        <item m="1" x="1187"/>
        <item m="1" x="1300"/>
        <item m="1" x="1419"/>
        <item m="1" x="1536"/>
        <item m="1" x="1653"/>
        <item m="1" x="1767"/>
        <item m="1" x="1886"/>
        <item m="1" x="2000"/>
        <item m="1" x="2120"/>
        <item m="1" x="2232"/>
        <item m="1" x="2351"/>
        <item m="1" x="2467"/>
        <item m="1" x="2584"/>
        <item m="1" x="2693"/>
        <item m="1" x="2815"/>
        <item m="1" x="2929"/>
        <item m="1" x="3047"/>
        <item m="1" x="3160"/>
        <item m="1" x="3278"/>
        <item m="1" x="3393"/>
        <item m="1" x="3508"/>
        <item m="1" x="3623"/>
        <item m="1" x="3743"/>
        <item m="1" x="3857"/>
        <item m="1" x="3978"/>
        <item m="1" x="4092"/>
        <item m="1" x="4208"/>
        <item m="1" x="4327"/>
        <item m="1" x="4442"/>
        <item m="1" x="4557"/>
        <item m="1" x="4673"/>
        <item m="1" x="4791"/>
        <item m="1" x="4910"/>
        <item m="1" x="5024"/>
        <item m="1" x="5139"/>
        <item m="1" x="5255"/>
        <item m="1" x="5371"/>
        <item m="1" x="5486"/>
        <item m="1" x="5602"/>
        <item m="1" x="5716"/>
        <item m="1" x="5835"/>
        <item m="1" x="5947"/>
        <item m="1" x="6066"/>
        <item m="1" x="6298"/>
        <item m="1" x="6409"/>
        <item m="1" x="6527"/>
        <item m="1" x="6642"/>
        <item m="1" x="6762"/>
        <item m="1" x="6874"/>
        <item m="1" x="6990"/>
        <item m="1" x="7105"/>
        <item m="1" x="7225"/>
        <item m="1" x="7337"/>
        <item m="1" x="7458"/>
        <item m="1" x="7570"/>
        <item m="1" x="7690"/>
        <item m="1" x="7802"/>
        <item m="1" x="7918"/>
        <item m="1" x="50"/>
        <item m="1" x="168"/>
        <item m="1" x="283"/>
        <item m="1" x="401"/>
        <item m="1" x="516"/>
        <item m="1" x="636"/>
        <item m="1" x="748"/>
        <item m="1" x="863"/>
        <item m="1" x="979"/>
        <item m="1" x="1097"/>
        <item m="1" x="1211"/>
        <item m="1" x="1329"/>
        <item m="1" x="1444"/>
        <item m="1" x="1564"/>
        <item m="1" x="1678"/>
        <item m="1" x="1795"/>
        <item m="1" x="1912"/>
        <item m="1" x="2029"/>
        <item m="1" x="2142"/>
        <item m="1" x="2260"/>
        <item m="1" x="2376"/>
        <item m="1" x="2495"/>
        <item m="1" x="2608"/>
        <item m="1" x="2723"/>
        <item m="1" x="2840"/>
        <item m="1" x="2958"/>
        <item m="1" x="3070"/>
        <item m="1" x="3189"/>
        <item m="1" x="3303"/>
        <item m="1" x="3419"/>
        <item m="1" x="3534"/>
        <item m="1" x="3652"/>
        <item m="1" x="3769"/>
        <item m="1" x="3885"/>
        <item m="1" x="4003"/>
        <item m="1" x="4121"/>
        <item m="1" x="4235"/>
        <item m="1" x="4354"/>
        <item m="1" x="4467"/>
        <item m="1" x="4585"/>
        <item m="1" x="4700"/>
        <item m="1" x="4818"/>
        <item m="1" x="4935"/>
        <item m="1" x="5053"/>
        <item m="1" x="5165"/>
        <item m="1" x="5283"/>
        <item m="1" x="5395"/>
        <item m="1" x="5627"/>
        <item m="1" x="5744"/>
        <item m="1" x="5859"/>
        <item m="1" x="5976"/>
        <item m="1" x="6091"/>
        <item m="1" x="6207"/>
        <item m="1" x="6322"/>
        <item m="1" x="6438"/>
        <item m="1" x="6551"/>
        <item m="1" x="6670"/>
        <item m="1" x="6786"/>
        <item m="1" x="6903"/>
        <item m="1" x="7015"/>
        <item m="1" x="7134"/>
        <item m="1" x="7252"/>
        <item m="1" x="7366"/>
        <item m="1" x="7484"/>
        <item m="1" x="7598"/>
        <item m="1" x="7714"/>
        <item m="1" x="7831"/>
        <item m="1" x="7943"/>
        <item m="1" x="79"/>
        <item m="1" x="195"/>
        <item m="1" x="311"/>
        <item m="1" x="427"/>
        <item m="1" x="546"/>
        <item m="1" x="660"/>
        <item m="1" x="777"/>
        <item m="1" x="888"/>
        <item m="1" x="1006"/>
        <item m="1" x="1123"/>
        <item m="1" x="1239"/>
        <item m="1" x="1354"/>
        <item m="1" x="1473"/>
        <item m="1" x="1587"/>
        <item m="1" x="1706"/>
        <item m="1" x="1819"/>
        <item m="1" x="1939"/>
        <item m="1" x="2053"/>
        <item m="1" x="2171"/>
        <item m="1" x="2285"/>
        <item m="1" x="2404"/>
        <item m="1" x="2519"/>
        <item m="1" x="2634"/>
        <item m="1" x="2748"/>
        <item m="1" x="2867"/>
        <item m="1" x="2984"/>
        <item m="1" x="3097"/>
        <item m="1" x="3216"/>
        <item m="1" x="3330"/>
        <item m="1" x="3445"/>
        <item m="1" x="3562"/>
        <item m="1" x="3678"/>
        <item m="1" x="3797"/>
        <item m="1" x="3913"/>
        <item m="1" x="4030"/>
        <item m="1" x="4147"/>
        <item m="1" x="4263"/>
        <item m="1" x="4380"/>
        <item m="1" x="4497"/>
        <item m="1" x="4609"/>
        <item m="1" x="4728"/>
        <item m="1" x="4963"/>
        <item m="1" x="5078"/>
        <item m="1" x="5194"/>
        <item m="1" x="5308"/>
        <item m="1" x="5426"/>
        <item m="1" x="5537"/>
        <item m="1" x="5656"/>
        <item m="1" x="5769"/>
        <item m="1" x="5889"/>
        <item m="1" x="6002"/>
        <item m="1" x="6119"/>
        <item m="1" x="6233"/>
        <item m="1" x="6352"/>
        <item m="1" x="6463"/>
        <item m="1" x="6579"/>
        <item m="1" x="6697"/>
        <item m="1" x="6815"/>
        <item m="1" x="6929"/>
        <item m="1" x="7043"/>
        <item m="1" x="7160"/>
        <item m="1" x="7281"/>
        <item m="1" x="7392"/>
        <item m="1" x="7511"/>
        <item m="1" x="7626"/>
        <item m="1" x="7741"/>
        <item m="1" x="7857"/>
        <item m="1" x="7972"/>
        <item m="1" x="106"/>
        <item m="1" x="224"/>
        <item m="1" x="336"/>
        <item m="1" x="455"/>
        <item m="1" x="573"/>
        <item m="1" x="689"/>
        <item m="1" x="803"/>
        <item m="1" x="917"/>
        <item m="1" x="1033"/>
        <item m="1" x="1152"/>
        <item m="1" x="1264"/>
        <item m="1" x="1383"/>
        <item m="1" x="1500"/>
        <item m="1" x="1618"/>
        <item m="1" x="1733"/>
        <item m="1" x="1848"/>
        <item m="1" x="1965"/>
        <item m="1" x="2083"/>
        <item m="1" x="2198"/>
        <item m="1" x="2314"/>
        <item m="1" x="2431"/>
        <item m="1" x="2548"/>
        <item m="1" x="2662"/>
        <item m="1" x="2778"/>
        <item m="1" x="2894"/>
        <item m="1" x="3013"/>
        <item m="1" x="3125"/>
        <item m="1" x="3244"/>
        <item m="1" x="3357"/>
        <item m="1" x="3473"/>
        <item m="1" x="3590"/>
        <item m="1" x="3708"/>
        <item m="1" x="3824"/>
        <item m="1" x="3944"/>
        <item m="1" x="4057"/>
        <item m="1" x="4175"/>
        <item m="1" x="4290"/>
        <item m="1" x="4408"/>
        <item m="1" x="4524"/>
        <item m="1" x="4638"/>
        <item m="1" x="4754"/>
        <item m="1" x="4875"/>
        <item m="1" x="4989"/>
        <item m="1" x="5107"/>
        <item m="1" x="5220"/>
        <item m="1" x="5337"/>
        <item m="1" x="5453"/>
        <item m="1" x="5566"/>
        <item m="1" x="5682"/>
        <item m="1" x="5799"/>
        <item m="1" x="5914"/>
        <item m="1" x="6031"/>
        <item m="1" x="6146"/>
        <item m="1" x="6263"/>
        <item m="1" x="6378"/>
        <item m="1" x="6492"/>
        <item m="1" x="6607"/>
        <item m="1" x="6727"/>
        <item m="1" x="6841"/>
        <item m="1" x="6956"/>
        <item m="1" x="7070"/>
        <item m="1" x="7190"/>
        <item m="1" x="7307"/>
        <item m="1" x="7422"/>
        <item m="1" x="7537"/>
        <item m="1" x="7655"/>
        <item m="1" x="7767"/>
        <item m="1" x="7885"/>
        <item m="1" x="134"/>
        <item m="1" x="250"/>
        <item m="1" x="365"/>
        <item m="1" x="479"/>
        <item m="1" x="713"/>
        <item m="1" x="830"/>
        <item m="1" x="942"/>
        <item m="1" x="1062"/>
        <item m="1" x="1177"/>
        <item m="1" x="1290"/>
        <item m="1" x="1409"/>
        <item m="1" x="1528"/>
        <item m="1" x="1643"/>
        <item m="1" x="1759"/>
        <item m="1" x="1877"/>
        <item m="1" x="1992"/>
        <item m="1" x="2111"/>
        <item m="1" x="2225"/>
        <item m="1" x="2342"/>
        <item m="1" x="2459"/>
        <item m="1" x="2574"/>
        <item m="1" x="2687"/>
        <item m="1" x="2806"/>
        <item m="1" x="2922"/>
        <item m="1" x="3038"/>
        <item m="1" x="3153"/>
        <item m="1" x="3270"/>
        <item m="1" x="3386"/>
        <item m="1" x="3499"/>
        <item m="1" x="3617"/>
        <item m="1" x="3734"/>
        <item m="1" x="3850"/>
        <item m="1" x="3969"/>
        <item m="1" x="4085"/>
        <item m="1" x="4199"/>
        <item m="1" x="4319"/>
        <item m="1" x="4433"/>
        <item m="1" x="4550"/>
        <item m="1" x="4664"/>
        <item m="1" x="4783"/>
        <item m="1" x="4901"/>
        <item m="1" x="5016"/>
        <item m="1" x="5131"/>
        <item m="1" x="5247"/>
        <item m="1" x="5362"/>
        <item m="1" x="5479"/>
        <item m="1" x="5593"/>
        <item m="1" x="5709"/>
        <item m="1" x="5826"/>
        <item m="1" x="5940"/>
        <item m="1" x="6057"/>
        <item m="1" x="6172"/>
        <item m="1" x="6288"/>
        <item m="1" x="6403"/>
        <item m="1" x="6519"/>
        <item m="1" x="6635"/>
        <item m="1" x="6754"/>
        <item m="1" x="6867"/>
        <item m="1" x="6982"/>
        <item m="1" x="7098"/>
        <item m="1" x="7216"/>
        <item m="1" x="7332"/>
        <item m="1" x="7449"/>
        <item m="1" x="7563"/>
        <item m="1" x="7682"/>
        <item m="1" x="7795"/>
        <item m="1" x="42"/>
        <item m="1" x="159"/>
        <item m="1" x="276"/>
        <item m="1" x="392"/>
        <item m="1" x="508"/>
        <item m="1" x="627"/>
        <item m="1" x="739"/>
        <item m="1" x="855"/>
        <item m="1" x="970"/>
        <item m="1" x="1088"/>
        <item m="1" x="1203"/>
        <item m="1" x="1320"/>
        <item m="1" x="1437"/>
        <item m="1" x="1555"/>
        <item m="1" x="1670"/>
        <item m="1" x="1786"/>
        <item m="1" x="1905"/>
        <item m="1" x="2019"/>
        <item m="1" x="2136"/>
        <item m="1" x="2251"/>
        <item m="1" x="2370"/>
        <item m="1" x="2486"/>
        <item m="1" x="2601"/>
        <item m="1" x="2715"/>
        <item m="1" x="2834"/>
        <item m="1" x="2949"/>
        <item m="1" x="3064"/>
        <item m="1" x="3180"/>
        <item m="1" x="3297"/>
        <item m="1" x="3411"/>
        <item m="1" x="3527"/>
        <item m="1" x="3643"/>
        <item m="1" x="3762"/>
        <item m="1" x="3876"/>
        <item m="1" x="3996"/>
        <item m="1" x="4112"/>
        <item m="1" x="4228"/>
        <item m="1" x="4345"/>
        <item m="1" x="4459"/>
        <item m="1" x="4577"/>
        <item m="1" x="4693"/>
        <item m="1" x="4809"/>
        <item m="1" x="4928"/>
        <item m="1" x="5044"/>
        <item m="1" x="5159"/>
        <item m="1" x="5274"/>
        <item m="1" x="5388"/>
        <item m="1" x="5504"/>
        <item m="1" x="5621"/>
        <item m="1" x="5735"/>
        <item m="1" x="5853"/>
        <item m="1" x="5968"/>
        <item m="1" x="6085"/>
        <item m="1" x="6198"/>
        <item m="1" x="6315"/>
        <item m="1" x="6430"/>
        <item m="1" x="6546"/>
        <item m="1" x="6661"/>
        <item m="1" x="6779"/>
        <item m="1" x="6894"/>
        <item m="1" x="7009"/>
        <item m="1" x="7124"/>
        <item m="1" x="7355"/>
        <item m="1" x="7476"/>
        <item m="1" x="7588"/>
        <item m="1" x="7707"/>
        <item m="1" x="7821"/>
        <item m="1" x="7936"/>
        <item m="1" x="68"/>
        <item m="1" x="186"/>
        <item m="1" x="302"/>
        <item m="1" x="419"/>
        <item m="1" x="535"/>
        <item m="1" x="653"/>
        <item m="1" x="768"/>
        <item m="1" x="881"/>
        <item m="1" x="997"/>
        <item m="1" x="1115"/>
        <item m="1" x="1230"/>
        <item m="1" x="1347"/>
        <item m="1" x="1463"/>
        <item m="1" x="1581"/>
        <item m="1" x="1697"/>
        <item m="1" x="1813"/>
        <item m="1" x="1930"/>
        <item m="1" x="2046"/>
        <item m="1" x="2163"/>
        <item m="1" x="2279"/>
        <item m="1" x="2395"/>
        <item m="1" x="2513"/>
        <item m="1" x="2626"/>
        <item m="1" x="2742"/>
        <item m="1" x="2858"/>
        <item m="1" x="2977"/>
        <item m="1" x="3088"/>
        <item m="1" x="3209"/>
        <item m="1" x="3321"/>
        <item m="1" x="3438"/>
        <item m="1" x="3553"/>
        <item m="1" x="3671"/>
        <item m="1" x="3788"/>
        <item m="1" x="3905"/>
        <item m="1" x="4022"/>
        <item m="1" x="4141"/>
        <item m="1" x="4254"/>
        <item m="1" x="4373"/>
        <item m="1" x="4488"/>
        <item m="1" x="4604"/>
        <item m="1" x="4719"/>
        <item m="1" x="4837"/>
        <item m="1" x="4954"/>
        <item m="1" x="5072"/>
        <item m="1" x="5185"/>
        <item m="1" x="5301"/>
        <item m="1" x="5417"/>
        <item m="1" x="5531"/>
        <item m="1" x="5647"/>
        <item m="1" x="5763"/>
        <item m="1" x="5881"/>
        <item m="1" x="5996"/>
        <item m="1" x="6111"/>
        <item m="1" x="6226"/>
        <item m="1" x="6343"/>
        <item m="1" x="6457"/>
        <item m="1" x="6690"/>
        <item m="1" x="6805"/>
        <item m="1" x="6922"/>
        <item m="1" x="7034"/>
        <item m="1" x="7152"/>
        <item m="1" x="7272"/>
        <item m="1" x="7385"/>
        <item m="1" x="7503"/>
        <item m="1" x="7617"/>
        <item m="1" x="7733"/>
        <item m="1" x="7850"/>
        <item m="1" x="7963"/>
        <item m="1" x="97"/>
        <item m="1" x="215"/>
        <item m="1" x="329"/>
        <item m="1" x="447"/>
        <item m="1" x="565"/>
        <item m="1" x="680"/>
        <item m="1" x="796"/>
        <item m="1" x="907"/>
        <item m="1" x="1026"/>
        <item m="1" x="1143"/>
        <item m="1" x="1258"/>
        <item m="1" x="1375"/>
        <item m="1" x="1493"/>
        <item m="1" x="1610"/>
        <item m="1" x="1727"/>
        <item m="1" x="1840"/>
        <item m="1" x="1958"/>
        <item m="1" x="2075"/>
        <item m="1" x="2192"/>
        <item m="1" x="2306"/>
        <item m="1" x="2425"/>
        <item m="1" x="2539"/>
        <item m="1" x="2655"/>
        <item m="1" x="2769"/>
        <item m="1" x="2886"/>
        <item m="1" x="3004"/>
        <item m="1" x="3118"/>
        <item m="1" x="3236"/>
        <item m="1" x="3350"/>
        <item m="1" x="3465"/>
        <item m="1" x="3583"/>
        <item m="1" x="3699"/>
        <item m="1" x="3816"/>
        <item m="1" x="3935"/>
        <item m="1" x="4051"/>
        <item m="1" x="4167"/>
        <item m="1" x="4283"/>
        <item m="1" x="4400"/>
        <item m="1" x="4518"/>
        <item m="1" x="4629"/>
        <item m="1" x="4747"/>
        <item m="1" x="4866"/>
        <item m="1" x="4984"/>
        <item m="1" x="5099"/>
        <item m="1" x="5213"/>
        <item m="1" x="5330"/>
        <item m="1" x="5446"/>
        <item m="1" x="5557"/>
        <item m="1" x="5675"/>
        <item m="1" x="5789"/>
        <item m="1" x="6022"/>
        <item m="1" x="6139"/>
        <item m="1" x="6252"/>
        <item m="1" x="6371"/>
        <item m="1" x="6482"/>
        <item m="1" x="6598"/>
        <item m="1" x="6717"/>
        <item m="1" x="6834"/>
        <item m="1" x="6947"/>
        <item m="1" x="7062"/>
        <item m="1" x="7180"/>
        <item m="1" x="7299"/>
        <item m="1" x="7412"/>
        <item m="1" x="7528"/>
        <item m="1" x="7646"/>
        <item m="1" x="7760"/>
        <item m="1" x="7877"/>
        <item m="1" x="7991"/>
        <item m="1" x="125"/>
        <item m="1" x="243"/>
        <item m="1" x="355"/>
        <item m="1" x="472"/>
        <item m="1" x="593"/>
        <item m="1" x="707"/>
        <item m="1" x="822"/>
        <item m="1" x="935"/>
        <item m="1" x="1054"/>
        <item m="1" x="1171"/>
        <item m="1" x="1282"/>
        <item m="1" x="1402"/>
        <item m="1" x="1519"/>
        <item m="1" x="1638"/>
        <item m="1" x="1751"/>
        <item m="1" x="1870"/>
        <item m="1" x="1983"/>
        <item m="1" x="2104"/>
        <item m="1" x="2216"/>
        <item m="1" x="2334"/>
        <item m="1" x="2450"/>
        <item m="1" x="2568"/>
        <item m="1" x="2679"/>
        <item m="1" x="2798"/>
        <item m="1" x="2913"/>
        <item m="1" x="3031"/>
        <item m="1" x="3144"/>
        <item m="1" x="3263"/>
        <item m="1" x="3377"/>
        <item m="1" x="3493"/>
        <item m="1" x="3609"/>
        <item m="1" x="3727"/>
        <item m="1" x="3842"/>
        <item m="1" x="3963"/>
        <item m="1" x="4075"/>
        <item m="1" x="4193"/>
        <item m="1" x="4310"/>
        <item m="1" x="4427"/>
        <item m="1" x="4542"/>
        <item m="1" x="4657"/>
        <item m="1" x="4774"/>
        <item m="1" x="4895"/>
        <item m="1" x="5007"/>
        <item m="1" x="5124"/>
        <item m="1" x="5356"/>
        <item m="1" x="5471"/>
        <item m="1" x="5586"/>
        <item m="1" x="5699"/>
        <item m="1" x="5819"/>
        <item m="1" x="5931"/>
        <item m="1" x="6049"/>
        <item m="1" x="6163"/>
        <item m="1" x="6282"/>
        <item m="1" x="6395"/>
        <item m="1" x="6510"/>
        <item m="1" x="6626"/>
        <item m="1" x="6746"/>
        <item m="1" x="6858"/>
        <item m="1" x="6973"/>
        <item m="1" x="7089"/>
        <item m="1" x="7209"/>
        <item m="1" x="7324"/>
        <item m="1" x="7441"/>
        <item m="1" x="7554"/>
        <item m="1" x="7675"/>
        <item m="1" x="7785"/>
        <item m="1" x="7902"/>
        <item m="1" x="33"/>
        <item m="1" x="153"/>
        <item m="1" x="268"/>
        <item m="1" x="385"/>
        <item m="1" x="500"/>
        <item m="1" x="621"/>
        <item m="1" x="731"/>
        <item m="1" x="849"/>
        <item m="1" x="961"/>
        <item m="1" x="1082"/>
        <item m="1" x="1195"/>
        <item m="1" x="1313"/>
        <item m="1" x="1428"/>
        <item m="1" x="1548"/>
        <item m="1" x="1661"/>
        <item m="1" x="1778"/>
        <item m="1" x="1896"/>
        <item m="1" x="2012"/>
        <item m="1" x="2128"/>
        <item m="1" x="2243"/>
        <item m="1" x="2361"/>
        <item m="1" x="2479"/>
        <item m="1" x="2592"/>
        <item m="1" x="2707"/>
        <item m="1" x="2825"/>
        <item m="1" x="2943"/>
        <item m="1" x="3057"/>
        <item m="1" x="3173"/>
        <item m="1" x="3288"/>
        <item m="1" x="3406"/>
        <item m="1" x="3517"/>
        <item m="1" x="3636"/>
        <item m="1" x="3753"/>
        <item m="1" x="3870"/>
        <item m="1" x="3988"/>
        <item m="1" x="4105"/>
        <item m="1" x="4218"/>
        <item m="1" x="4339"/>
        <item m="1" x="4450"/>
        <item m="1" x="4569"/>
        <item m="1" x="4683"/>
        <item m="1" x="4802"/>
        <item m="1" x="4919"/>
        <item m="1" x="5036"/>
        <item m="1" x="5148"/>
        <item m="1" x="5267"/>
        <item m="1" x="5378"/>
        <item m="1" x="5497"/>
        <item m="1" x="5611"/>
        <item m="1" x="5727"/>
        <item m="1" x="5843"/>
        <item m="1" x="5959"/>
        <item m="1" x="6075"/>
        <item m="1" x="6190"/>
        <item m="1" x="6305"/>
        <item m="1" x="6421"/>
        <item m="1" x="6537"/>
        <item m="1" x="6654"/>
        <item m="1" x="6771"/>
        <item m="1" x="6886"/>
        <item m="1" x="7000"/>
        <item m="1" x="7117"/>
        <item m="1" x="7235"/>
        <item m="1" x="7348"/>
        <item m="1" x="7467"/>
        <item m="1" x="7582"/>
        <item m="1" x="7700"/>
        <item m="1" x="7814"/>
        <item m="1" x="7928"/>
        <item m="1" x="62"/>
        <item m="1" x="177"/>
        <item m="1" x="295"/>
        <item m="1" x="410"/>
        <item m="1" x="529"/>
        <item m="1" x="645"/>
        <item m="1" x="761"/>
        <item m="1" x="872"/>
        <item m="1" x="1106"/>
        <item m="1" x="1222"/>
        <item m="1" x="1338"/>
        <item m="1" x="1456"/>
        <item m="1" x="1573"/>
        <item m="1" x="1689"/>
        <item m="1" x="1804"/>
        <item m="1" x="1924"/>
        <item m="1" x="2037"/>
        <item m="1" x="2155"/>
        <item m="1" x="2270"/>
        <item m="1" x="2389"/>
        <item m="1" x="2505"/>
        <item m="1" x="2620"/>
        <item m="1" x="2733"/>
        <item m="1" x="2852"/>
        <item m="1" x="2967"/>
        <item m="1" x="3081"/>
        <item m="1" x="3200"/>
        <item m="1" x="3315"/>
        <item m="1" x="3430"/>
        <item m="1" x="3546"/>
        <item m="1" x="3662"/>
        <item m="1" x="3781"/>
        <item m="1" x="3895"/>
        <item m="1" x="4014"/>
        <item m="1" x="4131"/>
        <item m="1" x="4247"/>
        <item m="1" x="4364"/>
        <item m="1" x="4480"/>
        <item m="1" x="4593"/>
        <item m="1" x="4712"/>
        <item m="1" x="4827"/>
        <item m="1" x="4945"/>
        <item m="1" x="5062"/>
        <item m="1" x="5177"/>
        <item m="1" x="5292"/>
        <item m="1" x="5407"/>
        <item m="1" x="5521"/>
        <item m="1" x="5638"/>
        <item m="1" x="5753"/>
        <item m="1" x="5871"/>
        <item m="1" x="5986"/>
        <item m="1" x="6103"/>
        <item m="1" x="6217"/>
        <item m="1" x="6334"/>
        <item m="1" x="6448"/>
        <item m="1" x="6563"/>
        <item m="1" x="6679"/>
        <item m="1" x="6797"/>
        <item m="1" x="6913"/>
        <item m="1" x="7027"/>
        <item m="1" x="7144"/>
        <item m="1" x="7264"/>
        <item m="1" x="7375"/>
        <item m="1" x="7496"/>
        <item m="1" x="7607"/>
        <item m="1" x="7726"/>
        <item m="1" x="7840"/>
        <item m="1" x="7956"/>
        <item m="1" x="88"/>
        <item m="1" x="207"/>
        <item m="1" x="439"/>
        <item m="1" x="555"/>
        <item m="1" x="671"/>
        <item m="1" x="786"/>
        <item m="1" x="899"/>
        <item m="1" x="1017"/>
        <item m="1" x="1134"/>
        <item m="1" x="1248"/>
        <item m="1" x="1367"/>
        <item m="1" x="1483"/>
        <item m="1" x="1601"/>
        <item m="1" x="1717"/>
        <item m="1" x="1833"/>
        <item m="1" x="1949"/>
        <item m="1" x="2067"/>
        <item m="1" x="2182"/>
        <item m="1" x="2299"/>
        <item m="1" x="2414"/>
        <item m="1" x="2531"/>
        <item m="1" x="2645"/>
        <item m="1" x="2762"/>
        <item m="1" x="2877"/>
        <item m="1" x="2996"/>
        <item m="1" x="3107"/>
        <item m="1" x="3228"/>
        <item m="1" x="3340"/>
        <item m="1" x="3456"/>
        <item m="1" x="3572"/>
        <item m="1" x="3691"/>
        <item m="1" x="3806"/>
        <item m="1" x="3926"/>
        <item m="1" x="4039"/>
        <item m="1" x="4159"/>
        <item m="1" x="4272"/>
        <item m="1" x="4391"/>
        <item m="1" x="4506"/>
        <item m="1" x="4621"/>
        <item m="1" x="4737"/>
        <item m="1" x="4855"/>
        <item m="1" x="4972"/>
        <item m="1" x="5090"/>
        <item m="1" x="5203"/>
        <item m="1" x="5320"/>
        <item m="1" x="5436"/>
        <item m="1" x="5549"/>
        <item m="1" x="5666"/>
        <item m="1" x="5781"/>
        <item m="1" x="5898"/>
        <item m="1" x="6014"/>
        <item m="1" x="6129"/>
        <item m="1" x="6244"/>
        <item m="1" x="6362"/>
        <item m="1" x="6475"/>
        <item m="1" x="6589"/>
        <item m="1" x="6709"/>
        <item m="1" x="6824"/>
        <item m="1" x="6941"/>
        <item m="1" x="7052"/>
        <item m="1" x="7172"/>
        <item m="1" x="7290"/>
        <item m="1" x="7405"/>
        <item m="1" x="7519"/>
        <item m="1" x="7750"/>
        <item m="1" x="7869"/>
        <item m="1" x="7981"/>
        <item m="1" x="116"/>
        <item m="1" x="233"/>
        <item m="1" x="347"/>
        <item m="1" x="463"/>
        <item m="1" x="584"/>
        <item m="1" x="697"/>
        <item m="1" x="814"/>
        <item m="1" x="925"/>
        <item m="1" x="1045"/>
        <item m="1" x="1161"/>
        <item m="1" x="1275"/>
        <item m="1" x="1392"/>
        <item m="1" x="1511"/>
        <item m="1" x="1627"/>
        <item m="1" x="1744"/>
        <item m="1" x="1858"/>
        <item m="1" x="1975"/>
        <item m="1" x="2093"/>
        <item m="1" x="2209"/>
        <item m="1" x="2324"/>
        <item m="1" x="2442"/>
        <item m="1" x="2557"/>
        <item m="1" x="2672"/>
        <item m="1" x="2787"/>
        <item m="1" x="2905"/>
        <item m="1" x="3021"/>
        <item m="1" x="3137"/>
        <item m="1" x="3253"/>
        <item m="1" x="3369"/>
        <item m="1" x="3481"/>
        <item m="1" x="3601"/>
        <item m="1" x="3716"/>
        <item m="1" x="3834"/>
        <item m="1" x="3952"/>
        <item m="1" x="4068"/>
        <item m="1" x="4183"/>
        <item m="1" x="4301"/>
        <item m="1" x="4416"/>
        <item m="1" x="4535"/>
        <item m="1" x="4646"/>
        <item m="1" x="4765"/>
        <item m="1" x="4884"/>
        <item m="1" x="5000"/>
        <item m="1" x="5115"/>
        <item m="1" x="5231"/>
        <item m="1" x="5346"/>
        <item m="1" x="5464"/>
        <item m="1" x="5575"/>
        <item m="1" x="5692"/>
        <item m="1" x="5808"/>
        <item m="1" x="5925"/>
        <item m="1" x="6040"/>
        <item m="1" x="6157"/>
        <item m="1" x="6271"/>
        <item m="1" x="6389"/>
        <item m="1" x="6500"/>
        <item m="1" x="6619"/>
        <item m="1" x="6735"/>
        <item m="1" x="6852"/>
        <item m="1" x="7082"/>
        <item m="1" x="7198"/>
        <item m="1" x="7317"/>
        <item m="1" x="7430"/>
        <item m="1" x="7546"/>
        <item m="1" x="7664"/>
        <item m="1" x="7778"/>
        <item m="1" x="7893"/>
        <item m="1" x="25"/>
        <item m="1" x="142"/>
        <item m="1" x="262"/>
        <item m="1" x="374"/>
        <item m="1" x="492"/>
        <item m="1" x="610"/>
        <item m="1" x="725"/>
        <item m="1" x="839"/>
        <item m="1" x="954"/>
        <item m="1" x="1071"/>
        <item m="1" x="1189"/>
        <item m="1" x="1301"/>
        <item m="1" x="1421"/>
        <item m="1" x="1537"/>
        <item m="1" x="1655"/>
        <item m="1" x="1769"/>
        <item m="1" x="1889"/>
        <item m="1" x="2001"/>
        <item m="1" x="2122"/>
        <item m="1" x="2233"/>
        <item m="1" x="2353"/>
        <item m="1" x="2468"/>
        <item m="1" x="2586"/>
        <item m="1" x="2696"/>
        <item m="1" x="2818"/>
        <item m="1" x="2930"/>
        <item m="1" x="3049"/>
        <item m="1" x="3161"/>
        <item m="1" x="3280"/>
        <item m="1" x="3394"/>
        <item m="1" x="3510"/>
        <item m="1" x="3625"/>
        <item m="1" x="3745"/>
        <item m="1" x="3858"/>
        <item m="1" x="3980"/>
        <item m="1" x="4093"/>
        <item m="1" x="4209"/>
        <item m="1" x="4328"/>
        <item m="1" x="4444"/>
        <item m="1" x="4559"/>
        <item m="1" x="4675"/>
        <item m="1" x="4792"/>
        <item m="1" x="4912"/>
        <item m="1" x="5025"/>
        <item m="1" x="5141"/>
        <item m="1" x="5256"/>
        <item m="1" x="5373"/>
        <item m="1" x="5488"/>
        <item m="1" x="5604"/>
        <item m="1" x="5717"/>
        <item m="1" x="5837"/>
        <item m="1" x="5948"/>
        <item m="1" x="6068"/>
        <item m="1" x="6179"/>
        <item m="1" x="6411"/>
        <item m="1" x="6530"/>
        <item m="1" x="6643"/>
        <item m="1" x="6764"/>
        <item m="1" x="6875"/>
        <item m="1" x="6992"/>
        <item m="1" x="7106"/>
        <item m="1" x="7227"/>
        <item m="1" x="7339"/>
        <item m="1" x="7460"/>
        <item m="1" x="7571"/>
        <item m="1" x="7692"/>
        <item m="1" x="7803"/>
        <item m="1" x="7920"/>
        <item m="1" x="51"/>
        <item m="1" x="170"/>
        <item m="1" x="285"/>
        <item m="1" x="403"/>
        <item m="1" x="517"/>
        <item m="1" x="638"/>
        <item m="1" x="749"/>
        <item m="1" x="865"/>
        <item m="1" x="980"/>
        <item m="1" x="1099"/>
        <item m="1" x="1213"/>
        <item m="1" x="1331"/>
        <item m="1" x="1445"/>
        <item m="1" x="1566"/>
        <item m="1" x="1679"/>
        <item m="1" x="1797"/>
        <item m="1" x="1913"/>
        <item m="1" x="2031"/>
        <item m="1" x="2145"/>
        <item m="1" x="2263"/>
        <item m="1" x="2377"/>
        <item m="1" x="2497"/>
        <item m="1" x="2609"/>
        <item m="1" x="2725"/>
        <item m="1" x="2841"/>
        <item m="1" x="2960"/>
        <item m="1" x="3072"/>
        <item m="1" x="3191"/>
        <item m="1" x="3304"/>
        <item m="1" x="3421"/>
        <item m="1" x="3535"/>
        <item m="1" x="3654"/>
        <item m="1" x="3770"/>
        <item m="1" x="3887"/>
        <item m="1" x="4005"/>
        <item m="1" x="4123"/>
        <item m="1" x="4236"/>
        <item m="1" x="4356"/>
        <item m="1" x="4468"/>
        <item m="1" x="4587"/>
        <item m="1" x="4701"/>
        <item m="1" x="4820"/>
        <item m="1" x="4936"/>
        <item m="1" x="5055"/>
        <item m="1" x="5166"/>
        <item m="1" x="5285"/>
        <item m="1" x="5396"/>
        <item m="1" x="5514"/>
        <item m="1" x="5746"/>
        <item m="1" x="5861"/>
        <item m="1" x="5979"/>
        <item m="1" x="6092"/>
        <item m="1" x="6209"/>
        <item m="1" x="6323"/>
        <item m="1" x="6440"/>
        <item m="1" x="6552"/>
        <item m="1" x="6672"/>
        <item m="1" x="6788"/>
        <item m="1" x="6905"/>
        <item m="1" x="7016"/>
        <item m="1" x="7136"/>
        <item m="1" x="7253"/>
        <item m="1" x="7368"/>
        <item m="1" x="7485"/>
        <item m="1" x="7600"/>
        <item m="1" x="7716"/>
        <item m="1" x="7833"/>
        <item m="1" x="7944"/>
        <item m="1" x="81"/>
        <item m="1" x="196"/>
        <item m="1" x="313"/>
        <item m="1" x="428"/>
        <item m="1" x="548"/>
        <item m="1" x="662"/>
        <item m="1" x="779"/>
        <item m="1" x="889"/>
        <item m="1" x="1008"/>
        <item m="1" x="1124"/>
        <item m="1" x="1241"/>
        <item m="1" x="1355"/>
        <item m="1" x="1475"/>
        <item m="1" x="1590"/>
        <item m="1" x="1709"/>
        <item m="1" x="1820"/>
        <item m="1" x="1941"/>
        <item m="1" x="2054"/>
        <item m="1" x="2173"/>
        <item m="1" x="2286"/>
        <item m="1" x="2406"/>
        <item m="1" x="2521"/>
        <item m="1" x="2636"/>
        <item m="1" x="2749"/>
        <item m="1" x="2868"/>
        <item m="1" x="2985"/>
        <item m="1" x="3099"/>
        <item m="1" x="3217"/>
        <item m="1" x="3332"/>
        <item m="1" x="3447"/>
        <item m="1" x="3564"/>
        <item m="1" x="3679"/>
        <item m="1" x="3799"/>
        <item m="1" x="3914"/>
        <item m="1" x="4032"/>
        <item m="1" x="4148"/>
        <item m="1" x="4265"/>
        <item m="1" x="4382"/>
        <item m="1" x="4499"/>
        <item m="1" x="4610"/>
        <item m="1" x="4730"/>
        <item m="1" x="4844"/>
        <item m="1" x="4965"/>
        <item m="1" x="5079"/>
        <item m="1" x="5196"/>
        <item m="1" x="5310"/>
        <item m="1" x="5429"/>
        <item m="1" x="5538"/>
        <item m="1" x="5658"/>
        <item m="1" x="5770"/>
        <item m="1" x="5891"/>
        <item m="1" x="6003"/>
        <item m="1" x="6121"/>
        <item m="1" x="6235"/>
        <item m="1" x="6354"/>
        <item m="1" x="6464"/>
        <item m="1" x="6581"/>
        <item m="1" x="6698"/>
        <item m="1" x="6817"/>
        <item m="1" x="6930"/>
        <item m="1" x="7045"/>
        <item m="1" x="7162"/>
        <item m="1" x="7283"/>
        <item m="1" x="7393"/>
        <item m="1" x="7513"/>
        <item m="1" x="7627"/>
        <item m="1" x="7743"/>
        <item m="1" x="7858"/>
        <item m="1" x="7974"/>
        <item m="1" x="108"/>
        <item m="1" x="226"/>
        <item m="1" x="3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9"/>
  </rowFields>
  <rowItems count="10">
    <i>
      <x/>
    </i>
    <i>
      <x v="1"/>
    </i>
    <i>
      <x v="2"/>
    </i>
    <i>
      <x v="5"/>
    </i>
    <i>
      <x v="8"/>
    </i>
    <i>
      <x v="9"/>
    </i>
    <i>
      <x v="12"/>
    </i>
    <i>
      <x v="14"/>
    </i>
    <i>
      <x v="17"/>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63">
      <pivotArea field="2" type="button" dataOnly="0" labelOnly="1" outline="0"/>
    </format>
    <format dxfId="262">
      <pivotArea dataOnly="0" labelOnly="1" grandRow="1" outline="0" fieldPosition="0"/>
    </format>
    <format dxfId="261">
      <pivotArea outline="0" fieldPosition="0">
        <references count="1">
          <reference field="4294967294" count="1">
            <x v="0"/>
          </reference>
        </references>
      </pivotArea>
    </format>
    <format dxfId="260">
      <pivotArea outline="0" fieldPosition="0">
        <references count="1">
          <reference field="4294967294" count="1">
            <x v="1"/>
          </reference>
        </references>
      </pivotArea>
    </format>
    <format dxfId="25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280CEFF-1929-4EB6-81AE-479F0CC9E19D}" name="PivotTable9"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Road Condition">
  <location ref="F65:H71"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5">
        <item m="1" x="8"/>
        <item m="1" x="11"/>
        <item x="1"/>
        <item x="4"/>
        <item m="1" x="10"/>
        <item x="3"/>
        <item m="1" x="12"/>
        <item m="1" x="9"/>
        <item m="1" x="5"/>
        <item x="2"/>
        <item m="1" x="13"/>
        <item m="1" x="6"/>
        <item x="0"/>
        <item m="1" x="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5"/>
  </rowFields>
  <rowItems count="6">
    <i>
      <x v="2"/>
    </i>
    <i>
      <x v="12"/>
    </i>
    <i>
      <x v="9"/>
    </i>
    <i>
      <x v="5"/>
    </i>
    <i>
      <x v="3"/>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68">
      <pivotArea field="2" type="button" dataOnly="0" labelOnly="1" outline="0"/>
    </format>
    <format dxfId="267">
      <pivotArea dataOnly="0" labelOnly="1" grandRow="1" outline="0" fieldPosition="0"/>
    </format>
    <format dxfId="266">
      <pivotArea outline="0" fieldPosition="0">
        <references count="1">
          <reference field="4294967294" count="1">
            <x v="0"/>
          </reference>
        </references>
      </pivotArea>
    </format>
    <format dxfId="265">
      <pivotArea outline="0" fieldPosition="0">
        <references count="1">
          <reference field="4294967294" count="1">
            <x v="1"/>
          </reference>
        </references>
      </pivotArea>
    </format>
    <format dxfId="26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62F06D4A-3206-491A-9E6C-E3B607CBF5FC}" name="PivotTable1"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2 Type">
  <location ref="B277:D293"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9">
        <item x="4"/>
        <item x="11"/>
        <item x="14"/>
        <item x="5"/>
        <item x="13"/>
        <item x="7"/>
        <item m="1" x="17"/>
        <item x="0"/>
        <item x="6"/>
        <item x="8"/>
        <item x="2"/>
        <item x="12"/>
        <item x="9"/>
        <item x="1"/>
        <item x="10"/>
        <item x="3"/>
        <item m="1" x="16"/>
        <item m="1" x="1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08"/>
  </rowFields>
  <rowItems count="16">
    <i>
      <x v="7"/>
    </i>
    <i>
      <x v="13"/>
    </i>
    <i>
      <x/>
    </i>
    <i>
      <x v="10"/>
    </i>
    <i>
      <x v="8"/>
    </i>
    <i>
      <x v="5"/>
    </i>
    <i>
      <x v="3"/>
    </i>
    <i>
      <x v="15"/>
    </i>
    <i>
      <x v="1"/>
    </i>
    <i>
      <x v="12"/>
    </i>
    <i>
      <x v="9"/>
    </i>
    <i>
      <x v="11"/>
    </i>
    <i>
      <x v="4"/>
    </i>
    <i>
      <x v="2"/>
    </i>
    <i>
      <x v="14"/>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73">
      <pivotArea field="2" type="button" dataOnly="0" labelOnly="1" outline="0"/>
    </format>
    <format dxfId="272">
      <pivotArea dataOnly="0" labelOnly="1" grandRow="1" outline="0" fieldPosition="0"/>
    </format>
    <format dxfId="271">
      <pivotArea outline="0" fieldPosition="0">
        <references count="1">
          <reference field="4294967294" count="1">
            <x v="0"/>
          </reference>
        </references>
      </pivotArea>
    </format>
    <format dxfId="270">
      <pivotArea outline="0" fieldPosition="0">
        <references count="1">
          <reference field="4294967294" count="1">
            <x v="1"/>
          </reference>
        </references>
      </pivotArea>
    </format>
    <format dxfId="26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F76D50D-FAEB-4208-A0C7-A716486E7C3C}" name="PivotTable15"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Work Zone Related">
  <location ref="F94:H97"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8"/>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78">
      <pivotArea field="2" type="button" dataOnly="0" labelOnly="1" outline="0"/>
    </format>
    <format dxfId="277">
      <pivotArea dataOnly="0" labelOnly="1" grandRow="1" outline="0" fieldPosition="0"/>
    </format>
    <format dxfId="276">
      <pivotArea outline="0" fieldPosition="0">
        <references count="1">
          <reference field="4294967294" count="1">
            <x v="0"/>
          </reference>
        </references>
      </pivotArea>
    </format>
    <format dxfId="275">
      <pivotArea outline="0" fieldPosition="0">
        <references count="1">
          <reference field="4294967294" count="1">
            <x v="1"/>
          </reference>
        </references>
      </pivotArea>
    </format>
    <format dxfId="27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34FBE4AB-45B4-4443-B022-553A6E058A07}" name="PivotTable22"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Intersection Related">
  <location ref="B119:D122"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9"/>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83">
      <pivotArea field="2" type="button" dataOnly="0" labelOnly="1" outline="0"/>
    </format>
    <format dxfId="282">
      <pivotArea dataOnly="0" labelOnly="1" grandRow="1" outline="0" fieldPosition="0"/>
    </format>
    <format dxfId="281">
      <pivotArea outline="0" fieldPosition="0">
        <references count="1">
          <reference field="4294967294" count="1">
            <x v="0"/>
          </reference>
        </references>
      </pivotArea>
    </format>
    <format dxfId="280">
      <pivotArea outline="0" fieldPosition="0">
        <references count="1">
          <reference field="4294967294" count="1">
            <x v="1"/>
          </reference>
        </references>
      </pivotArea>
    </format>
    <format dxfId="27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7F05DA5F-962B-469D-A11D-E8959B569724}" name="PivotTable20"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Young Driver (15-25)">
  <location ref="F119:H122"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7"/>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88">
      <pivotArea field="2" type="button" dataOnly="0" labelOnly="1" outline="0"/>
    </format>
    <format dxfId="287">
      <pivotArea dataOnly="0" labelOnly="1" grandRow="1" outline="0" fieldPosition="0"/>
    </format>
    <format dxfId="286">
      <pivotArea outline="0" fieldPosition="0">
        <references count="1">
          <reference field="4294967294" count="1">
            <x v="0"/>
          </reference>
        </references>
      </pivotArea>
    </format>
    <format dxfId="285">
      <pivotArea outline="0" fieldPosition="0">
        <references count="1">
          <reference field="4294967294" count="1">
            <x v="1"/>
          </reference>
        </references>
      </pivotArea>
    </format>
    <format dxfId="28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D75C7E2-FE71-47E6-BACC-07B3AC0076CA}" name="PivotTable6"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Hour of Day">
  <location ref="B28:D53"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5">
        <item x="16"/>
        <item x="21"/>
        <item x="13"/>
        <item x="15"/>
        <item x="23"/>
        <item x="22"/>
        <item x="8"/>
        <item x="0"/>
        <item x="18"/>
        <item x="20"/>
        <item x="5"/>
        <item x="10"/>
        <item x="14"/>
        <item x="19"/>
        <item x="1"/>
        <item x="6"/>
        <item x="12"/>
        <item x="2"/>
        <item x="3"/>
        <item x="11"/>
        <item x="7"/>
        <item x="9"/>
        <item x="17"/>
        <item x="4"/>
        <item t="default"/>
      </items>
    </pivotField>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93">
      <pivotArea field="2" type="button" dataOnly="0" labelOnly="1" outline="0"/>
    </format>
    <format dxfId="292">
      <pivotArea dataOnly="0" labelOnly="1" grandRow="1" outline="0" fieldPosition="0"/>
    </format>
    <format dxfId="291">
      <pivotArea outline="0" fieldPosition="0">
        <references count="1">
          <reference field="4294967294" count="1">
            <x v="0"/>
          </reference>
        </references>
      </pivotArea>
    </format>
    <format dxfId="290">
      <pivotArea outline="0" fieldPosition="0">
        <references count="1">
          <reference field="4294967294" count="1">
            <x v="1"/>
          </reference>
        </references>
      </pivotArea>
    </format>
    <format dxfId="28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9B2BE7A-1EF3-4C96-A8EA-EB5761C829EA}" name="PivotTable18"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Marijuana Related">
  <location ref="F109:H112"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1"/>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63">
      <pivotArea field="2" type="button" dataOnly="0" labelOnly="1" outline="0"/>
    </format>
    <format dxfId="162">
      <pivotArea dataOnly="0" labelOnly="1" grandRow="1" outline="0" fieldPosition="0"/>
    </format>
    <format dxfId="161">
      <pivotArea outline="0" fieldPosition="0">
        <references count="1">
          <reference field="4294967294" count="1">
            <x v="0"/>
          </reference>
        </references>
      </pivotArea>
    </format>
    <format dxfId="160">
      <pivotArea outline="0" fieldPosition="0">
        <references count="1">
          <reference field="4294967294" count="1">
            <x v="1"/>
          </reference>
        </references>
      </pivotArea>
    </format>
    <format dxfId="15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E49A570B-B355-4E2C-BE1F-68690EA2A601}" name="PivotTable2"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2 Special Function">
  <location ref="F277:H287"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8">
        <item x="1"/>
        <item x="7"/>
        <item m="1" x="14"/>
        <item x="8"/>
        <item x="6"/>
        <item m="1" x="13"/>
        <item m="1" x="11"/>
        <item x="0"/>
        <item x="2"/>
        <item x="5"/>
        <item x="3"/>
        <item m="1" x="10"/>
        <item m="1" x="15"/>
        <item m="1" x="16"/>
        <item m="1" x="12"/>
        <item m="1" x="9"/>
        <item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09"/>
  </rowFields>
  <rowItems count="10">
    <i>
      <x v="7"/>
    </i>
    <i>
      <x/>
    </i>
    <i>
      <x v="8"/>
    </i>
    <i>
      <x v="4"/>
    </i>
    <i>
      <x v="10"/>
    </i>
    <i>
      <x v="9"/>
    </i>
    <i>
      <x v="1"/>
    </i>
    <i>
      <x v="16"/>
    </i>
    <i>
      <x v="3"/>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298">
      <pivotArea field="2" type="button" dataOnly="0" labelOnly="1" outline="0"/>
    </format>
    <format dxfId="297">
      <pivotArea dataOnly="0" labelOnly="1" grandRow="1" outline="0" fieldPosition="0"/>
    </format>
    <format dxfId="296">
      <pivotArea outline="0" fieldPosition="0">
        <references count="1">
          <reference field="4294967294" count="1">
            <x v="0"/>
          </reference>
        </references>
      </pivotArea>
    </format>
    <format dxfId="295">
      <pivotArea outline="0" fieldPosition="0">
        <references count="1">
          <reference field="4294967294" count="1">
            <x v="1"/>
          </reference>
        </references>
      </pivotArea>
    </format>
    <format dxfId="29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508BE5C1-56DE-4FEC-B016-67D89488DAD7}" name="PivotTable17"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Drug Related (Inc. Marijuana)">
  <location ref="F104:H107"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2"/>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303">
      <pivotArea field="2" type="button" dataOnly="0" labelOnly="1" outline="0"/>
    </format>
    <format dxfId="302">
      <pivotArea dataOnly="0" labelOnly="1" grandRow="1" outline="0" fieldPosition="0"/>
    </format>
    <format dxfId="301">
      <pivotArea outline="0" fieldPosition="0">
        <references count="1">
          <reference field="4294967294" count="1">
            <x v="0"/>
          </reference>
        </references>
      </pivotArea>
    </format>
    <format dxfId="300">
      <pivotArea outline="0" fieldPosition="0">
        <references count="1">
          <reference field="4294967294" count="1">
            <x v="1"/>
          </reference>
        </references>
      </pivotArea>
    </format>
    <format dxfId="29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EAC60D29-F8B0-45AA-826E-1B29ADB53E71}" name="PivotTable7"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Crash Type">
  <location ref="F27:H42"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axis="axisRow" showAll="0" sortType="descending">
      <items count="22">
        <item x="0"/>
        <item m="1" x="18"/>
        <item x="8"/>
        <item m="1" x="20"/>
        <item x="5"/>
        <item x="2"/>
        <item x="4"/>
        <item x="11"/>
        <item m="1" x="17"/>
        <item x="13"/>
        <item m="1" x="14"/>
        <item x="7"/>
        <item x="12"/>
        <item x="9"/>
        <item x="3"/>
        <item x="6"/>
        <item m="1" x="19"/>
        <item x="1"/>
        <item m="1" x="15"/>
        <item x="10"/>
        <item m="1" x="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6"/>
  </rowFields>
  <rowItems count="15">
    <i>
      <x/>
    </i>
    <i>
      <x v="14"/>
    </i>
    <i>
      <x v="6"/>
    </i>
    <i>
      <x v="17"/>
    </i>
    <i>
      <x v="4"/>
    </i>
    <i>
      <x v="5"/>
    </i>
    <i>
      <x v="15"/>
    </i>
    <i>
      <x v="11"/>
    </i>
    <i>
      <x v="2"/>
    </i>
    <i>
      <x v="13"/>
    </i>
    <i>
      <x v="12"/>
    </i>
    <i>
      <x v="7"/>
    </i>
    <i>
      <x v="19"/>
    </i>
    <i>
      <x v="9"/>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308">
      <pivotArea field="2" type="button" dataOnly="0" labelOnly="1" outline="0"/>
    </format>
    <format dxfId="307">
      <pivotArea dataOnly="0" labelOnly="1" grandRow="1" outline="0" fieldPosition="0"/>
    </format>
    <format dxfId="306">
      <pivotArea outline="0" fieldPosition="0">
        <references count="1">
          <reference field="4294967294" count="1">
            <x v="0"/>
          </reference>
        </references>
      </pivotArea>
    </format>
    <format dxfId="305">
      <pivotArea outline="0" fieldPosition="0">
        <references count="1">
          <reference field="4294967294" count="1">
            <x v="1"/>
          </reference>
        </references>
      </pivotArea>
    </format>
    <format dxfId="30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C44DA9A2-DA45-43D1-9EBA-D831FAF9BBF8}" name="PivotTable14"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Contour">
  <location ref="B106:D111"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sortType="ascending"/>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axis="axisRow" showAll="0">
      <items count="8">
        <item m="1" x="4"/>
        <item x="3"/>
        <item x="2"/>
        <item x="1"/>
        <item x="0"/>
        <item m="1" x="6"/>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7"/>
  </rowFields>
  <rowItems count="5">
    <i>
      <x v="1"/>
    </i>
    <i>
      <x v="2"/>
    </i>
    <i>
      <x v="3"/>
    </i>
    <i>
      <x v="4"/>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313">
      <pivotArea field="2" type="button" dataOnly="0" labelOnly="1" outline="0"/>
    </format>
    <format dxfId="312">
      <pivotArea dataOnly="0" labelOnly="1" grandRow="1" outline="0" fieldPosition="0"/>
    </format>
    <format dxfId="311">
      <pivotArea outline="0" fieldPosition="0">
        <references count="1">
          <reference field="4294967294" count="1">
            <x v="0"/>
          </reference>
        </references>
      </pivotArea>
    </format>
    <format dxfId="310">
      <pivotArea outline="0" fieldPosition="0">
        <references count="1">
          <reference field="4294967294" count="1">
            <x v="1"/>
          </reference>
        </references>
      </pivotArea>
    </format>
    <format dxfId="30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9A1B98F8-2DC8-4143-97FA-890A3CC2550B}" name="PivotTable19"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Older Driver (65+)">
  <location ref="F114:H117"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6"/>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318">
      <pivotArea field="2" type="button" dataOnly="0" labelOnly="1" outline="0"/>
    </format>
    <format dxfId="317">
      <pivotArea dataOnly="0" labelOnly="1" grandRow="1" outline="0" fieldPosition="0"/>
    </format>
    <format dxfId="316">
      <pivotArea outline="0" fieldPosition="0">
        <references count="1">
          <reference field="4294967294" count="1">
            <x v="0"/>
          </reference>
        </references>
      </pivotArea>
    </format>
    <format dxfId="315">
      <pivotArea outline="0" fieldPosition="0">
        <references count="1">
          <reference field="4294967294" count="1">
            <x v="1"/>
          </reference>
        </references>
      </pivotArea>
    </format>
    <format dxfId="31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458847F5-CCD6-462D-8631-81D37F68D148}" name="PivotTable16"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Alcohol Related">
  <location ref="F99:H102"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0"/>
  </rowFields>
  <rowItems count="3">
    <i>
      <x/>
    </i>
    <i>
      <x v="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323">
      <pivotArea field="2" type="button" dataOnly="0" labelOnly="1" outline="0"/>
    </format>
    <format dxfId="322">
      <pivotArea dataOnly="0" labelOnly="1" grandRow="1" outline="0" fieldPosition="0"/>
    </format>
    <format dxfId="321">
      <pivotArea outline="0" fieldPosition="0">
        <references count="1">
          <reference field="4294967294" count="1">
            <x v="0"/>
          </reference>
        </references>
      </pivotArea>
    </format>
    <format dxfId="320">
      <pivotArea outline="0" fieldPosition="0">
        <references count="1">
          <reference field="4294967294" count="1">
            <x v="1"/>
          </reference>
        </references>
      </pivotArea>
    </format>
    <format dxfId="31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A312AB0F-F09C-497E-98C1-29899C8766DA}" name="Crash Total Summary"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Year ">
  <location ref="F8:H14" firstHeaderRow="0" firstDataRow="1" firstDataCol="1"/>
  <pivotFields count="150">
    <pivotField showAll="0" defaultSubtotal="0"/>
    <pivotField dataField="1" showAll="0"/>
    <pivotField axis="axisRow"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2"/>
  </rowFields>
  <rowItems count="6">
    <i>
      <x v="13"/>
    </i>
    <i>
      <x v="14"/>
    </i>
    <i>
      <x v="15"/>
    </i>
    <i>
      <x v="16"/>
    </i>
    <i>
      <x v="17"/>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6">
    <format dxfId="329">
      <pivotArea field="2" type="button" dataOnly="0" labelOnly="1" outline="0" axis="axisRow" fieldPosition="0"/>
    </format>
    <format dxfId="328">
      <pivotArea dataOnly="0" labelOnly="1" fieldPosition="0">
        <references count="1">
          <reference field="2" count="0"/>
        </references>
      </pivotArea>
    </format>
    <format dxfId="327">
      <pivotArea dataOnly="0" labelOnly="1" grandRow="1" outline="0" fieldPosition="0"/>
    </format>
    <format dxfId="326">
      <pivotArea outline="0" fieldPosition="0">
        <references count="1">
          <reference field="4294967294" count="1">
            <x v="0"/>
          </reference>
        </references>
      </pivotArea>
    </format>
    <format dxfId="325">
      <pivotArea outline="0" fieldPosition="0">
        <references count="1">
          <reference field="4294967294" count="1">
            <x v="1"/>
          </reference>
        </references>
      </pivotArea>
    </format>
    <format dxfId="32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3B4BC2BC-6DE6-4342-B2C9-CD6B525C35BD}" name="PivotTable30"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Direction To">
  <location ref="F193:H203"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1">
        <item x="5"/>
        <item x="0"/>
        <item x="7"/>
        <item x="2"/>
        <item x="1"/>
        <item x="6"/>
        <item x="3"/>
        <item x="8"/>
        <item x="4"/>
        <item m="1" x="9"/>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3"/>
  </rowFields>
  <rowItems count="10">
    <i>
      <x v="1"/>
    </i>
    <i>
      <x v="4"/>
    </i>
    <i>
      <x/>
    </i>
    <i>
      <x v="8"/>
    </i>
    <i>
      <x v="2"/>
    </i>
    <i>
      <x v="3"/>
    </i>
    <i>
      <x v="6"/>
    </i>
    <i>
      <x v="5"/>
    </i>
    <i>
      <x v="7"/>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334">
      <pivotArea field="2" type="button" dataOnly="0" labelOnly="1" outline="0"/>
    </format>
    <format dxfId="333">
      <pivotArea dataOnly="0" labelOnly="1" grandRow="1" outline="0" fieldPosition="0"/>
    </format>
    <format dxfId="332">
      <pivotArea outline="0" fieldPosition="0">
        <references count="1">
          <reference field="4294967294" count="1">
            <x v="0"/>
          </reference>
        </references>
      </pivotArea>
    </format>
    <format dxfId="331">
      <pivotArea outline="0" fieldPosition="0">
        <references count="1">
          <reference field="4294967294" count="1">
            <x v="1"/>
          </reference>
        </references>
      </pivotArea>
    </format>
    <format dxfId="330">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5048444D-7C90-4BAD-B635-AC0639012BC9}" name="PivotTable34"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2 Pre-Crash Action">
  <location ref="B234:D250"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0">
        <item x="3"/>
        <item x="12"/>
        <item x="7"/>
        <item m="1" x="18"/>
        <item x="6"/>
        <item x="9"/>
        <item x="8"/>
        <item x="2"/>
        <item x="4"/>
        <item m="1" x="15"/>
        <item x="10"/>
        <item x="11"/>
        <item m="1" x="17"/>
        <item x="5"/>
        <item x="0"/>
        <item x="1"/>
        <item x="13"/>
        <item m="1" x="16"/>
        <item x="1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12"/>
  </rowFields>
  <rowItems count="16">
    <i>
      <x v="15"/>
    </i>
    <i>
      <x v="14"/>
    </i>
    <i>
      <x/>
    </i>
    <i>
      <x v="13"/>
    </i>
    <i>
      <x v="7"/>
    </i>
    <i>
      <x v="10"/>
    </i>
    <i>
      <x v="8"/>
    </i>
    <i>
      <x v="4"/>
    </i>
    <i>
      <x v="11"/>
    </i>
    <i>
      <x v="1"/>
    </i>
    <i>
      <x v="6"/>
    </i>
    <i>
      <x v="16"/>
    </i>
    <i>
      <x v="18"/>
    </i>
    <i>
      <x v="2"/>
    </i>
    <i>
      <x v="5"/>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339">
      <pivotArea field="2" type="button" dataOnly="0" labelOnly="1" outline="0"/>
    </format>
    <format dxfId="338">
      <pivotArea dataOnly="0" labelOnly="1" grandRow="1" outline="0" fieldPosition="0"/>
    </format>
    <format dxfId="337">
      <pivotArea outline="0" fieldPosition="0">
        <references count="1">
          <reference field="4294967294" count="1">
            <x v="0"/>
          </reference>
        </references>
      </pivotArea>
    </format>
    <format dxfId="336">
      <pivotArea outline="0" fieldPosition="0">
        <references count="1">
          <reference field="4294967294" count="1">
            <x v="1"/>
          </reference>
        </references>
      </pivotArea>
    </format>
    <format dxfId="335">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Crash Total Summary"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Year ">
  <location ref="B4:E10" firstHeaderRow="0" firstDataRow="1" firstDataCol="1"/>
  <pivotFields count="150">
    <pivotField showAll="0" defaultSubtotal="0"/>
    <pivotField dataField="1" showAll="0"/>
    <pivotField axis="axisRow"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2"/>
  </rowFields>
  <rowItems count="6">
    <i>
      <x v="13"/>
    </i>
    <i>
      <x v="14"/>
    </i>
    <i>
      <x v="15"/>
    </i>
    <i>
      <x v="16"/>
    </i>
    <i>
      <x v="17"/>
    </i>
    <i t="grand">
      <x/>
    </i>
  </rowItems>
  <colFields count="1">
    <field x="-2"/>
  </colFields>
  <colItems count="3">
    <i>
      <x/>
    </i>
    <i i="1">
      <x v="1"/>
    </i>
    <i i="2">
      <x v="2"/>
    </i>
  </colItems>
  <dataFields count="3">
    <dataField name="Total Crashes" fld="1" subtotal="count" baseField="0" baseItem="0" numFmtId="3"/>
    <dataField name="Fatalities " fld="20" baseField="0" baseItem="0"/>
    <dataField name="Serious Injuries " fld="21" baseField="0" baseItem="0"/>
  </dataFields>
  <formats count="6">
    <format dxfId="144">
      <pivotArea field="2" type="button" dataOnly="0" labelOnly="1" outline="0" axis="axisRow" fieldPosition="0"/>
    </format>
    <format dxfId="143">
      <pivotArea dataOnly="0" labelOnly="1" fieldPosition="0">
        <references count="1">
          <reference field="2" count="0"/>
        </references>
      </pivotArea>
    </format>
    <format dxfId="142">
      <pivotArea dataOnly="0" labelOnly="1" grandRow="1" outline="0" fieldPosition="0"/>
    </format>
    <format dxfId="141">
      <pivotArea dataOnly="0" labelOnly="1" outline="0" fieldPosition="0">
        <references count="1">
          <reference field="4294967294" count="1">
            <x v="2"/>
          </reference>
        </references>
      </pivotArea>
    </format>
    <format dxfId="140">
      <pivotArea dataOnly="0" labelOnly="1" outline="0" fieldPosition="0">
        <references count="1">
          <reference field="4294967294" count="1">
            <x v="2"/>
          </reference>
        </references>
      </pivotArea>
    </format>
    <format dxfId="139">
      <pivotArea outline="0" fieldPosition="0">
        <references count="1">
          <reference field="4294967294" count="1">
            <x v="0"/>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52B06BA-9A95-4CFB-BB4B-FAB6C13EEDC2}" name="PivotTable13"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Month">
  <location ref="F50:H63"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3">
        <item x="0"/>
        <item x="11"/>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1"/>
  </rowFields>
  <rowItems count="13">
    <i>
      <x/>
    </i>
    <i>
      <x v="1"/>
    </i>
    <i>
      <x v="2"/>
    </i>
    <i>
      <x v="3"/>
    </i>
    <i>
      <x v="4"/>
    </i>
    <i>
      <x v="5"/>
    </i>
    <i>
      <x v="6"/>
    </i>
    <i>
      <x v="7"/>
    </i>
    <i>
      <x v="8"/>
    </i>
    <i>
      <x v="9"/>
    </i>
    <i>
      <x v="10"/>
    </i>
    <i>
      <x v="1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68">
      <pivotArea field="2" type="button" dataOnly="0" labelOnly="1" outline="0"/>
    </format>
    <format dxfId="167">
      <pivotArea dataOnly="0" labelOnly="1" grandRow="1" outline="0" fieldPosition="0"/>
    </format>
    <format dxfId="166">
      <pivotArea outline="0" fieldPosition="0">
        <references count="1">
          <reference field="4294967294" count="1">
            <x v="0"/>
          </reference>
        </references>
      </pivotArea>
    </format>
    <format dxfId="165">
      <pivotArea outline="0" fieldPosition="0">
        <references count="1">
          <reference field="4294967294" count="1">
            <x v="1"/>
          </reference>
        </references>
      </pivotArea>
    </format>
    <format dxfId="16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C3DCAC38-96FC-4540-8376-78FE3539EC52}" name="PivotTable3"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Year ">
  <location ref="AA3:AF11" firstHeaderRow="1" firstDataRow="3" firstDataCol="1"/>
  <pivotFields count="150">
    <pivotField showAll="0" defaultSubtotal="0"/>
    <pivotField dataField="1" showAll="0" defaultSubtotal="0"/>
    <pivotField axis="axisRow" showAll="0" sortType="ascending" defaultSubtotal="0">
      <items count="18">
        <item m="1" x="9"/>
        <item m="1" x="13"/>
        <item m="1" x="17"/>
        <item m="1" x="11"/>
        <item m="1" x="15"/>
        <item m="1" x="10"/>
        <item m="1" x="14"/>
        <item m="1" x="8"/>
        <item m="1" x="12"/>
        <item m="1" x="16"/>
        <item m="1" x="5"/>
        <item m="1" x="6"/>
        <item m="1" x="7"/>
        <item x="0"/>
        <item x="1"/>
        <item x="2"/>
        <item x="3"/>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m="1" x="2"/>
      </items>
    </pivotField>
    <pivotField axis="axisCol" showAll="0" defaultSubtotal="0">
      <items count="3">
        <item x="1"/>
        <item x="0"/>
        <item m="1" x="2"/>
      </items>
    </pivotField>
    <pivotField subtotalTop="0" dragToRow="0" dragToCol="0" dragToPage="0" showAll="0" defaultSubtotal="0"/>
  </pivotFields>
  <rowFields count="1">
    <field x="2"/>
  </rowFields>
  <rowItems count="6">
    <i>
      <x v="13"/>
    </i>
    <i>
      <x v="14"/>
    </i>
    <i>
      <x v="15"/>
    </i>
    <i>
      <x v="16"/>
    </i>
    <i>
      <x v="17"/>
    </i>
    <i t="grand">
      <x/>
    </i>
  </rowItems>
  <colFields count="2">
    <field x="147"/>
    <field x="148"/>
  </colFields>
  <colItems count="5">
    <i>
      <x/>
      <x/>
    </i>
    <i r="1">
      <x v="1"/>
    </i>
    <i>
      <x v="1"/>
      <x/>
    </i>
    <i r="1">
      <x v="1"/>
    </i>
    <i t="grand">
      <x/>
    </i>
  </colItems>
  <dataFields count="1">
    <dataField name="Total Crashes" fld="1" subtotal="count" baseField="0" baseItem="0" numFmtId="3"/>
  </dataFields>
  <formats count="4">
    <format dxfId="148">
      <pivotArea field="2" type="button" dataOnly="0" labelOnly="1" outline="0" axis="axisRow" fieldPosition="0"/>
    </format>
    <format dxfId="147">
      <pivotArea dataOnly="0" labelOnly="1" fieldPosition="0">
        <references count="1">
          <reference field="2" count="0"/>
        </references>
      </pivotArea>
    </format>
    <format dxfId="146">
      <pivotArea dataOnly="0" labelOnly="1" grandRow="1" outline="0" fieldPosition="0"/>
    </format>
    <format dxfId="145">
      <pivotArea outline="0" fieldPosition="0">
        <references count="1">
          <reference field="4294967294" count="1">
            <x v="0"/>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D00-000008000000}" name="PivotTable2" cacheId="3" applyNumberFormats="0" applyBorderFormats="0" applyFontFormats="0" applyPatternFormats="0" applyAlignmentFormats="0" applyWidthHeightFormats="1" dataCaption="Values" missingCaption="0" updatedVersion="8" minRefreshableVersion="3" useAutoFormatting="1" itemPrintTitles="1" createdVersion="5" indent="0" outline="1" outlineData="1" multipleFieldFilters="0" chartFormat="7" rowHeaderCaption="Year ">
  <location ref="U3:V9" firstHeaderRow="1" firstDataRow="1" firstDataCol="1"/>
  <pivotFields count="150">
    <pivotField showAll="0" defaultSubtotal="0"/>
    <pivotField dataField="1" showAll="0"/>
    <pivotField axis="axisRow"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2"/>
  </rowFields>
  <rowItems count="6">
    <i>
      <x v="13"/>
    </i>
    <i>
      <x v="14"/>
    </i>
    <i>
      <x v="15"/>
    </i>
    <i>
      <x v="16"/>
    </i>
    <i>
      <x v="17"/>
    </i>
    <i t="grand">
      <x/>
    </i>
  </rowItems>
  <colItems count="1">
    <i/>
  </colItems>
  <dataFields count="1">
    <dataField name="Count of Document Number" fld="1" subtotal="count" baseField="2" baseItem="0"/>
  </dataFields>
  <chartFormats count="1">
    <chartFormat chart="3" format="1" series="1">
      <pivotArea type="data" outline="0" fieldPosition="0">
        <references count="1">
          <reference field="4294967294" count="1" selected="0">
            <x v="0"/>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Crash Location"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1" rowHeaderCaption="Crash Location">
  <location ref="B75:E81" firstHeaderRow="0" firstDataRow="1" firstDataCol="1"/>
  <pivotFields count="150">
    <pivotField showAll="0" defaultSubtotal="0"/>
    <pivotField dataField="1" showAll="0"/>
    <pivotField showAll="0"/>
    <pivotField showAll="0"/>
    <pivotField showAll="0"/>
    <pivotField showAll="0"/>
    <pivotField showAll="0"/>
    <pivotField showAll="0"/>
    <pivotField showAll="0"/>
    <pivotField axis="axisRow" showAll="0" measureFilter="1">
      <items count="17">
        <item x="5"/>
        <item x="4"/>
        <item x="0"/>
        <item x="1"/>
        <item m="1" x="15"/>
        <item x="2"/>
        <item x="3"/>
        <item m="1" x="13"/>
        <item m="1" x="14"/>
        <item m="1" x="10"/>
        <item m="1" x="11"/>
        <item m="1" x="12"/>
        <item m="1" x="8"/>
        <item m="1" x="6"/>
        <item m="1" x="7"/>
        <item m="1" x="9"/>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9"/>
  </rowFields>
  <rowItems count="6">
    <i>
      <x v="1"/>
    </i>
    <i>
      <x v="2"/>
    </i>
    <i>
      <x v="3"/>
    </i>
    <i>
      <x v="5"/>
    </i>
    <i>
      <x v="6"/>
    </i>
    <i t="grand">
      <x/>
    </i>
  </rowItems>
  <colFields count="1">
    <field x="-2"/>
  </colFields>
  <colItems count="3">
    <i>
      <x/>
    </i>
    <i i="1">
      <x v="1"/>
    </i>
    <i i="2">
      <x v="2"/>
    </i>
  </colItems>
  <dataFields count="3">
    <dataField name="Total Crashes" fld="1" subtotal="count" baseField="0" baseItem="0" numFmtId="3"/>
    <dataField name="Fatalities " fld="20" baseField="0" baseItem="0"/>
    <dataField name="Serious Injuries " fld="21" baseField="0" baseItem="0"/>
  </dataFields>
  <chartFormats count="3">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0"/>
          </reference>
        </references>
      </pivotArea>
    </chartFormat>
  </chartFormats>
  <pivotTableStyleInfo name="PivotStyleMedium15" showRowHeaders="1" showColHeaders="1" showRowStripes="1" showColStripes="0" showLastColumn="1"/>
  <filters count="1">
    <filter fld="9" type="count" evalOrder="-1" id="1"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0D00-00000A000000}" name="Roadway Contour"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Roadway Contour">
  <location ref="B92:E97" firstHeaderRow="0" firstDataRow="1" firstDataCol="1"/>
  <pivotFields count="150">
    <pivotField showAll="0" defaultSubtota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8">
        <item m="1" x="4"/>
        <item x="3"/>
        <item x="1"/>
        <item x="0"/>
        <item m="1" x="6"/>
        <item m="1" x="5"/>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7"/>
  </rowFields>
  <rowItems count="5">
    <i>
      <x v="3"/>
    </i>
    <i>
      <x v="2"/>
    </i>
    <i>
      <x v="1"/>
    </i>
    <i>
      <x v="6"/>
    </i>
    <i t="grand">
      <x/>
    </i>
  </rowItems>
  <colFields count="1">
    <field x="-2"/>
  </colFields>
  <colItems count="3">
    <i>
      <x/>
    </i>
    <i i="1">
      <x v="1"/>
    </i>
    <i i="2">
      <x v="2"/>
    </i>
  </colItems>
  <dataFields count="3">
    <dataField name="Total Crashes" fld="1" subtotal="count" baseField="0" baseItem="0" numFmtId="3"/>
    <dataField name="Fatalities " fld="20" baseField="0" baseItem="0"/>
    <dataField name="Serious Injuries " fld="21" baseField="0" baseItem="0"/>
  </dataFields>
  <chartFormats count="24">
    <chartFormat chart="0" format="12" series="1">
      <pivotArea type="data" outline="0" fieldPosition="0">
        <references count="1">
          <reference field="4294967294" count="1" selected="0">
            <x v="0"/>
          </reference>
        </references>
      </pivotArea>
    </chartFormat>
    <chartFormat chart="0" format="14" series="1">
      <pivotArea type="data" outline="0" fieldPosition="0">
        <references count="1">
          <reference field="4294967294" count="1" selected="0">
            <x v="2"/>
          </reference>
        </references>
      </pivotArea>
    </chartFormat>
    <chartFormat chart="0" format="15" series="1">
      <pivotArea type="data" outline="0" fieldPosition="0">
        <references count="1">
          <reference field="4294967294" count="1" selected="0">
            <x v="1"/>
          </reference>
        </references>
      </pivotArea>
    </chartFormat>
    <chartFormat chart="0" format="16">
      <pivotArea type="data" outline="0" fieldPosition="0">
        <references count="2">
          <reference field="4294967294" count="1" selected="0">
            <x v="0"/>
          </reference>
          <reference field="47" count="1" selected="0">
            <x v="0"/>
          </reference>
        </references>
      </pivotArea>
    </chartFormat>
    <chartFormat chart="0" format="17">
      <pivotArea type="data" outline="0" fieldPosition="0">
        <references count="2">
          <reference field="4294967294" count="1" selected="0">
            <x v="0"/>
          </reference>
          <reference field="47" count="1" selected="0">
            <x v="1"/>
          </reference>
        </references>
      </pivotArea>
    </chartFormat>
    <chartFormat chart="0" format="18">
      <pivotArea type="data" outline="0" fieldPosition="0">
        <references count="2">
          <reference field="4294967294" count="1" selected="0">
            <x v="0"/>
          </reference>
          <reference field="47" count="1" selected="0">
            <x v="2"/>
          </reference>
        </references>
      </pivotArea>
    </chartFormat>
    <chartFormat chart="0" format="19">
      <pivotArea type="data" outline="0" fieldPosition="0">
        <references count="2">
          <reference field="4294967294" count="1" selected="0">
            <x v="0"/>
          </reference>
          <reference field="47" count="1" selected="0">
            <x v="3"/>
          </reference>
        </references>
      </pivotArea>
    </chartFormat>
    <chartFormat chart="0" format="20">
      <pivotArea type="data" outline="0" fieldPosition="0">
        <references count="2">
          <reference field="4294967294" count="1" selected="0">
            <x v="0"/>
          </reference>
          <reference field="47" count="1" selected="0">
            <x v="4"/>
          </reference>
        </references>
      </pivotArea>
    </chartFormat>
    <chartFormat chart="0" format="21">
      <pivotArea type="data" outline="0" fieldPosition="0">
        <references count="2">
          <reference field="4294967294" count="1" selected="0">
            <x v="1"/>
          </reference>
          <reference field="47" count="1" selected="0">
            <x v="0"/>
          </reference>
        </references>
      </pivotArea>
    </chartFormat>
    <chartFormat chart="0" format="22">
      <pivotArea type="data" outline="0" fieldPosition="0">
        <references count="2">
          <reference field="4294967294" count="1" selected="0">
            <x v="1"/>
          </reference>
          <reference field="47" count="1" selected="0">
            <x v="1"/>
          </reference>
        </references>
      </pivotArea>
    </chartFormat>
    <chartFormat chart="0" format="23">
      <pivotArea type="data" outline="0" fieldPosition="0">
        <references count="2">
          <reference field="4294967294" count="1" selected="0">
            <x v="1"/>
          </reference>
          <reference field="47" count="1" selected="0">
            <x v="2"/>
          </reference>
        </references>
      </pivotArea>
    </chartFormat>
    <chartFormat chart="0" format="24">
      <pivotArea type="data" outline="0" fieldPosition="0">
        <references count="2">
          <reference field="4294967294" count="1" selected="0">
            <x v="1"/>
          </reference>
          <reference field="47" count="1" selected="0">
            <x v="3"/>
          </reference>
        </references>
      </pivotArea>
    </chartFormat>
    <chartFormat chart="0" format="25">
      <pivotArea type="data" outline="0" fieldPosition="0">
        <references count="2">
          <reference field="4294967294" count="1" selected="0">
            <x v="1"/>
          </reference>
          <reference field="47" count="1" selected="0">
            <x v="4"/>
          </reference>
        </references>
      </pivotArea>
    </chartFormat>
    <chartFormat chart="0" format="26">
      <pivotArea type="data" outline="0" fieldPosition="0">
        <references count="2">
          <reference field="4294967294" count="1" selected="0">
            <x v="2"/>
          </reference>
          <reference field="47" count="1" selected="0">
            <x v="0"/>
          </reference>
        </references>
      </pivotArea>
    </chartFormat>
    <chartFormat chart="0" format="27">
      <pivotArea type="data" outline="0" fieldPosition="0">
        <references count="2">
          <reference field="4294967294" count="1" selected="0">
            <x v="2"/>
          </reference>
          <reference field="47" count="1" selected="0">
            <x v="1"/>
          </reference>
        </references>
      </pivotArea>
    </chartFormat>
    <chartFormat chart="0" format="28">
      <pivotArea type="data" outline="0" fieldPosition="0">
        <references count="2">
          <reference field="4294967294" count="1" selected="0">
            <x v="2"/>
          </reference>
          <reference field="47" count="1" selected="0">
            <x v="2"/>
          </reference>
        </references>
      </pivotArea>
    </chartFormat>
    <chartFormat chart="0" format="29">
      <pivotArea type="data" outline="0" fieldPosition="0">
        <references count="2">
          <reference field="4294967294" count="1" selected="0">
            <x v="2"/>
          </reference>
          <reference field="47" count="1" selected="0">
            <x v="3"/>
          </reference>
        </references>
      </pivotArea>
    </chartFormat>
    <chartFormat chart="0" format="30">
      <pivotArea type="data" outline="0" fieldPosition="0">
        <references count="2">
          <reference field="4294967294" count="1" selected="0">
            <x v="2"/>
          </reference>
          <reference field="47" count="1" selected="0">
            <x v="4"/>
          </reference>
        </references>
      </pivotArea>
    </chartFormat>
    <chartFormat chart="0" format="31">
      <pivotArea type="data" outline="0" fieldPosition="0">
        <references count="2">
          <reference field="4294967294" count="1" selected="0">
            <x v="0"/>
          </reference>
          <reference field="47" count="1" selected="0">
            <x v="5"/>
          </reference>
        </references>
      </pivotArea>
    </chartFormat>
    <chartFormat chart="0" format="32">
      <pivotArea type="data" outline="0" fieldPosition="0">
        <references count="2">
          <reference field="4294967294" count="1" selected="0">
            <x v="1"/>
          </reference>
          <reference field="47" count="1" selected="0">
            <x v="5"/>
          </reference>
        </references>
      </pivotArea>
    </chartFormat>
    <chartFormat chart="0" format="33">
      <pivotArea type="data" outline="0" fieldPosition="0">
        <references count="2">
          <reference field="4294967294" count="1" selected="0">
            <x v="2"/>
          </reference>
          <reference field="47" count="1" selected="0">
            <x v="5"/>
          </reference>
        </references>
      </pivotArea>
    </chartFormat>
    <chartFormat chart="0" format="34">
      <pivotArea type="data" outline="0" fieldPosition="0">
        <references count="2">
          <reference field="4294967294" count="1" selected="0">
            <x v="0"/>
          </reference>
          <reference field="47" count="1" selected="0">
            <x v="6"/>
          </reference>
        </references>
      </pivotArea>
    </chartFormat>
    <chartFormat chart="0" format="35">
      <pivotArea type="data" outline="0" fieldPosition="0">
        <references count="2">
          <reference field="4294967294" count="1" selected="0">
            <x v="1"/>
          </reference>
          <reference field="47" count="1" selected="0">
            <x v="6"/>
          </reference>
        </references>
      </pivotArea>
    </chartFormat>
    <chartFormat chart="0" format="36">
      <pivotArea type="data" outline="0" fieldPosition="0">
        <references count="2">
          <reference field="4294967294" count="1" selected="0">
            <x v="2"/>
          </reference>
          <reference field="47" count="1" selected="0">
            <x v="6"/>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0D00-000007000000}" name="PivotTable1" cacheId="3" applyNumberFormats="0" applyBorderFormats="0" applyFontFormats="0" applyPatternFormats="0" applyAlignmentFormats="0" applyWidthHeightFormats="1" dataCaption="Values" missingCaption="0" updatedVersion="8" minRefreshableVersion="3" useAutoFormatting="1" itemPrintTitles="1" createdVersion="5" indent="0" outline="1" outlineData="1" multipleFieldFilters="0" chartFormat="10" rowHeaderCaption="Year ">
  <location ref="P3:R9" firstHeaderRow="0" firstDataRow="1" firstDataCol="1"/>
  <pivotFields count="150">
    <pivotField showAll="0" defaultSubtotal="0"/>
    <pivotField showAll="0"/>
    <pivotField axis="axisRow"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2"/>
  </rowFields>
  <rowItems count="6">
    <i>
      <x v="13"/>
    </i>
    <i>
      <x v="14"/>
    </i>
    <i>
      <x v="15"/>
    </i>
    <i>
      <x v="16"/>
    </i>
    <i>
      <x v="17"/>
    </i>
    <i t="grand">
      <x/>
    </i>
  </rowItems>
  <colFields count="1">
    <field x="-2"/>
  </colFields>
  <colItems count="2">
    <i>
      <x/>
    </i>
    <i i="1">
      <x v="1"/>
    </i>
  </colItems>
  <dataFields count="2">
    <dataField name="Fatalities " fld="20" baseField="0" baseItem="0"/>
    <dataField name="Serious Injuries " fld="21" baseField="0" baseItem="0"/>
  </dataFields>
  <chartFormats count="4">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1"/>
          </reference>
        </references>
      </pivotArea>
    </chartFormat>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0D00-00000B000000}" name="Weather"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1" rowHeaderCaption="Weather">
  <location ref="B62:E71" firstHeaderRow="0" firstDataRow="1" firstDataCol="1"/>
  <pivotFields count="150">
    <pivotField showAll="0" defaultSubtota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5">
        <item m="1" x="11"/>
        <item x="1"/>
        <item x="0"/>
        <item x="3"/>
        <item m="1" x="12"/>
        <item x="2"/>
        <item x="5"/>
        <item x="7"/>
        <item x="4"/>
        <item m="1" x="9"/>
        <item m="1" x="10"/>
        <item m="1" x="13"/>
        <item x="6"/>
        <item m="1"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4"/>
  </rowFields>
  <rowItems count="9">
    <i>
      <x v="1"/>
    </i>
    <i>
      <x v="2"/>
    </i>
    <i>
      <x v="5"/>
    </i>
    <i>
      <x v="8"/>
    </i>
    <i>
      <x v="12"/>
    </i>
    <i>
      <x v="3"/>
    </i>
    <i>
      <x v="6"/>
    </i>
    <i>
      <x v="7"/>
    </i>
    <i t="grand">
      <x/>
    </i>
  </rowItems>
  <colFields count="1">
    <field x="-2"/>
  </colFields>
  <colItems count="3">
    <i>
      <x/>
    </i>
    <i i="1">
      <x v="1"/>
    </i>
    <i i="2">
      <x v="2"/>
    </i>
  </colItems>
  <dataFields count="3">
    <dataField name="Total Crashes" fld="1" subtotal="count" baseField="0" baseItem="0" numFmtId="3"/>
    <dataField name="Fatalities " fld="20" baseField="0" baseItem="0"/>
    <dataField name="Serious Injuries " fld="21" baseField="0" baseItem="0"/>
  </dataFields>
  <chartFormats count="39">
    <chartFormat chart="0" format="18" series="1">
      <pivotArea type="data" outline="0" fieldPosition="0">
        <references count="1">
          <reference field="4294967294" count="1" selected="0">
            <x v="0"/>
          </reference>
        </references>
      </pivotArea>
    </chartFormat>
    <chartFormat chart="0" format="19" series="1">
      <pivotArea type="data" outline="0" fieldPosition="0">
        <references count="1">
          <reference field="4294967294" count="1" selected="0">
            <x v="1"/>
          </reference>
        </references>
      </pivotArea>
    </chartFormat>
    <chartFormat chart="0" format="20" series="1">
      <pivotArea type="data" outline="0" fieldPosition="0">
        <references count="1">
          <reference field="4294967294" count="1" selected="0">
            <x v="2"/>
          </reference>
        </references>
      </pivotArea>
    </chartFormat>
    <chartFormat chart="0" format="21">
      <pivotArea type="data" outline="0" fieldPosition="0">
        <references count="2">
          <reference field="4294967294" count="1" selected="0">
            <x v="0"/>
          </reference>
          <reference field="44" count="1" selected="0">
            <x v="1"/>
          </reference>
        </references>
      </pivotArea>
    </chartFormat>
    <chartFormat chart="0" format="22">
      <pivotArea type="data" outline="0" fieldPosition="0">
        <references count="2">
          <reference field="4294967294" count="1" selected="0">
            <x v="0"/>
          </reference>
          <reference field="44" count="1" selected="0">
            <x v="2"/>
          </reference>
        </references>
      </pivotArea>
    </chartFormat>
    <chartFormat chart="0" format="23">
      <pivotArea type="data" outline="0" fieldPosition="0">
        <references count="2">
          <reference field="4294967294" count="1" selected="0">
            <x v="0"/>
          </reference>
          <reference field="44" count="1" selected="0">
            <x v="5"/>
          </reference>
        </references>
      </pivotArea>
    </chartFormat>
    <chartFormat chart="0" format="24">
      <pivotArea type="data" outline="0" fieldPosition="0">
        <references count="2">
          <reference field="4294967294" count="1" selected="0">
            <x v="0"/>
          </reference>
          <reference field="44" count="1" selected="0">
            <x v="7"/>
          </reference>
        </references>
      </pivotArea>
    </chartFormat>
    <chartFormat chart="0" format="25">
      <pivotArea type="data" outline="0" fieldPosition="0">
        <references count="2">
          <reference field="4294967294" count="1" selected="0">
            <x v="0"/>
          </reference>
          <reference field="44" count="1" selected="0">
            <x v="8"/>
          </reference>
        </references>
      </pivotArea>
    </chartFormat>
    <chartFormat chart="0" format="26">
      <pivotArea type="data" outline="0" fieldPosition="0">
        <references count="2">
          <reference field="4294967294" count="1" selected="0">
            <x v="0"/>
          </reference>
          <reference field="44" count="1" selected="0">
            <x v="11"/>
          </reference>
        </references>
      </pivotArea>
    </chartFormat>
    <chartFormat chart="0" format="27">
      <pivotArea type="data" outline="0" fieldPosition="0">
        <references count="2">
          <reference field="4294967294" count="1" selected="0">
            <x v="1"/>
          </reference>
          <reference field="44" count="1" selected="0">
            <x v="1"/>
          </reference>
        </references>
      </pivotArea>
    </chartFormat>
    <chartFormat chart="0" format="28">
      <pivotArea type="data" outline="0" fieldPosition="0">
        <references count="2">
          <reference field="4294967294" count="1" selected="0">
            <x v="1"/>
          </reference>
          <reference field="44" count="1" selected="0">
            <x v="2"/>
          </reference>
        </references>
      </pivotArea>
    </chartFormat>
    <chartFormat chart="0" format="29">
      <pivotArea type="data" outline="0" fieldPosition="0">
        <references count="2">
          <reference field="4294967294" count="1" selected="0">
            <x v="1"/>
          </reference>
          <reference field="44" count="1" selected="0">
            <x v="5"/>
          </reference>
        </references>
      </pivotArea>
    </chartFormat>
    <chartFormat chart="0" format="30">
      <pivotArea type="data" outline="0" fieldPosition="0">
        <references count="2">
          <reference field="4294967294" count="1" selected="0">
            <x v="1"/>
          </reference>
          <reference field="44" count="1" selected="0">
            <x v="7"/>
          </reference>
        </references>
      </pivotArea>
    </chartFormat>
    <chartFormat chart="0" format="31">
      <pivotArea type="data" outline="0" fieldPosition="0">
        <references count="2">
          <reference field="4294967294" count="1" selected="0">
            <x v="1"/>
          </reference>
          <reference field="44" count="1" selected="0">
            <x v="8"/>
          </reference>
        </references>
      </pivotArea>
    </chartFormat>
    <chartFormat chart="0" format="32">
      <pivotArea type="data" outline="0" fieldPosition="0">
        <references count="2">
          <reference field="4294967294" count="1" selected="0">
            <x v="1"/>
          </reference>
          <reference field="44" count="1" selected="0">
            <x v="11"/>
          </reference>
        </references>
      </pivotArea>
    </chartFormat>
    <chartFormat chart="0" format="33">
      <pivotArea type="data" outline="0" fieldPosition="0">
        <references count="2">
          <reference field="4294967294" count="1" selected="0">
            <x v="2"/>
          </reference>
          <reference field="44" count="1" selected="0">
            <x v="1"/>
          </reference>
        </references>
      </pivotArea>
    </chartFormat>
    <chartFormat chart="0" format="34">
      <pivotArea type="data" outline="0" fieldPosition="0">
        <references count="2">
          <reference field="4294967294" count="1" selected="0">
            <x v="2"/>
          </reference>
          <reference field="44" count="1" selected="0">
            <x v="2"/>
          </reference>
        </references>
      </pivotArea>
    </chartFormat>
    <chartFormat chart="0" format="35">
      <pivotArea type="data" outline="0" fieldPosition="0">
        <references count="2">
          <reference field="4294967294" count="1" selected="0">
            <x v="2"/>
          </reference>
          <reference field="44" count="1" selected="0">
            <x v="5"/>
          </reference>
        </references>
      </pivotArea>
    </chartFormat>
    <chartFormat chart="0" format="36">
      <pivotArea type="data" outline="0" fieldPosition="0">
        <references count="2">
          <reference field="4294967294" count="1" selected="0">
            <x v="2"/>
          </reference>
          <reference field="44" count="1" selected="0">
            <x v="7"/>
          </reference>
        </references>
      </pivotArea>
    </chartFormat>
    <chartFormat chart="0" format="37">
      <pivotArea type="data" outline="0" fieldPosition="0">
        <references count="2">
          <reference field="4294967294" count="1" selected="0">
            <x v="2"/>
          </reference>
          <reference field="44" count="1" selected="0">
            <x v="8"/>
          </reference>
        </references>
      </pivotArea>
    </chartFormat>
    <chartFormat chart="0" format="38">
      <pivotArea type="data" outline="0" fieldPosition="0">
        <references count="2">
          <reference field="4294967294" count="1" selected="0">
            <x v="2"/>
          </reference>
          <reference field="44" count="1" selected="0">
            <x v="11"/>
          </reference>
        </references>
      </pivotArea>
    </chartFormat>
    <chartFormat chart="0" format="39">
      <pivotArea type="data" outline="0" fieldPosition="0">
        <references count="2">
          <reference field="4294967294" count="1" selected="0">
            <x v="0"/>
          </reference>
          <reference field="44" count="1" selected="0">
            <x v="9"/>
          </reference>
        </references>
      </pivotArea>
    </chartFormat>
    <chartFormat chart="0" format="40">
      <pivotArea type="data" outline="0" fieldPosition="0">
        <references count="2">
          <reference field="4294967294" count="1" selected="0">
            <x v="1"/>
          </reference>
          <reference field="44" count="1" selected="0">
            <x v="9"/>
          </reference>
        </references>
      </pivotArea>
    </chartFormat>
    <chartFormat chart="0" format="41">
      <pivotArea type="data" outline="0" fieldPosition="0">
        <references count="2">
          <reference field="4294967294" count="1" selected="0">
            <x v="2"/>
          </reference>
          <reference field="44" count="1" selected="0">
            <x v="9"/>
          </reference>
        </references>
      </pivotArea>
    </chartFormat>
    <chartFormat chart="0" format="42">
      <pivotArea type="data" outline="0" fieldPosition="0">
        <references count="2">
          <reference field="4294967294" count="1" selected="0">
            <x v="0"/>
          </reference>
          <reference field="44" count="1" selected="0">
            <x v="0"/>
          </reference>
        </references>
      </pivotArea>
    </chartFormat>
    <chartFormat chart="0" format="43">
      <pivotArea type="data" outline="0" fieldPosition="0">
        <references count="2">
          <reference field="4294967294" count="1" selected="0">
            <x v="0"/>
          </reference>
          <reference field="44" count="1" selected="0">
            <x v="3"/>
          </reference>
        </references>
      </pivotArea>
    </chartFormat>
    <chartFormat chart="0" format="44">
      <pivotArea type="data" outline="0" fieldPosition="0">
        <references count="2">
          <reference field="4294967294" count="1" selected="0">
            <x v="0"/>
          </reference>
          <reference field="44" count="1" selected="0">
            <x v="6"/>
          </reference>
        </references>
      </pivotArea>
    </chartFormat>
    <chartFormat chart="0" format="45">
      <pivotArea type="data" outline="0" fieldPosition="0">
        <references count="2">
          <reference field="4294967294" count="1" selected="0">
            <x v="0"/>
          </reference>
          <reference field="44" count="1" selected="0">
            <x v="12"/>
          </reference>
        </references>
      </pivotArea>
    </chartFormat>
    <chartFormat chart="0" format="46">
      <pivotArea type="data" outline="0" fieldPosition="0">
        <references count="2">
          <reference field="4294967294" count="1" selected="0">
            <x v="0"/>
          </reference>
          <reference field="44" count="1" selected="0">
            <x v="13"/>
          </reference>
        </references>
      </pivotArea>
    </chartFormat>
    <chartFormat chart="0" format="47">
      <pivotArea type="data" outline="0" fieldPosition="0">
        <references count="2">
          <reference field="4294967294" count="1" selected="0">
            <x v="1"/>
          </reference>
          <reference field="44" count="1" selected="0">
            <x v="0"/>
          </reference>
        </references>
      </pivotArea>
    </chartFormat>
    <chartFormat chart="0" format="48">
      <pivotArea type="data" outline="0" fieldPosition="0">
        <references count="2">
          <reference field="4294967294" count="1" selected="0">
            <x v="1"/>
          </reference>
          <reference field="44" count="1" selected="0">
            <x v="3"/>
          </reference>
        </references>
      </pivotArea>
    </chartFormat>
    <chartFormat chart="0" format="49">
      <pivotArea type="data" outline="0" fieldPosition="0">
        <references count="2">
          <reference field="4294967294" count="1" selected="0">
            <x v="1"/>
          </reference>
          <reference field="44" count="1" selected="0">
            <x v="6"/>
          </reference>
        </references>
      </pivotArea>
    </chartFormat>
    <chartFormat chart="0" format="50">
      <pivotArea type="data" outline="0" fieldPosition="0">
        <references count="2">
          <reference field="4294967294" count="1" selected="0">
            <x v="1"/>
          </reference>
          <reference field="44" count="1" selected="0">
            <x v="12"/>
          </reference>
        </references>
      </pivotArea>
    </chartFormat>
    <chartFormat chart="0" format="51">
      <pivotArea type="data" outline="0" fieldPosition="0">
        <references count="2">
          <reference field="4294967294" count="1" selected="0">
            <x v="1"/>
          </reference>
          <reference field="44" count="1" selected="0">
            <x v="13"/>
          </reference>
        </references>
      </pivotArea>
    </chartFormat>
    <chartFormat chart="0" format="52">
      <pivotArea type="data" outline="0" fieldPosition="0">
        <references count="2">
          <reference field="4294967294" count="1" selected="0">
            <x v="2"/>
          </reference>
          <reference field="44" count="1" selected="0">
            <x v="0"/>
          </reference>
        </references>
      </pivotArea>
    </chartFormat>
    <chartFormat chart="0" format="53">
      <pivotArea type="data" outline="0" fieldPosition="0">
        <references count="2">
          <reference field="4294967294" count="1" selected="0">
            <x v="2"/>
          </reference>
          <reference field="44" count="1" selected="0">
            <x v="3"/>
          </reference>
        </references>
      </pivotArea>
    </chartFormat>
    <chartFormat chart="0" format="54">
      <pivotArea type="data" outline="0" fieldPosition="0">
        <references count="2">
          <reference field="4294967294" count="1" selected="0">
            <x v="2"/>
          </reference>
          <reference field="44" count="1" selected="0">
            <x v="6"/>
          </reference>
        </references>
      </pivotArea>
    </chartFormat>
    <chartFormat chart="0" format="55">
      <pivotArea type="data" outline="0" fieldPosition="0">
        <references count="2">
          <reference field="4294967294" count="1" selected="0">
            <x v="2"/>
          </reference>
          <reference field="44" count="1" selected="0">
            <x v="12"/>
          </reference>
        </references>
      </pivotArea>
    </chartFormat>
    <chartFormat chart="0" format="56">
      <pivotArea type="data" outline="0" fieldPosition="0">
        <references count="2">
          <reference field="4294967294" count="1" selected="0">
            <x v="2"/>
          </reference>
          <reference field="44" count="1" selected="0">
            <x v="13"/>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5936E105-2A21-4F18-A577-81B7F2FDF3AD}" name="Crashtype2" cacheId="3" applyNumberFormats="0" applyBorderFormats="0" applyFontFormats="0" applyPatternFormats="0" applyAlignmentFormats="0" applyWidthHeightFormats="1" dataCaption="Values" missingCaption="0" updatedVersion="8" minRefreshableVersion="3" useAutoFormatting="1" itemPrintTitles="1" createdVersion="5" indent="0" outline="1" outlineData="1" multipleFieldFilters="0" chartFormat="6" rowHeaderCaption="Crash Type">
  <location ref="P24:V31" firstHeaderRow="1" firstDataRow="2" firstDataCol="1"/>
  <pivotFields count="150">
    <pivotField showAll="0"/>
    <pivotField dataField="1" showAll="0"/>
    <pivotField showAll="0"/>
    <pivotField showAll="0"/>
    <pivotField showAll="0"/>
    <pivotField axis="axisCol" showAll="0">
      <items count="17">
        <item m="1" x="13"/>
        <item m="1" x="11"/>
        <item m="1" x="9"/>
        <item m="1" x="6"/>
        <item m="1" x="8"/>
        <item m="1" x="5"/>
        <item m="1" x="12"/>
        <item m="1" x="7"/>
        <item m="1" x="10"/>
        <item m="1" x="15"/>
        <item x="0"/>
        <item x="1"/>
        <item x="2"/>
        <item m="1" x="14"/>
        <item x="4"/>
        <item x="3"/>
        <item t="default"/>
      </items>
    </pivotField>
    <pivotField axis="axisRow" showAll="0" measureFilter="1">
      <items count="22">
        <item x="0"/>
        <item m="1" x="18"/>
        <item x="8"/>
        <item x="5"/>
        <item x="2"/>
        <item x="4"/>
        <item x="11"/>
        <item m="1" x="17"/>
        <item x="13"/>
        <item m="1" x="14"/>
        <item x="7"/>
        <item x="12"/>
        <item x="9"/>
        <item x="3"/>
        <item x="6"/>
        <item m="1" x="19"/>
        <item x="1"/>
        <item x="10"/>
        <item m="1" x="16"/>
        <item m="1" x="15"/>
        <item m="1" x="2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6"/>
  </rowFields>
  <rowItems count="6">
    <i>
      <x/>
    </i>
    <i>
      <x v="3"/>
    </i>
    <i>
      <x v="5"/>
    </i>
    <i>
      <x v="13"/>
    </i>
    <i>
      <x v="16"/>
    </i>
    <i t="grand">
      <x/>
    </i>
  </rowItems>
  <colFields count="1">
    <field x="5"/>
  </colFields>
  <colItems count="6">
    <i>
      <x v="10"/>
    </i>
    <i>
      <x v="11"/>
    </i>
    <i>
      <x v="12"/>
    </i>
    <i>
      <x v="14"/>
    </i>
    <i>
      <x v="15"/>
    </i>
    <i t="grand">
      <x/>
    </i>
  </colItems>
  <dataFields count="1">
    <dataField name="Count of Document Number" fld="1" subtotal="count" baseField="5" baseItem="10"/>
  </dataFields>
  <chartFormats count="16">
    <chartFormat chart="2" format="10" series="1">
      <pivotArea type="data" outline="0" fieldPosition="0">
        <references count="1">
          <reference field="5" count="1" selected="0">
            <x v="4"/>
          </reference>
        </references>
      </pivotArea>
    </chartFormat>
    <chartFormat chart="2" format="11" series="1">
      <pivotArea type="data" outline="0" fieldPosition="0">
        <references count="2">
          <reference field="4294967294" count="1" selected="0">
            <x v="0"/>
          </reference>
          <reference field="5" count="1" selected="0">
            <x v="1"/>
          </reference>
        </references>
      </pivotArea>
    </chartFormat>
    <chartFormat chart="2" format="12" series="1">
      <pivotArea type="data" outline="0" fieldPosition="0">
        <references count="2">
          <reference field="4294967294" count="1" selected="0">
            <x v="0"/>
          </reference>
          <reference field="5" count="1" selected="0">
            <x v="2"/>
          </reference>
        </references>
      </pivotArea>
    </chartFormat>
    <chartFormat chart="2" format="13" series="1">
      <pivotArea type="data" outline="0" fieldPosition="0">
        <references count="2">
          <reference field="4294967294" count="1" selected="0">
            <x v="0"/>
          </reference>
          <reference field="5" count="1" selected="0">
            <x v="3"/>
          </reference>
        </references>
      </pivotArea>
    </chartFormat>
    <chartFormat chart="2" format="14" series="1">
      <pivotArea type="data" outline="0" fieldPosition="0">
        <references count="2">
          <reference field="4294967294" count="1" selected="0">
            <x v="0"/>
          </reference>
          <reference field="5" count="1" selected="0">
            <x v="0"/>
          </reference>
        </references>
      </pivotArea>
    </chartFormat>
    <chartFormat chart="2" format="15" series="1">
      <pivotArea type="data" outline="0" fieldPosition="0">
        <references count="2">
          <reference field="4294967294" count="1" selected="0">
            <x v="0"/>
          </reference>
          <reference field="5" count="1" selected="0">
            <x v="4"/>
          </reference>
        </references>
      </pivotArea>
    </chartFormat>
    <chartFormat chart="2" format="16" series="1">
      <pivotArea type="data" outline="0" fieldPosition="0">
        <references count="2">
          <reference field="4294967294" count="1" selected="0">
            <x v="0"/>
          </reference>
          <reference field="5" count="1" selected="0">
            <x v="5"/>
          </reference>
        </references>
      </pivotArea>
    </chartFormat>
    <chartFormat chart="2" format="18" series="1">
      <pivotArea type="data" outline="0" fieldPosition="0">
        <references count="2">
          <reference field="4294967294" count="1" selected="0">
            <x v="0"/>
          </reference>
          <reference field="5" count="1" selected="0">
            <x v="6"/>
          </reference>
        </references>
      </pivotArea>
    </chartFormat>
    <chartFormat chart="2" format="19" series="1">
      <pivotArea type="data" outline="0" fieldPosition="0">
        <references count="2">
          <reference field="4294967294" count="1" selected="0">
            <x v="0"/>
          </reference>
          <reference field="5" count="1" selected="0">
            <x v="7"/>
          </reference>
        </references>
      </pivotArea>
    </chartFormat>
    <chartFormat chart="2" format="20" series="1">
      <pivotArea type="data" outline="0" fieldPosition="0">
        <references count="2">
          <reference field="4294967294" count="1" selected="0">
            <x v="0"/>
          </reference>
          <reference field="5" count="1" selected="0">
            <x v="8"/>
          </reference>
        </references>
      </pivotArea>
    </chartFormat>
    <chartFormat chart="2" format="21" series="1">
      <pivotArea type="data" outline="0" fieldPosition="0">
        <references count="2">
          <reference field="4294967294" count="1" selected="0">
            <x v="0"/>
          </reference>
          <reference field="5" count="1" selected="0">
            <x v="9"/>
          </reference>
        </references>
      </pivotArea>
    </chartFormat>
    <chartFormat chart="2" format="22" series="1">
      <pivotArea type="data" outline="0" fieldPosition="0">
        <references count="2">
          <reference field="4294967294" count="1" selected="0">
            <x v="0"/>
          </reference>
          <reference field="5" count="1" selected="0">
            <x v="11"/>
          </reference>
        </references>
      </pivotArea>
    </chartFormat>
    <chartFormat chart="2" format="23" series="1">
      <pivotArea type="data" outline="0" fieldPosition="0">
        <references count="2">
          <reference field="4294967294" count="1" selected="0">
            <x v="0"/>
          </reference>
          <reference field="5" count="1" selected="0">
            <x v="12"/>
          </reference>
        </references>
      </pivotArea>
    </chartFormat>
    <chartFormat chart="2" format="24" series="1">
      <pivotArea type="data" outline="0" fieldPosition="0">
        <references count="2">
          <reference field="4294967294" count="1" selected="0">
            <x v="0"/>
          </reference>
          <reference field="5" count="1" selected="0">
            <x v="14"/>
          </reference>
        </references>
      </pivotArea>
    </chartFormat>
    <chartFormat chart="2" format="25" series="1">
      <pivotArea type="data" outline="0" fieldPosition="0">
        <references count="2">
          <reference field="4294967294" count="1" selected="0">
            <x v="0"/>
          </reference>
          <reference field="5" count="1" selected="0">
            <x v="15"/>
          </reference>
        </references>
      </pivotArea>
    </chartFormat>
    <chartFormat chart="2" format="26" series="1">
      <pivotArea type="data" outline="0" fieldPosition="0">
        <references count="2">
          <reference field="4294967294" count="1" selected="0">
            <x v="0"/>
          </reference>
          <reference field="5" count="1" selected="0">
            <x v="10"/>
          </reference>
        </references>
      </pivotArea>
    </chartFormat>
  </chartFormats>
  <pivotTableStyleInfo name="PivotStyleMedium15" showRowHeaders="1" showColHeaders="1" showRowStripes="1" showColStripes="0" showLastColumn="1"/>
  <filters count="1">
    <filter fld="6" type="count" evalOrder="-1" id="5"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0D00-000002000000}" name="Crash Types Summary"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2" rowHeaderCaption="Crash Type" colHeaderCaption="Injury Level">
  <location ref="B24:H40" firstHeaderRow="1" firstDataRow="2" firstDataCol="1"/>
  <pivotFields count="150">
    <pivotField showAll="0" defaultSubtotal="0"/>
    <pivotField dataField="1" showAll="0"/>
    <pivotField showAll="0"/>
    <pivotField showAll="0"/>
    <pivotField showAll="0"/>
    <pivotField axis="axisCol" showAll="0" sortType="ascending">
      <items count="17">
        <item x="4"/>
        <item m="1" x="14"/>
        <item x="3"/>
        <item x="1"/>
        <item x="2"/>
        <item x="0"/>
        <item m="1" x="12"/>
        <item m="1" x="8"/>
        <item m="1" x="7"/>
        <item m="1" x="10"/>
        <item m="1" x="13"/>
        <item m="1" x="11"/>
        <item m="1" x="6"/>
        <item m="1" x="15"/>
        <item m="1" x="9"/>
        <item m="1" x="5"/>
        <item t="default"/>
      </items>
    </pivotField>
    <pivotField axis="axisRow" showAll="0" sortType="descending">
      <items count="22">
        <item x="0"/>
        <item m="1" x="18"/>
        <item x="8"/>
        <item x="5"/>
        <item x="2"/>
        <item x="4"/>
        <item x="11"/>
        <item m="1" x="17"/>
        <item x="13"/>
        <item m="1" x="14"/>
        <item x="7"/>
        <item x="12"/>
        <item x="9"/>
        <item x="3"/>
        <item x="6"/>
        <item m="1" x="19"/>
        <item x="1"/>
        <item x="10"/>
        <item m="1" x="16"/>
        <item m="1" x="15"/>
        <item m="1" x="2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6"/>
  </rowFields>
  <rowItems count="15">
    <i>
      <x/>
    </i>
    <i>
      <x v="13"/>
    </i>
    <i>
      <x v="5"/>
    </i>
    <i>
      <x v="16"/>
    </i>
    <i>
      <x v="3"/>
    </i>
    <i>
      <x v="4"/>
    </i>
    <i>
      <x v="14"/>
    </i>
    <i>
      <x v="10"/>
    </i>
    <i>
      <x v="2"/>
    </i>
    <i>
      <x v="12"/>
    </i>
    <i>
      <x v="11"/>
    </i>
    <i>
      <x v="6"/>
    </i>
    <i>
      <x v="17"/>
    </i>
    <i>
      <x v="8"/>
    </i>
    <i t="grand">
      <x/>
    </i>
  </rowItems>
  <colFields count="1">
    <field x="5"/>
  </colFields>
  <colItems count="6">
    <i>
      <x/>
    </i>
    <i>
      <x v="2"/>
    </i>
    <i>
      <x v="3"/>
    </i>
    <i>
      <x v="4"/>
    </i>
    <i>
      <x v="5"/>
    </i>
    <i t="grand">
      <x/>
    </i>
  </colItems>
  <dataFields count="1">
    <dataField name="Total Crashes" fld="1" subtotal="count" baseField="0" baseItem="0" numFmtId="3"/>
  </dataFields>
  <conditionalFormats count="6">
    <conditionalFormat priority="1">
      <pivotAreas count="1">
        <pivotArea type="data" grandCol="1" collapsedLevelsAreSubtotals="1" fieldPosition="0">
          <references count="2">
            <reference field="4294967294" count="1" selected="0">
              <x v="0"/>
            </reference>
            <reference field="6" count="20">
              <x v="0"/>
              <x v="1"/>
              <x v="2"/>
              <x v="3"/>
              <x v="4"/>
              <x v="5"/>
              <x v="6"/>
              <x v="7"/>
              <x v="8"/>
              <x v="9"/>
              <x v="10"/>
              <x v="11"/>
              <x v="12"/>
              <x v="13"/>
              <x v="14"/>
              <x v="15"/>
              <x v="16"/>
              <x v="17"/>
              <x v="19"/>
              <x v="20"/>
            </reference>
          </references>
        </pivotArea>
      </pivotAreas>
    </conditionalFormat>
    <conditionalFormat priority="2">
      <pivotAreas count="1">
        <pivotArea type="data" collapsedLevelsAreSubtotals="1" fieldPosition="0">
          <references count="3">
            <reference field="4294967294" count="1" selected="0">
              <x v="0"/>
            </reference>
            <reference field="5" count="1" selected="0">
              <x v="10"/>
            </reference>
            <reference field="6" count="20">
              <x v="0"/>
              <x v="1"/>
              <x v="2"/>
              <x v="3"/>
              <x v="4"/>
              <x v="5"/>
              <x v="6"/>
              <x v="7"/>
              <x v="8"/>
              <x v="9"/>
              <x v="10"/>
              <x v="11"/>
              <x v="12"/>
              <x v="13"/>
              <x v="14"/>
              <x v="15"/>
              <x v="16"/>
              <x v="17"/>
              <x v="19"/>
              <x v="20"/>
            </reference>
          </references>
        </pivotArea>
      </pivotAreas>
    </conditionalFormat>
    <conditionalFormat priority="3">
      <pivotAreas count="1">
        <pivotArea type="data" collapsedLevelsAreSubtotals="1" fieldPosition="0">
          <references count="3">
            <reference field="4294967294" count="1" selected="0">
              <x v="0"/>
            </reference>
            <reference field="5" count="1" selected="0">
              <x v="11"/>
            </reference>
            <reference field="6" count="20">
              <x v="0"/>
              <x v="1"/>
              <x v="2"/>
              <x v="3"/>
              <x v="4"/>
              <x v="5"/>
              <x v="6"/>
              <x v="7"/>
              <x v="8"/>
              <x v="9"/>
              <x v="10"/>
              <x v="11"/>
              <x v="12"/>
              <x v="13"/>
              <x v="14"/>
              <x v="15"/>
              <x v="16"/>
              <x v="17"/>
              <x v="19"/>
              <x v="20"/>
            </reference>
          </references>
        </pivotArea>
      </pivotAreas>
    </conditionalFormat>
    <conditionalFormat priority="4">
      <pivotAreas count="1">
        <pivotArea type="data" collapsedLevelsAreSubtotals="1" fieldPosition="0">
          <references count="3">
            <reference field="4294967294" count="1" selected="0">
              <x v="0"/>
            </reference>
            <reference field="5" count="1" selected="0">
              <x v="14"/>
            </reference>
            <reference field="6" count="20">
              <x v="0"/>
              <x v="1"/>
              <x v="2"/>
              <x v="3"/>
              <x v="4"/>
              <x v="5"/>
              <x v="6"/>
              <x v="7"/>
              <x v="8"/>
              <x v="9"/>
              <x v="10"/>
              <x v="11"/>
              <x v="12"/>
              <x v="13"/>
              <x v="14"/>
              <x v="15"/>
              <x v="16"/>
              <x v="17"/>
              <x v="19"/>
              <x v="20"/>
            </reference>
          </references>
        </pivotArea>
      </pivotAreas>
    </conditionalFormat>
    <conditionalFormat priority="5">
      <pivotAreas count="1">
        <pivotArea type="data" collapsedLevelsAreSubtotals="1" fieldPosition="0">
          <references count="3">
            <reference field="4294967294" count="1" selected="0">
              <x v="0"/>
            </reference>
            <reference field="5" count="1" selected="0">
              <x v="12"/>
            </reference>
            <reference field="6" count="20">
              <x v="0"/>
              <x v="1"/>
              <x v="2"/>
              <x v="3"/>
              <x v="4"/>
              <x v="5"/>
              <x v="6"/>
              <x v="7"/>
              <x v="8"/>
              <x v="9"/>
              <x v="10"/>
              <x v="11"/>
              <x v="12"/>
              <x v="13"/>
              <x v="14"/>
              <x v="15"/>
              <x v="16"/>
              <x v="17"/>
              <x v="19"/>
              <x v="20"/>
            </reference>
          </references>
        </pivotArea>
      </pivotAreas>
    </conditionalFormat>
    <conditionalFormat priority="8">
      <pivotAreas count="1">
        <pivotArea type="data" collapsedLevelsAreSubtotals="1" fieldPosition="0">
          <references count="3">
            <reference field="4294967294" count="1" selected="0">
              <x v="0"/>
            </reference>
            <reference field="5" count="1" selected="0">
              <x v="7"/>
            </reference>
            <reference field="6" count="20">
              <x v="0"/>
              <x v="1"/>
              <x v="2"/>
              <x v="3"/>
              <x v="4"/>
              <x v="5"/>
              <x v="6"/>
              <x v="7"/>
              <x v="8"/>
              <x v="9"/>
              <x v="10"/>
              <x v="11"/>
              <x v="12"/>
              <x v="13"/>
              <x v="14"/>
              <x v="15"/>
              <x v="16"/>
              <x v="17"/>
              <x v="19"/>
              <x v="20"/>
            </reference>
          </references>
        </pivotArea>
      </pivotAreas>
    </conditionalFormat>
  </conditional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0D00-000006000000}" name="Month"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1" rowHeaderCaption="Month">
  <location ref="J48:K61" firstHeaderRow="1" firstDataRow="1" firstDataCol="1"/>
  <pivotFields count="150">
    <pivotField showAll="0" defaultSubtota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3">
        <item n="January" x="0"/>
        <item n="February" x="11"/>
        <item n="March" x="1"/>
        <item n="April" x="2"/>
        <item n="May" x="3"/>
        <item n="June" x="4"/>
        <item n="July" x="5"/>
        <item n="August" x="6"/>
        <item n="September" x="7"/>
        <item n="October" x="8"/>
        <item n="November" x="9"/>
        <item n="December"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1"/>
  </rowFields>
  <rowItems count="13">
    <i>
      <x/>
    </i>
    <i>
      <x v="1"/>
    </i>
    <i>
      <x v="2"/>
    </i>
    <i>
      <x v="3"/>
    </i>
    <i>
      <x v="4"/>
    </i>
    <i>
      <x v="5"/>
    </i>
    <i>
      <x v="6"/>
    </i>
    <i>
      <x v="7"/>
    </i>
    <i>
      <x v="8"/>
    </i>
    <i>
      <x v="9"/>
    </i>
    <i>
      <x v="10"/>
    </i>
    <i>
      <x v="11"/>
    </i>
    <i t="grand">
      <x/>
    </i>
  </rowItems>
  <colItems count="1">
    <i/>
  </colItems>
  <dataFields count="1">
    <dataField name="Total Crashes" fld="1" subtotal="count" baseField="0" baseItem="0" numFmtId="3"/>
  </dataFields>
  <conditionalFormats count="1">
    <conditionalFormat priority="7">
      <pivotAreas count="1">
        <pivotArea type="data" collapsedLevelsAreSubtotals="1" fieldPosition="0">
          <references count="2">
            <reference field="4294967294" count="1" selected="0">
              <x v="0"/>
            </reference>
            <reference field="41" count="12">
              <x v="0"/>
              <x v="1"/>
              <x v="2"/>
              <x v="3"/>
              <x v="4"/>
              <x v="5"/>
              <x v="6"/>
              <x v="7"/>
              <x v="8"/>
              <x v="9"/>
              <x v="10"/>
              <x v="11"/>
            </reference>
          </references>
        </pivotArea>
      </pivotAreas>
    </conditionalFormat>
  </conditionalFormats>
  <chartFormats count="1">
    <chartFormat chart="0" format="1" series="1">
      <pivotArea type="data" outline="0" fieldPosition="0">
        <references count="1">
          <reference field="4294967294" count="1" selected="0">
            <x v="0"/>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0D00-000005000000}" name="Hour of Day"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1" rowHeaderCaption="Hour of Day">
  <location ref="G48:H73" firstHeaderRow="1" firstDataRow="1" firstDataCol="1"/>
  <pivotFields count="150">
    <pivotField showAll="0" defaultSubtota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5">
        <item x="16"/>
        <item x="21"/>
        <item x="13"/>
        <item x="15"/>
        <item x="23"/>
        <item x="22"/>
        <item x="8"/>
        <item x="0"/>
        <item x="18"/>
        <item x="20"/>
        <item x="5"/>
        <item x="10"/>
        <item x="14"/>
        <item x="19"/>
        <item x="1"/>
        <item x="6"/>
        <item x="12"/>
        <item x="2"/>
        <item x="3"/>
        <item x="11"/>
        <item x="7"/>
        <item x="9"/>
        <item x="17"/>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Total Crashes" fld="1" subtotal="count" baseField="0" baseItem="0" numFmtId="3"/>
  </dataFields>
  <chartFormats count="1">
    <chartFormat chart="0" format="1" series="1">
      <pivotArea type="data" outline="0" fieldPosition="0">
        <references count="1">
          <reference field="4294967294" count="1" selected="0">
            <x v="0"/>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3B890CF-0A40-426E-A982-20A17AAADD14}" name="PivotTable35"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2 Contributing Factor">
  <location ref="F234:H244"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0">
        <item x="1"/>
        <item x="6"/>
        <item m="1" x="18"/>
        <item m="1" x="9"/>
        <item m="1" x="15"/>
        <item x="8"/>
        <item m="1" x="17"/>
        <item x="3"/>
        <item x="0"/>
        <item x="2"/>
        <item x="7"/>
        <item m="1" x="16"/>
        <item m="1" x="13"/>
        <item m="1" x="10"/>
        <item m="1" x="14"/>
        <item m="1" x="12"/>
        <item x="5"/>
        <item m="1" x="11"/>
        <item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13"/>
  </rowFields>
  <rowItems count="10">
    <i>
      <x v="8"/>
    </i>
    <i>
      <x/>
    </i>
    <i>
      <x v="10"/>
    </i>
    <i>
      <x v="9"/>
    </i>
    <i>
      <x v="1"/>
    </i>
    <i>
      <x v="16"/>
    </i>
    <i>
      <x v="18"/>
    </i>
    <i>
      <x v="5"/>
    </i>
    <i>
      <x v="7"/>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73">
      <pivotArea field="2" type="button" dataOnly="0" labelOnly="1" outline="0"/>
    </format>
    <format dxfId="172">
      <pivotArea dataOnly="0" labelOnly="1" grandRow="1" outline="0" fieldPosition="0"/>
    </format>
    <format dxfId="171">
      <pivotArea outline="0" fieldPosition="0">
        <references count="1">
          <reference field="4294967294" count="1">
            <x v="0"/>
          </reference>
        </references>
      </pivotArea>
    </format>
    <format dxfId="170">
      <pivotArea outline="0" fieldPosition="0">
        <references count="1">
          <reference field="4294967294" count="1">
            <x v="1"/>
          </reference>
        </references>
      </pivotArea>
    </format>
    <format dxfId="16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0D00-000004000000}" name="Day in Week"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1" rowHeaderCaption="Day in Week">
  <location ref="J63:K71" firstHeaderRow="1" firstDataRow="1" firstDataCol="1"/>
  <pivotFields count="150">
    <pivotField showAll="0" defaultSubtota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6">
        <item m="1" x="12"/>
        <item m="1" x="14"/>
        <item m="1" x="13"/>
        <item m="1" x="9"/>
        <item m="1" x="11"/>
        <item m="1" x="10"/>
        <item m="1" x="8"/>
        <item x="5"/>
        <item x="4"/>
        <item x="2"/>
        <item x="0"/>
        <item x="1"/>
        <item x="3"/>
        <item x="6"/>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3"/>
  </rowFields>
  <rowItems count="8">
    <i>
      <x v="7"/>
    </i>
    <i>
      <x v="8"/>
    </i>
    <i>
      <x v="9"/>
    </i>
    <i>
      <x v="10"/>
    </i>
    <i>
      <x v="11"/>
    </i>
    <i>
      <x v="12"/>
    </i>
    <i>
      <x v="13"/>
    </i>
    <i t="grand">
      <x/>
    </i>
  </rowItems>
  <colItems count="1">
    <i/>
  </colItems>
  <dataFields count="1">
    <dataField name="Total Crashes" fld="1" subtotal="count" baseField="0" baseItem="0" numFmtId="3"/>
  </dataFields>
  <conditionalFormats count="1">
    <conditionalFormat priority="6">
      <pivotAreas count="1">
        <pivotArea type="data" collapsedLevelsAreSubtotals="1" fieldPosition="0">
          <references count="2">
            <reference field="4294967294" count="1" selected="0">
              <x v="0"/>
            </reference>
            <reference field="43" count="7">
              <x v="0"/>
              <x v="1"/>
              <x v="2"/>
              <x v="3"/>
              <x v="4"/>
              <x v="5"/>
              <x v="6"/>
            </reference>
          </references>
        </pivotArea>
      </pivotAreas>
    </conditionalFormat>
  </conditionalFormats>
  <chartFormats count="1">
    <chartFormat chart="0" format="1" series="1">
      <pivotArea type="data" outline="0" fieldPosition="0">
        <references count="1">
          <reference field="4294967294" count="1" selected="0">
            <x v="0"/>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0D00-000009000000}" name="Road Condition"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Road Condition">
  <location ref="B48:E54" firstHeaderRow="0" firstDataRow="1" firstDataCol="1"/>
  <pivotFields count="150">
    <pivotField showAll="0" defaultSubtota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m="1" x="8"/>
        <item m="1" x="11"/>
        <item x="1"/>
        <item x="4"/>
        <item m="1" x="9"/>
        <item m="1" x="5"/>
        <item x="2"/>
        <item m="1" x="13"/>
        <item m="1" x="6"/>
        <item x="0"/>
        <item m="1" x="7"/>
        <item m="1" x="10"/>
        <item m="1" x="1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5"/>
  </rowFields>
  <rowItems count="6">
    <i>
      <x v="2"/>
    </i>
    <i>
      <x v="3"/>
    </i>
    <i>
      <x v="6"/>
    </i>
    <i>
      <x v="9"/>
    </i>
    <i>
      <x v="13"/>
    </i>
    <i t="grand">
      <x/>
    </i>
  </rowItems>
  <colFields count="1">
    <field x="-2"/>
  </colFields>
  <colItems count="3">
    <i>
      <x/>
    </i>
    <i i="1">
      <x v="1"/>
    </i>
    <i i="2">
      <x v="2"/>
    </i>
  </colItems>
  <dataFields count="3">
    <dataField name="Total Crashes" fld="1" subtotal="count" baseField="0" baseItem="0" numFmtId="3"/>
    <dataField name="Fatalities " fld="20" baseField="0" baseItem="0"/>
    <dataField name="Serious Injuries " fld="21" baseField="0" baseItem="0"/>
  </dataFields>
  <chartFormats count="42">
    <chartFormat chart="1" format="12" series="1">
      <pivotArea type="data" outline="0" fieldPosition="0">
        <references count="1">
          <reference field="4294967294" count="1" selected="0">
            <x v="0"/>
          </reference>
        </references>
      </pivotArea>
    </chartFormat>
    <chartFormat chart="1" format="13" series="1">
      <pivotArea type="data" outline="0" fieldPosition="0">
        <references count="1">
          <reference field="4294967294" count="1" selected="0">
            <x v="1"/>
          </reference>
        </references>
      </pivotArea>
    </chartFormat>
    <chartFormat chart="1" format="14" series="1">
      <pivotArea type="data" outline="0" fieldPosition="0">
        <references count="1">
          <reference field="4294967294" count="1" selected="0">
            <x v="2"/>
          </reference>
        </references>
      </pivotArea>
    </chartFormat>
    <chartFormat chart="1" format="15">
      <pivotArea type="data" outline="0" fieldPosition="0">
        <references count="2">
          <reference field="4294967294" count="1" selected="0">
            <x v="0"/>
          </reference>
          <reference field="45" count="1" selected="0">
            <x v="1"/>
          </reference>
        </references>
      </pivotArea>
    </chartFormat>
    <chartFormat chart="1" format="16">
      <pivotArea type="data" outline="0" fieldPosition="0">
        <references count="2">
          <reference field="4294967294" count="1" selected="0">
            <x v="0"/>
          </reference>
          <reference field="45" count="1" selected="0">
            <x v="2"/>
          </reference>
        </references>
      </pivotArea>
    </chartFormat>
    <chartFormat chart="1" format="17">
      <pivotArea type="data" outline="0" fieldPosition="0">
        <references count="2">
          <reference field="4294967294" count="1" selected="0">
            <x v="0"/>
          </reference>
          <reference field="45" count="1" selected="0">
            <x v="3"/>
          </reference>
        </references>
      </pivotArea>
    </chartFormat>
    <chartFormat chart="1" format="18">
      <pivotArea type="data" outline="0" fieldPosition="0">
        <references count="2">
          <reference field="4294967294" count="1" selected="0">
            <x v="0"/>
          </reference>
          <reference field="45" count="1" selected="0">
            <x v="4"/>
          </reference>
        </references>
      </pivotArea>
    </chartFormat>
    <chartFormat chart="1" format="19">
      <pivotArea type="data" outline="0" fieldPosition="0">
        <references count="2">
          <reference field="4294967294" count="1" selected="0">
            <x v="0"/>
          </reference>
          <reference field="45" count="1" selected="0">
            <x v="5"/>
          </reference>
        </references>
      </pivotArea>
    </chartFormat>
    <chartFormat chart="1" format="20">
      <pivotArea type="data" outline="0" fieldPosition="0">
        <references count="2">
          <reference field="4294967294" count="1" selected="0">
            <x v="0"/>
          </reference>
          <reference field="45" count="1" selected="0">
            <x v="6"/>
          </reference>
        </references>
      </pivotArea>
    </chartFormat>
    <chartFormat chart="1" format="21">
      <pivotArea type="data" outline="0" fieldPosition="0">
        <references count="2">
          <reference field="4294967294" count="1" selected="0">
            <x v="0"/>
          </reference>
          <reference field="45" count="1" selected="0">
            <x v="7"/>
          </reference>
        </references>
      </pivotArea>
    </chartFormat>
    <chartFormat chart="1" format="22">
      <pivotArea type="data" outline="0" fieldPosition="0">
        <references count="2">
          <reference field="4294967294" count="1" selected="0">
            <x v="0"/>
          </reference>
          <reference field="45" count="1" selected="0">
            <x v="8"/>
          </reference>
        </references>
      </pivotArea>
    </chartFormat>
    <chartFormat chart="1" format="23">
      <pivotArea type="data" outline="0" fieldPosition="0">
        <references count="2">
          <reference field="4294967294" count="1" selected="0">
            <x v="0"/>
          </reference>
          <reference field="45" count="1" selected="0">
            <x v="9"/>
          </reference>
        </references>
      </pivotArea>
    </chartFormat>
    <chartFormat chart="1" format="24">
      <pivotArea type="data" outline="0" fieldPosition="0">
        <references count="2">
          <reference field="4294967294" count="1" selected="0">
            <x v="0"/>
          </reference>
          <reference field="45" count="1" selected="0">
            <x v="11"/>
          </reference>
        </references>
      </pivotArea>
    </chartFormat>
    <chartFormat chart="1" format="25">
      <pivotArea type="data" outline="0" fieldPosition="0">
        <references count="2">
          <reference field="4294967294" count="1" selected="0">
            <x v="0"/>
          </reference>
          <reference field="45" count="1" selected="0">
            <x v="12"/>
          </reference>
        </references>
      </pivotArea>
    </chartFormat>
    <chartFormat chart="1" format="26">
      <pivotArea type="data" outline="0" fieldPosition="0">
        <references count="2">
          <reference field="4294967294" count="1" selected="0">
            <x v="1"/>
          </reference>
          <reference field="45" count="1" selected="0">
            <x v="1"/>
          </reference>
        </references>
      </pivotArea>
    </chartFormat>
    <chartFormat chart="1" format="27">
      <pivotArea type="data" outline="0" fieldPosition="0">
        <references count="2">
          <reference field="4294967294" count="1" selected="0">
            <x v="1"/>
          </reference>
          <reference field="45" count="1" selected="0">
            <x v="2"/>
          </reference>
        </references>
      </pivotArea>
    </chartFormat>
    <chartFormat chart="1" format="28">
      <pivotArea type="data" outline="0" fieldPosition="0">
        <references count="2">
          <reference field="4294967294" count="1" selected="0">
            <x v="1"/>
          </reference>
          <reference field="45" count="1" selected="0">
            <x v="3"/>
          </reference>
        </references>
      </pivotArea>
    </chartFormat>
    <chartFormat chart="1" format="29">
      <pivotArea type="data" outline="0" fieldPosition="0">
        <references count="2">
          <reference field="4294967294" count="1" selected="0">
            <x v="1"/>
          </reference>
          <reference field="45" count="1" selected="0">
            <x v="4"/>
          </reference>
        </references>
      </pivotArea>
    </chartFormat>
    <chartFormat chart="1" format="30">
      <pivotArea type="data" outline="0" fieldPosition="0">
        <references count="2">
          <reference field="4294967294" count="1" selected="0">
            <x v="1"/>
          </reference>
          <reference field="45" count="1" selected="0">
            <x v="5"/>
          </reference>
        </references>
      </pivotArea>
    </chartFormat>
    <chartFormat chart="1" format="31">
      <pivotArea type="data" outline="0" fieldPosition="0">
        <references count="2">
          <reference field="4294967294" count="1" selected="0">
            <x v="1"/>
          </reference>
          <reference field="45" count="1" selected="0">
            <x v="6"/>
          </reference>
        </references>
      </pivotArea>
    </chartFormat>
    <chartFormat chart="1" format="32">
      <pivotArea type="data" outline="0" fieldPosition="0">
        <references count="2">
          <reference field="4294967294" count="1" selected="0">
            <x v="1"/>
          </reference>
          <reference field="45" count="1" selected="0">
            <x v="7"/>
          </reference>
        </references>
      </pivotArea>
    </chartFormat>
    <chartFormat chart="1" format="33">
      <pivotArea type="data" outline="0" fieldPosition="0">
        <references count="2">
          <reference field="4294967294" count="1" selected="0">
            <x v="1"/>
          </reference>
          <reference field="45" count="1" selected="0">
            <x v="8"/>
          </reference>
        </references>
      </pivotArea>
    </chartFormat>
    <chartFormat chart="1" format="34">
      <pivotArea type="data" outline="0" fieldPosition="0">
        <references count="2">
          <reference field="4294967294" count="1" selected="0">
            <x v="1"/>
          </reference>
          <reference field="45" count="1" selected="0">
            <x v="9"/>
          </reference>
        </references>
      </pivotArea>
    </chartFormat>
    <chartFormat chart="1" format="35">
      <pivotArea type="data" outline="0" fieldPosition="0">
        <references count="2">
          <reference field="4294967294" count="1" selected="0">
            <x v="1"/>
          </reference>
          <reference field="45" count="1" selected="0">
            <x v="11"/>
          </reference>
        </references>
      </pivotArea>
    </chartFormat>
    <chartFormat chart="1" format="36">
      <pivotArea type="data" outline="0" fieldPosition="0">
        <references count="2">
          <reference field="4294967294" count="1" selected="0">
            <x v="1"/>
          </reference>
          <reference field="45" count="1" selected="0">
            <x v="12"/>
          </reference>
        </references>
      </pivotArea>
    </chartFormat>
    <chartFormat chart="1" format="37">
      <pivotArea type="data" outline="0" fieldPosition="0">
        <references count="2">
          <reference field="4294967294" count="1" selected="0">
            <x v="2"/>
          </reference>
          <reference field="45" count="1" selected="0">
            <x v="1"/>
          </reference>
        </references>
      </pivotArea>
    </chartFormat>
    <chartFormat chart="1" format="38">
      <pivotArea type="data" outline="0" fieldPosition="0">
        <references count="2">
          <reference field="4294967294" count="1" selected="0">
            <x v="2"/>
          </reference>
          <reference field="45" count="1" selected="0">
            <x v="2"/>
          </reference>
        </references>
      </pivotArea>
    </chartFormat>
    <chartFormat chart="1" format="39">
      <pivotArea type="data" outline="0" fieldPosition="0">
        <references count="2">
          <reference field="4294967294" count="1" selected="0">
            <x v="2"/>
          </reference>
          <reference field="45" count="1" selected="0">
            <x v="3"/>
          </reference>
        </references>
      </pivotArea>
    </chartFormat>
    <chartFormat chart="1" format="40">
      <pivotArea type="data" outline="0" fieldPosition="0">
        <references count="2">
          <reference field="4294967294" count="1" selected="0">
            <x v="2"/>
          </reference>
          <reference field="45" count="1" selected="0">
            <x v="4"/>
          </reference>
        </references>
      </pivotArea>
    </chartFormat>
    <chartFormat chart="1" format="41">
      <pivotArea type="data" outline="0" fieldPosition="0">
        <references count="2">
          <reference field="4294967294" count="1" selected="0">
            <x v="2"/>
          </reference>
          <reference field="45" count="1" selected="0">
            <x v="5"/>
          </reference>
        </references>
      </pivotArea>
    </chartFormat>
    <chartFormat chart="1" format="42">
      <pivotArea type="data" outline="0" fieldPosition="0">
        <references count="2">
          <reference field="4294967294" count="1" selected="0">
            <x v="2"/>
          </reference>
          <reference field="45" count="1" selected="0">
            <x v="6"/>
          </reference>
        </references>
      </pivotArea>
    </chartFormat>
    <chartFormat chart="1" format="43">
      <pivotArea type="data" outline="0" fieldPosition="0">
        <references count="2">
          <reference field="4294967294" count="1" selected="0">
            <x v="2"/>
          </reference>
          <reference field="45" count="1" selected="0">
            <x v="7"/>
          </reference>
        </references>
      </pivotArea>
    </chartFormat>
    <chartFormat chart="1" format="44">
      <pivotArea type="data" outline="0" fieldPosition="0">
        <references count="2">
          <reference field="4294967294" count="1" selected="0">
            <x v="2"/>
          </reference>
          <reference field="45" count="1" selected="0">
            <x v="8"/>
          </reference>
        </references>
      </pivotArea>
    </chartFormat>
    <chartFormat chart="1" format="45">
      <pivotArea type="data" outline="0" fieldPosition="0">
        <references count="2">
          <reference field="4294967294" count="1" selected="0">
            <x v="2"/>
          </reference>
          <reference field="45" count="1" selected="0">
            <x v="9"/>
          </reference>
        </references>
      </pivotArea>
    </chartFormat>
    <chartFormat chart="1" format="46">
      <pivotArea type="data" outline="0" fieldPosition="0">
        <references count="2">
          <reference field="4294967294" count="1" selected="0">
            <x v="2"/>
          </reference>
          <reference field="45" count="1" selected="0">
            <x v="11"/>
          </reference>
        </references>
      </pivotArea>
    </chartFormat>
    <chartFormat chart="1" format="47">
      <pivotArea type="data" outline="0" fieldPosition="0">
        <references count="2">
          <reference field="4294967294" count="1" selected="0">
            <x v="2"/>
          </reference>
          <reference field="45" count="1" selected="0">
            <x v="12"/>
          </reference>
        </references>
      </pivotArea>
    </chartFormat>
    <chartFormat chart="1" format="48">
      <pivotArea type="data" outline="0" fieldPosition="0">
        <references count="2">
          <reference field="4294967294" count="1" selected="0">
            <x v="0"/>
          </reference>
          <reference field="45" count="1" selected="0">
            <x v="10"/>
          </reference>
        </references>
      </pivotArea>
    </chartFormat>
    <chartFormat chart="1" format="49">
      <pivotArea type="data" outline="0" fieldPosition="0">
        <references count="2">
          <reference field="4294967294" count="1" selected="0">
            <x v="1"/>
          </reference>
          <reference field="45" count="1" selected="0">
            <x v="10"/>
          </reference>
        </references>
      </pivotArea>
    </chartFormat>
    <chartFormat chart="1" format="50">
      <pivotArea type="data" outline="0" fieldPosition="0">
        <references count="2">
          <reference field="4294967294" count="1" selected="0">
            <x v="2"/>
          </reference>
          <reference field="45" count="1" selected="0">
            <x v="10"/>
          </reference>
        </references>
      </pivotArea>
    </chartFormat>
    <chartFormat chart="1" format="51">
      <pivotArea type="data" outline="0" fieldPosition="0">
        <references count="2">
          <reference field="4294967294" count="1" selected="0">
            <x v="0"/>
          </reference>
          <reference field="45" count="1" selected="0">
            <x v="13"/>
          </reference>
        </references>
      </pivotArea>
    </chartFormat>
    <chartFormat chart="1" format="52">
      <pivotArea type="data" outline="0" fieldPosition="0">
        <references count="2">
          <reference field="4294967294" count="1" selected="0">
            <x v="1"/>
          </reference>
          <reference field="45" count="1" selected="0">
            <x v="13"/>
          </reference>
        </references>
      </pivotArea>
    </chartFormat>
    <chartFormat chart="1" format="53">
      <pivotArea type="data" outline="0" fieldPosition="0">
        <references count="2">
          <reference field="4294967294" count="1" selected="0">
            <x v="2"/>
          </reference>
          <reference field="45" count="1" selected="0">
            <x v="13"/>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0E00-000004000000}" name="U1_Gender"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Gender">
  <location ref="B87:E91"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5">
        <item x="1"/>
        <item x="0"/>
        <item x="2"/>
        <item m="1"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01"/>
  </rowFields>
  <rowItems count="4">
    <i>
      <x v="1"/>
    </i>
    <i>
      <x/>
    </i>
    <i>
      <x v="2"/>
    </i>
    <i t="grand">
      <x/>
    </i>
  </rowItems>
  <colFields count="1">
    <field x="-2"/>
  </colFields>
  <colItems count="3">
    <i>
      <x/>
    </i>
    <i i="1">
      <x v="1"/>
    </i>
    <i i="2">
      <x v="2"/>
    </i>
  </colItems>
  <dataFields count="3">
    <dataField name="Total Crashes" fld="1" subtotal="count" baseField="99" baseItem="0"/>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0E00-000009000000}" name="U1_Pre-Crash Action"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Pre-Crash Action">
  <location ref="B58:E72"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8"/>
        <item x="3"/>
        <item m="1" x="14"/>
        <item m="1" x="15"/>
        <item x="5"/>
        <item x="2"/>
        <item x="0"/>
        <item x="7"/>
        <item x="9"/>
        <item x="4"/>
        <item m="1" x="21"/>
        <item m="1" x="19"/>
        <item x="10"/>
        <item m="1" x="23"/>
        <item x="6"/>
        <item m="1" x="18"/>
        <item x="1"/>
        <item m="1" x="24"/>
        <item m="1" x="26"/>
        <item m="1" x="25"/>
        <item m="1" x="20"/>
        <item m="1" x="17"/>
        <item m="1" x="22"/>
        <item x="11"/>
        <item m="1" x="13"/>
        <item x="12"/>
        <item m="1" x="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90"/>
  </rowFields>
  <rowItems count="14">
    <i>
      <x v="16"/>
    </i>
    <i>
      <x v="6"/>
    </i>
    <i>
      <x v="1"/>
    </i>
    <i>
      <x v="23"/>
    </i>
    <i>
      <x v="7"/>
    </i>
    <i>
      <x v="4"/>
    </i>
    <i>
      <x/>
    </i>
    <i>
      <x v="5"/>
    </i>
    <i>
      <x v="9"/>
    </i>
    <i>
      <x v="12"/>
    </i>
    <i>
      <x v="14"/>
    </i>
    <i>
      <x v="8"/>
    </i>
    <i>
      <x v="25"/>
    </i>
    <i t="grand">
      <x/>
    </i>
  </rowItems>
  <colFields count="1">
    <field x="-2"/>
  </colFields>
  <colItems count="3">
    <i>
      <x/>
    </i>
    <i i="1">
      <x v="1"/>
    </i>
    <i i="2">
      <x v="2"/>
    </i>
  </colItems>
  <dataFields count="3">
    <dataField name="Total Crashes" fld="1" subtotal="count" baseField="88" baseItem="5"/>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0E00-00000A000000}" name="U1_Special Function"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Special Function">
  <location ref="B34:E42"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6">
        <item m="1" x="34"/>
        <item m="1" x="22"/>
        <item m="1" x="23"/>
        <item m="1" x="18"/>
        <item m="1" x="7"/>
        <item m="1" x="24"/>
        <item m="1" x="15"/>
        <item x="3"/>
        <item m="1" x="19"/>
        <item m="1" x="25"/>
        <item x="0"/>
        <item m="1" x="27"/>
        <item m="1" x="33"/>
        <item x="5"/>
        <item m="1" x="9"/>
        <item x="2"/>
        <item m="1" x="11"/>
        <item m="1" x="13"/>
        <item m="1" x="29"/>
        <item m="1" x="31"/>
        <item m="1" x="21"/>
        <item m="1" x="12"/>
        <item m="1" x="30"/>
        <item m="1" x="10"/>
        <item x="6"/>
        <item m="1" x="20"/>
        <item x="1"/>
        <item m="1" x="17"/>
        <item m="1" x="32"/>
        <item m="1" x="8"/>
        <item m="1" x="26"/>
        <item x="4"/>
        <item m="1" x="28"/>
        <item m="1" x="16"/>
        <item m="1" x="1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7"/>
  </rowFields>
  <rowItems count="8">
    <i>
      <x v="10"/>
    </i>
    <i>
      <x v="26"/>
    </i>
    <i>
      <x v="15"/>
    </i>
    <i>
      <x v="31"/>
    </i>
    <i>
      <x v="13"/>
    </i>
    <i>
      <x v="7"/>
    </i>
    <i>
      <x v="24"/>
    </i>
    <i t="grand">
      <x/>
    </i>
  </rowItems>
  <colFields count="1">
    <field x="-2"/>
  </colFields>
  <colItems count="3">
    <i>
      <x/>
    </i>
    <i i="1">
      <x v="1"/>
    </i>
    <i i="2">
      <x v="2"/>
    </i>
  </colItems>
  <dataFields count="3">
    <dataField name="Total Crashes" fld="1" subtotal="count" baseField="85" baseItem="13"/>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0E00-000008000000}" name="U1_PostedSpeed"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Posted Speed">
  <location ref="L127:O137"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8000">
        <item x="2"/>
        <item x="7"/>
        <item x="3"/>
        <item m="1" x="4222"/>
        <item m="1" x="2824"/>
        <item x="6"/>
        <item m="1" x="18"/>
        <item m="1" x="6608"/>
        <item x="1"/>
        <item x="4"/>
        <item m="1" x="3811"/>
        <item m="1" x="3461"/>
        <item x="0"/>
        <item m="1" x="3110"/>
        <item x="8"/>
        <item m="1" x="2063"/>
        <item m="1" x="1714"/>
        <item x="5"/>
        <item m="1" x="1012"/>
        <item m="1" x="11"/>
        <item m="1" x="10"/>
        <item m="1" x="12"/>
        <item m="1" x="9"/>
        <item m="1" x="13"/>
        <item m="1" x="1244"/>
        <item m="1" x="4806"/>
        <item m="1" x="370"/>
        <item m="1" x="3931"/>
        <item m="1" x="7482"/>
        <item m="1" x="3054"/>
        <item m="1" x="6605"/>
        <item m="1" x="2179"/>
        <item m="1" x="5733"/>
        <item m="1" x="1298"/>
        <item m="1" x="4863"/>
        <item m="1" x="4511"/>
        <item m="1" x="2292"/>
        <item m="1" x="74"/>
        <item m="1" x="5848"/>
        <item m="1" x="3631"/>
        <item m="1" x="1416"/>
        <item m="1" x="7187"/>
        <item m="1" x="4980"/>
        <item m="1" x="2758"/>
        <item m="1" x="544"/>
        <item m="1" x="6313"/>
        <item m="1" x="4103"/>
        <item m="1" x="1887"/>
        <item m="1" x="7656"/>
        <item m="1" x="5447"/>
        <item m="1" x="3229"/>
        <item m="1" x="1009"/>
        <item m="1" x="6781"/>
        <item m="1" x="4571"/>
        <item m="1" x="2354"/>
        <item m="1" x="136"/>
        <item m="1" x="5909"/>
        <item m="1" x="3693"/>
        <item m="1" x="1477"/>
        <item m="1" x="7247"/>
        <item m="1" x="5039"/>
        <item m="1" x="6895"/>
        <item m="1" x="5790"/>
        <item m="1" x="4684"/>
        <item m="1" x="3573"/>
        <item m="1" x="2469"/>
        <item m="1" x="1356"/>
        <item m="1" x="251"/>
        <item m="1" x="7125"/>
        <item m="1" x="6023"/>
        <item m="1" x="4920"/>
        <item m="1" x="3807"/>
        <item m="1" x="2697"/>
        <item m="1" x="1591"/>
        <item m="1" x="482"/>
        <item m="1" x="7358"/>
        <item m="1" x="6255"/>
        <item m="1" x="5151"/>
        <item m="1" x="4042"/>
        <item m="1" x="2933"/>
        <item m="1" x="1823"/>
        <item m="1" x="715"/>
        <item m="1" x="7590"/>
        <item m="1" x="6484"/>
        <item m="1" x="5380"/>
        <item m="1" x="4274"/>
        <item m="1" x="3163"/>
        <item m="1" x="2056"/>
        <item m="1" x="944"/>
        <item m="1" x="7823"/>
        <item m="1" x="6719"/>
        <item m="1" x="5613"/>
        <item m="1" x="4508"/>
        <item m="1" x="3396"/>
        <item m="1" x="2288"/>
        <item m="1" x="1179"/>
        <item m="1" x="70"/>
        <item m="1" x="6948"/>
        <item m="1" x="5844"/>
        <item m="1" x="4738"/>
        <item m="1" x="3627"/>
        <item m="1" x="2523"/>
        <item m="1" x="1412"/>
        <item m="1" x="305"/>
        <item m="1" x="7183"/>
        <item m="1" x="6079"/>
        <item m="1" x="4976"/>
        <item m="1" x="3863"/>
        <item m="1" x="2754"/>
        <item m="1" x="1648"/>
        <item m="1" x="540"/>
        <item m="1" x="7417"/>
        <item m="1" x="1854"/>
        <item m="1" x="1296"/>
        <item m="1" x="745"/>
        <item m="1" x="192"/>
        <item m="1" x="7623"/>
        <item m="1" x="7067"/>
        <item m="1" x="6516"/>
        <item m="1" x="5965"/>
        <item m="1" x="5413"/>
        <item m="1" x="4861"/>
        <item m="1" x="4306"/>
        <item m="1" x="3750"/>
        <item m="1" x="3196"/>
        <item m="1" x="2641"/>
        <item m="1" x="2089"/>
        <item m="1" x="1533"/>
        <item m="1" x="976"/>
        <item m="1" x="425"/>
        <item m="1" x="7855"/>
        <item m="1" x="7305"/>
        <item m="1" x="6752"/>
        <item m="1" x="6196"/>
        <item m="1" x="5644"/>
        <item m="1" x="5096"/>
        <item m="1" x="4540"/>
        <item m="1" x="3985"/>
        <item m="1" x="3427"/>
        <item m="1" x="2874"/>
        <item m="1" x="2321"/>
        <item m="1" x="1766"/>
        <item m="1" x="1210"/>
        <item m="1" x="659"/>
        <item m="1" x="104"/>
        <item m="1" x="7535"/>
        <item m="1" x="6980"/>
        <item m="1" x="6428"/>
        <item m="1" x="5878"/>
        <item m="1" x="5327"/>
        <item m="1" x="4771"/>
        <item m="1" x="4215"/>
        <item m="1" x="3659"/>
        <item m="1" x="3104"/>
        <item m="1" x="2554"/>
        <item m="1" x="1998"/>
        <item m="1" x="1442"/>
        <item m="1" x="886"/>
        <item m="1" x="334"/>
        <item m="1" x="7765"/>
        <item m="1" x="7214"/>
        <item m="1" x="6659"/>
        <item m="1" x="6108"/>
        <item m="1" x="5554"/>
        <item m="1" x="5004"/>
        <item m="1" x="4448"/>
        <item m="1" x="3892"/>
        <item m="1" x="3337"/>
        <item m="1" x="2784"/>
        <item m="1" x="2230"/>
        <item m="1" x="1676"/>
        <item m="1" x="1121"/>
        <item m="1" x="571"/>
        <item m="1" x="7997"/>
        <item m="1" x="7447"/>
        <item m="1" x="6892"/>
        <item m="1" x="6340"/>
        <item m="1" x="5787"/>
        <item m="1" x="5236"/>
        <item m="1" x="4680"/>
        <item m="1" x="4128"/>
        <item m="1" x="3569"/>
        <item m="1" x="3018"/>
        <item m="1" x="2465"/>
        <item m="1" x="1910"/>
        <item m="1" x="1352"/>
        <item m="1" x="801"/>
        <item m="1" x="248"/>
        <item m="1" x="7680"/>
        <item m="1" x="7122"/>
        <item m="1" x="6569"/>
        <item m="1" x="6020"/>
        <item m="1" x="5469"/>
        <item m="1" x="4917"/>
        <item m="1" x="4362"/>
        <item m="1" x="3804"/>
        <item m="1" x="3251"/>
        <item m="1" x="2694"/>
        <item m="1" x="2143"/>
        <item m="1" x="1588"/>
        <item m="1" x="1034"/>
        <item m="1" x="480"/>
        <item m="1" x="7909"/>
        <item m="1" x="7356"/>
        <item m="1" x="6806"/>
        <item m="1" x="6253"/>
        <item m="1" x="5700"/>
        <item m="1" x="5149"/>
        <item m="1" x="4594"/>
        <item m="1" x="4040"/>
        <item m="1" x="3482"/>
        <item m="1" x="2931"/>
        <item m="1" x="2378"/>
        <item m="1" x="1821"/>
        <item m="1" x="525"/>
        <item m="1" x="4243"/>
        <item m="1" x="7952"/>
        <item m="1" x="3687"/>
        <item m="1" x="7401"/>
        <item m="1" x="3133"/>
        <item m="1" x="6849"/>
        <item m="1" x="2582"/>
        <item m="1" x="6296"/>
        <item m="1" x="2027"/>
        <item m="1" x="5742"/>
        <item m="1" x="1471"/>
        <item m="1" x="5192"/>
        <item m="1" x="915"/>
        <item m="1" x="4636"/>
        <item m="1" x="363"/>
        <item m="1" x="4083"/>
        <item m="1" x="7793"/>
        <item m="1" x="3525"/>
        <item m="1" x="7243"/>
        <item m="1" x="2975"/>
        <item m="1" x="6688"/>
        <item m="1" x="2423"/>
        <item m="1" x="6137"/>
        <item m="1" x="1868"/>
        <item m="1" x="5584"/>
        <item m="1" x="1311"/>
        <item m="1" x="5034"/>
        <item m="1" x="759"/>
        <item m="1" x="4478"/>
        <item m="1" x="205"/>
        <item m="1" x="3924"/>
        <item m="1" x="7637"/>
        <item m="1" x="3367"/>
        <item m="1" x="7080"/>
        <item m="1" x="2816"/>
        <item m="1" x="6528"/>
        <item m="1" x="2261"/>
        <item m="1" x="5977"/>
        <item m="1" x="1707"/>
        <item m="1" x="5427"/>
        <item m="1" x="1153"/>
        <item m="1" x="4876"/>
        <item m="1" x="602"/>
        <item m="1" x="4320"/>
        <item m="1" x="43"/>
        <item m="1" x="3763"/>
        <item m="1" x="7477"/>
        <item m="1" x="3210"/>
        <item m="1" x="6923"/>
        <item m="1" x="2656"/>
        <item m="1" x="6372"/>
        <item m="1" x="2105"/>
        <item m="1" x="5820"/>
        <item m="1" x="1549"/>
        <item m="1" x="5268"/>
        <item m="1" x="991"/>
        <item m="1" x="440"/>
        <item m="1" x="4160"/>
        <item m="1" x="7870"/>
        <item m="1" x="3602"/>
        <item m="1" x="7318"/>
        <item m="1" x="3050"/>
        <item m="1" x="6765"/>
        <item m="1" x="2498"/>
        <item m="1" x="6210"/>
        <item m="1" x="1942"/>
        <item m="1" x="5659"/>
        <item m="1" x="1385"/>
        <item m="1" x="832"/>
        <item m="1" x="4552"/>
        <item m="1" x="278"/>
        <item m="1" x="3998"/>
        <item m="1" x="7709"/>
        <item m="1" x="3440"/>
        <item m="1" x="7154"/>
        <item m="1" x="2888"/>
        <item m="1" x="6600"/>
        <item m="1" x="2336"/>
        <item m="1" x="6051"/>
        <item m="1" x="1780"/>
        <item m="1" x="1224"/>
        <item m="1" x="4947"/>
        <item m="1" x="673"/>
        <item m="1" x="4393"/>
        <item m="1" x="118"/>
        <item m="1" x="3835"/>
        <item m="1" x="7547"/>
        <item m="1" x="3281"/>
        <item m="1" x="6993"/>
        <item m="1" x="2726"/>
        <item m="1" x="6441"/>
        <item m="1" x="2174"/>
        <item m="1" x="1620"/>
        <item m="1" x="5339"/>
        <item m="1" x="1064"/>
        <item m="1" x="4785"/>
        <item m="1" x="510"/>
        <item m="1" x="4230"/>
        <item m="1" x="7938"/>
        <item m="1" x="3673"/>
        <item m="1" x="7387"/>
        <item m="1" x="3120"/>
        <item m="1" x="6836"/>
        <item m="1" x="2570"/>
        <item m="1" x="2014"/>
        <item m="1" x="5729"/>
        <item m="1" x="1458"/>
        <item m="1" x="5179"/>
        <item m="1" x="901"/>
        <item m="1" x="4623"/>
        <item m="1" x="349"/>
        <item m="1" x="4069"/>
        <item m="1" x="7779"/>
        <item m="1" x="3511"/>
        <item m="1" x="7229"/>
        <item m="1" x="2962"/>
        <item m="1" x="2408"/>
        <item m="1" x="6123"/>
        <item m="1" x="1851"/>
        <item m="1" x="5569"/>
        <item m="1" x="1293"/>
        <item m="1" x="5019"/>
        <item m="1" x="742"/>
        <item m="1" x="4462"/>
        <item m="1" x="189"/>
        <item m="1" x="3908"/>
        <item m="1" x="7620"/>
        <item m="1" x="3353"/>
        <item m="1" x="2801"/>
        <item m="1" x="6513"/>
        <item m="1" x="2246"/>
        <item m="1" x="5962"/>
        <item m="1" x="1692"/>
        <item m="1" x="5410"/>
        <item m="1" x="1137"/>
        <item m="1" x="4858"/>
        <item m="1" x="587"/>
        <item m="1" x="4303"/>
        <item m="1" x="27"/>
        <item m="1" x="3747"/>
        <item m="1" x="3193"/>
        <item m="1" x="6907"/>
        <item m="1" x="2638"/>
        <item m="1" x="6356"/>
        <item m="1" x="2086"/>
        <item m="1" x="5802"/>
        <item m="1" x="1530"/>
        <item m="1" x="5250"/>
        <item m="1" x="973"/>
        <item m="1" x="4696"/>
        <item m="1" x="422"/>
        <item m="1" x="4144"/>
        <item m="1" x="3586"/>
        <item m="1" x="7302"/>
        <item m="1" x="3034"/>
        <item m="1" x="6749"/>
        <item m="1" x="2482"/>
        <item m="1" x="6193"/>
        <item m="1" x="1926"/>
        <item m="1" x="5641"/>
        <item m="1" x="1370"/>
        <item m="1" x="5093"/>
        <item m="1" x="817"/>
        <item m="1" x="4537"/>
        <item m="1" x="3982"/>
        <item m="1" x="7695"/>
        <item m="1" x="3424"/>
        <item m="1" x="7139"/>
        <item m="1" x="2871"/>
        <item m="1" x="6584"/>
        <item m="1" x="2318"/>
        <item m="1" x="6035"/>
        <item m="1" x="1763"/>
        <item m="1" x="5483"/>
        <item m="1" x="1207"/>
        <item m="1" x="4932"/>
        <item m="1" x="4377"/>
        <item m="1" x="101"/>
        <item m="1" x="3820"/>
        <item m="1" x="7532"/>
        <item m="1" x="3266"/>
        <item m="1" x="6977"/>
        <item m="1" x="2711"/>
        <item m="1" x="6425"/>
        <item m="1" x="2159"/>
        <item m="1" x="5875"/>
        <item m="1" x="1605"/>
        <item m="1" x="5324"/>
        <item m="1" x="1049"/>
        <item m="1" x="4768"/>
        <item m="1" x="495"/>
        <item m="1" x="4212"/>
        <item m="1" x="7923"/>
        <item m="1" x="2915"/>
        <item m="1" x="4776"/>
        <item m="1" x="6628"/>
        <item m="1" x="502"/>
        <item m="1" x="2363"/>
        <item m="1" x="4220"/>
        <item m="1" x="6077"/>
        <item m="1" x="7930"/>
        <item m="1" x="1806"/>
        <item m="1" x="3664"/>
        <item m="1" x="5523"/>
        <item m="1" x="7377"/>
        <item m="1" x="1250"/>
        <item m="1" x="3109"/>
        <item m="1" x="4974"/>
        <item m="1" x="6826"/>
        <item m="1" x="699"/>
        <item m="1" x="2559"/>
        <item m="1" x="4418"/>
        <item m="1" x="6273"/>
        <item m="1" x="144"/>
        <item m="1" x="2003"/>
        <item m="1" x="3860"/>
        <item m="1" x="5718"/>
        <item m="1" x="7573"/>
        <item m="1" x="1447"/>
        <item m="1" x="3306"/>
        <item m="1" x="5168"/>
        <item m="1" x="7018"/>
        <item m="1" x="891"/>
        <item m="1" x="2751"/>
        <item m="1" x="4612"/>
        <item m="1" x="6466"/>
        <item m="1" x="339"/>
        <item m="1" x="2200"/>
        <item m="1" x="4059"/>
        <item m="1" x="5916"/>
        <item m="1" x="7769"/>
        <item m="1" x="1645"/>
        <item m="1" x="3501"/>
        <item m="1" x="5364"/>
        <item m="1" x="7218"/>
        <item m="1" x="1090"/>
        <item m="1" x="2951"/>
        <item m="1" x="4811"/>
        <item m="1" x="6663"/>
        <item m="1" x="537"/>
        <item m="1" x="2397"/>
        <item m="1" x="4256"/>
        <item m="1" x="6112"/>
        <item m="1" x="7965"/>
        <item m="1" x="1842"/>
        <item m="1" x="3701"/>
        <item m="1" x="5559"/>
        <item m="1" x="7414"/>
        <item m="1" x="1284"/>
        <item m="1" x="3146"/>
        <item m="1" x="5009"/>
        <item m="1" x="6860"/>
        <item m="1" x="733"/>
        <item m="1" x="2594"/>
        <item m="1" x="4452"/>
        <item m="1" x="6307"/>
        <item m="1" x="179"/>
        <item m="1" x="2039"/>
        <item m="1" x="3897"/>
        <item m="1" x="5755"/>
        <item m="1" x="7609"/>
        <item m="1" x="1485"/>
        <item m="1" x="3342"/>
        <item m="1" x="5205"/>
        <item m="1" x="7054"/>
        <item m="1" x="927"/>
        <item m="1" x="2789"/>
        <item m="1" x="4648"/>
        <item m="1" x="6501"/>
        <item m="1" x="376"/>
        <item m="1" x="2235"/>
        <item m="1" x="4095"/>
        <item m="1" x="5950"/>
        <item m="1" x="7805"/>
        <item m="1" x="1681"/>
        <item m="1" x="3537"/>
        <item m="1" x="5398"/>
        <item m="1" x="7255"/>
        <item m="1" x="1126"/>
        <item m="1" x="2987"/>
        <item m="1" x="4846"/>
        <item m="1" x="6700"/>
        <item m="1" x="575"/>
        <item m="1" x="2433"/>
        <item m="1" x="4292"/>
        <item m="1" x="6148"/>
        <item m="1" x="15"/>
        <item m="1" x="1879"/>
        <item m="1" x="3736"/>
        <item m="1" x="5595"/>
        <item m="1" x="7451"/>
        <item m="1" x="1322"/>
        <item m="1" x="3182"/>
        <item m="1" x="5046"/>
        <item m="1" x="6896"/>
        <item m="1" x="770"/>
        <item m="1" x="2628"/>
        <item m="1" x="4490"/>
        <item m="1" x="6345"/>
        <item m="1" x="217"/>
        <item m="1" x="2077"/>
        <item m="1" x="3937"/>
        <item m="1" x="5792"/>
        <item m="1" x="7648"/>
        <item m="1" x="1521"/>
        <item m="1" x="3379"/>
        <item m="1" x="5240"/>
        <item m="1" x="7091"/>
        <item m="1" x="963"/>
        <item m="1" x="2827"/>
        <item m="1" x="4686"/>
        <item m="1" x="6539"/>
        <item m="1" x="412"/>
        <item m="1" x="2272"/>
        <item m="1" x="4133"/>
        <item m="1" x="5988"/>
        <item m="1" x="7842"/>
        <item m="1" x="1719"/>
        <item m="1" x="3575"/>
        <item m="1" x="5438"/>
        <item m="1" x="7291"/>
        <item m="1" x="1163"/>
        <item m="1" x="3023"/>
        <item m="1" x="4886"/>
        <item m="1" x="6737"/>
        <item m="1" x="612"/>
        <item m="1" x="2471"/>
        <item m="1" x="4330"/>
        <item m="1" x="6181"/>
        <item m="1" x="53"/>
        <item m="1" x="1915"/>
        <item m="1" x="3772"/>
        <item m="1" x="5629"/>
        <item m="1" x="7487"/>
        <item m="1" x="1358"/>
        <item m="1" x="3219"/>
        <item m="1" x="5081"/>
        <item m="1" x="6932"/>
        <item m="1" x="805"/>
        <item m="1" x="2664"/>
        <item m="1" x="4526"/>
        <item m="1" x="6380"/>
        <item m="1" x="253"/>
        <item m="1" x="2113"/>
        <item m="1" x="3971"/>
        <item m="1" x="5828"/>
        <item m="1" x="7683"/>
        <item m="1" x="1557"/>
        <item m="1" x="3413"/>
        <item m="1" x="5276"/>
        <item m="1" x="7127"/>
        <item m="1" x="999"/>
        <item m="1" x="2860"/>
        <item m="1" x="4721"/>
        <item m="1" x="6572"/>
        <item m="1" x="448"/>
        <item m="1" x="2307"/>
        <item m="1" x="4168"/>
        <item m="1" x="6024"/>
        <item m="1" x="7878"/>
        <item m="1" x="1752"/>
        <item m="1" x="3610"/>
        <item m="1" x="5472"/>
        <item m="1" x="7325"/>
        <item m="1" x="1196"/>
        <item m="1" x="3058"/>
        <item m="1" x="4921"/>
        <item m="1" x="6772"/>
        <item m="1" x="646"/>
        <item m="1" x="2506"/>
        <item m="1" x="4365"/>
        <item m="1" x="6218"/>
        <item m="1" x="89"/>
        <item m="1" x="1950"/>
        <item m="1" x="3808"/>
        <item m="1" x="5667"/>
        <item m="1" x="7520"/>
        <item m="1" x="1394"/>
        <item m="1" x="3255"/>
        <item m="1" x="5117"/>
        <item m="1" x="6965"/>
        <item m="1" x="841"/>
        <item m="1" x="2699"/>
        <item m="1" x="4561"/>
        <item m="1" x="6413"/>
        <item m="1" x="287"/>
        <item m="1" x="2147"/>
        <item m="1" x="4006"/>
        <item m="1" x="5863"/>
        <item m="1" x="7718"/>
        <item m="1" x="1593"/>
        <item m="1" x="3449"/>
        <item m="1" x="5312"/>
        <item m="1" x="7164"/>
        <item m="1" x="1037"/>
        <item m="1" x="2897"/>
        <item m="1" x="4757"/>
        <item m="1" x="6611"/>
        <item m="1" x="484"/>
        <item m="1" x="2345"/>
        <item m="1" x="4202"/>
        <item m="1" x="6060"/>
        <item m="1" x="7912"/>
        <item m="1" x="1789"/>
        <item m="1" x="3646"/>
        <item m="1" x="5507"/>
        <item m="1" x="7360"/>
        <item m="1" x="1233"/>
        <item m="1" x="3091"/>
        <item m="1" x="4957"/>
        <item m="1" x="6809"/>
        <item m="1" x="683"/>
        <item m="1" x="2542"/>
        <item m="1" x="4402"/>
        <item m="1" x="6257"/>
        <item m="1" x="128"/>
        <item m="1" x="1986"/>
        <item m="1" x="3845"/>
        <item m="1" x="5703"/>
        <item m="1" x="7557"/>
        <item m="1" x="1431"/>
        <item m="1" x="3291"/>
        <item m="1" x="5153"/>
        <item m="1" x="7003"/>
        <item m="1" x="875"/>
        <item m="1" x="2736"/>
        <item m="1" x="4597"/>
        <item m="1" x="6451"/>
        <item m="1" x="322"/>
        <item m="1" x="2185"/>
        <item m="1" x="4044"/>
        <item m="1" x="5901"/>
        <item m="1" x="7753"/>
        <item m="1" x="1631"/>
        <item m="1" x="3486"/>
        <item m="1" x="5349"/>
        <item m="1" x="7202"/>
        <item m="1" x="1075"/>
        <item m="1" x="2936"/>
        <item m="1" x="4795"/>
        <item m="1" x="6647"/>
        <item m="1" x="521"/>
        <item m="1" x="2382"/>
        <item m="1" x="4240"/>
        <item m="1" x="6096"/>
        <item m="1" x="7948"/>
        <item m="1" x="1826"/>
        <item m="1" x="3683"/>
        <item m="1" x="5542"/>
        <item m="1" x="7397"/>
        <item m="1" x="1268"/>
        <item m="1" x="3129"/>
        <item m="1" x="4993"/>
        <item m="1" x="6845"/>
        <item m="1" x="718"/>
        <item m="1" x="2578"/>
        <item m="1" x="4437"/>
        <item m="1" x="6292"/>
        <item m="1" x="163"/>
        <item m="1" x="2023"/>
        <item m="1" x="3880"/>
        <item m="1" x="5738"/>
        <item m="1" x="7593"/>
        <item m="1" x="1467"/>
        <item m="1" x="3325"/>
        <item m="1" x="5188"/>
        <item m="1" x="7038"/>
        <item m="1" x="911"/>
        <item m="1" x="2773"/>
        <item m="1" x="4633"/>
        <item m="1" x="6487"/>
        <item m="1" x="359"/>
        <item m="1" x="2220"/>
        <item m="1" x="4079"/>
        <item m="1" x="5935"/>
        <item m="1" x="7789"/>
        <item m="1" x="1665"/>
        <item m="1" x="3521"/>
        <item m="1" x="5383"/>
        <item m="1" x="7239"/>
        <item m="1" x="1110"/>
        <item m="1" x="2971"/>
        <item m="1" x="4831"/>
        <item m="1" x="6683"/>
        <item m="1" x="559"/>
        <item m="1" x="2418"/>
        <item m="1" x="4277"/>
        <item m="1" x="6132"/>
        <item m="1" x="7985"/>
        <item m="1" x="1863"/>
        <item m="1" x="3721"/>
        <item m="1" x="5579"/>
        <item m="1" x="7435"/>
        <item m="1" x="1306"/>
        <item m="1" x="3167"/>
        <item m="1" x="5030"/>
        <item m="1" x="6880"/>
        <item m="1" x="754"/>
        <item m="1" x="2614"/>
        <item m="1" x="4473"/>
        <item m="1" x="6328"/>
        <item m="1" x="201"/>
        <item m="1" x="2060"/>
        <item m="1" x="3919"/>
        <item m="1" x="5775"/>
        <item m="1" x="7632"/>
        <item m="1" x="1505"/>
        <item m="1" x="3362"/>
        <item m="1" x="5225"/>
        <item m="1" x="7075"/>
        <item m="1" x="948"/>
        <item m="1" x="2811"/>
        <item m="1" x="4669"/>
        <item m="1" x="6523"/>
        <item m="1" x="397"/>
        <item m="1" x="2256"/>
        <item m="1" x="4117"/>
        <item m="1" x="5972"/>
        <item m="1" x="7827"/>
        <item m="1" x="1702"/>
        <item m="1" x="3558"/>
        <item m="1" x="5422"/>
        <item m="1" x="7277"/>
        <item m="1" x="1148"/>
        <item m="1" x="3009"/>
        <item m="1" x="4871"/>
        <item m="1" x="6723"/>
        <item m="1" x="598"/>
        <item m="1" x="2455"/>
        <item m="1" x="4315"/>
        <item m="1" x="6168"/>
        <item m="1" x="38"/>
        <item m="1" x="1901"/>
        <item m="1" x="3758"/>
        <item m="1" x="5617"/>
        <item m="1" x="7472"/>
        <item m="1" x="1343"/>
        <item m="1" x="3205"/>
        <item m="1" x="5067"/>
        <item m="1" x="6917"/>
        <item m="1" x="791"/>
        <item m="1" x="2650"/>
        <item m="1" x="4513"/>
        <item m="1" x="6366"/>
        <item m="1" x="238"/>
        <item m="1" x="2099"/>
        <item m="1" x="3958"/>
        <item m="1" x="5814"/>
        <item m="1" x="7670"/>
        <item m="1" x="1543"/>
        <item m="1" x="3401"/>
        <item m="1" x="5262"/>
        <item m="1" x="7112"/>
        <item m="1" x="986"/>
        <item m="1" x="2847"/>
        <item m="1" x="4707"/>
        <item m="1" x="6558"/>
        <item m="1" x="434"/>
        <item m="1" x="2294"/>
        <item m="1" x="4154"/>
        <item m="1" x="6009"/>
        <item m="1" x="7864"/>
        <item m="1" x="1739"/>
        <item m="1" x="3596"/>
        <item m="1" x="5459"/>
        <item m="1" x="7312"/>
        <item m="1" x="1184"/>
        <item m="1" x="3044"/>
        <item m="1" x="4907"/>
        <item m="1" x="6759"/>
        <item m="1" x="633"/>
        <item m="1" x="2492"/>
        <item m="1" x="4351"/>
        <item m="1" x="6204"/>
        <item m="1" x="76"/>
        <item m="1" x="1936"/>
        <item m="1" x="3794"/>
        <item m="1" x="5653"/>
        <item m="1" x="7508"/>
        <item m="1" x="1380"/>
        <item m="1" x="3241"/>
        <item m="1" x="5104"/>
        <item m="1" x="6953"/>
        <item m="1" x="827"/>
        <item m="1" x="2684"/>
        <item m="1" x="4547"/>
        <item m="1" x="6400"/>
        <item m="1" x="273"/>
        <item m="1" x="2133"/>
        <item m="1" x="3993"/>
        <item m="1" x="5850"/>
        <item m="1" x="7704"/>
        <item m="1" x="1578"/>
        <item m="1" x="3435"/>
        <item m="1" x="5297"/>
        <item m="1" x="7148"/>
        <item m="1" x="1022"/>
        <item m="1" x="2882"/>
        <item m="1" x="4743"/>
        <item m="1" x="6594"/>
        <item m="1" x="468"/>
        <item m="1" x="2330"/>
        <item m="1" x="4189"/>
        <item m="1" x="5307"/>
        <item m="1" x="6232"/>
        <item m="1" x="7159"/>
        <item m="1" x="105"/>
        <item m="1" x="1032"/>
        <item m="1" x="1964"/>
        <item m="1" x="2893"/>
        <item m="1" x="3823"/>
        <item m="1" x="4753"/>
        <item m="1" x="5681"/>
        <item m="1" x="6606"/>
        <item m="1" x="7536"/>
        <item m="1" x="478"/>
        <item m="1" x="1408"/>
        <item m="1" x="2341"/>
        <item m="1" x="3269"/>
        <item m="1" x="4198"/>
        <item m="1" x="5130"/>
        <item m="1" x="6056"/>
        <item m="1" x="6981"/>
        <item m="1" x="7908"/>
        <item m="1" x="854"/>
        <item m="1" x="1785"/>
        <item m="1" x="2714"/>
        <item m="1" x="3642"/>
        <item m="1" x="4576"/>
        <item m="1" x="5503"/>
        <item m="1" x="6429"/>
        <item m="1" x="7354"/>
        <item m="1" x="301"/>
        <item m="1" x="1229"/>
        <item m="1" x="2162"/>
        <item m="1" x="3087"/>
        <item m="1" x="4020"/>
        <item m="1" x="4952"/>
        <item m="1" x="5879"/>
        <item m="1" x="6803"/>
        <item m="1" x="7731"/>
        <item m="1" x="678"/>
        <item m="1" x="1608"/>
        <item m="1" x="2537"/>
        <item m="1" x="3463"/>
        <item m="1" x="4398"/>
        <item m="1" x="5328"/>
        <item m="1" x="6250"/>
        <item m="1" x="7178"/>
        <item m="1" x="123"/>
        <item m="1" x="1052"/>
        <item m="1" x="1981"/>
        <item m="1" x="2911"/>
        <item m="1" x="3840"/>
        <item m="1" x="4772"/>
        <item m="1" x="5697"/>
        <item m="1" x="6624"/>
        <item m="1" x="7552"/>
        <item m="1" x="498"/>
        <item m="1" x="1426"/>
        <item m="1" x="2359"/>
        <item m="1" x="3286"/>
        <item m="1" x="4216"/>
        <item m="1" x="5146"/>
        <item m="1" x="6073"/>
        <item m="1" x="6998"/>
        <item m="1" x="7926"/>
        <item m="1" x="870"/>
        <item m="1" x="1802"/>
        <item m="1" x="2731"/>
        <item m="1" x="3660"/>
        <item m="1" x="4591"/>
        <item m="1" x="5519"/>
        <item m="1" x="6446"/>
        <item m="1" x="7373"/>
        <item m="1" x="318"/>
        <item m="1" x="1246"/>
        <item m="1" x="2180"/>
        <item m="1" x="3105"/>
        <item m="1" x="4037"/>
        <item m="1" x="4970"/>
        <item m="1" x="5896"/>
        <item m="1" x="6822"/>
        <item m="1" x="7748"/>
        <item m="1" x="695"/>
        <item m="1" x="1625"/>
        <item m="1" x="2555"/>
        <item m="1" x="3479"/>
        <item m="1" x="4414"/>
        <item m="1" x="5344"/>
        <item m="1" x="6269"/>
        <item m="1" x="7196"/>
        <item m="1" x="140"/>
        <item m="1" x="1069"/>
        <item m="1" x="1999"/>
        <item m="1" x="2928"/>
        <item m="1" x="3856"/>
        <item m="1" x="4790"/>
        <item m="1" x="5715"/>
        <item m="1" x="6641"/>
        <item m="1" x="7569"/>
        <item m="1" x="515"/>
        <item m="1" x="1443"/>
        <item m="1" x="2375"/>
        <item m="1" x="3302"/>
        <item m="1" x="4234"/>
        <item m="1" x="5164"/>
        <item m="1" x="6090"/>
        <item m="1" x="7014"/>
        <item m="1" x="7942"/>
        <item m="1" x="887"/>
        <item m="1" x="1818"/>
        <item m="1" x="2747"/>
        <item m="1" x="3677"/>
        <item m="1" x="4608"/>
        <item m="1" x="5536"/>
        <item m="1" x="6462"/>
        <item m="1" x="7391"/>
        <item m="1" x="335"/>
        <item m="1" x="1263"/>
        <item m="1" x="2197"/>
        <item m="1" x="3124"/>
        <item m="1" x="4056"/>
        <item m="1" x="4988"/>
        <item m="1" x="5913"/>
        <item m="1" x="6840"/>
        <item m="1" x="7766"/>
        <item m="1" x="712"/>
        <item m="1" x="1642"/>
        <item m="1" x="3498"/>
        <item m="1" x="4432"/>
        <item m="1" x="5361"/>
        <item m="1" x="6287"/>
        <item m="1" x="7215"/>
        <item m="1" x="158"/>
        <item m="1" x="1087"/>
        <item m="1" x="2018"/>
        <item m="1" x="2948"/>
        <item m="1" x="3875"/>
        <item m="1" x="4808"/>
        <item m="1" x="5734"/>
        <item m="1" x="6660"/>
        <item m="1" x="7587"/>
        <item m="1" x="534"/>
        <item m="1" x="1462"/>
        <item m="1" x="2394"/>
        <item m="1" x="3320"/>
        <item m="1" x="4252"/>
        <item m="1" x="5183"/>
        <item m="1" x="6109"/>
        <item m="1" x="7032"/>
        <item m="1" x="7961"/>
        <item m="1" x="905"/>
        <item m="1" x="1838"/>
        <item m="1" x="2767"/>
        <item m="1" x="3697"/>
        <item m="1" x="4627"/>
        <item m="1" x="5555"/>
        <item m="1" x="6480"/>
        <item m="1" x="7410"/>
        <item m="1" x="353"/>
        <item m="1" x="1280"/>
        <item m="1" x="2214"/>
        <item m="1" x="3142"/>
        <item m="1" x="4073"/>
        <item m="1" x="5005"/>
        <item m="1" x="5929"/>
        <item m="1" x="6856"/>
        <item m="1" x="7783"/>
        <item m="1" x="729"/>
        <item m="1" x="1659"/>
        <item m="1" x="2590"/>
        <item m="1" x="3515"/>
        <item m="1" x="4449"/>
        <item m="1" x="5376"/>
        <item m="1" x="6303"/>
        <item m="1" x="7233"/>
        <item m="1" x="175"/>
        <item m="1" x="1104"/>
        <item m="1" x="2035"/>
        <item m="1" x="3893"/>
        <item m="1" x="4825"/>
        <item m="1" x="5751"/>
        <item m="1" x="6677"/>
        <item m="1" x="7605"/>
        <item m="1" x="553"/>
        <item m="1" x="1481"/>
        <item m="1" x="2412"/>
        <item m="1" x="3338"/>
        <item m="1" x="4270"/>
        <item m="1" x="5201"/>
        <item m="1" x="6127"/>
        <item m="1" x="7050"/>
        <item m="1" x="7979"/>
        <item m="1" x="923"/>
        <item m="1" x="1856"/>
        <item m="1" x="2785"/>
        <item m="1" x="3714"/>
        <item m="1" x="4644"/>
        <item m="1" x="5573"/>
        <item m="1" x="6498"/>
        <item m="1" x="7428"/>
        <item m="1" x="372"/>
        <item m="1" x="1299"/>
        <item m="1" x="2231"/>
        <item m="1" x="3159"/>
        <item m="1" x="4091"/>
        <item m="1" x="5023"/>
        <item m="1" x="5946"/>
        <item m="1" x="6873"/>
        <item m="1" x="7801"/>
        <item m="1" x="747"/>
        <item m="1" x="1677"/>
        <item m="1" x="2607"/>
        <item m="1" x="3533"/>
        <item m="1" x="4466"/>
        <item m="1" x="5394"/>
        <item m="1" x="6321"/>
        <item m="1" x="7251"/>
        <item m="1" x="194"/>
        <item m="1" x="1122"/>
        <item m="1" x="2052"/>
        <item m="1" x="2983"/>
        <item m="1" x="3912"/>
        <item m="1" x="4843"/>
        <item m="1" x="5768"/>
        <item m="1" x="6696"/>
        <item m="1" x="7625"/>
        <item m="1" x="572"/>
        <item m="1" x="1499"/>
        <item m="1" x="2430"/>
        <item m="1" x="4289"/>
        <item m="1" x="5219"/>
        <item m="1" x="6145"/>
        <item m="1" x="7069"/>
        <item m="1" x="7998"/>
        <item m="1" x="941"/>
        <item m="1" x="1876"/>
        <item m="1" x="2805"/>
        <item m="1" x="3733"/>
        <item m="1" x="4663"/>
        <item m="1" x="5592"/>
        <item m="1" x="6518"/>
        <item m="1" x="7448"/>
        <item m="1" x="391"/>
        <item m="1" x="1319"/>
        <item m="1" x="2250"/>
        <item m="1" x="3179"/>
        <item m="1" x="4111"/>
        <item m="1" x="5043"/>
        <item m="1" x="5967"/>
        <item m="1" x="6893"/>
        <item m="1" x="7820"/>
        <item m="1" x="767"/>
        <item m="1" x="1696"/>
        <item m="1" x="2625"/>
        <item m="1" x="3552"/>
        <item m="1" x="4486"/>
        <item m="1" x="5415"/>
        <item m="1" x="6341"/>
        <item m="1" x="7270"/>
        <item m="1" x="213"/>
        <item m="1" x="1141"/>
        <item m="1" x="2073"/>
        <item m="1" x="3002"/>
        <item m="1" x="3933"/>
        <item m="1" x="4864"/>
        <item m="1" x="5788"/>
        <item m="1" x="6715"/>
        <item m="1" x="7644"/>
        <item m="1" x="591"/>
        <item m="1" x="1517"/>
        <item m="1" x="2448"/>
        <item m="1" x="3375"/>
        <item m="1" x="4308"/>
        <item m="1" x="5237"/>
        <item m="1" x="6161"/>
        <item m="1" x="7087"/>
        <item m="1" x="31"/>
        <item m="1" x="959"/>
        <item m="1" x="1894"/>
        <item m="1" x="2822"/>
        <item m="1" x="4681"/>
        <item m="1" x="5609"/>
        <item m="1" x="6535"/>
        <item m="1" x="7465"/>
        <item m="1" x="408"/>
        <item m="1" x="1336"/>
        <item m="1" x="2268"/>
        <item m="1" x="3198"/>
        <item m="1" x="4129"/>
        <item m="1" x="5060"/>
        <item m="1" x="5984"/>
        <item m="1" x="6911"/>
        <item m="1" x="7838"/>
        <item m="1" x="784"/>
        <item m="1" x="1715"/>
        <item m="1" x="2643"/>
        <item m="1" x="3570"/>
        <item m="1" x="4504"/>
        <item m="1" x="5434"/>
        <item m="1" x="6360"/>
        <item m="1" x="7288"/>
        <item m="1" x="231"/>
        <item m="1" x="1159"/>
        <item m="1" x="2091"/>
        <item m="1" x="3019"/>
        <item m="1" x="3950"/>
        <item m="1" x="4882"/>
        <item m="1" x="5806"/>
        <item m="1" x="6733"/>
        <item m="1" x="7662"/>
        <item m="1" x="608"/>
        <item m="1" x="1535"/>
        <item m="1" x="2466"/>
        <item m="1" x="3392"/>
        <item m="1" x="4326"/>
        <item m="1" x="5254"/>
        <item m="1" x="6178"/>
        <item m="1" x="7104"/>
        <item m="1" x="49"/>
        <item m="1" x="978"/>
        <item m="1" x="1911"/>
        <item m="1" x="2839"/>
        <item m="1" x="3768"/>
        <item m="1" x="4699"/>
        <item m="1" x="5626"/>
        <item m="1" x="6550"/>
        <item m="1" x="7483"/>
        <item m="1" x="426"/>
        <item m="1" x="1353"/>
        <item m="1" x="2284"/>
        <item m="1" x="3215"/>
        <item m="1" x="5077"/>
        <item m="1" x="6001"/>
        <item m="1" x="6928"/>
        <item m="1" x="7856"/>
        <item m="1" x="802"/>
        <item m="1" x="1732"/>
        <item m="1" x="2661"/>
        <item m="1" x="3589"/>
        <item m="1" x="4523"/>
        <item m="1" x="5452"/>
        <item m="1" x="6377"/>
        <item m="1" x="7306"/>
        <item m="1" x="249"/>
        <item m="1" x="1176"/>
        <item m="1" x="2110"/>
        <item m="1" x="3037"/>
        <item m="1" x="3968"/>
        <item m="1" x="4900"/>
        <item m="1" x="5825"/>
        <item m="1" x="6753"/>
        <item m="1" x="7681"/>
        <item m="1" x="626"/>
        <item m="1" x="1554"/>
        <item m="1" x="2485"/>
        <item m="1" x="3410"/>
        <item m="1" x="4344"/>
        <item m="1" x="5273"/>
        <item m="1" x="6197"/>
        <item m="1" x="7123"/>
        <item m="1" x="67"/>
        <item m="1" x="996"/>
        <item m="1" x="1929"/>
        <item m="1" x="2857"/>
        <item m="1" x="3787"/>
        <item m="1" x="4718"/>
        <item m="1" x="5646"/>
        <item m="1" x="6570"/>
        <item m="1" x="7502"/>
        <item m="1" x="446"/>
        <item m="1" x="1374"/>
        <item m="1" x="2305"/>
        <item m="1" x="3235"/>
        <item m="1" x="4166"/>
        <item m="1" x="5098"/>
        <item m="1" x="6021"/>
        <item m="1" x="6946"/>
        <item m="1" x="7876"/>
        <item m="1" x="821"/>
        <item m="1" x="1750"/>
        <item m="1" x="2678"/>
        <item m="1" x="3608"/>
        <item m="1" x="5470"/>
        <item m="1" x="6394"/>
        <item m="1" x="7323"/>
        <item m="1" x="267"/>
        <item m="1" x="1194"/>
        <item m="1" x="2127"/>
        <item m="1" x="3056"/>
        <item m="1" x="3987"/>
        <item m="1" x="4918"/>
        <item m="1" x="5842"/>
        <item m="1" x="6770"/>
        <item m="1" x="7699"/>
        <item m="1" x="644"/>
        <item m="1" x="1572"/>
        <item m="1" x="2504"/>
        <item m="1" x="3429"/>
        <item m="1" x="4363"/>
        <item m="1" x="5291"/>
        <item m="1" x="6216"/>
        <item m="1" x="7143"/>
        <item m="1" x="87"/>
        <item m="1" x="1016"/>
        <item m="1" x="1948"/>
        <item m="1" x="2876"/>
        <item m="1" x="3805"/>
        <item m="1" x="4736"/>
        <item m="1" x="5665"/>
        <item m="1" x="6588"/>
        <item m="1" x="7518"/>
        <item m="1" x="462"/>
        <item m="1" x="1391"/>
        <item m="1" x="2323"/>
        <item m="1" x="3252"/>
        <item m="1" x="4182"/>
        <item m="1" x="5114"/>
        <item m="1" x="6039"/>
        <item m="1" x="6963"/>
        <item m="1" x="7892"/>
        <item m="1" x="838"/>
        <item m="1" x="1768"/>
        <item m="1" x="2695"/>
        <item m="1" x="3624"/>
        <item m="1" x="4558"/>
        <item m="1" x="5487"/>
        <item m="1" x="6410"/>
        <item m="1" x="7338"/>
        <item m="1" x="284"/>
        <item m="1" x="1212"/>
        <item m="1" x="2144"/>
        <item m="1" x="3071"/>
        <item m="1" x="4004"/>
        <item m="1" x="5860"/>
        <item m="1" x="6787"/>
        <item m="1" x="7715"/>
        <item m="1" x="661"/>
        <item m="1" x="1589"/>
        <item m="1" x="2520"/>
        <item m="1" x="3446"/>
        <item m="1" x="4381"/>
        <item m="1" x="5309"/>
        <item m="1" x="6234"/>
        <item m="1" x="7161"/>
        <item m="1" x="107"/>
        <item m="1" x="1035"/>
        <item m="1" x="1966"/>
        <item m="1" x="2895"/>
        <item m="1" x="3825"/>
        <item m="1" x="4755"/>
        <item m="1" x="5683"/>
        <item m="1" x="6609"/>
        <item m="1" x="7538"/>
        <item m="1" x="481"/>
        <item m="1" x="1410"/>
        <item m="1" x="2343"/>
        <item m="1" x="3271"/>
        <item m="1" x="4200"/>
        <item m="1" x="5132"/>
        <item m="1" x="6058"/>
        <item m="1" x="6983"/>
        <item m="1" x="7910"/>
        <item m="1" x="856"/>
        <item m="1" x="1787"/>
        <item m="1" x="2716"/>
        <item m="1" x="3644"/>
        <item m="1" x="4578"/>
        <item m="1" x="5505"/>
        <item m="1" x="6431"/>
        <item m="1" x="7357"/>
        <item m="1" x="303"/>
        <item m="1" x="1231"/>
        <item m="1" x="2164"/>
        <item m="1" x="3089"/>
        <item m="1" x="4023"/>
        <item m="1" x="4955"/>
        <item m="1" x="5882"/>
        <item m="1" x="6807"/>
        <item m="1" x="7734"/>
        <item m="1" x="681"/>
        <item m="1" x="1611"/>
        <item m="1" x="2540"/>
        <item m="1" x="3466"/>
        <item m="1" x="4401"/>
        <item m="1" x="6254"/>
        <item m="1" x="7181"/>
        <item m="1" x="126"/>
        <item m="1" x="1055"/>
        <item m="1" x="1984"/>
        <item m="1" x="2914"/>
        <item m="1" x="3843"/>
        <item m="1" x="4775"/>
        <item m="1" x="5701"/>
        <item m="1" x="6627"/>
        <item m="1" x="7555"/>
        <item m="1" x="501"/>
        <item m="1" x="1429"/>
        <item m="1" x="2362"/>
        <item m="1" x="3289"/>
        <item m="1" x="4219"/>
        <item m="1" x="5150"/>
        <item m="1" x="6076"/>
        <item m="1" x="7001"/>
        <item m="1" x="7929"/>
        <item m="1" x="873"/>
        <item m="1" x="1805"/>
        <item m="1" x="2734"/>
        <item m="1" x="3663"/>
        <item m="1" x="4595"/>
        <item m="1" x="5522"/>
        <item m="1" x="6449"/>
        <item m="1" x="7376"/>
        <item m="1" x="320"/>
        <item m="1" x="1249"/>
        <item m="1" x="2183"/>
        <item m="1" x="3108"/>
        <item m="1" x="4041"/>
        <item m="1" x="4973"/>
        <item m="1" x="5899"/>
        <item m="1" x="6825"/>
        <item m="1" x="7751"/>
        <item m="1" x="698"/>
        <item m="1" x="1628"/>
        <item m="1" x="2558"/>
        <item m="1" x="3483"/>
        <item m="1" x="4417"/>
        <item m="1" x="5347"/>
        <item m="1" x="6272"/>
        <item m="1" x="7199"/>
        <item m="1" x="143"/>
        <item m="1" x="1072"/>
        <item m="1" x="2002"/>
        <item m="1" x="2932"/>
        <item m="1" x="3859"/>
        <item m="1" x="4793"/>
        <item m="1" x="6644"/>
        <item m="1" x="7572"/>
        <item m="1" x="518"/>
        <item m="1" x="1446"/>
        <item m="1" x="2379"/>
        <item m="1" x="3305"/>
        <item m="1" x="4237"/>
        <item m="1" x="5167"/>
        <item m="1" x="6093"/>
        <item m="1" x="7017"/>
        <item m="1" x="7945"/>
        <item m="1" x="890"/>
        <item m="1" x="1822"/>
        <item m="1" x="2750"/>
        <item m="1" x="3680"/>
        <item m="1" x="4611"/>
        <item m="1" x="5539"/>
        <item m="1" x="6465"/>
        <item m="1" x="7394"/>
        <item m="1" x="338"/>
        <item m="1" x="1265"/>
        <item m="1" x="2199"/>
        <item m="1" x="3126"/>
        <item m="1" x="4058"/>
        <item m="1" x="4990"/>
        <item m="1" x="5915"/>
        <item m="1" x="6842"/>
        <item m="1" x="7768"/>
        <item m="1" x="714"/>
        <item m="1" x="1644"/>
        <item m="1" x="2575"/>
        <item m="1" x="3500"/>
        <item m="1" x="4434"/>
        <item m="1" x="5363"/>
        <item m="1" x="6289"/>
        <item m="1" x="7217"/>
        <item m="1" x="160"/>
        <item m="1" x="1089"/>
        <item m="1" x="2020"/>
        <item m="1" x="2950"/>
        <item m="1" x="3877"/>
        <item m="1" x="4810"/>
        <item m="1" x="5736"/>
        <item m="1" x="6662"/>
        <item m="1" x="7589"/>
        <item m="1" x="536"/>
        <item m="1" x="1464"/>
        <item m="1" x="2396"/>
        <item m="1" x="3322"/>
        <item m="1" x="4255"/>
        <item m="1" x="5186"/>
        <item m="1" x="7035"/>
        <item m="1" x="7964"/>
        <item m="1" x="908"/>
        <item m="1" x="1841"/>
        <item m="1" x="2770"/>
        <item m="1" x="3700"/>
        <item m="1" x="4630"/>
        <item m="1" x="5558"/>
        <item m="1" x="6483"/>
        <item m="1" x="7413"/>
        <item m="1" x="356"/>
        <item m="1" x="1283"/>
        <item m="1" x="2217"/>
        <item m="1" x="3145"/>
        <item m="1" x="4076"/>
        <item m="1" x="5008"/>
        <item m="1" x="5932"/>
        <item m="1" x="6859"/>
        <item m="1" x="7786"/>
        <item m="1" x="732"/>
        <item m="1" x="1662"/>
        <item m="1" x="2593"/>
        <item m="1" x="3518"/>
        <item m="1" x="4451"/>
        <item m="1" x="5379"/>
        <item m="1" x="6306"/>
        <item m="1" x="7236"/>
        <item m="1" x="178"/>
        <item m="1" x="1107"/>
        <item m="1" x="2038"/>
        <item m="1" x="2968"/>
        <item m="1" x="3896"/>
        <item m="1" x="4828"/>
        <item m="1" x="5754"/>
        <item m="1" x="6680"/>
        <item m="1" x="7608"/>
        <item m="1" x="556"/>
        <item m="1" x="1484"/>
        <item m="1" x="2415"/>
        <item m="1" x="3341"/>
        <item m="1" x="4273"/>
        <item m="1" x="5204"/>
        <item m="1" x="6130"/>
        <item m="1" x="7053"/>
        <item m="1" x="7982"/>
        <item m="1" x="926"/>
        <item m="1" x="1859"/>
        <item m="1" x="2788"/>
        <item m="1" x="3717"/>
        <item m="1" x="4647"/>
        <item m="1" x="5576"/>
        <item m="1" x="7431"/>
        <item m="1" x="375"/>
        <item m="1" x="1302"/>
        <item m="1" x="2234"/>
        <item m="1" x="3162"/>
        <item m="1" x="4094"/>
        <item m="1" x="5026"/>
        <item m="1" x="5949"/>
        <item m="1" x="6876"/>
        <item m="1" x="7804"/>
        <item m="1" x="750"/>
        <item m="1" x="1680"/>
        <item m="1" x="2610"/>
        <item m="1" x="3536"/>
        <item m="1" x="4469"/>
        <item m="1" x="5397"/>
        <item m="1" x="6324"/>
        <item m="1" x="7254"/>
        <item m="1" x="197"/>
        <item m="1" x="1125"/>
        <item m="1" x="2055"/>
        <item m="1" x="2986"/>
        <item m="1" x="3915"/>
        <item m="1" x="4845"/>
        <item m="1" x="5771"/>
        <item m="1" x="6699"/>
        <item m="1" x="7628"/>
        <item m="1" x="574"/>
        <item m="1" x="1501"/>
        <item m="1" x="2432"/>
        <item m="1" x="3358"/>
        <item m="1" x="4291"/>
        <item m="1" x="5221"/>
        <item m="1" x="6147"/>
        <item m="1" x="7071"/>
        <item m="1" x="14"/>
        <item m="1" x="943"/>
        <item m="1" x="1878"/>
        <item m="1" x="2807"/>
        <item m="1" x="3735"/>
        <item m="1" x="4665"/>
        <item m="1" x="5594"/>
        <item m="1" x="6520"/>
        <item m="1" x="7450"/>
        <item m="1" x="393"/>
        <item m="1" x="1321"/>
        <item m="1" x="2252"/>
        <item m="1" x="3181"/>
        <item m="1" x="4113"/>
        <item m="1" x="5045"/>
        <item m="1" x="5969"/>
        <item m="1" x="7822"/>
        <item m="1" x="769"/>
        <item m="1" x="1698"/>
        <item m="1" x="2627"/>
        <item m="1" x="3554"/>
        <item m="1" x="4489"/>
        <item m="1" x="5418"/>
        <item m="1" x="6344"/>
        <item m="1" x="7273"/>
        <item m="1" x="216"/>
        <item m="1" x="1144"/>
        <item m="1" x="2076"/>
        <item m="1" x="3005"/>
        <item m="1" x="3936"/>
        <item m="1" x="4867"/>
        <item m="1" x="5791"/>
        <item m="1" x="6718"/>
        <item m="1" x="7647"/>
        <item m="1" x="594"/>
        <item m="1" x="1520"/>
        <item m="1" x="2451"/>
        <item m="1" x="3378"/>
        <item m="1" x="4311"/>
        <item m="1" x="5239"/>
        <item m="1" x="6164"/>
        <item m="1" x="7090"/>
        <item m="1" x="34"/>
        <item m="1" x="962"/>
        <item m="1" x="1897"/>
        <item m="1" x="2826"/>
        <item m="1" x="3754"/>
        <item m="1" x="4685"/>
        <item m="1" x="5612"/>
        <item m="1" x="6538"/>
        <item m="1" x="7468"/>
        <item m="1" x="411"/>
        <item m="1" x="1339"/>
        <item m="1" x="2271"/>
        <item m="1" x="3201"/>
        <item m="1" x="4132"/>
        <item m="1" x="5063"/>
        <item m="1" x="5987"/>
        <item m="1" x="6914"/>
        <item m="1" x="7841"/>
        <item m="1" x="787"/>
        <item m="1" x="1718"/>
        <item m="1" x="2646"/>
        <item m="1" x="3574"/>
        <item m="1" x="4507"/>
        <item m="1" x="5437"/>
        <item m="1" x="6363"/>
        <item m="1" x="234"/>
        <item m="1" x="1162"/>
        <item m="1" x="2094"/>
        <item m="1" x="3022"/>
        <item m="1" x="3953"/>
        <item m="1" x="4885"/>
        <item m="1" x="5809"/>
        <item m="1" x="6736"/>
        <item m="1" x="7665"/>
        <item m="1" x="611"/>
        <item m="1" x="1538"/>
        <item m="1" x="2470"/>
        <item m="1" x="3395"/>
        <item m="1" x="4329"/>
        <item m="1" x="5257"/>
        <item m="1" x="6180"/>
        <item m="1" x="7107"/>
        <item m="1" x="52"/>
        <item m="1" x="981"/>
        <item m="1" x="1914"/>
        <item m="1" x="2842"/>
        <item m="1" x="3771"/>
        <item m="1" x="4702"/>
        <item m="1" x="5628"/>
        <item m="1" x="6553"/>
        <item m="1" x="7486"/>
        <item m="1" x="429"/>
        <item m="1" x="1357"/>
        <item m="1" x="2287"/>
        <item m="1" x="3218"/>
        <item m="1" x="4149"/>
        <item m="1" x="5080"/>
        <item m="1" x="6004"/>
        <item m="1" x="6931"/>
        <item m="1" x="7859"/>
        <item m="1" x="804"/>
        <item m="1" x="1734"/>
        <item m="1" x="2663"/>
        <item m="1" x="3591"/>
        <item m="1" x="4525"/>
        <item m="1" x="5454"/>
        <item m="1" x="6379"/>
        <item m="1" x="7308"/>
        <item m="1" x="252"/>
        <item m="1" x="1178"/>
        <item m="1" x="2112"/>
        <item m="1" x="3039"/>
        <item m="1" x="3970"/>
        <item m="1" x="4902"/>
        <item m="1" x="5827"/>
        <item m="1" x="6755"/>
        <item m="1" x="628"/>
        <item m="1" x="1556"/>
        <item m="1" x="2487"/>
        <item m="1" x="3412"/>
        <item m="1" x="4346"/>
        <item m="1" x="5275"/>
        <item m="1" x="6199"/>
        <item m="1" x="7126"/>
        <item m="1" x="69"/>
        <item m="1" x="998"/>
        <item m="1" x="1931"/>
        <item m="1" x="2859"/>
        <item m="1" x="3789"/>
        <item m="1" x="4720"/>
        <item m="1" x="5648"/>
        <item m="1" x="6571"/>
        <item m="1" x="7228"/>
        <item m="1" x="7693"/>
        <item m="1" x="171"/>
        <item m="1" x="639"/>
        <item m="1" x="1100"/>
        <item m="1" x="1567"/>
        <item m="1" x="2032"/>
        <item m="1" x="2499"/>
        <item m="1" x="2961"/>
        <item m="1" x="3422"/>
        <item m="1" x="3888"/>
        <item m="1" x="4357"/>
        <item m="1" x="4821"/>
        <item m="1" x="5286"/>
        <item m="1" x="5747"/>
        <item m="1" x="6211"/>
        <item m="1" x="6673"/>
        <item m="1" x="7137"/>
        <item m="1" x="7601"/>
        <item m="1" x="82"/>
        <item m="1" x="549"/>
        <item m="1" x="1010"/>
        <item m="1" x="1476"/>
        <item m="1" x="1943"/>
        <item m="1" x="2407"/>
        <item m="1" x="2869"/>
        <item m="1" x="3333"/>
        <item m="1" x="3800"/>
        <item m="1" x="4266"/>
        <item m="1" x="4731"/>
        <item m="1" x="5197"/>
        <item m="1" x="5660"/>
        <item m="1" x="6122"/>
        <item m="1" x="6582"/>
        <item m="1" x="7046"/>
        <item m="1" x="7514"/>
        <item m="1" x="7975"/>
        <item m="1" x="457"/>
        <item m="1" x="919"/>
        <item m="1" x="1386"/>
        <item m="1" x="1850"/>
        <item m="1" x="2316"/>
        <item m="1" x="2780"/>
        <item m="1" x="3246"/>
        <item m="1" x="3710"/>
        <item m="1" x="4177"/>
        <item m="1" x="4640"/>
        <item m="1" x="5109"/>
        <item m="1" x="5568"/>
        <item m="1" x="6033"/>
        <item m="1" x="6494"/>
        <item m="1" x="6958"/>
        <item m="1" x="7424"/>
        <item m="1" x="7887"/>
        <item m="1" x="367"/>
        <item m="1" x="833"/>
        <item m="1" x="1292"/>
        <item m="1" x="1761"/>
        <item m="1" x="2689"/>
        <item m="1" x="3155"/>
        <item m="1" x="3619"/>
        <item m="1" x="4087"/>
        <item m="1" x="4553"/>
        <item m="1" x="5018"/>
        <item m="1" x="5481"/>
        <item m="1" x="5942"/>
        <item m="1" x="6405"/>
        <item m="1" x="6869"/>
        <item m="1" x="7334"/>
        <item m="1" x="7797"/>
        <item m="1" x="279"/>
        <item m="1" x="741"/>
        <item m="1" x="1205"/>
        <item m="1" x="1672"/>
        <item m="1" x="2138"/>
        <item m="1" x="2603"/>
        <item m="1" x="3066"/>
        <item m="1" x="3529"/>
        <item m="1" x="3999"/>
        <item m="1" x="4461"/>
        <item m="1" x="4930"/>
        <item m="1" x="5390"/>
        <item m="1" x="5855"/>
        <item m="1" x="6317"/>
        <item m="1" x="6782"/>
        <item m="1" x="7246"/>
        <item m="1" x="7710"/>
        <item m="1" x="188"/>
        <item m="1" x="655"/>
        <item m="1" x="1117"/>
        <item m="1" x="1583"/>
        <item m="1" x="2048"/>
        <item m="1" x="2515"/>
        <item m="1" x="2979"/>
        <item m="1" x="3441"/>
        <item m="1" x="3907"/>
        <item m="1" x="4375"/>
        <item m="1" x="4839"/>
        <item m="1" x="5303"/>
        <item m="1" x="5765"/>
        <item m="1" x="6228"/>
        <item m="1" x="6692"/>
        <item m="1" x="7155"/>
        <item m="1" x="7619"/>
        <item m="1" x="99"/>
        <item m="1" x="567"/>
        <item m="1" x="1028"/>
        <item m="1" x="1495"/>
        <item m="1" x="1960"/>
        <item m="1" x="2427"/>
        <item m="1" x="2889"/>
        <item m="1" x="3352"/>
        <item m="1" x="3818"/>
        <item m="1" x="4285"/>
        <item m="1" x="4749"/>
        <item m="1" x="5215"/>
        <item m="1" x="5677"/>
        <item m="1" x="6141"/>
        <item m="1" x="6601"/>
        <item m="1" x="7064"/>
        <item m="1" x="7530"/>
        <item m="1" x="7993"/>
        <item m="1" x="474"/>
        <item m="1" x="937"/>
        <item m="1" x="1404"/>
        <item m="1" x="1872"/>
        <item m="1" x="2337"/>
        <item m="1" x="2800"/>
        <item m="1" x="3264"/>
        <item m="1" x="3729"/>
        <item m="1" x="4195"/>
        <item m="1" x="4659"/>
        <item m="1" x="5126"/>
        <item m="1" x="5588"/>
        <item m="1" x="6052"/>
        <item m="1" x="6512"/>
        <item m="1" x="6975"/>
        <item m="1" x="7443"/>
        <item m="1" x="7904"/>
        <item m="1" x="387"/>
        <item m="1" x="851"/>
        <item m="1" x="1315"/>
        <item m="1" x="1781"/>
        <item m="1" x="2245"/>
        <item m="1" x="2709"/>
        <item m="1" x="3175"/>
        <item m="1" x="3638"/>
        <item m="1" x="4107"/>
        <item m="1" x="4572"/>
        <item m="1" x="5038"/>
        <item m="1" x="5499"/>
        <item m="1" x="5961"/>
        <item m="1" x="6423"/>
        <item m="1" x="6888"/>
        <item m="1" x="7350"/>
        <item m="1" x="7816"/>
        <item m="1" x="297"/>
        <item m="1" x="763"/>
        <item m="1" x="1225"/>
        <item m="1" x="1691"/>
        <item m="1" x="2157"/>
        <item m="1" x="3083"/>
        <item m="1" x="3548"/>
        <item m="1" x="4016"/>
        <item m="1" x="4482"/>
        <item m="1" x="4948"/>
        <item m="1" x="5409"/>
        <item m="1" x="5873"/>
        <item m="1" x="6336"/>
        <item m="1" x="6799"/>
        <item m="1" x="7266"/>
        <item m="1" x="7728"/>
        <item m="1" x="209"/>
        <item m="1" x="674"/>
        <item m="1" x="1136"/>
        <item m="1" x="1603"/>
        <item m="1" x="2069"/>
        <item m="1" x="2533"/>
        <item m="1" x="2998"/>
        <item m="1" x="3458"/>
        <item m="1" x="3928"/>
        <item m="1" x="4394"/>
        <item m="1" x="4857"/>
        <item m="1" x="5322"/>
        <item m="1" x="5783"/>
        <item m="1" x="6246"/>
        <item m="1" x="6711"/>
        <item m="1" x="7174"/>
        <item m="1" x="7640"/>
        <item m="1" x="119"/>
        <item m="1" x="586"/>
        <item m="1" x="1047"/>
        <item m="1" x="1513"/>
        <item m="1" x="1977"/>
        <item m="1" x="2444"/>
        <item m="1" x="2907"/>
        <item m="1" x="3371"/>
        <item m="1" x="3836"/>
        <item m="1" x="4302"/>
        <item m="1" x="4766"/>
        <item m="1" x="5232"/>
        <item m="1" x="5693"/>
        <item m="1" x="6158"/>
        <item m="1" x="6620"/>
        <item m="1" x="7083"/>
        <item m="1" x="7548"/>
        <item m="1" x="26"/>
        <item m="1" x="493"/>
        <item m="1" x="955"/>
        <item m="1" x="1422"/>
        <item m="1" x="1890"/>
        <item m="1" x="2355"/>
        <item m="1" x="2819"/>
        <item m="1" x="3282"/>
        <item m="1" x="3746"/>
        <item m="1" x="4210"/>
        <item m="1" x="4676"/>
        <item m="1" x="5142"/>
        <item m="1" x="5605"/>
        <item m="1" x="6069"/>
        <item m="1" x="6531"/>
        <item m="1" x="6994"/>
        <item m="1" x="7461"/>
        <item m="1" x="7921"/>
        <item m="1" x="404"/>
        <item m="1" x="866"/>
        <item m="1" x="1332"/>
        <item m="1" x="1798"/>
        <item m="1" x="2264"/>
        <item m="1" x="2727"/>
        <item m="1" x="3192"/>
        <item m="1" x="3655"/>
        <item m="1" x="4124"/>
        <item m="1" x="4588"/>
        <item m="1" x="5056"/>
        <item m="1" x="5515"/>
        <item m="1" x="5980"/>
        <item m="1" x="6442"/>
        <item m="1" x="6906"/>
        <item m="1" x="7369"/>
        <item m="1" x="7834"/>
        <item m="1" x="314"/>
        <item m="1" x="780"/>
        <item m="1" x="1242"/>
        <item m="1" x="1710"/>
        <item m="1" x="2175"/>
        <item m="1" x="2637"/>
        <item m="1" x="3100"/>
        <item m="1" x="3565"/>
        <item m="1" x="4033"/>
        <item m="1" x="4500"/>
        <item m="1" x="4966"/>
        <item m="1" x="5430"/>
        <item m="1" x="5892"/>
        <item m="1" x="6355"/>
        <item m="1" x="6818"/>
        <item m="1" x="7284"/>
        <item m="1" x="7744"/>
        <item m="1" x="227"/>
        <item m="1" x="691"/>
        <item m="1" x="1155"/>
        <item m="1" x="1621"/>
        <item m="1" x="2085"/>
        <item m="1" x="2550"/>
        <item m="1" x="3475"/>
        <item m="1" x="3946"/>
        <item m="1" x="4410"/>
        <item m="1" x="4878"/>
        <item m="1" x="5340"/>
        <item m="1" x="5801"/>
        <item m="1" x="6265"/>
        <item m="1" x="6729"/>
        <item m="1" x="7192"/>
        <item m="1" x="7658"/>
        <item m="1" x="137"/>
        <item m="1" x="604"/>
        <item m="1" x="1065"/>
        <item m="1" x="1529"/>
        <item m="1" x="1994"/>
        <item m="1" x="2461"/>
        <item m="1" x="2924"/>
        <item m="1" x="3388"/>
        <item m="1" x="3852"/>
        <item m="1" x="4322"/>
        <item m="1" x="4786"/>
        <item m="1" x="5249"/>
        <item m="1" x="5711"/>
        <item m="1" x="6174"/>
        <item m="1" x="6637"/>
        <item m="1" x="7100"/>
        <item m="1" x="7565"/>
        <item m="1" x="45"/>
        <item m="1" x="511"/>
        <item m="1" x="972"/>
        <item m="1" x="1439"/>
        <item m="1" x="1907"/>
        <item m="1" x="2372"/>
        <item m="1" x="2836"/>
        <item m="1" x="3299"/>
        <item m="1" x="3765"/>
        <item m="1" x="4231"/>
        <item m="1" x="4695"/>
        <item m="1" x="5161"/>
        <item m="1" x="5623"/>
        <item m="1" x="6087"/>
        <item m="1" x="6548"/>
        <item m="1" x="7011"/>
        <item m="1" x="7479"/>
        <item m="1" x="7939"/>
        <item m="1" x="421"/>
        <item m="1" x="883"/>
        <item m="1" x="1349"/>
        <item m="1" x="1815"/>
        <item m="1" x="2281"/>
        <item m="1" x="2744"/>
        <item m="1" x="3212"/>
        <item m="1" x="3674"/>
        <item m="1" x="4143"/>
        <item m="1" x="4605"/>
        <item m="1" x="5074"/>
        <item m="1" x="5533"/>
        <item m="1" x="5998"/>
        <item m="1" x="6459"/>
        <item m="1" x="6925"/>
        <item m="1" x="7388"/>
        <item m="1" x="7852"/>
        <item m="1" x="331"/>
        <item m="1" x="798"/>
        <item m="1" x="1260"/>
        <item m="1" x="1729"/>
        <item m="1" x="2194"/>
        <item m="1" x="2658"/>
        <item m="1" x="3121"/>
        <item m="1" x="3585"/>
        <item m="1" x="4053"/>
        <item m="1" x="4520"/>
        <item m="1" x="4986"/>
        <item m="1" x="5449"/>
        <item m="1" x="5910"/>
        <item m="1" x="6374"/>
        <item m="1" x="6837"/>
        <item m="1" x="7301"/>
        <item m="1" x="7762"/>
        <item m="1" x="245"/>
        <item m="1" x="709"/>
        <item m="1" x="1173"/>
        <item m="1" x="1640"/>
        <item m="1" x="2107"/>
        <item m="1" x="2571"/>
        <item m="1" x="3033"/>
        <item m="1" x="3495"/>
        <item m="1" x="3965"/>
        <item m="1" x="4429"/>
        <item m="1" x="4897"/>
        <item m="1" x="5358"/>
        <item m="1" x="5822"/>
        <item m="1" x="6284"/>
        <item m="1" x="6748"/>
        <item m="1" x="7211"/>
        <item m="1" x="7677"/>
        <item m="1" x="155"/>
        <item m="1" x="623"/>
        <item m="1" x="1084"/>
        <item m="1" x="1551"/>
        <item m="1" x="2015"/>
        <item m="1" x="2481"/>
        <item m="1" x="2945"/>
        <item m="1" x="3872"/>
        <item m="1" x="4341"/>
        <item m="1" x="4804"/>
        <item m="1" x="5270"/>
        <item m="1" x="5730"/>
        <item m="1" x="6192"/>
        <item m="1" x="6656"/>
        <item m="1" x="7119"/>
        <item m="1" x="7584"/>
        <item m="1" x="64"/>
        <item m="1" x="531"/>
        <item m="1" x="993"/>
        <item m="1" x="1459"/>
        <item m="1" x="1925"/>
        <item m="1" x="2391"/>
        <item m="1" x="2854"/>
        <item m="1" x="3317"/>
        <item m="1" x="3783"/>
        <item m="1" x="4249"/>
        <item m="1" x="4714"/>
        <item m="1" x="5180"/>
        <item m="1" x="5640"/>
        <item m="1" x="6105"/>
        <item m="1" x="6565"/>
        <item m="1" x="7029"/>
        <item m="1" x="7498"/>
        <item m="1" x="7958"/>
        <item m="1" x="442"/>
        <item m="1" x="902"/>
        <item m="1" x="1369"/>
        <item m="1" x="1835"/>
        <item m="1" x="2301"/>
        <item m="1" x="2764"/>
        <item m="1" x="3231"/>
        <item m="1" x="3694"/>
        <item m="1" x="4162"/>
        <item m="1" x="4624"/>
        <item m="1" x="5092"/>
        <item m="1" x="5551"/>
        <item m="1" x="6016"/>
        <item m="1" x="6477"/>
        <item m="1" x="6943"/>
        <item m="1" x="7407"/>
        <item m="1" x="7872"/>
        <item m="1" x="350"/>
        <item m="1" x="816"/>
        <item m="1" x="1277"/>
        <item m="1" x="1746"/>
        <item m="1" x="2211"/>
        <item m="1" x="2674"/>
        <item m="1" x="3139"/>
        <item m="1" x="3604"/>
        <item m="1" x="4070"/>
        <item m="1" x="4536"/>
        <item m="1" x="5001"/>
        <item m="1" x="5465"/>
        <item m="1" x="5926"/>
        <item m="1" x="6390"/>
        <item m="1" x="6853"/>
        <item m="1" x="7319"/>
        <item m="1" x="7780"/>
        <item m="1" x="263"/>
        <item m="1" x="726"/>
        <item m="1" x="1190"/>
        <item m="1" x="1656"/>
        <item m="1" x="2123"/>
        <item m="1" x="2587"/>
        <item m="1" x="3051"/>
        <item m="1" x="3512"/>
        <item m="1" x="3981"/>
        <item m="1" x="4445"/>
        <item m="1" x="4913"/>
        <item m="1" x="5374"/>
        <item m="1" x="5838"/>
        <item m="1" x="6300"/>
        <item m="1" x="6766"/>
        <item m="1" x="7230"/>
        <item m="1" x="7694"/>
        <item m="1" x="172"/>
        <item m="1" x="640"/>
        <item m="1" x="1101"/>
        <item m="1" x="1568"/>
        <item m="1" x="2033"/>
        <item m="1" x="2500"/>
        <item m="1" x="2963"/>
        <item m="1" x="3423"/>
        <item m="1" x="3889"/>
        <item m="1" x="4358"/>
        <item m="1" x="4822"/>
        <item m="1" x="5287"/>
        <item m="1" x="5748"/>
        <item m="1" x="6212"/>
        <item m="1" x="6674"/>
        <item m="1" x="7138"/>
        <item m="1" x="7602"/>
        <item m="1" x="83"/>
        <item m="1" x="550"/>
        <item m="1" x="1011"/>
        <item m="1" x="1478"/>
        <item m="1" x="1944"/>
        <item m="1" x="2409"/>
        <item m="1" x="2870"/>
        <item m="1" x="3334"/>
        <item m="1" x="4267"/>
        <item m="1" x="4732"/>
        <item m="1" x="5198"/>
        <item m="1" x="5661"/>
        <item m="1" x="6124"/>
        <item m="1" x="6583"/>
        <item m="1" x="7047"/>
        <item m="1" x="7515"/>
        <item m="1" x="7976"/>
        <item m="1" x="458"/>
        <item m="1" x="920"/>
        <item m="1" x="1387"/>
        <item m="1" x="1852"/>
        <item m="1" x="2317"/>
        <item m="1" x="2781"/>
        <item m="1" x="3247"/>
        <item m="1" x="3711"/>
        <item m="1" x="4178"/>
        <item m="1" x="4641"/>
        <item m="1" x="5110"/>
        <item m="1" x="5570"/>
        <item m="1" x="6034"/>
        <item m="1" x="6495"/>
        <item m="1" x="6959"/>
        <item m="1" x="7425"/>
        <item m="1" x="7888"/>
        <item m="1" x="368"/>
        <item m="1" x="834"/>
        <item m="1" x="1294"/>
        <item m="1" x="1762"/>
        <item m="1" x="2227"/>
        <item m="1" x="2690"/>
        <item m="1" x="3156"/>
        <item m="1" x="3620"/>
        <item m="1" x="4088"/>
        <item m="1" x="4554"/>
        <item m="1" x="5020"/>
        <item m="1" x="5482"/>
        <item m="1" x="5943"/>
        <item m="1" x="6406"/>
        <item m="1" x="6870"/>
        <item m="1" x="7335"/>
        <item m="1" x="7798"/>
        <item m="1" x="280"/>
        <item m="1" x="743"/>
        <item m="1" x="1206"/>
        <item m="1" x="1673"/>
        <item m="1" x="2139"/>
        <item m="1" x="2604"/>
        <item m="1" x="3067"/>
        <item m="1" x="3530"/>
        <item m="1" x="4000"/>
        <item m="1" x="4463"/>
        <item m="1" x="4931"/>
        <item m="1" x="5391"/>
        <item m="1" x="5856"/>
        <item m="1" x="6318"/>
        <item m="1" x="6783"/>
        <item m="1" x="7248"/>
        <item m="1" x="7711"/>
        <item m="1" x="190"/>
        <item m="1" x="656"/>
        <item m="1" x="1118"/>
        <item m="1" x="1584"/>
        <item m="1" x="2049"/>
        <item m="1" x="2516"/>
        <item m="1" x="2980"/>
        <item m="1" x="3442"/>
        <item m="1" x="3909"/>
        <item m="1" x="4376"/>
        <item m="1" x="4840"/>
        <item m="1" x="5304"/>
        <item m="1" x="5766"/>
        <item m="1" x="6229"/>
        <item m="1" x="6693"/>
        <item m="1" x="7156"/>
        <item m="1" x="7621"/>
        <item m="1" x="100"/>
        <item m="1" x="568"/>
        <item m="1" x="1029"/>
        <item m="1" x="1496"/>
        <item m="1" x="1961"/>
        <item m="1" x="2428"/>
        <item m="1" x="2890"/>
        <item m="1" x="3354"/>
        <item m="1" x="3819"/>
        <item m="1" x="4286"/>
        <item m="1" x="4750"/>
        <item m="1" x="5216"/>
        <item m="1" x="5678"/>
        <item m="1" x="6142"/>
        <item m="1" x="6602"/>
        <item m="1" x="7065"/>
        <item m="1" x="7531"/>
        <item m="1" x="7994"/>
        <item m="1" x="475"/>
        <item m="1" x="938"/>
        <item m="1" x="1405"/>
        <item m="1" x="1873"/>
        <item m="1" x="2338"/>
        <item m="1" x="2802"/>
        <item m="1" x="3265"/>
        <item m="1" x="3730"/>
        <item m="1" x="4660"/>
        <item m="1" x="5127"/>
        <item m="1" x="5589"/>
        <item m="1" x="6053"/>
        <item m="1" x="6514"/>
        <item m="1" x="6976"/>
        <item m="1" x="7444"/>
        <item m="1" x="7905"/>
        <item m="1" x="388"/>
        <item m="1" x="852"/>
        <item m="1" x="1316"/>
        <item m="1" x="1782"/>
        <item m="1" x="2247"/>
        <item m="1" x="2710"/>
        <item m="1" x="3176"/>
        <item m="1" x="3639"/>
        <item m="1" x="4108"/>
        <item m="1" x="4573"/>
        <item m="1" x="5040"/>
        <item m="1" x="5500"/>
        <item m="1" x="5963"/>
        <item m="1" x="6424"/>
        <item m="1" x="6889"/>
        <item m="1" x="7351"/>
        <item m="1" x="7817"/>
        <item m="1" x="298"/>
        <item m="1" x="764"/>
        <item m="1" x="1226"/>
        <item m="1" x="1693"/>
        <item m="1" x="2158"/>
        <item m="1" x="2622"/>
        <item m="1" x="3084"/>
        <item m="1" x="3549"/>
        <item m="1" x="4017"/>
        <item m="1" x="4483"/>
        <item m="1" x="4949"/>
        <item m="1" x="5411"/>
        <item m="1" x="5874"/>
        <item m="1" x="6337"/>
        <item m="1" x="6800"/>
        <item m="1" x="7267"/>
        <item m="1" x="7729"/>
        <item m="1" x="210"/>
        <item m="1" x="675"/>
        <item m="1" x="1138"/>
        <item m="1" x="1604"/>
        <item m="1" x="2070"/>
        <item m="1" x="2534"/>
        <item m="1" x="2999"/>
        <item m="1" x="3459"/>
        <item m="1" x="3929"/>
        <item m="1" x="4395"/>
        <item m="1" x="4859"/>
        <item m="1" x="5323"/>
        <item m="1" x="5784"/>
        <item m="1" x="6247"/>
        <item m="1" x="6712"/>
        <item m="1" x="7175"/>
        <item m="1" x="7641"/>
        <item m="1" x="120"/>
        <item m="1" x="588"/>
        <item m="1" x="1048"/>
        <item m="1" x="1514"/>
        <item m="1" x="1978"/>
        <item m="1" x="2445"/>
        <item m="1" x="2908"/>
        <item m="1" x="3372"/>
        <item m="1" x="3837"/>
        <item m="1" x="4304"/>
        <item m="1" x="4767"/>
        <item m="1" x="5233"/>
        <item m="1" x="5694"/>
        <item m="1" x="6159"/>
        <item m="1" x="6621"/>
        <item m="1" x="7084"/>
        <item m="1" x="7549"/>
        <item m="1" x="28"/>
        <item m="1" x="494"/>
        <item m="1" x="956"/>
        <item m="1" x="1423"/>
        <item m="1" x="1891"/>
        <item m="1" x="2356"/>
        <item m="1" x="2820"/>
        <item m="1" x="3283"/>
        <item m="1" x="3748"/>
        <item m="1" x="4211"/>
        <item m="1" x="4677"/>
        <item m="1" x="5143"/>
        <item m="1" x="5606"/>
        <item m="1" x="6070"/>
        <item m="1" x="6532"/>
        <item m="1" x="6995"/>
        <item m="1" x="7462"/>
        <item m="1" x="7922"/>
        <item m="1" x="405"/>
        <item m="1" x="867"/>
        <item m="1" x="1333"/>
        <item m="1" x="1799"/>
        <item m="1" x="2265"/>
        <item m="1" x="2728"/>
        <item m="1" x="3194"/>
        <item m="1" x="3656"/>
        <item m="1" x="4125"/>
        <item m="1" x="5057"/>
        <item m="1" x="5516"/>
        <item m="1" x="5981"/>
        <item m="1" x="6443"/>
        <item m="1" x="6908"/>
        <item m="1" x="7370"/>
        <item m="1" x="7835"/>
        <item m="1" x="315"/>
        <item m="1" x="781"/>
        <item m="1" x="1243"/>
        <item m="1" x="1711"/>
        <item m="1" x="2176"/>
        <item m="1" x="2639"/>
        <item m="1" x="3101"/>
        <item m="1" x="3566"/>
        <item m="1" x="4034"/>
        <item m="1" x="4501"/>
        <item m="1" x="4967"/>
        <item m="1" x="5431"/>
        <item m="1" x="5893"/>
        <item m="1" x="6357"/>
        <item m="1" x="6819"/>
        <item m="1" x="7285"/>
        <item m="1" x="7745"/>
        <item m="1" x="228"/>
        <item m="1" x="692"/>
        <item m="1" x="1156"/>
        <item m="1" x="1622"/>
        <item m="1" x="2087"/>
        <item m="1" x="2551"/>
        <item m="1" x="3015"/>
        <item m="1" x="3476"/>
        <item m="1" x="3947"/>
        <item m="1" x="4411"/>
        <item m="1" x="4879"/>
        <item m="1" x="5341"/>
        <item m="1" x="5803"/>
        <item m="1" x="6266"/>
        <item m="1" x="6730"/>
        <item m="1" x="7193"/>
        <item m="1" x="7659"/>
        <item m="1" x="138"/>
        <item m="1" x="605"/>
        <item m="1" x="1066"/>
        <item m="1" x="1531"/>
        <item m="1" x="1995"/>
        <item m="1" x="2462"/>
        <item m="1" x="2925"/>
        <item m="1" x="3389"/>
        <item m="1" x="3853"/>
        <item m="1" x="4323"/>
        <item m="1" x="4787"/>
        <item m="1" x="5251"/>
        <item m="1" x="5712"/>
        <item m="1" x="6175"/>
        <item m="1" x="6638"/>
        <item m="1" x="7101"/>
        <item m="1" x="7566"/>
        <item m="1" x="46"/>
        <item m="1" x="512"/>
        <item m="1" x="974"/>
        <item m="1" x="1440"/>
        <item m="1" x="1908"/>
        <item m="1" x="2373"/>
        <item m="1" x="2837"/>
        <item m="1" x="3300"/>
        <item m="1" x="3766"/>
        <item m="1" x="4232"/>
        <item m="1" x="4697"/>
        <item m="1" x="5162"/>
        <item m="1" x="5624"/>
        <item m="1" x="6088"/>
        <item m="1" x="6549"/>
        <item m="1" x="7012"/>
        <item m="1" x="7480"/>
        <item m="1" x="7940"/>
        <item m="1" x="423"/>
        <item m="1" x="884"/>
        <item m="1" x="1350"/>
        <item m="1" x="1816"/>
        <item m="1" x="2282"/>
        <item m="1" x="2745"/>
        <item m="1" x="3213"/>
        <item m="1" x="3675"/>
        <item m="1" x="4145"/>
        <item m="1" x="4606"/>
        <item m="1" x="5075"/>
        <item m="1" x="5534"/>
        <item m="1" x="5999"/>
        <item m="1" x="6460"/>
        <item m="1" x="6926"/>
        <item m="1" x="7389"/>
        <item m="1" x="7853"/>
        <item m="1" x="332"/>
        <item m="1" x="799"/>
        <item m="1" x="1261"/>
        <item m="1" x="1730"/>
        <item m="1" x="2195"/>
        <item m="1" x="2659"/>
        <item m="1" x="3122"/>
        <item m="1" x="3587"/>
        <item m="1" x="4054"/>
        <item m="1" x="4521"/>
        <item m="1" x="5450"/>
        <item m="1" x="5911"/>
        <item m="1" x="6375"/>
        <item m="1" x="6838"/>
        <item m="1" x="7303"/>
        <item m="1" x="7763"/>
        <item m="1" x="246"/>
        <item m="1" x="710"/>
        <item m="1" x="1174"/>
        <item m="1" x="1641"/>
        <item m="1" x="2108"/>
        <item m="1" x="2572"/>
        <item m="1" x="3035"/>
        <item m="1" x="3496"/>
        <item m="1" x="3966"/>
        <item m="1" x="4430"/>
        <item m="1" x="4898"/>
        <item m="1" x="5359"/>
        <item m="1" x="5823"/>
        <item m="1" x="6285"/>
        <item m="1" x="6750"/>
        <item m="1" x="7212"/>
        <item m="1" x="7678"/>
        <item m="1" x="156"/>
        <item m="1" x="624"/>
        <item m="1" x="1085"/>
        <item m="1" x="1552"/>
        <item m="1" x="2016"/>
        <item m="1" x="2483"/>
        <item m="1" x="2946"/>
        <item m="1" x="3408"/>
        <item m="1" x="3873"/>
        <item m="1" x="4342"/>
        <item m="1" x="4805"/>
        <item m="1" x="5271"/>
        <item m="1" x="5731"/>
        <item m="1" x="6194"/>
        <item m="1" x="6657"/>
        <item m="1" x="7120"/>
        <item m="1" x="7585"/>
        <item m="1" x="65"/>
        <item m="1" x="532"/>
        <item m="1" x="994"/>
        <item m="1" x="1460"/>
        <item m="1" x="1927"/>
        <item m="1" x="2392"/>
        <item m="1" x="2855"/>
        <item m="1" x="3318"/>
        <item m="1" x="3784"/>
        <item m="1" x="4250"/>
        <item m="1" x="4715"/>
        <item m="1" x="5181"/>
        <item m="1" x="5642"/>
        <item m="1" x="6106"/>
        <item m="1" x="6566"/>
        <item m="1" x="7030"/>
        <item m="1" x="7499"/>
        <item m="1" x="7959"/>
        <item m="1" x="443"/>
        <item m="1" x="903"/>
        <item m="1" x="1371"/>
        <item m="1" x="1836"/>
        <item m="1" x="2302"/>
        <item m="1" x="2765"/>
        <item m="1" x="3232"/>
        <item m="1" x="3695"/>
        <item m="1" x="4163"/>
        <item m="1" x="4625"/>
        <item m="1" x="5094"/>
        <item m="1" x="5552"/>
        <item m="1" x="6017"/>
        <item m="1" x="6478"/>
        <item m="1" x="6944"/>
        <item m="1" x="7408"/>
        <item m="1" x="7873"/>
        <item m="1" x="351"/>
        <item m="1" x="818"/>
        <item m="1" x="1278"/>
        <item m="1" x="1747"/>
        <item m="1" x="2212"/>
        <item m="1" x="2675"/>
        <item m="1" x="3140"/>
        <item m="1" x="3605"/>
        <item m="1" x="4071"/>
        <item m="1" x="4538"/>
        <item m="1" x="5002"/>
        <item m="1" x="5466"/>
        <item m="1" x="5927"/>
        <item m="1" x="6391"/>
        <item m="1" x="6854"/>
        <item m="1" x="7320"/>
        <item m="1" x="7781"/>
        <item m="1" x="264"/>
        <item m="1" x="727"/>
        <item m="1" x="1191"/>
        <item m="1" x="1657"/>
        <item m="1" x="2124"/>
        <item m="1" x="2588"/>
        <item m="1" x="3052"/>
        <item m="1" x="3513"/>
        <item m="1" x="3983"/>
        <item m="1" x="4446"/>
        <item m="1" x="4914"/>
        <item m="1" x="5839"/>
        <item m="1" x="6301"/>
        <item m="1" x="6767"/>
        <item m="1" x="7231"/>
        <item m="1" x="7696"/>
        <item m="1" x="173"/>
        <item m="1" x="641"/>
        <item m="1" x="1102"/>
        <item m="1" x="1569"/>
        <item m="1" x="2034"/>
        <item m="1" x="2501"/>
        <item m="1" x="2964"/>
        <item m="1" x="3425"/>
        <item m="1" x="3890"/>
        <item m="1" x="4359"/>
        <item m="1" x="4823"/>
        <item m="1" x="5288"/>
        <item m="1" x="5749"/>
        <item m="1" x="6213"/>
        <item m="1" x="6675"/>
        <item m="1" x="7140"/>
        <item m="1" x="7603"/>
        <item m="1" x="84"/>
        <item m="1" x="551"/>
        <item m="1" x="1013"/>
        <item m="1" x="1479"/>
        <item m="1" x="1945"/>
        <item m="1" x="2410"/>
        <item m="1" x="2872"/>
        <item m="1" x="3335"/>
        <item m="1" x="3801"/>
        <item m="1" x="4268"/>
        <item m="1" x="4733"/>
        <item m="1" x="5199"/>
        <item m="1" x="5662"/>
        <item m="1" x="6125"/>
        <item m="1" x="6585"/>
        <item m="1" x="7048"/>
        <item m="1" x="7516"/>
        <item m="1" x="7977"/>
        <item m="1" x="459"/>
        <item m="1" x="921"/>
        <item m="1" x="1388"/>
        <item m="1" x="1853"/>
        <item m="1" x="2319"/>
        <item m="1" x="2782"/>
        <item m="1" x="3248"/>
        <item m="1" x="3712"/>
        <item m="1" x="4179"/>
        <item m="1" x="4642"/>
        <item m="1" x="5111"/>
        <item m="1" x="5571"/>
        <item m="1" x="6036"/>
        <item m="1" x="6496"/>
        <item m="1" x="6960"/>
        <item m="1" x="7426"/>
        <item m="1" x="7889"/>
        <item m="1" x="369"/>
        <item m="1" x="835"/>
        <item m="1" x="1295"/>
        <item m="1" x="1764"/>
        <item m="1" x="2228"/>
        <item m="1" x="2691"/>
        <item m="1" x="3157"/>
        <item m="1" x="3621"/>
        <item m="1" x="4089"/>
        <item m="1" x="4555"/>
        <item m="1" x="5021"/>
        <item m="1" x="5484"/>
        <item m="1" x="5944"/>
        <item m="1" x="6407"/>
        <item m="1" x="6871"/>
        <item m="1" x="7336"/>
        <item m="1" x="7799"/>
        <item m="1" x="281"/>
        <item m="1" x="744"/>
        <item m="1" x="1208"/>
        <item m="1" x="1674"/>
        <item m="1" x="2140"/>
        <item m="1" x="2605"/>
        <item m="1" x="3068"/>
        <item m="1" x="3531"/>
        <item m="1" x="4001"/>
        <item m="1" x="4464"/>
        <item m="1" x="4933"/>
        <item m="1" x="5392"/>
        <item m="1" x="5857"/>
        <item m="1" x="6319"/>
        <item m="1" x="6784"/>
        <item m="1" x="7249"/>
        <item m="1" x="7712"/>
        <item m="1" x="191"/>
        <item m="1" x="657"/>
        <item m="1" x="1119"/>
        <item m="1" x="1585"/>
        <item m="1" x="2050"/>
        <item m="1" x="2517"/>
        <item m="1" x="2981"/>
        <item m="1" x="3443"/>
        <item m="1" x="3910"/>
        <item m="1" x="4378"/>
        <item m="1" x="4841"/>
        <item m="1" x="5305"/>
        <item m="1" x="6230"/>
        <item m="1" x="6694"/>
        <item m="1" x="7157"/>
        <item m="1" x="7622"/>
        <item m="1" x="102"/>
        <item m="1" x="569"/>
        <item m="1" x="1030"/>
        <item m="1" x="1497"/>
        <item m="1" x="1962"/>
        <item m="1" x="2429"/>
        <item m="1" x="2891"/>
        <item m="1" x="3355"/>
        <item m="1" x="3821"/>
        <item m="1" x="4287"/>
        <item m="1" x="4751"/>
        <item m="1" x="5217"/>
        <item m="1" x="5679"/>
        <item m="1" x="6143"/>
        <item m="1" x="6603"/>
        <item m="1" x="7066"/>
        <item m="1" x="7533"/>
        <item m="1" x="7995"/>
        <item m="1" x="476"/>
        <item m="1" x="939"/>
        <item m="1" x="1406"/>
        <item m="1" x="1874"/>
        <item m="1" x="2339"/>
        <item m="1" x="2803"/>
        <item m="1" x="3267"/>
        <item m="1" x="3731"/>
        <item m="1" x="4196"/>
        <item m="1" x="4661"/>
        <item m="1" x="5128"/>
        <item m="1" x="5590"/>
        <item m="1" x="6054"/>
        <item m="1" x="6515"/>
        <item m="1" x="6978"/>
        <item m="1" x="7445"/>
        <item m="1" x="7906"/>
        <item m="1" x="389"/>
        <item m="1" x="1317"/>
        <item m="1" x="1783"/>
        <item m="1" x="2248"/>
        <item m="1" x="2712"/>
        <item m="1" x="3177"/>
        <item m="1" x="3640"/>
        <item m="1" x="4109"/>
        <item m="1" x="4574"/>
        <item m="1" x="5041"/>
        <item m="1" x="5501"/>
        <item m="1" x="5964"/>
        <item m="1" x="6426"/>
        <item m="1" x="6890"/>
        <item m="1" x="7352"/>
        <item m="1" x="7818"/>
        <item m="1" x="299"/>
        <item m="1" x="765"/>
        <item m="1" x="1227"/>
        <item m="1" x="1694"/>
        <item m="1" x="2160"/>
        <item m="1" x="2623"/>
        <item m="1" x="3085"/>
        <item m="1" x="3550"/>
        <item m="1" x="4018"/>
        <item m="1" x="4484"/>
        <item m="1" x="4950"/>
        <item m="1" x="5412"/>
        <item m="1" x="5876"/>
        <item m="1" x="6338"/>
        <item m="1" x="6801"/>
        <item m="1" x="7268"/>
        <item m="1" x="7730"/>
        <item m="1" x="211"/>
        <item m="1" x="676"/>
        <item m="1" x="1139"/>
        <item m="1" x="1606"/>
        <item m="1" x="2071"/>
        <item m="1" x="2535"/>
        <item m="1" x="3000"/>
        <item m="1" x="3460"/>
        <item m="1" x="3930"/>
        <item m="1" x="4396"/>
        <item m="1" x="4860"/>
        <item m="1" x="5325"/>
        <item m="1" x="5785"/>
        <item m="1" x="6248"/>
        <item m="1" x="6713"/>
        <item m="1" x="7176"/>
        <item m="1" x="7642"/>
        <item m="1" x="121"/>
        <item m="1" x="589"/>
        <item m="1" x="1050"/>
        <item m="1" x="1515"/>
        <item m="1" x="1979"/>
        <item m="1" x="2446"/>
        <item m="1" x="2909"/>
        <item m="1" x="3373"/>
        <item m="1" x="3838"/>
        <item m="1" x="4305"/>
        <item m="1" x="4769"/>
        <item m="1" x="5234"/>
        <item m="1" x="5695"/>
        <item m="1" x="6622"/>
        <item m="1" x="7085"/>
        <item m="1" x="7550"/>
        <item m="1" x="29"/>
        <item m="1" x="496"/>
        <item m="1" x="957"/>
        <item m="1" x="1424"/>
        <item m="1" x="1892"/>
        <item m="1" x="2357"/>
        <item m="1" x="2821"/>
        <item m="1" x="3284"/>
        <item m="1" x="3749"/>
        <item m="1" x="4213"/>
        <item m="1" x="4678"/>
        <item m="1" x="5144"/>
        <item m="1" x="5607"/>
        <item m="1" x="6071"/>
        <item m="1" x="6533"/>
        <item m="1" x="6996"/>
        <item m="1" x="7463"/>
        <item m="1" x="7924"/>
        <item m="1" x="406"/>
        <item m="1" x="868"/>
        <item m="1" x="1334"/>
        <item m="1" x="1800"/>
        <item m="1" x="2266"/>
        <item m="1" x="2729"/>
        <item m="1" x="3195"/>
        <item m="1" x="3657"/>
        <item m="1" x="4126"/>
        <item m="1" x="4589"/>
        <item m="1" x="5058"/>
        <item m="1" x="5517"/>
        <item m="1" x="5982"/>
        <item m="1" x="6444"/>
        <item m="1" x="6909"/>
        <item m="1" x="7371"/>
        <item m="1" x="7836"/>
        <item m="1" x="316"/>
        <item m="1" x="782"/>
        <item m="1" x="1712"/>
        <item m="1" x="2177"/>
        <item m="1" x="2640"/>
        <item m="1" x="3102"/>
        <item m="1" x="3567"/>
        <item m="1" x="4035"/>
        <item m="1" x="4502"/>
        <item m="1" x="4968"/>
        <item m="1" x="5432"/>
        <item m="1" x="5894"/>
        <item m="1" x="6358"/>
        <item m="1" x="6820"/>
        <item m="1" x="7286"/>
        <item m="1" x="7746"/>
        <item m="1" x="229"/>
        <item m="1" x="693"/>
        <item m="1" x="1157"/>
        <item m="1" x="1623"/>
        <item m="1" x="2088"/>
        <item m="1" x="2552"/>
        <item m="1" x="3016"/>
        <item m="1" x="3477"/>
        <item m="1" x="3948"/>
        <item m="1" x="4412"/>
        <item m="1" x="4880"/>
        <item m="1" x="5342"/>
        <item m="1" x="5804"/>
        <item m="1" x="6267"/>
        <item m="1" x="6731"/>
        <item m="1" x="7194"/>
        <item m="1" x="7660"/>
        <item m="1" x="139"/>
        <item m="1" x="606"/>
        <item m="1" x="1067"/>
        <item m="1" x="1532"/>
        <item m="1" x="1996"/>
        <item m="1" x="2463"/>
        <item m="1" x="2926"/>
        <item m="1" x="3390"/>
        <item m="1" x="3854"/>
        <item m="1" x="4324"/>
        <item m="1" x="4788"/>
        <item m="1" x="5252"/>
        <item m="1" x="5713"/>
        <item m="1" x="6176"/>
        <item m="1" x="6639"/>
        <item m="1" x="7102"/>
        <item m="1" x="7567"/>
        <item m="1" x="47"/>
        <item m="1" x="513"/>
        <item m="1" x="975"/>
        <item m="1" x="1441"/>
        <item m="1" x="1909"/>
        <item m="1" x="2374"/>
        <item m="1" x="2838"/>
        <item m="1" x="3301"/>
        <item m="1" x="3767"/>
        <item m="1" x="4233"/>
        <item m="1" x="4698"/>
        <item m="1" x="5163"/>
        <item m="1" x="5625"/>
        <item m="1" x="6089"/>
        <item m="1" x="7013"/>
        <item m="1" x="7481"/>
        <item m="1" x="7941"/>
        <item m="1" x="424"/>
        <item m="1" x="885"/>
        <item m="1" x="1351"/>
        <item m="1" x="1817"/>
        <item m="1" x="2283"/>
        <item m="1" x="2746"/>
        <item m="1" x="3214"/>
        <item m="1" x="3676"/>
        <item m="1" x="4146"/>
        <item m="1" x="4607"/>
        <item m="1" x="5076"/>
        <item m="1" x="5535"/>
        <item m="1" x="6000"/>
        <item m="1" x="6461"/>
        <item m="1" x="6927"/>
        <item m="1" x="7390"/>
        <item m="1" x="7854"/>
        <item m="1" x="333"/>
        <item m="1" x="800"/>
        <item m="1" x="1262"/>
        <item m="1" x="1731"/>
        <item m="1" x="2196"/>
        <item m="1" x="2660"/>
        <item m="1" x="3123"/>
        <item m="1" x="3588"/>
        <item m="1" x="4055"/>
        <item m="1" x="4522"/>
        <item m="1" x="4987"/>
        <item m="1" x="5451"/>
        <item m="1" x="5912"/>
        <item m="1" x="6376"/>
        <item m="1" x="6839"/>
        <item m="1" x="7304"/>
        <item m="1" x="7764"/>
        <item m="1" x="247"/>
        <item m="1" x="711"/>
        <item m="1" x="1175"/>
        <item m="1" x="2109"/>
        <item m="1" x="2573"/>
        <item m="1" x="3036"/>
        <item m="1" x="3497"/>
        <item m="1" x="3967"/>
        <item m="1" x="4431"/>
        <item m="1" x="4899"/>
        <item m="1" x="5360"/>
        <item m="1" x="5824"/>
        <item m="1" x="6286"/>
        <item m="1" x="6751"/>
        <item m="1" x="7213"/>
        <item m="1" x="7679"/>
        <item m="1" x="157"/>
        <item m="1" x="625"/>
        <item m="1" x="1086"/>
        <item m="1" x="1553"/>
        <item m="1" x="2017"/>
        <item m="1" x="2484"/>
        <item m="1" x="2947"/>
        <item m="1" x="3409"/>
        <item m="1" x="3874"/>
        <item m="1" x="4343"/>
        <item m="1" x="4807"/>
        <item m="1" x="5272"/>
        <item m="1" x="5732"/>
        <item m="1" x="6195"/>
        <item m="1" x="6658"/>
        <item m="1" x="7121"/>
        <item m="1" x="7586"/>
        <item m="1" x="66"/>
        <item m="1" x="533"/>
        <item m="1" x="995"/>
        <item m="1" x="1461"/>
        <item m="1" x="1928"/>
        <item m="1" x="2393"/>
        <item m="1" x="2856"/>
        <item m="1" x="3319"/>
        <item m="1" x="3785"/>
        <item m="1" x="4251"/>
        <item m="1" x="4716"/>
        <item m="1" x="5182"/>
        <item m="1" x="5643"/>
        <item m="1" x="6107"/>
        <item m="1" x="6567"/>
        <item m="1" x="7031"/>
        <item m="1" x="7500"/>
        <item m="1" x="7960"/>
        <item m="1" x="444"/>
        <item m="1" x="904"/>
        <item m="1" x="1372"/>
        <item m="1" x="1837"/>
        <item m="1" x="2303"/>
        <item m="1" x="2766"/>
        <item m="1" x="3233"/>
        <item m="1" x="3696"/>
        <item m="1" x="4164"/>
        <item m="1" x="4626"/>
        <item m="1" x="5095"/>
        <item m="1" x="5553"/>
        <item m="1" x="6018"/>
        <item m="1" x="6479"/>
        <item m="1" x="7409"/>
        <item m="1" x="7874"/>
        <item m="1" x="352"/>
        <item m="1" x="819"/>
        <item m="1" x="1279"/>
        <item m="1" x="1748"/>
        <item m="1" x="2213"/>
        <item m="1" x="2676"/>
        <item m="1" x="3141"/>
        <item m="1" x="3606"/>
        <item m="1" x="4072"/>
        <item m="1" x="4539"/>
        <item m="1" x="5003"/>
        <item m="1" x="5467"/>
        <item m="1" x="5928"/>
        <item m="1" x="6392"/>
        <item m="1" x="6855"/>
        <item m="1" x="7321"/>
        <item m="1" x="7782"/>
        <item m="1" x="265"/>
        <item m="1" x="728"/>
        <item m="1" x="1192"/>
        <item m="1" x="1658"/>
        <item m="1" x="2125"/>
        <item m="1" x="2589"/>
        <item m="1" x="3053"/>
        <item m="1" x="3514"/>
        <item m="1" x="3984"/>
        <item m="1" x="4447"/>
        <item m="1" x="4915"/>
        <item m="1" x="5375"/>
        <item m="1" x="5840"/>
        <item m="1" x="6302"/>
        <item m="1" x="6768"/>
        <item m="1" x="7232"/>
        <item m="1" x="7697"/>
        <item m="1" x="174"/>
        <item m="1" x="642"/>
        <item m="1" x="1103"/>
        <item m="1" x="1570"/>
        <item m="1" x="2502"/>
        <item m="1" x="2965"/>
        <item m="1" x="3426"/>
        <item m="1" x="3891"/>
        <item m="1" x="4360"/>
        <item m="1" x="4824"/>
        <item m="1" x="5289"/>
        <item m="1" x="5750"/>
        <item m="1" x="6214"/>
        <item m="1" x="6676"/>
        <item m="1" x="7141"/>
        <item m="1" x="7604"/>
        <item m="1" x="85"/>
        <item m="1" x="552"/>
        <item m="1" x="1014"/>
        <item m="1" x="1480"/>
        <item m="1" x="1946"/>
        <item m="1" x="2411"/>
        <item m="1" x="2873"/>
        <item m="1" x="3336"/>
        <item m="1" x="3802"/>
        <item m="1" x="4269"/>
        <item m="1" x="4734"/>
        <item m="1" x="5200"/>
        <item m="1" x="5663"/>
        <item m="1" x="6126"/>
        <item m="1" x="6586"/>
        <item m="1" x="7049"/>
        <item m="1" x="7517"/>
        <item m="1" x="7978"/>
        <item m="1" x="460"/>
        <item m="1" x="922"/>
        <item m="1" x="1389"/>
        <item m="1" x="1855"/>
        <item m="1" x="2320"/>
        <item m="1" x="2783"/>
        <item m="1" x="3249"/>
        <item m="1" x="3713"/>
        <item m="1" x="4180"/>
        <item m="1" x="4643"/>
        <item m="1" x="5112"/>
        <item m="1" x="5572"/>
        <item m="1" x="6037"/>
        <item m="1" x="6497"/>
        <item m="1" x="6961"/>
        <item m="1" x="7427"/>
        <item m="1" x="7890"/>
        <item m="1" x="371"/>
        <item m="1" x="836"/>
        <item m="1" x="1297"/>
        <item m="1" x="1765"/>
        <item m="1" x="2229"/>
        <item m="1" x="2692"/>
        <item m="1" x="3158"/>
        <item m="1" x="3622"/>
        <item m="1" x="4090"/>
        <item m="1" x="4556"/>
        <item m="1" x="5022"/>
        <item m="1" x="5485"/>
        <item m="1" x="5945"/>
        <item m="1" x="6408"/>
        <item m="1" x="6872"/>
        <item m="1" x="7800"/>
        <item m="1" x="282"/>
        <item m="1" x="746"/>
        <item m="1" x="1209"/>
        <item m="1" x="1675"/>
        <item m="1" x="2141"/>
        <item m="1" x="2606"/>
        <item m="1" x="3069"/>
        <item m="1" x="3532"/>
        <item m="1" x="4002"/>
        <item m="1" x="4465"/>
        <item m="1" x="4934"/>
        <item m="1" x="5393"/>
        <item m="1" x="5858"/>
        <item m="1" x="6320"/>
        <item m="1" x="6785"/>
        <item m="1" x="7250"/>
        <item m="1" x="7713"/>
        <item m="1" x="193"/>
        <item m="1" x="658"/>
        <item m="1" x="1120"/>
        <item m="1" x="1586"/>
        <item m="1" x="2051"/>
        <item m="1" x="2518"/>
        <item m="1" x="2982"/>
        <item m="1" x="3444"/>
        <item m="1" x="3911"/>
        <item m="1" x="4379"/>
        <item m="1" x="4842"/>
        <item m="1" x="5306"/>
        <item m="1" x="5767"/>
        <item m="1" x="6231"/>
        <item m="1" x="6695"/>
        <item m="1" x="7158"/>
        <item m="1" x="7624"/>
        <item m="1" x="103"/>
        <item m="1" x="570"/>
        <item m="1" x="1031"/>
        <item m="1" x="1498"/>
        <item m="1" x="1963"/>
        <item m="1" x="2892"/>
        <item m="1" x="3356"/>
        <item m="1" x="3822"/>
        <item m="1" x="4288"/>
        <item m="1" x="4752"/>
        <item m="1" x="5218"/>
        <item m="1" x="5680"/>
        <item m="1" x="6144"/>
        <item m="1" x="6604"/>
        <item m="1" x="7068"/>
        <item m="1" x="7534"/>
        <item m="1" x="7996"/>
        <item m="1" x="477"/>
        <item m="1" x="940"/>
        <item m="1" x="1407"/>
        <item m="1" x="1875"/>
        <item m="1" x="2340"/>
        <item m="1" x="2804"/>
        <item m="1" x="3268"/>
        <item m="1" x="3732"/>
        <item m="1" x="4197"/>
        <item m="1" x="4662"/>
        <item m="1" x="5129"/>
        <item m="1" x="5591"/>
        <item m="1" x="6055"/>
        <item m="1" x="6517"/>
        <item m="1" x="6979"/>
        <item m="1" x="7446"/>
        <item m="1" x="7907"/>
        <item m="1" x="390"/>
        <item m="1" x="853"/>
        <item m="1" x="1318"/>
        <item m="1" x="1784"/>
        <item m="1" x="2249"/>
        <item m="1" x="2713"/>
        <item m="1" x="3178"/>
        <item m="1" x="3641"/>
        <item m="1" x="4110"/>
        <item m="1" x="4575"/>
        <item m="1" x="5042"/>
        <item m="1" x="5502"/>
        <item m="1" x="5966"/>
        <item m="1" x="6427"/>
        <item m="1" x="6891"/>
        <item m="1" x="7353"/>
        <item m="1" x="7819"/>
        <item m="1" x="300"/>
        <item m="1" x="766"/>
        <item m="1" x="1228"/>
        <item m="1" x="1695"/>
        <item m="1" x="2161"/>
        <item m="1" x="2624"/>
        <item m="1" x="3086"/>
        <item m="1" x="3551"/>
        <item m="1" x="4019"/>
        <item m="1" x="4485"/>
        <item m="1" x="4951"/>
        <item m="1" x="5414"/>
        <item m="1" x="5877"/>
        <item m="1" x="6339"/>
        <item m="1" x="6802"/>
        <item m="1" x="7269"/>
        <item m="1" x="212"/>
        <item m="1" x="677"/>
        <item m="1" x="1140"/>
        <item m="1" x="1607"/>
        <item m="1" x="2072"/>
        <item m="1" x="2536"/>
        <item m="1" x="3001"/>
        <item m="1" x="3462"/>
        <item m="1" x="3932"/>
        <item m="1" x="4397"/>
        <item m="1" x="4862"/>
        <item m="1" x="5326"/>
        <item m="1" x="5786"/>
        <item m="1" x="6249"/>
        <item m="1" x="6714"/>
        <item m="1" x="7177"/>
        <item m="1" x="7643"/>
        <item m="1" x="122"/>
        <item m="1" x="590"/>
        <item m="1" x="1051"/>
        <item m="1" x="1516"/>
        <item m="1" x="1980"/>
        <item m="1" x="2447"/>
        <item m="1" x="2910"/>
        <item m="1" x="3374"/>
        <item m="1" x="3839"/>
        <item m="1" x="4307"/>
        <item m="1" x="4770"/>
        <item m="1" x="5235"/>
        <item m="1" x="5696"/>
        <item m="1" x="6160"/>
        <item m="1" x="6623"/>
        <item m="1" x="7086"/>
        <item m="1" x="7551"/>
        <item m="1" x="30"/>
        <item m="1" x="497"/>
        <item m="1" x="958"/>
        <item m="1" x="1425"/>
        <item m="1" x="1893"/>
        <item m="1" x="2358"/>
        <item m="1" x="3285"/>
        <item m="1" x="3751"/>
        <item m="1" x="4214"/>
        <item m="1" x="4679"/>
        <item m="1" x="5145"/>
        <item m="1" x="5608"/>
        <item m="1" x="6072"/>
        <item m="1" x="6534"/>
        <item m="1" x="6997"/>
        <item m="1" x="7464"/>
        <item m="1" x="7925"/>
        <item m="1" x="407"/>
        <item m="1" x="869"/>
        <item m="1" x="1335"/>
        <item m="1" x="1801"/>
        <item m="1" x="2267"/>
        <item m="1" x="2730"/>
        <item m="1" x="3197"/>
        <item m="1" x="3658"/>
        <item m="1" x="4127"/>
        <item m="1" x="4590"/>
        <item m="1" x="5059"/>
        <item m="1" x="5518"/>
        <item m="1" x="5983"/>
        <item m="1" x="6445"/>
        <item m="1" x="6910"/>
        <item m="1" x="7372"/>
        <item m="1" x="7837"/>
        <item m="1" x="317"/>
        <item m="1" x="783"/>
        <item m="1" x="1245"/>
        <item m="1" x="1713"/>
        <item m="1" x="2178"/>
        <item m="1" x="2642"/>
        <item m="1" x="3103"/>
        <item m="1" x="3568"/>
        <item m="1" x="4036"/>
        <item m="1" x="4503"/>
        <item m="1" x="4969"/>
        <item m="1" x="5433"/>
        <item m="1" x="5895"/>
        <item m="1" x="6359"/>
        <item m="1" x="6821"/>
        <item m="1" x="7287"/>
        <item m="1" x="7747"/>
        <item m="1" x="230"/>
        <item m="1" x="694"/>
        <item m="1" x="1158"/>
        <item m="1" x="1624"/>
        <item m="1" x="2090"/>
        <item m="1" x="2553"/>
        <item m="1" x="3017"/>
        <item m="1" x="3478"/>
        <item m="1" x="3949"/>
        <item m="1" x="4413"/>
        <item m="1" x="4881"/>
        <item m="1" x="5343"/>
        <item m="1" x="5805"/>
        <item m="1" x="6268"/>
        <item m="1" x="6732"/>
        <item m="1" x="7195"/>
        <item m="1" x="7661"/>
        <item m="1" x="607"/>
        <item m="1" x="1068"/>
        <item m="1" x="1534"/>
        <item m="1" x="1997"/>
        <item m="1" x="2464"/>
        <item m="1" x="2927"/>
        <item m="1" x="3391"/>
        <item m="1" x="3855"/>
        <item m="1" x="4325"/>
        <item m="1" x="4789"/>
        <item m="1" x="5253"/>
        <item m="1" x="5714"/>
        <item m="1" x="6177"/>
        <item m="1" x="6640"/>
        <item m="1" x="7103"/>
        <item m="1" x="7568"/>
        <item m="1" x="48"/>
        <item m="1" x="514"/>
        <item m="1" x="977"/>
        <item m="1" x="1393"/>
        <item m="1" x="1629"/>
        <item m="1" x="1860"/>
        <item m="1" x="2095"/>
        <item m="1" x="2325"/>
        <item m="1" x="2560"/>
        <item m="1" x="2790"/>
        <item m="1" x="3024"/>
        <item m="1" x="3254"/>
        <item m="1" x="3484"/>
        <item m="1" x="3718"/>
        <item m="1" x="3954"/>
        <item m="1" x="4184"/>
        <item m="1" x="4419"/>
        <item m="1" x="4649"/>
        <item m="1" x="4887"/>
        <item m="1" x="5116"/>
        <item m="1" x="5577"/>
        <item m="1" x="5810"/>
        <item m="1" x="6041"/>
        <item m="1" x="6274"/>
        <item m="1" x="6502"/>
        <item m="1" x="6738"/>
        <item m="1" x="6964"/>
        <item m="1" x="7200"/>
        <item m="1" x="7432"/>
        <item m="1" x="7666"/>
        <item m="1" x="7894"/>
        <item m="1" x="145"/>
        <item m="1" x="377"/>
        <item m="1" x="613"/>
        <item m="1" x="840"/>
        <item m="1" x="1073"/>
        <item m="1" x="1303"/>
        <item m="1" x="1539"/>
        <item m="1" x="1770"/>
        <item m="1" x="2004"/>
        <item m="1" x="2236"/>
        <item m="1" x="2472"/>
        <item m="1" x="2698"/>
        <item m="1" x="2934"/>
        <item m="1" x="3164"/>
        <item m="1" x="3397"/>
        <item m="1" x="3626"/>
        <item m="1" x="3861"/>
        <item m="1" x="4096"/>
        <item m="1" x="4331"/>
        <item m="1" x="4560"/>
        <item m="1" x="4794"/>
        <item m="1" x="5027"/>
        <item m="1" x="5258"/>
        <item m="1" x="5489"/>
        <item m="1" x="5719"/>
        <item m="1" x="5951"/>
        <item m="1" x="6182"/>
        <item m="1" x="6412"/>
        <item m="1" x="6645"/>
        <item m="1" x="6877"/>
        <item m="1" x="7108"/>
        <item m="1" x="7340"/>
        <item m="1" x="7574"/>
        <item m="1" x="7806"/>
        <item m="1" x="54"/>
        <item m="1" x="286"/>
        <item m="1" x="519"/>
        <item m="1" x="751"/>
        <item m="1" x="982"/>
        <item m="1" x="1214"/>
        <item m="1" x="1448"/>
        <item m="1" x="1682"/>
        <item m="1" x="1916"/>
        <item m="1" x="2146"/>
        <item m="1" x="2380"/>
        <item m="1" x="2611"/>
        <item m="1" x="2843"/>
        <item m="1" x="3073"/>
        <item m="1" x="3307"/>
        <item m="1" x="3538"/>
        <item m="1" x="3773"/>
        <item m="1" x="4238"/>
        <item m="1" x="4470"/>
        <item m="1" x="4703"/>
        <item m="1" x="4937"/>
        <item m="1" x="5169"/>
        <item m="1" x="5399"/>
        <item m="1" x="5630"/>
        <item m="1" x="5862"/>
        <item m="1" x="6094"/>
        <item m="1" x="6325"/>
        <item m="1" x="6554"/>
        <item m="1" x="6789"/>
        <item m="1" x="7019"/>
        <item m="1" x="7256"/>
        <item m="1" x="7488"/>
        <item m="1" x="7717"/>
        <item m="1" x="7946"/>
        <item m="1" x="198"/>
        <item m="1" x="430"/>
        <item m="1" x="663"/>
        <item m="1" x="892"/>
        <item m="1" x="1127"/>
        <item m="1" x="1359"/>
        <item m="1" x="1592"/>
        <item m="1" x="1824"/>
        <item m="1" x="2057"/>
        <item m="1" x="2289"/>
        <item m="1" x="2522"/>
        <item m="1" x="2752"/>
        <item m="1" x="2988"/>
        <item m="1" x="3220"/>
        <item m="1" x="3448"/>
        <item m="1" x="3681"/>
        <item m="1" x="3916"/>
        <item m="1" x="4150"/>
        <item m="1" x="4383"/>
        <item m="1" x="4613"/>
        <item m="1" x="4847"/>
        <item m="1" x="5082"/>
        <item m="1" x="5311"/>
        <item m="1" x="5540"/>
        <item m="1" x="5772"/>
        <item m="1" x="6005"/>
        <item m="1" x="6236"/>
        <item m="1" x="6467"/>
        <item m="1" x="6701"/>
        <item m="1" x="6933"/>
        <item m="1" x="7163"/>
        <item m="1" x="7395"/>
        <item m="1" x="7629"/>
        <item m="1" x="7860"/>
        <item m="1" x="109"/>
        <item m="1" x="340"/>
        <item m="1" x="576"/>
        <item m="1" x="806"/>
        <item m="1" x="1036"/>
        <item m="1" x="1266"/>
        <item m="1" x="1502"/>
        <item m="1" x="1735"/>
        <item m="1" x="1967"/>
        <item m="1" x="2201"/>
        <item m="1" x="2434"/>
        <item m="1" x="2896"/>
        <item m="1" x="3127"/>
        <item m="1" x="3359"/>
        <item m="1" x="3592"/>
        <item m="1" x="3826"/>
        <item m="1" x="4060"/>
        <item m="1" x="4293"/>
        <item m="1" x="4527"/>
        <item m="1" x="4756"/>
        <item m="1" x="4991"/>
        <item m="1" x="5222"/>
        <item m="1" x="5455"/>
        <item m="1" x="5684"/>
        <item m="1" x="5917"/>
        <item m="1" x="6149"/>
        <item m="1" x="6381"/>
        <item m="1" x="6610"/>
        <item m="1" x="6843"/>
        <item m="1" x="7072"/>
        <item m="1" x="7309"/>
        <item m="1" x="7539"/>
        <item m="1" x="7770"/>
        <item m="1" x="16"/>
        <item m="1" x="254"/>
        <item m="1" x="483"/>
        <item m="1" x="716"/>
        <item m="1" x="945"/>
        <item m="1" x="1180"/>
        <item m="1" x="1411"/>
        <item m="1" x="1646"/>
        <item m="1" x="1880"/>
        <item m="1" x="2114"/>
        <item m="1" x="2344"/>
        <item m="1" x="2576"/>
        <item m="1" x="2808"/>
        <item m="1" x="3040"/>
        <item m="1" x="3272"/>
        <item m="1" x="3502"/>
        <item m="1" x="3737"/>
        <item m="1" x="3972"/>
        <item m="1" x="4201"/>
        <item m="1" x="4435"/>
        <item m="1" x="4666"/>
        <item m="1" x="4903"/>
        <item m="1" x="5133"/>
        <item m="1" x="5365"/>
        <item m="1" x="5596"/>
        <item m="1" x="5829"/>
        <item m="1" x="6059"/>
        <item m="1" x="6290"/>
        <item m="1" x="6521"/>
        <item m="1" x="6756"/>
        <item m="1" x="6984"/>
        <item m="1" x="7219"/>
        <item m="1" x="7452"/>
        <item m="1" x="7684"/>
        <item m="1" x="7911"/>
        <item m="1" x="161"/>
        <item m="1" x="394"/>
        <item m="1" x="629"/>
        <item m="1" x="857"/>
        <item m="1" x="1091"/>
        <item m="1" x="1323"/>
        <item m="1" x="1558"/>
        <item m="1" x="1788"/>
        <item m="1" x="2021"/>
        <item m="1" x="2253"/>
        <item m="1" x="2488"/>
        <item m="1" x="2717"/>
        <item m="1" x="2952"/>
        <item m="1" x="3183"/>
        <item m="1" x="3414"/>
        <item m="1" x="3645"/>
        <item m="1" x="3878"/>
        <item m="1" x="4114"/>
        <item m="1" x="4347"/>
        <item m="1" x="4579"/>
        <item m="1" x="4812"/>
        <item m="1" x="5047"/>
        <item m="1" x="5277"/>
        <item m="1" x="5506"/>
        <item m="1" x="5970"/>
        <item m="1" x="6200"/>
        <item m="1" x="6432"/>
        <item m="1" x="6664"/>
        <item m="1" x="6897"/>
        <item m="1" x="7128"/>
        <item m="1" x="7359"/>
        <item m="1" x="7591"/>
        <item m="1" x="7824"/>
        <item m="1" x="71"/>
        <item m="1" x="304"/>
        <item m="1" x="538"/>
        <item m="1" x="771"/>
        <item m="1" x="1000"/>
        <item m="1" x="1232"/>
        <item m="1" x="1465"/>
        <item m="1" x="1699"/>
        <item m="1" x="1932"/>
        <item m="1" x="2165"/>
        <item m="1" x="2398"/>
        <item m="1" x="2629"/>
        <item m="1" x="2861"/>
        <item m="1" x="3090"/>
        <item m="1" x="3323"/>
        <item m="1" x="3555"/>
        <item m="1" x="3790"/>
        <item m="1" x="4024"/>
        <item m="1" x="4257"/>
        <item m="1" x="4491"/>
        <item m="1" x="4722"/>
        <item m="1" x="4956"/>
        <item m="1" x="5187"/>
        <item m="1" x="5419"/>
        <item m="1" x="5649"/>
        <item m="1" x="5883"/>
        <item m="1" x="6113"/>
        <item m="1" x="6346"/>
        <item m="1" x="6573"/>
        <item m="1" x="6808"/>
        <item m="1" x="7036"/>
        <item m="1" x="7274"/>
        <item m="1" x="7504"/>
        <item m="1" x="7735"/>
        <item m="1" x="7966"/>
        <item m="1" x="218"/>
        <item m="1" x="449"/>
        <item m="1" x="682"/>
        <item m="1" x="909"/>
        <item m="1" x="1145"/>
        <item m="1" x="1376"/>
        <item m="1" x="1612"/>
        <item m="1" x="1843"/>
        <item m="1" x="2078"/>
        <item m="1" x="2308"/>
        <item m="1" x="2541"/>
        <item m="1" x="2771"/>
        <item m="1" x="3006"/>
        <item m="1" x="3237"/>
        <item m="1" x="3467"/>
        <item m="1" x="3702"/>
        <item m="1" x="3938"/>
        <item m="1" x="4169"/>
        <item m="1" x="4631"/>
        <item m="1" x="4868"/>
        <item m="1" x="5100"/>
        <item m="1" x="5331"/>
        <item m="1" x="5560"/>
        <item m="1" x="5793"/>
        <item m="1" x="6025"/>
        <item m="1" x="6256"/>
        <item m="1" x="6485"/>
        <item m="1" x="6720"/>
        <item m="1" x="6949"/>
        <item m="1" x="7182"/>
        <item m="1" x="7415"/>
        <item m="1" x="7649"/>
        <item m="1" x="7879"/>
        <item m="1" x="127"/>
        <item m="1" x="357"/>
        <item m="1" x="595"/>
        <item m="1" x="823"/>
        <item m="1" x="1056"/>
        <item m="1" x="1285"/>
        <item m="1" x="1522"/>
        <item m="1" x="1753"/>
        <item m="1" x="1985"/>
        <item m="1" x="2218"/>
        <item m="1" x="2452"/>
        <item m="1" x="2680"/>
        <item m="1" x="2916"/>
        <item m="1" x="3147"/>
        <item m="1" x="3380"/>
        <item m="1" x="3611"/>
        <item m="1" x="3844"/>
        <item m="1" x="4077"/>
        <item m="1" x="4312"/>
        <item m="1" x="4543"/>
        <item m="1" x="4777"/>
        <item m="1" x="5010"/>
        <item m="1" x="5241"/>
        <item m="1" x="5473"/>
        <item m="1" x="5702"/>
        <item m="1" x="5933"/>
        <item m="1" x="6165"/>
        <item m="1" x="6396"/>
        <item m="1" x="6629"/>
        <item m="1" x="6861"/>
        <item m="1" x="7092"/>
        <item m="1" x="7326"/>
        <item m="1" x="7556"/>
        <item m="1" x="7787"/>
        <item m="1" x="35"/>
        <item m="1" x="269"/>
        <item m="1" x="503"/>
        <item m="1" x="734"/>
        <item m="1" x="964"/>
        <item m="1" x="1197"/>
        <item m="1" x="1430"/>
        <item m="1" x="1663"/>
        <item m="1" x="1898"/>
        <item m="1" x="2129"/>
        <item m="1" x="2364"/>
        <item m="1" x="2595"/>
        <item m="1" x="2828"/>
        <item m="1" x="3290"/>
        <item m="1" x="3519"/>
        <item m="1" x="3755"/>
        <item m="1" x="3989"/>
        <item m="1" x="4221"/>
        <item m="1" x="4453"/>
        <item m="1" x="4687"/>
        <item m="1" x="4922"/>
        <item m="1" x="5152"/>
        <item m="1" x="5381"/>
        <item m="1" x="5614"/>
        <item m="1" x="5845"/>
        <item m="1" x="6078"/>
        <item m="1" x="6308"/>
        <item m="1" x="6540"/>
        <item m="1" x="6773"/>
        <item m="1" x="7002"/>
        <item m="1" x="7237"/>
        <item m="1" x="7469"/>
        <item m="1" x="7701"/>
        <item m="1" x="7931"/>
        <item m="1" x="180"/>
        <item m="1" x="413"/>
        <item m="1" x="647"/>
        <item m="1" x="874"/>
        <item m="1" x="1108"/>
        <item m="1" x="1340"/>
        <item m="1" x="1574"/>
        <item m="1" x="1807"/>
        <item m="1" x="2040"/>
        <item m="1" x="2273"/>
        <item m="1" x="2507"/>
        <item m="1" x="2735"/>
        <item m="1" x="2969"/>
        <item m="1" x="3202"/>
        <item m="1" x="3431"/>
        <item m="1" x="3665"/>
        <item m="1" x="3898"/>
        <item m="1" x="4134"/>
        <item m="1" x="4366"/>
        <item m="1" x="4596"/>
        <item m="1" x="4829"/>
        <item m="1" x="5064"/>
        <item m="1" x="5293"/>
        <item m="1" x="5524"/>
        <item m="1" x="5756"/>
        <item m="1" x="5989"/>
        <item m="1" x="6219"/>
        <item m="1" x="6450"/>
        <item m="1" x="6681"/>
        <item m="1" x="6915"/>
        <item m="1" x="7145"/>
        <item m="1" x="7378"/>
        <item m="1" x="7610"/>
        <item m="1" x="7843"/>
        <item m="1" x="90"/>
        <item m="1" x="321"/>
        <item m="1" x="557"/>
        <item m="1" x="788"/>
        <item m="1" x="1018"/>
        <item m="1" x="1251"/>
        <item m="1" x="1486"/>
        <item m="1" x="1720"/>
        <item m="1" x="1951"/>
        <item m="1" x="2184"/>
        <item m="1" x="2416"/>
        <item m="1" x="2647"/>
        <item m="1" x="2878"/>
        <item m="1" x="3111"/>
        <item m="1" x="3343"/>
        <item m="1" x="3576"/>
        <item m="1" x="3809"/>
        <item m="1" x="4043"/>
        <item m="1" x="4275"/>
        <item m="1" x="4509"/>
        <item m="1" x="4739"/>
        <item m="1" x="4975"/>
        <item m="1" x="5206"/>
        <item m="1" x="5439"/>
        <item m="1" x="5668"/>
        <item m="1" x="5900"/>
        <item m="1" x="6364"/>
        <item m="1" x="6590"/>
        <item m="1" x="6827"/>
        <item m="1" x="7055"/>
        <item m="1" x="7292"/>
        <item m="1" x="7521"/>
        <item m="1" x="7752"/>
        <item m="1" x="7983"/>
        <item m="1" x="235"/>
        <item m="1" x="464"/>
        <item m="1" x="700"/>
        <item m="1" x="928"/>
        <item m="1" x="1164"/>
        <item m="1" x="1395"/>
        <item m="1" x="1630"/>
        <item m="1" x="1861"/>
        <item m="1" x="2096"/>
        <item m="1" x="2326"/>
        <item m="1" x="2561"/>
        <item m="1" x="2791"/>
        <item m="1" x="3025"/>
        <item m="1" x="3256"/>
        <item m="1" x="3485"/>
        <item m="1" x="3719"/>
        <item m="1" x="3955"/>
        <item m="1" x="4185"/>
        <item m="1" x="4420"/>
        <item m="1" x="4650"/>
        <item m="1" x="4888"/>
        <item m="1" x="5118"/>
        <item m="1" x="5348"/>
        <item m="1" x="5578"/>
        <item m="1" x="5811"/>
        <item m="1" x="6042"/>
        <item m="1" x="6275"/>
        <item m="1" x="6503"/>
        <item m="1" x="6739"/>
        <item m="1" x="6966"/>
        <item m="1" x="7201"/>
        <item m="1" x="7433"/>
        <item m="1" x="7667"/>
        <item m="1" x="7895"/>
        <item m="1" x="146"/>
        <item m="1" x="378"/>
        <item m="1" x="614"/>
        <item m="1" x="842"/>
        <item m="1" x="1074"/>
        <item m="1" x="1304"/>
        <item m="1" x="1540"/>
        <item m="1" x="1771"/>
        <item m="1" x="2005"/>
        <item m="1" x="2237"/>
        <item m="1" x="2473"/>
        <item m="1" x="2700"/>
        <item m="1" x="2935"/>
        <item m="1" x="3165"/>
        <item m="1" x="3398"/>
        <item m="1" x="3628"/>
        <item m="1" x="3862"/>
        <item m="1" x="4097"/>
        <item m="1" x="4332"/>
        <item m="1" x="4562"/>
        <item m="1" x="5028"/>
        <item m="1" x="5259"/>
        <item m="1" x="5490"/>
        <item m="1" x="5720"/>
        <item m="1" x="5952"/>
        <item m="1" x="6183"/>
        <item m="1" x="6414"/>
        <item m="1" x="6646"/>
        <item m="1" x="6878"/>
        <item m="1" x="7109"/>
        <item m="1" x="7341"/>
        <item m="1" x="7575"/>
        <item m="1" x="7807"/>
        <item m="1" x="55"/>
        <item m="1" x="288"/>
        <item m="1" x="520"/>
        <item m="1" x="752"/>
        <item m="1" x="983"/>
        <item m="1" x="1215"/>
        <item m="1" x="1449"/>
        <item m="1" x="1683"/>
        <item m="1" x="1917"/>
        <item m="1" x="2148"/>
        <item m="1" x="2381"/>
        <item m="1" x="2612"/>
        <item m="1" x="2844"/>
        <item m="1" x="3074"/>
        <item m="1" x="3308"/>
        <item m="1" x="3539"/>
        <item m="1" x="3774"/>
        <item m="1" x="4007"/>
        <item m="1" x="4239"/>
        <item m="1" x="4471"/>
        <item m="1" x="4704"/>
        <item m="1" x="4938"/>
        <item m="1" x="5170"/>
        <item m="1" x="5400"/>
        <item m="1" x="5631"/>
        <item m="1" x="5864"/>
        <item m="1" x="6095"/>
        <item m="1" x="6326"/>
        <item m="1" x="6555"/>
        <item m="1" x="6790"/>
        <item m="1" x="7020"/>
        <item m="1" x="7257"/>
        <item m="1" x="7489"/>
        <item m="1" x="7719"/>
        <item m="1" x="7947"/>
        <item m="1" x="199"/>
        <item m="1" x="431"/>
        <item m="1" x="664"/>
        <item m="1" x="893"/>
        <item m="1" x="1128"/>
        <item m="1" x="1360"/>
        <item m="1" x="1594"/>
        <item m="1" x="1825"/>
        <item m="1" x="2058"/>
        <item m="1" x="2290"/>
        <item m="1" x="2524"/>
        <item m="1" x="2753"/>
        <item m="1" x="2989"/>
        <item m="1" x="3221"/>
        <item m="1" x="3682"/>
        <item m="1" x="3917"/>
        <item m="1" x="4151"/>
        <item m="1" x="4384"/>
        <item m="1" x="4614"/>
        <item m="1" x="4848"/>
        <item m="1" x="5083"/>
        <item m="1" x="5313"/>
        <item m="1" x="5541"/>
        <item m="1" x="5773"/>
        <item m="1" x="6006"/>
        <item m="1" x="6237"/>
        <item m="1" x="6468"/>
        <item m="1" x="6702"/>
        <item m="1" x="6934"/>
        <item m="1" x="7165"/>
        <item m="1" x="7396"/>
        <item m="1" x="7630"/>
        <item m="1" x="7861"/>
        <item m="1" x="110"/>
        <item m="1" x="341"/>
        <item m="1" x="577"/>
        <item m="1" x="807"/>
        <item m="1" x="1038"/>
        <item m="1" x="1267"/>
        <item m="1" x="1503"/>
        <item m="1" x="1736"/>
        <item m="1" x="1968"/>
        <item m="1" x="2202"/>
        <item m="1" x="2435"/>
        <item m="1" x="2665"/>
        <item m="1" x="2898"/>
        <item m="1" x="3128"/>
        <item m="1" x="3360"/>
        <item m="1" x="3593"/>
        <item m="1" x="3827"/>
        <item m="1" x="4061"/>
        <item m="1" x="4294"/>
        <item m="1" x="4528"/>
        <item m="1" x="4758"/>
        <item m="1" x="4992"/>
        <item m="1" x="5223"/>
        <item m="1" x="5456"/>
        <item m="1" x="5685"/>
        <item m="1" x="5918"/>
        <item m="1" x="6150"/>
        <item m="1" x="6382"/>
        <item m="1" x="6612"/>
        <item m="1" x="6844"/>
        <item m="1" x="7073"/>
        <item m="1" x="7310"/>
        <item m="1" x="7540"/>
        <item m="1" x="7771"/>
        <item m="1" x="17"/>
        <item m="1" x="255"/>
        <item m="1" x="485"/>
        <item m="1" x="717"/>
        <item m="1" x="946"/>
        <item m="1" x="1181"/>
        <item m="1" x="1413"/>
        <item m="1" x="1647"/>
        <item m="1" x="1881"/>
        <item m="1" x="2115"/>
        <item m="1" x="2346"/>
        <item m="1" x="2577"/>
        <item m="1" x="2809"/>
        <item m="1" x="3041"/>
        <item m="1" x="3273"/>
        <item m="1" x="3503"/>
        <item m="1" x="3738"/>
        <item m="1" x="3973"/>
        <item m="1" x="4203"/>
        <item m="1" x="4436"/>
        <item m="1" x="4667"/>
        <item m="1" x="4904"/>
        <item m="1" x="5134"/>
        <item m="1" x="5366"/>
        <item m="1" x="5597"/>
        <item m="1" x="5830"/>
        <item m="1" x="6061"/>
        <item m="1" x="6291"/>
        <item m="1" x="6757"/>
        <item m="1" x="6985"/>
        <item m="1" x="7220"/>
        <item m="1" x="7453"/>
        <item m="1" x="7685"/>
        <item m="1" x="7913"/>
        <item m="1" x="162"/>
        <item m="1" x="395"/>
        <item m="1" x="630"/>
        <item m="1" x="858"/>
        <item m="1" x="1092"/>
        <item m="1" x="1324"/>
        <item m="1" x="1559"/>
        <item m="1" x="1790"/>
        <item m="1" x="2022"/>
        <item m="1" x="2254"/>
        <item m="1" x="2489"/>
        <item m="1" x="2718"/>
        <item m="1" x="2953"/>
        <item m="1" x="3184"/>
        <item m="1" x="3415"/>
        <item m="1" x="3647"/>
        <item m="1" x="3879"/>
        <item m="1" x="4115"/>
        <item m="1" x="4348"/>
        <item m="1" x="4580"/>
        <item m="1" x="4813"/>
        <item m="1" x="5048"/>
        <item m="1" x="5278"/>
        <item m="1" x="5508"/>
        <item m="1" x="5737"/>
        <item m="1" x="5971"/>
        <item m="1" x="6201"/>
        <item m="1" x="6433"/>
        <item m="1" x="6665"/>
        <item m="1" x="6898"/>
        <item m="1" x="7129"/>
        <item m="1" x="7361"/>
        <item m="1" x="7592"/>
        <item m="1" x="7825"/>
        <item m="1" x="72"/>
        <item m="1" x="306"/>
        <item m="1" x="539"/>
        <item m="1" x="772"/>
        <item m="1" x="1001"/>
        <item m="1" x="1234"/>
        <item m="1" x="1466"/>
        <item m="1" x="1700"/>
        <item m="1" x="1933"/>
        <item m="1" x="2166"/>
        <item m="1" x="2399"/>
        <item m="1" x="2630"/>
        <item m="1" x="2862"/>
        <item m="1" x="3092"/>
        <item m="1" x="3324"/>
        <item m="1" x="3556"/>
        <item m="1" x="3791"/>
        <item m="1" x="4025"/>
        <item m="1" x="4258"/>
        <item m="1" x="4492"/>
        <item m="1" x="4723"/>
        <item m="1" x="4958"/>
        <item m="1" x="5420"/>
        <item m="1" x="5650"/>
        <item m="1" x="5884"/>
        <item m="1" x="6114"/>
        <item m="1" x="6347"/>
        <item m="1" x="6574"/>
        <item m="1" x="6810"/>
        <item m="1" x="7037"/>
        <item m="1" x="7275"/>
        <item m="1" x="7505"/>
        <item m="1" x="7736"/>
        <item m="1" x="7967"/>
        <item m="1" x="219"/>
        <item m="1" x="450"/>
        <item m="1" x="684"/>
        <item m="1" x="910"/>
        <item m="1" x="1146"/>
        <item m="1" x="1377"/>
        <item m="1" x="1613"/>
        <item m="1" x="1844"/>
        <item m="1" x="2079"/>
        <item m="1" x="2309"/>
        <item m="1" x="2543"/>
        <item m="1" x="2772"/>
        <item m="1" x="3007"/>
        <item m="1" x="3238"/>
        <item m="1" x="3468"/>
        <item m="1" x="3703"/>
        <item m="1" x="3939"/>
        <item m="1" x="4170"/>
        <item m="1" x="4403"/>
        <item m="1" x="4632"/>
        <item m="1" x="4869"/>
        <item m="1" x="5101"/>
        <item m="1" x="5332"/>
        <item m="1" x="5561"/>
        <item m="1" x="5794"/>
        <item m="1" x="6026"/>
        <item m="1" x="6258"/>
        <item m="1" x="6486"/>
        <item m="1" x="6721"/>
        <item m="1" x="6950"/>
        <item m="1" x="7184"/>
        <item m="1" x="7416"/>
        <item m="1" x="7650"/>
        <item m="1" x="7880"/>
        <item m="1" x="129"/>
        <item m="1" x="358"/>
        <item m="1" x="596"/>
        <item m="1" x="824"/>
        <item m="1" x="1057"/>
        <item m="1" x="1286"/>
        <item m="1" x="1523"/>
        <item m="1" x="1754"/>
        <item m="1" x="1987"/>
        <item m="1" x="2219"/>
        <item m="1" x="2453"/>
        <item m="1" x="2681"/>
        <item m="1" x="2917"/>
        <item m="1" x="3148"/>
        <item m="1" x="3381"/>
        <item m="1" x="3612"/>
        <item m="1" x="4078"/>
        <item m="1" x="4313"/>
        <item m="1" x="4544"/>
        <item m="1" x="4778"/>
        <item m="1" x="5011"/>
        <item m="1" x="5242"/>
        <item m="1" x="5474"/>
        <item m="1" x="5704"/>
        <item m="1" x="5934"/>
        <item m="1" x="6166"/>
        <item m="1" x="6397"/>
        <item m="1" x="6630"/>
        <item m="1" x="6862"/>
        <item m="1" x="7093"/>
        <item m="1" x="7327"/>
        <item m="1" x="7558"/>
        <item m="1" x="7788"/>
        <item m="1" x="36"/>
        <item m="1" x="270"/>
        <item m="1" x="504"/>
        <item m="1" x="735"/>
        <item m="1" x="965"/>
        <item m="1" x="1198"/>
        <item m="1" x="1432"/>
        <item m="1" x="1664"/>
        <item m="1" x="1899"/>
        <item m="1" x="2130"/>
        <item m="1" x="2365"/>
        <item m="1" x="2596"/>
        <item m="1" x="2829"/>
        <item m="1" x="3059"/>
        <item m="1" x="3292"/>
        <item m="1" x="3520"/>
        <item m="1" x="3756"/>
        <item m="1" x="3990"/>
        <item m="1" x="4223"/>
        <item m="1" x="4454"/>
        <item m="1" x="4688"/>
        <item m="1" x="4923"/>
        <item m="1" x="5154"/>
        <item m="1" x="5382"/>
        <item m="1" x="5615"/>
        <item m="1" x="5846"/>
        <item m="1" x="6080"/>
        <item m="1" x="6309"/>
        <item m="1" x="6541"/>
        <item m="1" x="6774"/>
        <item m="1" x="7004"/>
        <item m="1" x="7238"/>
        <item m="1" x="7470"/>
        <item m="1" x="7702"/>
        <item m="1" x="7932"/>
        <item m="1" x="181"/>
        <item m="1" x="414"/>
        <item m="1" x="648"/>
        <item m="1" x="876"/>
        <item m="1" x="1109"/>
        <item m="1" x="1341"/>
        <item m="1" x="1575"/>
        <item m="1" x="1808"/>
        <item m="1" x="2041"/>
        <item m="1" x="2274"/>
        <item m="1" x="2508"/>
        <item m="1" x="2737"/>
        <item m="1" x="2970"/>
        <item m="1" x="3203"/>
        <item m="1" x="3432"/>
        <item m="1" x="3666"/>
        <item m="1" x="3899"/>
        <item m="1" x="4135"/>
        <item m="1" x="4367"/>
        <item m="1" x="4598"/>
        <item m="1" x="4830"/>
        <item m="1" x="5065"/>
        <item m="1" x="5294"/>
        <item m="1" x="5525"/>
        <item m="1" x="5757"/>
        <item m="1" x="5990"/>
        <item m="1" x="6220"/>
        <item m="1" x="6452"/>
        <item m="1" x="6682"/>
        <item m="1" x="7146"/>
        <item m="1" x="7379"/>
        <item m="1" x="7611"/>
        <item m="1" x="7844"/>
        <item m="1" x="91"/>
        <item m="1" x="323"/>
        <item m="1" x="558"/>
        <item m="1" x="789"/>
        <item m="1" x="1019"/>
        <item m="1" x="1252"/>
        <item m="1" x="1487"/>
        <item m="1" x="1721"/>
        <item m="1" x="1952"/>
        <item m="1" x="2186"/>
        <item m="1" x="2417"/>
        <item m="1" x="2648"/>
        <item m="1" x="2879"/>
        <item m="1" x="3112"/>
        <item m="1" x="3344"/>
        <item m="1" x="3577"/>
        <item m="1" x="3810"/>
        <item m="1" x="4045"/>
        <item m="1" x="4276"/>
        <item m="1" x="4510"/>
        <item m="1" x="4740"/>
        <item m="1" x="4977"/>
        <item m="1" x="5207"/>
        <item m="1" x="5440"/>
        <item m="1" x="5669"/>
        <item m="1" x="5902"/>
        <item m="1" x="6131"/>
        <item m="1" x="6365"/>
        <item m="1" x="6591"/>
        <item m="1" x="6828"/>
        <item m="1" x="7056"/>
        <item m="1" x="7293"/>
        <item m="1" x="7522"/>
        <item m="1" x="7754"/>
        <item m="1" x="7984"/>
        <item m="1" x="236"/>
        <item m="1" x="465"/>
        <item m="1" x="701"/>
        <item m="1" x="929"/>
        <item m="1" x="1165"/>
        <item m="1" x="1396"/>
        <item m="1" x="1632"/>
        <item m="1" x="1862"/>
        <item m="1" x="2097"/>
        <item m="1" x="2327"/>
        <item m="1" x="2562"/>
        <item m="1" x="2792"/>
        <item m="1" x="3026"/>
        <item m="1" x="3257"/>
        <item m="1" x="3487"/>
        <item m="1" x="3720"/>
        <item m="1" x="3956"/>
        <item m="1" x="4186"/>
        <item m="1" x="4421"/>
        <item m="1" x="4651"/>
        <item m="1" x="4889"/>
        <item m="1" x="5119"/>
        <item m="1" x="5350"/>
        <item m="1" x="5812"/>
        <item m="1" x="6043"/>
        <item m="1" x="6276"/>
        <item m="1" x="6504"/>
        <item m="1" x="6740"/>
        <item m="1" x="6967"/>
        <item m="1" x="7203"/>
        <item m="1" x="7434"/>
        <item m="1" x="7668"/>
        <item m="1" x="7896"/>
        <item m="1" x="147"/>
        <item m="1" x="379"/>
        <item m="1" x="615"/>
        <item m="1" x="843"/>
        <item m="1" x="1076"/>
        <item m="1" x="1305"/>
        <item m="1" x="1541"/>
        <item m="1" x="1772"/>
        <item m="1" x="2006"/>
        <item m="1" x="2238"/>
        <item m="1" x="2474"/>
        <item m="1" x="2701"/>
        <item m="1" x="2937"/>
        <item m="1" x="3166"/>
        <item m="1" x="3399"/>
        <item m="1" x="3629"/>
        <item m="1" x="3864"/>
        <item m="1" x="4098"/>
        <item m="1" x="4333"/>
        <item m="1" x="4563"/>
        <item m="1" x="4796"/>
        <item m="1" x="5029"/>
        <item m="1" x="5260"/>
        <item m="1" x="5491"/>
        <item m="1" x="5721"/>
        <item m="1" x="5953"/>
        <item m="1" x="6184"/>
        <item m="1" x="6415"/>
        <item m="1" x="6648"/>
        <item m="1" x="6879"/>
        <item m="1" x="7110"/>
        <item m="1" x="7342"/>
        <item m="1" x="7576"/>
        <item m="1" x="7808"/>
        <item m="1" x="56"/>
        <item m="1" x="289"/>
        <item m="1" x="522"/>
        <item m="1" x="753"/>
        <item m="1" x="984"/>
        <item m="1" x="1216"/>
        <item m="1" x="1450"/>
        <item m="1" x="1684"/>
        <item m="1" x="1918"/>
        <item m="1" x="2149"/>
        <item m="1" x="2383"/>
        <item m="1" x="2613"/>
        <item m="1" x="2845"/>
        <item m="1" x="3075"/>
        <item m="1" x="3309"/>
        <item m="1" x="3540"/>
        <item m="1" x="3775"/>
        <item m="1" x="4008"/>
        <item m="1" x="4472"/>
        <item m="1" x="4705"/>
        <item m="1" x="4939"/>
        <item m="1" x="5171"/>
        <item m="1" x="5401"/>
        <item m="1" x="5632"/>
        <item m="1" x="5865"/>
        <item m="1" x="6097"/>
        <item m="1" x="6327"/>
        <item m="1" x="6556"/>
        <item m="1" x="6791"/>
        <item m="1" x="7021"/>
        <item m="1" x="7258"/>
        <item m="1" x="7490"/>
        <item m="1" x="7720"/>
        <item m="1" x="7949"/>
        <item m="1" x="200"/>
        <item m="1" x="432"/>
        <item m="1" x="665"/>
        <item m="1" x="894"/>
        <item m="1" x="1129"/>
        <item m="1" x="1361"/>
        <item m="1" x="1595"/>
        <item m="1" x="1827"/>
        <item m="1" x="2059"/>
        <item m="1" x="2291"/>
        <item m="1" x="2525"/>
        <item m="1" x="2755"/>
        <item m="1" x="2990"/>
        <item m="1" x="3222"/>
        <item m="1" x="3450"/>
        <item m="1" x="3684"/>
        <item m="1" x="3918"/>
        <item m="1" x="4152"/>
        <item m="1" x="4385"/>
        <item m="1" x="4615"/>
        <item m="1" x="4849"/>
        <item m="1" x="5084"/>
        <item m="1" x="5314"/>
        <item m="1" x="5543"/>
        <item m="1" x="5774"/>
        <item m="1" x="6007"/>
        <item m="1" x="6238"/>
        <item m="1" x="6469"/>
        <item m="1" x="6703"/>
        <item m="1" x="6935"/>
        <item m="1" x="7166"/>
        <item m="1" x="7398"/>
        <item m="1" x="7631"/>
        <item m="1" x="7862"/>
        <item m="1" x="111"/>
        <item m="1" x="342"/>
        <item m="1" x="578"/>
        <item m="1" x="808"/>
        <item m="1" x="1039"/>
        <item m="1" x="1269"/>
        <item m="1" x="1504"/>
        <item m="1" x="1737"/>
        <item m="1" x="1969"/>
        <item m="1" x="2203"/>
        <item m="1" x="2436"/>
        <item m="1" x="2666"/>
        <item m="1" x="2899"/>
        <item m="1" x="3130"/>
        <item m="1" x="3361"/>
        <item m="1" x="3594"/>
        <item m="1" x="3828"/>
        <item m="1" x="4062"/>
        <item m="1" x="4295"/>
        <item m="1" x="4529"/>
        <item m="1" x="4759"/>
        <item m="1" x="4994"/>
        <item m="1" x="5224"/>
        <item m="1" x="5457"/>
        <item m="1" x="5686"/>
        <item m="1" x="5919"/>
        <item m="1" x="6151"/>
        <item m="1" x="6383"/>
        <item m="1" x="6613"/>
        <item m="1" x="6846"/>
        <item m="1" x="7074"/>
        <item m="1" x="7541"/>
        <item m="1" x="7772"/>
        <item m="1" x="19"/>
        <item m="1" x="256"/>
        <item m="1" x="486"/>
        <item m="1" x="719"/>
        <item m="1" x="947"/>
        <item m="1" x="1182"/>
        <item m="1" x="1414"/>
        <item m="1" x="1649"/>
        <item m="1" x="1882"/>
        <item m="1" x="2116"/>
        <item m="1" x="2347"/>
        <item m="1" x="2579"/>
        <item m="1" x="2810"/>
        <item m="1" x="3042"/>
        <item m="1" x="3274"/>
        <item m="1" x="3504"/>
        <item m="1" x="3739"/>
        <item m="1" x="3974"/>
        <item m="1" x="4204"/>
        <item m="1" x="4438"/>
        <item m="1" x="4668"/>
        <item m="1" x="4905"/>
        <item m="1" x="5135"/>
        <item m="1" x="5367"/>
        <item m="1" x="5598"/>
        <item m="1" x="5831"/>
        <item m="1" x="6062"/>
        <item m="1" x="6293"/>
        <item m="1" x="6522"/>
        <item m="1" x="6758"/>
        <item m="1" x="6986"/>
        <item m="1" x="7221"/>
        <item m="1" x="7454"/>
        <item m="1" x="7686"/>
        <item m="1" x="7914"/>
        <item m="1" x="164"/>
        <item m="1" x="396"/>
        <item m="1" x="631"/>
        <item m="1" x="859"/>
        <item m="1" x="1093"/>
        <item m="1" x="1325"/>
        <item m="1" x="1560"/>
        <item m="1" x="1791"/>
        <item m="1" x="2024"/>
        <item m="1" x="2255"/>
        <item m="1" x="2490"/>
        <item m="1" x="2719"/>
        <item m="1" x="2954"/>
        <item m="1" x="3185"/>
        <item m="1" x="3416"/>
        <item m="1" x="3648"/>
        <item m="1" x="3881"/>
        <item m="1" x="4116"/>
        <item m="1" x="4349"/>
        <item m="1" x="4581"/>
        <item m="1" x="4814"/>
        <item m="1" x="5049"/>
        <item m="1" x="5279"/>
        <item m="1" x="5509"/>
        <item m="1" x="5739"/>
        <item m="1" x="6202"/>
        <item m="1" x="6434"/>
        <item m="1" x="6666"/>
        <item m="1" x="6899"/>
        <item m="1" x="7130"/>
        <item m="1" x="7362"/>
        <item m="1" x="7594"/>
        <item m="1" x="7826"/>
        <item m="1" x="73"/>
        <item m="1" x="307"/>
        <item m="1" x="541"/>
        <item m="1" x="773"/>
        <item m="1" x="1002"/>
        <item m="1" x="1235"/>
        <item m="1" x="1468"/>
        <item m="1" x="1701"/>
        <item m="1" x="1934"/>
        <item m="1" x="2167"/>
        <item m="1" x="2400"/>
        <item m="1" x="2631"/>
        <item m="1" x="2863"/>
        <item m="1" x="3093"/>
        <item m="1" x="3326"/>
        <item m="1" x="3557"/>
        <item m="1" x="3792"/>
        <item m="1" x="4026"/>
        <item m="1" x="4259"/>
        <item m="1" x="4493"/>
        <item m="1" x="4724"/>
        <item m="1" x="4959"/>
        <item m="1" x="5189"/>
        <item m="1" x="5421"/>
        <item m="1" x="5651"/>
        <item m="1" x="5885"/>
        <item m="1" x="6115"/>
        <item m="1" x="6348"/>
        <item m="1" x="6575"/>
        <item m="1" x="6811"/>
        <item m="1" x="7039"/>
        <item m="1" x="7276"/>
        <item m="1" x="7506"/>
        <item m="1" x="7737"/>
        <item m="1" x="7968"/>
        <item m="1" x="220"/>
        <item m="1" x="451"/>
        <item m="1" x="685"/>
        <item m="1" x="912"/>
        <item m="1" x="1147"/>
        <item m="1" x="1378"/>
        <item m="1" x="1614"/>
        <item m="1" x="1845"/>
        <item m="1" x="2080"/>
        <item m="1" x="2310"/>
        <item m="1" x="2544"/>
        <item m="1" x="2774"/>
        <item m="1" x="3008"/>
        <item m="1" x="3239"/>
        <item m="1" x="3469"/>
        <item m="1" x="3704"/>
        <item m="1" x="3940"/>
        <item m="1" x="4171"/>
        <item m="1" x="4404"/>
        <item m="1" x="4870"/>
        <item m="1" x="5102"/>
        <item m="1" x="5333"/>
        <item m="1" x="5562"/>
        <item m="1" x="5795"/>
        <item m="1" x="6027"/>
        <item m="1" x="6259"/>
        <item m="1" x="6488"/>
        <item m="1" x="6722"/>
        <item m="1" x="6951"/>
        <item m="1" x="7185"/>
        <item m="1" x="7418"/>
        <item m="1" x="7651"/>
        <item m="1" x="7881"/>
        <item m="1" x="130"/>
        <item m="1" x="360"/>
        <item m="1" x="597"/>
        <item m="1" x="825"/>
        <item m="1" x="1058"/>
        <item m="1" x="1287"/>
        <item m="1" x="1524"/>
        <item m="1" x="1755"/>
        <item m="1" x="1988"/>
        <item m="1" x="2221"/>
        <item m="1" x="2454"/>
        <item m="1" x="2682"/>
        <item m="1" x="2918"/>
        <item m="1" x="3149"/>
        <item m="1" x="3382"/>
        <item m="1" x="3613"/>
        <item m="1" x="3846"/>
        <item m="1" x="4080"/>
        <item m="1" x="4314"/>
        <item m="1" x="4545"/>
        <item m="1" x="4779"/>
        <item m="1" x="5012"/>
        <item m="1" x="5243"/>
        <item m="1" x="5475"/>
        <item m="1" x="5705"/>
        <item m="1" x="5936"/>
        <item m="1" x="6167"/>
        <item m="1" x="6398"/>
        <item m="1" x="6631"/>
        <item m="1" x="6863"/>
        <item m="1" x="7094"/>
        <item m="1" x="7328"/>
        <item m="1" x="7559"/>
        <item m="1" x="7790"/>
        <item m="1" x="37"/>
        <item m="1" x="271"/>
        <item m="1" x="505"/>
        <item m="1" x="736"/>
        <item m="1" x="966"/>
        <item m="1" x="1199"/>
        <item m="1" x="1433"/>
        <item m="1" x="1666"/>
        <item m="1" x="1900"/>
        <item m="1" x="2131"/>
        <item m="1" x="2366"/>
        <item m="1" x="2597"/>
        <item m="1" x="2830"/>
        <item m="1" x="3060"/>
        <item m="1" x="3293"/>
        <item m="1" x="3522"/>
        <item m="1" x="3757"/>
        <item m="1" x="3991"/>
        <item m="1" x="4224"/>
        <item m="1" x="4455"/>
        <item m="1" x="4689"/>
        <item m="1" x="4924"/>
        <item m="1" x="5155"/>
        <item m="1" x="5384"/>
        <item m="1" x="5616"/>
        <item m="1" x="5847"/>
        <item m="1" x="6081"/>
        <item m="1" x="6310"/>
        <item m="1" x="6542"/>
        <item m="1" x="6775"/>
        <item m="1" x="7005"/>
        <item m="1" x="7240"/>
        <item m="1" x="7471"/>
        <item m="1" x="7933"/>
        <item m="1" x="182"/>
        <item m="1" x="415"/>
        <item m="1" x="649"/>
        <item m="1" x="877"/>
        <item m="1" x="1111"/>
        <item m="1" x="1342"/>
        <item m="1" x="1576"/>
        <item m="1" x="1809"/>
        <item m="1" x="2042"/>
        <item m="1" x="2275"/>
        <item m="1" x="2509"/>
        <item m="1" x="2738"/>
        <item m="1" x="2972"/>
        <item m="1" x="3204"/>
        <item m="1" x="3433"/>
        <item m="1" x="3667"/>
        <item m="1" x="3900"/>
        <item m="1" x="4136"/>
        <item m="1" x="4368"/>
        <item m="1" x="4599"/>
        <item m="1" x="4832"/>
        <item m="1" x="5066"/>
        <item m="1" x="5295"/>
        <item m="1" x="5526"/>
        <item m="1" x="5758"/>
        <item m="1" x="5991"/>
        <item m="1" x="6221"/>
        <item m="1" x="6453"/>
        <item m="1" x="6684"/>
        <item m="1" x="6916"/>
        <item m="1" x="7147"/>
        <item m="1" x="7380"/>
        <item m="1" x="7612"/>
        <item m="1" x="7845"/>
        <item m="1" x="92"/>
        <item m="1" x="324"/>
        <item m="1" x="560"/>
        <item m="1" x="790"/>
        <item m="1" x="1020"/>
        <item m="1" x="1253"/>
        <item m="1" x="1488"/>
        <item m="1" x="1722"/>
        <item m="1" x="1953"/>
        <item m="1" x="2187"/>
        <item m="1" x="2419"/>
        <item m="1" x="2649"/>
        <item m="1" x="2880"/>
        <item m="1" x="3113"/>
        <item m="1" x="3345"/>
        <item m="1" x="3578"/>
        <item m="1" x="3812"/>
        <item m="1" x="4046"/>
        <item m="1" x="4278"/>
        <item m="1" x="4512"/>
        <item m="1" x="4741"/>
        <item m="1" x="4978"/>
        <item m="1" x="5208"/>
        <item m="1" x="5441"/>
        <item m="1" x="5670"/>
        <item m="1" x="5903"/>
        <item m="1" x="6133"/>
        <item m="1" x="6592"/>
        <item m="1" x="6829"/>
        <item m="1" x="7057"/>
        <item m="1" x="7294"/>
        <item m="1" x="7523"/>
        <item m="1" x="7755"/>
        <item m="1" x="7986"/>
        <item m="1" x="237"/>
        <item m="1" x="466"/>
        <item m="1" x="702"/>
        <item m="1" x="930"/>
        <item m="1" x="1166"/>
        <item m="1" x="1397"/>
        <item m="1" x="1633"/>
        <item m="1" x="1864"/>
        <item m="1" x="2098"/>
        <item m="1" x="2328"/>
        <item m="1" x="2563"/>
        <item m="1" x="2793"/>
        <item m="1" x="3027"/>
        <item m="1" x="3258"/>
        <item m="1" x="3488"/>
        <item m="1" x="3722"/>
        <item m="1" x="3957"/>
        <item m="1" x="4187"/>
        <item m="1" x="4422"/>
        <item m="1" x="4652"/>
        <item m="1" x="4890"/>
        <item m="1" x="5120"/>
        <item m="1" x="5351"/>
        <item m="1" x="5580"/>
        <item m="1" x="5813"/>
        <item m="1" x="6044"/>
        <item m="1" x="6277"/>
        <item m="1" x="6505"/>
        <item m="1" x="6741"/>
        <item m="1" x="6968"/>
        <item m="1" x="7204"/>
        <item m="1" x="7436"/>
        <item m="1" x="7669"/>
        <item m="1" x="7897"/>
        <item m="1" x="148"/>
        <item m="1" x="380"/>
        <item m="1" x="616"/>
        <item m="1" x="844"/>
        <item m="1" x="1077"/>
        <item m="1" x="1307"/>
        <item m="1" x="1542"/>
        <item m="1" x="1773"/>
        <item m="1" x="2007"/>
        <item m="1" x="2239"/>
        <item m="1" x="2475"/>
        <item m="1" x="2702"/>
        <item m="1" x="2938"/>
        <item m="1" x="3168"/>
        <item m="1" x="3400"/>
        <item m="1" x="3630"/>
        <item m="1" x="3865"/>
        <item m="1" x="4099"/>
        <item m="1" x="4334"/>
        <item m="1" x="4564"/>
        <item m="1" x="4797"/>
        <item m="1" x="5261"/>
        <item m="1" x="5492"/>
        <item m="1" x="5722"/>
        <item m="1" x="5954"/>
        <item m="1" x="6185"/>
        <item m="1" x="6416"/>
        <item m="1" x="6649"/>
        <item m="1" x="6881"/>
        <item m="1" x="7111"/>
        <item m="1" x="7343"/>
        <item m="1" x="7577"/>
        <item m="1" x="7809"/>
        <item m="1" x="57"/>
        <item m="1" x="290"/>
        <item m="1" x="523"/>
        <item m="1" x="755"/>
        <item m="1" x="985"/>
        <item m="1" x="1217"/>
        <item m="1" x="1451"/>
        <item m="1" x="1685"/>
        <item m="1" x="1919"/>
        <item m="1" x="2150"/>
        <item m="1" x="2384"/>
        <item m="1" x="2615"/>
        <item m="1" x="2846"/>
        <item m="1" x="3076"/>
        <item m="1" x="3310"/>
        <item m="1" x="3541"/>
        <item m="1" x="3776"/>
        <item m="1" x="4009"/>
        <item m="1" x="4241"/>
        <item m="1" x="4474"/>
        <item m="1" x="4706"/>
        <item m="1" x="4940"/>
        <item m="1" x="5172"/>
        <item m="1" x="5402"/>
        <item m="1" x="5633"/>
        <item m="1" x="5866"/>
        <item m="1" x="6098"/>
        <item m="1" x="6329"/>
        <item m="1" x="6557"/>
        <item m="1" x="6792"/>
        <item m="1" x="7022"/>
        <item m="1" x="7259"/>
        <item m="1" x="7491"/>
        <item m="1" x="7721"/>
        <item m="1" x="7950"/>
        <item m="1" x="202"/>
        <item m="1" x="433"/>
        <item m="1" x="666"/>
        <item m="1" x="895"/>
        <item m="1" x="1130"/>
        <item m="1" x="1362"/>
        <item m="1" x="1596"/>
        <item m="1" x="1828"/>
        <item m="1" x="2061"/>
        <item m="1" x="2293"/>
        <item m="1" x="2526"/>
        <item m="1" x="2756"/>
        <item m="1" x="2991"/>
        <item m="1" x="3223"/>
        <item m="1" x="3451"/>
        <item m="1" x="3685"/>
        <item m="1" x="3920"/>
        <item m="1" x="4153"/>
        <item m="1" x="4386"/>
        <item m="1" x="4616"/>
        <item m="1" x="4850"/>
        <item m="1" x="5085"/>
        <item m="1" x="5315"/>
        <item m="1" x="5544"/>
        <item m="1" x="5776"/>
        <item m="1" x="6008"/>
        <item m="1" x="6239"/>
        <item m="1" x="6470"/>
        <item m="1" x="6704"/>
        <item m="1" x="6936"/>
        <item m="1" x="7167"/>
        <item m="1" x="7399"/>
        <item m="1" x="7633"/>
        <item m="1" x="7863"/>
        <item m="1" x="343"/>
        <item m="1" x="579"/>
        <item m="1" x="809"/>
        <item m="1" x="1040"/>
        <item m="1" x="1270"/>
        <item m="1" x="1506"/>
        <item m="1" x="1738"/>
        <item m="1" x="1970"/>
        <item m="1" x="2204"/>
        <item m="1" x="2437"/>
        <item m="1" x="2667"/>
        <item m="1" x="2900"/>
        <item m="1" x="3131"/>
        <item m="1" x="3363"/>
        <item m="1" x="3595"/>
        <item m="1" x="3829"/>
        <item m="1" x="4063"/>
        <item m="1" x="4296"/>
        <item m="1" x="4530"/>
        <item m="1" x="4760"/>
        <item m="1" x="4995"/>
        <item m="1" x="5226"/>
        <item m="1" x="5458"/>
        <item m="1" x="5687"/>
        <item m="1" x="5920"/>
        <item m="1" x="6152"/>
        <item m="1" x="6384"/>
        <item m="1" x="6614"/>
        <item m="1" x="6847"/>
        <item m="1" x="7076"/>
        <item m="1" x="7311"/>
        <item m="1" x="7542"/>
        <item m="1" x="7773"/>
        <item m="1" x="20"/>
        <item m="1" x="257"/>
        <item m="1" x="487"/>
        <item m="1" x="720"/>
        <item m="1" x="949"/>
        <item m="1" x="1183"/>
        <item m="1" x="1415"/>
        <item m="1" x="1650"/>
        <item m="1" x="1883"/>
        <item m="1" x="2117"/>
        <item m="1" x="2348"/>
        <item m="1" x="2580"/>
        <item m="1" x="2812"/>
        <item m="1" x="3043"/>
        <item m="1" x="3275"/>
        <item m="1" x="3505"/>
        <item m="1" x="3740"/>
        <item m="1" x="3975"/>
        <item m="1" x="4205"/>
        <item m="1" x="4439"/>
        <item m="1" x="4670"/>
        <item m="1" x="4906"/>
        <item m="1" x="5136"/>
        <item m="1" x="5368"/>
        <item m="1" x="5599"/>
        <item m="1" x="5832"/>
        <item m="1" x="6063"/>
        <item m="1" x="6294"/>
        <item m="1" x="6524"/>
        <item m="1" x="6987"/>
        <item m="1" x="7222"/>
        <item m="1" x="7455"/>
        <item m="1" x="7687"/>
        <item m="1" x="7915"/>
        <item m="1" x="165"/>
        <item m="1" x="398"/>
        <item m="1" x="632"/>
        <item m="1" x="860"/>
        <item m="1" x="1094"/>
        <item m="1" x="1326"/>
        <item m="1" x="1561"/>
        <item m="1" x="1792"/>
        <item m="1" x="2025"/>
        <item m="1" x="2257"/>
        <item m="1" x="2491"/>
        <item m="1" x="2720"/>
        <item m="1" x="2955"/>
        <item m="1" x="3186"/>
        <item m="1" x="3417"/>
        <item m="1" x="3649"/>
        <item m="1" x="3882"/>
        <item m="1" x="4118"/>
        <item m="1" x="4350"/>
        <item m="1" x="4582"/>
        <item m="1" x="4815"/>
        <item m="1" x="5050"/>
        <item m="1" x="5280"/>
        <item m="1" x="5510"/>
        <item m="1" x="5740"/>
        <item m="1" x="5973"/>
        <item m="1" x="6203"/>
        <item m="1" x="6435"/>
        <item m="1" x="6667"/>
        <item m="1" x="6900"/>
        <item m="1" x="7131"/>
        <item m="1" x="7363"/>
        <item m="1" x="7595"/>
        <item m="1" x="7828"/>
        <item m="1" x="75"/>
        <item m="1" x="308"/>
        <item m="1" x="542"/>
        <item m="1" x="774"/>
        <item m="1" x="1003"/>
        <item m="1" x="1236"/>
        <item m="1" x="1469"/>
        <item m="1" x="1703"/>
        <item m="1" x="1935"/>
        <item m="1" x="2168"/>
        <item m="1" x="2401"/>
        <item m="1" x="2632"/>
        <item m="1" x="2864"/>
        <item m="1" x="3094"/>
        <item m="1" x="3327"/>
        <item m="1" x="3559"/>
        <item m="1" x="3793"/>
        <item m="1" x="4027"/>
        <item m="1" x="4260"/>
        <item m="1" x="4494"/>
        <item m="1" x="4725"/>
        <item m="1" x="4960"/>
        <item m="1" x="5190"/>
        <item m="1" x="5423"/>
        <item m="1" x="5652"/>
        <item m="1" x="5886"/>
        <item m="1" x="6116"/>
        <item m="1" x="6349"/>
        <item m="1" x="6576"/>
        <item m="1" x="6812"/>
        <item m="1" x="7040"/>
        <item m="1" x="7278"/>
        <item m="1" x="7507"/>
        <item m="1" x="7738"/>
        <item m="1" x="7969"/>
        <item m="1" x="221"/>
        <item m="1" x="452"/>
        <item m="1" x="686"/>
        <item m="1" x="913"/>
        <item m="1" x="1149"/>
        <item m="1" x="1379"/>
        <item m="1" x="1615"/>
        <item m="1" x="2081"/>
        <item m="1" x="2311"/>
        <item m="1" x="2545"/>
        <item m="1" x="2775"/>
        <item m="1" x="3010"/>
        <item m="1" x="3240"/>
        <item m="1" x="3470"/>
        <item m="1" x="3705"/>
        <item m="1" x="3941"/>
        <item m="1" x="4172"/>
        <item m="1" x="4405"/>
        <item m="1" x="4634"/>
        <item m="1" x="4872"/>
        <item m="1" x="5103"/>
        <item m="1" x="5334"/>
        <item m="1" x="5563"/>
        <item m="1" x="5796"/>
        <item m="1" x="6028"/>
        <item m="1" x="6260"/>
        <item m="1" x="6489"/>
        <item m="1" x="6724"/>
        <item m="1" x="6952"/>
        <item m="1" x="7186"/>
        <item m="1" x="7419"/>
        <item m="1" x="7652"/>
        <item m="1" x="7882"/>
        <item m="1" x="131"/>
        <item m="1" x="361"/>
        <item m="1" x="599"/>
        <item m="1" x="826"/>
        <item m="1" x="1059"/>
        <item m="1" x="1288"/>
        <item m="1" x="1525"/>
        <item m="1" x="1756"/>
        <item m="1" x="1989"/>
        <item m="1" x="2222"/>
        <item m="1" x="2456"/>
        <item m="1" x="2683"/>
        <item m="1" x="2919"/>
        <item m="1" x="3150"/>
        <item m="1" x="3383"/>
        <item m="1" x="3614"/>
        <item m="1" x="3847"/>
        <item m="1" x="4081"/>
        <item m="1" x="4316"/>
        <item m="1" x="4546"/>
        <item m="1" x="4780"/>
        <item m="1" x="5013"/>
        <item m="1" x="5244"/>
        <item m="1" x="5476"/>
        <item m="1" x="5706"/>
        <item m="1" x="5937"/>
        <item m="1" x="6169"/>
        <item m="1" x="6399"/>
        <item m="1" x="6632"/>
        <item m="1" x="6864"/>
        <item m="1" x="7095"/>
        <item m="1" x="7329"/>
        <item m="1" x="7560"/>
        <item m="1" x="7791"/>
        <item m="1" x="39"/>
        <item m="1" x="272"/>
        <item m="1" x="737"/>
        <item m="1" x="967"/>
        <item m="1" x="1200"/>
        <item m="1" x="1434"/>
        <item m="1" x="1667"/>
        <item m="1" x="1902"/>
        <item m="1" x="2132"/>
        <item m="1" x="2367"/>
        <item m="1" x="2598"/>
        <item m="1" x="2831"/>
        <item m="1" x="3061"/>
        <item m="1" x="3294"/>
        <item m="1" x="3523"/>
        <item m="1" x="3759"/>
        <item m="1" x="3992"/>
        <item m="1" x="4225"/>
        <item m="1" x="4456"/>
        <item m="1" x="4690"/>
        <item m="1" x="4925"/>
        <item m="1" x="5156"/>
        <item m="1" x="5385"/>
        <item m="1" x="5618"/>
        <item m="1" x="5849"/>
        <item m="1" x="6082"/>
        <item m="1" x="6311"/>
        <item m="1" x="6543"/>
        <item m="1" x="6776"/>
        <item m="1" x="7006"/>
        <item m="1" x="7241"/>
        <item m="1" x="7473"/>
        <item m="1" x="7703"/>
        <item m="1" x="7934"/>
        <item m="1" x="183"/>
        <item m="1" x="416"/>
        <item m="1" x="650"/>
        <item m="1" x="878"/>
        <item m="1" x="1112"/>
        <item m="1" x="1344"/>
        <item m="1" x="1577"/>
        <item m="1" x="1810"/>
        <item m="1" x="2043"/>
        <item m="1" x="2276"/>
        <item m="1" x="2510"/>
        <item m="1" x="2739"/>
        <item m="1" x="2973"/>
        <item m="1" x="3206"/>
        <item m="1" x="3434"/>
        <item m="1" x="3668"/>
        <item m="1" x="3901"/>
        <item m="1" x="4137"/>
        <item m="1" x="4369"/>
        <item m="1" x="4600"/>
        <item m="1" x="4833"/>
        <item m="1" x="5068"/>
        <item m="1" x="5296"/>
        <item m="1" x="5527"/>
        <item m="1" x="5759"/>
        <item m="1" x="5992"/>
        <item m="1" x="6222"/>
        <item m="1" x="6454"/>
        <item m="1" x="6685"/>
        <item m="1" x="6918"/>
        <item m="1" x="7381"/>
        <item m="1" x="7613"/>
        <item m="1" x="7846"/>
        <item m="1" x="93"/>
        <item m="1" x="325"/>
        <item m="1" x="561"/>
        <item m="1" x="792"/>
        <item m="1" x="1021"/>
        <item m="1" x="1254"/>
        <item m="1" x="1489"/>
        <item m="1" x="1723"/>
        <item m="1" x="1954"/>
        <item m="1" x="2188"/>
        <item m="1" x="2420"/>
        <item m="1" x="2651"/>
        <item m="1" x="2881"/>
        <item m="1" x="3114"/>
        <item m="1" x="3346"/>
        <item m="1" x="3579"/>
        <item m="1" x="3813"/>
        <item m="1" x="4047"/>
        <item m="1" x="4279"/>
        <item m="1" x="4514"/>
        <item m="1" x="4742"/>
        <item m="1" x="4979"/>
        <item m="1" x="5209"/>
        <item m="1" x="5442"/>
        <item m="1" x="5671"/>
        <item m="1" x="5904"/>
        <item m="1" x="6134"/>
        <item m="1" x="6367"/>
        <item m="1" x="6593"/>
        <item m="1" x="6830"/>
        <item m="1" x="7058"/>
        <item m="1" x="7295"/>
        <item m="1" x="7524"/>
        <item m="1" x="7756"/>
        <item m="1" x="7987"/>
        <item m="1" x="239"/>
        <item m="1" x="467"/>
        <item m="1" x="703"/>
        <item m="1" x="931"/>
        <item m="1" x="1167"/>
        <item m="1" x="1398"/>
        <item m="1" x="1634"/>
        <item m="1" x="1865"/>
        <item m="1" x="2100"/>
        <item m="1" x="2329"/>
        <item m="1" x="2564"/>
        <item m="1" x="2794"/>
        <item m="1" x="3028"/>
        <item m="1" x="3259"/>
        <item m="1" x="3489"/>
        <item m="1" x="3723"/>
        <item m="1" x="3959"/>
        <item m="1" x="4188"/>
        <item m="1" x="4423"/>
        <item m="1" x="4653"/>
        <item m="1" x="4891"/>
        <item m="1" x="5121"/>
        <item m="1" x="5352"/>
        <item m="1" x="5581"/>
        <item m="1" x="5815"/>
        <item m="1" x="6045"/>
        <item m="1" x="6278"/>
        <item m="1" x="6506"/>
        <item m="1" x="6742"/>
        <item m="1" x="6969"/>
        <item m="1" x="7205"/>
        <item m="1" x="7437"/>
        <item m="1" x="7671"/>
        <item m="1" x="7898"/>
        <item m="1" x="149"/>
        <item m="1" x="381"/>
        <item m="1" x="617"/>
        <item m="1" x="845"/>
        <item m="1" x="1078"/>
        <item m="1" x="1308"/>
        <item m="1" x="1544"/>
        <item m="1" x="1774"/>
        <item m="1" x="2008"/>
        <item m="1" x="2476"/>
        <item m="1" x="2703"/>
        <item m="1" x="2939"/>
        <item m="1" x="3169"/>
        <item m="1" x="3402"/>
        <item m="1" x="3632"/>
        <item m="1" x="3866"/>
        <item m="1" x="4100"/>
        <item m="1" x="4335"/>
        <item m="1" x="4565"/>
        <item m="1" x="4798"/>
        <item m="1" x="5031"/>
        <item m="1" x="5263"/>
        <item m="1" x="5493"/>
        <item m="1" x="5723"/>
        <item m="1" x="5955"/>
        <item m="1" x="6186"/>
        <item m="1" x="6417"/>
        <item m="1" x="6650"/>
        <item m="1" x="6882"/>
        <item m="1" x="7113"/>
        <item m="1" x="7344"/>
        <item m="1" x="7578"/>
        <item m="1" x="7810"/>
        <item m="1" x="58"/>
        <item m="1" x="291"/>
        <item m="1" x="524"/>
        <item m="1" x="756"/>
        <item m="1" x="987"/>
        <item m="1" x="1218"/>
        <item m="1" x="1452"/>
        <item m="1" x="1686"/>
        <item m="1" x="1920"/>
        <item m="1" x="2151"/>
        <item m="1" x="2385"/>
        <item m="1" x="2616"/>
        <item m="1" x="2848"/>
        <item m="1" x="3077"/>
        <item m="1" x="3311"/>
        <item m="1" x="3542"/>
        <item m="1" x="3777"/>
        <item m="1" x="4010"/>
        <item m="1" x="4242"/>
        <item m="1" x="4475"/>
        <item m="1" x="4708"/>
        <item m="1" x="4941"/>
        <item m="1" x="5173"/>
        <item m="1" x="5403"/>
        <item m="1" x="5634"/>
        <item m="1" x="5867"/>
        <item m="1" x="6099"/>
        <item m="1" x="6330"/>
        <item m="1" x="6559"/>
        <item m="1" x="6793"/>
        <item m="1" x="7023"/>
        <item m="1" x="7260"/>
        <item m="1" x="7492"/>
        <item m="1" x="7722"/>
        <item m="1" x="7951"/>
        <item m="1" x="203"/>
        <item m="1" x="435"/>
        <item m="1" x="667"/>
        <item m="1" x="1131"/>
        <item m="1" x="1363"/>
        <item m="1" x="1597"/>
        <item m="1" x="1829"/>
        <item m="1" x="2062"/>
        <item m="1" x="2295"/>
        <item m="1" x="2527"/>
        <item m="1" x="2757"/>
        <item m="1" x="2992"/>
        <item m="1" x="3224"/>
        <item m="1" x="3452"/>
        <item m="1" x="3686"/>
        <item m="1" x="3921"/>
        <item m="1" x="4155"/>
        <item m="1" x="4387"/>
        <item m="1" x="4617"/>
        <item m="1" x="4851"/>
        <item m="1" x="5086"/>
        <item m="1" x="5316"/>
        <item m="1" x="5545"/>
        <item m="1" x="5777"/>
        <item m="1" x="6010"/>
        <item m="1" x="6240"/>
        <item m="1" x="6471"/>
        <item m="1" x="6705"/>
        <item m="1" x="6937"/>
        <item m="1" x="7168"/>
        <item m="1" x="7400"/>
        <item m="1" x="7634"/>
        <item m="1" x="7865"/>
        <item m="1" x="112"/>
        <item m="1" x="344"/>
        <item m="1" x="580"/>
        <item m="1" x="810"/>
        <item m="1" x="1041"/>
        <item m="1" x="1271"/>
        <item m="1" x="1507"/>
        <item m="1" x="1740"/>
        <item m="1" x="1971"/>
        <item m="1" x="2205"/>
        <item m="1" x="2438"/>
        <item m="1" x="2668"/>
        <item m="1" x="2901"/>
        <item m="1" x="3132"/>
        <item m="1" x="3364"/>
        <item m="1" x="3597"/>
        <item m="1" x="3830"/>
        <item m="1" x="4064"/>
        <item m="1" x="4297"/>
        <item m="1" x="4531"/>
        <item m="1" x="4761"/>
        <item m="1" x="4996"/>
        <item m="1" x="5227"/>
        <item m="1" x="5460"/>
        <item m="1" x="5688"/>
        <item m="1" x="5921"/>
        <item m="1" x="6153"/>
        <item m="1" x="6385"/>
        <item m="1" x="6615"/>
        <item m="1" x="6848"/>
        <item m="1" x="7077"/>
        <item m="1" x="7313"/>
        <item m="1" x="7774"/>
        <item m="1" x="21"/>
        <item m="1" x="258"/>
        <item m="1" x="488"/>
        <item m="1" x="721"/>
        <item m="1" x="950"/>
        <item m="1" x="1185"/>
        <item m="1" x="1417"/>
        <item m="1" x="1651"/>
        <item m="1" x="1884"/>
        <item m="1" x="2118"/>
        <item m="1" x="2349"/>
        <item m="1" x="2581"/>
        <item m="1" x="2813"/>
        <item m="1" x="3045"/>
        <item m="1" x="3276"/>
        <item m="1" x="3506"/>
        <item m="1" x="3741"/>
        <item m="1" x="3976"/>
        <item m="1" x="4206"/>
        <item m="1" x="4440"/>
        <item m="1" x="4671"/>
        <item m="1" x="4908"/>
        <item m="1" x="5137"/>
        <item m="1" x="5369"/>
        <item m="1" x="5600"/>
        <item m="1" x="5833"/>
        <item m="1" x="6064"/>
        <item m="1" x="6295"/>
        <item m="1" x="6525"/>
        <item m="1" x="6760"/>
        <item m="1" x="6988"/>
        <item m="1" x="7223"/>
        <item m="1" x="7456"/>
        <item m="1" x="7688"/>
        <item m="1" x="7916"/>
        <item m="1" x="166"/>
        <item m="1" x="399"/>
        <item m="1" x="634"/>
        <item m="1" x="861"/>
        <item m="1" x="1095"/>
        <item m="1" x="1327"/>
        <item m="1" x="1562"/>
        <item m="1" x="1793"/>
        <item m="1" x="2026"/>
        <item m="1" x="2258"/>
        <item m="1" x="2493"/>
        <item m="1" x="2721"/>
        <item m="1" x="2956"/>
        <item m="1" x="3187"/>
        <item m="1" x="3418"/>
        <item m="1" x="3650"/>
        <item m="1" x="3883"/>
        <item m="1" x="4119"/>
        <item m="1" x="4352"/>
        <item m="1" x="4583"/>
        <item m="1" x="4816"/>
        <item m="1" x="5051"/>
        <item m="1" x="5281"/>
        <item m="1" x="5511"/>
        <item m="1" x="5741"/>
        <item m="1" x="5974"/>
        <item m="1" x="6205"/>
        <item m="1" x="6436"/>
        <item m="1" x="6668"/>
        <item m="1" x="6901"/>
        <item m="1" x="7132"/>
        <item m="1" x="7364"/>
        <item m="1" x="7596"/>
        <item m="1" x="7829"/>
        <item m="1" x="77"/>
        <item m="1" x="309"/>
        <item m="1" x="543"/>
        <item m="1" x="775"/>
        <item m="1" x="1004"/>
        <item m="1" x="1237"/>
        <item m="1" x="1470"/>
        <item m="1" x="1704"/>
        <item m="1" x="1937"/>
        <item m="1" x="2169"/>
        <item m="1" x="2402"/>
        <item m="1" x="2865"/>
        <item m="1" x="3095"/>
        <item m="1" x="3328"/>
        <item m="1" x="3560"/>
        <item m="1" x="3795"/>
        <item m="1" x="4028"/>
        <item m="1" x="4261"/>
        <item m="1" x="4495"/>
        <item m="1" x="4726"/>
        <item m="1" x="4961"/>
        <item m="1" x="5191"/>
        <item m="1" x="5424"/>
        <item m="1" x="5654"/>
        <item m="1" x="5887"/>
        <item m="1" x="6117"/>
        <item m="1" x="6350"/>
        <item m="1" x="6577"/>
        <item m="1" x="6813"/>
        <item m="1" x="7041"/>
        <item m="1" x="7279"/>
        <item m="1" x="7509"/>
        <item m="1" x="7739"/>
        <item m="1" x="7970"/>
        <item m="1" x="222"/>
        <item m="1" x="453"/>
        <item m="1" x="687"/>
        <item m="1" x="914"/>
        <item m="1" x="1150"/>
        <item m="1" x="1381"/>
        <item m="1" x="1616"/>
        <item m="1" x="1846"/>
        <item m="1" x="2082"/>
        <item m="1" x="2312"/>
        <item m="1" x="2546"/>
        <item m="1" x="2776"/>
        <item m="1" x="3011"/>
        <item m="1" x="3242"/>
        <item m="1" x="3471"/>
        <item m="1" x="3706"/>
        <item m="1" x="3942"/>
        <item m="1" x="4173"/>
        <item m="1" x="4406"/>
        <item m="1" x="4635"/>
        <item m="1" x="4873"/>
        <item m="1" x="5105"/>
        <item m="1" x="5335"/>
        <item m="1" x="5564"/>
        <item m="1" x="5797"/>
        <item m="1" x="6029"/>
        <item m="1" x="6261"/>
        <item m="1" x="6490"/>
        <item m="1" x="6725"/>
        <item m="1" x="6954"/>
        <item m="1" x="7188"/>
        <item m="1" x="7420"/>
        <item m="1" x="7653"/>
        <item m="1" x="7883"/>
        <item m="1" x="132"/>
        <item m="1" x="362"/>
        <item m="1" x="600"/>
        <item m="1" x="828"/>
        <item m="1" x="1060"/>
        <item m="1" x="1526"/>
        <item m="1" x="1757"/>
        <item m="1" x="1990"/>
        <item m="1" x="2223"/>
        <item m="1" x="2457"/>
        <item m="1" x="2685"/>
        <item m="1" x="2920"/>
        <item m="1" x="3151"/>
        <item m="1" x="3384"/>
        <item m="1" x="3615"/>
        <item m="1" x="3848"/>
        <item m="1" x="4082"/>
        <item m="1" x="4317"/>
        <item m="1" x="4548"/>
        <item m="1" x="4781"/>
        <item m="1" x="5014"/>
        <item m="1" x="5245"/>
        <item m="1" x="5477"/>
        <item m="1" x="5707"/>
        <item m="1" x="5938"/>
        <item m="1" x="6170"/>
        <item m="1" x="6401"/>
        <item m="1" x="6633"/>
        <item m="1" x="6865"/>
        <item m="1" x="7096"/>
        <item m="1" x="7330"/>
        <item m="1" x="7561"/>
        <item m="1" x="7792"/>
        <item m="1" x="40"/>
        <item m="1" x="274"/>
        <item m="1" x="506"/>
        <item m="1" x="738"/>
        <item m="1" x="968"/>
        <item m="1" x="1201"/>
        <item m="1" x="1435"/>
        <item m="1" x="1668"/>
        <item m="1" x="1903"/>
        <item m="1" x="2134"/>
        <item m="1" x="2368"/>
        <item m="1" x="2599"/>
        <item m="1" x="2832"/>
        <item m="1" x="3062"/>
        <item m="1" x="3295"/>
        <item m="1" x="3524"/>
        <item m="1" x="3760"/>
        <item m="1" x="3994"/>
        <item m="1" x="4226"/>
        <item m="1" x="4457"/>
        <item m="1" x="4691"/>
        <item m="1" x="4926"/>
        <item m="1" x="5157"/>
        <item m="1" x="5386"/>
        <item m="1" x="5619"/>
        <item m="1" x="5851"/>
        <item m="1" x="6083"/>
        <item m="1" x="6312"/>
        <item m="1" x="6544"/>
        <item m="1" x="6777"/>
        <item m="1" x="7007"/>
        <item m="1" x="7242"/>
        <item m="1" x="7474"/>
        <item m="1" x="7705"/>
        <item m="1" x="184"/>
        <item m="1" x="417"/>
        <item m="1" x="651"/>
        <item m="1" x="879"/>
        <item m="1" x="1113"/>
        <item m="1" x="1345"/>
        <item m="1" x="1579"/>
        <item m="1" x="1811"/>
        <item m="1" x="2044"/>
        <item m="1" x="2277"/>
        <item m="1" x="2511"/>
        <item m="1" x="2740"/>
        <item m="1" x="2974"/>
        <item m="1" x="3207"/>
        <item m="1" x="3436"/>
        <item m="1" x="3669"/>
        <item m="1" x="3902"/>
        <item m="1" x="4138"/>
        <item m="1" x="4370"/>
        <item m="1" x="4601"/>
        <item m="1" x="4834"/>
        <item m="1" x="5069"/>
        <item m="1" x="5298"/>
        <item m="1" x="5528"/>
        <item m="1" x="5760"/>
        <item m="1" x="5993"/>
        <item m="1" x="6223"/>
        <item m="1" x="6455"/>
        <item m="1" x="6686"/>
        <item m="1" x="6919"/>
        <item m="1" x="7149"/>
        <item m="1" x="7382"/>
        <item m="1" x="7614"/>
        <item m="1" x="7847"/>
        <item m="1" x="94"/>
        <item m="1" x="326"/>
        <item m="1" x="562"/>
        <item m="1" x="793"/>
        <item m="1" x="1023"/>
        <item m="1" x="1255"/>
        <item m="1" x="1490"/>
        <item m="1" x="1724"/>
        <item m="1" x="1955"/>
        <item m="1" x="2189"/>
        <item m="1" x="2421"/>
        <item m="1" x="2652"/>
        <item m="1" x="2883"/>
        <item m="1" x="3115"/>
        <item m="1" x="3347"/>
        <item m="1" x="3580"/>
        <item m="1" x="3814"/>
        <item m="1" x="4048"/>
        <item m="1" x="4280"/>
        <item m="1" x="4515"/>
        <item m="1" x="4744"/>
        <item m="1" x="4981"/>
        <item m="1" x="5210"/>
        <item m="1" x="5443"/>
        <item m="1" x="5672"/>
        <item m="1" x="5905"/>
        <item m="1" x="6135"/>
        <item m="1" x="6368"/>
        <item m="1" x="6595"/>
        <item m="1" x="6831"/>
        <item m="1" x="7059"/>
        <item m="1" x="7296"/>
        <item m="1" x="7525"/>
        <item m="1" x="7757"/>
        <item m="1" x="7988"/>
        <item m="1" x="240"/>
        <item m="1" x="469"/>
        <item m="1" x="704"/>
        <item m="1" x="932"/>
        <item m="1" x="1168"/>
        <item m="1" x="1399"/>
        <item m="1" x="1635"/>
        <item m="1" x="1866"/>
        <item m="1" x="2101"/>
        <item m="1" x="2331"/>
        <item m="1" x="2565"/>
        <item m="1" x="2795"/>
        <item m="1" x="3260"/>
        <item m="1" x="3490"/>
        <item m="1" x="3724"/>
        <item m="1" x="3960"/>
        <item m="1" x="4190"/>
        <item m="1" x="4424"/>
        <item m="1" x="4654"/>
        <item m="1" x="4892"/>
        <item m="1" x="5122"/>
        <item m="1" x="5353"/>
        <item m="1" x="5582"/>
        <item m="1" x="5816"/>
        <item m="1" x="6046"/>
        <item m="1" x="6279"/>
        <item m="1" x="6507"/>
        <item m="1" x="6743"/>
        <item m="1" x="6970"/>
        <item m="1" x="7206"/>
        <item m="1" x="7438"/>
        <item m="1" x="7672"/>
        <item m="1" x="7899"/>
        <item m="1" x="150"/>
        <item m="1" x="382"/>
        <item m="1" x="618"/>
        <item m="1" x="846"/>
        <item m="1" x="1079"/>
        <item m="1" x="1309"/>
        <item m="1" x="1545"/>
        <item m="1" x="1775"/>
        <item m="1" x="2009"/>
        <item m="1" x="2240"/>
        <item m="1" x="2477"/>
        <item m="1" x="2704"/>
        <item m="1" x="2940"/>
        <item m="1" x="3170"/>
        <item m="1" x="3403"/>
        <item m="1" x="3633"/>
        <item m="1" x="3867"/>
        <item m="1" x="4101"/>
        <item m="1" x="4336"/>
        <item m="1" x="4566"/>
        <item m="1" x="4799"/>
        <item m="1" x="5032"/>
        <item m="1" x="5264"/>
        <item m="1" x="5494"/>
        <item m="1" x="5724"/>
        <item m="1" x="5956"/>
        <item m="1" x="6187"/>
        <item m="1" x="6418"/>
        <item m="1" x="6651"/>
        <item m="1" x="6883"/>
        <item m="1" x="7114"/>
        <item m="1" x="7345"/>
        <item m="1" x="7579"/>
        <item m="1" x="7811"/>
        <item m="1" x="59"/>
        <item m="1" x="292"/>
        <item m="1" x="526"/>
        <item m="1" x="757"/>
        <item m="1" x="988"/>
        <item m="1" x="1219"/>
        <item m="1" x="1453"/>
        <item m="1" x="1921"/>
        <item m="1" x="2152"/>
        <item m="1" x="2386"/>
        <item m="1" x="2617"/>
        <item m="1" x="2849"/>
        <item m="1" x="3078"/>
        <item m="1" x="3312"/>
        <item m="1" x="3543"/>
        <item m="1" x="3778"/>
        <item m="1" x="4011"/>
        <item m="1" x="4244"/>
        <item m="1" x="4476"/>
        <item m="1" x="4709"/>
        <item m="1" x="4942"/>
        <item m="1" x="5174"/>
        <item m="1" x="5404"/>
        <item m="1" x="5635"/>
        <item m="1" x="5868"/>
        <item m="1" x="6100"/>
        <item m="1" x="6331"/>
        <item m="1" x="6560"/>
        <item m="1" x="6794"/>
        <item m="1" x="7024"/>
        <item m="1" x="7261"/>
        <item m="1" x="7493"/>
        <item m="1" x="7723"/>
        <item m="1" x="7953"/>
        <item m="1" x="204"/>
        <item m="1" x="436"/>
        <item m="1" x="668"/>
        <item m="1" x="896"/>
        <item m="1" x="1132"/>
        <item m="1" x="1364"/>
        <item m="1" x="1598"/>
        <item m="1" x="1830"/>
        <item m="1" x="2064"/>
        <item m="1" x="2296"/>
        <item m="1" x="2528"/>
        <item m="1" x="2759"/>
        <item m="1" x="2993"/>
        <item m="1" x="3225"/>
        <item m="1" x="3453"/>
        <item m="1" x="3688"/>
        <item m="1" x="3922"/>
        <item m="1" x="4156"/>
        <item m="1" x="4388"/>
        <item m="1" x="4618"/>
        <item m="1" x="4852"/>
        <item m="1" x="5087"/>
        <item m="1" x="5317"/>
        <item m="1" x="5546"/>
        <item m="1" x="5778"/>
        <item m="1" x="6011"/>
        <item m="1" x="6241"/>
        <item m="1" x="6472"/>
        <item m="1" x="6706"/>
        <item m="1" x="6938"/>
        <item m="1" x="7169"/>
        <item m="1" x="7402"/>
        <item m="1" x="7635"/>
        <item m="1" x="7866"/>
        <item m="1" x="113"/>
        <item m="1" x="581"/>
        <item m="1" x="811"/>
        <item m="1" x="1042"/>
        <item m="1" x="1272"/>
        <item m="1" x="1508"/>
        <item m="1" x="1741"/>
        <item m="1" x="1972"/>
        <item m="1" x="2206"/>
        <item m="1" x="2439"/>
        <item m="1" x="2669"/>
        <item m="1" x="2902"/>
        <item m="1" x="3134"/>
        <item m="1" x="3365"/>
        <item m="1" x="3598"/>
        <item m="1" x="3831"/>
        <item m="1" x="4065"/>
        <item m="1" x="4298"/>
        <item m="1" x="4532"/>
        <item m="1" x="4762"/>
        <item m="1" x="4997"/>
        <item m="1" x="5228"/>
        <item m="1" x="5461"/>
        <item m="1" x="5689"/>
        <item m="1" x="5922"/>
        <item m="1" x="6154"/>
        <item m="1" x="6386"/>
        <item m="1" x="6616"/>
        <item m="1" x="6850"/>
        <item m="1" x="7078"/>
        <item m="1" x="7314"/>
        <item m="1" x="7543"/>
        <item m="1" x="7775"/>
        <item m="1" x="22"/>
        <item m="1" x="259"/>
        <item m="1" x="489"/>
        <item m="1" x="722"/>
        <item m="1" x="951"/>
        <item m="1" x="1186"/>
        <item m="1" x="1418"/>
        <item m="1" x="1652"/>
        <item m="1" x="1885"/>
        <item m="1" x="2119"/>
        <item m="1" x="2350"/>
        <item m="1" x="2583"/>
        <item m="1" x="2814"/>
        <item m="1" x="3046"/>
        <item m="1" x="3277"/>
        <item m="1" x="3507"/>
        <item m="1" x="3742"/>
        <item m="1" x="3977"/>
        <item m="1" x="4207"/>
        <item m="1" x="4441"/>
        <item m="1" x="4672"/>
        <item m="1" x="4909"/>
        <item m="1" x="5138"/>
        <item m="1" x="5370"/>
        <item m="1" x="5601"/>
        <item m="1" x="5834"/>
        <item m="1" x="6065"/>
        <item m="1" x="6297"/>
        <item m="1" x="6526"/>
        <item m="1" x="6761"/>
        <item m="1" x="6989"/>
        <item m="1" x="7224"/>
        <item m="1" x="7457"/>
        <item m="1" x="7689"/>
        <item m="1" x="7917"/>
        <item m="1" x="167"/>
        <item m="1" x="400"/>
        <item m="1" x="635"/>
        <item m="1" x="862"/>
        <item m="1" x="1096"/>
        <item m="1" x="1328"/>
        <item m="1" x="1563"/>
        <item m="1" x="1794"/>
        <item m="1" x="2028"/>
        <item m="1" x="2259"/>
        <item m="1" x="2494"/>
        <item m="1" x="2722"/>
        <item m="1" x="2957"/>
        <item m="1" x="3188"/>
        <item m="1" x="3651"/>
        <item m="1" x="3884"/>
        <item m="1" x="4120"/>
        <item m="1" x="4353"/>
        <item m="1" x="4584"/>
        <item m="1" x="4817"/>
        <item m="1" x="5052"/>
        <item m="1" x="5282"/>
        <item m="1" x="5512"/>
        <item m="1" x="5743"/>
        <item m="1" x="5975"/>
        <item m="1" x="6206"/>
        <item m="1" x="6437"/>
        <item m="1" x="6669"/>
        <item m="1" x="6902"/>
        <item m="1" x="7133"/>
        <item m="1" x="7365"/>
        <item m="1" x="7597"/>
        <item m="1" x="7830"/>
        <item m="1" x="78"/>
        <item m="1" x="310"/>
        <item m="1" x="545"/>
        <item m="1" x="776"/>
        <item m="1" x="1005"/>
        <item m="1" x="1238"/>
        <item m="1" x="1472"/>
        <item m="1" x="1705"/>
        <item m="1" x="1938"/>
        <item m="1" x="2170"/>
        <item m="1" x="2403"/>
        <item m="1" x="2633"/>
        <item m="1" x="2866"/>
        <item m="1" x="3096"/>
        <item m="1" x="3329"/>
        <item m="1" x="3561"/>
        <item m="1" x="3796"/>
        <item m="1" x="4029"/>
        <item m="1" x="4262"/>
        <item m="1" x="4496"/>
        <item m="1" x="4727"/>
        <item m="1" x="4962"/>
        <item m="1" x="5193"/>
        <item m="1" x="5425"/>
        <item m="1" x="5655"/>
        <item m="1" x="5888"/>
        <item m="1" x="6118"/>
        <item m="1" x="6351"/>
        <item m="1" x="6578"/>
        <item m="1" x="6814"/>
        <item m="1" x="7042"/>
        <item m="1" x="7280"/>
        <item m="1" x="7510"/>
        <item m="1" x="7740"/>
        <item m="1" x="7971"/>
        <item m="1" x="223"/>
        <item m="1" x="454"/>
        <item m="1" x="688"/>
        <item m="1" x="916"/>
        <item m="1" x="1151"/>
        <item m="1" x="1382"/>
        <item m="1" x="1617"/>
        <item m="1" x="1847"/>
        <item m="1" x="2313"/>
        <item m="1" x="2547"/>
        <item m="1" x="2777"/>
        <item m="1" x="3012"/>
        <item m="1" x="3243"/>
        <item m="1" x="3472"/>
        <item m="1" x="3707"/>
        <item m="1" x="3943"/>
        <item m="1" x="4174"/>
        <item m="1" x="4407"/>
        <item m="1" x="4637"/>
        <item m="1" x="4874"/>
        <item m="1" x="5106"/>
        <item m="1" x="5336"/>
        <item m="1" x="5565"/>
        <item m="1" x="5798"/>
        <item m="1" x="6030"/>
        <item m="1" x="6262"/>
        <item m="1" x="6491"/>
        <item m="1" x="6726"/>
        <item m="1" x="6955"/>
        <item m="1" x="7189"/>
        <item m="1" x="7421"/>
        <item m="1" x="7654"/>
        <item m="1" x="7884"/>
        <item m="1" x="133"/>
        <item m="1" x="364"/>
        <item m="1" x="601"/>
        <item m="1" x="829"/>
        <item m="1" x="1061"/>
        <item m="1" x="1289"/>
        <item m="1" x="1527"/>
        <item m="1" x="1758"/>
        <item m="1" x="1991"/>
        <item m="1" x="2224"/>
        <item m="1" x="2458"/>
        <item m="1" x="2686"/>
        <item m="1" x="2921"/>
        <item m="1" x="3152"/>
        <item m="1" x="3385"/>
        <item m="1" x="3616"/>
        <item m="1" x="3849"/>
        <item m="1" x="4084"/>
        <item m="1" x="4318"/>
        <item m="1" x="4549"/>
        <item m="1" x="4782"/>
        <item m="1" x="5015"/>
        <item m="1" x="5246"/>
        <item m="1" x="5478"/>
        <item m="1" x="5708"/>
        <item m="1" x="5939"/>
        <item m="1" x="6171"/>
        <item m="1" x="6402"/>
        <item m="1" x="6634"/>
        <item m="1" x="6866"/>
        <item m="1" x="7097"/>
        <item m="1" x="7331"/>
        <item m="1" x="7562"/>
        <item m="1" x="7794"/>
        <item m="1" x="41"/>
        <item m="1" x="275"/>
        <item m="1" x="507"/>
        <item m="1" x="969"/>
        <item m="1" x="1202"/>
        <item m="1" x="1436"/>
        <item m="1" x="1669"/>
        <item m="1" x="1904"/>
        <item m="1" x="2135"/>
        <item m="1" x="2369"/>
        <item m="1" x="2600"/>
        <item m="1" x="2833"/>
        <item m="1" x="3063"/>
        <item m="1" x="3296"/>
        <item m="1" x="3526"/>
        <item m="1" x="3761"/>
        <item m="1" x="3995"/>
        <item m="1" x="4227"/>
        <item m="1" x="4458"/>
        <item m="1" x="4692"/>
        <item m="1" x="4927"/>
        <item m="1" x="5158"/>
        <item m="1" x="5387"/>
        <item m="1" x="5620"/>
        <item m="1" x="5852"/>
        <item m="1" x="6084"/>
        <item m="1" x="6314"/>
        <item m="1" x="6545"/>
        <item m="1" x="6778"/>
        <item m="1" x="7008"/>
        <item m="1" x="7244"/>
        <item m="1" x="7475"/>
        <item m="1" x="7706"/>
        <item m="1" x="7935"/>
        <item m="1" x="185"/>
        <item m="1" x="418"/>
        <item m="1" x="652"/>
        <item m="1" x="880"/>
        <item m="1" x="1114"/>
        <item m="1" x="1346"/>
        <item m="1" x="1580"/>
        <item m="1" x="1812"/>
        <item m="1" x="2045"/>
        <item m="1" x="2278"/>
        <item m="1" x="2512"/>
        <item m="1" x="2741"/>
        <item m="1" x="2976"/>
        <item m="1" x="3208"/>
        <item m="1" x="3437"/>
        <item m="1" x="3670"/>
        <item m="1" x="3904"/>
        <item m="1" x="4140"/>
        <item m="1" x="4372"/>
        <item m="1" x="4603"/>
        <item m="1" x="4836"/>
        <item m="1" x="5071"/>
        <item m="1" x="5300"/>
        <item m="1" x="5530"/>
        <item m="1" x="5762"/>
        <item m="1" x="5995"/>
        <item m="1" x="6225"/>
        <item m="1" x="6456"/>
        <item m="1" x="6689"/>
        <item m="1" x="6921"/>
        <item m="1" x="7151"/>
        <item m="1" x="7384"/>
        <item m="1" x="7616"/>
        <item m="1" x="7849"/>
        <item m="1" x="96"/>
        <item m="1" x="328"/>
        <item m="1" x="564"/>
        <item m="1" x="795"/>
        <item m="1" x="1025"/>
        <item m="1" x="1257"/>
        <item m="1" x="1492"/>
        <item m="1" x="1726"/>
        <item m="1" x="1957"/>
        <item m="1" x="2191"/>
        <item m="1" x="2424"/>
        <item m="1" x="2654"/>
        <item m="1" x="2885"/>
        <item m="1" x="3117"/>
        <item m="1" x="3349"/>
        <item m="1" x="3582"/>
        <item m="1" x="4050"/>
        <item m="1" x="4282"/>
        <item m="1" x="4517"/>
        <item m="1" x="4746"/>
        <item m="1" x="4983"/>
        <item m="1" x="5212"/>
        <item m="1" x="5445"/>
        <item m="1" x="5674"/>
        <item m="1" x="5907"/>
        <item m="1" x="6138"/>
        <item m="1" x="6370"/>
        <item m="1" x="6597"/>
        <item m="1" x="6833"/>
        <item m="1" x="7061"/>
        <item m="1" x="7298"/>
        <item m="1" x="7527"/>
        <item m="1" x="7759"/>
        <item m="1" x="7990"/>
        <item m="1" x="242"/>
        <item m="1" x="471"/>
        <item m="1" x="706"/>
        <item m="1" x="934"/>
        <item m="1" x="1170"/>
        <item m="1" x="1401"/>
        <item m="1" x="1637"/>
        <item m="1" x="1869"/>
        <item m="1" x="2103"/>
        <item m="1" x="2333"/>
        <item m="1" x="2567"/>
        <item m="1" x="2797"/>
        <item m="1" x="3030"/>
        <item m="1" x="3262"/>
        <item m="1" x="3492"/>
        <item m="1" x="3726"/>
        <item m="1" x="3962"/>
        <item m="1" x="4192"/>
        <item m="1" x="4426"/>
        <item m="1" x="4656"/>
        <item m="1" x="4894"/>
        <item m="1" x="5123"/>
        <item m="1" x="5355"/>
        <item m="1" x="5585"/>
        <item m="1" x="5818"/>
        <item m="1" x="6048"/>
        <item m="1" x="6281"/>
        <item m="1" x="6509"/>
        <item m="1" x="6745"/>
        <item m="1" x="6972"/>
        <item m="1" x="7208"/>
        <item m="1" x="7440"/>
        <item m="1" x="7674"/>
        <item m="1" x="7901"/>
        <item m="1" x="152"/>
        <item m="1" x="384"/>
        <item m="1" x="620"/>
        <item m="1" x="848"/>
        <item m="1" x="1081"/>
        <item m="1" x="1312"/>
        <item m="1" x="1547"/>
        <item m="1" x="1777"/>
        <item m="1" x="2011"/>
        <item m="1" x="2242"/>
        <item m="1" x="2706"/>
        <item m="1" x="2942"/>
        <item m="1" x="3172"/>
        <item m="1" x="3405"/>
        <item m="1" x="3635"/>
        <item m="1" x="3869"/>
        <item m="1" x="4104"/>
        <item m="1" x="4338"/>
        <item m="1" x="4568"/>
        <item m="1" x="4801"/>
        <item m="1" x="5035"/>
        <item m="1" x="5266"/>
        <item m="1" x="5496"/>
        <item m="1" x="5726"/>
        <item m="1" x="5958"/>
        <item m="1" x="6189"/>
        <item m="1" x="6420"/>
        <item m="1" x="6653"/>
        <item m="1" x="6885"/>
        <item m="1" x="7116"/>
        <item m="1" x="7347"/>
        <item m="1" x="7581"/>
        <item m="1" x="7813"/>
        <item m="1" x="61"/>
        <item m="1" x="294"/>
        <item m="1" x="528"/>
        <item m="1" x="760"/>
        <item m="1" x="990"/>
        <item m="1" x="1221"/>
        <item m="1" x="1455"/>
        <item m="1" x="1688"/>
        <item m="1" x="1923"/>
        <item m="1" x="2154"/>
        <item m="1" x="2388"/>
        <item m="1" x="2619"/>
        <item m="1" x="2851"/>
        <item m="1" x="3080"/>
        <item m="1" x="3314"/>
        <item m="1" x="3545"/>
        <item m="1" x="3780"/>
        <item m="1" x="4013"/>
        <item m="1" x="4246"/>
        <item m="1" x="4479"/>
        <item m="1" x="4711"/>
        <item m="1" x="4944"/>
        <item m="1" x="5176"/>
        <item m="1" x="5406"/>
        <item m="1" x="5637"/>
        <item m="1" x="5870"/>
        <item m="1" x="6102"/>
        <item m="1" x="6333"/>
        <item m="1" x="6562"/>
        <item m="1" x="6796"/>
        <item m="1" x="7026"/>
        <item m="1" x="7263"/>
        <item m="1" x="7495"/>
        <item m="1" x="7725"/>
        <item m="1" x="7955"/>
        <item m="1" x="206"/>
        <item m="1" x="438"/>
        <item m="1" x="670"/>
        <item m="1" x="898"/>
        <item m="1" x="1366"/>
        <item m="1" x="1600"/>
        <item m="1" x="1832"/>
        <item m="1" x="2066"/>
        <item m="1" x="2298"/>
        <item m="1" x="2530"/>
        <item m="1" x="2761"/>
        <item m="1" x="2995"/>
        <item m="1" x="3227"/>
        <item m="1" x="3455"/>
        <item m="1" x="3690"/>
        <item m="1" x="3925"/>
        <item m="1" x="4158"/>
        <item m="1" x="4390"/>
        <item m="1" x="4620"/>
        <item m="1" x="4854"/>
        <item m="1" x="5089"/>
        <item m="1" x="5319"/>
        <item m="1" x="5548"/>
        <item m="1" x="5780"/>
        <item m="1" x="6013"/>
        <item m="1" x="6243"/>
        <item m="1" x="6474"/>
        <item m="1" x="6708"/>
        <item m="1" x="6940"/>
        <item m="1" x="7171"/>
        <item m="1" x="7404"/>
        <item m="1" x="7638"/>
        <item m="1" x="7868"/>
        <item m="1" x="115"/>
        <item m="1" x="346"/>
        <item m="1" x="583"/>
        <item m="1" x="813"/>
        <item m="1" x="1044"/>
        <item m="1" x="1274"/>
        <item m="1" x="1510"/>
        <item m="1" x="1743"/>
        <item m="1" x="1974"/>
        <item m="1" x="2208"/>
        <item m="1" x="2441"/>
        <item m="1" x="2671"/>
        <item m="1" x="2904"/>
        <item m="1" x="3136"/>
        <item m="1" x="3368"/>
        <item m="1" x="3600"/>
        <item m="1" x="3833"/>
        <item m="1" x="4067"/>
        <item m="1" x="4300"/>
        <item m="1" x="4534"/>
        <item m="1" x="4764"/>
        <item m="1" x="4999"/>
        <item m="1" x="5230"/>
        <item m="1" x="5463"/>
        <item m="1" x="5691"/>
        <item m="1" x="5924"/>
        <item m="1" x="6156"/>
        <item m="1" x="6388"/>
        <item m="1" x="6618"/>
        <item m="1" x="6851"/>
        <item m="1" x="7081"/>
        <item m="1" x="7316"/>
        <item m="1" x="7545"/>
        <item m="1" x="7777"/>
        <item m="1" x="24"/>
        <item m="1" x="261"/>
        <item m="1" x="491"/>
        <item m="1" x="724"/>
        <item m="1" x="953"/>
        <item m="1" x="1188"/>
        <item m="1" x="1420"/>
        <item m="1" x="1654"/>
        <item m="1" x="1888"/>
        <item m="1" x="2121"/>
        <item m="1" x="2352"/>
        <item m="1" x="2585"/>
        <item m="1" x="2817"/>
        <item m="1" x="3048"/>
        <item m="1" x="3279"/>
        <item m="1" x="3509"/>
        <item m="1" x="3744"/>
        <item m="1" x="3979"/>
        <item m="1" x="4443"/>
        <item m="1" x="4674"/>
        <item m="1" x="4911"/>
        <item m="1" x="5140"/>
        <item m="1" x="5372"/>
        <item m="1" x="5603"/>
        <item m="1" x="5836"/>
        <item m="1" x="6067"/>
        <item m="1" x="6299"/>
        <item m="1" x="6529"/>
        <item m="1" x="6763"/>
        <item m="1" x="6991"/>
        <item m="1" x="7226"/>
        <item m="1" x="7459"/>
        <item m="1" x="7691"/>
        <item m="1" x="7919"/>
        <item m="1" x="169"/>
        <item m="1" x="402"/>
        <item m="1" x="637"/>
        <item m="1" x="864"/>
        <item m="1" x="1098"/>
        <item m="1" x="1330"/>
        <item m="1" x="1565"/>
        <item m="1" x="1796"/>
        <item m="1" x="2030"/>
        <item m="1" x="2262"/>
        <item m="1" x="2496"/>
        <item m="1" x="2724"/>
        <item m="1" x="2959"/>
        <item m="1" x="3190"/>
        <item m="1" x="3420"/>
        <item m="1" x="3653"/>
        <item m="1" x="3886"/>
        <item m="1" x="4122"/>
        <item m="1" x="4355"/>
        <item m="1" x="4586"/>
        <item m="1" x="4819"/>
        <item m="1" x="5054"/>
        <item m="1" x="5284"/>
        <item m="1" x="5513"/>
        <item m="1" x="5745"/>
        <item m="1" x="5978"/>
        <item m="1" x="6208"/>
        <item m="1" x="6439"/>
        <item m="1" x="6671"/>
        <item m="1" x="6904"/>
        <item m="1" x="7135"/>
        <item m="1" x="7367"/>
        <item m="1" x="7599"/>
        <item m="1" x="7832"/>
        <item m="1" x="80"/>
        <item m="1" x="312"/>
        <item m="1" x="547"/>
        <item m="1" x="778"/>
        <item m="1" x="1007"/>
        <item m="1" x="1240"/>
        <item m="1" x="1474"/>
        <item m="1" x="1708"/>
        <item m="1" x="1940"/>
        <item m="1" x="2172"/>
        <item m="1" x="2405"/>
        <item m="1" x="2635"/>
        <item m="1" x="3098"/>
        <item m="1" x="3331"/>
        <item m="1" x="3563"/>
        <item m="1" x="3798"/>
        <item m="1" x="4031"/>
        <item m="1" x="4264"/>
        <item m="1" x="4498"/>
        <item m="1" x="4729"/>
        <item m="1" x="4964"/>
        <item m="1" x="5195"/>
        <item m="1" x="5428"/>
        <item m="1" x="5657"/>
        <item m="1" x="5890"/>
        <item m="1" x="6120"/>
        <item m="1" x="6353"/>
        <item m="1" x="6580"/>
        <item m="1" x="6816"/>
        <item m="1" x="7044"/>
        <item m="1" x="7282"/>
        <item m="1" x="7512"/>
        <item m="1" x="7742"/>
        <item m="1" x="7973"/>
        <item m="1" x="225"/>
        <item m="1" x="456"/>
        <item m="1" x="690"/>
        <item m="1" x="918"/>
        <item m="1" x="1154"/>
        <item m="1" x="1384"/>
        <item m="1" x="1619"/>
        <item m="1" x="1849"/>
        <item m="1" x="2084"/>
        <item m="1" x="2315"/>
        <item m="1" x="2549"/>
        <item m="1" x="2779"/>
        <item m="1" x="3014"/>
        <item m="1" x="3245"/>
        <item m="1" x="3474"/>
        <item m="1" x="3709"/>
        <item m="1" x="3945"/>
        <item m="1" x="4176"/>
        <item m="1" x="4409"/>
        <item m="1" x="4639"/>
        <item m="1" x="4877"/>
        <item m="1" x="5108"/>
        <item m="1" x="5338"/>
        <item m="1" x="5567"/>
        <item m="1" x="5800"/>
        <item m="1" x="6032"/>
        <item m="1" x="6264"/>
        <item m="1" x="6493"/>
        <item m="1" x="6728"/>
        <item m="1" x="6957"/>
        <item m="1" x="7191"/>
        <item m="1" x="7423"/>
        <item m="1" x="7657"/>
        <item m="1" x="7886"/>
        <item m="1" x="135"/>
        <item m="1" x="366"/>
        <item m="1" x="603"/>
        <item m="1" x="831"/>
        <item m="1" x="1063"/>
        <item m="1" x="1291"/>
        <item m="1" x="1760"/>
        <item m="1" x="1993"/>
        <item m="1" x="2226"/>
        <item m="1" x="2460"/>
        <item m="1" x="2688"/>
        <item m="1" x="2923"/>
        <item m="1" x="3154"/>
        <item m="1" x="3387"/>
        <item m="1" x="3618"/>
        <item m="1" x="3851"/>
        <item m="1" x="4086"/>
        <item m="1" x="4321"/>
        <item m="1" x="4551"/>
        <item m="1" x="4784"/>
        <item m="1" x="5017"/>
        <item m="1" x="5248"/>
        <item m="1" x="5480"/>
        <item m="1" x="5710"/>
        <item m="1" x="5941"/>
        <item m="1" x="6173"/>
        <item m="1" x="6404"/>
        <item m="1" x="6636"/>
        <item m="1" x="6868"/>
        <item m="1" x="7099"/>
        <item m="1" x="7333"/>
        <item m="1" x="7564"/>
        <item m="1" x="7796"/>
        <item m="1" x="44"/>
        <item m="1" x="277"/>
        <item m="1" x="509"/>
        <item m="1" x="740"/>
        <item m="1" x="971"/>
        <item m="1" x="1204"/>
        <item m="1" x="1438"/>
        <item m="1" x="1671"/>
        <item m="1" x="1906"/>
        <item m="1" x="2137"/>
        <item m="1" x="2371"/>
        <item m="1" x="2602"/>
        <item m="1" x="2835"/>
        <item m="1" x="3065"/>
        <item m="1" x="3298"/>
        <item m="1" x="3528"/>
        <item m="1" x="3764"/>
        <item m="1" x="3997"/>
        <item m="1" x="4229"/>
        <item m="1" x="4460"/>
        <item m="1" x="4694"/>
        <item m="1" x="4929"/>
        <item m="1" x="5160"/>
        <item m="1" x="5389"/>
        <item m="1" x="5622"/>
        <item m="1" x="5854"/>
        <item m="1" x="6086"/>
        <item m="1" x="6316"/>
        <item m="1" x="6547"/>
        <item m="1" x="6780"/>
        <item m="1" x="7010"/>
        <item m="1" x="7245"/>
        <item m="1" x="7478"/>
        <item m="1" x="7708"/>
        <item m="1" x="7937"/>
        <item m="1" x="187"/>
        <item m="1" x="420"/>
        <item m="1" x="654"/>
        <item m="1" x="882"/>
        <item m="1" x="1116"/>
        <item m="1" x="1348"/>
        <item m="1" x="1582"/>
        <item m="1" x="1814"/>
        <item m="1" x="2047"/>
        <item m="1" x="2280"/>
        <item m="1" x="2514"/>
        <item m="1" x="2743"/>
        <item m="1" x="2978"/>
        <item m="1" x="3211"/>
        <item m="1" x="3439"/>
        <item m="1" x="3672"/>
        <item m="1" x="3906"/>
        <item m="1" x="4142"/>
        <item m="1" x="4374"/>
        <item m="1" x="4838"/>
        <item m="1" x="5073"/>
        <item m="1" x="5302"/>
        <item m="1" x="5532"/>
        <item m="1" x="5764"/>
        <item m="1" x="5997"/>
        <item m="1" x="6227"/>
        <item m="1" x="6458"/>
        <item m="1" x="6691"/>
        <item m="1" x="6924"/>
        <item m="1" x="7153"/>
        <item m="1" x="7386"/>
        <item m="1" x="7618"/>
        <item m="1" x="7851"/>
        <item m="1" x="98"/>
        <item m="1" x="330"/>
        <item m="1" x="566"/>
        <item m="1" x="797"/>
        <item m="1" x="1027"/>
        <item m="1" x="1259"/>
        <item m="1" x="1494"/>
        <item m="1" x="1728"/>
        <item m="1" x="1959"/>
        <item m="1" x="2193"/>
        <item m="1" x="2426"/>
        <item m="1" x="2657"/>
        <item m="1" x="2887"/>
        <item m="1" x="3119"/>
        <item m="1" x="3351"/>
        <item m="1" x="3584"/>
        <item m="1" x="3817"/>
        <item m="1" x="4052"/>
        <item m="1" x="4284"/>
        <item m="1" x="4519"/>
        <item m="1" x="4748"/>
        <item m="1" x="4985"/>
        <item m="1" x="5214"/>
        <item m="1" x="5448"/>
        <item m="1" x="5676"/>
        <item m="1" x="5908"/>
        <item m="1" x="6140"/>
        <item m="1" x="6373"/>
        <item m="1" x="6599"/>
        <item m="1" x="6835"/>
        <item m="1" x="7063"/>
        <item m="1" x="7300"/>
        <item m="1" x="7529"/>
        <item m="1" x="7761"/>
        <item m="1" x="7992"/>
        <item m="1" x="244"/>
        <item m="1" x="473"/>
        <item m="1" x="708"/>
        <item m="1" x="936"/>
        <item m="1" x="1172"/>
        <item m="1" x="1403"/>
        <item m="1" x="1639"/>
        <item m="1" x="1871"/>
        <item m="1" x="2106"/>
        <item m="1" x="2335"/>
        <item m="1" x="2569"/>
        <item m="1" x="2799"/>
        <item m="1" x="3032"/>
        <item m="1" x="3494"/>
        <item m="1" x="3728"/>
        <item m="1" x="3964"/>
        <item m="1" x="4194"/>
        <item m="1" x="4428"/>
        <item m="1" x="4658"/>
        <item m="1" x="4896"/>
        <item m="1" x="5125"/>
        <item m="1" x="5357"/>
        <item m="1" x="5587"/>
        <item m="1" x="5821"/>
        <item m="1" x="6050"/>
        <item m="1" x="6283"/>
        <item m="1" x="6511"/>
        <item m="1" x="6747"/>
        <item m="1" x="6974"/>
        <item m="1" x="7210"/>
        <item m="1" x="7442"/>
        <item m="1" x="7676"/>
        <item m="1" x="7903"/>
        <item m="1" x="154"/>
        <item m="1" x="386"/>
        <item m="1" x="622"/>
        <item m="1" x="850"/>
        <item m="1" x="1083"/>
        <item m="1" x="1314"/>
        <item m="1" x="1550"/>
        <item m="1" x="1779"/>
        <item m="1" x="2013"/>
        <item m="1" x="2244"/>
        <item m="1" x="2480"/>
        <item m="1" x="2708"/>
        <item m="1" x="2944"/>
        <item m="1" x="3174"/>
        <item m="1" x="3407"/>
        <item m="1" x="3637"/>
        <item m="1" x="3871"/>
        <item m="1" x="4106"/>
        <item m="1" x="4340"/>
        <item m="1" x="4570"/>
        <item m="1" x="4803"/>
        <item m="1" x="5037"/>
        <item m="1" x="5269"/>
        <item m="1" x="5498"/>
        <item m="1" x="5728"/>
        <item m="1" x="5960"/>
        <item m="1" x="6191"/>
        <item m="1" x="6422"/>
        <item m="1" x="6655"/>
        <item m="1" x="6887"/>
        <item m="1" x="7118"/>
        <item m="1" x="7349"/>
        <item m="1" x="7583"/>
        <item m="1" x="7815"/>
        <item m="1" x="63"/>
        <item m="1" x="296"/>
        <item m="1" x="530"/>
        <item m="1" x="762"/>
        <item m="1" x="992"/>
        <item m="1" x="1223"/>
        <item m="1" x="1457"/>
        <item m="1" x="1690"/>
        <item m="1" x="2156"/>
        <item m="1" x="2390"/>
        <item m="1" x="2621"/>
        <item m="1" x="2853"/>
        <item m="1" x="3082"/>
        <item m="1" x="3316"/>
        <item m="1" x="3547"/>
        <item m="1" x="3782"/>
        <item m="1" x="4015"/>
        <item m="1" x="4248"/>
        <item m="1" x="4481"/>
        <item m="1" x="4713"/>
        <item m="1" x="4946"/>
        <item m="1" x="5178"/>
        <item m="1" x="5408"/>
        <item m="1" x="5639"/>
        <item m="1" x="5872"/>
        <item m="1" x="6104"/>
        <item m="1" x="6335"/>
        <item m="1" x="6564"/>
        <item m="1" x="6798"/>
        <item m="1" x="7028"/>
        <item m="1" x="7265"/>
        <item m="1" x="7497"/>
        <item m="1" x="7727"/>
        <item m="1" x="7957"/>
        <item m="1" x="208"/>
        <item m="1" x="441"/>
        <item m="1" x="672"/>
        <item m="1" x="900"/>
        <item m="1" x="1135"/>
        <item m="1" x="1368"/>
        <item m="1" x="1602"/>
        <item m="1" x="1834"/>
        <item m="1" x="2068"/>
        <item m="1" x="2300"/>
        <item m="1" x="2532"/>
        <item m="1" x="2763"/>
        <item m="1" x="2997"/>
        <item m="1" x="3230"/>
        <item m="1" x="3457"/>
        <item m="1" x="3692"/>
        <item m="1" x="3927"/>
        <item m="1" x="4161"/>
        <item m="1" x="4392"/>
        <item m="1" x="4622"/>
        <item m="1" x="4856"/>
        <item m="1" x="5091"/>
        <item m="1" x="5321"/>
        <item m="1" x="5550"/>
        <item m="1" x="5782"/>
        <item m="1" x="6015"/>
        <item m="1" x="6245"/>
        <item m="1" x="6476"/>
        <item m="1" x="6710"/>
        <item m="1" x="6942"/>
        <item m="1" x="7173"/>
        <item m="1" x="7406"/>
        <item m="1" x="7639"/>
        <item m="1" x="7871"/>
        <item m="1" x="117"/>
        <item m="1" x="348"/>
        <item m="1" x="585"/>
        <item m="1" x="815"/>
        <item m="1" x="1046"/>
        <item m="1" x="1276"/>
        <item m="1" x="1512"/>
        <item m="1" x="1745"/>
        <item m="1" x="1976"/>
        <item m="1" x="2210"/>
        <item m="1" x="2443"/>
        <item m="1" x="2673"/>
        <item m="1" x="2906"/>
        <item m="1" x="3138"/>
        <item m="1" x="3370"/>
        <item m="1" x="3603"/>
        <item m="1" x="3786"/>
        <item m="1" x="3903"/>
        <item m="1" x="4021"/>
        <item m="1" x="4139"/>
        <item m="1" x="4253"/>
        <item m="1" x="4371"/>
        <item m="1" x="4487"/>
        <item m="1" x="4602"/>
        <item m="1" x="4717"/>
        <item m="1" x="4835"/>
        <item m="1" x="4953"/>
        <item m="1" x="5070"/>
        <item m="1" x="5184"/>
        <item m="1" x="5299"/>
        <item m="1" x="5416"/>
        <item m="1" x="5529"/>
        <item m="1" x="5645"/>
        <item m="1" x="5761"/>
        <item m="1" x="5880"/>
        <item m="1" x="5994"/>
        <item m="1" x="6110"/>
        <item m="1" x="6224"/>
        <item m="1" x="6342"/>
        <item m="1" x="6568"/>
        <item m="1" x="6687"/>
        <item m="1" x="6804"/>
        <item m="1" x="6920"/>
        <item m="1" x="7033"/>
        <item m="1" x="7150"/>
        <item m="1" x="7271"/>
        <item m="1" x="7383"/>
        <item m="1" x="7501"/>
        <item m="1" x="7615"/>
        <item m="1" x="7732"/>
        <item m="1" x="7848"/>
        <item m="1" x="7962"/>
        <item m="1" x="95"/>
        <item m="1" x="214"/>
        <item m="1" x="327"/>
        <item m="1" x="445"/>
        <item m="1" x="563"/>
        <item m="1" x="679"/>
        <item m="1" x="794"/>
        <item m="1" x="906"/>
        <item m="1" x="1024"/>
        <item m="1" x="1142"/>
        <item m="1" x="1256"/>
        <item m="1" x="1373"/>
        <item m="1" x="1491"/>
        <item m="1" x="1609"/>
        <item m="1" x="1725"/>
        <item m="1" x="1839"/>
        <item m="1" x="1956"/>
        <item m="1" x="2074"/>
        <item m="1" x="2190"/>
        <item m="1" x="2304"/>
        <item m="1" x="2422"/>
        <item m="1" x="2538"/>
        <item m="1" x="2653"/>
        <item m="1" x="2768"/>
        <item m="1" x="2884"/>
        <item m="1" x="3003"/>
        <item m="1" x="3116"/>
        <item m="1" x="3234"/>
        <item m="1" x="3348"/>
        <item m="1" x="3464"/>
        <item m="1" x="3581"/>
        <item m="1" x="3698"/>
        <item m="1" x="3815"/>
        <item m="1" x="3934"/>
        <item m="1" x="4049"/>
        <item m="1" x="4165"/>
        <item m="1" x="4281"/>
        <item m="1" x="4399"/>
        <item m="1" x="4516"/>
        <item m="1" x="4628"/>
        <item m="1" x="4745"/>
        <item m="1" x="4865"/>
        <item m="1" x="4982"/>
        <item m="1" x="5097"/>
        <item m="1" x="5211"/>
        <item m="1" x="5329"/>
        <item m="1" x="5444"/>
        <item m="1" x="5556"/>
        <item m="1" x="5673"/>
        <item m="1" x="5906"/>
        <item m="1" x="6019"/>
        <item m="1" x="6136"/>
        <item m="1" x="6251"/>
        <item m="1" x="6369"/>
        <item m="1" x="6481"/>
        <item m="1" x="6596"/>
        <item m="1" x="6716"/>
        <item m="1" x="6832"/>
        <item m="1" x="6945"/>
        <item m="1" x="7060"/>
        <item m="1" x="7179"/>
        <item m="1" x="7297"/>
        <item m="1" x="7411"/>
        <item m="1" x="7526"/>
        <item m="1" x="7645"/>
        <item m="1" x="7758"/>
        <item m="1" x="7875"/>
        <item m="1" x="7989"/>
        <item m="1" x="124"/>
        <item m="1" x="241"/>
        <item m="1" x="354"/>
        <item m="1" x="470"/>
        <item m="1" x="592"/>
        <item m="1" x="705"/>
        <item m="1" x="820"/>
        <item m="1" x="933"/>
        <item m="1" x="1053"/>
        <item m="1" x="1169"/>
        <item m="1" x="1281"/>
        <item m="1" x="1400"/>
        <item m="1" x="1518"/>
        <item m="1" x="1636"/>
        <item m="1" x="1749"/>
        <item m="1" x="1867"/>
        <item m="1" x="1982"/>
        <item m="1" x="2102"/>
        <item m="1" x="2215"/>
        <item m="1" x="2332"/>
        <item m="1" x="2449"/>
        <item m="1" x="2566"/>
        <item m="1" x="2677"/>
        <item m="1" x="2796"/>
        <item m="1" x="2912"/>
        <item m="1" x="3029"/>
        <item m="1" x="3143"/>
        <item m="1" x="3261"/>
        <item m="1" x="3376"/>
        <item m="1" x="3491"/>
        <item m="1" x="3607"/>
        <item m="1" x="3725"/>
        <item m="1" x="3841"/>
        <item m="1" x="3961"/>
        <item m="1" x="4074"/>
        <item m="1" x="4191"/>
        <item m="1" x="4309"/>
        <item m="1" x="4425"/>
        <item m="1" x="4541"/>
        <item m="1" x="4655"/>
        <item m="1" x="4773"/>
        <item m="1" x="4893"/>
        <item m="1" x="5006"/>
        <item m="1" x="5238"/>
        <item m="1" x="5354"/>
        <item m="1" x="5468"/>
        <item m="1" x="5583"/>
        <item m="1" x="5698"/>
        <item m="1" x="5817"/>
        <item m="1" x="5930"/>
        <item m="1" x="6047"/>
        <item m="1" x="6162"/>
        <item m="1" x="6280"/>
        <item m="1" x="6393"/>
        <item m="1" x="6508"/>
        <item m="1" x="6625"/>
        <item m="1" x="6744"/>
        <item m="1" x="6857"/>
        <item m="1" x="6971"/>
        <item m="1" x="7088"/>
        <item m="1" x="7207"/>
        <item m="1" x="7322"/>
        <item m="1" x="7439"/>
        <item m="1" x="7553"/>
        <item m="1" x="7673"/>
        <item m="1" x="7784"/>
        <item m="1" x="7900"/>
        <item m="1" x="32"/>
        <item m="1" x="151"/>
        <item m="1" x="266"/>
        <item m="1" x="383"/>
        <item m="1" x="499"/>
        <item m="1" x="619"/>
        <item m="1" x="730"/>
        <item m="1" x="847"/>
        <item m="1" x="960"/>
        <item m="1" x="1080"/>
        <item m="1" x="1193"/>
        <item m="1" x="1310"/>
        <item m="1" x="1427"/>
        <item m="1" x="1546"/>
        <item m="1" x="1660"/>
        <item m="1" x="1776"/>
        <item m="1" x="1895"/>
        <item m="1" x="2010"/>
        <item m="1" x="2126"/>
        <item m="1" x="2241"/>
        <item m="1" x="2360"/>
        <item m="1" x="2478"/>
        <item m="1" x="2591"/>
        <item m="1" x="2705"/>
        <item m="1" x="2823"/>
        <item m="1" x="2941"/>
        <item m="1" x="3055"/>
        <item m="1" x="3171"/>
        <item m="1" x="3287"/>
        <item m="1" x="3404"/>
        <item m="1" x="3516"/>
        <item m="1" x="3634"/>
        <item m="1" x="3752"/>
        <item m="1" x="3868"/>
        <item m="1" x="3986"/>
        <item m="1" x="4102"/>
        <item m="1" x="4217"/>
        <item m="1" x="4337"/>
        <item m="1" x="4567"/>
        <item m="1" x="4682"/>
        <item m="1" x="4800"/>
        <item m="1" x="4916"/>
        <item m="1" x="5033"/>
        <item m="1" x="5147"/>
        <item m="1" x="5265"/>
        <item m="1" x="5377"/>
        <item m="1" x="5495"/>
        <item m="1" x="5610"/>
        <item m="1" x="5725"/>
        <item m="1" x="5841"/>
        <item m="1" x="5957"/>
        <item m="1" x="6074"/>
        <item m="1" x="6188"/>
        <item m="1" x="6304"/>
        <item m="1" x="6419"/>
        <item m="1" x="6536"/>
        <item m="1" x="6652"/>
        <item m="1" x="6769"/>
        <item m="1" x="6884"/>
        <item m="1" x="6999"/>
        <item m="1" x="7115"/>
        <item m="1" x="7234"/>
        <item m="1" x="7346"/>
        <item m="1" x="7466"/>
        <item m="1" x="7580"/>
        <item m="1" x="7698"/>
        <item m="1" x="7812"/>
        <item m="1" x="7927"/>
        <item m="1" x="60"/>
        <item m="1" x="176"/>
        <item m="1" x="293"/>
        <item m="1" x="409"/>
        <item m="1" x="527"/>
        <item m="1" x="643"/>
        <item m="1" x="758"/>
        <item m="1" x="871"/>
        <item m="1" x="989"/>
        <item m="1" x="1105"/>
        <item m="1" x="1220"/>
        <item m="1" x="1337"/>
        <item m="1" x="1454"/>
        <item m="1" x="1571"/>
        <item m="1" x="1687"/>
        <item m="1" x="1803"/>
        <item m="1" x="1922"/>
        <item m="1" x="2036"/>
        <item m="1" x="2153"/>
        <item m="1" x="2269"/>
        <item m="1" x="2387"/>
        <item m="1" x="2503"/>
        <item m="1" x="2618"/>
        <item m="1" x="2732"/>
        <item m="1" x="2850"/>
        <item m="1" x="2966"/>
        <item m="1" x="3079"/>
        <item m="1" x="3199"/>
        <item m="1" x="3313"/>
        <item m="1" x="3428"/>
        <item m="1" x="3544"/>
        <item m="1" x="3661"/>
        <item m="1" x="3779"/>
        <item m="1" x="3894"/>
        <item m="1" x="4012"/>
        <item m="1" x="4130"/>
        <item m="1" x="4245"/>
        <item m="1" x="4361"/>
        <item m="1" x="4477"/>
        <item m="1" x="4592"/>
        <item m="1" x="4710"/>
        <item m="1" x="4826"/>
        <item m="1" x="4943"/>
        <item m="1" x="5061"/>
        <item m="1" x="5175"/>
        <item m="1" x="5290"/>
        <item m="1" x="5405"/>
        <item m="1" x="5520"/>
        <item m="1" x="5636"/>
        <item m="1" x="5752"/>
        <item m="1" x="5869"/>
        <item m="1" x="5985"/>
        <item m="1" x="6101"/>
        <item m="1" x="6215"/>
        <item m="1" x="6332"/>
        <item m="1" x="6447"/>
        <item m="1" x="6561"/>
        <item m="1" x="6678"/>
        <item m="1" x="6795"/>
        <item m="1" x="6912"/>
        <item m="1" x="7025"/>
        <item m="1" x="7142"/>
        <item m="1" x="7262"/>
        <item m="1" x="7374"/>
        <item m="1" x="7494"/>
        <item m="1" x="7606"/>
        <item m="1" x="7724"/>
        <item m="1" x="7839"/>
        <item m="1" x="7954"/>
        <item m="1" x="86"/>
        <item m="1" x="319"/>
        <item m="1" x="437"/>
        <item m="1" x="554"/>
        <item m="1" x="669"/>
        <item m="1" x="785"/>
        <item m="1" x="897"/>
        <item m="1" x="1015"/>
        <item m="1" x="1133"/>
        <item m="1" x="1247"/>
        <item m="1" x="1365"/>
        <item m="1" x="1482"/>
        <item m="1" x="1599"/>
        <item m="1" x="1716"/>
        <item m="1" x="1831"/>
        <item m="1" x="1947"/>
        <item m="1" x="2065"/>
        <item m="1" x="2181"/>
        <item m="1" x="2297"/>
        <item m="1" x="2413"/>
        <item m="1" x="2529"/>
        <item m="1" x="2644"/>
        <item m="1" x="2760"/>
        <item m="1" x="2875"/>
        <item m="1" x="2994"/>
        <item m="1" x="3106"/>
        <item m="1" x="3226"/>
        <item m="1" x="3339"/>
        <item m="1" x="3454"/>
        <item m="1" x="3571"/>
        <item m="1" x="3689"/>
        <item m="1" x="3803"/>
        <item m="1" x="3923"/>
        <item m="1" x="4038"/>
        <item m="1" x="4157"/>
        <item m="1" x="4271"/>
        <item m="1" x="4389"/>
        <item m="1" x="4505"/>
        <item m="1" x="4619"/>
        <item m="1" x="4735"/>
        <item m="1" x="4853"/>
        <item m="1" x="4971"/>
        <item m="1" x="5088"/>
        <item m="1" x="5202"/>
        <item m="1" x="5318"/>
        <item m="1" x="5435"/>
        <item m="1" x="5547"/>
        <item m="1" x="5664"/>
        <item m="1" x="5779"/>
        <item m="1" x="5897"/>
        <item m="1" x="6012"/>
        <item m="1" x="6128"/>
        <item m="1" x="6242"/>
        <item m="1" x="6361"/>
        <item m="1" x="6473"/>
        <item m="1" x="6587"/>
        <item m="1" x="6707"/>
        <item m="1" x="6823"/>
        <item m="1" x="6939"/>
        <item m="1" x="7051"/>
        <item m="1" x="7170"/>
        <item m="1" x="7289"/>
        <item m="1" x="7403"/>
        <item m="1" x="7636"/>
        <item m="1" x="7749"/>
        <item m="1" x="7867"/>
        <item m="1" x="7980"/>
        <item m="1" x="114"/>
        <item m="1" x="232"/>
        <item m="1" x="345"/>
        <item m="1" x="461"/>
        <item m="1" x="582"/>
        <item m="1" x="696"/>
        <item m="1" x="812"/>
        <item m="1" x="924"/>
        <item m="1" x="1043"/>
        <item m="1" x="1160"/>
        <item m="1" x="1273"/>
        <item m="1" x="1390"/>
        <item m="1" x="1509"/>
        <item m="1" x="1626"/>
        <item m="1" x="1742"/>
        <item m="1" x="1857"/>
        <item m="1" x="1973"/>
        <item m="1" x="2092"/>
        <item m="1" x="2207"/>
        <item m="1" x="2322"/>
        <item m="1" x="2440"/>
        <item m="1" x="2556"/>
        <item m="1" x="2670"/>
        <item m="1" x="2786"/>
        <item m="1" x="2903"/>
        <item m="1" x="3020"/>
        <item m="1" x="3135"/>
        <item m="1" x="3250"/>
        <item m="1" x="3366"/>
        <item m="1" x="3480"/>
        <item m="1" x="3599"/>
        <item m="1" x="3715"/>
        <item m="1" x="3832"/>
        <item m="1" x="3951"/>
        <item m="1" x="4066"/>
        <item m="1" x="4181"/>
        <item m="1" x="4299"/>
        <item m="1" x="4415"/>
        <item m="1" x="4533"/>
        <item m="1" x="4645"/>
        <item m="1" x="4763"/>
        <item m="1" x="4883"/>
        <item m="1" x="4998"/>
        <item m="1" x="5113"/>
        <item m="1" x="5229"/>
        <item m="1" x="5345"/>
        <item m="1" x="5462"/>
        <item m="1" x="5574"/>
        <item m="1" x="5690"/>
        <item m="1" x="5807"/>
        <item m="1" x="5923"/>
        <item m="1" x="6038"/>
        <item m="1" x="6155"/>
        <item m="1" x="6270"/>
        <item m="1" x="6387"/>
        <item m="1" x="6499"/>
        <item m="1" x="6617"/>
        <item m="1" x="6734"/>
        <item m="1" x="6962"/>
        <item m="1" x="7079"/>
        <item m="1" x="7197"/>
        <item m="1" x="7315"/>
        <item m="1" x="7429"/>
        <item m="1" x="7544"/>
        <item m="1" x="7663"/>
        <item m="1" x="7776"/>
        <item m="1" x="7891"/>
        <item m="1" x="23"/>
        <item m="1" x="141"/>
        <item m="1" x="260"/>
        <item m="1" x="373"/>
        <item m="1" x="490"/>
        <item m="1" x="609"/>
        <item m="1" x="723"/>
        <item m="1" x="837"/>
        <item m="1" x="952"/>
        <item m="1" x="1070"/>
        <item m="1" x="1187"/>
        <item m="1" x="1300"/>
        <item m="1" x="1419"/>
        <item m="1" x="1536"/>
        <item m="1" x="1653"/>
        <item m="1" x="1767"/>
        <item m="1" x="1886"/>
        <item m="1" x="2000"/>
        <item m="1" x="2120"/>
        <item m="1" x="2232"/>
        <item m="1" x="2351"/>
        <item m="1" x="2467"/>
        <item m="1" x="2584"/>
        <item m="1" x="2693"/>
        <item m="1" x="2815"/>
        <item m="1" x="2929"/>
        <item m="1" x="3047"/>
        <item m="1" x="3160"/>
        <item m="1" x="3278"/>
        <item m="1" x="3393"/>
        <item m="1" x="3508"/>
        <item m="1" x="3623"/>
        <item m="1" x="3743"/>
        <item m="1" x="3857"/>
        <item m="1" x="3978"/>
        <item m="1" x="4092"/>
        <item m="1" x="4208"/>
        <item m="1" x="4327"/>
        <item m="1" x="4442"/>
        <item m="1" x="4557"/>
        <item m="1" x="4673"/>
        <item m="1" x="4791"/>
        <item m="1" x="4910"/>
        <item m="1" x="5024"/>
        <item m="1" x="5139"/>
        <item m="1" x="5255"/>
        <item m="1" x="5371"/>
        <item m="1" x="5486"/>
        <item m="1" x="5602"/>
        <item m="1" x="5716"/>
        <item m="1" x="5835"/>
        <item m="1" x="5947"/>
        <item m="1" x="6066"/>
        <item m="1" x="6298"/>
        <item m="1" x="6409"/>
        <item m="1" x="6527"/>
        <item m="1" x="6642"/>
        <item m="1" x="6762"/>
        <item m="1" x="6874"/>
        <item m="1" x="6990"/>
        <item m="1" x="7105"/>
        <item m="1" x="7225"/>
        <item m="1" x="7337"/>
        <item m="1" x="7458"/>
        <item m="1" x="7570"/>
        <item m="1" x="7690"/>
        <item m="1" x="7802"/>
        <item m="1" x="7918"/>
        <item m="1" x="50"/>
        <item m="1" x="168"/>
        <item m="1" x="283"/>
        <item m="1" x="401"/>
        <item m="1" x="516"/>
        <item m="1" x="636"/>
        <item m="1" x="748"/>
        <item m="1" x="863"/>
        <item m="1" x="979"/>
        <item m="1" x="1097"/>
        <item m="1" x="1211"/>
        <item m="1" x="1329"/>
        <item m="1" x="1444"/>
        <item m="1" x="1564"/>
        <item m="1" x="1678"/>
        <item m="1" x="1795"/>
        <item m="1" x="1912"/>
        <item m="1" x="2029"/>
        <item m="1" x="2142"/>
        <item m="1" x="2260"/>
        <item m="1" x="2376"/>
        <item m="1" x="2495"/>
        <item m="1" x="2608"/>
        <item m="1" x="2723"/>
        <item m="1" x="2840"/>
        <item m="1" x="2958"/>
        <item m="1" x="3070"/>
        <item m="1" x="3189"/>
        <item m="1" x="3303"/>
        <item m="1" x="3419"/>
        <item m="1" x="3534"/>
        <item m="1" x="3652"/>
        <item m="1" x="3769"/>
        <item m="1" x="3885"/>
        <item m="1" x="4003"/>
        <item m="1" x="4121"/>
        <item m="1" x="4235"/>
        <item m="1" x="4354"/>
        <item m="1" x="4467"/>
        <item m="1" x="4585"/>
        <item m="1" x="4700"/>
        <item m="1" x="4818"/>
        <item m="1" x="4935"/>
        <item m="1" x="5053"/>
        <item m="1" x="5165"/>
        <item m="1" x="5283"/>
        <item m="1" x="5395"/>
        <item m="1" x="5627"/>
        <item m="1" x="5744"/>
        <item m="1" x="5859"/>
        <item m="1" x="5976"/>
        <item m="1" x="6091"/>
        <item m="1" x="6207"/>
        <item m="1" x="6322"/>
        <item m="1" x="6438"/>
        <item m="1" x="6551"/>
        <item m="1" x="6670"/>
        <item m="1" x="6786"/>
        <item m="1" x="6903"/>
        <item m="1" x="7015"/>
        <item m="1" x="7134"/>
        <item m="1" x="7252"/>
        <item m="1" x="7366"/>
        <item m="1" x="7484"/>
        <item m="1" x="7598"/>
        <item m="1" x="7714"/>
        <item m="1" x="7831"/>
        <item m="1" x="7943"/>
        <item m="1" x="79"/>
        <item m="1" x="195"/>
        <item m="1" x="311"/>
        <item m="1" x="427"/>
        <item m="1" x="546"/>
        <item m="1" x="660"/>
        <item m="1" x="777"/>
        <item m="1" x="888"/>
        <item m="1" x="1006"/>
        <item m="1" x="1123"/>
        <item m="1" x="1239"/>
        <item m="1" x="1354"/>
        <item m="1" x="1473"/>
        <item m="1" x="1587"/>
        <item m="1" x="1706"/>
        <item m="1" x="1819"/>
        <item m="1" x="1939"/>
        <item m="1" x="2053"/>
        <item m="1" x="2171"/>
        <item m="1" x="2285"/>
        <item m="1" x="2404"/>
        <item m="1" x="2519"/>
        <item m="1" x="2634"/>
        <item m="1" x="2748"/>
        <item m="1" x="2867"/>
        <item m="1" x="2984"/>
        <item m="1" x="3097"/>
        <item m="1" x="3216"/>
        <item m="1" x="3330"/>
        <item m="1" x="3445"/>
        <item m="1" x="3562"/>
        <item m="1" x="3678"/>
        <item m="1" x="3797"/>
        <item m="1" x="3913"/>
        <item m="1" x="4030"/>
        <item m="1" x="4147"/>
        <item m="1" x="4263"/>
        <item m="1" x="4380"/>
        <item m="1" x="4497"/>
        <item m="1" x="4609"/>
        <item m="1" x="4728"/>
        <item m="1" x="4963"/>
        <item m="1" x="5078"/>
        <item m="1" x="5194"/>
        <item m="1" x="5308"/>
        <item m="1" x="5426"/>
        <item m="1" x="5537"/>
        <item m="1" x="5656"/>
        <item m="1" x="5769"/>
        <item m="1" x="5889"/>
        <item m="1" x="6002"/>
        <item m="1" x="6119"/>
        <item m="1" x="6233"/>
        <item m="1" x="6352"/>
        <item m="1" x="6463"/>
        <item m="1" x="6579"/>
        <item m="1" x="6697"/>
        <item m="1" x="6815"/>
        <item m="1" x="6929"/>
        <item m="1" x="7043"/>
        <item m="1" x="7160"/>
        <item m="1" x="7281"/>
        <item m="1" x="7392"/>
        <item m="1" x="7511"/>
        <item m="1" x="7626"/>
        <item m="1" x="7741"/>
        <item m="1" x="7857"/>
        <item m="1" x="7972"/>
        <item m="1" x="106"/>
        <item m="1" x="224"/>
        <item m="1" x="336"/>
        <item m="1" x="455"/>
        <item m="1" x="573"/>
        <item m="1" x="689"/>
        <item m="1" x="803"/>
        <item m="1" x="917"/>
        <item m="1" x="1033"/>
        <item m="1" x="1152"/>
        <item m="1" x="1264"/>
        <item m="1" x="1383"/>
        <item m="1" x="1500"/>
        <item m="1" x="1618"/>
        <item m="1" x="1733"/>
        <item m="1" x="1848"/>
        <item m="1" x="1965"/>
        <item m="1" x="2083"/>
        <item m="1" x="2198"/>
        <item m="1" x="2314"/>
        <item m="1" x="2431"/>
        <item m="1" x="2548"/>
        <item m="1" x="2662"/>
        <item m="1" x="2778"/>
        <item m="1" x="2894"/>
        <item m="1" x="3013"/>
        <item m="1" x="3125"/>
        <item m="1" x="3244"/>
        <item m="1" x="3357"/>
        <item m="1" x="3473"/>
        <item m="1" x="3590"/>
        <item m="1" x="3708"/>
        <item m="1" x="3824"/>
        <item m="1" x="3944"/>
        <item m="1" x="4057"/>
        <item m="1" x="4175"/>
        <item m="1" x="4290"/>
        <item m="1" x="4408"/>
        <item m="1" x="4524"/>
        <item m="1" x="4638"/>
        <item m="1" x="4754"/>
        <item m="1" x="4875"/>
        <item m="1" x="4989"/>
        <item m="1" x="5107"/>
        <item m="1" x="5220"/>
        <item m="1" x="5337"/>
        <item m="1" x="5453"/>
        <item m="1" x="5566"/>
        <item m="1" x="5682"/>
        <item m="1" x="5799"/>
        <item m="1" x="5914"/>
        <item m="1" x="6031"/>
        <item m="1" x="6146"/>
        <item m="1" x="6263"/>
        <item m="1" x="6378"/>
        <item m="1" x="6492"/>
        <item m="1" x="6607"/>
        <item m="1" x="6727"/>
        <item m="1" x="6841"/>
        <item m="1" x="6956"/>
        <item m="1" x="7070"/>
        <item m="1" x="7190"/>
        <item m="1" x="7307"/>
        <item m="1" x="7422"/>
        <item m="1" x="7537"/>
        <item m="1" x="7655"/>
        <item m="1" x="7767"/>
        <item m="1" x="7885"/>
        <item m="1" x="134"/>
        <item m="1" x="250"/>
        <item m="1" x="365"/>
        <item m="1" x="479"/>
        <item m="1" x="713"/>
        <item m="1" x="830"/>
        <item m="1" x="942"/>
        <item m="1" x="1062"/>
        <item m="1" x="1177"/>
        <item m="1" x="1290"/>
        <item m="1" x="1409"/>
        <item m="1" x="1528"/>
        <item m="1" x="1643"/>
        <item m="1" x="1759"/>
        <item m="1" x="1877"/>
        <item m="1" x="1992"/>
        <item m="1" x="2111"/>
        <item m="1" x="2225"/>
        <item m="1" x="2342"/>
        <item m="1" x="2459"/>
        <item m="1" x="2574"/>
        <item m="1" x="2687"/>
        <item m="1" x="2806"/>
        <item m="1" x="2922"/>
        <item m="1" x="3038"/>
        <item m="1" x="3153"/>
        <item m="1" x="3270"/>
        <item m="1" x="3386"/>
        <item m="1" x="3499"/>
        <item m="1" x="3617"/>
        <item m="1" x="3734"/>
        <item m="1" x="3850"/>
        <item m="1" x="3969"/>
        <item m="1" x="4085"/>
        <item m="1" x="4199"/>
        <item m="1" x="4319"/>
        <item m="1" x="4433"/>
        <item m="1" x="4550"/>
        <item m="1" x="4664"/>
        <item m="1" x="4783"/>
        <item m="1" x="4901"/>
        <item m="1" x="5016"/>
        <item m="1" x="5131"/>
        <item m="1" x="5247"/>
        <item m="1" x="5362"/>
        <item m="1" x="5479"/>
        <item m="1" x="5593"/>
        <item m="1" x="5709"/>
        <item m="1" x="5826"/>
        <item m="1" x="5940"/>
        <item m="1" x="6057"/>
        <item m="1" x="6172"/>
        <item m="1" x="6288"/>
        <item m="1" x="6403"/>
        <item m="1" x="6519"/>
        <item m="1" x="6635"/>
        <item m="1" x="6754"/>
        <item m="1" x="6867"/>
        <item m="1" x="6982"/>
        <item m="1" x="7098"/>
        <item m="1" x="7216"/>
        <item m="1" x="7332"/>
        <item m="1" x="7449"/>
        <item m="1" x="7563"/>
        <item m="1" x="7682"/>
        <item m="1" x="7795"/>
        <item m="1" x="42"/>
        <item m="1" x="159"/>
        <item m="1" x="276"/>
        <item m="1" x="392"/>
        <item m="1" x="508"/>
        <item m="1" x="627"/>
        <item m="1" x="739"/>
        <item m="1" x="855"/>
        <item m="1" x="970"/>
        <item m="1" x="1088"/>
        <item m="1" x="1203"/>
        <item m="1" x="1320"/>
        <item m="1" x="1437"/>
        <item m="1" x="1555"/>
        <item m="1" x="1670"/>
        <item m="1" x="1786"/>
        <item m="1" x="1905"/>
        <item m="1" x="2019"/>
        <item m="1" x="2136"/>
        <item m="1" x="2251"/>
        <item m="1" x="2370"/>
        <item m="1" x="2486"/>
        <item m="1" x="2601"/>
        <item m="1" x="2715"/>
        <item m="1" x="2834"/>
        <item m="1" x="2949"/>
        <item m="1" x="3064"/>
        <item m="1" x="3180"/>
        <item m="1" x="3297"/>
        <item m="1" x="3411"/>
        <item m="1" x="3527"/>
        <item m="1" x="3643"/>
        <item m="1" x="3762"/>
        <item m="1" x="3876"/>
        <item m="1" x="3996"/>
        <item m="1" x="4112"/>
        <item m="1" x="4228"/>
        <item m="1" x="4345"/>
        <item m="1" x="4459"/>
        <item m="1" x="4577"/>
        <item m="1" x="4693"/>
        <item m="1" x="4809"/>
        <item m="1" x="4928"/>
        <item m="1" x="5044"/>
        <item m="1" x="5159"/>
        <item m="1" x="5274"/>
        <item m="1" x="5388"/>
        <item m="1" x="5504"/>
        <item m="1" x="5621"/>
        <item m="1" x="5735"/>
        <item m="1" x="5853"/>
        <item m="1" x="5968"/>
        <item m="1" x="6085"/>
        <item m="1" x="6198"/>
        <item m="1" x="6315"/>
        <item m="1" x="6430"/>
        <item m="1" x="6546"/>
        <item m="1" x="6661"/>
        <item m="1" x="6779"/>
        <item m="1" x="6894"/>
        <item m="1" x="7009"/>
        <item m="1" x="7124"/>
        <item m="1" x="7355"/>
        <item m="1" x="7476"/>
        <item m="1" x="7588"/>
        <item m="1" x="7707"/>
        <item m="1" x="7821"/>
        <item m="1" x="7936"/>
        <item m="1" x="68"/>
        <item m="1" x="186"/>
        <item m="1" x="302"/>
        <item m="1" x="419"/>
        <item m="1" x="535"/>
        <item m="1" x="653"/>
        <item m="1" x="768"/>
        <item m="1" x="881"/>
        <item m="1" x="997"/>
        <item m="1" x="1115"/>
        <item m="1" x="1230"/>
        <item m="1" x="1347"/>
        <item m="1" x="1463"/>
        <item m="1" x="1581"/>
        <item m="1" x="1697"/>
        <item m="1" x="1813"/>
        <item m="1" x="1930"/>
        <item m="1" x="2046"/>
        <item m="1" x="2163"/>
        <item m="1" x="2279"/>
        <item m="1" x="2395"/>
        <item m="1" x="2513"/>
        <item m="1" x="2626"/>
        <item m="1" x="2742"/>
        <item m="1" x="2858"/>
        <item m="1" x="2977"/>
        <item m="1" x="3088"/>
        <item m="1" x="3209"/>
        <item m="1" x="3321"/>
        <item m="1" x="3438"/>
        <item m="1" x="3553"/>
        <item m="1" x="3671"/>
        <item m="1" x="3788"/>
        <item m="1" x="3905"/>
        <item m="1" x="4022"/>
        <item m="1" x="4141"/>
        <item m="1" x="4254"/>
        <item m="1" x="4373"/>
        <item m="1" x="4488"/>
        <item m="1" x="4604"/>
        <item m="1" x="4719"/>
        <item m="1" x="4837"/>
        <item m="1" x="4954"/>
        <item m="1" x="5072"/>
        <item m="1" x="5185"/>
        <item m="1" x="5301"/>
        <item m="1" x="5417"/>
        <item m="1" x="5531"/>
        <item m="1" x="5647"/>
        <item m="1" x="5763"/>
        <item m="1" x="5881"/>
        <item m="1" x="5996"/>
        <item m="1" x="6111"/>
        <item m="1" x="6226"/>
        <item m="1" x="6343"/>
        <item m="1" x="6457"/>
        <item m="1" x="6690"/>
        <item m="1" x="6805"/>
        <item m="1" x="6922"/>
        <item m="1" x="7034"/>
        <item m="1" x="7152"/>
        <item m="1" x="7272"/>
        <item m="1" x="7385"/>
        <item m="1" x="7503"/>
        <item m="1" x="7617"/>
        <item m="1" x="7733"/>
        <item m="1" x="7850"/>
        <item m="1" x="7963"/>
        <item m="1" x="97"/>
        <item m="1" x="215"/>
        <item m="1" x="329"/>
        <item m="1" x="447"/>
        <item m="1" x="565"/>
        <item m="1" x="680"/>
        <item m="1" x="796"/>
        <item m="1" x="907"/>
        <item m="1" x="1026"/>
        <item m="1" x="1143"/>
        <item m="1" x="1258"/>
        <item m="1" x="1375"/>
        <item m="1" x="1493"/>
        <item m="1" x="1610"/>
        <item m="1" x="1727"/>
        <item m="1" x="1840"/>
        <item m="1" x="1958"/>
        <item m="1" x="2075"/>
        <item m="1" x="2192"/>
        <item m="1" x="2306"/>
        <item m="1" x="2425"/>
        <item m="1" x="2539"/>
        <item m="1" x="2655"/>
        <item m="1" x="2769"/>
        <item m="1" x="2886"/>
        <item m="1" x="3004"/>
        <item m="1" x="3118"/>
        <item m="1" x="3236"/>
        <item m="1" x="3350"/>
        <item m="1" x="3465"/>
        <item m="1" x="3583"/>
        <item m="1" x="3699"/>
        <item m="1" x="3816"/>
        <item m="1" x="3935"/>
        <item m="1" x="4051"/>
        <item m="1" x="4167"/>
        <item m="1" x="4283"/>
        <item m="1" x="4400"/>
        <item m="1" x="4518"/>
        <item m="1" x="4629"/>
        <item m="1" x="4747"/>
        <item m="1" x="4866"/>
        <item m="1" x="4984"/>
        <item m="1" x="5099"/>
        <item m="1" x="5213"/>
        <item m="1" x="5330"/>
        <item m="1" x="5446"/>
        <item m="1" x="5557"/>
        <item m="1" x="5675"/>
        <item m="1" x="5789"/>
        <item m="1" x="6022"/>
        <item m="1" x="6139"/>
        <item m="1" x="6252"/>
        <item m="1" x="6371"/>
        <item m="1" x="6482"/>
        <item m="1" x="6598"/>
        <item m="1" x="6717"/>
        <item m="1" x="6834"/>
        <item m="1" x="6947"/>
        <item m="1" x="7062"/>
        <item m="1" x="7180"/>
        <item m="1" x="7299"/>
        <item m="1" x="7412"/>
        <item m="1" x="7528"/>
        <item m="1" x="7646"/>
        <item m="1" x="7760"/>
        <item m="1" x="7877"/>
        <item m="1" x="7991"/>
        <item m="1" x="125"/>
        <item m="1" x="243"/>
        <item m="1" x="355"/>
        <item m="1" x="472"/>
        <item m="1" x="593"/>
        <item m="1" x="707"/>
        <item m="1" x="822"/>
        <item m="1" x="935"/>
        <item m="1" x="1054"/>
        <item m="1" x="1171"/>
        <item m="1" x="1282"/>
        <item m="1" x="1402"/>
        <item m="1" x="1519"/>
        <item m="1" x="1638"/>
        <item m="1" x="1751"/>
        <item m="1" x="1870"/>
        <item m="1" x="1983"/>
        <item m="1" x="2104"/>
        <item m="1" x="2216"/>
        <item m="1" x="2334"/>
        <item m="1" x="2450"/>
        <item m="1" x="2568"/>
        <item m="1" x="2679"/>
        <item m="1" x="2798"/>
        <item m="1" x="2913"/>
        <item m="1" x="3031"/>
        <item m="1" x="3144"/>
        <item m="1" x="3263"/>
        <item m="1" x="3377"/>
        <item m="1" x="3493"/>
        <item m="1" x="3609"/>
        <item m="1" x="3727"/>
        <item m="1" x="3842"/>
        <item m="1" x="3963"/>
        <item m="1" x="4075"/>
        <item m="1" x="4193"/>
        <item m="1" x="4310"/>
        <item m="1" x="4427"/>
        <item m="1" x="4542"/>
        <item m="1" x="4657"/>
        <item m="1" x="4774"/>
        <item m="1" x="4895"/>
        <item m="1" x="5007"/>
        <item m="1" x="5124"/>
        <item m="1" x="5356"/>
        <item m="1" x="5471"/>
        <item m="1" x="5586"/>
        <item m="1" x="5699"/>
        <item m="1" x="5819"/>
        <item m="1" x="5931"/>
        <item m="1" x="6049"/>
        <item m="1" x="6163"/>
        <item m="1" x="6282"/>
        <item m="1" x="6395"/>
        <item m="1" x="6510"/>
        <item m="1" x="6626"/>
        <item m="1" x="6746"/>
        <item m="1" x="6858"/>
        <item m="1" x="6973"/>
        <item m="1" x="7089"/>
        <item m="1" x="7209"/>
        <item m="1" x="7324"/>
        <item m="1" x="7441"/>
        <item m="1" x="7554"/>
        <item m="1" x="7675"/>
        <item m="1" x="7785"/>
        <item m="1" x="7902"/>
        <item m="1" x="33"/>
        <item m="1" x="153"/>
        <item m="1" x="268"/>
        <item m="1" x="385"/>
        <item m="1" x="500"/>
        <item m="1" x="621"/>
        <item m="1" x="731"/>
        <item m="1" x="849"/>
        <item m="1" x="961"/>
        <item m="1" x="1082"/>
        <item m="1" x="1195"/>
        <item m="1" x="1313"/>
        <item m="1" x="1428"/>
        <item m="1" x="1548"/>
        <item m="1" x="1661"/>
        <item m="1" x="1778"/>
        <item m="1" x="1896"/>
        <item m="1" x="2012"/>
        <item m="1" x="2128"/>
        <item m="1" x="2243"/>
        <item m="1" x="2361"/>
        <item m="1" x="2479"/>
        <item m="1" x="2592"/>
        <item m="1" x="2707"/>
        <item m="1" x="2825"/>
        <item m="1" x="2943"/>
        <item m="1" x="3057"/>
        <item m="1" x="3173"/>
        <item m="1" x="3288"/>
        <item m="1" x="3406"/>
        <item m="1" x="3517"/>
        <item m="1" x="3636"/>
        <item m="1" x="3753"/>
        <item m="1" x="3870"/>
        <item m="1" x="3988"/>
        <item m="1" x="4105"/>
        <item m="1" x="4218"/>
        <item m="1" x="4339"/>
        <item m="1" x="4450"/>
        <item m="1" x="4569"/>
        <item m="1" x="4683"/>
        <item m="1" x="4802"/>
        <item m="1" x="4919"/>
        <item m="1" x="5036"/>
        <item m="1" x="5148"/>
        <item m="1" x="5267"/>
        <item m="1" x="5378"/>
        <item m="1" x="5497"/>
        <item m="1" x="5611"/>
        <item m="1" x="5727"/>
        <item m="1" x="5843"/>
        <item m="1" x="5959"/>
        <item m="1" x="6075"/>
        <item m="1" x="6190"/>
        <item m="1" x="6305"/>
        <item m="1" x="6421"/>
        <item m="1" x="6537"/>
        <item m="1" x="6654"/>
        <item m="1" x="6771"/>
        <item m="1" x="6886"/>
        <item m="1" x="7000"/>
        <item m="1" x="7117"/>
        <item m="1" x="7235"/>
        <item m="1" x="7348"/>
        <item m="1" x="7467"/>
        <item m="1" x="7582"/>
        <item m="1" x="7700"/>
        <item m="1" x="7814"/>
        <item m="1" x="7928"/>
        <item m="1" x="62"/>
        <item m="1" x="177"/>
        <item m="1" x="295"/>
        <item m="1" x="410"/>
        <item m="1" x="529"/>
        <item m="1" x="645"/>
        <item m="1" x="761"/>
        <item m="1" x="872"/>
        <item m="1" x="1106"/>
        <item m="1" x="1222"/>
        <item m="1" x="1338"/>
        <item m="1" x="1456"/>
        <item m="1" x="1573"/>
        <item m="1" x="1689"/>
        <item m="1" x="1804"/>
        <item m="1" x="1924"/>
        <item m="1" x="2037"/>
        <item m="1" x="2155"/>
        <item m="1" x="2270"/>
        <item m="1" x="2389"/>
        <item m="1" x="2505"/>
        <item m="1" x="2620"/>
        <item m="1" x="2733"/>
        <item m="1" x="2852"/>
        <item m="1" x="2967"/>
        <item m="1" x="3081"/>
        <item m="1" x="3200"/>
        <item m="1" x="3315"/>
        <item m="1" x="3430"/>
        <item m="1" x="3546"/>
        <item m="1" x="3662"/>
        <item m="1" x="3781"/>
        <item m="1" x="3895"/>
        <item m="1" x="4014"/>
        <item m="1" x="4131"/>
        <item m="1" x="4247"/>
        <item m="1" x="4364"/>
        <item m="1" x="4480"/>
        <item m="1" x="4593"/>
        <item m="1" x="4712"/>
        <item m="1" x="4827"/>
        <item m="1" x="4945"/>
        <item m="1" x="5062"/>
        <item m="1" x="5177"/>
        <item m="1" x="5292"/>
        <item m="1" x="5407"/>
        <item m="1" x="5521"/>
        <item m="1" x="5638"/>
        <item m="1" x="5753"/>
        <item m="1" x="5871"/>
        <item m="1" x="5986"/>
        <item m="1" x="6103"/>
        <item m="1" x="6217"/>
        <item m="1" x="6334"/>
        <item m="1" x="6448"/>
        <item m="1" x="6563"/>
        <item m="1" x="6679"/>
        <item m="1" x="6797"/>
        <item m="1" x="6913"/>
        <item m="1" x="7027"/>
        <item m="1" x="7144"/>
        <item m="1" x="7264"/>
        <item m="1" x="7375"/>
        <item m="1" x="7496"/>
        <item m="1" x="7607"/>
        <item m="1" x="7726"/>
        <item m="1" x="7840"/>
        <item m="1" x="7956"/>
        <item m="1" x="88"/>
        <item m="1" x="207"/>
        <item m="1" x="439"/>
        <item m="1" x="555"/>
        <item m="1" x="671"/>
        <item m="1" x="786"/>
        <item m="1" x="899"/>
        <item m="1" x="1017"/>
        <item m="1" x="1134"/>
        <item m="1" x="1248"/>
        <item m="1" x="1367"/>
        <item m="1" x="1483"/>
        <item m="1" x="1601"/>
        <item m="1" x="1717"/>
        <item m="1" x="1833"/>
        <item m="1" x="1949"/>
        <item m="1" x="2067"/>
        <item m="1" x="2182"/>
        <item m="1" x="2299"/>
        <item m="1" x="2414"/>
        <item m="1" x="2531"/>
        <item m="1" x="2645"/>
        <item m="1" x="2762"/>
        <item m="1" x="2877"/>
        <item m="1" x="2996"/>
        <item m="1" x="3107"/>
        <item m="1" x="3228"/>
        <item m="1" x="3340"/>
        <item m="1" x="3456"/>
        <item m="1" x="3572"/>
        <item m="1" x="3691"/>
        <item m="1" x="3806"/>
        <item m="1" x="3926"/>
        <item m="1" x="4039"/>
        <item m="1" x="4159"/>
        <item m="1" x="4272"/>
        <item m="1" x="4391"/>
        <item m="1" x="4506"/>
        <item m="1" x="4621"/>
        <item m="1" x="4737"/>
        <item m="1" x="4855"/>
        <item m="1" x="4972"/>
        <item m="1" x="5090"/>
        <item m="1" x="5203"/>
        <item m="1" x="5320"/>
        <item m="1" x="5436"/>
        <item m="1" x="5549"/>
        <item m="1" x="5666"/>
        <item m="1" x="5781"/>
        <item m="1" x="5898"/>
        <item m="1" x="6014"/>
        <item m="1" x="6129"/>
        <item m="1" x="6244"/>
        <item m="1" x="6362"/>
        <item m="1" x="6475"/>
        <item m="1" x="6589"/>
        <item m="1" x="6709"/>
        <item m="1" x="6824"/>
        <item m="1" x="6941"/>
        <item m="1" x="7052"/>
        <item m="1" x="7172"/>
        <item m="1" x="7290"/>
        <item m="1" x="7405"/>
        <item m="1" x="7519"/>
        <item m="1" x="7750"/>
        <item m="1" x="7869"/>
        <item m="1" x="7981"/>
        <item m="1" x="116"/>
        <item m="1" x="233"/>
        <item m="1" x="347"/>
        <item m="1" x="463"/>
        <item m="1" x="584"/>
        <item m="1" x="697"/>
        <item m="1" x="814"/>
        <item m="1" x="925"/>
        <item m="1" x="1045"/>
        <item m="1" x="1161"/>
        <item m="1" x="1275"/>
        <item m="1" x="1392"/>
        <item m="1" x="1511"/>
        <item m="1" x="1627"/>
        <item m="1" x="1744"/>
        <item m="1" x="1858"/>
        <item m="1" x="1975"/>
        <item m="1" x="2093"/>
        <item m="1" x="2209"/>
        <item m="1" x="2324"/>
        <item m="1" x="2442"/>
        <item m="1" x="2557"/>
        <item m="1" x="2672"/>
        <item m="1" x="2787"/>
        <item m="1" x="2905"/>
        <item m="1" x="3021"/>
        <item m="1" x="3137"/>
        <item m="1" x="3253"/>
        <item m="1" x="3369"/>
        <item m="1" x="3481"/>
        <item m="1" x="3601"/>
        <item m="1" x="3716"/>
        <item m="1" x="3834"/>
        <item m="1" x="3952"/>
        <item m="1" x="4068"/>
        <item m="1" x="4183"/>
        <item m="1" x="4301"/>
        <item m="1" x="4416"/>
        <item m="1" x="4535"/>
        <item m="1" x="4646"/>
        <item m="1" x="4765"/>
        <item m="1" x="4884"/>
        <item m="1" x="5000"/>
        <item m="1" x="5115"/>
        <item m="1" x="5231"/>
        <item m="1" x="5346"/>
        <item m="1" x="5464"/>
        <item m="1" x="5575"/>
        <item m="1" x="5692"/>
        <item m="1" x="5808"/>
        <item m="1" x="5925"/>
        <item m="1" x="6040"/>
        <item m="1" x="6157"/>
        <item m="1" x="6271"/>
        <item m="1" x="6389"/>
        <item m="1" x="6500"/>
        <item m="1" x="6619"/>
        <item m="1" x="6735"/>
        <item m="1" x="6852"/>
        <item m="1" x="7082"/>
        <item m="1" x="7198"/>
        <item m="1" x="7317"/>
        <item m="1" x="7430"/>
        <item m="1" x="7546"/>
        <item m="1" x="7664"/>
        <item m="1" x="7778"/>
        <item m="1" x="7893"/>
        <item m="1" x="25"/>
        <item m="1" x="142"/>
        <item m="1" x="262"/>
        <item m="1" x="374"/>
        <item m="1" x="492"/>
        <item m="1" x="610"/>
        <item m="1" x="725"/>
        <item m="1" x="839"/>
        <item m="1" x="954"/>
        <item m="1" x="1071"/>
        <item m="1" x="1189"/>
        <item m="1" x="1301"/>
        <item m="1" x="1421"/>
        <item m="1" x="1537"/>
        <item m="1" x="1655"/>
        <item m="1" x="1769"/>
        <item m="1" x="1889"/>
        <item m="1" x="2001"/>
        <item m="1" x="2122"/>
        <item m="1" x="2233"/>
        <item m="1" x="2353"/>
        <item m="1" x="2468"/>
        <item m="1" x="2586"/>
        <item m="1" x="2696"/>
        <item m="1" x="2818"/>
        <item m="1" x="2930"/>
        <item m="1" x="3049"/>
        <item m="1" x="3161"/>
        <item m="1" x="3280"/>
        <item m="1" x="3394"/>
        <item m="1" x="3510"/>
        <item m="1" x="3625"/>
        <item m="1" x="3745"/>
        <item m="1" x="3858"/>
        <item m="1" x="3980"/>
        <item m="1" x="4093"/>
        <item m="1" x="4209"/>
        <item m="1" x="4328"/>
        <item m="1" x="4444"/>
        <item m="1" x="4559"/>
        <item m="1" x="4675"/>
        <item m="1" x="4792"/>
        <item m="1" x="4912"/>
        <item m="1" x="5025"/>
        <item m="1" x="5141"/>
        <item m="1" x="5256"/>
        <item m="1" x="5373"/>
        <item m="1" x="5488"/>
        <item m="1" x="5604"/>
        <item m="1" x="5717"/>
        <item m="1" x="5837"/>
        <item m="1" x="5948"/>
        <item m="1" x="6068"/>
        <item m="1" x="6179"/>
        <item m="1" x="6411"/>
        <item m="1" x="6530"/>
        <item m="1" x="6643"/>
        <item m="1" x="6764"/>
        <item m="1" x="6875"/>
        <item m="1" x="6992"/>
        <item m="1" x="7106"/>
        <item m="1" x="7227"/>
        <item m="1" x="7339"/>
        <item m="1" x="7460"/>
        <item m="1" x="7571"/>
        <item m="1" x="7692"/>
        <item m="1" x="7803"/>
        <item m="1" x="7920"/>
        <item m="1" x="51"/>
        <item m="1" x="170"/>
        <item m="1" x="285"/>
        <item m="1" x="403"/>
        <item m="1" x="517"/>
        <item m="1" x="638"/>
        <item m="1" x="749"/>
        <item m="1" x="865"/>
        <item m="1" x="980"/>
        <item m="1" x="1099"/>
        <item m="1" x="1213"/>
        <item m="1" x="1331"/>
        <item m="1" x="1445"/>
        <item m="1" x="1566"/>
        <item m="1" x="1679"/>
        <item m="1" x="1797"/>
        <item m="1" x="1913"/>
        <item m="1" x="2031"/>
        <item m="1" x="2145"/>
        <item m="1" x="2263"/>
        <item m="1" x="2377"/>
        <item m="1" x="2497"/>
        <item m="1" x="2609"/>
        <item m="1" x="2725"/>
        <item m="1" x="2841"/>
        <item m="1" x="2960"/>
        <item m="1" x="3072"/>
        <item m="1" x="3191"/>
        <item m="1" x="3304"/>
        <item m="1" x="3421"/>
        <item m="1" x="3535"/>
        <item m="1" x="3654"/>
        <item m="1" x="3770"/>
        <item m="1" x="3887"/>
        <item m="1" x="4005"/>
        <item m="1" x="4123"/>
        <item m="1" x="4236"/>
        <item m="1" x="4356"/>
        <item m="1" x="4468"/>
        <item m="1" x="4587"/>
        <item m="1" x="4701"/>
        <item m="1" x="4820"/>
        <item m="1" x="4936"/>
        <item m="1" x="5055"/>
        <item m="1" x="5166"/>
        <item m="1" x="5285"/>
        <item m="1" x="5396"/>
        <item m="1" x="5514"/>
        <item m="1" x="5746"/>
        <item m="1" x="5861"/>
        <item m="1" x="5979"/>
        <item m="1" x="6092"/>
        <item m="1" x="6209"/>
        <item m="1" x="6323"/>
        <item m="1" x="6440"/>
        <item m="1" x="6552"/>
        <item m="1" x="6672"/>
        <item m="1" x="6788"/>
        <item m="1" x="6905"/>
        <item m="1" x="7016"/>
        <item m="1" x="7136"/>
        <item m="1" x="7253"/>
        <item m="1" x="7368"/>
        <item m="1" x="7485"/>
        <item m="1" x="7600"/>
        <item m="1" x="7716"/>
        <item m="1" x="7833"/>
        <item m="1" x="7944"/>
        <item m="1" x="81"/>
        <item m="1" x="196"/>
        <item m="1" x="313"/>
        <item m="1" x="428"/>
        <item m="1" x="548"/>
        <item m="1" x="662"/>
        <item m="1" x="779"/>
        <item m="1" x="889"/>
        <item m="1" x="1008"/>
        <item m="1" x="1124"/>
        <item m="1" x="1241"/>
        <item m="1" x="1355"/>
        <item m="1" x="1475"/>
        <item m="1" x="1590"/>
        <item m="1" x="1709"/>
        <item m="1" x="1820"/>
        <item m="1" x="1941"/>
        <item m="1" x="2054"/>
        <item m="1" x="2173"/>
        <item m="1" x="2286"/>
        <item m="1" x="2406"/>
        <item m="1" x="2521"/>
        <item m="1" x="2636"/>
        <item m="1" x="2749"/>
        <item m="1" x="2868"/>
        <item m="1" x="2985"/>
        <item m="1" x="3099"/>
        <item m="1" x="3217"/>
        <item m="1" x="3332"/>
        <item m="1" x="3447"/>
        <item m="1" x="3564"/>
        <item m="1" x="3679"/>
        <item m="1" x="3799"/>
        <item m="1" x="3914"/>
        <item m="1" x="4032"/>
        <item m="1" x="4148"/>
        <item m="1" x="4265"/>
        <item m="1" x="4382"/>
        <item m="1" x="4499"/>
        <item m="1" x="4610"/>
        <item m="1" x="4730"/>
        <item m="1" x="4844"/>
        <item m="1" x="4965"/>
        <item m="1" x="5079"/>
        <item m="1" x="5196"/>
        <item m="1" x="5310"/>
        <item m="1" x="5429"/>
        <item m="1" x="5538"/>
        <item m="1" x="5658"/>
        <item m="1" x="5770"/>
        <item m="1" x="5891"/>
        <item m="1" x="6003"/>
        <item m="1" x="6121"/>
        <item m="1" x="6235"/>
        <item m="1" x="6354"/>
        <item m="1" x="6464"/>
        <item m="1" x="6581"/>
        <item m="1" x="6698"/>
        <item m="1" x="6817"/>
        <item m="1" x="6930"/>
        <item m="1" x="7045"/>
        <item m="1" x="7162"/>
        <item m="1" x="7283"/>
        <item m="1" x="7393"/>
        <item m="1" x="7513"/>
        <item m="1" x="7627"/>
        <item m="1" x="7743"/>
        <item m="1" x="7858"/>
        <item m="1" x="7974"/>
        <item m="1" x="108"/>
        <item m="1" x="226"/>
        <item m="1" x="3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9"/>
  </rowFields>
  <rowItems count="10">
    <i>
      <x/>
    </i>
    <i>
      <x v="1"/>
    </i>
    <i>
      <x v="2"/>
    </i>
    <i>
      <x v="5"/>
    </i>
    <i>
      <x v="8"/>
    </i>
    <i>
      <x v="9"/>
    </i>
    <i>
      <x v="12"/>
    </i>
    <i>
      <x v="14"/>
    </i>
    <i>
      <x v="17"/>
    </i>
    <i t="grand">
      <x/>
    </i>
  </rowItems>
  <colFields count="1">
    <field x="-2"/>
  </colFields>
  <colItems count="3">
    <i>
      <x/>
    </i>
    <i i="1">
      <x v="1"/>
    </i>
    <i i="2">
      <x v="2"/>
    </i>
  </colItems>
  <dataFields count="3">
    <dataField name="Total Crashes" fld="1" subtotal="count" baseField="87" baseItem="17"/>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0000000-0007-0000-0E00-00000C000000}" name="U1_Type of Unit"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Type of Unit">
  <location ref="B4:E18"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51">
        <item m="1" x="41"/>
        <item m="1" x="36"/>
        <item m="1" x="45"/>
        <item m="1" x="22"/>
        <item m="1" x="19"/>
        <item m="1" x="28"/>
        <item m="1" x="23"/>
        <item m="1" x="21"/>
        <item m="1" x="33"/>
        <item m="1" x="38"/>
        <item m="1" x="48"/>
        <item m="1" x="31"/>
        <item m="1" x="32"/>
        <item m="1" x="47"/>
        <item x="8"/>
        <item m="1" x="37"/>
        <item m="1" x="25"/>
        <item m="1" x="18"/>
        <item m="1" x="40"/>
        <item m="1" x="42"/>
        <item x="3"/>
        <item m="1" x="30"/>
        <item m="1" x="17"/>
        <item m="1" x="44"/>
        <item m="1" x="43"/>
        <item x="6"/>
        <item m="1" x="29"/>
        <item m="1" x="16"/>
        <item m="1" x="24"/>
        <item x="7"/>
        <item x="2"/>
        <item x="0"/>
        <item x="1"/>
        <item x="5"/>
        <item m="1" x="14"/>
        <item x="10"/>
        <item x="4"/>
        <item m="1" x="13"/>
        <item m="1" x="49"/>
        <item m="1" x="20"/>
        <item m="1" x="27"/>
        <item x="9"/>
        <item x="12"/>
        <item x="11"/>
        <item m="1" x="39"/>
        <item m="1" x="15"/>
        <item m="1" x="34"/>
        <item m="1" x="26"/>
        <item m="1" x="46"/>
        <item m="1" x="3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6"/>
  </rowFields>
  <rowItems count="14">
    <i>
      <x v="31"/>
    </i>
    <i>
      <x v="20"/>
    </i>
    <i>
      <x v="30"/>
    </i>
    <i>
      <x v="32"/>
    </i>
    <i>
      <x v="25"/>
    </i>
    <i>
      <x v="29"/>
    </i>
    <i>
      <x v="43"/>
    </i>
    <i>
      <x v="36"/>
    </i>
    <i>
      <x v="41"/>
    </i>
    <i>
      <x v="42"/>
    </i>
    <i>
      <x v="14"/>
    </i>
    <i>
      <x v="33"/>
    </i>
    <i>
      <x v="35"/>
    </i>
    <i t="grand">
      <x/>
    </i>
  </rowItems>
  <colFields count="1">
    <field x="-2"/>
  </colFields>
  <colItems count="3">
    <i>
      <x/>
    </i>
    <i i="1">
      <x v="1"/>
    </i>
    <i i="2">
      <x v="2"/>
    </i>
  </colItems>
  <dataFields count="3">
    <dataField name="Total Crashes" fld="1" subtotal="count" baseField="84" baseItem="7"/>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0E00-000001000000}" name="U1_Contributing Circumstances"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Contributing Circumstances">
  <location ref="G47:J65"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44">
        <item m="1" x="34"/>
        <item m="1" x="23"/>
        <item m="1" x="36"/>
        <item m="1" x="28"/>
        <item x="7"/>
        <item m="1" x="40"/>
        <item m="1" x="37"/>
        <item x="13"/>
        <item m="1" x="17"/>
        <item m="1" x="31"/>
        <item m="1" x="24"/>
        <item x="1"/>
        <item m="1" x="25"/>
        <item x="8"/>
        <item x="16"/>
        <item m="1" x="27"/>
        <item m="1" x="39"/>
        <item m="1" x="35"/>
        <item x="2"/>
        <item m="1" x="38"/>
        <item x="6"/>
        <item m="1" x="29"/>
        <item x="11"/>
        <item x="12"/>
        <item m="1" x="21"/>
        <item x="14"/>
        <item m="1" x="41"/>
        <item x="0"/>
        <item m="1" x="22"/>
        <item m="1" x="42"/>
        <item m="1" x="30"/>
        <item m="1" x="26"/>
        <item m="1" x="19"/>
        <item m="1" x="20"/>
        <item x="15"/>
        <item x="4"/>
        <item x="10"/>
        <item m="1" x="33"/>
        <item x="5"/>
        <item x="9"/>
        <item m="1" x="18"/>
        <item m="1" x="32"/>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91"/>
  </rowFields>
  <rowItems count="18">
    <i>
      <x v="4"/>
    </i>
    <i>
      <x v="42"/>
    </i>
    <i>
      <x v="20"/>
    </i>
    <i>
      <x v="35"/>
    </i>
    <i>
      <x v="11"/>
    </i>
    <i>
      <x v="39"/>
    </i>
    <i>
      <x v="22"/>
    </i>
    <i>
      <x v="13"/>
    </i>
    <i>
      <x v="27"/>
    </i>
    <i>
      <x v="36"/>
    </i>
    <i>
      <x v="7"/>
    </i>
    <i>
      <x v="34"/>
    </i>
    <i>
      <x v="38"/>
    </i>
    <i>
      <x v="25"/>
    </i>
    <i>
      <x v="18"/>
    </i>
    <i>
      <x v="23"/>
    </i>
    <i>
      <x v="14"/>
    </i>
    <i t="grand">
      <x/>
    </i>
  </rowItems>
  <colFields count="1">
    <field x="-2"/>
  </colFields>
  <colItems count="3">
    <i>
      <x/>
    </i>
    <i i="1">
      <x v="1"/>
    </i>
    <i i="2">
      <x v="2"/>
    </i>
  </colItems>
  <dataFields count="3">
    <dataField name="Total Crashes" fld="1" subtotal="count" baseField="89" baseItem="1"/>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0E00-000005000000}" name="U1_Impairment"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Alcohol Involved">
  <location ref="G88:J91"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m="1" x="2"/>
        <item t="default"/>
      </items>
    </pivotField>
    <pivotField showAll="0" sumSubtotal="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0"/>
  </rowFields>
  <rowItems count="3">
    <i>
      <x/>
    </i>
    <i>
      <x v="1"/>
    </i>
    <i t="grand">
      <x/>
    </i>
  </rowItems>
  <colFields count="1">
    <field x="-2"/>
  </colFields>
  <colItems count="3">
    <i>
      <x/>
    </i>
    <i i="1">
      <x v="1"/>
    </i>
    <i i="2">
      <x v="2"/>
    </i>
  </colItems>
  <dataFields count="3">
    <dataField name="Total Crashes" fld="1" subtotal="count" baseField="48" baseItem="0"/>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0E00-000007000000}" name="U1_Object Struck"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Object Struck">
  <location ref="G23:J34"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8">
        <item m="1" x="24"/>
        <item m="1" x="14"/>
        <item x="12"/>
        <item m="1" x="27"/>
        <item x="1"/>
        <item m="1" x="15"/>
        <item m="1" x="16"/>
        <item m="1" x="21"/>
        <item x="13"/>
        <item m="1" x="17"/>
        <item x="11"/>
        <item x="6"/>
        <item m="1" x="31"/>
        <item h="1" x="0"/>
        <item x="8"/>
        <item x="2"/>
        <item m="1" x="26"/>
        <item x="3"/>
        <item x="4"/>
        <item m="1" x="36"/>
        <item x="5"/>
        <item m="1" x="32"/>
        <item h="1" m="1" x="22"/>
        <item h="1" m="1" x="33"/>
        <item h="1" m="1" x="23"/>
        <item h="1" m="1" x="34"/>
        <item h="1" m="1" x="28"/>
        <item h="1" m="1" x="18"/>
        <item h="1" m="1" x="19"/>
        <item h="1" x="9"/>
        <item h="1" m="1" x="29"/>
        <item h="1" m="1" x="30"/>
        <item h="1" x="7"/>
        <item h="1" m="1" x="25"/>
        <item h="1" m="1" x="20"/>
        <item h="1" m="1" x="35"/>
        <item h="1"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92"/>
  </rowFields>
  <rowItems count="11">
    <i>
      <x v="20"/>
    </i>
    <i>
      <x v="4"/>
    </i>
    <i>
      <x v="18"/>
    </i>
    <i>
      <x v="11"/>
    </i>
    <i>
      <x v="17"/>
    </i>
    <i>
      <x v="10"/>
    </i>
    <i>
      <x v="8"/>
    </i>
    <i>
      <x v="14"/>
    </i>
    <i>
      <x v="2"/>
    </i>
    <i>
      <x v="15"/>
    </i>
    <i t="grand">
      <x/>
    </i>
  </rowItems>
  <colFields count="1">
    <field x="-2"/>
  </colFields>
  <colItems count="3">
    <i>
      <x/>
    </i>
    <i i="1">
      <x v="1"/>
    </i>
    <i i="2">
      <x v="2"/>
    </i>
  </colItems>
  <dataFields count="3">
    <dataField name="Total Crashes" fld="1" subtotal="count" baseField="90" baseItem="6"/>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C335283-BDD9-4B20-8D61-D172D1766ED4}" name="PivotTable27"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Traffic Control">
  <location ref="F162:H169"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2">
        <item m="1" x="12"/>
        <item m="1" x="7"/>
        <item x="2"/>
        <item x="1"/>
        <item m="1" x="14"/>
        <item m="1" x="10"/>
        <item m="1" x="18"/>
        <item m="1" x="15"/>
        <item m="1" x="19"/>
        <item m="1" x="8"/>
        <item m="1" x="20"/>
        <item m="1" x="17"/>
        <item x="3"/>
        <item m="1" x="9"/>
        <item x="0"/>
        <item x="4"/>
        <item m="1" x="13"/>
        <item m="1" x="11"/>
        <item m="1" x="16"/>
        <item x="5"/>
        <item m="1"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5"/>
  </rowFields>
  <rowItems count="7">
    <i>
      <x v="3"/>
    </i>
    <i>
      <x v="14"/>
    </i>
    <i>
      <x v="15"/>
    </i>
    <i>
      <x v="2"/>
    </i>
    <i>
      <x v="12"/>
    </i>
    <i>
      <x v="19"/>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78">
      <pivotArea field="2" type="button" dataOnly="0" labelOnly="1" outline="0"/>
    </format>
    <format dxfId="177">
      <pivotArea dataOnly="0" labelOnly="1" grandRow="1" outline="0" fieldPosition="0"/>
    </format>
    <format dxfId="176">
      <pivotArea outline="0" fieldPosition="0">
        <references count="1">
          <reference field="4294967294" count="1">
            <x v="0"/>
          </reference>
        </references>
      </pivotArea>
    </format>
    <format dxfId="175">
      <pivotArea outline="0" fieldPosition="0">
        <references count="1">
          <reference field="4294967294" count="1">
            <x v="1"/>
          </reference>
        </references>
      </pivotArea>
    </format>
    <format dxfId="17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0000000-0007-0000-0E00-00000B000000}" name="U1_Traffic Control"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Traffic Control">
  <location ref="G4:J11"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2">
        <item m="1" x="14"/>
        <item m="1" x="10"/>
        <item m="1" x="18"/>
        <item m="1" x="15"/>
        <item m="1" x="19"/>
        <item m="1" x="9"/>
        <item x="4"/>
        <item m="1" x="13"/>
        <item m="1" x="11"/>
        <item x="5"/>
        <item m="1" x="16"/>
        <item m="1" x="12"/>
        <item m="1" x="6"/>
        <item m="1" x="7"/>
        <item m="1" x="17"/>
        <item m="1" x="8"/>
        <item m="1" x="20"/>
        <item x="1"/>
        <item x="0"/>
        <item x="2"/>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5"/>
  </rowFields>
  <rowItems count="7">
    <i>
      <x v="17"/>
    </i>
    <i>
      <x v="18"/>
    </i>
    <i>
      <x v="6"/>
    </i>
    <i>
      <x v="19"/>
    </i>
    <i>
      <x v="20"/>
    </i>
    <i>
      <x v="9"/>
    </i>
    <i t="grand">
      <x/>
    </i>
  </rowItems>
  <colFields count="1">
    <field x="-2"/>
  </colFields>
  <colItems count="3">
    <i>
      <x/>
    </i>
    <i i="1">
      <x v="1"/>
    </i>
    <i i="2">
      <x v="2"/>
    </i>
  </colItems>
  <dataFields count="3">
    <dataField name="Total Crashes" fld="1" subtotal="count" baseField="83" baseItem="6"/>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2E69F7E5-A3E8-4E8C-AB37-3B5E96590EED}" name="PivotTable2"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Other Drugs Involved">
  <location ref="L94:O97"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umSubtotal="1"/>
    <pivotField axis="axisRow"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2"/>
  </rowFields>
  <rowItems count="3">
    <i>
      <x/>
    </i>
    <i>
      <x v="1"/>
    </i>
    <i t="grand">
      <x/>
    </i>
  </rowItems>
  <colFields count="1">
    <field x="-2"/>
  </colFields>
  <colItems count="3">
    <i>
      <x/>
    </i>
    <i i="1">
      <x v="1"/>
    </i>
    <i i="2">
      <x v="2"/>
    </i>
  </colItems>
  <dataFields count="3">
    <dataField name="Total Crashes" fld="1" subtotal="count" baseField="48" baseItem="0"/>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0E00-000006000000}" name="U1_NonMotorist_Loc"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Non-Motorist Location">
  <location ref="G111:J112"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3">
        <item h="1" x="0"/>
        <item m="1" x="5"/>
        <item m="1" x="10"/>
        <item m="1" x="20"/>
        <item m="1" x="19"/>
        <item m="1" x="18"/>
        <item m="1" x="14"/>
        <item m="1" x="2"/>
        <item m="1" x="7"/>
        <item m="1" x="21"/>
        <item h="1" m="1" x="15"/>
        <item h="1" m="1" x="8"/>
        <item h="1" m="1" x="11"/>
        <item h="1" m="1" x="16"/>
        <item h="1" m="1" x="4"/>
        <item h="1" m="1" x="13"/>
        <item h="1" x="1"/>
        <item h="1" m="1" x="17"/>
        <item h="1" m="1" x="3"/>
        <item h="1" m="1" x="9"/>
        <item h="1" m="1" x="12"/>
        <item h="1"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99"/>
  </rowFields>
  <rowItems count="1">
    <i t="grand">
      <x/>
    </i>
  </rowItems>
  <colFields count="1">
    <field x="-2"/>
  </colFields>
  <colItems count="3">
    <i>
      <x/>
    </i>
    <i i="1">
      <x v="1"/>
    </i>
    <i i="2">
      <x v="2"/>
    </i>
  </colItems>
  <dataFields count="3">
    <dataField name="Total Crashes" fld="1" subtotal="count" baseField="97" baseItem="2"/>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0E00-000003000000}" name="U1_Driver Age"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Driver Age">
  <location ref="B94:E110" firstHeaderRow="0" firstDataRow="1" firstDataCol="1"/>
  <pivotFields count="150">
    <pivotField showAll="0" defaultSubtotal="0"/>
    <pivotField showAll="0"/>
    <pivotField showAll="0" sortType="ascending"/>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0"/>
        <item x="1"/>
        <item x="2"/>
        <item x="3"/>
        <item x="4"/>
        <item x="5"/>
        <item x="6"/>
        <item x="7"/>
        <item x="8"/>
        <item x="9"/>
        <item x="10"/>
        <item x="11"/>
        <item x="12"/>
        <item x="13"/>
        <item x="14"/>
        <item x="15"/>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00"/>
  </rowFields>
  <rowItems count="16">
    <i>
      <x/>
    </i>
    <i>
      <x v="1"/>
    </i>
    <i>
      <x v="2"/>
    </i>
    <i>
      <x v="3"/>
    </i>
    <i>
      <x v="4"/>
    </i>
    <i>
      <x v="5"/>
    </i>
    <i>
      <x v="6"/>
    </i>
    <i>
      <x v="7"/>
    </i>
    <i>
      <x v="8"/>
    </i>
    <i>
      <x v="9"/>
    </i>
    <i>
      <x v="10"/>
    </i>
    <i>
      <x v="11"/>
    </i>
    <i>
      <x v="12"/>
    </i>
    <i>
      <x v="13"/>
    </i>
    <i>
      <x v="14"/>
    </i>
    <i t="grand">
      <x/>
    </i>
  </rowItems>
  <colFields count="1">
    <field x="-2"/>
  </colFields>
  <colItems count="3">
    <i>
      <x/>
    </i>
    <i i="1">
      <x v="1"/>
    </i>
    <i i="2">
      <x v="2"/>
    </i>
  </colItems>
  <dataFields count="3">
    <dataField name="Total Crashes" fld="3" subtotal="count" baseField="0" baseItem="0"/>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773C35B7-2197-4D95-BE61-4A1085002ADD}" name="PivotTable1"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Marijuana Involved">
  <location ref="L88:O91"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umSubtotal="1">
      <items count="4">
        <item x="0"/>
        <item m="1" x="2"/>
        <item x="1"/>
        <item t="sum"/>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51"/>
  </rowFields>
  <rowItems count="3">
    <i>
      <x/>
    </i>
    <i>
      <x v="2"/>
    </i>
    <i t="grand">
      <x/>
    </i>
  </rowItems>
  <colFields count="1">
    <field x="-2"/>
  </colFields>
  <colItems count="3">
    <i>
      <x/>
    </i>
    <i i="1">
      <x v="1"/>
    </i>
    <i i="2">
      <x v="2"/>
    </i>
  </colItems>
  <dataFields count="3">
    <dataField name="Total Crashes" fld="1" subtotal="count" baseField="48" baseItem="0"/>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0E00-000002000000}" name="U1_Distracted"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Distracted By">
  <location ref="G98:J106"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1">
        <item m="1" x="12"/>
        <item m="1" x="15"/>
        <item m="1" x="10"/>
        <item m="1" x="17"/>
        <item m="1" x="14"/>
        <item m="1" x="13"/>
        <item m="1" x="16"/>
        <item m="1" x="11"/>
        <item m="1" x="8"/>
        <item m="1" x="9"/>
        <item m="1" x="19"/>
        <item x="1"/>
        <item x="0"/>
        <item x="2"/>
        <item x="6"/>
        <item x="5"/>
        <item m="1" x="18"/>
        <item m="1" x="7"/>
        <item x="4"/>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102"/>
  </rowFields>
  <rowItems count="8">
    <i>
      <x v="12"/>
    </i>
    <i>
      <x v="11"/>
    </i>
    <i>
      <x v="15"/>
    </i>
    <i>
      <x v="18"/>
    </i>
    <i>
      <x v="13"/>
    </i>
    <i>
      <x v="19"/>
    </i>
    <i>
      <x v="14"/>
    </i>
    <i t="grand">
      <x/>
    </i>
  </rowItems>
  <colFields count="1">
    <field x="-2"/>
  </colFields>
  <colItems count="3">
    <i>
      <x/>
    </i>
    <i i="1">
      <x v="1"/>
    </i>
    <i i="2">
      <x v="2"/>
    </i>
  </colItems>
  <dataFields count="3">
    <dataField name="Total Crashes" fld="1" subtotal="count" baseField="100" baseItem="1"/>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0"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3" rowHeaderCaption="Estimated Speed">
  <location ref="G127:J138" firstHeaderRow="0" firstDataRow="1" firstDataCol="1"/>
  <pivotFields count="150">
    <pivotField showAll="0" defaultSubtotal="0"/>
    <pivotField dataField="1"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8"/>
  </rowFields>
  <rowItems count="11">
    <i>
      <x/>
    </i>
    <i>
      <x v="1"/>
    </i>
    <i>
      <x v="2"/>
    </i>
    <i>
      <x v="3"/>
    </i>
    <i>
      <x v="4"/>
    </i>
    <i>
      <x v="5"/>
    </i>
    <i>
      <x v="6"/>
    </i>
    <i>
      <x v="7"/>
    </i>
    <i>
      <x v="8"/>
    </i>
    <i>
      <x v="12"/>
    </i>
    <i t="grand">
      <x/>
    </i>
  </rowItems>
  <colFields count="1">
    <field x="-2"/>
  </colFields>
  <colItems count="3">
    <i>
      <x/>
    </i>
    <i i="1">
      <x v="1"/>
    </i>
    <i i="2">
      <x v="2"/>
    </i>
  </colItems>
  <dataFields count="3">
    <dataField name="Total Crashes" fld="1" subtotal="count" baseField="86" baseItem="6"/>
    <dataField name="Fatalities " fld="20" baseField="0" baseItem="0"/>
    <dataField name="Serious Injuries " fld="21" baseField="0" baseItem="0"/>
  </dataFields>
  <chartFormats count="2">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151960C5-C66C-4E08-B148-71BD8846E3B3}" name="control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157:I162"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TRAFFIC_CONTROL1" axis="axisRow" compact="0" outline="0" subtotalTop="0" showAll="0" includeNewItemsInFilter="1" sortType="descending" rankBy="0">
      <items count="5">
        <item x="0"/>
        <item x="1"/>
        <item x="2"/>
        <item x="3"/>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6"/>
  </rowFields>
  <rowItems count="5">
    <i>
      <x/>
    </i>
    <i>
      <x v="1"/>
    </i>
    <i>
      <x v="3"/>
    </i>
    <i>
      <x v="2"/>
    </i>
    <i t="grand">
      <x/>
    </i>
  </rowItems>
  <colItems count="1">
    <i/>
  </colItems>
  <dataFields count="1">
    <dataField name="%" fld="9" subtotal="count" showDataAs="percentOfCol" baseField="0" baseItem="0" numFmtId="165"/>
  </dataFields>
  <formats count="1">
    <format dxfId="0">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C9454170-4F93-48D3-A820-1314DED5042A}" name="typesev" cacheId="2" autoFormatId="4112" applyNumberFormats="1" applyBorderFormats="1" applyFontFormats="1" applyPatternFormats="1" applyAlignmentFormats="1" applyWidthHeightFormats="1" dataCaption="Data" missingCaption="0" updatedVersion="8" showMemberPropertyTips="0" useAutoFormatting="1" itemPrintTitles="1" showDropZones="0" createdVersion="1" indent="0" compact="0" compactData="0" gridDropZones="1">
  <location ref="K58:M87" firstHeaderRow="1" firstDataRow="1" firstDataCol="2"/>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name="TYPE_OF_CRASH" axis="axisRow" compact="0" outline="0" subtotalTop="0" showAll="0" includeNewItemsInFilter="1" sortType="descending" rankBy="0">
      <items count="15">
        <item x="2"/>
        <item x="13"/>
        <item x="7"/>
        <item x="0"/>
        <item x="10"/>
        <item x="9"/>
        <item x="4"/>
        <item x="1"/>
        <item x="3"/>
        <item x="5"/>
        <item x="6"/>
        <item x="8"/>
        <item x="11"/>
        <item x="1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name="CRASH_SEVERITY" axis="axisRow" compact="0" outline="0" subtotalTop="0" showAll="0" includeNewItemsInFilter="1">
      <items count="4">
        <item m="1" x="1"/>
        <item m="1" x="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2">
    <field x="12"/>
    <field x="14"/>
  </rowFields>
  <rowItems count="29">
    <i>
      <x/>
      <x v="2"/>
    </i>
    <i t="default">
      <x/>
    </i>
    <i>
      <x v="6"/>
      <x v="2"/>
    </i>
    <i t="default">
      <x v="6"/>
    </i>
    <i>
      <x v="4"/>
      <x v="2"/>
    </i>
    <i t="default">
      <x v="4"/>
    </i>
    <i>
      <x v="7"/>
      <x v="2"/>
    </i>
    <i t="default">
      <x v="7"/>
    </i>
    <i>
      <x v="5"/>
      <x v="2"/>
    </i>
    <i t="default">
      <x v="5"/>
    </i>
    <i>
      <x v="3"/>
      <x v="2"/>
    </i>
    <i t="default">
      <x v="3"/>
    </i>
    <i>
      <x v="10"/>
      <x v="2"/>
    </i>
    <i t="default">
      <x v="10"/>
    </i>
    <i>
      <x v="2"/>
      <x v="2"/>
    </i>
    <i t="default">
      <x v="2"/>
    </i>
    <i>
      <x v="12"/>
      <x v="2"/>
    </i>
    <i t="default">
      <x v="12"/>
    </i>
    <i>
      <x v="9"/>
      <x v="2"/>
    </i>
    <i t="default">
      <x v="9"/>
    </i>
    <i>
      <x v="8"/>
      <x v="2"/>
    </i>
    <i t="default">
      <x v="8"/>
    </i>
    <i>
      <x v="11"/>
      <x v="2"/>
    </i>
    <i t="default">
      <x v="11"/>
    </i>
    <i>
      <x v="13"/>
      <x v="2"/>
    </i>
    <i t="default">
      <x v="13"/>
    </i>
    <i>
      <x v="1"/>
      <x v="2"/>
    </i>
    <i t="default">
      <x v="1"/>
    </i>
    <i t="grand">
      <x/>
    </i>
  </rowItems>
  <colItems count="1">
    <i/>
  </colItems>
  <dataFields count="1">
    <dataField name="Number" fld="9"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16F41D4C-F416-43FE-BE2F-1BB90550DB0A}" name="action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122:D13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ACTION1" axis="axisRow" compact="0" outline="0" subtotalTop="0" showAll="0" includeNewItemsInFilter="1" sortType="descending" rankBy="0">
      <items count="15">
        <item x="12"/>
        <item x="2"/>
        <item x="0"/>
        <item x="1"/>
        <item x="3"/>
        <item x="4"/>
        <item x="5"/>
        <item x="6"/>
        <item x="7"/>
        <item x="8"/>
        <item x="9"/>
        <item x="10"/>
        <item x="11"/>
        <item x="13"/>
        <item t="default"/>
      </items>
      <autoSortScope>
        <pivotArea dataOnly="0" outline="0" fieldPosition="0">
          <references count="1">
            <reference field="4294967294" count="1" selected="0">
              <x v="0"/>
            </reference>
          </references>
        </pivotArea>
      </autoSortScope>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9"/>
  </rowFields>
  <rowItems count="15">
    <i>
      <x v="2"/>
    </i>
    <i>
      <x v="3"/>
    </i>
    <i>
      <x v="1"/>
    </i>
    <i>
      <x v="4"/>
    </i>
    <i>
      <x v="5"/>
    </i>
    <i>
      <x v="8"/>
    </i>
    <i>
      <x v="7"/>
    </i>
    <i>
      <x v="12"/>
    </i>
    <i>
      <x v="11"/>
    </i>
    <i>
      <x v="10"/>
    </i>
    <i>
      <x v="13"/>
    </i>
    <i>
      <x v="9"/>
    </i>
    <i>
      <x/>
    </i>
    <i>
      <x v="6"/>
    </i>
    <i t="grand">
      <x/>
    </i>
  </rowItems>
  <colItems count="1">
    <i/>
  </colItems>
  <dataFields count="1">
    <dataField name="%" fld="9" subtotal="count" showDataAs="percentOfCol" baseField="0" baseItem="0" numFmtId="165"/>
  </dataFields>
  <formats count="1">
    <format dxfId="1">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B4476A4-E5B2-44FF-9FBE-7C35AAD5AF6E}" name="PivotTable29"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Estimated Speed">
  <location ref="K172:M183"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axis="axisRow" showAll="0">
      <items count="14">
        <item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8"/>
  </rowFields>
  <rowItems count="11">
    <i>
      <x/>
    </i>
    <i>
      <x v="1"/>
    </i>
    <i>
      <x v="2"/>
    </i>
    <i>
      <x v="3"/>
    </i>
    <i>
      <x v="4"/>
    </i>
    <i>
      <x v="5"/>
    </i>
    <i>
      <x v="6"/>
    </i>
    <i>
      <x v="7"/>
    </i>
    <i>
      <x v="8"/>
    </i>
    <i>
      <x v="12"/>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83">
      <pivotArea field="2" type="button" dataOnly="0" labelOnly="1" outline="0"/>
    </format>
    <format dxfId="182">
      <pivotArea dataOnly="0" labelOnly="1" grandRow="1" outline="0" fieldPosition="0"/>
    </format>
    <format dxfId="181">
      <pivotArea outline="0" fieldPosition="0">
        <references count="1">
          <reference field="4294967294" count="1">
            <x v="0"/>
          </reference>
        </references>
      </pivotArea>
    </format>
    <format dxfId="180">
      <pivotArea outline="0" fieldPosition="0">
        <references count="1">
          <reference field="4294967294" count="1">
            <x v="1"/>
          </reference>
        </references>
      </pivotArea>
    </format>
    <format dxfId="17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27559C9F-0C86-4C0D-8879-4F3EC3058EBC}" name="control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F157:G162"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TRAFFIC_CONTROL1" axis="axisRow" compact="0" outline="0" subtotalTop="0" showAll="0" includeNewItemsInFilter="1" sortType="descending" rankBy="0">
      <items count="5">
        <item x="0"/>
        <item x="1"/>
        <item x="2"/>
        <item x="3"/>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6"/>
  </rowFields>
  <rowItems count="5">
    <i>
      <x/>
    </i>
    <i>
      <x v="1"/>
    </i>
    <i>
      <x v="3"/>
    </i>
    <i>
      <x v="2"/>
    </i>
    <i t="grand">
      <x/>
    </i>
  </rowItems>
  <colItems count="1">
    <i/>
  </colItems>
  <dataFields count="1">
    <dataField name="Number" fld="9" subtotal="count" baseField="0" baseItem="0"/>
  </dataFields>
  <formats count="2">
    <format dxfId="3">
      <pivotArea type="all" dataOnly="0" outline="0" fieldPosition="0"/>
    </format>
    <format dxfId="2">
      <pivotArea outline="0" fieldPosition="0">
        <references count="1">
          <reference field="26"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1A9C6342-BC77-4051-A7C7-FA82A8B911AE}" name="severity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9:B11"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CRASH_SEVERITY" axis="axisRow" compact="0" outline="0" subtotalTop="0" showAll="0" includeNewItemsInFilter="1" sortType="ascending" rankBy="0">
      <items count="4">
        <item x="0"/>
        <item m="1" x="2"/>
        <item m="1"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4"/>
  </rowFields>
  <rowItems count="2">
    <i>
      <x/>
    </i>
    <i t="grand">
      <x/>
    </i>
  </rowItems>
  <colItems count="1">
    <i/>
  </colItems>
  <dataFields count="1">
    <dataField name="Number" fld="9" subtotal="count" baseField="0" baseItem="0"/>
  </dataFields>
  <formats count="2">
    <format dxfId="5">
      <pivotArea type="all" dataOnly="0" outline="0" fieldPosition="0"/>
    </format>
    <format dxfId="4">
      <pivotArea outline="0" fieldPosition="0">
        <references count="1">
          <reference field="14"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A96B9E6E-A143-4F35-BD6A-9A00DF94EB0E}" name="vehicle21" cacheId="2" autoFormatId="4112" applyNumberFormats="1" applyBorderFormats="1" applyFontFormats="1" applyPatternFormats="1" applyAlignmentFormats="1" applyWidthHeightFormats="1" dataCaption="Data" updatedVersion="8" showMemberPropertyTips="0" useAutoFormatting="1" colGrandTotals="0" itemPrintTitles="1" createdVersion="1" indent="0" compact="0" compactData="0" gridDropZones="1">
  <location ref="H232:I246"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VEHICLE_TYPE2" axis="axisRow" compact="0" outline="0" subtotalTop="0" showAll="0" includeNewItemsInFilter="1" sortType="descending" rankBy="0">
      <items count="14">
        <item x="2"/>
        <item x="0"/>
        <item x="6"/>
        <item x="4"/>
        <item x="7"/>
        <item x="1"/>
        <item x="3"/>
        <item x="5"/>
        <item x="8"/>
        <item x="9"/>
        <item x="10"/>
        <item x="11"/>
        <item x="1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3"/>
  </rowFields>
  <rowItems count="14">
    <i>
      <x/>
    </i>
    <i>
      <x v="3"/>
    </i>
    <i>
      <x v="1"/>
    </i>
    <i>
      <x v="2"/>
    </i>
    <i>
      <x v="6"/>
    </i>
    <i>
      <x v="5"/>
    </i>
    <i>
      <x v="4"/>
    </i>
    <i>
      <x v="10"/>
    </i>
    <i>
      <x v="11"/>
    </i>
    <i>
      <x v="12"/>
    </i>
    <i>
      <x v="7"/>
    </i>
    <i>
      <x v="8"/>
    </i>
    <i>
      <x v="9"/>
    </i>
    <i t="grand">
      <x/>
    </i>
  </rowItems>
  <colItems count="1">
    <i/>
  </colItems>
  <dataFields count="1">
    <dataField name="%" fld="9" subtotal="count" showDataAs="percentOfCol" baseField="0" baseItem="0" numFmtId="165"/>
  </dataFields>
  <formats count="1">
    <format dxfId="6">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081B1D8B-B799-4999-8948-E2063E8D950C}" name="condition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F58:G66"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ROAD_CONDITION" axis="axisRow" compact="0" outline="0" subtotalTop="0" showAll="0" includeNewItemsInFilter="1" sortType="descending" rankBy="0">
      <items count="8">
        <item x="2"/>
        <item x="0"/>
        <item x="1"/>
        <item x="3"/>
        <item x="4"/>
        <item x="5"/>
        <item x="6"/>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6"/>
  </rowFields>
  <rowItems count="8">
    <i>
      <x v="1"/>
    </i>
    <i>
      <x v="2"/>
    </i>
    <i>
      <x v="3"/>
    </i>
    <i>
      <x/>
    </i>
    <i>
      <x v="6"/>
    </i>
    <i>
      <x v="5"/>
    </i>
    <i>
      <x v="4"/>
    </i>
    <i t="grand">
      <x/>
    </i>
  </rowItems>
  <colItems count="1">
    <i/>
  </colItems>
  <dataFields count="1">
    <dataField name="Number" fld="9" subtotal="count" baseField="0" baseItem="0"/>
  </dataFields>
  <formats count="2">
    <format dxfId="8">
      <pivotArea type="all" dataOnly="0" outline="0" fieldPosition="0"/>
    </format>
    <format dxfId="7">
      <pivotArea outline="0" fieldPosition="0">
        <references count="1">
          <reference field="16"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27315826-22BB-4DAA-9449-C842F565CC8E}" name="sevyear" cacheId="2" autoFormatId="4112" applyNumberFormats="1" applyBorderFormats="1" applyFontFormats="1" applyPatternFormats="1" applyAlignmentFormats="1" applyWidthHeightFormats="1" dataCaption="Data" missingCaption="0" updatedVersion="8" showMemberPropertyTips="0" useAutoFormatting="1" colGrandTotals="0" itemPrintTitles="1" showDropZones="0" createdVersion="1" indent="0" compact="0" compactData="0" gridDropZones="1" chartFormat="1">
  <location ref="K3:L6" firstHeaderRow="1" firstDataRow="2"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CRASH_SEVERITY" axis="axisCol" dataField="1" compact="0" outline="0" subtotalTop="0" showAll="0" includeNewItemsInFilter="1">
      <items count="4">
        <item m="1" x="1"/>
        <item m="1" x="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Row" compact="0" outline="0" subtotalTop="0" showAll="0" includeNewItemsInFilter="1" sortType="ascending">
      <items count="5">
        <item m="1" x="1"/>
        <item m="1" x="2"/>
        <item m="1" x="3"/>
        <item x="0"/>
        <item t="default"/>
      </items>
    </pivotField>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name="Severity2"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55"/>
  </rowFields>
  <rowItems count="2">
    <i>
      <x v="3"/>
    </i>
    <i t="grand">
      <x/>
    </i>
  </rowItems>
  <colFields count="1">
    <field x="14"/>
  </colFields>
  <colItems count="1">
    <i>
      <x v="2"/>
    </i>
  </colItems>
  <dataFields count="1">
    <dataField name="SEVERITY" fld="14" subtotal="count" baseField="0" baseItem="0"/>
  </dataFields>
  <formats count="4">
    <format dxfId="12">
      <pivotArea outline="0" fieldPosition="0"/>
    </format>
    <format dxfId="11">
      <pivotArea dataOnly="0" labelOnly="1" outline="0" fieldPosition="0">
        <references count="1">
          <reference field="14" count="0"/>
        </references>
      </pivotArea>
    </format>
    <format dxfId="10">
      <pivotArea type="all" dataOnly="0" outline="0" fieldPosition="0"/>
    </format>
    <format dxfId="9">
      <pivotArea dataOnly="0" labelOnly="1" grandRow="1" outline="0"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4" count="1" selected="0">
            <x v="1"/>
          </reference>
        </references>
      </pivotArea>
    </chartFormat>
    <chartFormat chart="0" format="2" series="1">
      <pivotArea type="data" outline="0" fieldPosition="0">
        <references count="2">
          <reference field="4294967294" count="1" selected="0">
            <x v="0"/>
          </reference>
          <reference field="1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2A2DCA72-23B8-4EC7-A6A4-A65F67ADD8AA}" name="to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182:I192"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name="DIRECTION_TO1" axis="axisRow" compact="0" outline="0" subtotalTop="0" showAll="0" includeNewItemsInFilter="1" sortType="descending" rankBy="0">
      <items count="10">
        <item x="0"/>
        <item x="1"/>
        <item x="5"/>
        <item x="2"/>
        <item x="3"/>
        <item x="4"/>
        <item x="6"/>
        <item x="7"/>
        <item x="8"/>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3"/>
  </rowFields>
  <rowItems count="10">
    <i>
      <x/>
    </i>
    <i>
      <x v="3"/>
    </i>
    <i>
      <x v="2"/>
    </i>
    <i>
      <x v="1"/>
    </i>
    <i>
      <x v="4"/>
    </i>
    <i>
      <x v="7"/>
    </i>
    <i>
      <x v="5"/>
    </i>
    <i>
      <x v="6"/>
    </i>
    <i>
      <x v="8"/>
    </i>
    <i t="grand">
      <x/>
    </i>
  </rowItems>
  <colItems count="1">
    <i/>
  </colItems>
  <dataFields count="1">
    <dataField name="%" fld="9" subtotal="count" showDataAs="percentOfCol" baseField="0" baseItem="0" numFmtId="165"/>
  </dataFields>
  <formats count="1">
    <format dxfId="13">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E12C3A49-6FB1-4429-A90F-EFBC1DC59C13}" name="day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17:D25"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axis="axisRow" dataField="1" compact="0" outline="0" subtotalTop="0" showAll="0" includeNewItemsInFilter="1" sortType="descending" rankBy="0">
      <items count="8">
        <item x="0"/>
        <item x="4"/>
        <item x="5"/>
        <item x="3"/>
        <item x="1"/>
        <item x="6"/>
        <item x="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9"/>
  </rowFields>
  <rowItems count="8">
    <i>
      <x/>
    </i>
    <i>
      <x v="4"/>
    </i>
    <i>
      <x v="6"/>
    </i>
    <i>
      <x v="2"/>
    </i>
    <i>
      <x v="1"/>
    </i>
    <i>
      <x v="5"/>
    </i>
    <i>
      <x v="3"/>
    </i>
    <i t="grand">
      <x/>
    </i>
  </rowItems>
  <colItems count="1">
    <i/>
  </colItems>
  <dataFields count="1">
    <dataField name="%" fld="9" subtotal="count" showDataAs="percentOfCol" baseField="0" baseItem="0" numFmtId="165"/>
  </dataFields>
  <formats count="1">
    <format dxfId="14">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3F01E375-202A-47A2-908F-88923CD5E780}" name="light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71:D7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name="LIGHT_CONDITION" axis="axisRow" compact="0" outline="0" subtotalTop="0" showAll="0" includeNewItemsInFilter="1" sortType="descending" rankBy="0">
      <items count="6">
        <item x="2"/>
        <item x="0"/>
        <item x="3"/>
        <item x="1"/>
        <item x="4"/>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1"/>
  </rowFields>
  <rowItems count="6">
    <i>
      <x/>
    </i>
    <i>
      <x v="2"/>
    </i>
    <i>
      <x v="1"/>
    </i>
    <i>
      <x v="3"/>
    </i>
    <i>
      <x v="4"/>
    </i>
    <i t="grand">
      <x/>
    </i>
  </rowItems>
  <colItems count="1">
    <i/>
  </colItems>
  <dataFields count="1">
    <dataField name="%" fld="9" subtotal="count" showDataAs="percentOfCol" baseField="0" baseItem="0" numFmtId="165"/>
  </dataFields>
  <formats count="1">
    <format dxfId="15">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9683F9F3-CDD8-4774-A97E-3A364C1B83D5}" name="vehicle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232:D24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name="VEHICLE_TYPE1" axis="axisRow" compact="0" outline="0" subtotalTop="0" showAll="0" includeNewItemsInFilter="1" sortType="descending" rankBy="0">
      <items count="15">
        <item x="2"/>
        <item x="0"/>
        <item x="1"/>
        <item x="3"/>
        <item x="4"/>
        <item x="5"/>
        <item x="6"/>
        <item x="7"/>
        <item x="8"/>
        <item x="9"/>
        <item x="10"/>
        <item x="11"/>
        <item x="12"/>
        <item x="13"/>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1"/>
  </rowFields>
  <rowItems count="15">
    <i>
      <x v="1"/>
    </i>
    <i>
      <x/>
    </i>
    <i>
      <x v="5"/>
    </i>
    <i>
      <x v="9"/>
    </i>
    <i>
      <x v="2"/>
    </i>
    <i>
      <x v="7"/>
    </i>
    <i>
      <x v="6"/>
    </i>
    <i>
      <x v="11"/>
    </i>
    <i>
      <x v="4"/>
    </i>
    <i>
      <x v="8"/>
    </i>
    <i>
      <x v="13"/>
    </i>
    <i>
      <x v="12"/>
    </i>
    <i>
      <x v="3"/>
    </i>
    <i>
      <x v="10"/>
    </i>
    <i t="grand">
      <x/>
    </i>
  </rowItems>
  <colItems count="1">
    <i/>
  </colItems>
  <dataFields count="1">
    <dataField name="%" fld="9" subtotal="count" showDataAs="percentOfCol" baseField="0" baseItem="0" numFmtId="165"/>
  </dataFields>
  <formats count="1">
    <format dxfId="16">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40ED688A-3739-4648-A279-E8A8C74F1C66}" name="alcohol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171:D174"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RIVER_ALCOHOL1" axis="axisRow" compact="0" outline="0" subtotalTop="0" showAll="0" includeNewItemsInFilter="1" sortType="descending" rankBy="0">
      <items count="3">
        <item x="0"/>
        <item x="1"/>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7"/>
  </rowFields>
  <rowItems count="3">
    <i>
      <x/>
    </i>
    <i>
      <x v="1"/>
    </i>
    <i t="grand">
      <x/>
    </i>
  </rowItems>
  <colItems count="1">
    <i/>
  </colItems>
  <dataFields count="1">
    <dataField name="%" fld="9" subtotal="count" showDataAs="percentOfCol" baseField="0" baseItem="0" numFmtId="165"/>
  </dataFields>
  <formats count="1">
    <format dxfId="17">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9F90A72-F02B-4353-A143-2DC1B43DECA2}" name="PivotTable32"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Unit 1 Type">
  <location ref="B207:D221"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axis="axisRow" showAll="0" sortType="descending">
      <items count="51">
        <item m="1" x="14"/>
        <item m="1" x="41"/>
        <item m="1" x="36"/>
        <item m="1" x="49"/>
        <item m="1" x="26"/>
        <item x="10"/>
        <item m="1" x="45"/>
        <item x="12"/>
        <item m="1" x="22"/>
        <item m="1" x="19"/>
        <item x="4"/>
        <item m="1" x="28"/>
        <item m="1" x="15"/>
        <item m="1" x="23"/>
        <item m="1" x="46"/>
        <item m="1" x="27"/>
        <item m="1" x="35"/>
        <item m="1" x="21"/>
        <item m="1" x="33"/>
        <item m="1" x="39"/>
        <item m="1" x="38"/>
        <item x="5"/>
        <item m="1" x="34"/>
        <item x="9"/>
        <item m="1" x="48"/>
        <item m="1" x="31"/>
        <item m="1" x="32"/>
        <item m="1" x="47"/>
        <item m="1" x="20"/>
        <item x="0"/>
        <item x="1"/>
        <item x="8"/>
        <item x="2"/>
        <item m="1" x="37"/>
        <item x="7"/>
        <item m="1" x="13"/>
        <item m="1" x="25"/>
        <item m="1" x="18"/>
        <item m="1" x="40"/>
        <item m="1" x="42"/>
        <item x="3"/>
        <item m="1" x="30"/>
        <item m="1" x="17"/>
        <item m="1" x="44"/>
        <item m="1" x="24"/>
        <item m="1" x="43"/>
        <item x="6"/>
        <item m="1" x="29"/>
        <item x="11"/>
        <item m="1" x="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86"/>
  </rowFields>
  <rowItems count="14">
    <i>
      <x v="29"/>
    </i>
    <i>
      <x v="40"/>
    </i>
    <i>
      <x v="32"/>
    </i>
    <i>
      <x v="30"/>
    </i>
    <i>
      <x v="46"/>
    </i>
    <i>
      <x v="48"/>
    </i>
    <i>
      <x v="34"/>
    </i>
    <i>
      <x v="10"/>
    </i>
    <i>
      <x v="5"/>
    </i>
    <i>
      <x v="23"/>
    </i>
    <i>
      <x v="31"/>
    </i>
    <i>
      <x v="7"/>
    </i>
    <i>
      <x v="21"/>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88">
      <pivotArea field="2" type="button" dataOnly="0" labelOnly="1" outline="0"/>
    </format>
    <format dxfId="187">
      <pivotArea dataOnly="0" labelOnly="1" grandRow="1" outline="0" fieldPosition="0"/>
    </format>
    <format dxfId="186">
      <pivotArea outline="0" fieldPosition="0">
        <references count="1">
          <reference field="4294967294" count="1">
            <x v="0"/>
          </reference>
        </references>
      </pivotArea>
    </format>
    <format dxfId="185">
      <pivotArea outline="0" fieldPosition="0">
        <references count="1">
          <reference field="4294967294" count="1">
            <x v="1"/>
          </reference>
        </references>
      </pivotArea>
    </format>
    <format dxfId="184">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1A1CF707-E8D6-4972-8338-D1D595B8BDE0}" name="factor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F122:G139"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CONTRIBUTING_FACTOR1" axis="axisRow" compact="0" outline="0" subtotalTop="0" showAll="0" includeNewItemsInFilter="1" sortType="descending" rankBy="0">
      <items count="17">
        <item x="5"/>
        <item x="4"/>
        <item x="3"/>
        <item x="2"/>
        <item x="0"/>
        <item x="12"/>
        <item x="15"/>
        <item x="1"/>
        <item x="6"/>
        <item x="7"/>
        <item x="8"/>
        <item x="9"/>
        <item x="10"/>
        <item x="11"/>
        <item x="13"/>
        <item x="14"/>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8"/>
  </rowFields>
  <rowItems count="17">
    <i>
      <x v="3"/>
    </i>
    <i>
      <x v="1"/>
    </i>
    <i>
      <x v="2"/>
    </i>
    <i>
      <x v="12"/>
    </i>
    <i>
      <x/>
    </i>
    <i>
      <x v="7"/>
    </i>
    <i>
      <x v="8"/>
    </i>
    <i>
      <x v="13"/>
    </i>
    <i>
      <x v="11"/>
    </i>
    <i>
      <x v="5"/>
    </i>
    <i>
      <x v="4"/>
    </i>
    <i>
      <x v="9"/>
    </i>
    <i>
      <x v="6"/>
    </i>
    <i>
      <x v="14"/>
    </i>
    <i>
      <x v="10"/>
    </i>
    <i>
      <x v="15"/>
    </i>
    <i t="grand">
      <x/>
    </i>
  </rowItems>
  <colItems count="1">
    <i/>
  </colItems>
  <dataFields count="1">
    <dataField name="Number" fld="9" subtotal="count" baseField="0" baseItem="0"/>
  </dataFields>
  <formats count="2">
    <format dxfId="19">
      <pivotArea type="all" dataOnly="0" outline="0" fieldPosition="0"/>
    </format>
    <format dxfId="18">
      <pivotArea outline="0" fieldPosition="0">
        <references count="1">
          <reference field="18"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7697C639-A582-4766-892F-98A6286BD346}" name="to2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295:I306"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IRECTION_TO2" axis="axisRow" compact="0" outline="0" subtotalTop="0" showAll="0" includeNewItemsInFilter="1" sortType="descending" rankBy="0">
      <items count="11">
        <item x="2"/>
        <item x="1"/>
        <item x="5"/>
        <item x="0"/>
        <item x="3"/>
        <item x="4"/>
        <item x="6"/>
        <item x="7"/>
        <item x="8"/>
        <item x="9"/>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7"/>
  </rowFields>
  <rowItems count="11">
    <i>
      <x/>
    </i>
    <i>
      <x v="1"/>
    </i>
    <i>
      <x v="4"/>
    </i>
    <i>
      <x v="2"/>
    </i>
    <i>
      <x v="3"/>
    </i>
    <i>
      <x v="5"/>
    </i>
    <i>
      <x v="8"/>
    </i>
    <i>
      <x v="9"/>
    </i>
    <i>
      <x v="6"/>
    </i>
    <i>
      <x v="7"/>
    </i>
    <i t="grand">
      <x/>
    </i>
  </rowItems>
  <colItems count="1">
    <i/>
  </colItems>
  <dataFields count="1">
    <dataField name="%" fld="9" subtotal="count" showDataAs="percentOfCol" baseField="0" baseItem="0" numFmtId="165"/>
  </dataFields>
  <formats count="1">
    <format dxfId="20">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79022EB8-1052-4304-88EA-3A5E8CDFC05A}" name="drugs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F176:G179"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RIVER_DRUGS1" axis="axisRow" compact="0" outline="0" subtotalTop="0" showAll="0" includeNewItemsInFilter="1" sortType="descending" rankBy="0">
      <items count="3">
        <item x="1"/>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8"/>
  </rowFields>
  <rowItems count="3">
    <i>
      <x/>
    </i>
    <i>
      <x v="1"/>
    </i>
    <i t="grand">
      <x/>
    </i>
  </rowItems>
  <colItems count="1">
    <i/>
  </colItems>
  <dataFields count="1">
    <dataField name="Number" fld="9" subtotal="count" baseField="0" baseItem="0"/>
  </dataFields>
  <formats count="2">
    <format dxfId="22">
      <pivotArea type="all" dataOnly="0" outline="0" fieldPosition="0"/>
    </format>
    <format dxfId="21">
      <pivotArea outline="0" fieldPosition="0">
        <references count="1">
          <reference field="28"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303925CB-2577-4542-98EF-6064A8AFBEA6}" name="factor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F267:G278"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CONTRIBUTING_FACTOR2" axis="axisRow" compact="0" outline="0" subtotalTop="0" showAll="0" includeNewItemsInFilter="1" sortType="descending" rankBy="0">
      <items count="12">
        <item x="2"/>
        <item x="0"/>
        <item x="5"/>
        <item m="1" x="10"/>
        <item x="1"/>
        <item x="3"/>
        <item x="4"/>
        <item x="6"/>
        <item x="7"/>
        <item x="8"/>
        <item x="9"/>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1"/>
  </rowFields>
  <rowItems count="11">
    <i>
      <x v="1"/>
    </i>
    <i>
      <x/>
    </i>
    <i>
      <x v="8"/>
    </i>
    <i>
      <x v="2"/>
    </i>
    <i>
      <x v="7"/>
    </i>
    <i>
      <x v="4"/>
    </i>
    <i>
      <x v="9"/>
    </i>
    <i>
      <x v="10"/>
    </i>
    <i>
      <x v="6"/>
    </i>
    <i>
      <x v="5"/>
    </i>
    <i t="grand">
      <x/>
    </i>
  </rowItems>
  <colItems count="1">
    <i/>
  </colItems>
  <dataFields count="1">
    <dataField name="Number" fld="9" subtotal="count" baseField="0" baseItem="0"/>
  </dataFields>
  <formats count="2">
    <format dxfId="24">
      <pivotArea type="all" dataOnly="0" outline="0" fieldPosition="0"/>
    </format>
    <format dxfId="23">
      <pivotArea outline="0" fieldPosition="0">
        <references count="1">
          <reference field="31"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A0C8A9BE-7815-49D7-B45F-C66644544718}" name="location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85:B91"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LOCATION" axis="axisRow" compact="0" outline="0" subtotalTop="0" showAll="0" includeNewItemsInFilter="1" sortType="descending" rankBy="0">
      <items count="7">
        <item x="1"/>
        <item x="0"/>
        <item x="2"/>
        <item m="1" x="5"/>
        <item x="3"/>
        <item x="4"/>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7"/>
  </rowFields>
  <rowItems count="6">
    <i>
      <x v="1"/>
    </i>
    <i>
      <x/>
    </i>
    <i>
      <x v="2"/>
    </i>
    <i>
      <x v="5"/>
    </i>
    <i>
      <x v="4"/>
    </i>
    <i t="grand">
      <x/>
    </i>
  </rowItems>
  <colItems count="1">
    <i/>
  </colItems>
  <dataFields count="1">
    <dataField name="Number" fld="9" subtotal="count" baseField="0" baseItem="0"/>
  </dataFields>
  <formats count="2">
    <format dxfId="26">
      <pivotArea type="all" dataOnly="0" outline="0" fieldPosition="0"/>
    </format>
    <format dxfId="25">
      <pivotArea outline="0" fieldPosition="0">
        <references count="1">
          <reference field="17"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9A8CAFB1-AA63-413C-AD99-A87CBC2A2D54}" name="condition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58:I66"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ROAD_CONDITION" axis="axisRow" compact="0" outline="0" subtotalTop="0" showAll="0" includeNewItemsInFilter="1" sortType="descending" rankBy="0">
      <items count="8">
        <item x="2"/>
        <item x="0"/>
        <item x="1"/>
        <item x="3"/>
        <item x="4"/>
        <item x="5"/>
        <item x="6"/>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6"/>
  </rowFields>
  <rowItems count="8">
    <i>
      <x v="1"/>
    </i>
    <i>
      <x v="2"/>
    </i>
    <i>
      <x v="3"/>
    </i>
    <i>
      <x/>
    </i>
    <i>
      <x v="6"/>
    </i>
    <i>
      <x v="5"/>
    </i>
    <i>
      <x v="4"/>
    </i>
    <i t="grand">
      <x/>
    </i>
  </rowItems>
  <colItems count="1">
    <i/>
  </colItems>
  <dataFields count="1">
    <dataField name="%" fld="9" subtotal="count" showDataAs="percentOfCol" baseField="0" baseItem="0" numFmtId="165"/>
  </dataFields>
  <formats count="1">
    <format dxfId="27">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00000000-0007-0000-1300-000007000000}" name="alcohol2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311:D313"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RIVER_ALCOHOL2" axis="axisRow" compact="0" outline="0" subtotalTop="0" showAll="0" includeNewItemsInFilter="1" sortType="descending" rankBy="0">
      <items count="2">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8"/>
  </rowFields>
  <rowItems count="2">
    <i>
      <x/>
    </i>
    <i t="grand">
      <x/>
    </i>
  </rowItems>
  <colItems count="1">
    <i/>
  </colItems>
  <dataFields count="1">
    <dataField name="%" fld="9" subtotal="count" showDataAs="percentOfCol" baseField="0" baseItem="0" numFmtId="165"/>
  </dataFields>
  <formats count="1">
    <format dxfId="28">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A75DD798-2E85-4B8E-B55B-BEA9BDA83E24}" name="units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71:I7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sortType="ascending" rankBy="0">
      <items count="6">
        <item x="1"/>
        <item x="0"/>
        <item x="3"/>
        <item x="4"/>
        <item x="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3"/>
  </rowFields>
  <rowItems count="6">
    <i>
      <x/>
    </i>
    <i>
      <x v="1"/>
    </i>
    <i>
      <x v="2"/>
    </i>
    <i>
      <x v="3"/>
    </i>
    <i>
      <x v="4"/>
    </i>
    <i t="grand">
      <x/>
    </i>
  </rowItems>
  <colItems count="1">
    <i/>
  </colItems>
  <dataFields count="1">
    <dataField name="%" fld="9" subtotal="count" showDataAs="percentOfCol" baseField="0" baseItem="0" numFmtId="165"/>
  </dataFields>
  <formats count="1">
    <format dxfId="29">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CFFE26BE-8ED6-44E7-AFE5-6FBEA9C9AB92}" name="weather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A58:B65"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WEATHER_CONDITION" axis="axisRow" compact="0" outline="0" subtotalTop="0" showAll="0" includeNewItemsInFilter="1" sortType="descending" rankBy="0">
      <items count="7">
        <item x="2"/>
        <item x="0"/>
        <item x="1"/>
        <item x="3"/>
        <item x="4"/>
        <item x="5"/>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5"/>
  </rowFields>
  <rowItems count="7">
    <i>
      <x v="2"/>
    </i>
    <i>
      <x v="1"/>
    </i>
    <i>
      <x v="3"/>
    </i>
    <i>
      <x/>
    </i>
    <i>
      <x v="4"/>
    </i>
    <i>
      <x v="5"/>
    </i>
    <i t="grand">
      <x/>
    </i>
  </rowItems>
  <colItems count="1">
    <i/>
  </colItems>
  <dataFields count="1">
    <dataField name="Number" fld="9" subtotal="count" baseField="0" baseItem="0"/>
  </dataFields>
  <formats count="2">
    <format dxfId="31">
      <pivotArea type="all" dataOnly="0" outline="0" fieldPosition="0"/>
    </format>
    <format dxfId="30">
      <pivotArea outline="0" fieldPosition="0">
        <references count="1">
          <reference field="15"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F60F0565-7B29-4FCA-B780-9B672CD671BF}" name="contour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102:B10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name="ROAD_CONTOUR" axis="axisRow" compact="0" outline="0" subtotalTop="0" showAll="0" includeNewItemsInFilter="1" sortType="descending" rankBy="0">
      <items count="5">
        <item x="0"/>
        <item x="3"/>
        <item x="1"/>
        <item x="2"/>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3"/>
  </rowFields>
  <rowItems count="5">
    <i>
      <x/>
    </i>
    <i>
      <x v="2"/>
    </i>
    <i>
      <x v="1"/>
    </i>
    <i>
      <x v="3"/>
    </i>
    <i t="grand">
      <x/>
    </i>
  </rowItems>
  <colItems count="1">
    <i/>
  </colItems>
  <dataFields count="1">
    <dataField name="Number" fld="9" subtotal="count" baseField="0" baseItem="0"/>
  </dataFields>
  <formats count="2">
    <format dxfId="33">
      <pivotArea type="all" dataOnly="0" outline="0" fieldPosition="0"/>
    </format>
    <format dxfId="32">
      <pivotArea outline="0" fieldPosition="0">
        <references count="1">
          <reference field="43"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200391C-34C9-4418-8096-F76D10584B5A}" name="PivotTable8" cacheId="3" applyNumberFormats="0" applyBorderFormats="0" applyFontFormats="0" applyPatternFormats="0" applyAlignmentFormats="0" applyWidthHeightFormats="1" dataCaption="Values" missingCaption="0" updatedVersion="8" minRefreshableVersion="3" itemPrintTitles="1" createdVersion="5" indent="0" outline="1" outlineData="1" multipleFieldFilters="0" chartFormat="4" rowHeaderCaption="Weather Condition">
  <location ref="B65:D74" firstHeaderRow="0" firstDataRow="1" firstDataCol="1"/>
  <pivotFields count="150">
    <pivotField showAll="0" defaultSubtotal="0"/>
    <pivotField dataField="1" showAll="0"/>
    <pivotField showAll="0" sortType="ascending">
      <items count="19">
        <item m="1" x="9"/>
        <item m="1" x="13"/>
        <item m="1" x="17"/>
        <item m="1" x="11"/>
        <item m="1" x="15"/>
        <item m="1" x="10"/>
        <item m="1" x="14"/>
        <item m="1" x="8"/>
        <item m="1" x="12"/>
        <item m="1" x="16"/>
        <item m="1" x="5"/>
        <item m="1" x="6"/>
        <item m="1" x="7"/>
        <item x="0"/>
        <item x="1"/>
        <item x="2"/>
        <item x="3"/>
        <item x="4"/>
        <item t="default"/>
      </items>
    </pivotField>
    <pivotField showAll="0"/>
    <pivotField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5">
        <item m="1" x="10"/>
        <item m="1" x="11"/>
        <item x="1"/>
        <item x="0"/>
        <item x="6"/>
        <item x="3"/>
        <item m="1" x="8"/>
        <item m="1" x="12"/>
        <item x="2"/>
        <item x="5"/>
        <item x="7"/>
        <item x="4"/>
        <item m="1" x="13"/>
        <item m="1" x="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s>
  <rowFields count="1">
    <field x="44"/>
  </rowFields>
  <rowItems count="9">
    <i>
      <x v="2"/>
    </i>
    <i>
      <x v="3"/>
    </i>
    <i>
      <x v="8"/>
    </i>
    <i>
      <x v="11"/>
    </i>
    <i>
      <x v="4"/>
    </i>
    <i>
      <x v="10"/>
    </i>
    <i>
      <x v="9"/>
    </i>
    <i>
      <x v="5"/>
    </i>
    <i t="grand">
      <x/>
    </i>
  </rowItems>
  <colFields count="1">
    <field x="-2"/>
  </colFields>
  <colItems count="2">
    <i>
      <x/>
    </i>
    <i i="1">
      <x v="1"/>
    </i>
  </colItems>
  <dataFields count="2">
    <dataField name="Crashes" fld="1" subtotal="count" baseField="0" baseItem="0" numFmtId="3"/>
    <dataField name="%" fld="1" subtotal="count" showDataAs="percentOfTotal" baseField="0" baseItem="0" numFmtId="10"/>
  </dataFields>
  <formats count="5">
    <format dxfId="193">
      <pivotArea field="2" type="button" dataOnly="0" labelOnly="1" outline="0"/>
    </format>
    <format dxfId="192">
      <pivotArea dataOnly="0" labelOnly="1" grandRow="1" outline="0" fieldPosition="0"/>
    </format>
    <format dxfId="191">
      <pivotArea outline="0" fieldPosition="0">
        <references count="1">
          <reference field="4294967294" count="1">
            <x v="0"/>
          </reference>
        </references>
      </pivotArea>
    </format>
    <format dxfId="190">
      <pivotArea outline="0" fieldPosition="0">
        <references count="1">
          <reference field="4294967294" count="1">
            <x v="1"/>
          </reference>
        </references>
      </pivotArea>
    </format>
    <format dxfId="189">
      <pivotArea dataOnly="0" labelOnly="1" outline="0" fieldPosition="0">
        <references count="1">
          <reference field="4294967294" count="2">
            <x v="0"/>
            <x v="1"/>
          </reference>
        </references>
      </pivotArea>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C8C706BA-9B77-4A6D-AE28-B9DAD104B0E5}" name="from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A182:B192"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name="DIRECTION_FROM1" axis="axisRow" compact="0" outline="0" subtotalTop="0" showAll="0" includeNewItemsInFilter="1" sortType="descending" rankBy="0">
      <items count="10">
        <item x="2"/>
        <item x="5"/>
        <item x="1"/>
        <item x="0"/>
        <item x="3"/>
        <item x="4"/>
        <item x="6"/>
        <item x="7"/>
        <item x="8"/>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2"/>
  </rowFields>
  <rowItems count="10">
    <i>
      <x/>
    </i>
    <i>
      <x v="1"/>
    </i>
    <i>
      <x v="3"/>
    </i>
    <i>
      <x v="2"/>
    </i>
    <i>
      <x v="4"/>
    </i>
    <i>
      <x v="7"/>
    </i>
    <i>
      <x v="5"/>
    </i>
    <i>
      <x v="6"/>
    </i>
    <i>
      <x v="8"/>
    </i>
    <i t="grand">
      <x/>
    </i>
  </rowItems>
  <colItems count="1">
    <i/>
  </colItems>
  <dataFields count="1">
    <dataField name="Number" fld="9" subtotal="count" baseField="0" baseItem="0"/>
  </dataFields>
  <formats count="2">
    <format dxfId="35">
      <pivotArea type="all" dataOnly="0" outline="0" fieldPosition="0"/>
    </format>
    <format dxfId="34">
      <pivotArea outline="0" fieldPosition="0">
        <references count="1">
          <reference field="22" count="0" selected="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2A59228D-A460-4572-AE6D-BEF19A2A4C41}" name="severity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9:D11"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CRASH_SEVERITY" axis="axisRow" compact="0" outline="0" subtotalTop="0" showAll="0" includeNewItemsInFilter="1" sortType="ascending" rankBy="0">
      <items count="4">
        <item x="0"/>
        <item m="1" x="2"/>
        <item m="1"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4"/>
  </rowFields>
  <rowItems count="2">
    <i>
      <x/>
    </i>
    <i t="grand">
      <x/>
    </i>
  </rowItems>
  <colItems count="1">
    <i/>
  </colItems>
  <dataFields count="1">
    <dataField name="%" fld="9" subtotal="count" showDataAs="percentOfCol" baseField="0" baseItem="0" numFmtId="165"/>
  </dataFields>
  <formats count="2">
    <format dxfId="37">
      <pivotArea outline="0" fieldPosition="0"/>
    </format>
    <format dxfId="36">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AAD1AD65-EC61-43DC-A61C-A66916A8675C}" name="from2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295:D306"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IRECTION_FROM2" axis="axisRow" compact="0" outline="0" subtotalTop="0" showAll="0" includeNewItemsInFilter="1" sortType="descending" rankBy="0">
      <items count="11">
        <item x="2"/>
        <item x="1"/>
        <item x="3"/>
        <item x="5"/>
        <item x="0"/>
        <item x="4"/>
        <item x="6"/>
        <item x="7"/>
        <item x="8"/>
        <item x="9"/>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36"/>
  </rowFields>
  <rowItems count="11">
    <i>
      <x/>
    </i>
    <i>
      <x v="2"/>
    </i>
    <i>
      <x v="1"/>
    </i>
    <i>
      <x v="3"/>
    </i>
    <i>
      <x v="4"/>
    </i>
    <i>
      <x v="5"/>
    </i>
    <i>
      <x v="7"/>
    </i>
    <i>
      <x v="8"/>
    </i>
    <i>
      <x v="9"/>
    </i>
    <i>
      <x v="6"/>
    </i>
    <i t="grand">
      <x/>
    </i>
  </rowItems>
  <colItems count="1">
    <i/>
  </colItems>
  <dataFields count="1">
    <dataField name="%" fld="9" subtotal="count" showDataAs="percentOfCol" baseField="0" baseItem="0" numFmtId="165"/>
  </dataFields>
  <formats count="1">
    <format dxfId="38">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AD056D17-376F-44D7-A003-7D86EC736B73}" name="location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C85:D91"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LOCATION" axis="axisRow" compact="0" outline="0" subtotalTop="0" showAll="0" includeNewItemsInFilter="1" sortType="descending" rankBy="0">
      <items count="7">
        <item x="1"/>
        <item x="0"/>
        <item x="2"/>
        <item m="1" x="5"/>
        <item x="3"/>
        <item x="4"/>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7"/>
  </rowFields>
  <rowItems count="6">
    <i>
      <x v="1"/>
    </i>
    <i>
      <x/>
    </i>
    <i>
      <x v="2"/>
    </i>
    <i>
      <x v="5"/>
    </i>
    <i>
      <x v="4"/>
    </i>
    <i t="grand">
      <x/>
    </i>
  </rowItems>
  <colItems count="1">
    <i/>
  </colItems>
  <dataFields count="1">
    <dataField name="%" fld="9" subtotal="count" showDataAs="percentOfCol" baseField="0" baseItem="0" numFmtId="165"/>
  </dataFields>
  <formats count="1">
    <format dxfId="39">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E0581AB7-0394-4734-A459-5E5AE95205C9}" name="espeed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197:I22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ESTIMATED_SPEED1" axis="axisRow" compact="0" outline="0" subtotalTop="0" showAll="0" includeNewItemsInFilter="1" sortType="descending" rankBy="0">
      <items count="31">
        <item x="4"/>
        <item x="2"/>
        <item x="12"/>
        <item x="10"/>
        <item m="1" x="29"/>
        <item x="21"/>
        <item x="6"/>
        <item x="22"/>
        <item x="25"/>
        <item x="0"/>
        <item x="1"/>
        <item x="3"/>
        <item x="5"/>
        <item x="7"/>
        <item x="8"/>
        <item x="9"/>
        <item x="11"/>
        <item x="13"/>
        <item x="14"/>
        <item x="15"/>
        <item x="16"/>
        <item x="17"/>
        <item x="18"/>
        <item x="19"/>
        <item x="20"/>
        <item x="23"/>
        <item x="24"/>
        <item x="26"/>
        <item x="27"/>
        <item x="28"/>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29"/>
  </rowFields>
  <rowItems count="30">
    <i>
      <x v="1"/>
    </i>
    <i>
      <x v="13"/>
    </i>
    <i>
      <x v="12"/>
    </i>
    <i>
      <x v="18"/>
    </i>
    <i>
      <x v="3"/>
    </i>
    <i>
      <x v="7"/>
    </i>
    <i>
      <x v="2"/>
    </i>
    <i>
      <x v="16"/>
    </i>
    <i>
      <x v="9"/>
    </i>
    <i>
      <x v="5"/>
    </i>
    <i>
      <x v="15"/>
    </i>
    <i>
      <x/>
    </i>
    <i>
      <x v="14"/>
    </i>
    <i>
      <x v="6"/>
    </i>
    <i>
      <x v="10"/>
    </i>
    <i>
      <x v="27"/>
    </i>
    <i>
      <x v="21"/>
    </i>
    <i>
      <x v="29"/>
    </i>
    <i>
      <x v="23"/>
    </i>
    <i>
      <x v="22"/>
    </i>
    <i>
      <x v="25"/>
    </i>
    <i>
      <x v="24"/>
    </i>
    <i>
      <x v="17"/>
    </i>
    <i>
      <x v="26"/>
    </i>
    <i>
      <x v="11"/>
    </i>
    <i>
      <x v="28"/>
    </i>
    <i>
      <x v="19"/>
    </i>
    <i>
      <x v="8"/>
    </i>
    <i>
      <x v="20"/>
    </i>
    <i t="grand">
      <x/>
    </i>
  </rowItems>
  <colItems count="1">
    <i/>
  </colItems>
  <dataFields count="1">
    <dataField name="%" fld="9" subtotal="count" showDataAs="percentOfCol" baseField="0" baseItem="0" numFmtId="165"/>
  </dataFields>
  <formats count="1">
    <format dxfId="40">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906CAA34-0C9A-4184-9E5F-A69AC0610528}" name="object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150:B151"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Items count="1">
    <i/>
  </rowItems>
  <colItems count="1">
    <i/>
  </colItems>
  <dataFields count="1">
    <dataField name="Number" fld="9" subtotal="count" baseField="0" baseItem="0"/>
  </dataFields>
  <formats count="1">
    <format dxfId="41">
      <pivotArea type="all" dataOnly="0"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AC425F48-C0D7-44F3-BB9F-58DB61A71B37}" name="animal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113:I115"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ANIMAL_TYPE" axis="axisRow" compact="0" outline="0" subtotalTop="0" showAll="0" includeNewItemsInFilter="1" sortType="descending" rankBy="0">
      <items count="2">
        <item x="0"/>
        <item t="default"/>
      </items>
      <autoSortScope>
        <pivotArea dataOnly="0" outline="0" fieldPosition="0">
          <references count="1">
            <reference field="4294967294" count="1" selected="0">
              <x v="0"/>
            </reference>
          </references>
        </pivotArea>
      </autoSortScope>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41"/>
  </rowFields>
  <rowItems count="2">
    <i>
      <x/>
    </i>
    <i t="grand">
      <x/>
    </i>
  </rowItems>
  <colItems count="1">
    <i/>
  </colItems>
  <dataFields count="1">
    <dataField name="%" fld="9" subtotal="count" showDataAs="percentOfCol" baseField="0" baseItem="0" numFmtId="165"/>
  </dataFields>
  <formats count="1">
    <format dxfId="42">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924B1223-02F0-4708-B06E-EC1FA80525EC}" name="year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9:I11"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Row" compact="0" outline="0" subtotalTop="0" showAll="0" includeNewItemsInFilter="1" sortType="ascending" rankBy="0">
      <items count="5">
        <item m="1" x="1"/>
        <item m="1" x="2"/>
        <item m="1" x="3"/>
        <item x="0"/>
        <item t="default"/>
      </items>
    </pivotField>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55"/>
  </rowFields>
  <rowItems count="2">
    <i>
      <x v="3"/>
    </i>
    <i t="grand">
      <x/>
    </i>
  </rowItems>
  <colItems count="1">
    <i/>
  </colItems>
  <dataFields count="1">
    <dataField name="%" fld="9" subtotal="count" showDataAs="percentOfCol" baseField="0" baseItem="0" numFmtId="165"/>
  </dataFields>
  <formats count="1">
    <format dxfId="43">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330F4AE1-1956-465D-A3F6-6122830445D2}" name="light1"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chartFormat="1">
  <location ref="A71:B77"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name="LIGHT_CONDITION" axis="axisRow" compact="0" outline="0" subtotalTop="0" showAll="0" includeNewItemsInFilter="1" sortType="descending" rankBy="0">
      <items count="6">
        <item x="2"/>
        <item x="0"/>
        <item x="3"/>
        <item x="1"/>
        <item x="4"/>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1"/>
  </rowFields>
  <rowItems count="6">
    <i>
      <x/>
    </i>
    <i>
      <x v="2"/>
    </i>
    <i>
      <x v="1"/>
    </i>
    <i>
      <x v="3"/>
    </i>
    <i>
      <x v="4"/>
    </i>
    <i t="grand">
      <x/>
    </i>
  </rowItems>
  <colItems count="1">
    <i/>
  </colItems>
  <dataFields count="1">
    <dataField name="Number" fld="9" subtotal="count" baseField="0" baseItem="0"/>
  </dataFields>
  <formats count="2">
    <format dxfId="45">
      <pivotArea type="all" dataOnly="0" outline="0" fieldPosition="0"/>
    </format>
    <format dxfId="44">
      <pivotArea outline="0" fieldPosition="0">
        <references count="1">
          <reference field="11" count="0" selected="0"/>
        </references>
      </pivotArea>
    </format>
  </format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A7231FDC-8F82-4BFE-BAA2-4050AC3C7F58}" name="factor12" cacheId="2" autoFormatId="4112" applyNumberFormats="1" applyBorderFormats="1" applyFontFormats="1" applyPatternFormats="1" applyAlignmentFormats="1" applyWidthHeightFormats="1" dataCaption="Data" updatedVersion="8" showMemberPropertyTips="0" useAutoFormatting="1" colGrandTotals="0" itemPrintTitles="1" showDropZones="0" createdVersion="1" indent="0" compact="0" compactData="0" gridDropZones="1">
  <location ref="H122:I139" firstHeaderRow="1" firstDataRow="1" firstDataCol="1"/>
  <pivotFields count="116">
    <pivotField compact="0" outline="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DAY_OF_WEEK" dataField="1" compact="0" outline="0" subtotalTop="0" showAll="0" includeNewItemsInFilter="1" sortType="descending" rankBy="0">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CONTRIBUTING_FACTOR1" axis="axisRow" compact="0" outline="0" subtotalTop="0" showAll="0" includeNewItemsInFilter="1" sortType="descending" rankBy="0">
      <items count="17">
        <item x="5"/>
        <item x="4"/>
        <item x="3"/>
        <item x="2"/>
        <item x="0"/>
        <item x="12"/>
        <item x="15"/>
        <item x="1"/>
        <item x="6"/>
        <item x="7"/>
        <item x="8"/>
        <item x="9"/>
        <item x="10"/>
        <item x="11"/>
        <item x="13"/>
        <item x="14"/>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1">
    <field x="18"/>
  </rowFields>
  <rowItems count="17">
    <i>
      <x v="3"/>
    </i>
    <i>
      <x v="1"/>
    </i>
    <i>
      <x v="2"/>
    </i>
    <i>
      <x v="12"/>
    </i>
    <i>
      <x/>
    </i>
    <i>
      <x v="7"/>
    </i>
    <i>
      <x v="8"/>
    </i>
    <i>
      <x v="13"/>
    </i>
    <i>
      <x v="11"/>
    </i>
    <i>
      <x v="5"/>
    </i>
    <i>
      <x v="4"/>
    </i>
    <i>
      <x v="9"/>
    </i>
    <i>
      <x v="6"/>
    </i>
    <i>
      <x v="14"/>
    </i>
    <i>
      <x v="10"/>
    </i>
    <i>
      <x v="15"/>
    </i>
    <i t="grand">
      <x/>
    </i>
  </rowItems>
  <colItems count="1">
    <i/>
  </colItems>
  <dataFields count="1">
    <dataField name="%" fld="9" subtotal="count" showDataAs="percentOfCol" baseField="0" baseItem="0" numFmtId="165"/>
  </dataFields>
  <formats count="1">
    <format dxfId="46">
      <pivotArea type="all" dataOnly="0"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SYBIQ01PRD" growShrinkType="overwriteClear" adjustColumnWidth="0" connectionId="9" xr16:uid="{00000000-0016-0000-0000-000000000000}" autoFormatId="16" applyNumberFormats="0" applyBorderFormats="0" applyFontFormats="0" applyPatternFormats="0" applyAlignmentFormats="0" applyWidthHeightFormats="0">
  <queryTableRefresh nextId="266">
    <queryTableFields count="9">
      <queryTableField id="4" name="NLF_ID"/>
      <queryTableField id="108" name="Min(BTRS_LOG_POINTS6.LOGPOINT_COUNTY_NBR)"/>
      <queryTableField id="109" name="Max(BTRS_LOG_POINTS6.LOGPOINT_COUNTY_NBR)"/>
      <queryTableField id="110" name="Avg(BTRS_CONGESTION_SEGMENTS6.TOTAL_VOLUME_NBR)"/>
      <queryTableField id="111" name="Avg(BTRS_CONGESTION_SEGMENTS6.TRUCK_VOLUME_NBR)"/>
      <queryTableField id="112" name="Avg(BTRS_CONGESTION_SEGMENTS6.VOLUME_CAPACITY_RATIO_NBR)"/>
      <queryTableField id="113" name="Min(BTRS_LOG_POINTS6.FUNCTIONAL_CLASS_CD)"/>
      <queryTableField id="114" name="Max(BTRS_LOG_POINTS6.FUNCTIONAL_CLASS_CD)"/>
      <queryTableField id="115" name="SUM(BTRS_LOG_POINTS6.SECTION_LENGTH_NBR)"/>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 SHSP_QUERY" growShrinkType="overwriteClear" connectionId="4" xr16:uid="{CCA0F4BF-1B5D-40B0-ADAF-51057F778918}" autoFormatId="16" applyNumberFormats="0" applyBorderFormats="0" applyFontFormats="0" applyPatternFormats="0" applyAlignmentFormats="0" applyWidthHeightFormats="0">
  <queryTableRefresh preserveSortFilterLayout="0" nextId="144">
    <queryTableFields count="143">
      <queryTableField id="1" name="DOCUMENT_NBR" tableColumnId="859"/>
      <queryTableField id="2" name="CRASH_YR" tableColumnId="860"/>
      <queryTableField id="3" name="LOCAL_REPORT_NUMBER_ID" tableColumnId="861"/>
      <queryTableField id="4" name="User_Defined" tableColumnId="862"/>
      <queryTableField id="5" name="SEVERITY_BY_TYPE_CD" tableColumnId="863"/>
      <queryTableField id="6" name="CRASH_TYPE_CD" tableColumnId="864"/>
      <queryTableField id="7" name="DISTRICT_NBR" tableColumnId="865"/>
      <queryTableField id="8" name="NLF_COUNTY_CD" tableColumnId="866"/>
      <queryTableField id="9" name="ODOT_CRASH_LOCATION_CD" tableColumnId="867"/>
      <queryTableField id="10" name="NLFID" tableColumnId="868"/>
      <queryTableField id="11" name="COUNTY_LOG_NBR" tableColumnId="869"/>
      <queryTableField id="12" name="STATE_TRUE_LOG_NBR" tableColumnId="870"/>
      <queryTableField id="13" name="ON_ROAD" tableColumnId="871"/>
      <queryTableField id="14" name="AT_ROAD" tableColumnId="872"/>
      <queryTableField id="15" name="ODOT_LATITUDE_NBR" tableColumnId="873"/>
      <queryTableField id="16" name="ODOT_LONGITUDE_NBR" tableColumnId="874"/>
      <queryTableField id="17" name="ODOT_FIPS_CD" tableColumnId="875"/>
      <queryTableField id="18" name="ODOT_CITY_VILLAGE_TWP_NME" tableColumnId="876"/>
      <queryTableField id="19" name="ODOT_CITY_VILLAGE_TWP_CD" tableColumnId="877"/>
      <queryTableField id="20" name="ODPS_TOTAL_FATALITIES_NBR" tableColumnId="878"/>
      <queryTableField id="21" name="INCAPAC_INJURIES_NBR" tableColumnId="879"/>
      <queryTableField id="22" name="NON_INCAPAC_INJURIES_NBR" tableColumnId="880"/>
      <queryTableField id="23" name="POSSIBLE_INJURIES_NBR" tableColumnId="881"/>
      <queryTableField id="24" name="NO_INJURY_REPORTED_NBR" tableColumnId="882"/>
      <queryTableField id="25" name="UNRESTRAIN_OCCUPANTS" tableColumnId="883"/>
      <queryTableField id="26" name="NUMBER_OF_UNITS_NBR" tableColumnId="884"/>
      <queryTableField id="27" name="NLF_JUR_CD" tableColumnId="885"/>
      <queryTableField id="28" name="ODOT_LOC_ROUTE_PREFIX_CD" tableColumnId="886"/>
      <queryTableField id="29" name="FACILITY_TYPE_CD" tableColumnId="887"/>
      <queryTableField id="30" name="AREA_CODE" tableColumnId="888"/>
      <queryTableField id="31" name="FUNCTIONAL_CLASS_CD" tableColumnId="889"/>
      <queryTableField id="32" name="NHS_CD" tableColumnId="890"/>
      <queryTableField id="33" name="ODOT_DIV_UNDIV_IND" tableColumnId="891"/>
      <queryTableField id="34" name="ODOT_LANES_NBR" tableColumnId="892"/>
      <queryTableField id="35" name="OPER_ACCESS_CONTROL_CD" tableColumnId="893"/>
      <queryTableField id="36" name="FREEWAY_IND" tableColumnId="894"/>
      <queryTableField id="37" name="INTERSTATE_IND" tableColumnId="895"/>
      <queryTableField id="38" name="ODOT_MAINTAINED_HWY_IND" tableColumnId="896"/>
      <queryTableField id="39" name="MAINTENANCE_AUTHORITY_CD" tableColumnId="897"/>
      <queryTableField id="40" name="CRASH_DATE" tableColumnId="898"/>
      <queryTableField id="41" name="MONTH" tableColumnId="899"/>
      <queryTableField id="42" name="HOUR_OF_CRASH" tableColumnId="900"/>
      <queryTableField id="43" name="DAY_IN_WEEK_CD" tableColumnId="901"/>
      <queryTableField id="44" name="WEATHER_COND_CD" tableColumnId="902"/>
      <queryTableField id="45" name="ROAD_COND_PRIMARY_CD" tableColumnId="903"/>
      <queryTableField id="46" name="LIGHT_COND_PRIMARY_CD" tableColumnId="904"/>
      <queryTableField id="47" name="ROAD_CONTOUR_CD" tableColumnId="905"/>
      <queryTableField id="48" name="FHWA_RDWY_DEPARTURE_IND" tableColumnId="906"/>
      <queryTableField id="49" name="ODOT_INTERSECTION_REL_IND" tableColumnId="907"/>
      <queryTableField id="50" name="ODPS_ALCOHOL_IND" tableColumnId="908"/>
      <queryTableField id="51" name="MARIJUANA_IND" tableColumnId="909"/>
      <queryTableField id="52" name="ODPS_DRUG_IND" tableColumnId="910"/>
      <queryTableField id="53" name="ODPS_SCHOOL_ZONE_IND" tableColumnId="911"/>
      <queryTableField id="54" name="ODPS_MOTORCYCLE_IND" tableColumnId="912"/>
      <queryTableField id="55" name="ODPS_SPEED_IND" tableColumnId="913"/>
      <queryTableField id="56" name="ODPS_SENIOR_DRIVER_IND" tableColumnId="914"/>
      <queryTableField id="57" name="ODOT_YOUNG_DRIVER_IND" tableColumnId="915"/>
      <queryTableField id="58" name="ODPS_WORK_ZONE_IND" tableColumnId="916"/>
      <queryTableField id="59" name="ODPS_LOC_IN_WORK_ZONE_CD" tableColumnId="917"/>
      <queryTableField id="60" name="ODPS_TYPE_OF_WORK_ZONE_CD" tableColumnId="918"/>
      <queryTableField id="61" name="DISTRACTED_DRIVER_IND" tableColumnId="919"/>
      <queryTableField id="62" name="ODPS_CITY_VILLAGE_TWP_NME" tableColumnId="920"/>
      <queryTableField id="63" name="ODPS_LOC_ROAD_DIRECTION_CD" tableColumnId="921"/>
      <queryTableField id="64" name="ODPS_LOC_ROAD_NME" tableColumnId="922"/>
      <queryTableField id="65" name="ODPS_LOC_ROAD_SUFFIX_CD" tableColumnId="923"/>
      <queryTableField id="66" name="ODPS_LOC_DIR_SUFFIX_CD" tableColumnId="924"/>
      <queryTableField id="67" name="ODPS_LOC_ROUTE_PREFIX_CD" tableColumnId="925"/>
      <queryTableField id="68" name="ODPS_LOC_ROUTE_ID" tableColumnId="926"/>
      <queryTableField id="69" name="ODPS_LOC_ROUTE_SUFFIX_CD" tableColumnId="927"/>
      <queryTableField id="70" name="ODPS_REF_DIRECTION_CD" tableColumnId="928"/>
      <queryTableField id="71" name="ODPS_REF_GIVEN" tableColumnId="929"/>
      <queryTableField id="72" name="ODPS_REF_SUFFIX_CD" tableColumnId="930"/>
      <queryTableField id="73" name="ODPS_REF_DIR_SUFFIX_CD" tableColumnId="931"/>
      <queryTableField id="74" name="ODPS_REF_ROUTE_PREFIX_CD" tableColumnId="932"/>
      <queryTableField id="75" name="ODPS_REF_ROUTE_ID" tableColumnId="933"/>
      <queryTableField id="76" name="ODPS_REF_ROUTE_SUFFIX_CD" tableColumnId="934"/>
      <queryTableField id="77" name="ODPS_ADDRESS_REFERENCE" tableColumnId="935"/>
      <queryTableField id="78" name="ODPS_MILEPOST_REFERENCE" tableColumnId="936"/>
      <queryTableField id="79" name="ODOT_REF_POINT_USED_CD" tableColumnId="937"/>
      <queryTableField id="80" name="U1_AT_FAULT_IND" tableColumnId="938"/>
      <queryTableField id="81" name="U1_ODPS_UNIT_NBR" tableColumnId="939"/>
      <queryTableField id="82" name="U1_DIRECTION_FROM_CD" tableColumnId="940"/>
      <queryTableField id="83" name="U1_DIRECTION_TO_CD" tableColumnId="941"/>
      <queryTableField id="84" name="U1_TURN_CD" tableColumnId="942"/>
      <queryTableField id="85" name="U1_TRAFFIC_CONTROL_CD" tableColumnId="943"/>
      <queryTableField id="86" name="U1_TYPE_OF_UNIT_CD" tableColumnId="944"/>
      <queryTableField id="87" name="U1_SPECIAL_FUNCTION_CD" tableColumnId="945"/>
      <queryTableField id="88" name="U1_UNIT_SPEED_NBR" tableColumnId="946"/>
      <queryTableField id="89" name="U1_POSTED_SPEED_NBR" tableColumnId="947"/>
      <queryTableField id="90" name="U1_PRECRASH_ACTION_CD" tableColumnId="948"/>
      <queryTableField id="91" name="U1_CONT_CIR_PRIMARY_CD" tableColumnId="949"/>
      <queryTableField id="92" name="U1_OBJECT_STRUCK" tableColumnId="950"/>
      <queryTableField id="93" name="U1_SEQ_OF_EVENTS_1_CD" tableColumnId="951"/>
      <queryTableField id="94" name="U1_SEQ_OF_EVENTS_2_CD" tableColumnId="952"/>
      <queryTableField id="95" name="U1_SEQ_OF_EVENTS_3_CD" tableColumnId="953"/>
      <queryTableField id="96" name="U1_SEQ_OF_EVENTS_4_CD" tableColumnId="954"/>
      <queryTableField id="97" name="U1_SEQ_OF_EVENTS_5_CD" tableColumnId="955"/>
      <queryTableField id="98" name="U1_SEQ_OF_EVENTS_6_CD" tableColumnId="956"/>
      <queryTableField id="99" name="U1_NON_MOTORIST_LOC_CD" tableColumnId="957"/>
      <queryTableField id="100" name="U1_AGE_NBR" tableColumnId="958"/>
      <queryTableField id="101" name="U1_GENDER_CD" tableColumnId="959"/>
      <queryTableField id="102" name="U1_DISTRACTED_BY_1_CD" tableColumnId="960"/>
      <queryTableField id="103" name="U2_ODPS_UNIT_NBR" tableColumnId="961"/>
      <queryTableField id="104" name="U2_DIRECTION_FROM_CD" tableColumnId="962"/>
      <queryTableField id="105" name="U2_DIRECTION_TO_CD" tableColumnId="963"/>
      <queryTableField id="106" name="U2_TURN_CD" tableColumnId="964"/>
      <queryTableField id="107" name="U2_TRAFFIC_CONTROL_CD" tableColumnId="965"/>
      <queryTableField id="108" name="U2_TYPE_OF_UNIT_CD" tableColumnId="966"/>
      <queryTableField id="109" name="U2_SPECIAL_FUNCTION_CD" tableColumnId="967"/>
      <queryTableField id="110" name="U2_UNIT_SPEED_NBR" tableColumnId="968"/>
      <queryTableField id="111" name="U2_POSTED_SPEED_NBR" tableColumnId="969"/>
      <queryTableField id="112" name="U2_PRECRASH_ACTION_CD" tableColumnId="970"/>
      <queryTableField id="113" name="U2_CONT_CIR_PRIMARY_CD" tableColumnId="971"/>
      <queryTableField id="114" name="U2_SEQ_OF_EVENTS_1_CD" tableColumnId="972"/>
      <queryTableField id="115" name="U2_SEQ_OF_EVENTS_2_CD" tableColumnId="973"/>
      <queryTableField id="116" name="U2_SEQ_OF_EVENTS_3_CD" tableColumnId="974"/>
      <queryTableField id="117" name="U2_SEQ_OF_EVENTS_4_CD" tableColumnId="975"/>
      <queryTableField id="118" name="U2_SEQ_OF_EVENTS_5_CD" tableColumnId="976"/>
      <queryTableField id="119" name="U2_SEQ_OF_EVENTS_6_CD" tableColumnId="977"/>
      <queryTableField id="120" name="U2_NON_MOTORIST_LOC_CD" tableColumnId="978"/>
      <queryTableField id="121" name="U2_AGE_NBR" tableColumnId="979"/>
      <queryTableField id="122" name="U2_GENDER_CD" tableColumnId="980"/>
      <queryTableField id="123" name="U2_DISTRACTED_BY_1_CD" tableColumnId="981"/>
      <queryTableField id="124" name="U3_ODPS_UNIT_NBR" tableColumnId="982"/>
      <queryTableField id="125" name="U3_TRAFFIC_CONTROL_CD" tableColumnId="983"/>
      <queryTableField id="126" name="U3_TYPE_OF_UNIT_CD" tableColumnId="984"/>
      <queryTableField id="127" name="U3_SPECIAL_FUNCTION_CD" tableColumnId="985"/>
      <queryTableField id="128" name="U3_PRECRASH_ACTION_CD" tableColumnId="986"/>
      <queryTableField id="129" name="U3_CONT_CIR_PRIMARY_CD" tableColumnId="987"/>
      <queryTableField id="130" name="U3_SEQ_OF_EVENTS_1_CD" tableColumnId="988"/>
      <queryTableField id="131" name="U3_SEQ_OF_EVENTS_2_CD" tableColumnId="989"/>
      <queryTableField id="132" name="U3_SEQ_OF_EVENTS_3_CD" tableColumnId="990"/>
      <queryTableField id="133" name="U3_SEQ_OF_EVENTS_4_CD" tableColumnId="991"/>
      <queryTableField id="134" name="U3_SEQ_OF_EVENTS_5_CD" tableColumnId="992"/>
      <queryTableField id="135" name="U3_SEQ_OF_EVENTS_6_CD" tableColumnId="993"/>
      <queryTableField id="136" name="INTERSECTION_ID_CURRENT" tableColumnId="994"/>
      <queryTableField id="137" name="INTERSECTION_LEG_ID" tableColumnId="995"/>
      <queryTableField id="138" name="INTERCHANGE_ID" tableColumnId="996"/>
      <queryTableField id="139" name="SA_RAMP_ID" tableColumnId="997"/>
      <queryTableField id="140" name="SA_SEGMENT_ID" tableColumnId="998"/>
      <queryTableField id="141" name="Jurisdiction_Type" tableColumnId="999"/>
      <queryTableField id="142" name="CRASH_REPORT_LINK" tableColumnId="1000"/>
      <queryTableField id="143" name="HistoricalImagePath" tableColumnId="100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 SHSP_QUERY" growShrinkType="overwriteClear" connectionId="8" xr16:uid="{591FE80C-DBB4-422E-979F-338E0F1F34C0}" autoFormatId="16" applyNumberFormats="0" applyBorderFormats="0" applyFontFormats="0" applyPatternFormats="0" applyAlignmentFormats="0" applyWidthHeightFormats="0">
  <queryTableRefresh preserveSortFilterLayout="0" nextId="67">
    <queryTableFields count="41">
      <queryTableField id="1" name="NLF_ID" tableColumnId="1563"/>
      <queryTableField id="2" name="CTL_BEGIN_NBR" tableColumnId="1564"/>
      <queryTableField id="3" name="CTL_END_NBR" tableColumnId="1565"/>
      <queryTableField id="4" name="SEGMENT_LENGTH_NBR" tableColumnId="1566"/>
      <queryTableField id="5" name="SURFACE_TYPE_LEFT_CD" tableColumnId="1567"/>
      <queryTableField id="6" name="SURFACE_TYPE_RIGHT_CD" tableColumnId="1568"/>
      <queryTableField id="7" name="SURFACE_WIDTH" tableColumnId="1569"/>
      <queryTableField id="8" name="ROADWAY_WIDTH_NBR" tableColumnId="1570"/>
      <queryTableField id="9" name="SHOULDER_PVD_WIDTH_OUT_LT" tableColumnId="1571"/>
      <queryTableField id="10" name="SURFACE_TYPE_LEFT_CD2" tableColumnId="1572"/>
      <queryTableField id="11" name="SURFACE_WIDTH_LEFT" tableColumnId="1573"/>
      <queryTableField id="12" name="SHOULDER_PVD_WIDTH_IN_LT" tableColumnId="1574"/>
      <queryTableField id="13" name="DIVIDED_HWY_IND" tableColumnId="1575"/>
      <queryTableField id="14" name="MEDIAN_WIDTH_NBR" tableColumnId="1576"/>
      <queryTableField id="15" name="HPMS_MEDIAN_WIDTH_NBR" tableColumnId="1577"/>
      <queryTableField id="16" name="MEDIAN_TYPE_CD" tableColumnId="1578"/>
      <queryTableField id="17" name="SHOULDER_PVD_WIDTH_OUT_RT" tableColumnId="1579"/>
      <queryTableField id="18" name="SURFACE_TYPE_RIGHT_CD2" tableColumnId="1580"/>
      <queryTableField id="19" name="SURFACE_WIDTH_RIGHT" tableColumnId="1581"/>
      <queryTableField id="20" name="SHOULDER_PVD_WIDTH_IN_RT" tableColumnId="1582"/>
      <queryTableField id="21" name="LANES_NBR" tableColumnId="1583"/>
      <queryTableField id="22" name="LANE_WIDTH_NBR" tableColumnId="1584"/>
      <queryTableField id="23" name="MILEAGE_CLASS" tableColumnId="1585"/>
      <queryTableField id="24" name="FIPS_CD" tableColumnId="1586"/>
      <queryTableField id="25" name="STREET_PREFIX_DIR_CD" tableColumnId="1587"/>
      <queryTableField id="26" name="STREET_NAME" tableColumnId="1588"/>
      <queryTableField id="27" name="STREET_SUFFIX_CD" tableColumnId="1589"/>
      <queryTableField id="28" name="STREET_DIR_SUFFIX_CD" tableColumnId="1590"/>
      <queryTableField id="29" name="RT_NME_SPEC_SUFFIX_CD" tableColumnId="1591"/>
      <queryTableField id="30" name="MUNI_POPULATION" tableColumnId="1592"/>
      <queryTableField id="31" name="AREA_CODE_NBR" tableColumnId="1593"/>
      <queryTableField id="32" name="FUNCTION_CLASS_CD" tableColumnId="1594"/>
      <queryTableField id="33" name="PRIORITY_SYSTEM_CD" tableColumnId="1595"/>
      <queryTableField id="34" name="NHS_CD" tableColumnId="1596"/>
      <queryTableField id="35" name="NHS_INTERMODAL_FACILITY_CD" tableColumnId="1597"/>
      <queryTableField id="36" name="FED_AID_PRIMARY_CD" tableColumnId="1598"/>
      <queryTableField id="37" name="ACCESS_CONTROL_CD" tableColumnId="1599"/>
      <queryTableField id="38" name="SPEED_LIMIT_NBR" tableColumnId="1600"/>
      <queryTableField id="39" name="ADT_PSNGR_CAR_NBR" tableColumnId="1601"/>
      <queryTableField id="40" name="ADT_TOTAL_NBR" tableColumnId="1602"/>
      <queryTableField id="41" name="ADT_YEAR_NBR" tableColumnId="160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Query - SHSP_QUERY" growShrinkType="overwriteClear" connectionId="7" xr16:uid="{12578DA4-AA9F-4710-8287-A3A497C1FD3E}" autoFormatId="16" applyNumberFormats="0" applyBorderFormats="0" applyFontFormats="0" applyPatternFormats="0" applyAlignmentFormats="0" applyWidthHeightFormats="0">
  <queryTableRefresh preserveSortFilterLayout="0" nextId="67">
    <queryTableFields count="66">
      <queryTableField id="1" name="NLF_ID" tableColumnId="1497"/>
      <queryTableField id="2" name="LOGPOINT_COUNTY_BEGIN_NBR" tableColumnId="1498"/>
      <queryTableField id="3" name="LOGPOINT_COUNTY_END_NBR" tableColumnId="1499"/>
      <queryTableField id="4" name="LOCATION_TYPE" tableColumnId="1500"/>
      <queryTableField id="5" name="PRIMARY_LOCATION_IND" tableColumnId="1501"/>
      <queryTableField id="6" name="PID_NBR" tableColumnId="1502"/>
      <queryTableField id="7" name="DISTRICT_NBR" tableColumnId="1503"/>
      <queryTableField id="8" name="LOCALE_SHORT_NME" tableColumnId="1504"/>
      <queryTableField id="9" name="PROJECT_NME" tableColumnId="1505"/>
      <queryTableField id="10" name="PROJ_STATUS_TXT" tableColumnId="1506"/>
      <queryTableField id="11" name="PROJ_LETTING_TYPE" tableColumnId="1507"/>
      <queryTableField id="12" name="PRIMARY_WORK_CATEGORY" tableColumnId="1508"/>
      <queryTableField id="13" name="TRAC_TIER_SHORT_NME" tableColumnId="1509"/>
      <queryTableField id="14" name="PROGRAM_FAMILY_SHORT_NME" tableColumnId="1510"/>
      <queryTableField id="15" name="PROJECT_MGR_NME" tableColumnId="1511"/>
      <queryTableField id="16" name="ARRA_PROJECT_IND" tableColumnId="1512"/>
      <queryTableField id="17" name="MPO_STIMULUS_ALLOC" tableColumnId="1513"/>
      <queryTableField id="18" name="ODOT_STIMULUS_PROJ" tableColumnId="1514"/>
      <queryTableField id="19" name="RURAL_TRANSIT_STIMULUS_PROJ" tableColumnId="1515"/>
      <queryTableField id="20" name="URBAN_TRANSIT_STIMULUS_PROJ" tableColumnId="1516"/>
      <queryTableField id="21" name="AWARD_AMT" tableColumnId="1517"/>
      <queryTableField id="22" name="COMMITTED_EST_AMT" tableColumnId="1518"/>
      <queryTableField id="23" name="UNCOMMITTED_EST_AMT" tableColumnId="1519"/>
      <queryTableField id="24" name="TOTAL_EST_AMT" tableColumnId="1520"/>
      <queryTableField id="25" name="TOTAL_AWARD_EST_AMT" tableColumnId="1521"/>
      <queryTableField id="26" name="COMMITTED_IND" tableColumnId="1522"/>
      <queryTableField id="27" name="ACT_CUR_AWARD_DT" tableColumnId="1523"/>
      <queryTableField id="28" name="PROJ_START_ACTUAL_DT" tableColumnId="1524"/>
      <queryTableField id="29" name="PROJ_START_EST_DT" tableColumnId="1525"/>
      <queryTableField id="30" name="PROJ_COMPL_ACTUAL_DT" tableColumnId="1526"/>
      <queryTableField id="31" name="PROJ_COMPL_EST_DT" tableColumnId="1527"/>
      <queryTableField id="32" name="LATITUDE_BEGIN_NBR" tableColumnId="1528"/>
      <queryTableField id="33" name="LOGPOINT_COUNTY_END_NBR2" tableColumnId="1529"/>
      <queryTableField id="34" name="LONGITUDE_END_NBR" tableColumnId="1530"/>
      <queryTableField id="35" name="LATITUDE_END_NBR" tableColumnId="1531"/>
      <queryTableField id="36" name="ACTUAL_PRIORITY_MILES" tableColumnId="1532"/>
      <queryTableField id="37" name="ACTUAL_URBAN_MILES" tableColumnId="1533"/>
      <queryTableField id="38" name="ACTUAL_GENERAL_MILES" tableColumnId="1534"/>
      <queryTableField id="39" name="TOTAL_LANE_MILES" tableColumnId="1535"/>
      <queryTableField id="40" name="SLM_MILES" tableColumnId="1536"/>
      <queryTableField id="41" name="IMPROVED_PCR" tableColumnId="1537"/>
      <queryTableField id="42" name="PVMNT_TRTMNT_CAT_LONG_NME" tableColumnId="1538"/>
      <queryTableField id="43" name="STRUCTURE_FILE_NBR" tableColumnId="1539"/>
      <queryTableField id="44" name="BRG_STAT_DESC" tableColumnId="1540"/>
      <queryTableField id="45" name="MAJOR_BRG_SW" tableColumnId="1541"/>
      <queryTableField id="46" name="MAINT_RESP_DESC" tableColumnId="1542"/>
      <queryTableField id="47" name="MAIN_STRUC_TYPE" tableColumnId="1543"/>
      <queryTableField id="48" name="MAIN_SPAN_MATL_DESC" tableColumnId="1544"/>
      <queryTableField id="49" name="MAIN_SPAN_TYPE_DESC" tableColumnId="1545"/>
      <queryTableField id="50" name="MAIN_SPAN_DESC" tableColumnId="1546"/>
      <queryTableField id="51" name="DECK_AREA" tableColumnId="1547"/>
      <queryTableField id="52" name="OVRL_STR_LEN" tableColumnId="1548"/>
      <queryTableField id="53" name="SUFF_RATING" tableColumnId="1549"/>
      <queryTableField id="54" name="DEF_FUNC_RATING_DESC" tableColumnId="1550"/>
      <queryTableField id="55" name="BRG_DEF_CD_IND" tableColumnId="1551"/>
      <queryTableField id="56" name="GENERAL_APPRAISAL_IND" tableColumnId="1552"/>
      <queryTableField id="57" name="FLOOR_CONDITION_IND" tableColumnId="1553"/>
      <queryTableField id="58" name="WEARING_SURFACE_IND" tableColumnId="1554"/>
      <queryTableField id="59" name="PAINT_IND" tableColumnId="1555"/>
      <queryTableField id="60" name="GENERAL_APPRAISAL_RATING" tableColumnId="1556"/>
      <queryTableField id="61" name="FLOOR_CONDITION_RATING" tableColumnId="1557"/>
      <queryTableField id="62" name="WEARING_SURFACE_RATING" tableColumnId="1558"/>
      <queryTableField id="63" name="PAINT_CONDITION_RATING" tableColumnId="1559"/>
      <queryTableField id="64" name="SPOT_LOCATION_TYPE" tableColumnId="1560"/>
      <queryTableField id="65" name="SPOT_LOCATION_DESC" tableColumnId="1561"/>
      <queryTableField id="66" name="AWARD_ENC_REQ_SFY" tableColumnId="156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Query - SHSP_QUERY" growShrinkType="overwriteClear" connectionId="5" xr16:uid="{98BCCB1C-EBFD-4EE2-A332-0B291FB5034D}" autoFormatId="16" applyNumberFormats="0" applyBorderFormats="0" applyFontFormats="0" applyPatternFormats="0" applyAlignmentFormats="0" applyWidthHeightFormats="0">
  <queryTableRefresh preserveSortFilterLayout="0" nextId="9">
    <queryTableFields count="8">
      <queryTableField id="1" name="NLF_ID" tableColumnId="1670"/>
      <queryTableField id="2" name="CTL_BEGIN_NBR" tableColumnId="1671"/>
      <queryTableField id="3" name="CTL_END_NBR" tableColumnId="1672"/>
      <queryTableField id="4" name="TOTAL_VOLUME_NBR" tableColumnId="1673"/>
      <queryTableField id="5" name="TRUCK_VOLUME_NBR" tableColumnId="1674"/>
      <queryTableField id="6" name="VOLUME_CAPACITY_RATIO_NBR" tableColumnId="1675"/>
      <queryTableField id="7" name="FUNCTIONAL_CLASS_CD" tableColumnId="1676"/>
      <queryTableField id="8" name="SECTION_LENGTH_NBR" tableColumnId="1677"/>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Query - SHSP_QUERY" growShrinkType="overwriteClear" connectionId="6" xr16:uid="{45DBED10-1BFA-45D1-B7F1-916D41F70E7B}" autoFormatId="16" applyNumberFormats="0" applyBorderFormats="0" applyFontFormats="0" applyPatternFormats="0" applyAlignmentFormats="0" applyWidthHeightFormats="0">
  <queryTableRefresh preserveSortFilterLayout="0" nextId="29">
    <queryTableFields count="28">
      <queryTableField id="1" name="NLF_ID" tableColumnId="1698"/>
      <queryTableField id="2" name="LOGPOINT_COUNTY_BEGIN_NBR" tableColumnId="1699"/>
      <queryTableField id="3" name="LOGPOINT_COUNTY_END_NBR" tableColumnId="1700"/>
      <queryTableField id="4" name="SEGMENT_LENGTH_NBR" tableColumnId="1701"/>
      <queryTableField id="5" name="PCR_NBR" tableColumnId="1702"/>
      <queryTableField id="6" name="DEDUCT_TOTAL_NBR" tableColumnId="1703"/>
      <queryTableField id="7" name="DEDUCT_STRUCTURAL_NBR" tableColumnId="1704"/>
      <queryTableField id="8" name="DIVIDED_UNDIVIDED_IND" tableColumnId="1705"/>
      <queryTableField id="9" name="DIRECTION_TXT" tableColumnId="1706"/>
      <queryTableField id="10" name="PAVEMENT_TYPE_CD" tableColumnId="1707"/>
      <queryTableField id="11" name="PAVEMENT_TYPE_TXT" tableColumnId="1708"/>
      <queryTableField id="12" name="CODE_1" tableColumnId="1709"/>
      <queryTableField id="13" name="CODE_2" tableColumnId="1710"/>
      <queryTableField id="14" name="CODE_3" tableColumnId="1711"/>
      <queryTableField id="15" name="CODE_4" tableColumnId="1712"/>
      <queryTableField id="16" name="CODE_5" tableColumnId="1713"/>
      <queryTableField id="17" name="CODE_6" tableColumnId="1714"/>
      <queryTableField id="18" name="CODE_7" tableColumnId="1715"/>
      <queryTableField id="19" name="CODE_8" tableColumnId="1716"/>
      <queryTableField id="20" name="CODE_9" tableColumnId="1717"/>
      <queryTableField id="21" name="CODE_10" tableColumnId="1718"/>
      <queryTableField id="22" name="CODE_11" tableColumnId="1719"/>
      <queryTableField id="23" name="CODE_12" tableColumnId="1720"/>
      <queryTableField id="24" name="CODE_13" tableColumnId="1721"/>
      <queryTableField id="25" name="CODE_14" tableColumnId="1722"/>
      <queryTableField id="26" name="CODE_15" tableColumnId="1723"/>
      <queryTableField id="27" name="CODE_16" tableColumnId="1724"/>
      <queryTableField id="28" name="CODE_17" tableColumnId="1725"/>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Query from SYBIQ01PRD" backgroundRefresh="0" growShrinkType="overwriteClear" adjustColumnWidth="0" connectionId="3" xr16:uid="{00000000-0016-0000-0700-000006000000}" autoFormatId="16" applyNumberFormats="0" applyBorderFormats="0" applyFontFormats="0" applyPatternFormats="0" applyAlignmentFormats="0" applyWidthHeightFormats="0">
  <queryTableRefresh nextId="107">
    <queryTableFields count="2">
      <queryTableField id="105" name="DOCUMENT_NBR"/>
      <queryTableField id="106" name="FILENAME_NME"/>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amtoolacc" growShrinkType="overwriteClear" fillFormulas="1" adjustColumnWidth="0" connectionId="1" xr16:uid="{00000000-0016-0000-1200-00000B000000}"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amtoolacc" growShrinkType="overwriteClear" fillFormulas="1" adjustColumnWidth="0" connectionId="2" xr16:uid="{00000000-0016-0000-1700-00000C000000}" autoFormatId="16" applyNumberFormats="0" applyBorderFormats="0" applyFontFormats="1" applyPatternFormats="1" applyAlignmentFormats="0" applyWidthHeightFormats="0"/>
</file>

<file path=xl/tables/_rels/table1.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8C70D49-C06D-4F6E-913B-12E9380C7E73}" name="OH1_CAMToolQuery" displayName="OH1_CAMToolQuery" ref="A20:EM21" tableType="queryTable" totalsRowShown="0">
  <autoFilter ref="A20:EM21" xr:uid="{D49A860B-CC7D-4D97-8B8C-710601D66999}"/>
  <tableColumns count="143">
    <tableColumn id="859" xr3:uid="{B0BA52E7-DCCC-460C-9592-A767F072FBBE}" uniqueName="859" name="DOCUMENT_NBR" queryTableFieldId="1"/>
    <tableColumn id="860" xr3:uid="{76DED80F-7F32-4532-93CF-9CBCCD8F9B0B}" uniqueName="860" name="CRASH_YR" queryTableFieldId="2"/>
    <tableColumn id="861" xr3:uid="{35518939-87D7-40EC-937C-8177B64CE227}" uniqueName="861" name="LOCAL_REPORT_NUMBER_ID" queryTableFieldId="3"/>
    <tableColumn id="862" xr3:uid="{992B99E8-ED91-47EC-BCE4-65A8B92B4D3A}" uniqueName="862" name="User_Defined" queryTableFieldId="4"/>
    <tableColumn id="863" xr3:uid="{2E120F6C-0AC2-4994-90C0-FE6C13B07718}" uniqueName="863" name="SEVERITY_BY_TYPE_CD" queryTableFieldId="5"/>
    <tableColumn id="864" xr3:uid="{D9A15409-15C1-4393-9879-FD267693699A}" uniqueName="864" name="CRASH_TYPE_CD" queryTableFieldId="6"/>
    <tableColumn id="865" xr3:uid="{57DB5007-93B8-4148-AD91-2968070DD35E}" uniqueName="865" name="DISTRICT_NBR" queryTableFieldId="7"/>
    <tableColumn id="866" xr3:uid="{9BC26DEB-411A-419A-9047-6C2E4E15DFA5}" uniqueName="866" name="NLF_COUNTY_CD" queryTableFieldId="8"/>
    <tableColumn id="867" xr3:uid="{4A521BE4-601F-4B29-8979-41919ED4D38B}" uniqueName="867" name="ODOT_CRASH_LOCATION_CD" queryTableFieldId="9"/>
    <tableColumn id="868" xr3:uid="{D33FEB1C-F8C9-4822-8343-78E2A8607DDB}" uniqueName="868" name="NLFID" queryTableFieldId="10"/>
    <tableColumn id="869" xr3:uid="{DE095D6F-5365-411C-9BF8-1B1A7141E2AB}" uniqueName="869" name="COUNTY_LOG_NBR" queryTableFieldId="11"/>
    <tableColumn id="870" xr3:uid="{77560BC1-78CB-4592-AA00-C7685ABF41EA}" uniqueName="870" name="STATE_TRUE_LOG_NBR" queryTableFieldId="12"/>
    <tableColumn id="871" xr3:uid="{BCA7DB0F-26F3-4452-878D-ED84427CC3E3}" uniqueName="871" name="ON_ROAD" queryTableFieldId="13"/>
    <tableColumn id="872" xr3:uid="{A485C627-A8C2-468F-9088-9B4305698F02}" uniqueName="872" name="AT_ROAD" queryTableFieldId="14"/>
    <tableColumn id="873" xr3:uid="{65F4A1E8-F5A9-45A3-8974-F50F7D9FB9DA}" uniqueName="873" name="ODOT_LATITUDE_NBR" queryTableFieldId="15"/>
    <tableColumn id="874" xr3:uid="{1B8BCC99-1045-46E5-AB69-25F645F197EF}" uniqueName="874" name="ODOT_LONGITUDE_NBR" queryTableFieldId="16"/>
    <tableColumn id="875" xr3:uid="{1F647EB1-BB52-45B3-9E82-CC4AAE8D7673}" uniqueName="875" name="ODOT_FIPS_CD" queryTableFieldId="17"/>
    <tableColumn id="876" xr3:uid="{E9DACF6D-4A7D-4495-9CED-8D89BAF5E701}" uniqueName="876" name="ODOT_CITY_VILLAGE_TWP_NME" queryTableFieldId="18"/>
    <tableColumn id="877" xr3:uid="{426B3D0F-8C38-4BF0-8ADC-EF08390C7D3A}" uniqueName="877" name="ODOT_CITY_VILLAGE_TWP_CD" queryTableFieldId="19"/>
    <tableColumn id="878" xr3:uid="{BE476344-A0EE-435F-A314-DA274834920C}" uniqueName="878" name="ODPS_TOTAL_FATALITIES_NBR" queryTableFieldId="20"/>
    <tableColumn id="879" xr3:uid="{DDA8222E-11B6-4923-81CA-DC0157D610DF}" uniqueName="879" name="INCAPAC_INJURIES_NBR" queryTableFieldId="21"/>
    <tableColumn id="880" xr3:uid="{3A6D222D-CB72-414C-B51F-2F0C8BC35BAE}" uniqueName="880" name="NON_INCAPAC_INJURIES_NBR" queryTableFieldId="22"/>
    <tableColumn id="881" xr3:uid="{AE67F54F-D666-45D9-98AF-99FCE8F869BF}" uniqueName="881" name="POSSIBLE_INJURIES_NBR" queryTableFieldId="23"/>
    <tableColumn id="882" xr3:uid="{AEBC9C6F-4521-49B3-8714-4662B30AE69C}" uniqueName="882" name="NO_INJURY_REPORTED_NBR" queryTableFieldId="24"/>
    <tableColumn id="883" xr3:uid="{9C40CA18-E610-4E18-8CC8-38C5D379566A}" uniqueName="883" name="UNRESTRAIN_OCCUPANTS" queryTableFieldId="25"/>
    <tableColumn id="884" xr3:uid="{F0740EAA-533E-4F2B-8A39-9F59AD1D0B04}" uniqueName="884" name="NUMBER_OF_UNITS_NBR" queryTableFieldId="26"/>
    <tableColumn id="885" xr3:uid="{62E28EB9-72E7-4501-B903-01C0D2DBE147}" uniqueName="885" name="NLF_JUR_CD" queryTableFieldId="27"/>
    <tableColumn id="886" xr3:uid="{2F48C345-DAF3-482D-B0AF-A0F8CDAEEA74}" uniqueName="886" name="ODOT_LOC_ROUTE_PREFIX_CD" queryTableFieldId="28"/>
    <tableColumn id="887" xr3:uid="{230E4726-6DD1-4007-8F0F-217320445206}" uniqueName="887" name="FACILITY_TYPE_CD" queryTableFieldId="29"/>
    <tableColumn id="888" xr3:uid="{CF6D4C90-00E2-4211-A9FF-54A3804FE1E5}" uniqueName="888" name="AREA_CODE" queryTableFieldId="30"/>
    <tableColumn id="889" xr3:uid="{11C54B1D-5DB6-4FE3-A04A-51B0F165D8B6}" uniqueName="889" name="FUNCTIONAL_CLASS_CD" queryTableFieldId="31"/>
    <tableColumn id="890" xr3:uid="{738D7E78-ABFE-4F57-B087-3308CDE3DF11}" uniqueName="890" name="NHS_CD" queryTableFieldId="32"/>
    <tableColumn id="891" xr3:uid="{BE0DFEEE-33F8-458F-9657-3FE762FB555C}" uniqueName="891" name="ODOT_DIV_UNDIV_IND" queryTableFieldId="33"/>
    <tableColumn id="892" xr3:uid="{56F3E5D9-5826-4AA6-AA88-8617872CE5BF}" uniqueName="892" name="ODOT_LANES_NBR" queryTableFieldId="34"/>
    <tableColumn id="893" xr3:uid="{B3FCBC31-4394-4774-8E35-366CD0D4A054}" uniqueName="893" name="OPER_ACCESS_CONTROL_CD" queryTableFieldId="35"/>
    <tableColumn id="894" xr3:uid="{BE253E6B-A42E-4DA7-A072-F67B02754D8B}" uniqueName="894" name="FREEWAY_IND" queryTableFieldId="36"/>
    <tableColumn id="895" xr3:uid="{CDD494CC-19F2-4AC7-9218-4F21EF8D1DE4}" uniqueName="895" name="INTERSTATE_IND" queryTableFieldId="37"/>
    <tableColumn id="896" xr3:uid="{38BDACFA-F6B8-440F-A6BC-78C9E60373AD}" uniqueName="896" name="ODOT_MAINTAINED_HWY_IND" queryTableFieldId="38"/>
    <tableColumn id="897" xr3:uid="{69ED65A4-9A6E-46DC-8899-86D67AA8DC2D}" uniqueName="897" name="MAINTENANCE_AUTHORITY_CD" queryTableFieldId="39"/>
    <tableColumn id="898" xr3:uid="{D48404DA-DFDF-41CC-9B66-74C01A69DEEF}" uniqueName="898" name="CRASH_DATE" queryTableFieldId="40"/>
    <tableColumn id="899" xr3:uid="{F5F08646-2F8C-4011-B820-E9FACEF68A6A}" uniqueName="899" name="MONTH" queryTableFieldId="41"/>
    <tableColumn id="900" xr3:uid="{AC36E37B-860B-4DA2-844A-DBB7BF0C1DBF}" uniqueName="900" name="HOUR_OF_CRASH" queryTableFieldId="42"/>
    <tableColumn id="901" xr3:uid="{A8D702C0-3CE5-46E1-9378-D3A19C4D158A}" uniqueName="901" name="DAY_IN_WEEK_CD" queryTableFieldId="43"/>
    <tableColumn id="902" xr3:uid="{AB3AB662-67B7-43DD-ADCB-9E7431AA26CA}" uniqueName="902" name="WEATHER_COND_CD" queryTableFieldId="44"/>
    <tableColumn id="903" xr3:uid="{A55013CD-81A9-4A5D-926D-2C427EA80D33}" uniqueName="903" name="ROAD_COND_PRIMARY_CD" queryTableFieldId="45"/>
    <tableColumn id="904" xr3:uid="{D7C0CCDF-3D29-4449-A691-13AE6F0C08C0}" uniqueName="904" name="LIGHT_COND_PRIMARY_CD" queryTableFieldId="46"/>
    <tableColumn id="905" xr3:uid="{8415F9BB-8338-4FF5-892E-E1824F444FE7}" uniqueName="905" name="ROAD_CONTOUR_CD" queryTableFieldId="47"/>
    <tableColumn id="906" xr3:uid="{35087B39-5581-49A4-A064-5CC7F1CEC3CF}" uniqueName="906" name="FHWA_RDWY_DEPARTURE_IND" queryTableFieldId="48"/>
    <tableColumn id="907" xr3:uid="{84F2FA76-90CE-4275-9FBD-89D4F37572C3}" uniqueName="907" name="ODOT_INTERSECTION_REL_IND" queryTableFieldId="49"/>
    <tableColumn id="908" xr3:uid="{02739329-5A3C-4178-8D8C-F17683568C4B}" uniqueName="908" name="ODPS_ALCOHOL_IND" queryTableFieldId="50"/>
    <tableColumn id="909" xr3:uid="{9D85A7B2-DE19-4131-B3F6-B7755E760FFD}" uniqueName="909" name="MARIJUANA_IND" queryTableFieldId="51"/>
    <tableColumn id="910" xr3:uid="{DCA7CA0F-95A3-4838-A361-AF971DC53674}" uniqueName="910" name="ODPS_DRUG_IND" queryTableFieldId="52"/>
    <tableColumn id="911" xr3:uid="{B48E155A-28A5-4F4B-8FBC-436045A4C795}" uniqueName="911" name="ODPS_SCHOOL_ZONE_IND" queryTableFieldId="53"/>
    <tableColumn id="912" xr3:uid="{0470978F-6124-4058-9E35-9EB8674C54AA}" uniqueName="912" name="ODPS_MOTORCYCLE_IND" queryTableFieldId="54"/>
    <tableColumn id="913" xr3:uid="{CC787E0C-EB83-4586-9894-3B141CE34DFB}" uniqueName="913" name="ODPS_SPEED_IND" queryTableFieldId="55"/>
    <tableColumn id="914" xr3:uid="{1BFE3463-BF13-496D-8798-D67F8457A5E3}" uniqueName="914" name="ODPS_SENIOR_DRIVER_IND" queryTableFieldId="56"/>
    <tableColumn id="915" xr3:uid="{1CE31806-35A3-4A54-A9EC-73E67F5805A4}" uniqueName="915" name="ODOT_YOUNG_DRIVER_IND" queryTableFieldId="57"/>
    <tableColumn id="916" xr3:uid="{544661C9-E03A-417A-8156-3188EF3EACC1}" uniqueName="916" name="ODPS_WORK_ZONE_IND" queryTableFieldId="58"/>
    <tableColumn id="917" xr3:uid="{2AB4CADF-63CD-446E-8C2C-591E8B30AE7B}" uniqueName="917" name="ODPS_LOC_IN_WORK_ZONE_CD" queryTableFieldId="59"/>
    <tableColumn id="918" xr3:uid="{1FA44A07-AF51-4F8A-A766-F39F925542D3}" uniqueName="918" name="ODPS_TYPE_OF_WORK_ZONE_CD" queryTableFieldId="60"/>
    <tableColumn id="919" xr3:uid="{B281BAF7-D79C-4DBA-8994-3EF8CC2EC15A}" uniqueName="919" name="DISTRACTED_DRIVER_IND" queryTableFieldId="61"/>
    <tableColumn id="920" xr3:uid="{3D46751A-EF53-4A97-9418-F8BCC14FECCC}" uniqueName="920" name="ODPS_CITY_VILLAGE_TWP_NME" queryTableFieldId="62"/>
    <tableColumn id="921" xr3:uid="{B0B06DC7-A0D9-489D-AF80-A1C459690EDE}" uniqueName="921" name="ODPS_LOC_ROAD_DIRECTION_CD" queryTableFieldId="63"/>
    <tableColumn id="922" xr3:uid="{E7DA99EE-8785-41AB-A783-D600CB4CF007}" uniqueName="922" name="ODPS_LOC_ROAD_NME" queryTableFieldId="64"/>
    <tableColumn id="923" xr3:uid="{583B0608-11D2-4F0D-99E5-4FEBCA14BDB3}" uniqueName="923" name="ODPS_LOC_ROAD_SUFFIX_CD" queryTableFieldId="65"/>
    <tableColumn id="924" xr3:uid="{3ACB2C1D-28C0-4A3B-A4CA-FC3367BDAF84}" uniqueName="924" name="ODPS_LOC_DIR_SUFFIX_CD" queryTableFieldId="66"/>
    <tableColumn id="925" xr3:uid="{040A224F-7A51-44B9-9293-C535624AAED5}" uniqueName="925" name="ODPS_LOC_ROUTE_PREFIX_CD" queryTableFieldId="67"/>
    <tableColumn id="926" xr3:uid="{419AE899-3859-4DE6-8ABE-D7DF7C46523D}" uniqueName="926" name="ODPS_LOC_ROUTE_ID" queryTableFieldId="68"/>
    <tableColumn id="927" xr3:uid="{7CB09305-C05E-4DA4-9000-4BD89750FE17}" uniqueName="927" name="ODPS_LOC_ROUTE_SUFFIX_CD" queryTableFieldId="69"/>
    <tableColumn id="928" xr3:uid="{96CB94CA-6F74-4F8B-BDE9-AED0A201B8F2}" uniqueName="928" name="ODPS_REF_DIRECTION_CD" queryTableFieldId="70"/>
    <tableColumn id="929" xr3:uid="{0282AABF-AAEF-4B8B-8FDC-4E7E40F8CCA2}" uniqueName="929" name="ODPS_REF_GIVEN" queryTableFieldId="71"/>
    <tableColumn id="930" xr3:uid="{4E3DDFF2-4996-4615-9E14-BE3348D4872C}" uniqueName="930" name="ODPS_REF_SUFFIX_CD" queryTableFieldId="72"/>
    <tableColumn id="931" xr3:uid="{ABB2B661-70D0-42D0-B067-77CFC09EA529}" uniqueName="931" name="ODPS_REF_DIR_SUFFIX_CD" queryTableFieldId="73"/>
    <tableColumn id="932" xr3:uid="{99E236DA-47DC-4A87-9B46-5E23603E2CDC}" uniqueName="932" name="ODPS_REF_ROUTE_PREFIX_CD" queryTableFieldId="74"/>
    <tableColumn id="933" xr3:uid="{B5C2C7D6-C777-4D09-857F-1012A5A58CCD}" uniqueName="933" name="ODPS_REF_ROUTE_ID" queryTableFieldId="75"/>
    <tableColumn id="934" xr3:uid="{FF19F080-3659-47CE-B250-DE7C6E7EE808}" uniqueName="934" name="ODPS_REF_ROUTE_SUFFIX_CD" queryTableFieldId="76"/>
    <tableColumn id="935" xr3:uid="{6CA0BC6F-1E11-4BAD-8394-5AE0B352C1C8}" uniqueName="935" name="ODPS_ADDRESS_REFERENCE" queryTableFieldId="77"/>
    <tableColumn id="936" xr3:uid="{ABB5FAA5-9CCB-458B-86A2-63A92F02F88E}" uniqueName="936" name="ODPS_MILEPOST_REFERENCE" queryTableFieldId="78"/>
    <tableColumn id="937" xr3:uid="{30E588F6-392F-4E6E-8134-C59605C04EE3}" uniqueName="937" name="ODOT_REF_POINT_USED_CD" queryTableFieldId="79"/>
    <tableColumn id="938" xr3:uid="{347AD21D-00BD-4CC9-8310-AC6817EC3431}" uniqueName="938" name="U1_AT_FAULT_IND" queryTableFieldId="80"/>
    <tableColumn id="939" xr3:uid="{D99FDC82-5A4E-4C8A-BFE8-77C733BC1858}" uniqueName="939" name="U1_ODPS_UNIT_NBR" queryTableFieldId="81"/>
    <tableColumn id="940" xr3:uid="{5E982FBE-FB64-4E64-A16C-5F2E4151BAC8}" uniqueName="940" name="U1_DIRECTION_FROM_CD" queryTableFieldId="82"/>
    <tableColumn id="941" xr3:uid="{DA72E347-4BFD-47F2-88E0-4358A1F9D4FE}" uniqueName="941" name="U1_DIRECTION_TO_CD" queryTableFieldId="83"/>
    <tableColumn id="942" xr3:uid="{0352FC62-ED52-460C-A624-F6C213C24AC8}" uniqueName="942" name="U1_TURN_CD" queryTableFieldId="84"/>
    <tableColumn id="943" xr3:uid="{05E29128-1CF5-4DFF-B909-2803AB0D0E65}" uniqueName="943" name="U1_TRAFFIC_CONTROL_CD" queryTableFieldId="85"/>
    <tableColumn id="944" xr3:uid="{4ED4F192-1F6C-4302-8CFF-B90B024EE859}" uniqueName="944" name="U1_TYPE_OF_UNIT_CD" queryTableFieldId="86"/>
    <tableColumn id="945" xr3:uid="{B90989FD-AB81-429E-A5B9-211B2F90AA56}" uniqueName="945" name="U1_SPECIAL_FUNCTION_CD" queryTableFieldId="87"/>
    <tableColumn id="946" xr3:uid="{B9B2AA9F-2548-4157-95EB-AE8B29C352B5}" uniqueName="946" name="U1_UNIT_SPEED_NBR" queryTableFieldId="88"/>
    <tableColumn id="947" xr3:uid="{73AB46BA-F562-44A2-9630-4EDB25CB503B}" uniqueName="947" name="U1_POSTED_SPEED_NBR" queryTableFieldId="89"/>
    <tableColumn id="948" xr3:uid="{8B9EA3F8-19A2-44DD-9FE4-119D0F258FDF}" uniqueName="948" name="U1_PRECRASH_ACTION_CD" queryTableFieldId="90"/>
    <tableColumn id="949" xr3:uid="{5E534B22-B270-4B90-B0BB-DCEDE439130D}" uniqueName="949" name="U1_CONT_CIR_PRIMARY_CD" queryTableFieldId="91"/>
    <tableColumn id="950" xr3:uid="{AF7B6DEC-81A8-44B3-BD1B-A229EF86B752}" uniqueName="950" name="U1_OBJECT_STRUCK" queryTableFieldId="92"/>
    <tableColumn id="951" xr3:uid="{8B238AEA-6DBA-4DB2-AA64-92907DB2404A}" uniqueName="951" name="U1_SEQ_OF_EVENTS_1_CD" queryTableFieldId="93"/>
    <tableColumn id="952" xr3:uid="{00AC21BE-4F73-4D2B-9DDC-CC11C9555FAA}" uniqueName="952" name="U1_SEQ_OF_EVENTS_2_CD" queryTableFieldId="94"/>
    <tableColumn id="953" xr3:uid="{14BCD80E-4B3B-426C-8982-E4628E6BE324}" uniqueName="953" name="U1_SEQ_OF_EVENTS_3_CD" queryTableFieldId="95"/>
    <tableColumn id="954" xr3:uid="{FA8487B2-3C01-47A2-9923-75A8E92A3331}" uniqueName="954" name="U1_SEQ_OF_EVENTS_4_CD" queryTableFieldId="96"/>
    <tableColumn id="955" xr3:uid="{0EF75E0E-E1F1-469A-B9DD-BE454252A55A}" uniqueName="955" name="U1_SEQ_OF_EVENTS_5_CD" queryTableFieldId="97"/>
    <tableColumn id="956" xr3:uid="{DCDA37E6-A0A1-4C93-9487-ABA12911C4B0}" uniqueName="956" name="U1_SEQ_OF_EVENTS_6_CD" queryTableFieldId="98"/>
    <tableColumn id="957" xr3:uid="{9EAE3087-B882-4B53-A912-9BB08E2F297F}" uniqueName="957" name="U1_NON_MOTORIST_LOC_CD" queryTableFieldId="99"/>
    <tableColumn id="958" xr3:uid="{C336C3B9-726A-4894-9D37-1144F9A956DE}" uniqueName="958" name="U1_AGE_NBR" queryTableFieldId="100"/>
    <tableColumn id="959" xr3:uid="{10B5870F-6EB6-4070-A88D-1A183DD9E94B}" uniqueName="959" name="U1_GENDER_CD" queryTableFieldId="101"/>
    <tableColumn id="960" xr3:uid="{58CD8654-8107-4833-81DA-4C475EEE8417}" uniqueName="960" name="U1_DISTRACTED_BY_1_CD" queryTableFieldId="102"/>
    <tableColumn id="961" xr3:uid="{15E71428-17B5-479B-9F34-A4D3BE421676}" uniqueName="961" name="U2_ODPS_UNIT_NBR" queryTableFieldId="103"/>
    <tableColumn id="962" xr3:uid="{73F07CE8-FBAD-4C00-8A86-5E0F3F873974}" uniqueName="962" name="U2_DIRECTION_FROM_CD" queryTableFieldId="104"/>
    <tableColumn id="963" xr3:uid="{62AC317D-63DF-4344-AA09-D22D673D4B57}" uniqueName="963" name="U2_DIRECTION_TO_CD" queryTableFieldId="105"/>
    <tableColumn id="964" xr3:uid="{CF6FCDB2-2FC0-4BD2-9CC7-0CE5A7654EB8}" uniqueName="964" name="U2_TURN_CD" queryTableFieldId="106"/>
    <tableColumn id="965" xr3:uid="{2672CF4B-DEF3-4B35-A249-3325C660A6A9}" uniqueName="965" name="U2_TRAFFIC_CONTROL_CD" queryTableFieldId="107"/>
    <tableColumn id="966" xr3:uid="{71B8CA2F-0335-4DC8-B5FB-FC00952C5605}" uniqueName="966" name="U2_TYPE_OF_UNIT_CD" queryTableFieldId="108"/>
    <tableColumn id="967" xr3:uid="{E954ADF9-AF42-4467-95DC-F259A45FAB89}" uniqueName="967" name="U2_SPECIAL_FUNCTION_CD" queryTableFieldId="109"/>
    <tableColumn id="968" xr3:uid="{5CB4A9D1-C75A-4D3E-94B8-EF109808496B}" uniqueName="968" name="U2_UNIT_SPEED_NBR" queryTableFieldId="110"/>
    <tableColumn id="969" xr3:uid="{6D52DD82-1F19-496E-A2EA-5324ABB03BA2}" uniqueName="969" name="U2_POSTED_SPEED_NBR" queryTableFieldId="111"/>
    <tableColumn id="970" xr3:uid="{604FE93E-DAD4-4D3D-A40D-4DCF6060D6B3}" uniqueName="970" name="U2_PRECRASH_ACTION_CD" queryTableFieldId="112"/>
    <tableColumn id="971" xr3:uid="{FE500CB1-63F6-4B80-843B-CE8C4E918612}" uniqueName="971" name="U2_CONT_CIR_PRIMARY_CD" queryTableFieldId="113"/>
    <tableColumn id="972" xr3:uid="{732BAB57-67C3-47F5-9C3C-CB2370C094E2}" uniqueName="972" name="U2_SEQ_OF_EVENTS_1_CD" queryTableFieldId="114"/>
    <tableColumn id="973" xr3:uid="{6072B6C4-2D45-4C8C-82BD-85D689F94555}" uniqueName="973" name="U2_SEQ_OF_EVENTS_2_CD" queryTableFieldId="115"/>
    <tableColumn id="974" xr3:uid="{429604B3-2D7F-479D-864C-7BE13F7B221C}" uniqueName="974" name="U2_SEQ_OF_EVENTS_3_CD" queryTableFieldId="116"/>
    <tableColumn id="975" xr3:uid="{E539317B-5651-4706-9001-E77686A06B95}" uniqueName="975" name="U2_SEQ_OF_EVENTS_4_CD" queryTableFieldId="117"/>
    <tableColumn id="976" xr3:uid="{3EF4916C-DFAF-4ED0-8C24-942E05035969}" uniqueName="976" name="U2_SEQ_OF_EVENTS_5_CD" queryTableFieldId="118"/>
    <tableColumn id="977" xr3:uid="{681D7901-95F2-41AC-9894-DB65D184F242}" uniqueName="977" name="U2_SEQ_OF_EVENTS_6_CD" queryTableFieldId="119"/>
    <tableColumn id="978" xr3:uid="{B138E0ED-BE4A-4DCB-927E-4DD81A8D73F9}" uniqueName="978" name="U2_NON_MOTORIST_LOC_CD" queryTableFieldId="120"/>
    <tableColumn id="979" xr3:uid="{79A617C9-291E-4D59-91A7-554A642803F3}" uniqueName="979" name="U2_AGE_NBR" queryTableFieldId="121"/>
    <tableColumn id="980" xr3:uid="{CA5E289D-2BEE-43EC-87ED-A3D336E3A6D1}" uniqueName="980" name="U2_GENDER_CD" queryTableFieldId="122"/>
    <tableColumn id="981" xr3:uid="{5D1A7613-757B-400C-8F8A-489E89AB852E}" uniqueName="981" name="U2_DISTRACTED_BY_1_CD" queryTableFieldId="123"/>
    <tableColumn id="982" xr3:uid="{D219A173-2E06-4FC3-B57E-0672CF09B242}" uniqueName="982" name="U3_ODPS_UNIT_NBR" queryTableFieldId="124"/>
    <tableColumn id="983" xr3:uid="{A952A5DB-7F94-477D-B399-157BD7A55D6B}" uniqueName="983" name="U3_TRAFFIC_CONTROL_CD" queryTableFieldId="125"/>
    <tableColumn id="984" xr3:uid="{D407CB9E-81CB-4119-B270-075169504B7D}" uniqueName="984" name="U3_TYPE_OF_UNIT_CD" queryTableFieldId="126"/>
    <tableColumn id="985" xr3:uid="{73EC8C5A-A110-436A-8986-B930CB19F9D9}" uniqueName="985" name="U3_SPECIAL_FUNCTION_CD" queryTableFieldId="127"/>
    <tableColumn id="986" xr3:uid="{6BE5219D-C04F-42FD-AB1C-E0C37022F7EE}" uniqueName="986" name="U3_PRECRASH_ACTION_CD" queryTableFieldId="128"/>
    <tableColumn id="987" xr3:uid="{2DF9B588-5C9F-4D6B-B8E5-F1325A58A1C3}" uniqueName="987" name="U3_CONT_CIR_PRIMARY_CD" queryTableFieldId="129"/>
    <tableColumn id="988" xr3:uid="{5FEC9E47-C704-4589-BCD0-BEAB1BEE66D2}" uniqueName="988" name="U3_SEQ_OF_EVENTS_1_CD" queryTableFieldId="130"/>
    <tableColumn id="989" xr3:uid="{B32934EF-E450-4A6C-85C9-4C4769A66C84}" uniqueName="989" name="U3_SEQ_OF_EVENTS_2_CD" queryTableFieldId="131"/>
    <tableColumn id="990" xr3:uid="{BBED9F69-7893-4BC1-A8EC-6184BCEADD46}" uniqueName="990" name="U3_SEQ_OF_EVENTS_3_CD" queryTableFieldId="132"/>
    <tableColumn id="991" xr3:uid="{11A84974-58C1-4100-85D6-2958BD6C2A0E}" uniqueName="991" name="U3_SEQ_OF_EVENTS_4_CD" queryTableFieldId="133"/>
    <tableColumn id="992" xr3:uid="{86593B06-B4A8-428B-8F69-946410104993}" uniqueName="992" name="U3_SEQ_OF_EVENTS_5_CD" queryTableFieldId="134"/>
    <tableColumn id="993" xr3:uid="{1B2CB2CA-5713-468B-B6F1-7F1626AC68AA}" uniqueName="993" name="U3_SEQ_OF_EVENTS_6_CD" queryTableFieldId="135"/>
    <tableColumn id="994" xr3:uid="{67078AE3-1C78-45BB-A9E0-CA3E274DA5DD}" uniqueName="994" name="INTERSECTION_ID_CURRENT" queryTableFieldId="136"/>
    <tableColumn id="995" xr3:uid="{672B3501-E2FA-4510-A58E-73238B2DE818}" uniqueName="995" name="INTERSECTION_LEG_ID" queryTableFieldId="137"/>
    <tableColumn id="996" xr3:uid="{A0B47AB7-EBFA-4490-8FE9-6246C7C549CF}" uniqueName="996" name="INTERCHANGE_ID" queryTableFieldId="138"/>
    <tableColumn id="997" xr3:uid="{972A3DD5-8703-42F5-B4DA-ACA4282CB46F}" uniqueName="997" name="SA_RAMP_ID" queryTableFieldId="139"/>
    <tableColumn id="998" xr3:uid="{A99DE7FB-D87B-4980-97AA-CE741BEB008B}" uniqueName="998" name="SA_SEGMENT_ID" queryTableFieldId="140"/>
    <tableColumn id="999" xr3:uid="{94BBDEFB-3526-4521-AF97-98ACCEB62CCD}" uniqueName="999" name="Jurisdiction_Type" queryTableFieldId="141"/>
    <tableColumn id="1000" xr3:uid="{1CE12AA4-3051-42C4-B167-B8C3E40F4AF6}" uniqueName="1000" name="CRASH_REPORT_LINK" queryTableFieldId="142"/>
    <tableColumn id="1001" xr3:uid="{CE457B43-F51B-4457-BA68-DCD004A5E5BC}" uniqueName="1001" name="HistoricalImagePath" queryTableFieldId="143"/>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5E46D73-96FC-4A03-B510-DA679EEE7398}" name="ParameterTable9" displayName="ParameterTable9" ref="A5:B12" totalsRowShown="0">
  <autoFilter ref="A5:B12" xr:uid="{00000000-0009-0000-0100-000003000000}"/>
  <tableColumns count="2">
    <tableColumn id="1" xr3:uid="{4F7EC513-16D6-49DB-BF33-2DAEE40CA388}" name="PARAM"/>
    <tableColumn id="2" xr3:uid="{C22F8BEB-82CB-4BE3-A859-3663318C0A43}" name="VALUE" dataDxfId="340" dataCellStyle="Normal 10">
      <calculatedColumnFormula>'Query-CAMTOOL'!B6</calculatedColumnFormula>
    </tableColumn>
  </tableColumns>
  <tableStyleInfo name="TableStyleMedium1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8CDADE5-6932-461D-9087-4A8F8E2EC08B}" name="Table11" displayName="Table11" ref="B6:D226" totalsRowShown="0" headerRowDxfId="128" dataDxfId="127">
  <autoFilter ref="B6:D226" xr:uid="{18CDADE5-6932-461D-9087-4A8F8E2EC08B}"/>
  <tableColumns count="3">
    <tableColumn id="1" xr3:uid="{CD1AE6A0-2F97-4C06-879B-65D6A5FFA76C}" name="Site Subtype" dataDxfId="126"/>
    <tableColumn id="2" xr3:uid="{147DC2D2-59C7-4BDB-BF9C-C7CDBC4147FA}" name="Type" dataDxfId="125"/>
    <tableColumn id="4" xr3:uid="{3871D564-1C65-463F-9752-290E45D6BC7D}" name="Total Crashes" dataDxfId="124"/>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FF472D6-29F0-4BC7-897E-95E4FC1DA4C5}" name="Table12" displayName="Table12" ref="G6:J886" totalsRowShown="0" headerRowDxfId="123" dataDxfId="122">
  <autoFilter ref="G6:J886" xr:uid="{2FF472D6-29F0-4BC7-897E-95E4FC1DA4C5}"/>
  <tableColumns count="4">
    <tableColumn id="1" xr3:uid="{8D7CA9FB-DA3B-480C-A505-775A7D2F78A6}" name="Site Subtype" dataDxfId="121"/>
    <tableColumn id="2" xr3:uid="{7DB9C78C-8E5D-4628-8299-86CE964FF38C}" name="Type" dataDxfId="120"/>
    <tableColumn id="3" xr3:uid="{A8EA7A94-4C33-4E04-8F92-46738166F3F6}" name="TOTAL (%)" dataDxfId="119"/>
    <tableColumn id="4" xr3:uid="{AAAC5B79-0F6F-4ECF-8D0E-0F326738D850}" name="FI (%)" dataDxfId="11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984A1A3-90D2-40BF-9C55-85CED054E53D}" name="Table13" displayName="Table13" ref="M6:P270" totalsRowShown="0" headerRowDxfId="117" dataDxfId="116">
  <autoFilter ref="M6:P270" xr:uid="{4984A1A3-90D2-40BF-9C55-85CED054E53D}"/>
  <tableColumns count="4">
    <tableColumn id="1" xr3:uid="{723E47E0-98EA-4DB2-9652-45DED628A4C6}" name="Site Subtype" dataDxfId="115"/>
    <tableColumn id="2" xr3:uid="{66FF1257-22FD-4F4A-B3F4-3EBF57966324}" name="Type" dataDxfId="114"/>
    <tableColumn id="3" xr3:uid="{26A8355A-F69A-4FBC-881C-880BF48452C3}" name="TOTAL (%)" dataDxfId="113"/>
    <tableColumn id="4" xr3:uid="{298FDADE-D651-4702-AF24-ECDFD6DE36EB}" name="FI (%)" dataDxfId="112"/>
  </tableColumns>
  <tableStyleInfo name="TableStyleMedium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28D31A8-2FBB-4258-BB2B-6E4BD463F0EE}" name="Table14" displayName="Table14" ref="S6:V358" totalsRowShown="0" headerRowDxfId="111" dataDxfId="110">
  <autoFilter ref="S6:V358" xr:uid="{B28D31A8-2FBB-4258-BB2B-6E4BD463F0EE}"/>
  <tableColumns count="4">
    <tableColumn id="1" xr3:uid="{9E5E2215-6EB3-40D1-B53B-64D35B014BB4}" name="Site Subtype" dataDxfId="109"/>
    <tableColumn id="2" xr3:uid="{58B77143-62A2-43BF-B59F-7196F9A17397}" name="Type" dataDxfId="108"/>
    <tableColumn id="3" xr3:uid="{52CFEAE7-06F6-4FBA-8EA5-BEC7B3599163}" name="TOTAL (%)" dataDxfId="107"/>
    <tableColumn id="4" xr3:uid="{D8F710B6-C08F-4B42-8982-4459ED7501F2}" name="FI (%)" dataDxfId="106"/>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2812C7E-C1CD-4E44-A850-DA8846394AA3}" name="ParameterTable" displayName="ParameterTable" ref="A5:B12" totalsRowShown="0">
  <autoFilter ref="A5:B12" xr:uid="{00000000-0009-0000-0100-000003000000}"/>
  <tableColumns count="2">
    <tableColumn id="1" xr3:uid="{657D72A7-9473-405A-B2C3-0CE335F32AEC}" name="PARAM"/>
    <tableColumn id="2" xr3:uid="{C4D2CB68-4553-4DAD-8CA7-401044DD003B}" name="VALUE"/>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69D8757-3832-46DD-A417-5BF43B239460}" name="OH1_RIQuery" displayName="OH1_RIQuery" ref="A20:AO21" tableType="queryTable" totalsRowShown="0">
  <autoFilter ref="A20:AO21" xr:uid="{D852633F-360E-4AB0-8939-1DF6F790A6DC}"/>
  <tableColumns count="41">
    <tableColumn id="1563" xr3:uid="{15524DA5-FE2A-4EB9-8FDD-D13E9B5D4E70}" uniqueName="1563" name="NLF_ID" queryTableFieldId="1"/>
    <tableColumn id="1564" xr3:uid="{34AB18D9-5211-4F71-84F8-1389A1922D56}" uniqueName="1564" name="CTL_BEGIN_NBR" queryTableFieldId="2" dataDxfId="409"/>
    <tableColumn id="1565" xr3:uid="{7D6CCBE2-A0D6-47A5-BCEC-2E0D7AA552B4}" uniqueName="1565" name="CTL_END_NBR" queryTableFieldId="3" dataDxfId="408"/>
    <tableColumn id="1566" xr3:uid="{3CA6485F-40C3-4FE4-A376-F957196FCE56}" uniqueName="1566" name="SEGMENT_LENGTH_NBR" queryTableFieldId="4" dataDxfId="407"/>
    <tableColumn id="1567" xr3:uid="{02A097F9-36FD-407B-8DDA-EBB8E41CC4FD}" uniqueName="1567" name="SURFACE_TYPE_LEFT_CD" queryTableFieldId="5" dataDxfId="406"/>
    <tableColumn id="1568" xr3:uid="{3211AAB5-37D0-4904-A0F5-1E5A2473665A}" uniqueName="1568" name="SURFACE_TYPE_RIGHT_CD" queryTableFieldId="6" dataDxfId="405"/>
    <tableColumn id="1569" xr3:uid="{10FF45D4-A042-4451-A92F-E8FFE51B9D0D}" uniqueName="1569" name="SURFACE_WIDTH" queryTableFieldId="7" dataDxfId="404"/>
    <tableColumn id="1570" xr3:uid="{E64A2927-5317-4455-8561-9B35ACB5AFBB}" uniqueName="1570" name="ROADWAY_WIDTH_NBR" queryTableFieldId="8" dataDxfId="403"/>
    <tableColumn id="1571" xr3:uid="{F0BDD525-5E13-4C7C-98F4-479187F591B7}" uniqueName="1571" name="SHOULDER_PVD_WIDTH_OUT_LT" queryTableFieldId="9" dataDxfId="402"/>
    <tableColumn id="1572" xr3:uid="{63F5D8DC-1534-4676-B3B3-D9914AB685DF}" uniqueName="1572" name="SURFACE_TYPE_LEFT_CD2" queryTableFieldId="10" dataDxfId="401"/>
    <tableColumn id="1573" xr3:uid="{FB196FCD-AFD8-4598-AD41-3A17726DBE11}" uniqueName="1573" name="SURFACE_WIDTH_LEFT" queryTableFieldId="11" dataDxfId="400"/>
    <tableColumn id="1574" xr3:uid="{0F90350A-5012-4FD4-9B0B-F830FDEC1A20}" uniqueName="1574" name="SHOULDER_PVD_WIDTH_IN_LT" queryTableFieldId="12" dataDxfId="399"/>
    <tableColumn id="1575" xr3:uid="{79C26D78-CB95-4468-A58A-897306CA3C67}" uniqueName="1575" name="DIVIDED_HWY_IND" queryTableFieldId="13" dataDxfId="398"/>
    <tableColumn id="1576" xr3:uid="{CBF57AE3-AC6A-41AE-8357-874021C75227}" uniqueName="1576" name="MEDIAN_WIDTH_NBR" queryTableFieldId="14" dataDxfId="397"/>
    <tableColumn id="1577" xr3:uid="{9472A949-CC69-4DB0-A497-6AED8A0CC13D}" uniqueName="1577" name="HPMS_MEDIAN_WIDTH_NBR" queryTableFieldId="15" dataDxfId="396"/>
    <tableColumn id="1578" xr3:uid="{92BDC031-8BCA-4D01-ABF1-5774370AC21E}" uniqueName="1578" name="MEDIAN_TYPE_CD" queryTableFieldId="16" dataDxfId="395"/>
    <tableColumn id="1579" xr3:uid="{7C74395A-512A-4064-A49F-77709B39DA6A}" uniqueName="1579" name="SHOULDER_PVD_WIDTH_OUT_RT" queryTableFieldId="17" dataDxfId="394"/>
    <tableColumn id="1580" xr3:uid="{02D6D300-B15F-45BD-9F11-72981C30D350}" uniqueName="1580" name="SURFACE_TYPE_RIGHT_CD2" queryTableFieldId="18" dataDxfId="393"/>
    <tableColumn id="1581" xr3:uid="{B8407606-C8CD-4FB6-B189-A27BEF5E1D08}" uniqueName="1581" name="SURFACE_WIDTH_RIGHT" queryTableFieldId="19" dataDxfId="392"/>
    <tableColumn id="1582" xr3:uid="{27BBA6D4-938A-4418-A61C-D0DBB94842EC}" uniqueName="1582" name="SHOULDER_PVD_WIDTH_IN_RT" queryTableFieldId="20" dataDxfId="391"/>
    <tableColumn id="1583" xr3:uid="{7720325B-5729-4FF0-B846-A7CFD6ACA00C}" uniqueName="1583" name="LANES_NBR" queryTableFieldId="21" dataDxfId="390"/>
    <tableColumn id="1584" xr3:uid="{2D40E321-64E5-4A7E-9C4C-CDB68B25B588}" uniqueName="1584" name="LANE_WIDTH_NBR" queryTableFieldId="22" dataDxfId="389"/>
    <tableColumn id="1585" xr3:uid="{E18C1CB6-7259-40C7-B85D-C3A497C7A6C5}" uniqueName="1585" name="MILEAGE_CLASS" queryTableFieldId="23" dataDxfId="388"/>
    <tableColumn id="1586" xr3:uid="{B9D076D7-0052-45C8-A78C-6C8D03F30A06}" uniqueName="1586" name="FIPS_CD" queryTableFieldId="24" dataDxfId="387"/>
    <tableColumn id="1587" xr3:uid="{13256843-E433-42D6-BB91-92FBF881358C}" uniqueName="1587" name="STREET_PREFIX_DIR_CD" queryTableFieldId="25" dataDxfId="386"/>
    <tableColumn id="1588" xr3:uid="{C4423637-7E6C-4490-A7FA-07FBABFF0787}" uniqueName="1588" name="STREET_NAME" queryTableFieldId="26" dataDxfId="385"/>
    <tableColumn id="1589" xr3:uid="{0D9527B4-662B-4366-9215-D668BECDE1C6}" uniqueName="1589" name="STREET_SUFFIX_CD" queryTableFieldId="27" dataDxfId="384"/>
    <tableColumn id="1590" xr3:uid="{9D63EE89-315D-4D2D-A468-28838B4F1859}" uniqueName="1590" name="STREET_DIR_SUFFIX_CD" queryTableFieldId="28" dataDxfId="383"/>
    <tableColumn id="1591" xr3:uid="{7A7EF69A-6900-4D94-B131-EC94486AF004}" uniqueName="1591" name="RT_NME_SPEC_SUFFIX_CD" queryTableFieldId="29" dataDxfId="382"/>
    <tableColumn id="1592" xr3:uid="{6EA5A7D3-7820-40D8-8777-EB95D4B3952F}" uniqueName="1592" name="MUNI_POPULATION" queryTableFieldId="30" dataDxfId="381"/>
    <tableColumn id="1593" xr3:uid="{7E2F2AA9-DEB1-4618-B013-5C75B2795D65}" uniqueName="1593" name="AREA_CODE_NBR" queryTableFieldId="31" dataDxfId="380"/>
    <tableColumn id="1594" xr3:uid="{44F1B533-AC4A-4D70-AFF3-F3C725BEF550}" uniqueName="1594" name="FUNCTION_CLASS_CD" queryTableFieldId="32" dataDxfId="379"/>
    <tableColumn id="1595" xr3:uid="{0C520F1D-5AC6-4041-80DC-A4C24746B7D6}" uniqueName="1595" name="PRIORITY_SYSTEM_CD" queryTableFieldId="33" dataDxfId="378"/>
    <tableColumn id="1596" xr3:uid="{CD7E819B-0C7A-47CC-9E69-8C15455BBC07}" uniqueName="1596" name="NHS_CD" queryTableFieldId="34" dataDxfId="377"/>
    <tableColumn id="1597" xr3:uid="{8D9298F6-3F59-4BB7-9176-4CA32AC06B26}" uniqueName="1597" name="NHS_INTERMODAL_FACILITY_CD" queryTableFieldId="35" dataDxfId="376"/>
    <tableColumn id="1598" xr3:uid="{F32BB6F7-6BAD-407B-B7CB-5C590D2E1AD4}" uniqueName="1598" name="FED_AID_PRIMARY_CD" queryTableFieldId="36" dataDxfId="375"/>
    <tableColumn id="1599" xr3:uid="{44204F8D-F66D-45F8-8DCC-62AA6161873F}" uniqueName="1599" name="ACCESS_CONTROL_CD" queryTableFieldId="37" dataDxfId="374"/>
    <tableColumn id="1600" xr3:uid="{32C89316-0A97-4FA4-A4A8-B37C64ACF4F9}" uniqueName="1600" name="SPEED_LIMIT_NBR" queryTableFieldId="38" dataDxfId="373"/>
    <tableColumn id="1601" xr3:uid="{E6B2CEF2-EA8D-4921-A654-A0E088AB098D}" uniqueName="1601" name="ADT_PSNGR_CAR_NBR" queryTableFieldId="39" dataDxfId="372"/>
    <tableColumn id="1602" xr3:uid="{0D2DA24A-E42A-4312-9679-A008FFCF885A}" uniqueName="1602" name="ADT_TOTAL_NBR" queryTableFieldId="40" dataDxfId="371"/>
    <tableColumn id="1603" xr3:uid="{60ABC784-D0F5-4A7C-81BB-BC33FC2C706F}" uniqueName="1603" name="ADT_YEAR_NBR" queryTableFieldId="41" dataDxfId="370"/>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8B08E76-CBE6-4EDF-A205-438A8BD7AFA2}" name="ParameterTable5" displayName="ParameterTable5" ref="A5:B12" totalsRowShown="0">
  <autoFilter ref="A5:B12" xr:uid="{00000000-0009-0000-0100-000003000000}"/>
  <tableColumns count="2">
    <tableColumn id="1" xr3:uid="{3F81A9EB-FD2D-4F20-A3D3-E7A07506B57A}" name="PARAM"/>
    <tableColumn id="2" xr3:uid="{BD394CC7-CBFD-4AE6-BB46-9D8F17C6176F}" name="VALUE">
      <calculatedColumnFormula>'Query-CAMTOOL'!B6</calculatedColumnFormula>
    </tableColumn>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A5A97D9-65B5-431B-8C70-54483939C7E7}" name="OH1_ProjectQuery" displayName="OH1_ProjectQuery" ref="A20:BN21" tableType="queryTable" totalsRowShown="0">
  <autoFilter ref="A20:BN21" xr:uid="{1869FE28-5A10-4358-8676-6EFC7159FB72}"/>
  <tableColumns count="66">
    <tableColumn id="1497" xr3:uid="{2148CA57-26D2-4D52-90DE-6AA1A983E7B1}" uniqueName="1497" name="NLF_ID" queryTableFieldId="1"/>
    <tableColumn id="1498" xr3:uid="{63D075D0-D1DD-4FDF-9484-0991B579DF9B}" uniqueName="1498" name="LOGPOINT_COUNTY_BEGIN_NBR" queryTableFieldId="2"/>
    <tableColumn id="1499" xr3:uid="{6B51286B-C587-4B6E-B0A3-B3E7B0612AFF}" uniqueName="1499" name="LOGPOINT_COUNTY_END_NBR" queryTableFieldId="3"/>
    <tableColumn id="1500" xr3:uid="{2FAFA8D0-2389-41A0-A123-29F6C212058C}" uniqueName="1500" name="LOCATION_TYPE" queryTableFieldId="4"/>
    <tableColumn id="1501" xr3:uid="{F2D99759-960B-4D8E-BC62-4AD0F88F2F9A}" uniqueName="1501" name="PRIMARY_LOCATION_IND" queryTableFieldId="5"/>
    <tableColumn id="1502" xr3:uid="{B9AF0FE1-8BA9-4C8C-A0BB-74F520ED7DAF}" uniqueName="1502" name="PID_NBR" queryTableFieldId="6"/>
    <tableColumn id="1503" xr3:uid="{BCA65929-576C-49FF-A881-C18B04DBE6C3}" uniqueName="1503" name="DISTRICT_NBR" queryTableFieldId="7"/>
    <tableColumn id="1504" xr3:uid="{B1AAC445-FC66-4EFB-A39C-1BC25AF4C2C0}" uniqueName="1504" name="LOCALE_SHORT_NME" queryTableFieldId="8"/>
    <tableColumn id="1505" xr3:uid="{2807F30B-49E7-4693-807C-940CD828E334}" uniqueName="1505" name="PROJECT_NME" queryTableFieldId="9"/>
    <tableColumn id="1506" xr3:uid="{199C077E-EACE-40E5-9945-0F30804A0B5F}" uniqueName="1506" name="PROJ_STATUS_TXT" queryTableFieldId="10"/>
    <tableColumn id="1507" xr3:uid="{626EA286-4DCD-4D34-A309-A1CCFFAC1435}" uniqueName="1507" name="PROJ_LETTING_TYPE" queryTableFieldId="11"/>
    <tableColumn id="1508" xr3:uid="{CFF20C80-5731-4839-A9A1-EA158E261981}" uniqueName="1508" name="PRIMARY_WORK_CATEGORY" queryTableFieldId="12"/>
    <tableColumn id="1509" xr3:uid="{079BDD71-3A73-4685-B1A7-B954555F916A}" uniqueName="1509" name="TRAC_TIER_SHORT_NME" queryTableFieldId="13"/>
    <tableColumn id="1510" xr3:uid="{7FE9243A-D425-42E5-A27A-E1DAD15AC0C5}" uniqueName="1510" name="PROGRAM_FAMILY_SHORT_NME" queryTableFieldId="14"/>
    <tableColumn id="1511" xr3:uid="{9A28ED1F-1F61-4C96-918D-3185EA281D89}" uniqueName="1511" name="PROJECT_MGR_NME" queryTableFieldId="15"/>
    <tableColumn id="1512" xr3:uid="{30C4EFB3-977F-40A4-B7E7-6BC444015358}" uniqueName="1512" name="ARRA_PROJECT_IND" queryTableFieldId="16"/>
    <tableColumn id="1513" xr3:uid="{AA8C2B26-8AB8-46CD-8C4F-644148650782}" uniqueName="1513" name="MPO_STIMULUS_ALLOC" queryTableFieldId="17"/>
    <tableColumn id="1514" xr3:uid="{34C63900-5098-461E-A5AF-727239E7A9BF}" uniqueName="1514" name="ODOT_STIMULUS_PROJ" queryTableFieldId="18"/>
    <tableColumn id="1515" xr3:uid="{DBB6397D-F643-423B-98C1-A16DEC4F04F2}" uniqueName="1515" name="RURAL_TRANSIT_STIMULUS_PROJ" queryTableFieldId="19"/>
    <tableColumn id="1516" xr3:uid="{705A742D-C04E-4EB7-9026-9EA8A492514A}" uniqueName="1516" name="URBAN_TRANSIT_STIMULUS_PROJ" queryTableFieldId="20"/>
    <tableColumn id="1517" xr3:uid="{38385E34-D574-4D2D-9462-2BB15CC8E631}" uniqueName="1517" name="AWARD_AMT" queryTableFieldId="21"/>
    <tableColumn id="1518" xr3:uid="{27550017-D966-4EFB-AFA7-831E0B1611D3}" uniqueName="1518" name="COMMITTED_EST_AMT" queryTableFieldId="22"/>
    <tableColumn id="1519" xr3:uid="{65FE4A1B-B0FB-40F7-8B78-D89CDFE0CB18}" uniqueName="1519" name="UNCOMMITTED_EST_AMT" queryTableFieldId="23"/>
    <tableColumn id="1520" xr3:uid="{0B3232A6-9407-4EAC-812D-C6DB8193F82F}" uniqueName="1520" name="TOTAL_EST_AMT" queryTableFieldId="24"/>
    <tableColumn id="1521" xr3:uid="{6CA85316-EDA9-4B1A-8871-B32C9F876F1F}" uniqueName="1521" name="TOTAL_AWARD_EST_AMT" queryTableFieldId="25"/>
    <tableColumn id="1522" xr3:uid="{2AF4B051-05A0-4D5C-B9F3-E2689951D91C}" uniqueName="1522" name="COMMITTED_IND" queryTableFieldId="26"/>
    <tableColumn id="1523" xr3:uid="{307BF756-D05F-4BD5-8262-EEBEDD21D25B}" uniqueName="1523" name="ACT_CUR_AWARD_DT" queryTableFieldId="27"/>
    <tableColumn id="1524" xr3:uid="{E98975D7-0619-4849-AF0F-3A3E31316F7E}" uniqueName="1524" name="PROJ_START_ACTUAL_DT" queryTableFieldId="28"/>
    <tableColumn id="1525" xr3:uid="{DC50E48C-C247-4DF4-AC61-DA6E5A3EB8B3}" uniqueName="1525" name="PROJ_START_EST_DT" queryTableFieldId="29"/>
    <tableColumn id="1526" xr3:uid="{79EC4D45-D395-489C-93D9-5BE4F976933C}" uniqueName="1526" name="PROJ_COMPL_ACTUAL_DT" queryTableFieldId="30"/>
    <tableColumn id="1527" xr3:uid="{21989A2C-0C67-43A4-BFDC-E143FA0872FA}" uniqueName="1527" name="PROJ_COMPL_EST_DT" queryTableFieldId="31"/>
    <tableColumn id="1528" xr3:uid="{A4BA481A-C1EF-47CB-8B5F-E4F150F63DCF}" uniqueName="1528" name="LATITUDE_BEGIN_NBR" queryTableFieldId="32"/>
    <tableColumn id="1529" xr3:uid="{0026D565-76A9-459E-9B32-BA2F2DE353E1}" uniqueName="1529" name="LOGPOINT_COUNTY_END_NBR2" queryTableFieldId="33"/>
    <tableColumn id="1530" xr3:uid="{F93294A1-6675-4803-A22D-A59873FA942B}" uniqueName="1530" name="LONGITUDE_END_NBR" queryTableFieldId="34"/>
    <tableColumn id="1531" xr3:uid="{8EAF44F3-0687-449B-8CEE-94FF1D325692}" uniqueName="1531" name="LATITUDE_END_NBR" queryTableFieldId="35"/>
    <tableColumn id="1532" xr3:uid="{F7D1E052-6071-4E76-9E86-A8130FCF3F5F}" uniqueName="1532" name="ACTUAL_PRIORITY_MILES" queryTableFieldId="36"/>
    <tableColumn id="1533" xr3:uid="{73186A92-209A-4D8A-A078-F47D1A4FFEAB}" uniqueName="1533" name="ACTUAL_URBAN_MILES" queryTableFieldId="37"/>
    <tableColumn id="1534" xr3:uid="{F785B5CE-0C54-4773-A8A6-0DCADBDAC249}" uniqueName="1534" name="ACTUAL_GENERAL_MILES" queryTableFieldId="38"/>
    <tableColumn id="1535" xr3:uid="{CE9472FA-C727-438F-B113-7DF6B24E7BC8}" uniqueName="1535" name="TOTAL_LANE_MILES" queryTableFieldId="39"/>
    <tableColumn id="1536" xr3:uid="{7E114563-5B05-487A-ACD9-1F6686687206}" uniqueName="1536" name="SLM_MILES" queryTableFieldId="40"/>
    <tableColumn id="1537" xr3:uid="{0F0971BE-560D-47DF-9137-6DBBFAEB1F99}" uniqueName="1537" name="IMPROVED_PCR" queryTableFieldId="41"/>
    <tableColumn id="1538" xr3:uid="{067DB3FB-66F1-4601-9D64-1143304B7A52}" uniqueName="1538" name="PVMNT_TRTMNT_CAT_LONG_NME" queryTableFieldId="42"/>
    <tableColumn id="1539" xr3:uid="{E64D9D12-6650-4672-8A14-440EC8395BEA}" uniqueName="1539" name="STRUCTURE_FILE_NBR" queryTableFieldId="43"/>
    <tableColumn id="1540" xr3:uid="{4294D07B-C4A2-43FD-9CE8-4706DB3054A3}" uniqueName="1540" name="BRG_STAT_DESC" queryTableFieldId="44"/>
    <tableColumn id="1541" xr3:uid="{6855CEDD-0DE5-4348-A060-3859B3A2A396}" uniqueName="1541" name="MAJOR_BRG_SW" queryTableFieldId="45"/>
    <tableColumn id="1542" xr3:uid="{A2934D0C-C7F6-4C71-AA16-1C765F2D94FF}" uniqueName="1542" name="MAINT_RESP_DESC" queryTableFieldId="46"/>
    <tableColumn id="1543" xr3:uid="{D002CD02-01DB-463F-8375-3DEB19926727}" uniqueName="1543" name="MAIN_STRUC_TYPE" queryTableFieldId="47"/>
    <tableColumn id="1544" xr3:uid="{C6725BD6-90DB-4CE4-BF81-F8C7AFA6AC07}" uniqueName="1544" name="MAIN_SPAN_MATL_DESC" queryTableFieldId="48"/>
    <tableColumn id="1545" xr3:uid="{6F73CB69-4740-4347-B89B-4944E7C72204}" uniqueName="1545" name="MAIN_SPAN_TYPE_DESC" queryTableFieldId="49"/>
    <tableColumn id="1546" xr3:uid="{715B1F13-961E-4762-9F13-E2DE3A28E476}" uniqueName="1546" name="MAIN_SPAN_DESC" queryTableFieldId="50"/>
    <tableColumn id="1547" xr3:uid="{3DABB08E-E04D-4C2A-A97D-3E104DF34225}" uniqueName="1547" name="DECK_AREA" queryTableFieldId="51"/>
    <tableColumn id="1548" xr3:uid="{D8D71F05-9407-481F-9C66-C0822A94DF83}" uniqueName="1548" name="OVRL_STR_LEN" queryTableFieldId="52"/>
    <tableColumn id="1549" xr3:uid="{0B2446ED-B5EA-485B-980E-E8747128C6E8}" uniqueName="1549" name="SUFF_RATING" queryTableFieldId="53"/>
    <tableColumn id="1550" xr3:uid="{2A64A1CB-8E04-4A13-BDB1-8442500357BD}" uniqueName="1550" name="DEF_FUNC_RATING_DESC" queryTableFieldId="54"/>
    <tableColumn id="1551" xr3:uid="{79967C05-57FD-4A61-BD50-647D5D0E821D}" uniqueName="1551" name="BRG_DEF_CD_IND" queryTableFieldId="55"/>
    <tableColumn id="1552" xr3:uid="{24632539-CDBD-4FC3-ACB4-DECEFC575AA9}" uniqueName="1552" name="GENERAL_APPRAISAL_IND" queryTableFieldId="56"/>
    <tableColumn id="1553" xr3:uid="{BBC302EE-84AE-447A-957C-448598C9FD31}" uniqueName="1553" name="FLOOR_CONDITION_IND" queryTableFieldId="57"/>
    <tableColumn id="1554" xr3:uid="{887981AC-E238-4A09-A5A7-34313CF76F0D}" uniqueName="1554" name="WEARING_SURFACE_IND" queryTableFieldId="58"/>
    <tableColumn id="1555" xr3:uid="{6F072080-15FF-442F-9AA6-4DD91CDC20B8}" uniqueName="1555" name="PAINT_IND" queryTableFieldId="59"/>
    <tableColumn id="1556" xr3:uid="{73FC8746-30F1-4E42-9091-BB1899B7B24F}" uniqueName="1556" name="GENERAL_APPRAISAL_RATING" queryTableFieldId="60"/>
    <tableColumn id="1557" xr3:uid="{8E9D04F2-73AC-4852-B740-E656A846F8A6}" uniqueName="1557" name="FLOOR_CONDITION_RATING" queryTableFieldId="61"/>
    <tableColumn id="1558" xr3:uid="{8BC1CB07-6DDD-4AEB-BDCE-CAF24E0246E6}" uniqueName="1558" name="WEARING_SURFACE_RATING" queryTableFieldId="62"/>
    <tableColumn id="1559" xr3:uid="{D41C0878-5281-4144-B5A7-0DE119B2A45C}" uniqueName="1559" name="PAINT_CONDITION_RATING" queryTableFieldId="63"/>
    <tableColumn id="1560" xr3:uid="{FEA6670C-821E-4FA7-96C2-7B9A67C1AAA7}" uniqueName="1560" name="SPOT_LOCATION_TYPE" queryTableFieldId="64"/>
    <tableColumn id="1561" xr3:uid="{C1DF43E8-B303-46E4-86A9-65B02E622B9B}" uniqueName="1561" name="SPOT_LOCATION_DESC" queryTableFieldId="65"/>
    <tableColumn id="1562" xr3:uid="{8A662522-20A8-444A-A657-AD5AD2ED77BA}" uniqueName="1562" name="AWARD_ENC_REQ_SFY" queryTableFieldId="66"/>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CFD4D29-C229-476A-84C2-FF30AB5B2841}" name="ParameterTable11" displayName="ParameterTable11" ref="A5:B12" totalsRowShown="0">
  <autoFilter ref="A5:B12" xr:uid="{00000000-0009-0000-0100-000003000000}"/>
  <tableColumns count="2">
    <tableColumn id="1" xr3:uid="{C86F8D50-98CB-4284-B06C-A2B4849E02B8}" name="PARAM"/>
    <tableColumn id="2" xr3:uid="{7FE12A9B-7DB0-4199-8577-8E401A33303E}" name="VALUE" dataDxfId="369" dataCellStyle="Normal 10">
      <calculatedColumnFormula>'Query-CAMTOOL'!B6</calculatedColumnFormula>
    </tableColumn>
  </tableColumns>
  <tableStyleInfo name="TableStyleMedium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62FD10-BDD9-438E-8038-DE64A1A3CADF}" name="OH1_CongestionQuery" displayName="OH1_CongestionQuery" ref="A20:H21" tableType="queryTable" totalsRowShown="0">
  <autoFilter ref="A20:H21" xr:uid="{379EA6E0-9A7A-404D-85A8-466C770D624A}"/>
  <tableColumns count="8">
    <tableColumn id="1670" xr3:uid="{4A02AFB0-F215-4ACA-BE53-E90BA117ABC7}" uniqueName="1670" name="NLF_ID" queryTableFieldId="1"/>
    <tableColumn id="1671" xr3:uid="{81C92251-5C86-4D17-ACD7-03D5E23617BC}" uniqueName="1671" name="CTL_BEGIN_NBR" queryTableFieldId="2"/>
    <tableColumn id="1672" xr3:uid="{D72F9CC3-FA4B-4528-BB3A-51943387C104}" uniqueName="1672" name="CTL_END_NBR" queryTableFieldId="3"/>
    <tableColumn id="1673" xr3:uid="{51E8BBD3-839C-4335-BF01-0D6715EE0171}" uniqueName="1673" name="TOTAL_VOLUME_NBR" queryTableFieldId="4"/>
    <tableColumn id="1674" xr3:uid="{8639A440-53A9-4A1A-90A6-B3FEE30F51B7}" uniqueName="1674" name="TRUCK_VOLUME_NBR" queryTableFieldId="5"/>
    <tableColumn id="1675" xr3:uid="{23B97C1D-CC95-4B95-83B6-6369AA39708D}" uniqueName="1675" name="VOLUME_CAPACITY_RATIO_NBR" queryTableFieldId="6"/>
    <tableColumn id="1676" xr3:uid="{37CE502D-B9BA-4948-BAA2-7A3EAC092902}" uniqueName="1676" name="FUNCTIONAL_CLASS_CD" queryTableFieldId="7"/>
    <tableColumn id="1677" xr3:uid="{9005B5B9-C7A5-422D-B96A-56C005E00BBE}" uniqueName="1677" name="SECTION_LENGTH_NBR" queryTableFieldId="8"/>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002F6E7-715F-459A-974E-24786350110B}" name="ParameterTable7" displayName="ParameterTable7" ref="A5:B12" totalsRowShown="0">
  <autoFilter ref="A5:B12" xr:uid="{00000000-0009-0000-0100-000003000000}"/>
  <tableColumns count="2">
    <tableColumn id="1" xr3:uid="{E7B2B34C-DD49-4719-BA73-99B2A0955112}" name="PARAM"/>
    <tableColumn id="2" xr3:uid="{E4F9748D-31C2-499A-BA8A-65C2DF37B165}" name="VALUE" dataDxfId="368" dataCellStyle="Normal 10">
      <calculatedColumnFormula>'Query-CAMTOOL'!B6</calculatedColumnFormula>
    </tableColumn>
  </tableColumns>
  <tableStyleInfo name="TableStyleMedium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3830F8C-C4B6-495F-9C29-51E086B34839}" name="OH1_PMSQuery" displayName="OH1_PMSQuery" ref="A20:AB21" tableType="queryTable" totalsRowShown="0">
  <autoFilter ref="A20:AB21" xr:uid="{F71CF406-C370-423D-9D2A-7B008C2D57E1}"/>
  <tableColumns count="28">
    <tableColumn id="1698" xr3:uid="{0DCC5C69-E48A-4F68-B36B-227C526DABF6}" uniqueName="1698" name="NLF_ID" queryTableFieldId="1"/>
    <tableColumn id="1699" xr3:uid="{8ED657EA-058D-492B-A9E6-75374E75D45C}" uniqueName="1699" name="LOGPOINT_COUNTY_BEGIN_NBR" queryTableFieldId="2" dataDxfId="367"/>
    <tableColumn id="1700" xr3:uid="{84D6B6CD-E743-4DB2-85E2-E0F9CCB3C8BD}" uniqueName="1700" name="LOGPOINT_COUNTY_END_NBR" queryTableFieldId="3" dataDxfId="366"/>
    <tableColumn id="1701" xr3:uid="{45EF8C27-FD29-4EF6-B479-C40DBD0AEE07}" uniqueName="1701" name="SEGMENT_LENGTH_NBR" queryTableFieldId="4" dataDxfId="365"/>
    <tableColumn id="1702" xr3:uid="{FF8C6FD9-685F-4863-A3F9-B70A6DBD541D}" uniqueName="1702" name="PCR_NBR" queryTableFieldId="5" dataDxfId="364"/>
    <tableColumn id="1703" xr3:uid="{DE84809E-A0CC-4A6B-8D26-E9DD2DCF5913}" uniqueName="1703" name="DEDUCT_TOTAL_NBR" queryTableFieldId="6" dataDxfId="363"/>
    <tableColumn id="1704" xr3:uid="{7B431B95-9A3C-43D1-ABD8-F4F2E0FEEC92}" uniqueName="1704" name="DEDUCT_STRUCTURAL_NBR" queryTableFieldId="7" dataDxfId="362"/>
    <tableColumn id="1705" xr3:uid="{C5CE8541-7BBE-4182-81F0-9EE6837B8682}" uniqueName="1705" name="DIVIDED_UNDIVIDED_IND" queryTableFieldId="8" dataDxfId="361"/>
    <tableColumn id="1706" xr3:uid="{42A01B53-4FF5-47EE-8212-C0022DB5FA15}" uniqueName="1706" name="DIRECTION_TXT" queryTableFieldId="9" dataDxfId="360"/>
    <tableColumn id="1707" xr3:uid="{C2E37C02-237D-4040-A1EE-7427BA638BD2}" uniqueName="1707" name="PAVEMENT_TYPE_CD" queryTableFieldId="10" dataDxfId="359"/>
    <tableColumn id="1708" xr3:uid="{CE0E5B9A-2B83-42C9-863A-A945ECAFDD24}" uniqueName="1708" name="PAVEMENT_TYPE_TXT" queryTableFieldId="11" dataDxfId="358"/>
    <tableColumn id="1709" xr3:uid="{04C522D9-48AE-42F6-BB5A-F709D483510F}" uniqueName="1709" name="CODE_1" queryTableFieldId="12" dataDxfId="357"/>
    <tableColumn id="1710" xr3:uid="{9ECBACFD-2F5A-464C-9020-C7A6937C4177}" uniqueName="1710" name="CODE_2" queryTableFieldId="13" dataDxfId="356"/>
    <tableColumn id="1711" xr3:uid="{18257C29-F703-481C-89D1-D2C7F90C9F05}" uniqueName="1711" name="CODE_3" queryTableFieldId="14" dataDxfId="355"/>
    <tableColumn id="1712" xr3:uid="{6EAF0AAC-808A-4C69-9C93-BD5464A4CDEA}" uniqueName="1712" name="CODE_4" queryTableFieldId="15" dataDxfId="354"/>
    <tableColumn id="1713" xr3:uid="{9C34566D-0B49-4664-8D05-70208C9B1601}" uniqueName="1713" name="CODE_5" queryTableFieldId="16" dataDxfId="353"/>
    <tableColumn id="1714" xr3:uid="{11908E3B-E842-487C-B6E8-6077A109465C}" uniqueName="1714" name="CODE_6" queryTableFieldId="17" dataDxfId="352"/>
    <tableColumn id="1715" xr3:uid="{48863DA8-E12F-4B16-8D98-4867FCC30FFF}" uniqueName="1715" name="CODE_7" queryTableFieldId="18" dataDxfId="351"/>
    <tableColumn id="1716" xr3:uid="{CDEBDD1C-FAAA-47E6-98A1-E1179E37BB49}" uniqueName="1716" name="CODE_8" queryTableFieldId="19" dataDxfId="350"/>
    <tableColumn id="1717" xr3:uid="{56E31AC8-0525-48FE-8946-3797CBC495D9}" uniqueName="1717" name="CODE_9" queryTableFieldId="20" dataDxfId="349"/>
    <tableColumn id="1718" xr3:uid="{904903EE-0FE0-42EC-850C-A3A60114EAF9}" uniqueName="1718" name="CODE_10" queryTableFieldId="21" dataDxfId="348"/>
    <tableColumn id="1719" xr3:uid="{8D9664C2-82CE-45DC-AE73-CC48B409F577}" uniqueName="1719" name="CODE_11" queryTableFieldId="22" dataDxfId="347"/>
    <tableColumn id="1720" xr3:uid="{14735CC4-8EB4-41F9-BC0B-23E633EE42AF}" uniqueName="1720" name="CODE_12" queryTableFieldId="23" dataDxfId="346"/>
    <tableColumn id="1721" xr3:uid="{818B57EB-3D49-4C2D-9D99-C50AF4A4FB6F}" uniqueName="1721" name="CODE_13" queryTableFieldId="24" dataDxfId="345"/>
    <tableColumn id="1722" xr3:uid="{E72BDDC0-CC2D-47E7-B467-B2552BD59100}" uniqueName="1722" name="CODE_14" queryTableFieldId="25" dataDxfId="344"/>
    <tableColumn id="1723" xr3:uid="{3DD7CAA9-5DB1-44CA-9FF9-11C8029D4A96}" uniqueName="1723" name="CODE_15" queryTableFieldId="26" dataDxfId="343"/>
    <tableColumn id="1724" xr3:uid="{14AB0FED-0C5D-4356-9F2B-3A6CA50EE911}" uniqueName="1724" name="CODE_16" queryTableFieldId="27" dataDxfId="342"/>
    <tableColumn id="1725" xr3:uid="{40307BDA-7686-4A9A-8A2C-1071C71FAFE2}" uniqueName="1725" name="CODE_17" queryTableFieldId="28" dataDxfId="341"/>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ot.state.oh.us/Divisions/Planning/ProgramManagement/HighwaySafety/HSIP/GCAT/" TargetMode="External"/><Relationship Id="rId6" Type="http://schemas.openxmlformats.org/officeDocument/2006/relationships/comments" Target="../comments1.xml"/><Relationship Id="rId5" Type="http://schemas.openxmlformats.org/officeDocument/2006/relationships/queryTable" Target="../queryTables/queryTable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9" Type="http://schemas.openxmlformats.org/officeDocument/2006/relationships/printerSettings" Target="../printerSettings/printerSettings6.bin"/><Relationship Id="rId21" Type="http://schemas.openxmlformats.org/officeDocument/2006/relationships/pivotTable" Target="../pivotTables/pivotTable21.xml"/><Relationship Id="rId34" Type="http://schemas.openxmlformats.org/officeDocument/2006/relationships/pivotTable" Target="../pivotTables/pivotTable34.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pivotTable" Target="../pivotTables/pivotTable37.xml"/><Relationship Id="rId40" Type="http://schemas.openxmlformats.org/officeDocument/2006/relationships/drawing" Target="../drawings/drawing5.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 Id="rId8" Type="http://schemas.openxmlformats.org/officeDocument/2006/relationships/pivotTable" Target="../pivotTables/pivotTable8.xml"/><Relationship Id="rId3"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8" Type="http://schemas.openxmlformats.org/officeDocument/2006/relationships/pivotTable" Target="../pivotTables/pivotTable46.xml"/><Relationship Id="rId13" Type="http://schemas.openxmlformats.org/officeDocument/2006/relationships/pivotTable" Target="../pivotTables/pivotTable51.xml"/><Relationship Id="rId3" Type="http://schemas.openxmlformats.org/officeDocument/2006/relationships/pivotTable" Target="../pivotTables/pivotTable41.xml"/><Relationship Id="rId7" Type="http://schemas.openxmlformats.org/officeDocument/2006/relationships/pivotTable" Target="../pivotTables/pivotTable45.xml"/><Relationship Id="rId12" Type="http://schemas.openxmlformats.org/officeDocument/2006/relationships/pivotTable" Target="../pivotTables/pivotTable50.xml"/><Relationship Id="rId2" Type="http://schemas.openxmlformats.org/officeDocument/2006/relationships/pivotTable" Target="../pivotTables/pivotTable40.xml"/><Relationship Id="rId1" Type="http://schemas.openxmlformats.org/officeDocument/2006/relationships/pivotTable" Target="../pivotTables/pivotTable39.xml"/><Relationship Id="rId6" Type="http://schemas.openxmlformats.org/officeDocument/2006/relationships/pivotTable" Target="../pivotTables/pivotTable44.xml"/><Relationship Id="rId11" Type="http://schemas.openxmlformats.org/officeDocument/2006/relationships/pivotTable" Target="../pivotTables/pivotTable49.xml"/><Relationship Id="rId5" Type="http://schemas.openxmlformats.org/officeDocument/2006/relationships/pivotTable" Target="../pivotTables/pivotTable43.xml"/><Relationship Id="rId15" Type="http://schemas.openxmlformats.org/officeDocument/2006/relationships/drawing" Target="../drawings/drawing6.xml"/><Relationship Id="rId10" Type="http://schemas.openxmlformats.org/officeDocument/2006/relationships/pivotTable" Target="../pivotTables/pivotTable48.xml"/><Relationship Id="rId4" Type="http://schemas.openxmlformats.org/officeDocument/2006/relationships/pivotTable" Target="../pivotTables/pivotTable42.xml"/><Relationship Id="rId9" Type="http://schemas.openxmlformats.org/officeDocument/2006/relationships/pivotTable" Target="../pivotTables/pivotTable47.xml"/><Relationship Id="rId14"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59.xml"/><Relationship Id="rId13" Type="http://schemas.openxmlformats.org/officeDocument/2006/relationships/pivotTable" Target="../pivotTables/pivotTable64.xml"/><Relationship Id="rId3" Type="http://schemas.openxmlformats.org/officeDocument/2006/relationships/pivotTable" Target="../pivotTables/pivotTable54.xml"/><Relationship Id="rId7" Type="http://schemas.openxmlformats.org/officeDocument/2006/relationships/pivotTable" Target="../pivotTables/pivotTable58.xml"/><Relationship Id="rId12" Type="http://schemas.openxmlformats.org/officeDocument/2006/relationships/pivotTable" Target="../pivotTables/pivotTable63.xml"/><Relationship Id="rId2" Type="http://schemas.openxmlformats.org/officeDocument/2006/relationships/pivotTable" Target="../pivotTables/pivotTable53.xml"/><Relationship Id="rId16" Type="http://schemas.openxmlformats.org/officeDocument/2006/relationships/printerSettings" Target="../printerSettings/printerSettings8.bin"/><Relationship Id="rId1" Type="http://schemas.openxmlformats.org/officeDocument/2006/relationships/pivotTable" Target="../pivotTables/pivotTable52.xml"/><Relationship Id="rId6" Type="http://schemas.openxmlformats.org/officeDocument/2006/relationships/pivotTable" Target="../pivotTables/pivotTable57.xml"/><Relationship Id="rId11" Type="http://schemas.openxmlformats.org/officeDocument/2006/relationships/pivotTable" Target="../pivotTables/pivotTable62.xml"/><Relationship Id="rId5" Type="http://schemas.openxmlformats.org/officeDocument/2006/relationships/pivotTable" Target="../pivotTables/pivotTable56.xml"/><Relationship Id="rId15" Type="http://schemas.openxmlformats.org/officeDocument/2006/relationships/pivotTable" Target="../pivotTables/pivotTable66.xml"/><Relationship Id="rId10" Type="http://schemas.openxmlformats.org/officeDocument/2006/relationships/pivotTable" Target="../pivotTables/pivotTable61.xml"/><Relationship Id="rId4" Type="http://schemas.openxmlformats.org/officeDocument/2006/relationships/pivotTable" Target="../pivotTables/pivotTable55.xml"/><Relationship Id="rId9" Type="http://schemas.openxmlformats.org/officeDocument/2006/relationships/pivotTable" Target="../pivotTables/pivotTable60.xml"/><Relationship Id="rId14" Type="http://schemas.openxmlformats.org/officeDocument/2006/relationships/pivotTable" Target="../pivotTables/pivotTable6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table" Target="../tables/table11.xml"/><Relationship Id="rId4" Type="http://schemas.openxmlformats.org/officeDocument/2006/relationships/table" Target="../tables/table1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4.bin"/><Relationship Id="rId5" Type="http://schemas.openxmlformats.org/officeDocument/2006/relationships/comments" Target="../comments4.xml"/><Relationship Id="rId4" Type="http://schemas.openxmlformats.org/officeDocument/2006/relationships/queryTable" Target="../queryTables/queryTable8.xml"/></Relationships>
</file>

<file path=xl/worksheets/_rels/sheet23.xml.rels><?xml version="1.0" encoding="UTF-8" standalone="yes"?>
<Relationships xmlns="http://schemas.openxmlformats.org/package/2006/relationships"><Relationship Id="rId26" Type="http://schemas.openxmlformats.org/officeDocument/2006/relationships/pivotTable" Target="../pivotTables/pivotTable92.xml"/><Relationship Id="rId21" Type="http://schemas.openxmlformats.org/officeDocument/2006/relationships/pivotTable" Target="../pivotTables/pivotTable87.xml"/><Relationship Id="rId42" Type="http://schemas.openxmlformats.org/officeDocument/2006/relationships/pivotTable" Target="../pivotTables/pivotTable108.xml"/><Relationship Id="rId47" Type="http://schemas.openxmlformats.org/officeDocument/2006/relationships/pivotTable" Target="../pivotTables/pivotTable113.xml"/><Relationship Id="rId63" Type="http://schemas.openxmlformats.org/officeDocument/2006/relationships/pivotTable" Target="../pivotTables/pivotTable129.xml"/><Relationship Id="rId68" Type="http://schemas.openxmlformats.org/officeDocument/2006/relationships/pivotTable" Target="../pivotTables/pivotTable134.xml"/><Relationship Id="rId7" Type="http://schemas.openxmlformats.org/officeDocument/2006/relationships/pivotTable" Target="../pivotTables/pivotTable73.xml"/><Relationship Id="rId71" Type="http://schemas.openxmlformats.org/officeDocument/2006/relationships/printerSettings" Target="../printerSettings/printerSettings15.bin"/><Relationship Id="rId2" Type="http://schemas.openxmlformats.org/officeDocument/2006/relationships/pivotTable" Target="../pivotTables/pivotTable68.xml"/><Relationship Id="rId16" Type="http://schemas.openxmlformats.org/officeDocument/2006/relationships/pivotTable" Target="../pivotTables/pivotTable82.xml"/><Relationship Id="rId29" Type="http://schemas.openxmlformats.org/officeDocument/2006/relationships/pivotTable" Target="../pivotTables/pivotTable95.xml"/><Relationship Id="rId11" Type="http://schemas.openxmlformats.org/officeDocument/2006/relationships/pivotTable" Target="../pivotTables/pivotTable77.xml"/><Relationship Id="rId24" Type="http://schemas.openxmlformats.org/officeDocument/2006/relationships/pivotTable" Target="../pivotTables/pivotTable90.xml"/><Relationship Id="rId32" Type="http://schemas.openxmlformats.org/officeDocument/2006/relationships/pivotTable" Target="../pivotTables/pivotTable98.xml"/><Relationship Id="rId37" Type="http://schemas.openxmlformats.org/officeDocument/2006/relationships/pivotTable" Target="../pivotTables/pivotTable103.xml"/><Relationship Id="rId40" Type="http://schemas.openxmlformats.org/officeDocument/2006/relationships/pivotTable" Target="../pivotTables/pivotTable106.xml"/><Relationship Id="rId45" Type="http://schemas.openxmlformats.org/officeDocument/2006/relationships/pivotTable" Target="../pivotTables/pivotTable111.xml"/><Relationship Id="rId53" Type="http://schemas.openxmlformats.org/officeDocument/2006/relationships/pivotTable" Target="../pivotTables/pivotTable119.xml"/><Relationship Id="rId58" Type="http://schemas.openxmlformats.org/officeDocument/2006/relationships/pivotTable" Target="../pivotTables/pivotTable124.xml"/><Relationship Id="rId66" Type="http://schemas.openxmlformats.org/officeDocument/2006/relationships/pivotTable" Target="../pivotTables/pivotTable132.xml"/><Relationship Id="rId5" Type="http://schemas.openxmlformats.org/officeDocument/2006/relationships/pivotTable" Target="../pivotTables/pivotTable71.xml"/><Relationship Id="rId61" Type="http://schemas.openxmlformats.org/officeDocument/2006/relationships/pivotTable" Target="../pivotTables/pivotTable127.xml"/><Relationship Id="rId19" Type="http://schemas.openxmlformats.org/officeDocument/2006/relationships/pivotTable" Target="../pivotTables/pivotTable85.xml"/><Relationship Id="rId14" Type="http://schemas.openxmlformats.org/officeDocument/2006/relationships/pivotTable" Target="../pivotTables/pivotTable80.xml"/><Relationship Id="rId22" Type="http://schemas.openxmlformats.org/officeDocument/2006/relationships/pivotTable" Target="../pivotTables/pivotTable88.xml"/><Relationship Id="rId27" Type="http://schemas.openxmlformats.org/officeDocument/2006/relationships/pivotTable" Target="../pivotTables/pivotTable93.xml"/><Relationship Id="rId30" Type="http://schemas.openxmlformats.org/officeDocument/2006/relationships/pivotTable" Target="../pivotTables/pivotTable96.xml"/><Relationship Id="rId35" Type="http://schemas.openxmlformats.org/officeDocument/2006/relationships/pivotTable" Target="../pivotTables/pivotTable101.xml"/><Relationship Id="rId43" Type="http://schemas.openxmlformats.org/officeDocument/2006/relationships/pivotTable" Target="../pivotTables/pivotTable109.xml"/><Relationship Id="rId48" Type="http://schemas.openxmlformats.org/officeDocument/2006/relationships/pivotTable" Target="../pivotTables/pivotTable114.xml"/><Relationship Id="rId56" Type="http://schemas.openxmlformats.org/officeDocument/2006/relationships/pivotTable" Target="../pivotTables/pivotTable122.xml"/><Relationship Id="rId64" Type="http://schemas.openxmlformats.org/officeDocument/2006/relationships/pivotTable" Target="../pivotTables/pivotTable130.xml"/><Relationship Id="rId69" Type="http://schemas.openxmlformats.org/officeDocument/2006/relationships/pivotTable" Target="../pivotTables/pivotTable135.xml"/><Relationship Id="rId8" Type="http://schemas.openxmlformats.org/officeDocument/2006/relationships/pivotTable" Target="../pivotTables/pivotTable74.xml"/><Relationship Id="rId51" Type="http://schemas.openxmlformats.org/officeDocument/2006/relationships/pivotTable" Target="../pivotTables/pivotTable117.xml"/><Relationship Id="rId72" Type="http://schemas.openxmlformats.org/officeDocument/2006/relationships/drawing" Target="../drawings/drawing11.xml"/><Relationship Id="rId3" Type="http://schemas.openxmlformats.org/officeDocument/2006/relationships/pivotTable" Target="../pivotTables/pivotTable69.xml"/><Relationship Id="rId12" Type="http://schemas.openxmlformats.org/officeDocument/2006/relationships/pivotTable" Target="../pivotTables/pivotTable78.xml"/><Relationship Id="rId17" Type="http://schemas.openxmlformats.org/officeDocument/2006/relationships/pivotTable" Target="../pivotTables/pivotTable83.xml"/><Relationship Id="rId25" Type="http://schemas.openxmlformats.org/officeDocument/2006/relationships/pivotTable" Target="../pivotTables/pivotTable91.xml"/><Relationship Id="rId33" Type="http://schemas.openxmlformats.org/officeDocument/2006/relationships/pivotTable" Target="../pivotTables/pivotTable99.xml"/><Relationship Id="rId38" Type="http://schemas.openxmlformats.org/officeDocument/2006/relationships/pivotTable" Target="../pivotTables/pivotTable104.xml"/><Relationship Id="rId46" Type="http://schemas.openxmlformats.org/officeDocument/2006/relationships/pivotTable" Target="../pivotTables/pivotTable112.xml"/><Relationship Id="rId59" Type="http://schemas.openxmlformats.org/officeDocument/2006/relationships/pivotTable" Target="../pivotTables/pivotTable125.xml"/><Relationship Id="rId67" Type="http://schemas.openxmlformats.org/officeDocument/2006/relationships/pivotTable" Target="../pivotTables/pivotTable133.xml"/><Relationship Id="rId20" Type="http://schemas.openxmlformats.org/officeDocument/2006/relationships/pivotTable" Target="../pivotTables/pivotTable86.xml"/><Relationship Id="rId41" Type="http://schemas.openxmlformats.org/officeDocument/2006/relationships/pivotTable" Target="../pivotTables/pivotTable107.xml"/><Relationship Id="rId54" Type="http://schemas.openxmlformats.org/officeDocument/2006/relationships/pivotTable" Target="../pivotTables/pivotTable120.xml"/><Relationship Id="rId62" Type="http://schemas.openxmlformats.org/officeDocument/2006/relationships/pivotTable" Target="../pivotTables/pivotTable128.xml"/><Relationship Id="rId70" Type="http://schemas.openxmlformats.org/officeDocument/2006/relationships/pivotTable" Target="../pivotTables/pivotTable136.xml"/><Relationship Id="rId1" Type="http://schemas.openxmlformats.org/officeDocument/2006/relationships/pivotTable" Target="../pivotTables/pivotTable67.xml"/><Relationship Id="rId6" Type="http://schemas.openxmlformats.org/officeDocument/2006/relationships/pivotTable" Target="../pivotTables/pivotTable72.xml"/><Relationship Id="rId15" Type="http://schemas.openxmlformats.org/officeDocument/2006/relationships/pivotTable" Target="../pivotTables/pivotTable81.xml"/><Relationship Id="rId23" Type="http://schemas.openxmlformats.org/officeDocument/2006/relationships/pivotTable" Target="../pivotTables/pivotTable89.xml"/><Relationship Id="rId28" Type="http://schemas.openxmlformats.org/officeDocument/2006/relationships/pivotTable" Target="../pivotTables/pivotTable94.xml"/><Relationship Id="rId36" Type="http://schemas.openxmlformats.org/officeDocument/2006/relationships/pivotTable" Target="../pivotTables/pivotTable102.xml"/><Relationship Id="rId49" Type="http://schemas.openxmlformats.org/officeDocument/2006/relationships/pivotTable" Target="../pivotTables/pivotTable115.xml"/><Relationship Id="rId57" Type="http://schemas.openxmlformats.org/officeDocument/2006/relationships/pivotTable" Target="../pivotTables/pivotTable123.xml"/><Relationship Id="rId10" Type="http://schemas.openxmlformats.org/officeDocument/2006/relationships/pivotTable" Target="../pivotTables/pivotTable76.xml"/><Relationship Id="rId31" Type="http://schemas.openxmlformats.org/officeDocument/2006/relationships/pivotTable" Target="../pivotTables/pivotTable97.xml"/><Relationship Id="rId44" Type="http://schemas.openxmlformats.org/officeDocument/2006/relationships/pivotTable" Target="../pivotTables/pivotTable110.xml"/><Relationship Id="rId52" Type="http://schemas.openxmlformats.org/officeDocument/2006/relationships/pivotTable" Target="../pivotTables/pivotTable118.xml"/><Relationship Id="rId60" Type="http://schemas.openxmlformats.org/officeDocument/2006/relationships/pivotTable" Target="../pivotTables/pivotTable126.xml"/><Relationship Id="rId65" Type="http://schemas.openxmlformats.org/officeDocument/2006/relationships/pivotTable" Target="../pivotTables/pivotTable131.xml"/><Relationship Id="rId4" Type="http://schemas.openxmlformats.org/officeDocument/2006/relationships/pivotTable" Target="../pivotTables/pivotTable70.xml"/><Relationship Id="rId9" Type="http://schemas.openxmlformats.org/officeDocument/2006/relationships/pivotTable" Target="../pivotTables/pivotTable75.xml"/><Relationship Id="rId13" Type="http://schemas.openxmlformats.org/officeDocument/2006/relationships/pivotTable" Target="../pivotTables/pivotTable79.xml"/><Relationship Id="rId18" Type="http://schemas.openxmlformats.org/officeDocument/2006/relationships/pivotTable" Target="../pivotTables/pivotTable84.xml"/><Relationship Id="rId39" Type="http://schemas.openxmlformats.org/officeDocument/2006/relationships/pivotTable" Target="../pivotTables/pivotTable105.xml"/><Relationship Id="rId34" Type="http://schemas.openxmlformats.org/officeDocument/2006/relationships/pivotTable" Target="../pivotTables/pivotTable100.xml"/><Relationship Id="rId50" Type="http://schemas.openxmlformats.org/officeDocument/2006/relationships/pivotTable" Target="../pivotTables/pivotTable116.xml"/><Relationship Id="rId55" Type="http://schemas.openxmlformats.org/officeDocument/2006/relationships/pivotTable" Target="../pivotTables/pivotTable1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8" Type="http://schemas.openxmlformats.org/officeDocument/2006/relationships/pivotTable" Target="../pivotTables/pivotTable144.xml"/><Relationship Id="rId13" Type="http://schemas.openxmlformats.org/officeDocument/2006/relationships/printerSettings" Target="../printerSettings/printerSettings17.bin"/><Relationship Id="rId3" Type="http://schemas.openxmlformats.org/officeDocument/2006/relationships/pivotTable" Target="../pivotTables/pivotTable139.xml"/><Relationship Id="rId7" Type="http://schemas.openxmlformats.org/officeDocument/2006/relationships/pivotTable" Target="../pivotTables/pivotTable143.xml"/><Relationship Id="rId12" Type="http://schemas.openxmlformats.org/officeDocument/2006/relationships/pivotTable" Target="../pivotTables/pivotTable148.xml"/><Relationship Id="rId2" Type="http://schemas.openxmlformats.org/officeDocument/2006/relationships/pivotTable" Target="../pivotTables/pivotTable138.xml"/><Relationship Id="rId1" Type="http://schemas.openxmlformats.org/officeDocument/2006/relationships/pivotTable" Target="../pivotTables/pivotTable137.xml"/><Relationship Id="rId6" Type="http://schemas.openxmlformats.org/officeDocument/2006/relationships/pivotTable" Target="../pivotTables/pivotTable142.xml"/><Relationship Id="rId11" Type="http://schemas.openxmlformats.org/officeDocument/2006/relationships/pivotTable" Target="../pivotTables/pivotTable147.xml"/><Relationship Id="rId5" Type="http://schemas.openxmlformats.org/officeDocument/2006/relationships/pivotTable" Target="../pivotTables/pivotTable141.xml"/><Relationship Id="rId10" Type="http://schemas.openxmlformats.org/officeDocument/2006/relationships/pivotTable" Target="../pivotTables/pivotTable146.xml"/><Relationship Id="rId4" Type="http://schemas.openxmlformats.org/officeDocument/2006/relationships/pivotTable" Target="../pivotTables/pivotTable140.xml"/><Relationship Id="rId9" Type="http://schemas.openxmlformats.org/officeDocument/2006/relationships/pivotTable" Target="../pivotTables/pivotTable145.xml"/><Relationship Id="rId14" Type="http://schemas.openxmlformats.org/officeDocument/2006/relationships/drawing" Target="../drawings/drawing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7.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C00000"/>
  </sheetPr>
  <dimension ref="A1:HA518"/>
  <sheetViews>
    <sheetView zoomScaleNormal="100" workbookViewId="0">
      <selection activeCell="F7" sqref="F7"/>
    </sheetView>
  </sheetViews>
  <sheetFormatPr baseColWidth="10" defaultColWidth="9.1640625" defaultRowHeight="14" x14ac:dyDescent="0.2"/>
  <cols>
    <col min="1" max="1" width="13.33203125" style="124" customWidth="1"/>
    <col min="2" max="2" width="15.5" style="124" customWidth="1"/>
    <col min="3" max="3" width="10.33203125" style="124" customWidth="1"/>
    <col min="4" max="4" width="17.6640625" style="126" customWidth="1"/>
    <col min="5" max="5" width="21.5" style="126" customWidth="1"/>
    <col min="6" max="6" width="17.6640625" style="125" bestFit="1" customWidth="1"/>
    <col min="7" max="7" width="11.83203125" style="127" bestFit="1" customWidth="1"/>
    <col min="8" max="8" width="9.83203125" style="127" bestFit="1" customWidth="1"/>
    <col min="9" max="9" width="12.6640625" style="127" bestFit="1" customWidth="1"/>
    <col min="10" max="10" width="10.6640625" style="127" bestFit="1" customWidth="1"/>
    <col min="11" max="11" width="11.6640625" style="124" bestFit="1" customWidth="1"/>
    <col min="12" max="12" width="14.6640625" style="127" customWidth="1"/>
    <col min="13" max="13" width="9" style="127" customWidth="1"/>
    <col min="14" max="14" width="21.5" style="124" bestFit="1" customWidth="1"/>
    <col min="15" max="15" width="19.1640625" style="124" customWidth="1"/>
    <col min="16" max="20" width="9.33203125" style="127" customWidth="1"/>
    <col min="21" max="23" width="1" style="127" customWidth="1"/>
    <col min="24" max="24" width="12.5" style="128" bestFit="1" customWidth="1"/>
    <col min="25" max="25" width="11.5" style="129" bestFit="1" customWidth="1"/>
    <col min="26" max="27" width="12.83203125" style="129" bestFit="1" customWidth="1"/>
    <col min="28" max="28" width="12.5" style="130" bestFit="1" customWidth="1"/>
    <col min="29" max="31" width="0.6640625" style="127" customWidth="1"/>
    <col min="32" max="35" width="4.5" style="124" customWidth="1"/>
    <col min="36" max="36" width="5.33203125" style="124" customWidth="1"/>
    <col min="37" max="39" width="5" style="124" customWidth="1"/>
    <col min="40" max="40" width="4.1640625" style="124" customWidth="1"/>
    <col min="41" max="41" width="4" style="124" customWidth="1"/>
    <col min="42" max="50" width="4" style="124" bestFit="1" customWidth="1"/>
    <col min="51" max="51" width="4.5" style="124" bestFit="1" customWidth="1"/>
    <col min="52" max="57" width="4" style="124" bestFit="1" customWidth="1"/>
    <col min="58" max="58" width="4.1640625" style="124" customWidth="1"/>
    <col min="59" max="75" width="4" style="124" bestFit="1" customWidth="1"/>
    <col min="76" max="76" width="4" style="124" customWidth="1"/>
    <col min="77" max="77" width="4" style="124" bestFit="1" customWidth="1"/>
    <col min="78" max="78" width="5.5" style="124" customWidth="1"/>
    <col min="79" max="81" width="4" style="124" bestFit="1" customWidth="1"/>
    <col min="82" max="84" width="4" style="124" customWidth="1"/>
    <col min="85" max="85" width="4" style="124" bestFit="1" customWidth="1"/>
    <col min="86" max="86" width="5" style="124" customWidth="1"/>
    <col min="87" max="88" width="4.1640625" style="124" bestFit="1" customWidth="1"/>
    <col min="89" max="89" width="4.1640625" style="124" customWidth="1"/>
    <col min="90" max="90" width="4.1640625" style="124" bestFit="1" customWidth="1"/>
    <col min="91" max="91" width="4.6640625" style="124" customWidth="1"/>
    <col min="92" max="94" width="4" style="124" bestFit="1" customWidth="1"/>
    <col min="95" max="95" width="4" style="124" customWidth="1"/>
    <col min="96" max="96" width="4" style="124" bestFit="1" customWidth="1"/>
    <col min="97" max="97" width="4.33203125" style="124" customWidth="1"/>
    <col min="98" max="102" width="4" style="124" bestFit="1" customWidth="1"/>
    <col min="103" max="109" width="4" style="124" customWidth="1"/>
    <col min="110" max="110" width="4" style="124" bestFit="1" customWidth="1"/>
    <col min="111" max="121" width="4" style="124" customWidth="1"/>
    <col min="122" max="122" width="4.1640625" style="124" customWidth="1"/>
    <col min="123" max="130" width="4.1640625" style="124" bestFit="1" customWidth="1"/>
    <col min="131" max="131" width="4.33203125" style="124" bestFit="1" customWidth="1"/>
    <col min="132" max="134" width="0.83203125" style="124" customWidth="1"/>
    <col min="135" max="135" width="7.5" style="125" customWidth="1"/>
    <col min="136" max="136" width="9.33203125" style="131" bestFit="1" customWidth="1"/>
    <col min="137" max="137" width="12.83203125" style="126" bestFit="1" customWidth="1"/>
    <col min="138" max="138" width="12.1640625" style="124" bestFit="1" customWidth="1"/>
    <col min="139" max="139" width="9.33203125" style="126" bestFit="1" customWidth="1"/>
    <col min="140" max="141" width="12" style="124" customWidth="1"/>
    <col min="142" max="142" width="10.5" style="130" bestFit="1" customWidth="1"/>
    <col min="143" max="143" width="7.33203125" style="124" bestFit="1" customWidth="1"/>
    <col min="144" max="144" width="14.5" style="131" bestFit="1" customWidth="1"/>
    <col min="145" max="145" width="8" style="124" bestFit="1" customWidth="1"/>
    <col min="146" max="146" width="8" style="131" bestFit="1" customWidth="1"/>
    <col min="147" max="190" width="9.5" style="127" customWidth="1"/>
    <col min="191" max="191" width="8.6640625" style="127" bestFit="1" customWidth="1"/>
    <col min="192" max="192" width="22.5" style="127" customWidth="1"/>
    <col min="193" max="193" width="39.5" style="126" customWidth="1"/>
    <col min="194" max="194" width="19.33203125" style="126" customWidth="1"/>
    <col min="195" max="195" width="9.5" style="126" customWidth="1"/>
    <col min="196" max="196" width="9.83203125" style="126" customWidth="1"/>
    <col min="197" max="197" width="10.5" style="126" customWidth="1"/>
    <col min="198" max="198" width="10" style="126" customWidth="1"/>
    <col min="199" max="200" width="9.33203125" style="132" bestFit="1" customWidth="1"/>
    <col min="201" max="201" width="10" style="126" customWidth="1"/>
    <col min="202" max="202" width="9.33203125" style="126" bestFit="1" customWidth="1"/>
    <col min="203" max="203" width="11.6640625" style="124" bestFit="1" customWidth="1"/>
    <col min="204" max="204" width="9.83203125" style="124" bestFit="1" customWidth="1"/>
    <col min="205" max="205" width="10.83203125" style="124" bestFit="1" customWidth="1"/>
    <col min="206" max="206" width="9.5" style="124" bestFit="1" customWidth="1"/>
    <col min="207" max="16384" width="9.1640625" style="126"/>
  </cols>
  <sheetData>
    <row r="1" spans="1:209" x14ac:dyDescent="0.2">
      <c r="C1" s="125"/>
      <c r="F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GN1" s="127"/>
      <c r="GO1" s="127"/>
      <c r="GP1" s="127"/>
      <c r="GQ1" s="127"/>
      <c r="GR1" s="127"/>
      <c r="GS1" s="127"/>
      <c r="GT1" s="127"/>
    </row>
    <row r="2" spans="1:209" x14ac:dyDescent="0.2">
      <c r="C2" s="125"/>
      <c r="F2" s="127"/>
      <c r="P2" s="126"/>
      <c r="Q2" s="126"/>
      <c r="R2" s="126"/>
      <c r="S2" s="126"/>
      <c r="T2" s="126"/>
      <c r="U2" s="126"/>
      <c r="V2" s="126"/>
      <c r="W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Q2" s="126"/>
      <c r="GR2" s="126"/>
    </row>
    <row r="3" spans="1:209" x14ac:dyDescent="0.2">
      <c r="C3" s="125"/>
      <c r="F3" s="127"/>
      <c r="P3" s="126"/>
      <c r="Q3" s="126"/>
      <c r="R3" s="126"/>
      <c r="S3" s="126"/>
      <c r="T3" s="126"/>
      <c r="U3" s="126"/>
      <c r="V3" s="126"/>
      <c r="W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Q3" s="126"/>
      <c r="GR3" s="126"/>
    </row>
    <row r="4" spans="1:209" x14ac:dyDescent="0.2">
      <c r="C4" s="125"/>
      <c r="F4" s="127"/>
      <c r="P4" s="126"/>
      <c r="Q4" s="126"/>
      <c r="R4" s="126"/>
      <c r="S4" s="126"/>
      <c r="T4" s="126"/>
      <c r="U4" s="126"/>
      <c r="V4" s="126"/>
      <c r="W4" s="126"/>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2"/>
      <c r="CI4" s="132"/>
      <c r="CJ4" s="132"/>
      <c r="CK4" s="132"/>
      <c r="CL4" s="132"/>
      <c r="CM4" s="132"/>
      <c r="CN4" s="132"/>
      <c r="CO4" s="132"/>
      <c r="CP4" s="132"/>
      <c r="CQ4" s="132"/>
      <c r="CR4" s="132"/>
      <c r="CS4" s="132"/>
      <c r="CT4" s="132"/>
      <c r="CU4" s="132"/>
      <c r="CV4" s="132"/>
      <c r="CW4" s="132"/>
      <c r="CX4" s="132"/>
      <c r="CY4" s="132"/>
      <c r="CZ4" s="132"/>
      <c r="DA4" s="132"/>
      <c r="DB4" s="132"/>
      <c r="DC4" s="132"/>
      <c r="DD4" s="132"/>
      <c r="DE4" s="132"/>
      <c r="DF4" s="132"/>
      <c r="DG4" s="132"/>
      <c r="DH4" s="132"/>
      <c r="DI4" s="132"/>
      <c r="DJ4" s="132"/>
      <c r="DK4" s="132"/>
      <c r="DL4" s="132"/>
      <c r="DM4" s="132"/>
      <c r="DN4" s="132"/>
      <c r="DO4" s="132"/>
      <c r="DP4" s="132"/>
      <c r="DQ4" s="132"/>
      <c r="DR4" s="132"/>
      <c r="DS4" s="132"/>
      <c r="DT4" s="132"/>
      <c r="DU4" s="132"/>
      <c r="DV4" s="132"/>
      <c r="DW4" s="132"/>
      <c r="DX4" s="132"/>
      <c r="DY4" s="132"/>
      <c r="DZ4" s="132"/>
      <c r="EA4" s="132"/>
      <c r="EB4" s="132"/>
      <c r="EC4" s="132"/>
      <c r="ED4" s="132"/>
      <c r="EQ4" s="132"/>
      <c r="ER4" s="132"/>
      <c r="ES4" s="132"/>
      <c r="ET4" s="132"/>
      <c r="EU4" s="132"/>
      <c r="EV4" s="132"/>
      <c r="EW4" s="132"/>
      <c r="EX4" s="132"/>
      <c r="EY4" s="132"/>
      <c r="EZ4" s="132"/>
      <c r="FA4" s="132"/>
      <c r="FB4" s="132"/>
      <c r="FC4" s="132"/>
      <c r="FD4" s="132"/>
      <c r="FE4" s="132"/>
      <c r="FF4" s="132"/>
      <c r="FG4" s="132"/>
      <c r="FH4" s="132"/>
      <c r="FI4" s="132"/>
      <c r="FJ4" s="132"/>
      <c r="FK4" s="132"/>
      <c r="FL4" s="132"/>
      <c r="FM4" s="132"/>
      <c r="FN4" s="132"/>
      <c r="FO4" s="132"/>
      <c r="FP4" s="132"/>
      <c r="FQ4" s="132"/>
      <c r="FR4" s="132"/>
      <c r="FS4" s="132"/>
      <c r="FT4" s="132"/>
      <c r="FU4" s="132"/>
      <c r="FV4" s="132"/>
      <c r="FW4" s="132"/>
      <c r="FX4" s="132"/>
      <c r="FY4" s="132"/>
      <c r="FZ4" s="132"/>
      <c r="GA4" s="132"/>
      <c r="GB4" s="132"/>
      <c r="GC4" s="132"/>
      <c r="GD4" s="132"/>
      <c r="GE4" s="132"/>
      <c r="GF4" s="132"/>
      <c r="GG4" s="132"/>
      <c r="GH4" s="132"/>
      <c r="GI4" s="126"/>
      <c r="GJ4" s="132"/>
      <c r="GL4" s="495" t="s">
        <v>254</v>
      </c>
      <c r="GM4" s="495" t="s">
        <v>556</v>
      </c>
      <c r="GN4" s="495" t="s">
        <v>557</v>
      </c>
      <c r="GO4" s="496"/>
      <c r="GP4" s="496"/>
      <c r="GQ4" s="496"/>
      <c r="GR4" s="496"/>
      <c r="GS4" s="496"/>
      <c r="GT4" s="496"/>
      <c r="GU4" s="497"/>
      <c r="GV4" s="497"/>
      <c r="GW4" s="497"/>
      <c r="GX4" s="497"/>
    </row>
    <row r="5" spans="1:209" x14ac:dyDescent="0.2">
      <c r="C5" s="125"/>
      <c r="F5" s="127"/>
      <c r="P5" s="126"/>
      <c r="Q5" s="126"/>
      <c r="R5" s="126"/>
      <c r="S5" s="126"/>
      <c r="T5" s="126"/>
      <c r="U5" s="126"/>
      <c r="V5" s="126"/>
      <c r="W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L5" s="196"/>
      <c r="GM5" s="190"/>
      <c r="GN5" s="190">
        <v>-0.01</v>
      </c>
      <c r="GO5" s="498"/>
      <c r="GP5" s="498"/>
      <c r="GQ5" s="498"/>
      <c r="GR5" s="498"/>
      <c r="GS5" s="498"/>
      <c r="GT5" s="498"/>
      <c r="GU5" s="497"/>
      <c r="GV5" s="497"/>
      <c r="GW5" s="497"/>
      <c r="GX5" s="497"/>
    </row>
    <row r="6" spans="1:209" ht="15" thickBot="1" x14ac:dyDescent="0.25">
      <c r="C6" s="125"/>
      <c r="F6" s="127"/>
      <c r="P6" s="126"/>
      <c r="Q6" s="126"/>
      <c r="R6" s="126"/>
      <c r="S6" s="126"/>
      <c r="T6" s="126"/>
      <c r="U6" s="126"/>
      <c r="V6" s="126"/>
      <c r="W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L6" s="498"/>
      <c r="GM6" s="498"/>
      <c r="GN6" s="498"/>
      <c r="GO6" s="498"/>
      <c r="GP6" s="498"/>
      <c r="GQ6" s="498"/>
      <c r="GR6" s="498"/>
      <c r="GS6" s="498"/>
      <c r="GT6" s="498"/>
      <c r="GU6" s="497"/>
      <c r="GV6" s="497"/>
      <c r="GW6" s="497"/>
      <c r="GX6" s="497"/>
    </row>
    <row r="7" spans="1:209" ht="15" thickBot="1" x14ac:dyDescent="0.25">
      <c r="C7" s="125"/>
      <c r="E7" s="135" t="s">
        <v>558</v>
      </c>
      <c r="F7" s="136" t="s">
        <v>6619</v>
      </c>
      <c r="K7" s="126"/>
      <c r="P7" s="126"/>
      <c r="Q7" s="126"/>
      <c r="R7" s="126"/>
      <c r="S7" s="126"/>
      <c r="T7" s="126"/>
      <c r="U7" s="126"/>
      <c r="V7" s="126"/>
      <c r="W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F7" s="126"/>
      <c r="EH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L7" s="498"/>
      <c r="GM7" s="498"/>
      <c r="GN7" s="498"/>
      <c r="GO7" s="498"/>
      <c r="GP7" s="498"/>
      <c r="GQ7" s="498"/>
      <c r="GR7" s="498"/>
      <c r="GS7" s="498"/>
      <c r="GT7" s="498"/>
      <c r="GU7" s="498"/>
      <c r="GV7" s="498"/>
      <c r="GW7" s="498"/>
      <c r="GX7" s="498"/>
    </row>
    <row r="8" spans="1:209" ht="15" thickBot="1" x14ac:dyDescent="0.25">
      <c r="C8" s="125"/>
      <c r="D8" s="124"/>
      <c r="E8" s="135" t="s">
        <v>559</v>
      </c>
      <c r="F8" s="506" t="s">
        <v>6618</v>
      </c>
      <c r="G8" s="137"/>
      <c r="P8" s="124"/>
      <c r="Q8" s="124"/>
      <c r="R8" s="124"/>
      <c r="S8" s="124"/>
      <c r="T8" s="124"/>
      <c r="U8" s="124"/>
      <c r="V8" s="124"/>
      <c r="W8" s="124"/>
      <c r="AC8" s="124"/>
      <c r="AD8" s="124"/>
      <c r="AE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L8" s="497"/>
      <c r="GM8" s="497"/>
      <c r="GN8" s="497"/>
      <c r="GO8" s="497"/>
      <c r="GP8" s="497"/>
      <c r="GQ8" s="497"/>
      <c r="GR8" s="497"/>
      <c r="GS8" s="497"/>
      <c r="GT8" s="497"/>
      <c r="GU8" s="497"/>
      <c r="GV8" s="497"/>
      <c r="GW8" s="497"/>
      <c r="GX8" s="497"/>
    </row>
    <row r="9" spans="1:209" ht="15" thickBot="1" x14ac:dyDescent="0.25">
      <c r="C9" s="125"/>
      <c r="E9" s="135" t="s">
        <v>560</v>
      </c>
      <c r="F9" s="138" t="s">
        <v>314</v>
      </c>
      <c r="G9" s="126"/>
      <c r="P9" s="126"/>
      <c r="Q9" s="126"/>
      <c r="R9" s="126"/>
      <c r="S9" s="124"/>
      <c r="T9" s="124"/>
      <c r="U9" s="124"/>
      <c r="V9" s="124"/>
      <c r="W9" s="124"/>
      <c r="AC9" s="126"/>
      <c r="AD9" s="130"/>
      <c r="AE9" s="131"/>
      <c r="EB9" s="126"/>
      <c r="EC9" s="126"/>
      <c r="ED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L9" s="498"/>
      <c r="GM9" s="498"/>
      <c r="GN9" s="498"/>
      <c r="GO9" s="498"/>
      <c r="GP9" s="498"/>
      <c r="GQ9" s="498"/>
      <c r="GR9" s="498"/>
      <c r="GS9" s="498"/>
      <c r="GT9" s="498"/>
      <c r="GU9" s="497"/>
      <c r="GV9" s="497"/>
      <c r="GW9" s="497"/>
      <c r="GX9" s="497"/>
    </row>
    <row r="10" spans="1:209" ht="15" thickBot="1" x14ac:dyDescent="0.25">
      <c r="C10" s="125"/>
      <c r="E10" s="135" t="s">
        <v>561</v>
      </c>
      <c r="F10" s="494"/>
      <c r="G10" s="126"/>
      <c r="P10" s="126"/>
      <c r="Q10" s="126"/>
      <c r="R10" s="126"/>
      <c r="S10" s="124"/>
      <c r="T10" s="124"/>
      <c r="U10" s="124"/>
      <c r="V10" s="124"/>
      <c r="W10" s="124"/>
      <c r="AC10" s="126"/>
      <c r="AD10" s="130"/>
      <c r="AE10" s="131"/>
      <c r="AF10" s="126"/>
      <c r="AG10" s="126"/>
      <c r="AH10" s="126"/>
      <c r="AI10" s="126"/>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32"/>
      <c r="EC10" s="132"/>
      <c r="ED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26"/>
      <c r="GJ10" s="132"/>
      <c r="GL10" s="495" t="s">
        <v>254</v>
      </c>
      <c r="GM10" s="495" t="s">
        <v>562</v>
      </c>
      <c r="GN10" s="495" t="s">
        <v>563</v>
      </c>
      <c r="GO10" s="499" t="s">
        <v>564</v>
      </c>
      <c r="GP10" s="499" t="s">
        <v>565</v>
      </c>
      <c r="GQ10" s="499" t="s">
        <v>566</v>
      </c>
      <c r="GR10" s="499" t="s">
        <v>567</v>
      </c>
      <c r="GS10" s="499" t="s">
        <v>568</v>
      </c>
      <c r="GT10" s="499" t="s">
        <v>569</v>
      </c>
      <c r="GU10" s="500"/>
      <c r="GV10" s="500"/>
      <c r="GW10" s="500"/>
      <c r="GX10" s="497"/>
    </row>
    <row r="11" spans="1:209" ht="15" thickBot="1" x14ac:dyDescent="0.25">
      <c r="C11" s="125"/>
      <c r="E11" s="135" t="s">
        <v>570</v>
      </c>
      <c r="F11" s="494"/>
      <c r="P11" s="126"/>
      <c r="Q11" s="126"/>
      <c r="R11" s="126"/>
      <c r="S11" s="126"/>
      <c r="T11" s="126"/>
      <c r="U11" s="126"/>
      <c r="V11" s="126"/>
      <c r="W11" s="126"/>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c r="DT11" s="139"/>
      <c r="DU11" s="139"/>
      <c r="DV11" s="139"/>
      <c r="DW11" s="139"/>
      <c r="DX11" s="139"/>
      <c r="DY11" s="139"/>
      <c r="DZ11" s="139"/>
      <c r="EA11" s="139"/>
      <c r="EB11" s="139"/>
      <c r="EC11" s="139"/>
      <c r="ED11" s="139"/>
      <c r="EQ11" s="139"/>
      <c r="ER11" s="139"/>
      <c r="ES11" s="139"/>
      <c r="ET11" s="139"/>
      <c r="EU11" s="139"/>
      <c r="EV11" s="139"/>
      <c r="EW11" s="139"/>
      <c r="EX11" s="139"/>
      <c r="EY11" s="139"/>
      <c r="EZ11" s="139"/>
      <c r="FA11" s="139"/>
      <c r="FB11" s="139"/>
      <c r="FC11" s="139"/>
      <c r="FD11" s="139"/>
      <c r="FE11" s="139"/>
      <c r="FF11" s="139"/>
      <c r="FG11" s="139"/>
      <c r="FH11" s="139"/>
      <c r="FI11" s="139"/>
      <c r="FJ11" s="139"/>
      <c r="FK11" s="139"/>
      <c r="FL11" s="139"/>
      <c r="FM11" s="139"/>
      <c r="FN11" s="139"/>
      <c r="FO11" s="139"/>
      <c r="FP11" s="139"/>
      <c r="FQ11" s="139"/>
      <c r="FR11" s="139"/>
      <c r="FS11" s="139"/>
      <c r="FT11" s="139"/>
      <c r="FU11" s="139"/>
      <c r="FV11" s="139"/>
      <c r="FW11" s="139"/>
      <c r="FX11" s="139"/>
      <c r="FY11" s="139"/>
      <c r="FZ11" s="139"/>
      <c r="GA11" s="139"/>
      <c r="GB11" s="139"/>
      <c r="GC11" s="139"/>
      <c r="GD11" s="139"/>
      <c r="GE11" s="139"/>
      <c r="GF11" s="139"/>
      <c r="GG11" s="139"/>
      <c r="GH11" s="139"/>
      <c r="GI11" s="126"/>
      <c r="GJ11" s="139"/>
      <c r="GK11" s="140"/>
      <c r="GL11" s="501"/>
      <c r="GM11" s="502"/>
      <c r="GN11" s="502"/>
      <c r="GO11" s="502"/>
      <c r="GP11" s="502"/>
      <c r="GQ11" s="502"/>
      <c r="GR11" s="502"/>
      <c r="GS11" s="502"/>
      <c r="GT11" s="502"/>
      <c r="GU11" s="497"/>
      <c r="GV11" s="497"/>
      <c r="GW11" s="497"/>
      <c r="GX11" s="497"/>
    </row>
    <row r="12" spans="1:209" s="146" customFormat="1" ht="15" thickBot="1" x14ac:dyDescent="0.25">
      <c r="A12" s="142">
        <v>1</v>
      </c>
      <c r="B12" s="142"/>
      <c r="C12" s="142"/>
      <c r="D12" s="142"/>
      <c r="E12" s="135"/>
      <c r="F12" s="494"/>
      <c r="G12" s="142"/>
      <c r="H12" s="142">
        <v>8</v>
      </c>
      <c r="I12" s="142">
        <v>9</v>
      </c>
      <c r="J12" s="142">
        <v>10</v>
      </c>
      <c r="K12" s="142">
        <v>11</v>
      </c>
      <c r="L12" s="142">
        <v>12</v>
      </c>
      <c r="M12" s="142">
        <v>13</v>
      </c>
      <c r="N12" s="142">
        <v>14</v>
      </c>
      <c r="O12" s="142">
        <v>15</v>
      </c>
      <c r="P12" s="142">
        <v>16</v>
      </c>
      <c r="Q12" s="142">
        <v>17</v>
      </c>
      <c r="R12" s="142">
        <v>18</v>
      </c>
      <c r="S12" s="142">
        <v>19</v>
      </c>
      <c r="T12" s="142">
        <v>20</v>
      </c>
      <c r="U12" s="142">
        <v>21</v>
      </c>
      <c r="V12" s="142">
        <v>22</v>
      </c>
      <c r="W12" s="142">
        <v>23</v>
      </c>
      <c r="X12" s="143">
        <v>24</v>
      </c>
      <c r="Y12" s="144">
        <v>25</v>
      </c>
      <c r="Z12" s="144">
        <v>26</v>
      </c>
      <c r="AA12" s="144">
        <v>27</v>
      </c>
      <c r="AB12" s="145">
        <v>28</v>
      </c>
      <c r="AC12" s="142">
        <v>29</v>
      </c>
      <c r="AD12" s="142">
        <v>30</v>
      </c>
      <c r="AE12" s="142">
        <v>31</v>
      </c>
      <c r="AF12" s="142">
        <v>32</v>
      </c>
      <c r="AG12" s="142"/>
      <c r="AH12" s="142"/>
      <c r="AI12" s="142">
        <v>33</v>
      </c>
      <c r="AJ12" s="142">
        <v>34</v>
      </c>
      <c r="AK12" s="142">
        <v>35</v>
      </c>
      <c r="AL12" s="142"/>
      <c r="AM12" s="142"/>
      <c r="AN12" s="142">
        <v>36</v>
      </c>
      <c r="AO12" s="142">
        <v>37</v>
      </c>
      <c r="AP12" s="142">
        <v>38</v>
      </c>
      <c r="AQ12" s="142">
        <v>39</v>
      </c>
      <c r="AR12" s="142">
        <v>40</v>
      </c>
      <c r="AS12" s="142">
        <v>41</v>
      </c>
      <c r="AT12" s="142">
        <v>42</v>
      </c>
      <c r="AU12" s="142">
        <v>43</v>
      </c>
      <c r="AV12" s="142">
        <v>44</v>
      </c>
      <c r="AW12" s="142">
        <v>45</v>
      </c>
      <c r="AX12" s="142">
        <v>46</v>
      </c>
      <c r="AY12" s="142">
        <v>47</v>
      </c>
      <c r="AZ12" s="142">
        <v>48</v>
      </c>
      <c r="BA12" s="142">
        <v>49</v>
      </c>
      <c r="BB12" s="142">
        <v>50</v>
      </c>
      <c r="BC12" s="142">
        <v>51</v>
      </c>
      <c r="BD12" s="142">
        <v>52</v>
      </c>
      <c r="BE12" s="142">
        <v>53</v>
      </c>
      <c r="BF12" s="142">
        <v>54</v>
      </c>
      <c r="BG12" s="142">
        <v>55</v>
      </c>
      <c r="BH12" s="142">
        <v>56</v>
      </c>
      <c r="BI12" s="142">
        <v>57</v>
      </c>
      <c r="BJ12" s="142">
        <v>58</v>
      </c>
      <c r="BK12" s="142">
        <v>59</v>
      </c>
      <c r="BL12" s="142">
        <v>60</v>
      </c>
      <c r="BM12" s="142">
        <v>61</v>
      </c>
      <c r="BN12" s="142">
        <v>62</v>
      </c>
      <c r="BO12" s="142">
        <v>63</v>
      </c>
      <c r="BP12" s="142">
        <v>64</v>
      </c>
      <c r="BQ12" s="142">
        <v>65</v>
      </c>
      <c r="BR12" s="142">
        <v>66</v>
      </c>
      <c r="BS12" s="142">
        <v>67</v>
      </c>
      <c r="BT12" s="142">
        <v>68</v>
      </c>
      <c r="BU12" s="142">
        <v>69</v>
      </c>
      <c r="BV12" s="142">
        <v>70</v>
      </c>
      <c r="BW12" s="142">
        <v>71</v>
      </c>
      <c r="BX12" s="142"/>
      <c r="BY12" s="142">
        <v>72</v>
      </c>
      <c r="BZ12" s="142">
        <v>73</v>
      </c>
      <c r="CA12" s="142">
        <v>74</v>
      </c>
      <c r="CB12" s="142">
        <v>75</v>
      </c>
      <c r="CC12" s="142">
        <v>76</v>
      </c>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2"/>
      <c r="DK12" s="142"/>
      <c r="DL12" s="142"/>
      <c r="DM12" s="142"/>
      <c r="DN12" s="142"/>
      <c r="DO12" s="142"/>
      <c r="DP12" s="142"/>
      <c r="DQ12" s="142"/>
      <c r="DR12" s="142"/>
      <c r="DS12" s="142"/>
      <c r="DT12" s="142"/>
      <c r="DU12" s="142"/>
      <c r="DV12" s="142"/>
      <c r="DW12" s="142"/>
      <c r="DX12" s="142"/>
      <c r="DY12" s="142"/>
      <c r="DZ12" s="142"/>
      <c r="EA12" s="142"/>
      <c r="EB12" s="142">
        <v>140</v>
      </c>
      <c r="EC12" s="142">
        <v>141</v>
      </c>
      <c r="ED12" s="142"/>
      <c r="EE12" s="142">
        <v>147</v>
      </c>
      <c r="EF12" s="142">
        <v>148</v>
      </c>
      <c r="EG12" s="142">
        <v>149</v>
      </c>
      <c r="EH12" s="142">
        <v>150</v>
      </c>
      <c r="EI12" s="142">
        <v>151</v>
      </c>
      <c r="EJ12" s="142">
        <v>152</v>
      </c>
      <c r="EK12" s="142">
        <v>153</v>
      </c>
      <c r="EL12" s="142">
        <v>154</v>
      </c>
      <c r="EM12" s="142">
        <v>155</v>
      </c>
      <c r="EN12" s="142">
        <v>156</v>
      </c>
      <c r="EO12" s="142">
        <v>157</v>
      </c>
      <c r="EP12" s="142">
        <v>158</v>
      </c>
      <c r="EQ12" s="142">
        <v>159</v>
      </c>
      <c r="ER12" s="142">
        <v>160</v>
      </c>
      <c r="ES12" s="142">
        <v>161</v>
      </c>
      <c r="ET12" s="142">
        <v>162</v>
      </c>
      <c r="EU12" s="142">
        <v>163</v>
      </c>
      <c r="EV12" s="142">
        <v>164</v>
      </c>
      <c r="EW12" s="142">
        <v>165</v>
      </c>
      <c r="EX12" s="142">
        <v>166</v>
      </c>
      <c r="EY12" s="142">
        <v>167</v>
      </c>
      <c r="EZ12" s="142">
        <v>168</v>
      </c>
      <c r="FA12" s="142">
        <v>169</v>
      </c>
      <c r="FB12" s="142">
        <v>170</v>
      </c>
      <c r="FC12" s="142">
        <v>171</v>
      </c>
      <c r="FD12" s="142">
        <v>172</v>
      </c>
      <c r="FE12" s="142">
        <v>173</v>
      </c>
      <c r="FF12" s="142">
        <v>174</v>
      </c>
      <c r="FG12" s="142">
        <v>175</v>
      </c>
      <c r="FH12" s="142">
        <v>176</v>
      </c>
      <c r="FI12" s="142">
        <v>177</v>
      </c>
      <c r="FJ12" s="142">
        <v>178</v>
      </c>
      <c r="FK12" s="142">
        <v>179</v>
      </c>
      <c r="FL12" s="142">
        <v>180</v>
      </c>
      <c r="FM12" s="142">
        <v>181</v>
      </c>
      <c r="FN12" s="142">
        <v>182</v>
      </c>
      <c r="FO12" s="142">
        <v>183</v>
      </c>
      <c r="FP12" s="142">
        <v>184</v>
      </c>
      <c r="FQ12" s="142">
        <v>185</v>
      </c>
      <c r="FR12" s="142">
        <v>186</v>
      </c>
      <c r="FS12" s="142">
        <v>187</v>
      </c>
      <c r="FT12" s="142">
        <v>188</v>
      </c>
      <c r="FU12" s="142">
        <v>189</v>
      </c>
      <c r="FV12" s="142">
        <v>190</v>
      </c>
      <c r="FW12" s="142"/>
      <c r="FX12" s="142"/>
      <c r="FY12" s="142"/>
      <c r="FZ12" s="142"/>
      <c r="GA12" s="142"/>
      <c r="GB12" s="142"/>
      <c r="GC12" s="142"/>
      <c r="GD12" s="142"/>
      <c r="GE12" s="142"/>
      <c r="GF12" s="142"/>
      <c r="GG12" s="142"/>
      <c r="GH12" s="142"/>
      <c r="GI12" s="142">
        <v>191</v>
      </c>
      <c r="GJ12" s="142">
        <v>192</v>
      </c>
      <c r="GK12" s="142">
        <v>193</v>
      </c>
      <c r="GL12" s="497">
        <v>194</v>
      </c>
      <c r="GM12" s="497">
        <v>195</v>
      </c>
      <c r="GN12" s="497">
        <v>196</v>
      </c>
      <c r="GO12" s="497">
        <v>197</v>
      </c>
      <c r="GP12" s="497">
        <v>198</v>
      </c>
      <c r="GQ12" s="497">
        <v>199</v>
      </c>
      <c r="GR12" s="497">
        <v>200</v>
      </c>
      <c r="GS12" s="497">
        <v>201</v>
      </c>
      <c r="GT12" s="497">
        <v>202</v>
      </c>
      <c r="GU12" s="497">
        <v>203</v>
      </c>
      <c r="GV12" s="497">
        <v>204</v>
      </c>
      <c r="GW12" s="497">
        <v>205</v>
      </c>
      <c r="GX12" s="497">
        <v>206</v>
      </c>
    </row>
    <row r="13" spans="1:209" ht="15" thickBot="1" x14ac:dyDescent="0.25">
      <c r="C13" s="125"/>
      <c r="D13" s="124"/>
      <c r="E13" s="135" t="s">
        <v>571</v>
      </c>
      <c r="F13" s="494"/>
      <c r="G13" s="132"/>
      <c r="H13" s="132"/>
      <c r="I13" s="132"/>
      <c r="J13" s="132"/>
      <c r="L13" s="126"/>
      <c r="M13" s="126"/>
      <c r="P13" s="124"/>
      <c r="Q13" s="124"/>
      <c r="R13" s="124"/>
      <c r="S13" s="124"/>
      <c r="T13" s="124"/>
      <c r="U13" s="124"/>
      <c r="V13" s="124"/>
      <c r="W13" s="124"/>
      <c r="AC13" s="124"/>
      <c r="AD13" s="124"/>
      <c r="AE13" s="124"/>
      <c r="AK13" s="492">
        <f>SUM(AJ16:AK16)*AK14/$AN$14</f>
        <v>134.48597754945337</v>
      </c>
      <c r="AL13" s="492">
        <f>AL16*AL14/$AN$14</f>
        <v>97.360195985227975</v>
      </c>
      <c r="AM13" s="492">
        <f t="shared" ref="AM13:AN13" si="0">AM16*AM14/$AN$14</f>
        <v>63.783538703426082</v>
      </c>
      <c r="AN13" s="492">
        <f t="shared" si="0"/>
        <v>215</v>
      </c>
      <c r="EE13" s="124"/>
      <c r="EF13" s="124"/>
      <c r="EG13" s="124"/>
      <c r="EI13" s="124"/>
      <c r="EL13" s="124"/>
      <c r="EN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497"/>
      <c r="GM13" s="497"/>
      <c r="GN13" s="497"/>
      <c r="GO13" s="497"/>
      <c r="GP13" s="497"/>
      <c r="GQ13" s="497"/>
      <c r="GR13" s="497"/>
      <c r="GS13" s="497"/>
      <c r="GT13" s="497"/>
      <c r="GU13" s="497"/>
      <c r="GV13" s="497"/>
      <c r="GW13" s="497"/>
      <c r="GX13" s="497"/>
      <c r="GY13" s="124"/>
      <c r="GZ13" s="124"/>
      <c r="HA13" s="124"/>
    </row>
    <row r="14" spans="1:209" ht="15" thickBot="1" x14ac:dyDescent="0.25">
      <c r="C14" s="125"/>
      <c r="D14" s="124"/>
      <c r="E14" s="135" t="s">
        <v>572</v>
      </c>
      <c r="F14" s="494"/>
      <c r="G14" s="132"/>
      <c r="H14" s="132"/>
      <c r="I14" s="132"/>
      <c r="J14" s="132"/>
      <c r="L14" s="126"/>
      <c r="M14" s="126"/>
      <c r="P14" s="140" t="str">
        <f>IF(GO14 = "","",GO14)</f>
        <v/>
      </c>
      <c r="Q14" s="140" t="str">
        <f>IF(GP14 = "","",GP14)</f>
        <v/>
      </c>
      <c r="R14" s="152" t="str">
        <f>IF(GQ14 = "","",GQ14)</f>
        <v/>
      </c>
      <c r="S14" s="124" t="str">
        <f>IF(GR14 = "","",GR14)</f>
        <v/>
      </c>
      <c r="T14" s="124" t="str">
        <f>IF(GS14 = "","",GS14)</f>
        <v/>
      </c>
      <c r="U14" s="126"/>
      <c r="V14" s="126"/>
      <c r="W14" s="126"/>
      <c r="AC14" s="132"/>
      <c r="AD14" s="132"/>
      <c r="AE14" s="132"/>
      <c r="AF14" s="132"/>
      <c r="AG14" s="132"/>
      <c r="AH14" s="132"/>
      <c r="AI14" s="132"/>
      <c r="AJ14" s="132"/>
      <c r="AK14" s="491">
        <v>408673</v>
      </c>
      <c r="AL14" s="491">
        <v>55473</v>
      </c>
      <c r="AM14" s="491">
        <v>48456</v>
      </c>
      <c r="AN14" s="491">
        <v>27349</v>
      </c>
      <c r="AO14" s="126"/>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26"/>
      <c r="GJ14" s="132"/>
      <c r="GK14" s="132"/>
      <c r="GL14" s="496"/>
      <c r="GM14" s="496"/>
      <c r="GN14" s="498"/>
      <c r="GO14" s="498"/>
      <c r="GP14" s="498"/>
      <c r="GQ14" s="496"/>
      <c r="GR14" s="496"/>
      <c r="GS14" s="498"/>
      <c r="GT14" s="498"/>
      <c r="GU14" s="497"/>
      <c r="GV14" s="497"/>
      <c r="GW14" s="497"/>
      <c r="GX14" s="497"/>
    </row>
    <row r="15" spans="1:209" ht="15" thickBot="1" x14ac:dyDescent="0.25">
      <c r="A15" s="126"/>
      <c r="B15" s="126"/>
      <c r="C15" s="126"/>
      <c r="E15" s="135" t="s">
        <v>573</v>
      </c>
      <c r="F15" s="494"/>
      <c r="G15" s="132"/>
      <c r="H15" s="132"/>
      <c r="I15" s="132"/>
      <c r="J15" s="132"/>
      <c r="L15" s="126"/>
      <c r="M15" s="126"/>
      <c r="P15" s="140"/>
      <c r="Q15" s="140"/>
      <c r="R15" s="152"/>
      <c r="S15" s="124"/>
      <c r="T15" s="124"/>
      <c r="U15" s="126"/>
      <c r="V15" s="126"/>
      <c r="W15" s="126"/>
      <c r="AC15" s="132"/>
      <c r="AD15" s="132"/>
      <c r="AE15" s="132"/>
      <c r="AF15" s="615" t="s">
        <v>574</v>
      </c>
      <c r="AG15" s="616"/>
      <c r="AH15" s="616"/>
      <c r="AI15" s="617"/>
      <c r="AJ15" s="615" t="s">
        <v>496</v>
      </c>
      <c r="AK15" s="616"/>
      <c r="AL15" s="616"/>
      <c r="AM15" s="616"/>
      <c r="AN15" s="617"/>
      <c r="AO15" s="612" t="s">
        <v>80</v>
      </c>
      <c r="AP15" s="613"/>
      <c r="AQ15" s="613"/>
      <c r="AR15" s="613"/>
      <c r="AS15" s="613"/>
      <c r="AT15" s="613"/>
      <c r="AU15" s="613"/>
      <c r="AV15" s="613"/>
      <c r="AW15" s="613"/>
      <c r="AX15" s="614"/>
      <c r="AY15" s="612" t="s">
        <v>79</v>
      </c>
      <c r="AZ15" s="613"/>
      <c r="BA15" s="613"/>
      <c r="BB15" s="613"/>
      <c r="BC15" s="613"/>
      <c r="BD15" s="613"/>
      <c r="BE15" s="614"/>
      <c r="BF15" s="612" t="s">
        <v>176</v>
      </c>
      <c r="BG15" s="613"/>
      <c r="BH15" s="613"/>
      <c r="BI15" s="613"/>
      <c r="BJ15" s="613"/>
      <c r="BK15" s="613"/>
      <c r="BL15" s="613"/>
      <c r="BM15" s="613"/>
      <c r="BN15" s="613"/>
      <c r="BO15" s="613"/>
      <c r="BP15" s="613"/>
      <c r="BQ15" s="613"/>
      <c r="BR15" s="613"/>
      <c r="BS15" s="613"/>
      <c r="BT15" s="613"/>
      <c r="BU15" s="613"/>
      <c r="BV15" s="613"/>
      <c r="BW15" s="613"/>
      <c r="BX15" s="613"/>
      <c r="BY15" s="614"/>
      <c r="BZ15" s="612" t="s">
        <v>575</v>
      </c>
      <c r="CA15" s="613"/>
      <c r="CB15" s="613"/>
      <c r="CC15" s="613"/>
      <c r="CD15" s="613"/>
      <c r="CE15" s="613"/>
      <c r="CF15" s="613"/>
      <c r="CG15" s="614"/>
      <c r="CH15" s="612" t="s">
        <v>577</v>
      </c>
      <c r="CI15" s="613"/>
      <c r="CJ15" s="613"/>
      <c r="CK15" s="613"/>
      <c r="CL15" s="614"/>
      <c r="CM15" s="612" t="s">
        <v>576</v>
      </c>
      <c r="CN15" s="613"/>
      <c r="CO15" s="613"/>
      <c r="CP15" s="613"/>
      <c r="CQ15" s="613"/>
      <c r="CR15" s="614"/>
      <c r="CS15" s="612" t="s">
        <v>220</v>
      </c>
      <c r="CT15" s="613"/>
      <c r="CU15" s="613"/>
      <c r="CV15" s="613"/>
      <c r="CW15" s="613"/>
      <c r="CX15" s="613"/>
      <c r="CY15" s="613"/>
      <c r="CZ15" s="613"/>
      <c r="DA15" s="613"/>
      <c r="DB15" s="613"/>
      <c r="DC15" s="613"/>
      <c r="DD15" s="613"/>
      <c r="DE15" s="613"/>
      <c r="DF15" s="614"/>
      <c r="DG15" s="612" t="s">
        <v>6471</v>
      </c>
      <c r="DH15" s="613"/>
      <c r="DI15" s="613"/>
      <c r="DJ15" s="613"/>
      <c r="DK15" s="613"/>
      <c r="DL15" s="613"/>
      <c r="DM15" s="613"/>
      <c r="DN15" s="613"/>
      <c r="DO15" s="613"/>
      <c r="DP15" s="613"/>
      <c r="DQ15" s="614"/>
      <c r="DR15" s="612" t="s">
        <v>6456</v>
      </c>
      <c r="DS15" s="613"/>
      <c r="DT15" s="613"/>
      <c r="DU15" s="613"/>
      <c r="DV15" s="613"/>
      <c r="DW15" s="613"/>
      <c r="DX15" s="613"/>
      <c r="DY15" s="613"/>
      <c r="DZ15" s="613"/>
      <c r="EA15" s="614"/>
      <c r="EB15" s="132"/>
      <c r="EC15" s="132"/>
      <c r="ED15" s="132"/>
      <c r="EF15" s="124"/>
      <c r="EI15" s="147" t="str">
        <f>IF(K15="","",(EH15*1000000)/(#REF!*365*EM15*3))</f>
        <v/>
      </c>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26"/>
      <c r="GJ15" s="132"/>
      <c r="GK15" s="132"/>
      <c r="GL15" s="496"/>
      <c r="GM15" s="496"/>
      <c r="GN15" s="498"/>
      <c r="GO15" s="498"/>
      <c r="GP15" s="498"/>
      <c r="GQ15" s="496"/>
      <c r="GR15" s="496"/>
      <c r="GS15" s="503" t="str">
        <f ca="1">MID(GT15,(FIND("[",GT15)+1),(FIND("]",GT15)-1)-(FIND("[",GT15)))</f>
        <v>Attachment 1 - Ohio Department of Transportation Crash Analysis Module Report, Project Area, 2021-2025.xlsx</v>
      </c>
      <c r="GT15" s="504" t="str">
        <f ca="1">CELL("filename")</f>
        <v>/Users/lanet/Downloads/[Attachment 1 - Ohio Department of Transportation Crash Analysis Module Report, Project Area, 2021-2025.xlsx]RelativeSeverityIndex</v>
      </c>
      <c r="GU15" s="497"/>
      <c r="GV15" s="497"/>
      <c r="GW15" s="497"/>
      <c r="GX15" s="497"/>
    </row>
    <row r="16" spans="1:209" ht="15" thickBot="1" x14ac:dyDescent="0.25">
      <c r="A16" s="148">
        <v>18</v>
      </c>
      <c r="B16" s="148">
        <f>IF(C16=C14,B14,B14+1)</f>
        <v>0</v>
      </c>
      <c r="C16" s="149"/>
      <c r="D16" s="150" t="s">
        <v>578</v>
      </c>
      <c r="E16" s="151"/>
      <c r="F16" s="132"/>
      <c r="G16" s="132"/>
      <c r="H16" s="132"/>
      <c r="I16" s="132"/>
      <c r="J16" s="132"/>
      <c r="K16" s="124" t="str">
        <f>IF(H16="","",IF(D16="I",1,H16-G16))</f>
        <v/>
      </c>
      <c r="L16" s="126"/>
      <c r="M16" s="229" t="str">
        <f>IF(GK16="","",HYPERLINK(GK16))</f>
        <v/>
      </c>
      <c r="N16" s="125" t="s">
        <v>579</v>
      </c>
      <c r="P16" s="140" t="str">
        <f>IF(GO16 = "","",GO16)</f>
        <v/>
      </c>
      <c r="Q16" s="140" t="str">
        <f>IF(GP16 = "","",GP16)</f>
        <v/>
      </c>
      <c r="R16" s="152" t="str">
        <f>IF(GQ16 = "","",GQ16)</f>
        <v/>
      </c>
      <c r="S16" s="124" t="str">
        <f>IF(GR16 = "","",GR16)</f>
        <v/>
      </c>
      <c r="T16" s="124" t="str">
        <f>IF(GS16 = "","",GS16)</f>
        <v/>
      </c>
      <c r="U16" s="126"/>
      <c r="V16" s="126"/>
      <c r="W16" s="126"/>
      <c r="X16" s="128">
        <f>COUNT('Full Crash Data'!B:B)</f>
        <v>310</v>
      </c>
      <c r="Y16" s="129" t="str">
        <f>IF(ISERROR((X16*1000000)/(K16*365*GO16*(J16-I16+1))),"",(X16*1000000)/(K16*365*GO16*(J16-I16+1)))</f>
        <v/>
      </c>
      <c r="Z16" s="129" t="e">
        <f>ROUND(X16/'Full Crash Data'!$E$10-'Full Crash Data'!$E$11,2)</f>
        <v>#DIV/0!</v>
      </c>
      <c r="AA16" s="128">
        <f>ROUND(SUM($AK$13:$AN$13),0)</f>
        <v>511</v>
      </c>
      <c r="AC16" s="132"/>
      <c r="AD16" s="132"/>
      <c r="AE16" s="132"/>
      <c r="AF16" s="488">
        <f>SUM('Full Crash Data'!U:U)</f>
        <v>92</v>
      </c>
      <c r="AG16" s="489">
        <f>SUM('Full Crash Data'!U:U)</f>
        <v>92</v>
      </c>
      <c r="AH16" s="489">
        <f>SUM('Full Crash Data'!V:V)</f>
        <v>50</v>
      </c>
      <c r="AI16" s="490">
        <f>SUM('Full Crash Data'!W:W)</f>
        <v>125</v>
      </c>
      <c r="AJ16" s="488">
        <f>COUNTIFS('Full Crash Data'!$F:$F,AJ$17)</f>
        <v>1</v>
      </c>
      <c r="AK16" s="489">
        <f>COUNTIFS('Full Crash Data'!$F:$F,AK$17)</f>
        <v>8</v>
      </c>
      <c r="AL16" s="489">
        <f>COUNTIFS('Full Crash Data'!$F:$F,AL$17)</f>
        <v>48</v>
      </c>
      <c r="AM16" s="489">
        <f>COUNTIFS('Full Crash Data'!$F:$F,AM$17)</f>
        <v>36</v>
      </c>
      <c r="AN16" s="490">
        <f>COUNTIFS('Full Crash Data'!$F:$F,AN$17)</f>
        <v>215</v>
      </c>
      <c r="AO16" s="488">
        <f ca="1">COUNTIFS('Full Crash Data'!$C:$C,AO$17)</f>
        <v>0</v>
      </c>
      <c r="AP16" s="489">
        <f ca="1">COUNTIFS('Full Crash Data'!$C:$C,AP$17)</f>
        <v>0</v>
      </c>
      <c r="AQ16" s="489">
        <f ca="1">COUNTIFS('Full Crash Data'!$C:$C,AQ$17)</f>
        <v>0</v>
      </c>
      <c r="AR16" s="489">
        <f ca="1">COUNTIFS('Full Crash Data'!$C:$C,AR$17)</f>
        <v>0</v>
      </c>
      <c r="AS16" s="489">
        <f ca="1">COUNTIFS('Full Crash Data'!$C:$C,AS$17)</f>
        <v>79</v>
      </c>
      <c r="AT16" s="489">
        <f ca="1">COUNTIFS('Full Crash Data'!$C:$C,AT$17)</f>
        <v>57</v>
      </c>
      <c r="AU16" s="489">
        <f ca="1">COUNTIFS('Full Crash Data'!$C:$C,AU$17)</f>
        <v>64</v>
      </c>
      <c r="AV16" s="489">
        <f ca="1">COUNTIFS('Full Crash Data'!$C:$C,AV$17)</f>
        <v>71</v>
      </c>
      <c r="AW16" s="489">
        <f ca="1">COUNTIFS('Full Crash Data'!$C:$C,AW$17)</f>
        <v>37</v>
      </c>
      <c r="AX16" s="490">
        <f ca="1">COUNTIFS('Full Crash Data'!$C:$C,AX$17)</f>
        <v>0</v>
      </c>
      <c r="AY16" s="488">
        <f>COUNTIFS('Full Crash Data'!$AR:$AR,AY$17)</f>
        <v>22</v>
      </c>
      <c r="AZ16" s="489">
        <f>COUNTIFS('Full Crash Data'!$AR:$AR,AZ$17)</f>
        <v>46</v>
      </c>
      <c r="BA16" s="489">
        <f>COUNTIFS('Full Crash Data'!$AR:$AR,BA$17)</f>
        <v>55</v>
      </c>
      <c r="BB16" s="489">
        <f>COUNTIFS('Full Crash Data'!$AR:$AR,BB$17)</f>
        <v>47</v>
      </c>
      <c r="BC16" s="489">
        <f>COUNTIFS('Full Crash Data'!$AR:$AR,BC$17)</f>
        <v>43</v>
      </c>
      <c r="BD16" s="489">
        <f>COUNTIFS('Full Crash Data'!$AR:$AR,BD$17)</f>
        <v>51</v>
      </c>
      <c r="BE16" s="490">
        <f>COUNTIFS('Full Crash Data'!$AR:$AR,BE$17)</f>
        <v>44</v>
      </c>
      <c r="BF16" s="488">
        <f>COUNTIFS('Full Crash Data'!$G:$G,BF$17)</f>
        <v>3</v>
      </c>
      <c r="BG16" s="489">
        <f>COUNTIFS('Full Crash Data'!$G:$G,BG$17)</f>
        <v>14</v>
      </c>
      <c r="BH16" s="489">
        <f>COUNTIFS('Full Crash Data'!$G:$G,BH$17)</f>
        <v>60</v>
      </c>
      <c r="BI16" s="489">
        <f>COUNTIFS('Full Crash Data'!$G:$G,BI$17)</f>
        <v>9</v>
      </c>
      <c r="BJ16" s="489">
        <f>COUNTIFS('Full Crash Data'!$G:$G,BJ$17)</f>
        <v>0</v>
      </c>
      <c r="BK16" s="489">
        <f>COUNTIFS('Full Crash Data'!$G:$G,BK$17)</f>
        <v>47</v>
      </c>
      <c r="BL16" s="489">
        <f>COUNTIFS('Full Crash Data'!$G:$G,BL$17)</f>
        <v>61</v>
      </c>
      <c r="BM16" s="489">
        <f>COUNTIFS('Full Crash Data'!$G:$G,BM$17)</f>
        <v>11</v>
      </c>
      <c r="BN16" s="489">
        <f>COUNTIFS('Full Crash Data'!$G:$G,BN$17)</f>
        <v>5</v>
      </c>
      <c r="BO16" s="489">
        <f>COUNTIFS('Full Crash Data'!$G:$G,BO$17)</f>
        <v>0</v>
      </c>
      <c r="BP16" s="489">
        <f>COUNTIFS('Full Crash Data'!$G:$G,BP$17)</f>
        <v>0</v>
      </c>
      <c r="BQ16" s="489">
        <f>COUNTIFS('Full Crash Data'!$G:$G,BQ$17)</f>
        <v>5</v>
      </c>
      <c r="BR16" s="489">
        <f>COUNTIFS('Full Crash Data'!$G:$G,BR$17)</f>
        <v>0</v>
      </c>
      <c r="BS16" s="489">
        <f>COUNTIFS('Full Crash Data'!$G:$G,BS$17)</f>
        <v>27</v>
      </c>
      <c r="BT16" s="489">
        <f>COUNTIFS('Full Crash Data'!$G:$G,BT$17)</f>
        <v>1</v>
      </c>
      <c r="BU16" s="489">
        <f>COUNTIFS('Full Crash Data'!$G:$G,BU$17)</f>
        <v>0</v>
      </c>
      <c r="BV16" s="489">
        <f>COUNTIFS('Full Crash Data'!$G:$G,BV$17)</f>
        <v>0</v>
      </c>
      <c r="BW16" s="489">
        <f>COUNTIFS('Full Crash Data'!$G:$G,BW$17)</f>
        <v>3</v>
      </c>
      <c r="BX16" s="489">
        <f>COUNTIFS('Full Crash Data'!$G:$G,BX$17)</f>
        <v>51</v>
      </c>
      <c r="BY16" s="490">
        <f>COUNTIFS('Full Crash Data'!$G:$G,BY$17)</f>
        <v>11</v>
      </c>
      <c r="BZ16" s="488">
        <f>COUNTIFS('Full Crash Data'!$AT:$AT,BZ$17)</f>
        <v>240</v>
      </c>
      <c r="CA16" s="489">
        <f>COUNTIFS('Full Crash Data'!$AT:$AT,CA$17)</f>
        <v>58</v>
      </c>
      <c r="CB16" s="489">
        <f>COUNTIFS('Full Crash Data'!$AT:$AT,CB$17)</f>
        <v>6</v>
      </c>
      <c r="CC16" s="489">
        <f>COUNTIFS('Full Crash Data'!$AT:$AT,CC$17)</f>
        <v>1</v>
      </c>
      <c r="CD16" s="489">
        <f>COUNTIFS('Full Crash Data'!$AT:$AT,CD$17)</f>
        <v>0</v>
      </c>
      <c r="CE16" s="489">
        <f>COUNTIFS('Full Crash Data'!$AT:$AT,CE$17)</f>
        <v>0</v>
      </c>
      <c r="CF16" s="489">
        <f>COUNTIFS('Full Crash Data'!$AT:$AT,CF$17)</f>
        <v>0</v>
      </c>
      <c r="CG16" s="490">
        <f>COUNTIFS('Full Crash Data'!$AT:$AT,CG$17)</f>
        <v>4</v>
      </c>
      <c r="CH16" s="488">
        <f>COUNTIFS('Full Crash Data'!$AV:$AV,CH$17)</f>
        <v>285</v>
      </c>
      <c r="CI16" s="489">
        <f>COUNTIFS('Full Crash Data'!$AV:$AV,CI$17)</f>
        <v>14</v>
      </c>
      <c r="CJ16" s="489">
        <f>COUNTIFS('Full Crash Data'!$AV:$AV,CJ$17)</f>
        <v>7</v>
      </c>
      <c r="CK16" s="489">
        <f>COUNTIFS('Full Crash Data'!$AV:$AV,CK$17)</f>
        <v>0</v>
      </c>
      <c r="CL16" s="490">
        <f>COUNTIFS('Full Crash Data'!$AV:$AV,CL$17)</f>
        <v>2</v>
      </c>
      <c r="CM16" s="488">
        <f>COUNTIFS('Full Crash Data'!$AU:$AU,CM$17)</f>
        <v>205</v>
      </c>
      <c r="CN16" s="489">
        <f>COUNTIFS('Full Crash Data'!$AU:$AU,CN$17)</f>
        <v>22</v>
      </c>
      <c r="CO16" s="489">
        <f>COUNTIFS('Full Crash Data'!$AU:$AU,CO$17)</f>
        <v>75</v>
      </c>
      <c r="CP16" s="489">
        <f>COUNTIFS('Full Crash Data'!$AU:$AU,CP$17)</f>
        <v>4</v>
      </c>
      <c r="CQ16" s="489">
        <f>COUNTIFS('Full Crash Data'!$AU:$AU,CQ$17)</f>
        <v>1</v>
      </c>
      <c r="CR16" s="490">
        <f>COUNTIFS('Full Crash Data'!$AU:$AU,CR$17)</f>
        <v>1</v>
      </c>
      <c r="CS16" s="488">
        <f>COUNTIFS('Full Crash Data'!$J:$J,CS$17)</f>
        <v>0</v>
      </c>
      <c r="CT16" s="489">
        <f>COUNTIFS('Full Crash Data'!$J:$J,CT$17)</f>
        <v>165</v>
      </c>
      <c r="CU16" s="489">
        <f>COUNTIFS('Full Crash Data'!$J:$J,CU$17)</f>
        <v>93</v>
      </c>
      <c r="CV16" s="489">
        <f>COUNTIFS('Full Crash Data'!$J:$J,CV$17)</f>
        <v>43</v>
      </c>
      <c r="CW16" s="489">
        <f>COUNTIFS('Full Crash Data'!$J:$J,CW$17)</f>
        <v>0</v>
      </c>
      <c r="CX16" s="489">
        <f>COUNTIFS('Full Crash Data'!$J:$J,CX$17)</f>
        <v>4</v>
      </c>
      <c r="CY16" s="489">
        <f>COUNTIFS('Full Crash Data'!$J:$J,CY$17)</f>
        <v>1</v>
      </c>
      <c r="CZ16" s="489">
        <f>COUNTIFS('Full Crash Data'!$J:$J,CZ$17)</f>
        <v>0</v>
      </c>
      <c r="DA16" s="489">
        <f>COUNTIFS('Full Crash Data'!$J:$J,DA$17)</f>
        <v>0</v>
      </c>
      <c r="DB16" s="489">
        <f>COUNTIFS('Full Crash Data'!$J:$J,DB$17)</f>
        <v>0</v>
      </c>
      <c r="DC16" s="489">
        <f>COUNTIFS('Full Crash Data'!$J:$J,DC$17)</f>
        <v>2</v>
      </c>
      <c r="DD16" s="489">
        <f>COUNTIFS('Full Crash Data'!$J:$J,DD$17)</f>
        <v>0</v>
      </c>
      <c r="DE16" s="489">
        <f>COUNTIFS('Full Crash Data'!$J:$J,DE$17)</f>
        <v>0</v>
      </c>
      <c r="DF16" s="490">
        <f>COUNTIFS('Full Crash Data'!$J:$J,DF$17)</f>
        <v>0</v>
      </c>
      <c r="DG16" s="488">
        <f>COUNTIFS('Full Crash Data'!AV:AV,"Yes")</f>
        <v>0</v>
      </c>
      <c r="DH16" s="489">
        <f>COUNTIFS('Full Crash Data'!AW:AW,"Yes")</f>
        <v>49</v>
      </c>
      <c r="DI16" s="489">
        <f>COUNTIFS('Full Crash Data'!AX:AX,"Yes")</f>
        <v>189</v>
      </c>
      <c r="DJ16" s="489">
        <f>COUNTIFS('Full Crash Data'!AY:AY,"Yes")</f>
        <v>17</v>
      </c>
      <c r="DK16" s="489">
        <f>COUNTIFS('Full Crash Data'!AZ:AZ,"Yes")</f>
        <v>1</v>
      </c>
      <c r="DL16" s="489">
        <f>COUNTIFS('Full Crash Data'!BA:BA,"Yes")</f>
        <v>1</v>
      </c>
      <c r="DM16" s="489">
        <f>COUNTIFS('Full Crash Data'!BB:BB,"Yes")</f>
        <v>0</v>
      </c>
      <c r="DN16" s="489">
        <f>COUNTIFS('Full Crash Data'!BC:BC,"Yes")</f>
        <v>7</v>
      </c>
      <c r="DO16" s="489">
        <f>COUNTIFS('Full Crash Data'!BD:BD,"Yes")</f>
        <v>20</v>
      </c>
      <c r="DP16" s="489">
        <f>COUNTIFS('Full Crash Data'!BE:BE,"Yes")</f>
        <v>41</v>
      </c>
      <c r="DQ16" s="490">
        <f>COUNTIFS('Full Crash Data'!BF:BF,"Yes")</f>
        <v>102</v>
      </c>
      <c r="DR16" s="488">
        <f>COUNTIFS('Full Crash Data'!$CN:$CN,DR$17)</f>
        <v>58</v>
      </c>
      <c r="DS16" s="489">
        <f>COUNTIFS('Full Crash Data'!$CN:$CN,DS$17)</f>
        <v>75</v>
      </c>
      <c r="DT16" s="489">
        <f>COUNTIFS('Full Crash Data'!$CN:$CN,DT$17)</f>
        <v>42</v>
      </c>
      <c r="DU16" s="489">
        <f>COUNTIFS('Full Crash Data'!$CN:$CN,DU$17)</f>
        <v>6</v>
      </c>
      <c r="DV16" s="489">
        <f>COUNTIFS('Full Crash Data'!$CN:$CN,DV$17)</f>
        <v>17</v>
      </c>
      <c r="DW16" s="489">
        <f>COUNTIFS('Full Crash Data'!$CN:$CN,DW$17)</f>
        <v>10</v>
      </c>
      <c r="DX16" s="489">
        <f>COUNTIFS('Full Crash Data'!$CN:$CN,DX$17)</f>
        <v>8</v>
      </c>
      <c r="DY16" s="489">
        <f>COUNTIFS('Full Crash Data'!$CN:$CN,DY$17)</f>
        <v>14</v>
      </c>
      <c r="DZ16" s="489">
        <f>COUNTIFS('Full Crash Data'!$CN:$CN,DZ$17)</f>
        <v>18</v>
      </c>
      <c r="EA16" s="490">
        <f>COUNTIFS('Full Crash Data'!$CN:$CN,EA$17)</f>
        <v>14</v>
      </c>
      <c r="EB16" s="153"/>
      <c r="EC16" s="153"/>
      <c r="ED16" s="153"/>
      <c r="EE16" s="125" t="str">
        <f>IF(C16=C15,"",C16)</f>
        <v/>
      </c>
      <c r="EF16" s="124" t="str">
        <f>IF(EE16="","",IF(D16="I","Intersection","Section"))</f>
        <v/>
      </c>
      <c r="EG16" s="131" t="str">
        <f>IF($EE16="","",SUMIF($C$18:$C$65536,$EE16,$K$18:$K$65536))</f>
        <v/>
      </c>
      <c r="EH16" s="147" t="str">
        <f>IF($EE16="","",SUMIF($C$18:$C$65536,$EE16,$X$18:$X$65536))</f>
        <v/>
      </c>
      <c r="EI16" s="131" t="str">
        <f>IF(EE16="","",IF(ISERROR((EH16*1000000)/(EG16*365*EM16*(J16-I16+1))),VALUE(0),(EH16*1000000)/(EG16*365*EM16*(J16-I16+1))))</f>
        <v/>
      </c>
      <c r="EJ16" s="131" t="str">
        <f>IFERROR(IF($EE16="","",EH16/EG16/(J16-I16+1)),0)</f>
        <v/>
      </c>
      <c r="EK16" s="147" t="str">
        <f>IF($EE16="","",SUMIF($C$18:$C$65536,$EE16,$AA$18:$AA$65536))</f>
        <v/>
      </c>
      <c r="EL16" s="130" t="str">
        <f>IF($EE16="","",IF(ISERROR((SUMIF($C$18:$C$65536,$EE16,$GU$18:$GU$65536)/EH16)),VALUE(0),(SUMIF($C$18:$C$65536,$EE16,$GU$18:$GU$65536)/EH16)))</f>
        <v/>
      </c>
      <c r="EM16" s="147" t="str">
        <f>IFERROR(IF($EE16="","",(SUMIF($C$18:$C$65536,$EE16,$GV$18:$GV$65536)/$EG16)),0)</f>
        <v/>
      </c>
      <c r="EN16" s="131" t="str">
        <f>IFERROR(IF($EE16="","",IF(ISERROR(EO16/EM16),VALUE(0),EO16/EM16)),0)</f>
        <v/>
      </c>
      <c r="EO16" s="147" t="str">
        <f>IFERROR(IF($EE16="","",(SUMIF($C$18:$C$65536,$EE16,$GW$18:$GW$65536)/$EG16)),0)</f>
        <v/>
      </c>
      <c r="EP16" s="131" t="str">
        <f>IFERROR(IF($EE16="","",(SUMIF($C$18:$C$65536,$EE16,$GX$18:$GX$65536)/$EG16)),0)</f>
        <v/>
      </c>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25">
        <f>IF(ISERROR(GI15+1),VALUE(1),GI15+1)</f>
        <v>1</v>
      </c>
      <c r="GJ16" s="126" t="str">
        <f>IF(A16="","",C16&amp;"_"&amp;MID(F16,2,3)&amp;MID(F16,5,2)&amp;MID(F16,9,3)&amp;IF(MID(F16,13,1)="*","",MID(F16,13,1))&amp;IF(MID(F16,12,1)="*","",MID(F16,12,1))&amp;"; "&amp;G16&amp;"-"&amp;H16&amp;"_"&amp;GI16)</f>
        <v>_; -_1</v>
      </c>
      <c r="GK16" s="126" t="str">
        <f>IF(C16="","",L16&amp;GJ16&amp;".xlsm")</f>
        <v/>
      </c>
      <c r="GL16" s="505" t="s">
        <v>580</v>
      </c>
      <c r="GM16" s="505"/>
      <c r="GN16" s="505"/>
      <c r="GO16" s="505"/>
      <c r="GP16" s="505"/>
      <c r="GQ16" s="505"/>
      <c r="GR16" s="505"/>
      <c r="GS16" s="503"/>
      <c r="GT16" s="503"/>
      <c r="GU16" s="497">
        <f>IF(ISERROR(AB16*X16),VALUE(0),AB16*X16)</f>
        <v>0</v>
      </c>
      <c r="GV16" s="497">
        <f>IF(ISERROR(GO16*K16),VALUE(0),GO16*K16)</f>
        <v>0</v>
      </c>
      <c r="GW16" s="497">
        <f>IF(ISERROR(GP16*K16),VALUE(0),GP16*K16)</f>
        <v>0</v>
      </c>
      <c r="GX16" s="497">
        <f>IF(ISERROR(GQ16*K16),VALUE(0),GQ16*K16)</f>
        <v>0</v>
      </c>
    </row>
    <row r="17" spans="1:206" ht="271" thickBot="1" x14ac:dyDescent="0.25">
      <c r="A17" s="138" t="s">
        <v>581</v>
      </c>
      <c r="B17" s="155" t="s">
        <v>582</v>
      </c>
      <c r="C17" s="156" t="s">
        <v>583</v>
      </c>
      <c r="D17" s="156" t="s">
        <v>584</v>
      </c>
      <c r="E17" s="157" t="s">
        <v>585</v>
      </c>
      <c r="F17" s="158" t="s">
        <v>586</v>
      </c>
      <c r="G17" s="159" t="s">
        <v>587</v>
      </c>
      <c r="H17" s="159" t="s">
        <v>588</v>
      </c>
      <c r="I17" s="155" t="s">
        <v>589</v>
      </c>
      <c r="J17" s="155" t="s">
        <v>590</v>
      </c>
      <c r="K17" s="160" t="s">
        <v>224</v>
      </c>
      <c r="L17" s="138" t="s">
        <v>591</v>
      </c>
      <c r="M17" s="228" t="s">
        <v>845</v>
      </c>
      <c r="N17" s="156" t="s">
        <v>592</v>
      </c>
      <c r="O17" s="156" t="s">
        <v>593</v>
      </c>
      <c r="P17" s="161" t="s">
        <v>594</v>
      </c>
      <c r="Q17" s="161" t="s">
        <v>595</v>
      </c>
      <c r="R17" s="161" t="s">
        <v>596</v>
      </c>
      <c r="S17" s="161" t="s">
        <v>597</v>
      </c>
      <c r="T17" s="161" t="s">
        <v>598</v>
      </c>
      <c r="U17" s="162"/>
      <c r="V17" s="162"/>
      <c r="W17" s="163"/>
      <c r="X17" s="164" t="s">
        <v>175</v>
      </c>
      <c r="Y17" s="493" t="s">
        <v>223</v>
      </c>
      <c r="Z17" s="166" t="s">
        <v>599</v>
      </c>
      <c r="AA17" s="165" t="s">
        <v>600</v>
      </c>
      <c r="AB17" s="480" t="s">
        <v>222</v>
      </c>
      <c r="AC17" s="167"/>
      <c r="AD17" s="167"/>
      <c r="AE17" s="167"/>
      <c r="AF17" s="168" t="s">
        <v>131</v>
      </c>
      <c r="AG17" s="172" t="s">
        <v>6470</v>
      </c>
      <c r="AH17" s="172" t="s">
        <v>6325</v>
      </c>
      <c r="AI17" s="169" t="s">
        <v>6326</v>
      </c>
      <c r="AJ17" s="170" t="s">
        <v>6438</v>
      </c>
      <c r="AK17" s="171" t="s">
        <v>6439</v>
      </c>
      <c r="AL17" s="171" t="s">
        <v>6440</v>
      </c>
      <c r="AM17" s="171" t="s">
        <v>6441</v>
      </c>
      <c r="AN17" s="169" t="s">
        <v>6442</v>
      </c>
      <c r="AO17" s="168">
        <f t="shared" ref="AO17:AV17" ca="1" si="1">AP17-1</f>
        <v>2017</v>
      </c>
      <c r="AP17" s="172">
        <f t="shared" ca="1" si="1"/>
        <v>2018</v>
      </c>
      <c r="AQ17" s="172">
        <f t="shared" ca="1" si="1"/>
        <v>2019</v>
      </c>
      <c r="AR17" s="172">
        <f t="shared" ca="1" si="1"/>
        <v>2020</v>
      </c>
      <c r="AS17" s="172">
        <f t="shared" ca="1" si="1"/>
        <v>2021</v>
      </c>
      <c r="AT17" s="172">
        <f t="shared" ca="1" si="1"/>
        <v>2022</v>
      </c>
      <c r="AU17" s="172">
        <f t="shared" ca="1" si="1"/>
        <v>2023</v>
      </c>
      <c r="AV17" s="172">
        <f t="shared" ca="1" si="1"/>
        <v>2024</v>
      </c>
      <c r="AW17" s="172">
        <f ca="1">AX17-1</f>
        <v>2025</v>
      </c>
      <c r="AX17" s="169">
        <f ca="1">IF(MAX(J:J)=10,YEAR(NOW()),MAX(J:J))</f>
        <v>2026</v>
      </c>
      <c r="AY17" s="170" t="s">
        <v>6443</v>
      </c>
      <c r="AZ17" s="171" t="s">
        <v>6444</v>
      </c>
      <c r="BA17" s="171" t="s">
        <v>6445</v>
      </c>
      <c r="BB17" s="171" t="s">
        <v>6446</v>
      </c>
      <c r="BC17" s="171" t="s">
        <v>6447</v>
      </c>
      <c r="BD17" s="171" t="s">
        <v>6448</v>
      </c>
      <c r="BE17" s="173" t="s">
        <v>6449</v>
      </c>
      <c r="BF17" s="170" t="s">
        <v>401</v>
      </c>
      <c r="BG17" s="171" t="s">
        <v>438</v>
      </c>
      <c r="BH17" s="171" t="s">
        <v>390</v>
      </c>
      <c r="BI17" s="171" t="s">
        <v>212</v>
      </c>
      <c r="BJ17" s="171" t="s">
        <v>419</v>
      </c>
      <c r="BK17" s="171" t="s">
        <v>402</v>
      </c>
      <c r="BL17" s="171" t="s">
        <v>211</v>
      </c>
      <c r="BM17" s="171" t="s">
        <v>210</v>
      </c>
      <c r="BN17" s="171" t="s">
        <v>209</v>
      </c>
      <c r="BO17" s="171" t="s">
        <v>207</v>
      </c>
      <c r="BP17" s="171" t="s">
        <v>206</v>
      </c>
      <c r="BQ17" s="171" t="s">
        <v>313</v>
      </c>
      <c r="BR17" s="171" t="s">
        <v>497</v>
      </c>
      <c r="BS17" s="171" t="s">
        <v>416</v>
      </c>
      <c r="BT17" s="171" t="s">
        <v>449</v>
      </c>
      <c r="BU17" s="171" t="s">
        <v>498</v>
      </c>
      <c r="BV17" s="171" t="s">
        <v>202</v>
      </c>
      <c r="BW17" s="171" t="s">
        <v>409</v>
      </c>
      <c r="BX17" s="171" t="s">
        <v>230</v>
      </c>
      <c r="BY17" s="173" t="s">
        <v>860</v>
      </c>
      <c r="BZ17" s="170" t="s">
        <v>500</v>
      </c>
      <c r="CA17" s="171" t="s">
        <v>225</v>
      </c>
      <c r="CB17" s="171" t="s">
        <v>430</v>
      </c>
      <c r="CC17" s="171" t="s">
        <v>501</v>
      </c>
      <c r="CD17" s="171" t="s">
        <v>502</v>
      </c>
      <c r="CE17" s="171" t="s">
        <v>503</v>
      </c>
      <c r="CF17" s="171" t="s">
        <v>504</v>
      </c>
      <c r="CG17" s="173" t="s">
        <v>6151</v>
      </c>
      <c r="CH17" s="170" t="s">
        <v>508</v>
      </c>
      <c r="CI17" s="171" t="s">
        <v>509</v>
      </c>
      <c r="CJ17" s="171" t="s">
        <v>510</v>
      </c>
      <c r="CK17" s="171" t="s">
        <v>511</v>
      </c>
      <c r="CL17" s="173" t="s">
        <v>6151</v>
      </c>
      <c r="CM17" s="170" t="s">
        <v>404</v>
      </c>
      <c r="CN17" s="172" t="s">
        <v>6324</v>
      </c>
      <c r="CO17" s="171" t="s">
        <v>505</v>
      </c>
      <c r="CP17" s="171" t="s">
        <v>506</v>
      </c>
      <c r="CQ17" s="171" t="s">
        <v>507</v>
      </c>
      <c r="CR17" s="173" t="s">
        <v>6151</v>
      </c>
      <c r="CS17" s="168" t="s">
        <v>1030</v>
      </c>
      <c r="CT17" s="171" t="s">
        <v>391</v>
      </c>
      <c r="CU17" s="171" t="s">
        <v>423</v>
      </c>
      <c r="CV17" s="171" t="s">
        <v>434</v>
      </c>
      <c r="CW17" s="171" t="s">
        <v>470</v>
      </c>
      <c r="CX17" s="171" t="s">
        <v>484</v>
      </c>
      <c r="CY17" s="171" t="s">
        <v>477</v>
      </c>
      <c r="CZ17" s="171" t="s">
        <v>426</v>
      </c>
      <c r="DA17" s="171" t="s">
        <v>442</v>
      </c>
      <c r="DB17" s="171" t="s">
        <v>485</v>
      </c>
      <c r="DC17" s="171" t="s">
        <v>437</v>
      </c>
      <c r="DD17" s="171" t="s">
        <v>474</v>
      </c>
      <c r="DE17" s="171" t="s">
        <v>499</v>
      </c>
      <c r="DF17" s="173" t="s">
        <v>401</v>
      </c>
      <c r="DG17" s="170" t="s">
        <v>1178</v>
      </c>
      <c r="DH17" s="171" t="s">
        <v>1179</v>
      </c>
      <c r="DI17" s="171" t="s">
        <v>1194</v>
      </c>
      <c r="DJ17" s="171" t="s">
        <v>6167</v>
      </c>
      <c r="DK17" s="171" t="s">
        <v>1195</v>
      </c>
      <c r="DL17" s="171" t="s">
        <v>1196</v>
      </c>
      <c r="DM17" s="171" t="s">
        <v>1197</v>
      </c>
      <c r="DN17" s="171" t="s">
        <v>1198</v>
      </c>
      <c r="DO17" s="171" t="s">
        <v>1199</v>
      </c>
      <c r="DP17" s="171" t="s">
        <v>1203</v>
      </c>
      <c r="DQ17" s="173" t="s">
        <v>1200</v>
      </c>
      <c r="DR17" s="170" t="s">
        <v>6512</v>
      </c>
      <c r="DS17" s="171" t="s">
        <v>6327</v>
      </c>
      <c r="DT17" s="171" t="s">
        <v>407</v>
      </c>
      <c r="DU17" s="171" t="s">
        <v>6331</v>
      </c>
      <c r="DV17" s="171" t="s">
        <v>6329</v>
      </c>
      <c r="DW17" s="171" t="s">
        <v>425</v>
      </c>
      <c r="DX17" s="171" t="s">
        <v>441</v>
      </c>
      <c r="DY17" s="171" t="s">
        <v>440</v>
      </c>
      <c r="DZ17" s="171" t="s">
        <v>451</v>
      </c>
      <c r="EA17" s="173" t="s">
        <v>6328</v>
      </c>
      <c r="EB17" s="174"/>
      <c r="EC17" s="174"/>
      <c r="ED17" s="174"/>
      <c r="EE17" s="175" t="s">
        <v>602</v>
      </c>
      <c r="EF17" s="175" t="s">
        <v>603</v>
      </c>
      <c r="EG17" s="176" t="s">
        <v>604</v>
      </c>
      <c r="EH17" s="175" t="s">
        <v>605</v>
      </c>
      <c r="EI17" s="175" t="s">
        <v>606</v>
      </c>
      <c r="EJ17" s="177" t="s">
        <v>607</v>
      </c>
      <c r="EK17" s="178" t="s">
        <v>608</v>
      </c>
      <c r="EL17" s="178" t="s">
        <v>609</v>
      </c>
      <c r="EM17" s="175" t="s">
        <v>610</v>
      </c>
      <c r="EN17" s="176" t="s">
        <v>611</v>
      </c>
      <c r="EO17" s="175" t="s">
        <v>612</v>
      </c>
      <c r="EP17" s="176" t="s">
        <v>613</v>
      </c>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25" t="s">
        <v>614</v>
      </c>
      <c r="GJ17" s="154" t="s">
        <v>615</v>
      </c>
      <c r="GK17" s="125" t="s">
        <v>616</v>
      </c>
      <c r="GL17" s="495" t="s">
        <v>254</v>
      </c>
      <c r="GM17" s="495" t="s">
        <v>556</v>
      </c>
      <c r="GN17" s="495" t="s">
        <v>557</v>
      </c>
      <c r="GO17" s="499" t="s">
        <v>594</v>
      </c>
      <c r="GP17" s="499" t="s">
        <v>595</v>
      </c>
      <c r="GQ17" s="499" t="s">
        <v>596</v>
      </c>
      <c r="GR17" s="495" t="s">
        <v>597</v>
      </c>
      <c r="GS17" s="495" t="s">
        <v>598</v>
      </c>
      <c r="GT17" s="499" t="s">
        <v>617</v>
      </c>
      <c r="GU17" s="500" t="s">
        <v>618</v>
      </c>
      <c r="GV17" s="500" t="s">
        <v>619</v>
      </c>
      <c r="GW17" s="500" t="s">
        <v>620</v>
      </c>
      <c r="GX17" s="500" t="s">
        <v>621</v>
      </c>
    </row>
    <row r="18" spans="1:206" ht="15" x14ac:dyDescent="0.2">
      <c r="A18" s="179"/>
      <c r="B18" s="179"/>
      <c r="C18" s="180"/>
      <c r="D18" s="179"/>
      <c r="E18" s="134"/>
      <c r="F18" s="133"/>
      <c r="G18" s="134"/>
      <c r="H18" s="134"/>
      <c r="I18" s="134"/>
      <c r="J18" s="134"/>
      <c r="K18" s="180"/>
      <c r="L18" s="134"/>
      <c r="M18" s="134"/>
      <c r="N18" s="180"/>
      <c r="O18" s="180"/>
      <c r="P18" s="181"/>
      <c r="Q18" s="181"/>
      <c r="R18" s="182"/>
      <c r="S18" s="180"/>
      <c r="T18" s="180"/>
      <c r="U18" s="134"/>
      <c r="V18" s="134"/>
      <c r="W18" s="134"/>
      <c r="X18" s="183"/>
      <c r="Y18" s="184"/>
      <c r="Z18" s="184"/>
      <c r="AA18" s="184"/>
      <c r="AB18" s="185"/>
      <c r="AC18" s="134"/>
      <c r="AD18" s="134"/>
      <c r="AE18" s="134"/>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33"/>
      <c r="EF18" s="180"/>
      <c r="EG18" s="186"/>
      <c r="EH18" s="187"/>
      <c r="EI18" s="186"/>
      <c r="EJ18" s="186"/>
      <c r="EK18" s="187"/>
      <c r="EL18" s="185"/>
      <c r="EM18" s="187"/>
      <c r="EN18" s="186"/>
      <c r="EO18" s="187"/>
      <c r="EP18" s="18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5"/>
      <c r="GJ18" s="126"/>
      <c r="GL18" s="101"/>
      <c r="GM18" s="141"/>
      <c r="GN18" s="141"/>
      <c r="GO18" s="141"/>
      <c r="GP18" s="141"/>
      <c r="GQ18" s="141"/>
      <c r="GR18" s="141"/>
      <c r="GS18" s="141"/>
      <c r="GT18" s="141"/>
    </row>
    <row r="19" spans="1:206" ht="15" x14ac:dyDescent="0.2">
      <c r="A19" s="188"/>
      <c r="B19" s="188"/>
      <c r="C19" s="189"/>
      <c r="D19" s="188"/>
      <c r="E19" s="190"/>
      <c r="F19" s="190"/>
      <c r="G19" s="190"/>
      <c r="H19" s="190"/>
      <c r="I19" s="190"/>
      <c r="J19" s="190"/>
      <c r="K19" s="189"/>
      <c r="L19" s="190"/>
      <c r="M19" s="190"/>
      <c r="N19" s="189"/>
      <c r="O19" s="189"/>
      <c r="P19" s="191"/>
      <c r="Q19" s="191"/>
      <c r="R19" s="192"/>
      <c r="S19" s="189"/>
      <c r="T19" s="189"/>
      <c r="U19" s="190"/>
      <c r="V19" s="190"/>
      <c r="W19" s="190"/>
      <c r="X19" s="193"/>
      <c r="Y19" s="194"/>
      <c r="Z19" s="194"/>
      <c r="AA19" s="194"/>
      <c r="AB19" s="195"/>
      <c r="AC19" s="190"/>
      <c r="AD19" s="190"/>
      <c r="AE19" s="190"/>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9"/>
      <c r="EA19" s="189"/>
      <c r="EB19" s="189"/>
      <c r="EC19" s="189"/>
      <c r="ED19" s="189"/>
      <c r="EE19" s="196"/>
      <c r="EF19" s="189"/>
      <c r="EG19" s="197"/>
      <c r="EH19" s="198"/>
      <c r="EI19" s="197"/>
      <c r="EJ19" s="197"/>
      <c r="EK19" s="198"/>
      <c r="EL19" s="195"/>
      <c r="EM19" s="198"/>
      <c r="EN19" s="197"/>
      <c r="EO19" s="198"/>
      <c r="EP19" s="197"/>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5"/>
      <c r="GJ19" s="126"/>
      <c r="GL19" s="101"/>
      <c r="GM19" s="141"/>
      <c r="GN19" s="141"/>
      <c r="GO19" s="141"/>
      <c r="GP19" s="141"/>
      <c r="GQ19" s="141"/>
      <c r="GR19" s="141"/>
      <c r="GS19" s="141"/>
      <c r="GT19" s="141"/>
    </row>
    <row r="20" spans="1:206" ht="15" x14ac:dyDescent="0.2">
      <c r="A20" s="188"/>
      <c r="B20" s="188"/>
      <c r="C20" s="189"/>
      <c r="D20" s="188"/>
      <c r="E20" s="190"/>
      <c r="F20" s="190"/>
      <c r="G20" s="190"/>
      <c r="H20" s="190"/>
      <c r="I20" s="190"/>
      <c r="J20" s="190"/>
      <c r="K20" s="189"/>
      <c r="L20" s="190"/>
      <c r="M20" s="190"/>
      <c r="N20" s="189"/>
      <c r="O20" s="189"/>
      <c r="P20" s="191"/>
      <c r="Q20" s="191"/>
      <c r="R20" s="192"/>
      <c r="S20" s="189"/>
      <c r="T20" s="189"/>
      <c r="U20" s="190"/>
      <c r="V20" s="190"/>
      <c r="W20" s="190"/>
      <c r="X20" s="193"/>
      <c r="Y20" s="194"/>
      <c r="Z20" s="194"/>
      <c r="AA20" s="194"/>
      <c r="AB20" s="195"/>
      <c r="AC20" s="190"/>
      <c r="AD20" s="190"/>
      <c r="AE20" s="190"/>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96"/>
      <c r="EF20" s="189"/>
      <c r="EG20" s="197"/>
      <c r="EH20" s="198"/>
      <c r="EI20" s="197"/>
      <c r="EJ20" s="197"/>
      <c r="EK20" s="198"/>
      <c r="EL20" s="195"/>
      <c r="EM20" s="198"/>
      <c r="EN20" s="197"/>
      <c r="EO20" s="198"/>
      <c r="EP20" s="197"/>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5"/>
      <c r="GJ20" s="126"/>
      <c r="GL20" s="101"/>
      <c r="GM20" s="141"/>
      <c r="GN20" s="141"/>
      <c r="GO20" s="141"/>
      <c r="GP20" s="141"/>
      <c r="GQ20" s="141"/>
      <c r="GR20" s="141"/>
      <c r="GS20" s="141"/>
      <c r="GT20" s="141"/>
    </row>
    <row r="21" spans="1:206" ht="15" x14ac:dyDescent="0.2">
      <c r="A21" s="188"/>
      <c r="B21" s="188"/>
      <c r="C21" s="189"/>
      <c r="D21" s="188"/>
      <c r="E21" s="190"/>
      <c r="F21" s="196"/>
      <c r="G21" s="190"/>
      <c r="H21" s="190"/>
      <c r="I21" s="190"/>
      <c r="J21" s="190"/>
      <c r="K21" s="189"/>
      <c r="L21" s="190"/>
      <c r="M21" s="190"/>
      <c r="N21" s="189"/>
      <c r="O21" s="189"/>
      <c r="P21" s="191"/>
      <c r="Q21" s="191"/>
      <c r="R21" s="192"/>
      <c r="S21" s="189"/>
      <c r="T21" s="189"/>
      <c r="U21" s="190"/>
      <c r="V21" s="190"/>
      <c r="W21" s="190"/>
      <c r="X21" s="193"/>
      <c r="Y21" s="194"/>
      <c r="Z21" s="194"/>
      <c r="AA21" s="194"/>
      <c r="AB21" s="195"/>
      <c r="AC21" s="190"/>
      <c r="AD21" s="190"/>
      <c r="AE21" s="190"/>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96"/>
      <c r="EF21" s="189"/>
      <c r="EG21" s="197"/>
      <c r="EH21" s="198"/>
      <c r="EI21" s="197"/>
      <c r="EJ21" s="197"/>
      <c r="EK21" s="198"/>
      <c r="EL21" s="195"/>
      <c r="EM21" s="198"/>
      <c r="EN21" s="197"/>
      <c r="EO21" s="198"/>
      <c r="EP21" s="197"/>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5"/>
      <c r="GJ21" s="126"/>
      <c r="GL21" s="101"/>
      <c r="GM21" s="141"/>
      <c r="GN21" s="141"/>
      <c r="GO21" s="141"/>
      <c r="GP21" s="141"/>
      <c r="GQ21" s="141"/>
      <c r="GR21" s="141"/>
      <c r="GS21" s="141"/>
      <c r="GT21" s="141"/>
    </row>
    <row r="22" spans="1:206" ht="15" x14ac:dyDescent="0.2">
      <c r="A22" s="199"/>
      <c r="B22" s="199"/>
      <c r="D22" s="199"/>
    </row>
    <row r="23" spans="1:206" ht="15" x14ac:dyDescent="0.2">
      <c r="A23" s="199"/>
      <c r="B23" s="199"/>
      <c r="D23" s="199"/>
    </row>
    <row r="24" spans="1:206" ht="15" x14ac:dyDescent="0.2">
      <c r="A24" s="199"/>
      <c r="B24" s="199"/>
      <c r="D24" s="199"/>
    </row>
    <row r="25" spans="1:206" ht="15" x14ac:dyDescent="0.2">
      <c r="A25" s="199"/>
      <c r="B25" s="199"/>
      <c r="D25" s="199"/>
    </row>
    <row r="26" spans="1:206" ht="15" x14ac:dyDescent="0.2">
      <c r="A26" s="199"/>
      <c r="B26" s="199"/>
      <c r="D26" s="199"/>
    </row>
    <row r="27" spans="1:206" ht="15" x14ac:dyDescent="0.2">
      <c r="A27" s="199"/>
      <c r="B27" s="199"/>
      <c r="D27" s="199"/>
    </row>
    <row r="28" spans="1:206" ht="15" x14ac:dyDescent="0.2">
      <c r="A28" s="199"/>
      <c r="B28" s="199"/>
      <c r="D28" s="199"/>
    </row>
    <row r="29" spans="1:206" ht="15" x14ac:dyDescent="0.2">
      <c r="A29" s="199"/>
      <c r="B29" s="199"/>
      <c r="D29" s="199"/>
    </row>
    <row r="30" spans="1:206" ht="15" x14ac:dyDescent="0.2">
      <c r="A30" s="199"/>
      <c r="B30" s="199"/>
      <c r="D30" s="199"/>
    </row>
    <row r="31" spans="1:206" ht="15" x14ac:dyDescent="0.2">
      <c r="A31" s="199"/>
      <c r="B31" s="199"/>
      <c r="D31" s="199"/>
    </row>
    <row r="32" spans="1:206" ht="15" x14ac:dyDescent="0.2">
      <c r="A32" s="199"/>
      <c r="B32" s="199"/>
      <c r="D32" s="199"/>
    </row>
    <row r="33" spans="1:4" ht="15" x14ac:dyDescent="0.2">
      <c r="A33" s="199"/>
      <c r="B33" s="199"/>
      <c r="D33" s="199"/>
    </row>
    <row r="34" spans="1:4" ht="15" x14ac:dyDescent="0.2">
      <c r="A34" s="199"/>
      <c r="B34" s="199"/>
      <c r="D34" s="199"/>
    </row>
    <row r="35" spans="1:4" ht="15" x14ac:dyDescent="0.2">
      <c r="A35" s="199"/>
      <c r="B35" s="199"/>
      <c r="D35" s="199"/>
    </row>
    <row r="36" spans="1:4" ht="15" x14ac:dyDescent="0.2">
      <c r="A36" s="199"/>
      <c r="B36" s="199"/>
      <c r="D36" s="199"/>
    </row>
    <row r="37" spans="1:4" ht="15" x14ac:dyDescent="0.2">
      <c r="A37" s="199"/>
      <c r="B37" s="199"/>
      <c r="D37" s="199"/>
    </row>
    <row r="38" spans="1:4" ht="15" x14ac:dyDescent="0.2">
      <c r="A38" s="199"/>
      <c r="B38" s="199"/>
      <c r="D38" s="199"/>
    </row>
    <row r="39" spans="1:4" ht="15" x14ac:dyDescent="0.2">
      <c r="A39" s="199"/>
      <c r="B39" s="199"/>
      <c r="D39" s="199"/>
    </row>
    <row r="40" spans="1:4" ht="15" x14ac:dyDescent="0.2">
      <c r="A40" s="199"/>
      <c r="B40" s="199"/>
      <c r="D40" s="199"/>
    </row>
    <row r="41" spans="1:4" ht="15" x14ac:dyDescent="0.2">
      <c r="A41" s="199"/>
      <c r="B41" s="199"/>
      <c r="D41" s="199"/>
    </row>
    <row r="42" spans="1:4" ht="15" x14ac:dyDescent="0.2">
      <c r="A42" s="199"/>
      <c r="B42" s="199"/>
      <c r="D42" s="199"/>
    </row>
    <row r="43" spans="1:4" ht="15" x14ac:dyDescent="0.2">
      <c r="A43" s="199"/>
      <c r="B43" s="199"/>
      <c r="D43" s="199"/>
    </row>
    <row r="44" spans="1:4" ht="15" x14ac:dyDescent="0.2">
      <c r="A44" s="199"/>
      <c r="B44" s="199"/>
      <c r="D44" s="199"/>
    </row>
    <row r="45" spans="1:4" ht="15" x14ac:dyDescent="0.2">
      <c r="A45" s="199"/>
      <c r="B45" s="199"/>
      <c r="D45" s="199"/>
    </row>
    <row r="46" spans="1:4" ht="15" x14ac:dyDescent="0.2">
      <c r="A46" s="199"/>
      <c r="B46" s="199"/>
      <c r="D46" s="199"/>
    </row>
    <row r="47" spans="1:4" ht="15" x14ac:dyDescent="0.2">
      <c r="A47" s="199"/>
      <c r="B47" s="199"/>
      <c r="D47" s="199"/>
    </row>
    <row r="48" spans="1:4" ht="15" x14ac:dyDescent="0.2">
      <c r="A48" s="199"/>
      <c r="B48" s="199"/>
      <c r="D48" s="199"/>
    </row>
    <row r="49" spans="1:4" ht="15" x14ac:dyDescent="0.2">
      <c r="A49" s="199"/>
      <c r="B49" s="199"/>
      <c r="D49" s="199"/>
    </row>
    <row r="50" spans="1:4" ht="15" x14ac:dyDescent="0.2">
      <c r="A50" s="199"/>
      <c r="B50" s="199"/>
      <c r="D50" s="199"/>
    </row>
    <row r="51" spans="1:4" ht="15" x14ac:dyDescent="0.2">
      <c r="A51" s="199"/>
      <c r="B51" s="199"/>
      <c r="D51" s="199"/>
    </row>
    <row r="52" spans="1:4" ht="15" x14ac:dyDescent="0.2">
      <c r="A52" s="199"/>
      <c r="B52" s="199"/>
      <c r="D52" s="199"/>
    </row>
    <row r="53" spans="1:4" ht="15" x14ac:dyDescent="0.2">
      <c r="A53" s="199"/>
      <c r="B53" s="199"/>
      <c r="D53" s="199"/>
    </row>
    <row r="54" spans="1:4" ht="15" x14ac:dyDescent="0.2">
      <c r="A54" s="199"/>
      <c r="B54" s="199"/>
      <c r="D54" s="199"/>
    </row>
    <row r="55" spans="1:4" ht="15" x14ac:dyDescent="0.2">
      <c r="A55" s="199"/>
      <c r="B55" s="199"/>
      <c r="D55" s="199"/>
    </row>
    <row r="56" spans="1:4" ht="15" x14ac:dyDescent="0.2">
      <c r="A56" s="199"/>
      <c r="B56" s="199"/>
      <c r="D56" s="199"/>
    </row>
    <row r="57" spans="1:4" ht="15" x14ac:dyDescent="0.2">
      <c r="A57" s="199"/>
      <c r="B57" s="199"/>
      <c r="D57" s="199"/>
    </row>
    <row r="58" spans="1:4" ht="15" x14ac:dyDescent="0.2">
      <c r="A58" s="199"/>
      <c r="B58" s="199"/>
      <c r="D58" s="199"/>
    </row>
    <row r="59" spans="1:4" ht="15" x14ac:dyDescent="0.2">
      <c r="A59" s="199"/>
      <c r="B59" s="199"/>
      <c r="D59" s="199"/>
    </row>
    <row r="60" spans="1:4" ht="15" x14ac:dyDescent="0.2">
      <c r="A60" s="199"/>
      <c r="B60" s="199"/>
      <c r="D60" s="199"/>
    </row>
    <row r="61" spans="1:4" ht="15" x14ac:dyDescent="0.2">
      <c r="A61" s="199"/>
      <c r="B61" s="199"/>
      <c r="D61" s="199"/>
    </row>
    <row r="62" spans="1:4" ht="15" x14ac:dyDescent="0.2">
      <c r="A62" s="199"/>
      <c r="B62" s="199"/>
      <c r="D62" s="199"/>
    </row>
    <row r="63" spans="1:4" ht="15" x14ac:dyDescent="0.2">
      <c r="A63" s="199"/>
      <c r="B63" s="199"/>
      <c r="D63" s="199"/>
    </row>
    <row r="64" spans="1:4" ht="15" x14ac:dyDescent="0.2">
      <c r="A64" s="199"/>
      <c r="B64" s="199"/>
      <c r="D64" s="199"/>
    </row>
    <row r="65" spans="1:4" ht="15" x14ac:dyDescent="0.2">
      <c r="A65" s="199"/>
      <c r="B65" s="199"/>
      <c r="D65" s="199"/>
    </row>
    <row r="66" spans="1:4" ht="15" x14ac:dyDescent="0.2">
      <c r="A66" s="199"/>
      <c r="B66" s="199"/>
      <c r="D66" s="199"/>
    </row>
    <row r="67" spans="1:4" ht="15" x14ac:dyDescent="0.2">
      <c r="A67" s="199"/>
      <c r="B67" s="199"/>
      <c r="D67" s="199"/>
    </row>
    <row r="68" spans="1:4" ht="15" x14ac:dyDescent="0.2">
      <c r="A68" s="199"/>
      <c r="B68" s="199"/>
      <c r="D68" s="199"/>
    </row>
    <row r="69" spans="1:4" ht="15" x14ac:dyDescent="0.2">
      <c r="A69" s="199"/>
      <c r="B69" s="199"/>
      <c r="D69" s="199"/>
    </row>
    <row r="70" spans="1:4" ht="15" x14ac:dyDescent="0.2">
      <c r="A70" s="199"/>
      <c r="B70" s="199"/>
      <c r="D70" s="199"/>
    </row>
    <row r="71" spans="1:4" ht="15" x14ac:dyDescent="0.2">
      <c r="A71" s="199"/>
      <c r="B71" s="199"/>
      <c r="D71" s="199"/>
    </row>
    <row r="72" spans="1:4" ht="15" x14ac:dyDescent="0.2">
      <c r="A72" s="199"/>
      <c r="B72" s="199"/>
      <c r="D72" s="199"/>
    </row>
    <row r="73" spans="1:4" ht="15" x14ac:dyDescent="0.2">
      <c r="A73" s="199"/>
      <c r="B73" s="199"/>
      <c r="D73" s="199"/>
    </row>
    <row r="74" spans="1:4" ht="15" x14ac:dyDescent="0.2">
      <c r="A74" s="199"/>
      <c r="B74" s="199"/>
      <c r="D74" s="199"/>
    </row>
    <row r="75" spans="1:4" ht="15" x14ac:dyDescent="0.2">
      <c r="A75" s="199"/>
      <c r="B75" s="199"/>
      <c r="D75" s="199"/>
    </row>
    <row r="76" spans="1:4" ht="15" x14ac:dyDescent="0.2">
      <c r="A76" s="199"/>
      <c r="B76" s="199"/>
      <c r="D76" s="199"/>
    </row>
    <row r="77" spans="1:4" ht="15" x14ac:dyDescent="0.2">
      <c r="A77" s="199"/>
      <c r="B77" s="199"/>
      <c r="D77" s="199"/>
    </row>
    <row r="78" spans="1:4" ht="15" x14ac:dyDescent="0.2">
      <c r="A78" s="199"/>
      <c r="B78" s="199"/>
      <c r="D78" s="199"/>
    </row>
    <row r="79" spans="1:4" ht="15" x14ac:dyDescent="0.2">
      <c r="A79" s="199"/>
      <c r="B79" s="199"/>
      <c r="D79" s="199"/>
    </row>
    <row r="80" spans="1:4" ht="15" x14ac:dyDescent="0.2">
      <c r="A80" s="199"/>
      <c r="B80" s="199"/>
      <c r="D80" s="199"/>
    </row>
    <row r="81" spans="1:4" ht="15" x14ac:dyDescent="0.2">
      <c r="A81" s="199"/>
      <c r="B81" s="199"/>
      <c r="D81" s="199"/>
    </row>
    <row r="82" spans="1:4" ht="15" x14ac:dyDescent="0.2">
      <c r="A82" s="199"/>
      <c r="B82" s="199"/>
      <c r="D82" s="199"/>
    </row>
    <row r="83" spans="1:4" ht="15" x14ac:dyDescent="0.2">
      <c r="A83" s="199"/>
      <c r="B83" s="199"/>
      <c r="D83" s="199"/>
    </row>
    <row r="84" spans="1:4" ht="15" x14ac:dyDescent="0.2">
      <c r="A84" s="199"/>
      <c r="B84" s="199"/>
      <c r="D84" s="199"/>
    </row>
    <row r="85" spans="1:4" ht="15" x14ac:dyDescent="0.2">
      <c r="A85" s="199"/>
      <c r="B85" s="199"/>
      <c r="D85" s="199"/>
    </row>
    <row r="86" spans="1:4" ht="15" x14ac:dyDescent="0.2">
      <c r="A86" s="199"/>
      <c r="B86" s="199"/>
      <c r="D86" s="199"/>
    </row>
    <row r="87" spans="1:4" ht="15" x14ac:dyDescent="0.2">
      <c r="A87" s="199"/>
      <c r="B87" s="199"/>
      <c r="D87" s="199"/>
    </row>
    <row r="88" spans="1:4" ht="15" x14ac:dyDescent="0.2">
      <c r="A88" s="199"/>
      <c r="B88" s="199"/>
      <c r="D88" s="199"/>
    </row>
    <row r="89" spans="1:4" ht="15" x14ac:dyDescent="0.2">
      <c r="A89" s="199"/>
      <c r="B89" s="199"/>
      <c r="D89" s="199"/>
    </row>
    <row r="90" spans="1:4" ht="15" x14ac:dyDescent="0.2">
      <c r="A90" s="199"/>
      <c r="B90" s="199"/>
      <c r="D90" s="199"/>
    </row>
    <row r="91" spans="1:4" ht="15" x14ac:dyDescent="0.2">
      <c r="A91" s="199"/>
      <c r="B91" s="199"/>
      <c r="D91" s="199"/>
    </row>
    <row r="92" spans="1:4" ht="15" x14ac:dyDescent="0.2">
      <c r="A92" s="199"/>
      <c r="B92" s="199"/>
      <c r="D92" s="199"/>
    </row>
    <row r="93" spans="1:4" ht="15" x14ac:dyDescent="0.2">
      <c r="A93" s="199"/>
      <c r="B93" s="199"/>
      <c r="D93" s="199"/>
    </row>
    <row r="94" spans="1:4" ht="15" x14ac:dyDescent="0.2">
      <c r="A94" s="199"/>
      <c r="B94" s="199"/>
      <c r="D94" s="199"/>
    </row>
    <row r="95" spans="1:4" ht="15" x14ac:dyDescent="0.2">
      <c r="A95" s="199"/>
      <c r="B95" s="199"/>
      <c r="D95" s="199"/>
    </row>
    <row r="96" spans="1:4" ht="15" x14ac:dyDescent="0.2">
      <c r="A96" s="199"/>
      <c r="B96" s="199"/>
      <c r="D96" s="199"/>
    </row>
    <row r="97" spans="1:4" ht="15" x14ac:dyDescent="0.2">
      <c r="A97" s="199"/>
      <c r="B97" s="199"/>
      <c r="D97" s="199"/>
    </row>
    <row r="98" spans="1:4" ht="15" x14ac:dyDescent="0.2">
      <c r="A98" s="199"/>
      <c r="B98" s="199"/>
      <c r="D98" s="199"/>
    </row>
    <row r="99" spans="1:4" ht="15" x14ac:dyDescent="0.2">
      <c r="A99" s="199"/>
      <c r="B99" s="199"/>
      <c r="D99" s="199"/>
    </row>
    <row r="100" spans="1:4" ht="15" x14ac:dyDescent="0.2">
      <c r="A100" s="199"/>
      <c r="B100" s="199"/>
      <c r="D100" s="199"/>
    </row>
    <row r="101" spans="1:4" ht="15" x14ac:dyDescent="0.2">
      <c r="A101" s="199"/>
      <c r="B101" s="199"/>
      <c r="D101" s="199"/>
    </row>
    <row r="102" spans="1:4" ht="15" x14ac:dyDescent="0.2">
      <c r="A102" s="199"/>
      <c r="B102" s="199"/>
      <c r="D102" s="199"/>
    </row>
    <row r="103" spans="1:4" ht="15" x14ac:dyDescent="0.2">
      <c r="A103" s="199"/>
      <c r="B103" s="199"/>
      <c r="D103" s="199"/>
    </row>
    <row r="104" spans="1:4" ht="15" x14ac:dyDescent="0.2">
      <c r="A104" s="199"/>
      <c r="B104" s="199"/>
      <c r="D104" s="199"/>
    </row>
    <row r="105" spans="1:4" ht="15" x14ac:dyDescent="0.2">
      <c r="A105" s="199"/>
      <c r="B105" s="199"/>
      <c r="D105" s="199"/>
    </row>
    <row r="106" spans="1:4" ht="15" x14ac:dyDescent="0.2">
      <c r="A106" s="199"/>
      <c r="B106" s="199"/>
      <c r="D106" s="199"/>
    </row>
    <row r="107" spans="1:4" ht="15" x14ac:dyDescent="0.2">
      <c r="A107" s="199"/>
      <c r="B107" s="199"/>
      <c r="D107" s="199"/>
    </row>
    <row r="108" spans="1:4" ht="15" x14ac:dyDescent="0.2">
      <c r="A108" s="199"/>
      <c r="B108" s="199"/>
      <c r="D108" s="199"/>
    </row>
    <row r="109" spans="1:4" ht="15" x14ac:dyDescent="0.2">
      <c r="A109" s="199"/>
      <c r="B109" s="199"/>
      <c r="D109" s="199"/>
    </row>
    <row r="110" spans="1:4" ht="15" x14ac:dyDescent="0.2">
      <c r="A110" s="199"/>
      <c r="B110" s="199"/>
      <c r="D110" s="199"/>
    </row>
    <row r="111" spans="1:4" ht="15" x14ac:dyDescent="0.2">
      <c r="A111" s="199"/>
      <c r="B111" s="199"/>
      <c r="D111" s="199"/>
    </row>
    <row r="112" spans="1:4" ht="15" x14ac:dyDescent="0.2">
      <c r="A112" s="199"/>
      <c r="B112" s="199"/>
      <c r="D112" s="199"/>
    </row>
    <row r="113" spans="1:4" ht="15" x14ac:dyDescent="0.2">
      <c r="A113" s="199"/>
      <c r="B113" s="199"/>
      <c r="D113" s="199"/>
    </row>
    <row r="114" spans="1:4" ht="15" x14ac:dyDescent="0.2">
      <c r="A114" s="199"/>
      <c r="B114" s="199"/>
      <c r="D114" s="199"/>
    </row>
    <row r="115" spans="1:4" ht="15" x14ac:dyDescent="0.2">
      <c r="A115" s="199"/>
      <c r="B115" s="199"/>
      <c r="D115" s="199"/>
    </row>
    <row r="116" spans="1:4" ht="15" x14ac:dyDescent="0.2">
      <c r="A116" s="199"/>
      <c r="B116" s="199"/>
      <c r="D116" s="199"/>
    </row>
    <row r="117" spans="1:4" ht="15" x14ac:dyDescent="0.2">
      <c r="A117" s="199"/>
      <c r="B117" s="199"/>
      <c r="D117" s="199"/>
    </row>
    <row r="118" spans="1:4" ht="15" x14ac:dyDescent="0.2">
      <c r="A118" s="199"/>
      <c r="B118" s="199"/>
      <c r="D118" s="199"/>
    </row>
    <row r="119" spans="1:4" ht="15" x14ac:dyDescent="0.2">
      <c r="A119" s="199"/>
      <c r="B119" s="199"/>
      <c r="D119" s="199"/>
    </row>
    <row r="120" spans="1:4" ht="15" x14ac:dyDescent="0.2">
      <c r="A120" s="199"/>
      <c r="B120" s="199"/>
      <c r="D120" s="199"/>
    </row>
    <row r="121" spans="1:4" ht="15" x14ac:dyDescent="0.2">
      <c r="A121" s="199"/>
      <c r="B121" s="199"/>
      <c r="D121" s="199"/>
    </row>
    <row r="122" spans="1:4" ht="15" x14ac:dyDescent="0.2">
      <c r="A122" s="199"/>
      <c r="B122" s="199"/>
      <c r="D122" s="199"/>
    </row>
    <row r="123" spans="1:4" ht="15" x14ac:dyDescent="0.2">
      <c r="A123" s="199"/>
      <c r="B123" s="199"/>
      <c r="D123" s="199"/>
    </row>
    <row r="124" spans="1:4" ht="15" x14ac:dyDescent="0.2">
      <c r="A124" s="199"/>
      <c r="B124" s="199"/>
      <c r="D124" s="199"/>
    </row>
    <row r="125" spans="1:4" ht="15" x14ac:dyDescent="0.2">
      <c r="A125" s="199"/>
      <c r="B125" s="199"/>
      <c r="D125" s="199"/>
    </row>
    <row r="126" spans="1:4" ht="15" x14ac:dyDescent="0.2">
      <c r="A126" s="199"/>
      <c r="B126" s="199"/>
      <c r="D126" s="199"/>
    </row>
    <row r="127" spans="1:4" ht="15" x14ac:dyDescent="0.2">
      <c r="A127" s="199"/>
      <c r="B127" s="199"/>
      <c r="D127" s="199"/>
    </row>
    <row r="128" spans="1:4" ht="15" x14ac:dyDescent="0.2">
      <c r="A128" s="199"/>
      <c r="B128" s="199"/>
      <c r="D128" s="199"/>
    </row>
    <row r="129" spans="1:4" ht="15" x14ac:dyDescent="0.2">
      <c r="A129" s="199"/>
      <c r="B129" s="199"/>
      <c r="D129" s="199"/>
    </row>
    <row r="130" spans="1:4" ht="15" x14ac:dyDescent="0.2">
      <c r="A130" s="199"/>
      <c r="B130" s="199"/>
      <c r="D130" s="199"/>
    </row>
    <row r="131" spans="1:4" ht="15" x14ac:dyDescent="0.2">
      <c r="A131" s="199"/>
      <c r="B131" s="199"/>
      <c r="D131" s="199"/>
    </row>
    <row r="132" spans="1:4" ht="15" x14ac:dyDescent="0.2">
      <c r="A132" s="199"/>
      <c r="B132" s="199"/>
      <c r="D132" s="199"/>
    </row>
    <row r="133" spans="1:4" ht="15" x14ac:dyDescent="0.2">
      <c r="A133" s="199"/>
      <c r="B133" s="199"/>
      <c r="D133" s="199"/>
    </row>
    <row r="134" spans="1:4" ht="15" x14ac:dyDescent="0.2">
      <c r="A134" s="199"/>
      <c r="B134" s="199"/>
      <c r="D134" s="199"/>
    </row>
    <row r="135" spans="1:4" ht="15" x14ac:dyDescent="0.2">
      <c r="A135" s="199"/>
      <c r="B135" s="199"/>
      <c r="D135" s="199"/>
    </row>
    <row r="136" spans="1:4" ht="15" x14ac:dyDescent="0.2">
      <c r="A136" s="199"/>
      <c r="B136" s="199"/>
      <c r="D136" s="199"/>
    </row>
    <row r="137" spans="1:4" ht="15" x14ac:dyDescent="0.2">
      <c r="A137" s="199"/>
      <c r="B137" s="199"/>
      <c r="D137" s="199"/>
    </row>
    <row r="138" spans="1:4" ht="15" x14ac:dyDescent="0.2">
      <c r="A138" s="199"/>
      <c r="B138" s="199"/>
      <c r="D138" s="199"/>
    </row>
    <row r="139" spans="1:4" ht="15" x14ac:dyDescent="0.2">
      <c r="A139" s="199"/>
      <c r="B139" s="199"/>
      <c r="D139" s="199"/>
    </row>
    <row r="140" spans="1:4" ht="15" x14ac:dyDescent="0.2">
      <c r="A140" s="199"/>
      <c r="B140" s="199"/>
      <c r="D140" s="199"/>
    </row>
    <row r="141" spans="1:4" ht="15" x14ac:dyDescent="0.2">
      <c r="A141" s="199"/>
      <c r="B141" s="199"/>
      <c r="D141" s="199"/>
    </row>
    <row r="142" spans="1:4" ht="15" x14ac:dyDescent="0.2">
      <c r="A142" s="199"/>
      <c r="B142" s="199"/>
      <c r="D142" s="199"/>
    </row>
    <row r="143" spans="1:4" ht="15" x14ac:dyDescent="0.2">
      <c r="A143" s="199"/>
      <c r="B143" s="199"/>
      <c r="D143" s="199"/>
    </row>
    <row r="144" spans="1:4" ht="15" x14ac:dyDescent="0.2">
      <c r="A144" s="199"/>
      <c r="B144" s="199"/>
      <c r="D144" s="199"/>
    </row>
    <row r="145" spans="1:4" ht="15" x14ac:dyDescent="0.2">
      <c r="A145" s="199"/>
      <c r="B145" s="199"/>
      <c r="D145" s="199"/>
    </row>
    <row r="146" spans="1:4" ht="15" x14ac:dyDescent="0.2">
      <c r="A146" s="199"/>
      <c r="B146" s="199"/>
      <c r="D146" s="199"/>
    </row>
    <row r="147" spans="1:4" ht="15" x14ac:dyDescent="0.2">
      <c r="A147" s="199"/>
      <c r="B147" s="199"/>
      <c r="D147" s="199"/>
    </row>
    <row r="148" spans="1:4" ht="15" x14ac:dyDescent="0.2">
      <c r="A148" s="199"/>
      <c r="B148" s="199"/>
      <c r="D148" s="199"/>
    </row>
    <row r="149" spans="1:4" ht="15" x14ac:dyDescent="0.2">
      <c r="A149" s="199"/>
      <c r="B149" s="199"/>
      <c r="D149" s="199"/>
    </row>
    <row r="150" spans="1:4" ht="15" x14ac:dyDescent="0.2">
      <c r="A150" s="199"/>
      <c r="B150" s="199"/>
      <c r="D150" s="199"/>
    </row>
    <row r="151" spans="1:4" ht="15" x14ac:dyDescent="0.2">
      <c r="A151" s="199"/>
      <c r="B151" s="199"/>
      <c r="D151" s="199"/>
    </row>
    <row r="152" spans="1:4" ht="15" x14ac:dyDescent="0.2">
      <c r="A152" s="199"/>
      <c r="B152" s="199"/>
      <c r="D152" s="199"/>
    </row>
    <row r="153" spans="1:4" ht="15" x14ac:dyDescent="0.2">
      <c r="A153" s="199"/>
      <c r="B153" s="199"/>
      <c r="D153" s="199"/>
    </row>
    <row r="154" spans="1:4" ht="15" x14ac:dyDescent="0.2">
      <c r="A154" s="199"/>
      <c r="B154" s="199"/>
      <c r="D154" s="199"/>
    </row>
    <row r="155" spans="1:4" ht="15" x14ac:dyDescent="0.2">
      <c r="A155" s="199"/>
      <c r="B155" s="199"/>
      <c r="D155" s="199"/>
    </row>
    <row r="156" spans="1:4" ht="15" x14ac:dyDescent="0.2">
      <c r="A156" s="199"/>
      <c r="B156" s="199"/>
      <c r="D156" s="199"/>
    </row>
    <row r="157" spans="1:4" ht="15" x14ac:dyDescent="0.2">
      <c r="A157" s="199"/>
      <c r="B157" s="199"/>
      <c r="D157" s="199"/>
    </row>
    <row r="158" spans="1:4" ht="15" x14ac:dyDescent="0.2">
      <c r="A158" s="199"/>
      <c r="B158" s="199"/>
      <c r="D158" s="199"/>
    </row>
    <row r="159" spans="1:4" ht="15" x14ac:dyDescent="0.2">
      <c r="A159" s="199"/>
      <c r="B159" s="199"/>
      <c r="D159" s="199"/>
    </row>
    <row r="160" spans="1:4" ht="15" x14ac:dyDescent="0.2">
      <c r="A160" s="199"/>
      <c r="B160" s="199"/>
      <c r="D160" s="199"/>
    </row>
    <row r="161" spans="1:4" ht="15" x14ac:dyDescent="0.2">
      <c r="A161" s="199"/>
      <c r="B161" s="199"/>
      <c r="D161" s="199"/>
    </row>
    <row r="162" spans="1:4" ht="15" x14ac:dyDescent="0.2">
      <c r="A162" s="199"/>
      <c r="B162" s="199"/>
      <c r="D162" s="199"/>
    </row>
    <row r="163" spans="1:4" ht="15" x14ac:dyDescent="0.2">
      <c r="A163" s="199"/>
      <c r="B163" s="199"/>
      <c r="D163" s="199"/>
    </row>
    <row r="164" spans="1:4" ht="15" x14ac:dyDescent="0.2">
      <c r="A164" s="199"/>
      <c r="B164" s="199"/>
      <c r="D164" s="199"/>
    </row>
    <row r="165" spans="1:4" ht="15" x14ac:dyDescent="0.2">
      <c r="A165" s="199"/>
      <c r="B165" s="199"/>
      <c r="D165" s="199"/>
    </row>
    <row r="166" spans="1:4" ht="15" x14ac:dyDescent="0.2">
      <c r="A166" s="199"/>
      <c r="B166" s="199"/>
      <c r="D166" s="199"/>
    </row>
    <row r="167" spans="1:4" ht="15" x14ac:dyDescent="0.2">
      <c r="A167" s="199"/>
      <c r="B167" s="199"/>
      <c r="D167" s="199"/>
    </row>
    <row r="168" spans="1:4" ht="15" x14ac:dyDescent="0.2">
      <c r="A168" s="199"/>
      <c r="B168" s="199"/>
      <c r="D168" s="199"/>
    </row>
    <row r="169" spans="1:4" ht="15" x14ac:dyDescent="0.2">
      <c r="A169" s="199"/>
      <c r="B169" s="199"/>
      <c r="D169" s="199"/>
    </row>
    <row r="170" spans="1:4" ht="15" x14ac:dyDescent="0.2">
      <c r="A170" s="199"/>
      <c r="B170" s="199"/>
      <c r="D170" s="199"/>
    </row>
    <row r="171" spans="1:4" ht="15" x14ac:dyDescent="0.2">
      <c r="A171" s="199"/>
      <c r="B171" s="199"/>
      <c r="D171" s="199"/>
    </row>
    <row r="172" spans="1:4" ht="15" x14ac:dyDescent="0.2">
      <c r="A172" s="199"/>
      <c r="B172" s="199"/>
      <c r="D172" s="199"/>
    </row>
    <row r="173" spans="1:4" ht="15" x14ac:dyDescent="0.2">
      <c r="A173" s="199"/>
      <c r="B173" s="199"/>
      <c r="D173" s="199"/>
    </row>
    <row r="174" spans="1:4" ht="15" x14ac:dyDescent="0.2">
      <c r="A174" s="199"/>
      <c r="B174" s="199"/>
      <c r="D174" s="199"/>
    </row>
    <row r="175" spans="1:4" ht="15" x14ac:dyDescent="0.2">
      <c r="A175" s="199"/>
      <c r="B175" s="199"/>
      <c r="D175" s="199"/>
    </row>
    <row r="176" spans="1:4" ht="15" x14ac:dyDescent="0.2">
      <c r="A176" s="199"/>
      <c r="B176" s="199"/>
      <c r="D176" s="199"/>
    </row>
    <row r="177" spans="1:4" ht="15" x14ac:dyDescent="0.2">
      <c r="A177" s="199"/>
      <c r="B177" s="199"/>
      <c r="D177" s="199"/>
    </row>
    <row r="178" spans="1:4" ht="15" x14ac:dyDescent="0.2">
      <c r="A178" s="199"/>
      <c r="B178" s="199"/>
      <c r="D178" s="199"/>
    </row>
    <row r="179" spans="1:4" ht="15" x14ac:dyDescent="0.2">
      <c r="A179" s="199"/>
      <c r="B179" s="199"/>
      <c r="D179" s="199"/>
    </row>
    <row r="180" spans="1:4" ht="15" x14ac:dyDescent="0.2">
      <c r="A180" s="199"/>
      <c r="B180" s="199"/>
      <c r="D180" s="199"/>
    </row>
    <row r="181" spans="1:4" ht="15" x14ac:dyDescent="0.2">
      <c r="A181" s="199"/>
      <c r="B181" s="199"/>
      <c r="D181" s="199"/>
    </row>
    <row r="182" spans="1:4" ht="15" x14ac:dyDescent="0.2">
      <c r="A182" s="199"/>
      <c r="B182" s="199"/>
      <c r="D182" s="199"/>
    </row>
    <row r="183" spans="1:4" ht="15" x14ac:dyDescent="0.2">
      <c r="A183" s="199"/>
      <c r="B183" s="199"/>
      <c r="D183" s="199"/>
    </row>
    <row r="184" spans="1:4" ht="15" x14ac:dyDescent="0.2">
      <c r="A184" s="199"/>
      <c r="B184" s="199"/>
      <c r="D184" s="199"/>
    </row>
    <row r="185" spans="1:4" ht="15" x14ac:dyDescent="0.2">
      <c r="A185" s="199"/>
      <c r="B185" s="199"/>
      <c r="D185" s="199"/>
    </row>
    <row r="186" spans="1:4" ht="15" x14ac:dyDescent="0.2">
      <c r="A186" s="199"/>
      <c r="B186" s="199"/>
      <c r="D186" s="199"/>
    </row>
    <row r="187" spans="1:4" ht="15" x14ac:dyDescent="0.2">
      <c r="A187" s="199"/>
      <c r="B187" s="199"/>
      <c r="D187" s="199"/>
    </row>
    <row r="188" spans="1:4" ht="15" x14ac:dyDescent="0.2">
      <c r="A188" s="199"/>
      <c r="B188" s="199"/>
      <c r="D188" s="199"/>
    </row>
    <row r="189" spans="1:4" ht="15" x14ac:dyDescent="0.2">
      <c r="A189" s="199"/>
      <c r="B189" s="199"/>
      <c r="D189" s="199"/>
    </row>
    <row r="190" spans="1:4" ht="15" x14ac:dyDescent="0.2">
      <c r="A190" s="199"/>
      <c r="B190" s="199"/>
      <c r="D190" s="199"/>
    </row>
    <row r="191" spans="1:4" ht="15" x14ac:dyDescent="0.2">
      <c r="A191" s="199"/>
      <c r="B191" s="199"/>
      <c r="D191" s="199"/>
    </row>
    <row r="192" spans="1:4" ht="15" x14ac:dyDescent="0.2">
      <c r="A192" s="199"/>
      <c r="B192" s="199"/>
      <c r="D192" s="199"/>
    </row>
    <row r="193" spans="1:4" ht="15" x14ac:dyDescent="0.2">
      <c r="A193" s="199"/>
      <c r="B193" s="199"/>
      <c r="D193" s="199"/>
    </row>
    <row r="194" spans="1:4" ht="15" x14ac:dyDescent="0.2">
      <c r="A194" s="199"/>
      <c r="B194" s="199"/>
      <c r="D194" s="199"/>
    </row>
    <row r="195" spans="1:4" ht="15" x14ac:dyDescent="0.2">
      <c r="A195" s="199"/>
      <c r="B195" s="199"/>
      <c r="D195" s="199"/>
    </row>
    <row r="196" spans="1:4" ht="15" x14ac:dyDescent="0.2">
      <c r="A196" s="199"/>
      <c r="B196" s="199"/>
      <c r="D196" s="199"/>
    </row>
    <row r="197" spans="1:4" ht="15" x14ac:dyDescent="0.2">
      <c r="A197" s="199"/>
      <c r="B197" s="199"/>
      <c r="D197" s="199"/>
    </row>
    <row r="198" spans="1:4" ht="15" x14ac:dyDescent="0.2">
      <c r="A198" s="199"/>
      <c r="B198" s="199"/>
      <c r="D198" s="199"/>
    </row>
    <row r="199" spans="1:4" ht="15" x14ac:dyDescent="0.2">
      <c r="A199" s="199"/>
      <c r="B199" s="199"/>
      <c r="D199" s="199"/>
    </row>
    <row r="200" spans="1:4" ht="15" x14ac:dyDescent="0.2">
      <c r="A200" s="199"/>
      <c r="B200" s="199"/>
      <c r="D200" s="199"/>
    </row>
    <row r="201" spans="1:4" ht="15" x14ac:dyDescent="0.2">
      <c r="A201" s="199"/>
      <c r="B201" s="199"/>
      <c r="D201" s="199"/>
    </row>
    <row r="202" spans="1:4" ht="15" x14ac:dyDescent="0.2">
      <c r="A202" s="199"/>
      <c r="B202" s="199"/>
      <c r="D202" s="199"/>
    </row>
    <row r="203" spans="1:4" ht="15" x14ac:dyDescent="0.2">
      <c r="A203" s="199"/>
      <c r="B203" s="199"/>
      <c r="D203" s="199"/>
    </row>
    <row r="204" spans="1:4" ht="15" x14ac:dyDescent="0.2">
      <c r="A204" s="199"/>
      <c r="B204" s="199"/>
      <c r="D204" s="199"/>
    </row>
    <row r="205" spans="1:4" ht="15" x14ac:dyDescent="0.2">
      <c r="A205" s="199"/>
      <c r="B205" s="199"/>
      <c r="D205" s="199"/>
    </row>
    <row r="206" spans="1:4" ht="15" x14ac:dyDescent="0.2">
      <c r="A206" s="199"/>
      <c r="B206" s="199"/>
      <c r="D206" s="199"/>
    </row>
    <row r="207" spans="1:4" ht="15" x14ac:dyDescent="0.2">
      <c r="A207" s="199"/>
      <c r="B207" s="199"/>
      <c r="D207" s="199"/>
    </row>
    <row r="208" spans="1:4" ht="15" x14ac:dyDescent="0.2">
      <c r="A208" s="199"/>
      <c r="B208" s="199"/>
      <c r="D208" s="199"/>
    </row>
    <row r="209" spans="1:4" ht="15" x14ac:dyDescent="0.2">
      <c r="A209" s="199"/>
      <c r="B209" s="199"/>
      <c r="D209" s="199"/>
    </row>
    <row r="210" spans="1:4" ht="15" x14ac:dyDescent="0.2">
      <c r="A210" s="199"/>
      <c r="B210" s="199"/>
      <c r="D210" s="199"/>
    </row>
    <row r="211" spans="1:4" ht="15" x14ac:dyDescent="0.2">
      <c r="A211" s="199"/>
      <c r="B211" s="199"/>
      <c r="D211" s="199"/>
    </row>
    <row r="212" spans="1:4" ht="15" x14ac:dyDescent="0.2">
      <c r="A212" s="199"/>
      <c r="B212" s="199"/>
      <c r="D212" s="199"/>
    </row>
    <row r="213" spans="1:4" ht="15" x14ac:dyDescent="0.2">
      <c r="A213" s="199"/>
      <c r="B213" s="199"/>
      <c r="D213" s="199"/>
    </row>
    <row r="214" spans="1:4" ht="15" x14ac:dyDescent="0.2">
      <c r="A214" s="199"/>
      <c r="B214" s="199"/>
      <c r="D214" s="199"/>
    </row>
    <row r="215" spans="1:4" ht="15" x14ac:dyDescent="0.2">
      <c r="A215" s="199"/>
      <c r="B215" s="199"/>
      <c r="D215" s="199"/>
    </row>
    <row r="216" spans="1:4" ht="15" x14ac:dyDescent="0.2">
      <c r="A216" s="199"/>
      <c r="B216" s="199"/>
      <c r="D216" s="199"/>
    </row>
    <row r="217" spans="1:4" ht="15" x14ac:dyDescent="0.2">
      <c r="A217" s="199"/>
      <c r="B217" s="199"/>
      <c r="D217" s="199"/>
    </row>
    <row r="218" spans="1:4" ht="15" x14ac:dyDescent="0.2">
      <c r="A218" s="199"/>
      <c r="B218" s="199"/>
      <c r="D218" s="199"/>
    </row>
    <row r="219" spans="1:4" ht="15" x14ac:dyDescent="0.2">
      <c r="A219" s="199"/>
      <c r="B219" s="199"/>
      <c r="D219" s="199"/>
    </row>
    <row r="220" spans="1:4" ht="15" x14ac:dyDescent="0.2">
      <c r="A220" s="199"/>
      <c r="B220" s="199"/>
      <c r="D220" s="199"/>
    </row>
    <row r="221" spans="1:4" ht="15" x14ac:dyDescent="0.2">
      <c r="A221" s="199"/>
      <c r="B221" s="199"/>
      <c r="D221" s="199"/>
    </row>
    <row r="222" spans="1:4" ht="15" x14ac:dyDescent="0.2">
      <c r="A222" s="199"/>
      <c r="B222" s="199"/>
      <c r="D222" s="199"/>
    </row>
    <row r="223" spans="1:4" ht="15" x14ac:dyDescent="0.2">
      <c r="A223" s="199"/>
      <c r="B223" s="199"/>
      <c r="D223" s="199"/>
    </row>
    <row r="224" spans="1:4" ht="15" x14ac:dyDescent="0.2">
      <c r="A224" s="199"/>
      <c r="B224" s="199"/>
      <c r="D224" s="199"/>
    </row>
    <row r="225" spans="1:4" ht="15" x14ac:dyDescent="0.2">
      <c r="A225" s="199"/>
      <c r="B225" s="199"/>
      <c r="D225" s="199"/>
    </row>
    <row r="226" spans="1:4" ht="15" x14ac:dyDescent="0.2">
      <c r="A226" s="199"/>
      <c r="B226" s="199"/>
      <c r="D226" s="199"/>
    </row>
    <row r="227" spans="1:4" ht="15" x14ac:dyDescent="0.2">
      <c r="A227" s="199"/>
      <c r="B227" s="199"/>
      <c r="D227" s="199"/>
    </row>
    <row r="228" spans="1:4" ht="15" x14ac:dyDescent="0.2">
      <c r="A228" s="199"/>
      <c r="B228" s="199"/>
      <c r="D228" s="199"/>
    </row>
    <row r="229" spans="1:4" ht="15" x14ac:dyDescent="0.2">
      <c r="A229" s="199"/>
      <c r="B229" s="199"/>
      <c r="D229" s="199"/>
    </row>
    <row r="230" spans="1:4" ht="15" x14ac:dyDescent="0.2">
      <c r="A230" s="199"/>
      <c r="B230" s="199"/>
      <c r="D230" s="199"/>
    </row>
    <row r="231" spans="1:4" ht="15" x14ac:dyDescent="0.2">
      <c r="A231" s="199"/>
      <c r="B231" s="199"/>
      <c r="D231" s="199"/>
    </row>
    <row r="232" spans="1:4" ht="15" x14ac:dyDescent="0.2">
      <c r="A232" s="199"/>
      <c r="B232" s="199"/>
      <c r="D232" s="199"/>
    </row>
    <row r="233" spans="1:4" ht="15" x14ac:dyDescent="0.2">
      <c r="A233" s="199"/>
      <c r="B233" s="199"/>
      <c r="D233" s="199"/>
    </row>
    <row r="234" spans="1:4" ht="15" x14ac:dyDescent="0.2">
      <c r="A234" s="199"/>
      <c r="B234" s="199"/>
      <c r="D234" s="199"/>
    </row>
    <row r="235" spans="1:4" ht="15" x14ac:dyDescent="0.2">
      <c r="A235" s="199"/>
      <c r="B235" s="199"/>
      <c r="D235" s="199"/>
    </row>
    <row r="236" spans="1:4" ht="15" x14ac:dyDescent="0.2">
      <c r="A236" s="199"/>
      <c r="B236" s="199"/>
      <c r="D236" s="199"/>
    </row>
    <row r="237" spans="1:4" ht="15" x14ac:dyDescent="0.2">
      <c r="A237" s="199"/>
      <c r="B237" s="199"/>
      <c r="D237" s="199"/>
    </row>
    <row r="238" spans="1:4" ht="15" x14ac:dyDescent="0.2">
      <c r="A238" s="199"/>
      <c r="B238" s="199"/>
      <c r="D238" s="199"/>
    </row>
    <row r="239" spans="1:4" ht="15" x14ac:dyDescent="0.2">
      <c r="A239" s="199"/>
      <c r="B239" s="199"/>
      <c r="D239" s="199"/>
    </row>
    <row r="240" spans="1:4" ht="15" x14ac:dyDescent="0.2">
      <c r="A240" s="199"/>
      <c r="B240" s="199"/>
      <c r="D240" s="199"/>
    </row>
    <row r="241" spans="1:4" ht="15" x14ac:dyDescent="0.2">
      <c r="A241" s="199"/>
      <c r="B241" s="199"/>
      <c r="D241" s="199"/>
    </row>
    <row r="242" spans="1:4" ht="15" x14ac:dyDescent="0.2">
      <c r="A242" s="199"/>
      <c r="B242" s="199"/>
      <c r="D242" s="199"/>
    </row>
    <row r="243" spans="1:4" ht="15" x14ac:dyDescent="0.2">
      <c r="A243" s="199"/>
      <c r="B243" s="199"/>
      <c r="D243" s="199"/>
    </row>
    <row r="244" spans="1:4" ht="15" x14ac:dyDescent="0.2">
      <c r="A244" s="199"/>
      <c r="B244" s="199"/>
      <c r="D244" s="199"/>
    </row>
    <row r="245" spans="1:4" ht="15" x14ac:dyDescent="0.2">
      <c r="A245" s="199"/>
      <c r="B245" s="199"/>
      <c r="D245" s="199"/>
    </row>
    <row r="246" spans="1:4" ht="15" x14ac:dyDescent="0.2">
      <c r="A246" s="199"/>
      <c r="B246" s="199"/>
      <c r="D246" s="199"/>
    </row>
    <row r="247" spans="1:4" ht="15" x14ac:dyDescent="0.2">
      <c r="A247" s="199"/>
      <c r="B247" s="199"/>
      <c r="D247" s="199"/>
    </row>
    <row r="248" spans="1:4" ht="15" x14ac:dyDescent="0.2">
      <c r="A248" s="199"/>
      <c r="B248" s="199"/>
      <c r="D248" s="199"/>
    </row>
    <row r="249" spans="1:4" ht="15" x14ac:dyDescent="0.2">
      <c r="A249" s="199"/>
      <c r="B249" s="199"/>
      <c r="D249" s="199"/>
    </row>
    <row r="250" spans="1:4" ht="15" x14ac:dyDescent="0.2">
      <c r="A250" s="199"/>
      <c r="B250" s="199"/>
      <c r="D250" s="199"/>
    </row>
    <row r="251" spans="1:4" ht="15" x14ac:dyDescent="0.2">
      <c r="A251" s="199"/>
      <c r="B251" s="199"/>
      <c r="D251" s="199"/>
    </row>
    <row r="252" spans="1:4" ht="15" x14ac:dyDescent="0.2">
      <c r="A252" s="199"/>
      <c r="B252" s="199"/>
      <c r="D252" s="199"/>
    </row>
    <row r="253" spans="1:4" ht="15" x14ac:dyDescent="0.2">
      <c r="A253" s="199"/>
      <c r="B253" s="199"/>
      <c r="D253" s="199"/>
    </row>
    <row r="254" spans="1:4" ht="15" x14ac:dyDescent="0.2">
      <c r="A254" s="199"/>
      <c r="B254" s="199"/>
      <c r="D254" s="199"/>
    </row>
    <row r="255" spans="1:4" ht="15" x14ac:dyDescent="0.2">
      <c r="A255" s="199"/>
      <c r="B255" s="199"/>
      <c r="D255" s="199"/>
    </row>
    <row r="256" spans="1:4" ht="15" x14ac:dyDescent="0.2">
      <c r="A256" s="199"/>
      <c r="B256" s="199"/>
      <c r="D256" s="199"/>
    </row>
    <row r="257" spans="1:4" ht="15" x14ac:dyDescent="0.2">
      <c r="A257" s="199"/>
      <c r="B257" s="199"/>
      <c r="D257" s="199"/>
    </row>
    <row r="258" spans="1:4" ht="15" x14ac:dyDescent="0.2">
      <c r="A258" s="199"/>
      <c r="B258" s="199"/>
      <c r="D258" s="199"/>
    </row>
    <row r="259" spans="1:4" ht="15" x14ac:dyDescent="0.2">
      <c r="A259" s="199"/>
      <c r="B259" s="199"/>
      <c r="D259" s="199"/>
    </row>
    <row r="260" spans="1:4" ht="15" x14ac:dyDescent="0.2">
      <c r="A260" s="199"/>
      <c r="B260" s="199"/>
      <c r="D260" s="199"/>
    </row>
    <row r="261" spans="1:4" ht="15" x14ac:dyDescent="0.2">
      <c r="A261" s="199"/>
      <c r="B261" s="199"/>
      <c r="D261" s="199"/>
    </row>
    <row r="262" spans="1:4" ht="15" x14ac:dyDescent="0.2">
      <c r="A262" s="199"/>
      <c r="B262" s="199"/>
      <c r="D262" s="199"/>
    </row>
    <row r="263" spans="1:4" ht="15" x14ac:dyDescent="0.2">
      <c r="A263" s="199"/>
      <c r="B263" s="199"/>
      <c r="D263" s="199"/>
    </row>
    <row r="264" spans="1:4" ht="15" x14ac:dyDescent="0.2">
      <c r="A264" s="199"/>
      <c r="B264" s="199"/>
      <c r="D264" s="199"/>
    </row>
    <row r="265" spans="1:4" ht="15" x14ac:dyDescent="0.2">
      <c r="A265" s="199"/>
      <c r="B265" s="199"/>
      <c r="D265" s="199"/>
    </row>
    <row r="266" spans="1:4" ht="15" x14ac:dyDescent="0.2">
      <c r="A266" s="199"/>
      <c r="B266" s="199"/>
      <c r="D266" s="199"/>
    </row>
    <row r="267" spans="1:4" ht="15" x14ac:dyDescent="0.2">
      <c r="A267" s="199"/>
      <c r="B267" s="199"/>
      <c r="D267" s="199"/>
    </row>
    <row r="268" spans="1:4" ht="15" x14ac:dyDescent="0.2">
      <c r="A268" s="199"/>
      <c r="B268" s="199"/>
      <c r="D268" s="199"/>
    </row>
    <row r="269" spans="1:4" ht="15" x14ac:dyDescent="0.2">
      <c r="A269" s="199"/>
      <c r="B269" s="199"/>
      <c r="D269" s="199"/>
    </row>
    <row r="270" spans="1:4" ht="15" x14ac:dyDescent="0.2">
      <c r="A270" s="199"/>
      <c r="B270" s="199"/>
      <c r="D270" s="199"/>
    </row>
    <row r="271" spans="1:4" ht="15" x14ac:dyDescent="0.2">
      <c r="A271" s="199"/>
      <c r="B271" s="199"/>
      <c r="D271" s="199"/>
    </row>
    <row r="272" spans="1:4" ht="15" x14ac:dyDescent="0.2">
      <c r="A272" s="199"/>
      <c r="B272" s="199"/>
      <c r="D272" s="199"/>
    </row>
    <row r="273" spans="1:4" ht="15" x14ac:dyDescent="0.2">
      <c r="A273" s="199"/>
      <c r="B273" s="199"/>
      <c r="D273" s="199"/>
    </row>
    <row r="274" spans="1:4" ht="15" x14ac:dyDescent="0.2">
      <c r="A274" s="199"/>
      <c r="B274" s="199"/>
      <c r="D274" s="199"/>
    </row>
    <row r="275" spans="1:4" ht="15" x14ac:dyDescent="0.2">
      <c r="A275" s="199"/>
      <c r="B275" s="199"/>
      <c r="D275" s="199"/>
    </row>
    <row r="276" spans="1:4" ht="15" x14ac:dyDescent="0.2">
      <c r="A276" s="199"/>
      <c r="B276" s="199"/>
      <c r="D276" s="199"/>
    </row>
    <row r="277" spans="1:4" ht="15" x14ac:dyDescent="0.2">
      <c r="A277" s="199"/>
      <c r="B277" s="199"/>
      <c r="D277" s="199"/>
    </row>
    <row r="278" spans="1:4" ht="15" x14ac:dyDescent="0.2">
      <c r="A278" s="199"/>
      <c r="B278" s="199"/>
      <c r="D278" s="199"/>
    </row>
    <row r="279" spans="1:4" ht="15" x14ac:dyDescent="0.2">
      <c r="A279" s="199"/>
      <c r="B279" s="199"/>
      <c r="D279" s="199"/>
    </row>
    <row r="280" spans="1:4" ht="15" x14ac:dyDescent="0.2">
      <c r="A280" s="199"/>
      <c r="B280" s="199"/>
      <c r="D280" s="199"/>
    </row>
    <row r="281" spans="1:4" ht="15" x14ac:dyDescent="0.2">
      <c r="A281" s="199"/>
      <c r="B281" s="199"/>
      <c r="D281" s="199"/>
    </row>
    <row r="282" spans="1:4" ht="15" x14ac:dyDescent="0.2">
      <c r="A282" s="199"/>
      <c r="B282" s="199"/>
      <c r="D282" s="199"/>
    </row>
    <row r="283" spans="1:4" ht="15" x14ac:dyDescent="0.2">
      <c r="A283" s="199"/>
      <c r="B283" s="199"/>
      <c r="D283" s="199"/>
    </row>
    <row r="284" spans="1:4" ht="15" x14ac:dyDescent="0.2">
      <c r="A284" s="199"/>
      <c r="B284" s="199"/>
      <c r="D284" s="199"/>
    </row>
    <row r="285" spans="1:4" ht="15" x14ac:dyDescent="0.2">
      <c r="A285" s="199"/>
      <c r="B285" s="199"/>
      <c r="D285" s="199"/>
    </row>
    <row r="286" spans="1:4" ht="15" x14ac:dyDescent="0.2">
      <c r="A286" s="199"/>
      <c r="B286" s="199"/>
      <c r="D286" s="199"/>
    </row>
    <row r="287" spans="1:4" ht="15" x14ac:dyDescent="0.2">
      <c r="A287" s="199"/>
      <c r="B287" s="199"/>
      <c r="D287" s="199"/>
    </row>
    <row r="288" spans="1:4" ht="15" x14ac:dyDescent="0.2">
      <c r="A288" s="199"/>
      <c r="B288" s="199"/>
      <c r="D288" s="199"/>
    </row>
    <row r="289" spans="1:4" ht="15" x14ac:dyDescent="0.2">
      <c r="A289" s="199"/>
      <c r="B289" s="199"/>
      <c r="D289" s="199"/>
    </row>
    <row r="290" spans="1:4" ht="15" x14ac:dyDescent="0.2">
      <c r="A290" s="199"/>
      <c r="B290" s="199"/>
      <c r="D290" s="199"/>
    </row>
    <row r="291" spans="1:4" ht="15" x14ac:dyDescent="0.2">
      <c r="A291" s="199"/>
      <c r="B291" s="199"/>
      <c r="D291" s="199"/>
    </row>
    <row r="292" spans="1:4" ht="15" x14ac:dyDescent="0.2">
      <c r="A292" s="199"/>
      <c r="B292" s="199"/>
      <c r="D292" s="199"/>
    </row>
    <row r="293" spans="1:4" ht="15" x14ac:dyDescent="0.2">
      <c r="A293" s="199"/>
      <c r="B293" s="199"/>
      <c r="D293" s="199"/>
    </row>
    <row r="294" spans="1:4" ht="15" x14ac:dyDescent="0.2">
      <c r="A294" s="199"/>
      <c r="B294" s="199"/>
      <c r="D294" s="199"/>
    </row>
    <row r="295" spans="1:4" ht="15" x14ac:dyDescent="0.2">
      <c r="A295" s="199"/>
      <c r="B295" s="199"/>
      <c r="D295" s="199"/>
    </row>
    <row r="296" spans="1:4" ht="15" x14ac:dyDescent="0.2">
      <c r="A296" s="199"/>
      <c r="B296" s="199"/>
      <c r="D296" s="199"/>
    </row>
    <row r="297" spans="1:4" ht="15" x14ac:dyDescent="0.2">
      <c r="A297" s="199"/>
      <c r="B297" s="199"/>
      <c r="D297" s="199"/>
    </row>
    <row r="298" spans="1:4" ht="15" x14ac:dyDescent="0.2">
      <c r="A298" s="199"/>
      <c r="B298" s="199"/>
      <c r="D298" s="199"/>
    </row>
    <row r="299" spans="1:4" ht="15" x14ac:dyDescent="0.2">
      <c r="A299" s="199"/>
      <c r="B299" s="199"/>
      <c r="D299" s="199"/>
    </row>
    <row r="300" spans="1:4" ht="15" x14ac:dyDescent="0.2">
      <c r="A300" s="199"/>
      <c r="B300" s="199"/>
      <c r="D300" s="199"/>
    </row>
    <row r="301" spans="1:4" ht="15" x14ac:dyDescent="0.2">
      <c r="A301" s="199"/>
      <c r="B301" s="199"/>
      <c r="D301" s="199"/>
    </row>
    <row r="302" spans="1:4" ht="15" x14ac:dyDescent="0.2">
      <c r="A302" s="199"/>
      <c r="B302" s="199"/>
      <c r="D302" s="199"/>
    </row>
    <row r="303" spans="1:4" ht="15" x14ac:dyDescent="0.2">
      <c r="A303" s="199"/>
      <c r="B303" s="199"/>
      <c r="D303" s="199"/>
    </row>
    <row r="304" spans="1:4" ht="15" x14ac:dyDescent="0.2">
      <c r="A304" s="199"/>
      <c r="B304" s="199"/>
      <c r="D304" s="199"/>
    </row>
    <row r="305" spans="1:4" ht="15" x14ac:dyDescent="0.2">
      <c r="A305" s="199"/>
      <c r="B305" s="199"/>
      <c r="D305" s="199"/>
    </row>
    <row r="306" spans="1:4" ht="15" x14ac:dyDescent="0.2">
      <c r="A306" s="199"/>
      <c r="B306" s="199"/>
      <c r="D306" s="199"/>
    </row>
    <row r="307" spans="1:4" ht="15" x14ac:dyDescent="0.2">
      <c r="A307" s="199"/>
      <c r="B307" s="199"/>
      <c r="D307" s="199"/>
    </row>
    <row r="308" spans="1:4" ht="15" x14ac:dyDescent="0.2">
      <c r="A308" s="199"/>
      <c r="B308" s="199"/>
      <c r="D308" s="199"/>
    </row>
    <row r="309" spans="1:4" ht="15" x14ac:dyDescent="0.2">
      <c r="A309" s="199"/>
      <c r="B309" s="199"/>
      <c r="D309" s="199"/>
    </row>
    <row r="310" spans="1:4" ht="15" x14ac:dyDescent="0.2">
      <c r="A310" s="199"/>
      <c r="B310" s="199"/>
      <c r="D310" s="199"/>
    </row>
    <row r="311" spans="1:4" ht="15" x14ac:dyDescent="0.2">
      <c r="A311" s="199"/>
      <c r="B311" s="199"/>
      <c r="D311" s="199"/>
    </row>
    <row r="312" spans="1:4" ht="15" x14ac:dyDescent="0.2">
      <c r="A312" s="199"/>
      <c r="B312" s="199"/>
      <c r="D312" s="199"/>
    </row>
    <row r="313" spans="1:4" ht="15" x14ac:dyDescent="0.2">
      <c r="A313" s="199"/>
      <c r="B313" s="199"/>
      <c r="D313" s="199"/>
    </row>
    <row r="314" spans="1:4" ht="15" x14ac:dyDescent="0.2">
      <c r="A314" s="199"/>
      <c r="B314" s="199"/>
      <c r="D314" s="199"/>
    </row>
    <row r="315" spans="1:4" ht="15" x14ac:dyDescent="0.2">
      <c r="A315" s="199"/>
      <c r="B315" s="199"/>
      <c r="D315" s="199"/>
    </row>
    <row r="316" spans="1:4" ht="15" x14ac:dyDescent="0.2">
      <c r="A316" s="199"/>
      <c r="B316" s="199"/>
      <c r="D316" s="199"/>
    </row>
    <row r="317" spans="1:4" ht="15" x14ac:dyDescent="0.2">
      <c r="A317" s="199"/>
      <c r="B317" s="199"/>
      <c r="D317" s="199"/>
    </row>
    <row r="318" spans="1:4" ht="15" x14ac:dyDescent="0.2">
      <c r="A318" s="199"/>
      <c r="B318" s="199"/>
      <c r="D318" s="199"/>
    </row>
    <row r="319" spans="1:4" ht="15" x14ac:dyDescent="0.2">
      <c r="A319" s="199"/>
      <c r="B319" s="199"/>
      <c r="D319" s="199"/>
    </row>
    <row r="320" spans="1:4" ht="15" x14ac:dyDescent="0.2">
      <c r="A320" s="199"/>
      <c r="B320" s="199"/>
      <c r="D320" s="199"/>
    </row>
    <row r="321" spans="1:4" ht="15" x14ac:dyDescent="0.2">
      <c r="A321" s="199"/>
      <c r="B321" s="199"/>
      <c r="D321" s="199"/>
    </row>
    <row r="322" spans="1:4" ht="15" x14ac:dyDescent="0.2">
      <c r="A322" s="199"/>
      <c r="B322" s="199"/>
      <c r="D322" s="199"/>
    </row>
    <row r="323" spans="1:4" ht="15" x14ac:dyDescent="0.2">
      <c r="A323" s="199"/>
      <c r="B323" s="199"/>
      <c r="D323" s="199"/>
    </row>
    <row r="324" spans="1:4" ht="15" x14ac:dyDescent="0.2">
      <c r="A324" s="199"/>
      <c r="B324" s="199"/>
      <c r="D324" s="199"/>
    </row>
    <row r="325" spans="1:4" ht="15" x14ac:dyDescent="0.2">
      <c r="A325" s="199"/>
      <c r="B325" s="199"/>
      <c r="D325" s="199"/>
    </row>
    <row r="326" spans="1:4" ht="15" x14ac:dyDescent="0.2">
      <c r="A326" s="199"/>
      <c r="B326" s="199"/>
      <c r="D326" s="199"/>
    </row>
    <row r="327" spans="1:4" ht="15" x14ac:dyDescent="0.2">
      <c r="A327" s="199"/>
      <c r="B327" s="199"/>
      <c r="D327" s="199"/>
    </row>
    <row r="328" spans="1:4" ht="15" x14ac:dyDescent="0.2">
      <c r="A328" s="199"/>
      <c r="B328" s="199"/>
      <c r="D328" s="199"/>
    </row>
    <row r="329" spans="1:4" ht="15" x14ac:dyDescent="0.2">
      <c r="A329" s="199"/>
      <c r="B329" s="199"/>
      <c r="D329" s="199"/>
    </row>
    <row r="330" spans="1:4" ht="15" x14ac:dyDescent="0.2">
      <c r="A330" s="199"/>
      <c r="B330" s="199"/>
      <c r="D330" s="199"/>
    </row>
    <row r="331" spans="1:4" ht="15" x14ac:dyDescent="0.2">
      <c r="A331" s="199"/>
      <c r="B331" s="199"/>
      <c r="D331" s="199"/>
    </row>
    <row r="332" spans="1:4" ht="15" x14ac:dyDescent="0.2">
      <c r="A332" s="199"/>
      <c r="B332" s="199"/>
      <c r="D332" s="199"/>
    </row>
    <row r="333" spans="1:4" ht="15" x14ac:dyDescent="0.2">
      <c r="A333" s="199"/>
      <c r="B333" s="199"/>
      <c r="D333" s="199"/>
    </row>
    <row r="334" spans="1:4" ht="15" x14ac:dyDescent="0.2">
      <c r="A334" s="199"/>
      <c r="B334" s="199"/>
      <c r="D334" s="199"/>
    </row>
    <row r="335" spans="1:4" ht="15" x14ac:dyDescent="0.2">
      <c r="A335" s="199"/>
      <c r="B335" s="199"/>
      <c r="D335" s="199"/>
    </row>
    <row r="336" spans="1:4" ht="15" x14ac:dyDescent="0.2">
      <c r="A336" s="199"/>
      <c r="B336" s="199"/>
      <c r="D336" s="199"/>
    </row>
    <row r="337" spans="1:4" ht="15" x14ac:dyDescent="0.2">
      <c r="A337" s="199"/>
      <c r="B337" s="199"/>
      <c r="D337" s="199"/>
    </row>
    <row r="338" spans="1:4" ht="15" x14ac:dyDescent="0.2">
      <c r="A338" s="199"/>
      <c r="B338" s="199"/>
      <c r="D338" s="199"/>
    </row>
    <row r="339" spans="1:4" ht="15" x14ac:dyDescent="0.2">
      <c r="A339" s="199"/>
      <c r="B339" s="199"/>
      <c r="D339" s="199"/>
    </row>
    <row r="340" spans="1:4" ht="15" x14ac:dyDescent="0.2">
      <c r="A340" s="199"/>
      <c r="B340" s="199"/>
      <c r="D340" s="199"/>
    </row>
    <row r="341" spans="1:4" ht="15" x14ac:dyDescent="0.2">
      <c r="A341" s="199"/>
      <c r="B341" s="199"/>
      <c r="D341" s="199"/>
    </row>
    <row r="342" spans="1:4" ht="15" x14ac:dyDescent="0.2">
      <c r="A342" s="199"/>
      <c r="B342" s="199"/>
      <c r="D342" s="199"/>
    </row>
    <row r="343" spans="1:4" ht="15" x14ac:dyDescent="0.2">
      <c r="A343" s="199"/>
      <c r="B343" s="199"/>
      <c r="D343" s="199"/>
    </row>
    <row r="344" spans="1:4" ht="15" x14ac:dyDescent="0.2">
      <c r="A344" s="199"/>
      <c r="B344" s="199"/>
      <c r="D344" s="199"/>
    </row>
    <row r="345" spans="1:4" ht="15" x14ac:dyDescent="0.2">
      <c r="A345" s="199"/>
      <c r="B345" s="199"/>
      <c r="D345" s="199"/>
    </row>
    <row r="346" spans="1:4" ht="15" x14ac:dyDescent="0.2">
      <c r="A346" s="199"/>
      <c r="B346" s="199"/>
      <c r="D346" s="199"/>
    </row>
    <row r="347" spans="1:4" ht="15" x14ac:dyDescent="0.2">
      <c r="A347" s="199"/>
      <c r="B347" s="199"/>
      <c r="D347" s="199"/>
    </row>
    <row r="348" spans="1:4" ht="15" x14ac:dyDescent="0.2">
      <c r="A348" s="199"/>
      <c r="B348" s="199"/>
      <c r="D348" s="199"/>
    </row>
    <row r="349" spans="1:4" ht="15" x14ac:dyDescent="0.2">
      <c r="A349" s="199"/>
      <c r="B349" s="199"/>
      <c r="D349" s="199"/>
    </row>
    <row r="350" spans="1:4" ht="15" x14ac:dyDescent="0.2">
      <c r="A350" s="199"/>
      <c r="B350" s="199"/>
      <c r="D350" s="199"/>
    </row>
    <row r="351" spans="1:4" ht="15" x14ac:dyDescent="0.2">
      <c r="A351" s="199"/>
      <c r="B351" s="199"/>
      <c r="D351" s="199"/>
    </row>
    <row r="352" spans="1:4" ht="15" x14ac:dyDescent="0.2">
      <c r="A352" s="199"/>
      <c r="B352" s="199"/>
      <c r="D352" s="199"/>
    </row>
    <row r="353" spans="1:4" ht="15" x14ac:dyDescent="0.2">
      <c r="A353" s="199"/>
      <c r="B353" s="199"/>
      <c r="D353" s="199"/>
    </row>
    <row r="354" spans="1:4" ht="15" x14ac:dyDescent="0.2">
      <c r="A354" s="199"/>
      <c r="B354" s="199"/>
      <c r="D354" s="199"/>
    </row>
    <row r="355" spans="1:4" ht="15" x14ac:dyDescent="0.2">
      <c r="A355" s="199"/>
      <c r="B355" s="199"/>
      <c r="D355" s="199"/>
    </row>
    <row r="356" spans="1:4" ht="15" x14ac:dyDescent="0.2">
      <c r="A356" s="199"/>
      <c r="B356" s="199"/>
      <c r="D356" s="199"/>
    </row>
    <row r="357" spans="1:4" ht="15" x14ac:dyDescent="0.2">
      <c r="A357" s="199"/>
      <c r="B357" s="199"/>
      <c r="D357" s="199"/>
    </row>
    <row r="358" spans="1:4" ht="15" x14ac:dyDescent="0.2">
      <c r="A358" s="199"/>
      <c r="B358" s="199"/>
      <c r="D358" s="199"/>
    </row>
    <row r="359" spans="1:4" ht="15" x14ac:dyDescent="0.2">
      <c r="A359" s="199"/>
      <c r="B359" s="199"/>
      <c r="D359" s="199"/>
    </row>
    <row r="360" spans="1:4" ht="15" x14ac:dyDescent="0.2">
      <c r="A360" s="199"/>
      <c r="B360" s="199"/>
      <c r="D360" s="199"/>
    </row>
    <row r="361" spans="1:4" ht="15" x14ac:dyDescent="0.2">
      <c r="A361" s="199"/>
      <c r="B361" s="199"/>
      <c r="D361" s="199"/>
    </row>
    <row r="362" spans="1:4" ht="15" x14ac:dyDescent="0.2">
      <c r="A362" s="199"/>
      <c r="B362" s="199"/>
      <c r="D362" s="199"/>
    </row>
    <row r="363" spans="1:4" ht="15" x14ac:dyDescent="0.2">
      <c r="A363" s="199"/>
      <c r="B363" s="199"/>
      <c r="D363" s="199"/>
    </row>
    <row r="364" spans="1:4" ht="15" x14ac:dyDescent="0.2">
      <c r="A364" s="199"/>
      <c r="B364" s="199"/>
      <c r="D364" s="199"/>
    </row>
    <row r="365" spans="1:4" ht="15" x14ac:dyDescent="0.2">
      <c r="A365" s="199"/>
      <c r="B365" s="199"/>
      <c r="D365" s="199"/>
    </row>
    <row r="366" spans="1:4" ht="15" x14ac:dyDescent="0.2">
      <c r="A366" s="199"/>
      <c r="B366" s="199"/>
      <c r="D366" s="199"/>
    </row>
    <row r="367" spans="1:4" ht="15" x14ac:dyDescent="0.2">
      <c r="A367" s="199"/>
      <c r="B367" s="199"/>
      <c r="D367" s="199"/>
    </row>
    <row r="368" spans="1:4" ht="15" x14ac:dyDescent="0.2">
      <c r="A368" s="199"/>
      <c r="B368" s="199"/>
      <c r="D368" s="199"/>
    </row>
    <row r="369" spans="1:4" ht="15" x14ac:dyDescent="0.2">
      <c r="A369" s="199"/>
      <c r="B369" s="199"/>
      <c r="D369" s="199"/>
    </row>
    <row r="370" spans="1:4" ht="15" x14ac:dyDescent="0.2">
      <c r="A370" s="199"/>
      <c r="B370" s="199"/>
      <c r="D370" s="199"/>
    </row>
    <row r="371" spans="1:4" ht="15" x14ac:dyDescent="0.2">
      <c r="A371" s="199"/>
      <c r="B371" s="199"/>
      <c r="D371" s="199"/>
    </row>
    <row r="372" spans="1:4" ht="15" x14ac:dyDescent="0.2">
      <c r="A372" s="199"/>
      <c r="B372" s="199"/>
      <c r="D372" s="199"/>
    </row>
    <row r="373" spans="1:4" ht="15" x14ac:dyDescent="0.2">
      <c r="A373" s="199"/>
      <c r="B373" s="199"/>
      <c r="D373" s="199"/>
    </row>
    <row r="374" spans="1:4" ht="15" x14ac:dyDescent="0.2">
      <c r="A374" s="199"/>
      <c r="B374" s="199"/>
      <c r="D374" s="199"/>
    </row>
    <row r="375" spans="1:4" ht="15" x14ac:dyDescent="0.2">
      <c r="A375" s="199"/>
      <c r="B375" s="199"/>
      <c r="D375" s="199"/>
    </row>
    <row r="376" spans="1:4" ht="15" x14ac:dyDescent="0.2">
      <c r="A376" s="199"/>
      <c r="B376" s="199"/>
      <c r="D376" s="199"/>
    </row>
    <row r="377" spans="1:4" ht="15" x14ac:dyDescent="0.2">
      <c r="A377" s="199"/>
      <c r="B377" s="199"/>
      <c r="D377" s="199"/>
    </row>
    <row r="378" spans="1:4" ht="15" x14ac:dyDescent="0.2">
      <c r="A378" s="199"/>
      <c r="B378" s="199"/>
      <c r="D378" s="199"/>
    </row>
    <row r="379" spans="1:4" ht="15" x14ac:dyDescent="0.2">
      <c r="A379" s="199"/>
      <c r="B379" s="199"/>
      <c r="D379" s="199"/>
    </row>
    <row r="380" spans="1:4" ht="15" x14ac:dyDescent="0.2">
      <c r="A380" s="199"/>
      <c r="B380" s="199"/>
      <c r="D380" s="199"/>
    </row>
    <row r="381" spans="1:4" ht="15" x14ac:dyDescent="0.2">
      <c r="A381" s="199"/>
      <c r="B381" s="199"/>
      <c r="D381" s="199"/>
    </row>
    <row r="382" spans="1:4" ht="15" x14ac:dyDescent="0.2">
      <c r="A382" s="199"/>
      <c r="B382" s="199"/>
      <c r="D382" s="199"/>
    </row>
    <row r="383" spans="1:4" ht="15" x14ac:dyDescent="0.2">
      <c r="A383" s="199"/>
      <c r="B383" s="199"/>
      <c r="D383" s="199"/>
    </row>
    <row r="384" spans="1:4" ht="15" x14ac:dyDescent="0.2">
      <c r="A384" s="199"/>
      <c r="B384" s="199"/>
      <c r="D384" s="199"/>
    </row>
    <row r="385" spans="1:4" ht="15" x14ac:dyDescent="0.2">
      <c r="A385" s="199"/>
      <c r="B385" s="199"/>
      <c r="D385" s="199"/>
    </row>
    <row r="386" spans="1:4" ht="15" x14ac:dyDescent="0.2">
      <c r="A386" s="199"/>
      <c r="B386" s="199"/>
      <c r="D386" s="199"/>
    </row>
    <row r="387" spans="1:4" ht="15" x14ac:dyDescent="0.2">
      <c r="A387" s="199"/>
      <c r="B387" s="199"/>
      <c r="D387" s="199"/>
    </row>
    <row r="388" spans="1:4" ht="15" x14ac:dyDescent="0.2">
      <c r="A388" s="199"/>
      <c r="B388" s="199"/>
      <c r="D388" s="199"/>
    </row>
    <row r="389" spans="1:4" ht="15" x14ac:dyDescent="0.2">
      <c r="A389" s="199"/>
      <c r="B389" s="199"/>
      <c r="D389" s="199"/>
    </row>
    <row r="390" spans="1:4" ht="15" x14ac:dyDescent="0.2">
      <c r="A390" s="199"/>
      <c r="B390" s="199"/>
      <c r="D390" s="199"/>
    </row>
    <row r="391" spans="1:4" ht="15" x14ac:dyDescent="0.2">
      <c r="A391" s="199"/>
      <c r="B391" s="199"/>
      <c r="D391" s="199"/>
    </row>
    <row r="392" spans="1:4" ht="15" x14ac:dyDescent="0.2">
      <c r="A392" s="199"/>
      <c r="B392" s="199"/>
      <c r="D392" s="199"/>
    </row>
    <row r="393" spans="1:4" ht="15" x14ac:dyDescent="0.2">
      <c r="A393" s="199"/>
      <c r="B393" s="199"/>
      <c r="D393" s="199"/>
    </row>
    <row r="394" spans="1:4" ht="15" x14ac:dyDescent="0.2">
      <c r="A394" s="199"/>
      <c r="B394" s="199"/>
      <c r="D394" s="199"/>
    </row>
    <row r="395" spans="1:4" ht="15" x14ac:dyDescent="0.2">
      <c r="A395" s="199"/>
      <c r="B395" s="199"/>
      <c r="D395" s="199"/>
    </row>
    <row r="396" spans="1:4" ht="15" x14ac:dyDescent="0.2">
      <c r="A396" s="199"/>
      <c r="B396" s="199"/>
      <c r="D396" s="199"/>
    </row>
    <row r="397" spans="1:4" ht="15" x14ac:dyDescent="0.2">
      <c r="A397" s="199"/>
      <c r="B397" s="199"/>
      <c r="D397" s="199"/>
    </row>
    <row r="398" spans="1:4" ht="15" x14ac:dyDescent="0.2">
      <c r="A398" s="199"/>
      <c r="B398" s="199"/>
      <c r="D398" s="199"/>
    </row>
    <row r="399" spans="1:4" ht="15" x14ac:dyDescent="0.2">
      <c r="A399" s="199"/>
      <c r="B399" s="199"/>
      <c r="D399" s="199"/>
    </row>
    <row r="400" spans="1:4" ht="15" x14ac:dyDescent="0.2">
      <c r="A400" s="199"/>
      <c r="B400" s="199"/>
      <c r="D400" s="199"/>
    </row>
    <row r="401" spans="1:4" ht="15" x14ac:dyDescent="0.2">
      <c r="A401" s="199"/>
      <c r="B401" s="199"/>
      <c r="D401" s="199"/>
    </row>
    <row r="402" spans="1:4" ht="15" x14ac:dyDescent="0.2">
      <c r="A402" s="199"/>
      <c r="B402" s="199"/>
      <c r="D402" s="199"/>
    </row>
    <row r="403" spans="1:4" ht="15" x14ac:dyDescent="0.2">
      <c r="A403" s="199"/>
      <c r="B403" s="199"/>
      <c r="D403" s="199"/>
    </row>
    <row r="404" spans="1:4" ht="15" x14ac:dyDescent="0.2">
      <c r="A404" s="199"/>
      <c r="B404" s="199"/>
      <c r="D404" s="199"/>
    </row>
    <row r="405" spans="1:4" ht="15" x14ac:dyDescent="0.2">
      <c r="A405" s="199"/>
      <c r="B405" s="199"/>
      <c r="D405" s="199"/>
    </row>
    <row r="406" spans="1:4" ht="15" x14ac:dyDescent="0.2">
      <c r="A406" s="199"/>
      <c r="B406" s="199"/>
      <c r="D406" s="199"/>
    </row>
    <row r="407" spans="1:4" ht="15" x14ac:dyDescent="0.2">
      <c r="A407" s="199"/>
      <c r="B407" s="199"/>
      <c r="D407" s="199"/>
    </row>
    <row r="408" spans="1:4" ht="15" x14ac:dyDescent="0.2">
      <c r="A408" s="199"/>
      <c r="B408" s="199"/>
      <c r="D408" s="199"/>
    </row>
    <row r="409" spans="1:4" ht="15" x14ac:dyDescent="0.2">
      <c r="A409" s="199"/>
      <c r="B409" s="199"/>
      <c r="D409" s="199"/>
    </row>
    <row r="410" spans="1:4" ht="15" x14ac:dyDescent="0.2">
      <c r="A410" s="199"/>
      <c r="B410" s="199"/>
      <c r="D410" s="199"/>
    </row>
    <row r="411" spans="1:4" ht="15" x14ac:dyDescent="0.2">
      <c r="A411" s="199"/>
      <c r="B411" s="199"/>
      <c r="D411" s="199"/>
    </row>
    <row r="412" spans="1:4" ht="15" x14ac:dyDescent="0.2">
      <c r="A412" s="199"/>
      <c r="B412" s="199"/>
      <c r="D412" s="199"/>
    </row>
    <row r="413" spans="1:4" ht="15" x14ac:dyDescent="0.2">
      <c r="A413" s="199"/>
      <c r="B413" s="199"/>
      <c r="D413" s="199"/>
    </row>
    <row r="414" spans="1:4" ht="15" x14ac:dyDescent="0.2">
      <c r="A414" s="199"/>
      <c r="B414" s="199"/>
      <c r="D414" s="199"/>
    </row>
    <row r="415" spans="1:4" ht="15" x14ac:dyDescent="0.2">
      <c r="A415" s="199"/>
      <c r="B415" s="199"/>
      <c r="D415" s="199"/>
    </row>
    <row r="416" spans="1:4" ht="15" x14ac:dyDescent="0.2">
      <c r="A416" s="199"/>
      <c r="B416" s="199"/>
      <c r="D416" s="199"/>
    </row>
    <row r="417" spans="1:4" ht="15" x14ac:dyDescent="0.2">
      <c r="A417" s="199"/>
      <c r="B417" s="199"/>
      <c r="D417" s="199"/>
    </row>
    <row r="418" spans="1:4" ht="15" x14ac:dyDescent="0.2">
      <c r="A418" s="199"/>
      <c r="B418" s="199"/>
      <c r="D418" s="199"/>
    </row>
    <row r="419" spans="1:4" ht="15" x14ac:dyDescent="0.2">
      <c r="A419" s="199"/>
      <c r="B419" s="199"/>
      <c r="D419" s="199"/>
    </row>
    <row r="420" spans="1:4" ht="15" x14ac:dyDescent="0.2">
      <c r="A420" s="199"/>
      <c r="B420" s="199"/>
      <c r="D420" s="199"/>
    </row>
    <row r="421" spans="1:4" ht="15" x14ac:dyDescent="0.2">
      <c r="A421" s="199"/>
      <c r="B421" s="199"/>
      <c r="D421" s="199"/>
    </row>
    <row r="422" spans="1:4" ht="15" x14ac:dyDescent="0.2">
      <c r="A422" s="199"/>
      <c r="B422" s="199"/>
      <c r="D422" s="199"/>
    </row>
    <row r="423" spans="1:4" ht="15" x14ac:dyDescent="0.2">
      <c r="A423" s="199"/>
      <c r="B423" s="199"/>
      <c r="D423" s="199"/>
    </row>
    <row r="424" spans="1:4" ht="15" x14ac:dyDescent="0.2">
      <c r="A424" s="199"/>
      <c r="B424" s="199"/>
      <c r="D424" s="199"/>
    </row>
    <row r="425" spans="1:4" ht="15" x14ac:dyDescent="0.2">
      <c r="A425" s="199"/>
      <c r="B425" s="199"/>
      <c r="D425" s="199"/>
    </row>
    <row r="426" spans="1:4" ht="15" x14ac:dyDescent="0.2">
      <c r="A426" s="199"/>
      <c r="B426" s="199"/>
      <c r="D426" s="199"/>
    </row>
    <row r="427" spans="1:4" ht="15" x14ac:dyDescent="0.2">
      <c r="A427" s="199"/>
      <c r="B427" s="199"/>
      <c r="D427" s="199"/>
    </row>
    <row r="428" spans="1:4" ht="15" x14ac:dyDescent="0.2">
      <c r="A428" s="199"/>
      <c r="B428" s="199"/>
      <c r="D428" s="199"/>
    </row>
    <row r="429" spans="1:4" ht="15" x14ac:dyDescent="0.2">
      <c r="A429" s="199"/>
      <c r="B429" s="199"/>
      <c r="D429" s="199"/>
    </row>
    <row r="430" spans="1:4" ht="15" x14ac:dyDescent="0.2">
      <c r="A430" s="199"/>
      <c r="B430" s="199"/>
      <c r="D430" s="199"/>
    </row>
    <row r="431" spans="1:4" ht="15" x14ac:dyDescent="0.2">
      <c r="A431" s="199"/>
      <c r="B431" s="199"/>
      <c r="D431" s="199"/>
    </row>
    <row r="432" spans="1:4" ht="15" x14ac:dyDescent="0.2">
      <c r="A432" s="199"/>
      <c r="B432" s="199"/>
      <c r="D432" s="199"/>
    </row>
    <row r="433" spans="1:4" ht="15" x14ac:dyDescent="0.2">
      <c r="A433" s="199"/>
      <c r="B433" s="199"/>
      <c r="D433" s="199"/>
    </row>
    <row r="434" spans="1:4" ht="15" x14ac:dyDescent="0.2">
      <c r="A434" s="199"/>
      <c r="B434" s="199"/>
      <c r="D434" s="199"/>
    </row>
    <row r="435" spans="1:4" ht="15" x14ac:dyDescent="0.2">
      <c r="A435" s="199"/>
      <c r="B435" s="199"/>
      <c r="D435" s="199"/>
    </row>
    <row r="436" spans="1:4" ht="15" x14ac:dyDescent="0.2">
      <c r="A436" s="199"/>
      <c r="B436" s="199"/>
      <c r="D436" s="199"/>
    </row>
    <row r="437" spans="1:4" ht="15" x14ac:dyDescent="0.2">
      <c r="A437" s="199"/>
      <c r="B437" s="199"/>
      <c r="D437" s="199"/>
    </row>
    <row r="438" spans="1:4" ht="15" x14ac:dyDescent="0.2">
      <c r="A438" s="199"/>
      <c r="B438" s="199"/>
      <c r="D438" s="199"/>
    </row>
    <row r="439" spans="1:4" ht="15" x14ac:dyDescent="0.2">
      <c r="A439" s="199"/>
      <c r="B439" s="199"/>
      <c r="D439" s="199"/>
    </row>
    <row r="440" spans="1:4" ht="15" x14ac:dyDescent="0.2">
      <c r="A440" s="199"/>
      <c r="B440" s="199"/>
      <c r="D440" s="199"/>
    </row>
    <row r="441" spans="1:4" ht="15" x14ac:dyDescent="0.2">
      <c r="A441" s="199"/>
      <c r="B441" s="199"/>
      <c r="D441" s="199"/>
    </row>
    <row r="442" spans="1:4" ht="15" x14ac:dyDescent="0.2">
      <c r="A442" s="199"/>
      <c r="B442" s="199"/>
      <c r="D442" s="199"/>
    </row>
    <row r="443" spans="1:4" ht="15" x14ac:dyDescent="0.2">
      <c r="A443" s="199"/>
      <c r="B443" s="199"/>
      <c r="D443" s="199"/>
    </row>
    <row r="444" spans="1:4" ht="15" x14ac:dyDescent="0.2">
      <c r="A444" s="199"/>
      <c r="B444" s="199"/>
      <c r="D444" s="199"/>
    </row>
    <row r="445" spans="1:4" ht="15" x14ac:dyDescent="0.2">
      <c r="A445" s="199"/>
      <c r="B445" s="199"/>
      <c r="D445" s="199"/>
    </row>
    <row r="446" spans="1:4" ht="15" x14ac:dyDescent="0.2">
      <c r="A446" s="199"/>
      <c r="B446" s="199"/>
      <c r="D446" s="199"/>
    </row>
    <row r="447" spans="1:4" ht="15" x14ac:dyDescent="0.2">
      <c r="A447" s="199"/>
      <c r="B447" s="199"/>
      <c r="D447" s="199"/>
    </row>
    <row r="448" spans="1:4" ht="15" x14ac:dyDescent="0.2">
      <c r="A448" s="199"/>
      <c r="B448" s="199"/>
      <c r="D448" s="199"/>
    </row>
    <row r="449" spans="1:4" ht="15" x14ac:dyDescent="0.2">
      <c r="A449" s="199"/>
      <c r="B449" s="199"/>
      <c r="D449" s="199"/>
    </row>
    <row r="450" spans="1:4" ht="15" x14ac:dyDescent="0.2">
      <c r="A450" s="199"/>
      <c r="B450" s="199"/>
      <c r="D450" s="199"/>
    </row>
    <row r="451" spans="1:4" ht="15" x14ac:dyDescent="0.2">
      <c r="A451" s="199"/>
      <c r="B451" s="199"/>
      <c r="D451" s="199"/>
    </row>
    <row r="452" spans="1:4" ht="15" x14ac:dyDescent="0.2">
      <c r="A452" s="199"/>
      <c r="B452" s="199"/>
      <c r="D452" s="199"/>
    </row>
    <row r="453" spans="1:4" ht="15" x14ac:dyDescent="0.2">
      <c r="A453" s="199"/>
      <c r="B453" s="199"/>
      <c r="D453" s="199"/>
    </row>
    <row r="454" spans="1:4" ht="15" x14ac:dyDescent="0.2">
      <c r="A454" s="199"/>
      <c r="B454" s="199"/>
      <c r="D454" s="199"/>
    </row>
    <row r="455" spans="1:4" ht="15" x14ac:dyDescent="0.2">
      <c r="A455" s="199"/>
      <c r="B455" s="199"/>
      <c r="D455" s="199"/>
    </row>
    <row r="456" spans="1:4" ht="15" x14ac:dyDescent="0.2">
      <c r="A456" s="199"/>
      <c r="B456" s="199"/>
      <c r="D456" s="199"/>
    </row>
    <row r="457" spans="1:4" ht="15" x14ac:dyDescent="0.2">
      <c r="A457" s="199"/>
      <c r="B457" s="199"/>
      <c r="D457" s="199"/>
    </row>
    <row r="458" spans="1:4" ht="15" x14ac:dyDescent="0.2">
      <c r="A458" s="199"/>
      <c r="B458" s="199"/>
      <c r="D458" s="199"/>
    </row>
    <row r="459" spans="1:4" ht="15" x14ac:dyDescent="0.2">
      <c r="A459" s="199"/>
      <c r="B459" s="199"/>
      <c r="D459" s="199"/>
    </row>
    <row r="460" spans="1:4" ht="15" x14ac:dyDescent="0.2">
      <c r="A460" s="199"/>
      <c r="B460" s="199"/>
      <c r="D460" s="199"/>
    </row>
    <row r="461" spans="1:4" ht="15" x14ac:dyDescent="0.2">
      <c r="A461" s="199"/>
      <c r="B461" s="199"/>
      <c r="D461" s="199"/>
    </row>
    <row r="462" spans="1:4" ht="15" x14ac:dyDescent="0.2">
      <c r="A462" s="199"/>
      <c r="B462" s="199"/>
      <c r="D462" s="199"/>
    </row>
    <row r="463" spans="1:4" ht="15" x14ac:dyDescent="0.2">
      <c r="A463" s="199"/>
      <c r="B463" s="199"/>
      <c r="D463" s="199"/>
    </row>
    <row r="464" spans="1:4" ht="15" x14ac:dyDescent="0.2">
      <c r="A464" s="199"/>
      <c r="B464" s="199"/>
      <c r="D464" s="199"/>
    </row>
    <row r="465" spans="1:4" ht="15" x14ac:dyDescent="0.2">
      <c r="A465" s="199"/>
      <c r="B465" s="199"/>
      <c r="D465" s="199"/>
    </row>
    <row r="466" spans="1:4" ht="15" x14ac:dyDescent="0.2">
      <c r="A466" s="199"/>
      <c r="B466" s="199"/>
      <c r="D466" s="199"/>
    </row>
    <row r="467" spans="1:4" ht="15" x14ac:dyDescent="0.2">
      <c r="A467" s="199"/>
      <c r="B467" s="199"/>
      <c r="D467" s="199"/>
    </row>
    <row r="468" spans="1:4" ht="15" x14ac:dyDescent="0.2">
      <c r="A468" s="199"/>
      <c r="B468" s="199"/>
      <c r="D468" s="199"/>
    </row>
    <row r="469" spans="1:4" ht="15" x14ac:dyDescent="0.2">
      <c r="A469" s="199"/>
      <c r="B469" s="199"/>
      <c r="D469" s="199"/>
    </row>
    <row r="470" spans="1:4" ht="15" x14ac:dyDescent="0.2">
      <c r="A470" s="199"/>
      <c r="B470" s="199"/>
      <c r="D470" s="199"/>
    </row>
    <row r="471" spans="1:4" ht="15" x14ac:dyDescent="0.2">
      <c r="A471" s="199"/>
      <c r="B471" s="199"/>
      <c r="D471" s="199"/>
    </row>
    <row r="472" spans="1:4" ht="15" x14ac:dyDescent="0.2">
      <c r="A472" s="199"/>
      <c r="B472" s="199"/>
      <c r="D472" s="199"/>
    </row>
    <row r="473" spans="1:4" ht="15" x14ac:dyDescent="0.2">
      <c r="A473" s="199"/>
      <c r="B473" s="199"/>
      <c r="D473" s="199"/>
    </row>
    <row r="474" spans="1:4" ht="15" x14ac:dyDescent="0.2">
      <c r="A474" s="199"/>
      <c r="B474" s="199"/>
      <c r="D474" s="199"/>
    </row>
    <row r="475" spans="1:4" ht="15" x14ac:dyDescent="0.2">
      <c r="A475" s="199"/>
      <c r="B475" s="199"/>
      <c r="D475" s="199"/>
    </row>
    <row r="476" spans="1:4" ht="15" x14ac:dyDescent="0.2">
      <c r="A476" s="199"/>
      <c r="B476" s="199"/>
      <c r="D476" s="199"/>
    </row>
    <row r="477" spans="1:4" ht="15" x14ac:dyDescent="0.2">
      <c r="A477" s="199"/>
      <c r="B477" s="199"/>
      <c r="D477" s="199"/>
    </row>
    <row r="478" spans="1:4" ht="15" x14ac:dyDescent="0.2">
      <c r="A478" s="199"/>
      <c r="B478" s="199"/>
      <c r="D478" s="199"/>
    </row>
    <row r="479" spans="1:4" ht="15" x14ac:dyDescent="0.2">
      <c r="A479" s="199"/>
      <c r="B479" s="199"/>
      <c r="D479" s="199"/>
    </row>
    <row r="480" spans="1:4" ht="15" x14ac:dyDescent="0.2">
      <c r="A480" s="199"/>
      <c r="B480" s="199"/>
      <c r="D480" s="199"/>
    </row>
    <row r="481" spans="1:4" ht="15" x14ac:dyDescent="0.2">
      <c r="A481" s="199"/>
      <c r="B481" s="199"/>
      <c r="D481" s="199"/>
    </row>
    <row r="482" spans="1:4" ht="15" x14ac:dyDescent="0.2">
      <c r="A482" s="199"/>
      <c r="B482" s="199"/>
      <c r="D482" s="199"/>
    </row>
    <row r="483" spans="1:4" ht="15" x14ac:dyDescent="0.2">
      <c r="A483" s="199"/>
      <c r="B483" s="199"/>
      <c r="D483" s="199"/>
    </row>
    <row r="484" spans="1:4" ht="15" x14ac:dyDescent="0.2">
      <c r="A484" s="199"/>
      <c r="B484" s="199"/>
      <c r="D484" s="199"/>
    </row>
    <row r="485" spans="1:4" ht="15" x14ac:dyDescent="0.2">
      <c r="A485" s="199"/>
      <c r="B485" s="199"/>
      <c r="D485" s="199"/>
    </row>
    <row r="486" spans="1:4" ht="15" x14ac:dyDescent="0.2">
      <c r="A486" s="199"/>
      <c r="B486" s="199"/>
      <c r="D486" s="199"/>
    </row>
    <row r="487" spans="1:4" ht="15" x14ac:dyDescent="0.2">
      <c r="A487" s="199"/>
      <c r="B487" s="199"/>
      <c r="D487" s="199"/>
    </row>
    <row r="488" spans="1:4" ht="15" x14ac:dyDescent="0.2">
      <c r="A488" s="199"/>
      <c r="B488" s="199"/>
      <c r="D488" s="199"/>
    </row>
    <row r="489" spans="1:4" ht="15" x14ac:dyDescent="0.2">
      <c r="A489" s="199"/>
      <c r="B489" s="199"/>
      <c r="D489" s="199"/>
    </row>
    <row r="490" spans="1:4" ht="15" x14ac:dyDescent="0.2">
      <c r="A490" s="199"/>
      <c r="B490" s="199"/>
      <c r="D490" s="199"/>
    </row>
    <row r="491" spans="1:4" ht="15" x14ac:dyDescent="0.2">
      <c r="A491" s="199"/>
      <c r="B491" s="199"/>
      <c r="D491" s="199"/>
    </row>
    <row r="492" spans="1:4" ht="15" x14ac:dyDescent="0.2">
      <c r="A492" s="199"/>
      <c r="B492" s="199"/>
      <c r="D492" s="199"/>
    </row>
    <row r="493" spans="1:4" ht="15" x14ac:dyDescent="0.2">
      <c r="A493" s="199"/>
      <c r="B493" s="199"/>
      <c r="D493" s="199"/>
    </row>
    <row r="494" spans="1:4" ht="15" x14ac:dyDescent="0.2">
      <c r="A494" s="199"/>
      <c r="B494" s="199"/>
      <c r="D494" s="199"/>
    </row>
    <row r="495" spans="1:4" ht="15" x14ac:dyDescent="0.2">
      <c r="A495" s="199"/>
      <c r="B495" s="199"/>
      <c r="D495" s="199"/>
    </row>
    <row r="496" spans="1:4" ht="15" x14ac:dyDescent="0.2">
      <c r="A496" s="199"/>
      <c r="B496" s="199"/>
      <c r="D496" s="199"/>
    </row>
    <row r="497" spans="1:4" ht="15" x14ac:dyDescent="0.2">
      <c r="A497" s="199"/>
      <c r="B497" s="199"/>
      <c r="D497" s="199"/>
    </row>
    <row r="498" spans="1:4" ht="15" x14ac:dyDescent="0.2">
      <c r="A498" s="199"/>
      <c r="B498" s="199"/>
      <c r="D498" s="199"/>
    </row>
    <row r="499" spans="1:4" ht="15" x14ac:dyDescent="0.2">
      <c r="A499" s="199"/>
      <c r="B499" s="199"/>
      <c r="D499" s="199"/>
    </row>
    <row r="500" spans="1:4" ht="15" x14ac:dyDescent="0.2">
      <c r="A500" s="199"/>
      <c r="B500" s="199"/>
      <c r="D500" s="199"/>
    </row>
    <row r="501" spans="1:4" ht="15" x14ac:dyDescent="0.2">
      <c r="A501" s="199"/>
      <c r="B501" s="199"/>
      <c r="D501" s="199"/>
    </row>
    <row r="502" spans="1:4" ht="15" x14ac:dyDescent="0.2">
      <c r="A502" s="199"/>
      <c r="B502" s="199"/>
      <c r="D502" s="199"/>
    </row>
    <row r="503" spans="1:4" ht="15" x14ac:dyDescent="0.2">
      <c r="A503" s="199"/>
      <c r="B503" s="199"/>
      <c r="D503" s="199"/>
    </row>
    <row r="504" spans="1:4" ht="15" x14ac:dyDescent="0.2">
      <c r="A504" s="199"/>
      <c r="B504" s="199"/>
      <c r="D504" s="199"/>
    </row>
    <row r="505" spans="1:4" ht="15" x14ac:dyDescent="0.2">
      <c r="A505" s="199"/>
      <c r="B505" s="199"/>
      <c r="D505" s="199"/>
    </row>
    <row r="506" spans="1:4" ht="15" x14ac:dyDescent="0.2">
      <c r="A506" s="199"/>
      <c r="B506" s="199"/>
      <c r="D506" s="199"/>
    </row>
    <row r="507" spans="1:4" ht="15" x14ac:dyDescent="0.2">
      <c r="A507" s="199"/>
      <c r="B507" s="199"/>
      <c r="D507" s="199"/>
    </row>
    <row r="508" spans="1:4" ht="15" x14ac:dyDescent="0.2">
      <c r="A508" s="199"/>
      <c r="B508" s="199"/>
      <c r="D508" s="199"/>
    </row>
    <row r="509" spans="1:4" ht="15" x14ac:dyDescent="0.2">
      <c r="A509" s="199"/>
      <c r="B509" s="199"/>
      <c r="D509" s="199"/>
    </row>
    <row r="510" spans="1:4" ht="15" x14ac:dyDescent="0.2">
      <c r="A510" s="199"/>
      <c r="B510" s="199"/>
      <c r="D510" s="199"/>
    </row>
    <row r="511" spans="1:4" ht="15" x14ac:dyDescent="0.2">
      <c r="A511" s="199"/>
      <c r="B511" s="199"/>
      <c r="D511" s="199"/>
    </row>
    <row r="512" spans="1:4" ht="15" x14ac:dyDescent="0.2">
      <c r="A512" s="199"/>
      <c r="B512" s="199"/>
      <c r="D512" s="199"/>
    </row>
    <row r="513" spans="1:4" ht="15" x14ac:dyDescent="0.2">
      <c r="A513" s="199"/>
      <c r="B513" s="199"/>
      <c r="D513" s="199"/>
    </row>
    <row r="514" spans="1:4" ht="15" x14ac:dyDescent="0.2">
      <c r="A514" s="199"/>
      <c r="B514" s="199"/>
      <c r="D514" s="199"/>
    </row>
    <row r="515" spans="1:4" ht="15" x14ac:dyDescent="0.2">
      <c r="A515" s="199"/>
      <c r="B515" s="199"/>
      <c r="D515" s="199"/>
    </row>
    <row r="516" spans="1:4" ht="15" x14ac:dyDescent="0.2">
      <c r="A516" s="199"/>
      <c r="B516" s="199"/>
      <c r="D516" s="199"/>
    </row>
    <row r="517" spans="1:4" ht="15" x14ac:dyDescent="0.2">
      <c r="A517" s="199"/>
      <c r="B517" s="199"/>
      <c r="D517" s="199"/>
    </row>
    <row r="518" spans="1:4" ht="15" x14ac:dyDescent="0.2">
      <c r="A518" s="199"/>
      <c r="B518" s="199"/>
      <c r="D518" s="199"/>
    </row>
  </sheetData>
  <mergeCells count="11">
    <mergeCell ref="BZ15:CG15"/>
    <mergeCell ref="AF15:AI15"/>
    <mergeCell ref="AJ15:AN15"/>
    <mergeCell ref="AO15:AX15"/>
    <mergeCell ref="AY15:BE15"/>
    <mergeCell ref="BF15:BY15"/>
    <mergeCell ref="DR15:EA15"/>
    <mergeCell ref="CM15:CR15"/>
    <mergeCell ref="CS15:DF15"/>
    <mergeCell ref="CH15:CL15"/>
    <mergeCell ref="DG15:DQ15"/>
  </mergeCells>
  <dataValidations count="13">
    <dataValidation type="list" allowBlank="1" showInputMessage="1" showErrorMessage="1" errorTitle="Invalid Data Input" error="Please enter &quot;X&quot; to ask for the file name for each section or clear cell to automatically save all files" promptTitle="Ask User for Each File Name Save" prompt="Enter &quot;X&quot; to have the program pause after each section is run and require the user to enter the file name and path to save each CAM Tool under. If the &quot;X&quot; is cleared out, the files will automatically be saved under the file path specified in column L" sqref="C16" xr:uid="{00000000-0002-0000-0000-000000000000}">
      <formula1>"X"</formula1>
    </dataValidation>
    <dataValidation type="list" allowBlank="1" showInputMessage="1" showErrorMessage="1" errorTitle="Data Input Error" error="Cell should be left blank to run only Logged crashes and return the summary data. Enter &quot;U&quot; to run both logged and unlogged, make sure that an X is placed in the create CAM tool if &quot;U&quot; is entered." promptTitle="Select &quot;U&quot; to Include Unlogged" prompt="To run only logged crashes on a section clear out cell and leave blank.  Select &quot;U&quot; to run both logged and unlogged crashes on a section.  Make sure the Create CAM Tool box is selected._x000a__x000a_Summary crash data will not run if &quot;U&quot; is specified." sqref="N18:N518" xr:uid="{00000000-0002-0000-0000-000001000000}">
      <formula1>"U"</formula1>
    </dataValidation>
    <dataValidation type="list" allowBlank="1" showInputMessage="1" showErrorMessage="1" errorTitle="Data Input Error" error="Cell should be left blank to run all crashes on the section, exclude animal-&quot;A&quot;, exclude work zones-&quot;W&quot;, exclude both animals and work zones-&quot;B&quot;" promptTitle="Select Crashes to Exclude on Loc" prompt="To Run All Crashes (Clear Cell and Leave Blank)_x000a__x000a_To Exclude Animal Crashes Enter &quot;A&quot; in This Column, To Exclude Work Zone Crashes Enter &quot;W&quot; in This Column, To Exclude Both Animal &amp; Work Zone Crashes Enter &quot;B&quot; in This Column." sqref="O18:O518" xr:uid="{00000000-0002-0000-0000-000002000000}">
      <formula1>"A,W,B"</formula1>
    </dataValidation>
    <dataValidation type="list" allowBlank="1" showInputMessage="1" showErrorMessage="1" errorTitle="Data Input Error" error="Select on of the three roadway types.  If a location spans more than one, select the one that the majority of the section is on." promptTitle="RSI Location Type" prompt="Select on of the three roadway types - Rural Non-Freeway, Urban Non-Freeway, or Freeway.  If a location spans more than one, select the one that the majority of the section is on." sqref="E18:E518" xr:uid="{00000000-0002-0000-0000-000003000000}">
      <formula1>"Rural Non-Freeway,Urban Non-Freeway,Freeway"</formula1>
    </dataValidation>
    <dataValidation type="list" allowBlank="1" showInputMessage="1" showErrorMessage="1" errorTitle="Data Input Error" error="Only place a &quot;S&quot; in the cell for a section or or an &quot;I&quot; for intersection." promptTitle="Put &quot;S&quot;-Section,&quot;I&quot;-Intersection" prompt="Mark with a &quot;S&quot; to run data for specified section or corridor, or &quot;I&quot; for an intersection." sqref="D18:D518" xr:uid="{00000000-0002-0000-0000-000004000000}">
      <formula1>"S,I"</formula1>
    </dataValidation>
    <dataValidation type="list" allowBlank="1" showInputMessage="1" showErrorMessage="1" errorTitle="Data Input Error" error="Only place an &quot;X&quot; in the cell to SAVE a separate CAM Tool file on the section or delete and leave blank to skip section." promptTitle="Put &quot;X&quot; to Create CAM Tool File" prompt="Mark with an &quot;X&quot; to create and SAVE a CAM Tool file for the specified section.  The file will be saved under the location in column &quot;L&quot;.  If this cell is left blank, a separate CAM Tool file will not be created for the location." sqref="B18:B518" xr:uid="{00000000-0002-0000-0000-000005000000}">
      <formula1>"X"</formula1>
    </dataValidation>
    <dataValidation type="list" allowBlank="1" showInputMessage="1" showErrorMessage="1" errorTitle="Data Input Error" error="Only place an &quot;X&quot; in the cell to run analysis on section or delete and leave blank to skip section" promptTitle="Put &quot;X&quot; to Run Data for Section" prompt="Mark with an &quot;X&quot; to run data for specified section.  If this cell is left blank, data will not be updated for the location." sqref="A18:A518" xr:uid="{00000000-0002-0000-0000-000006000000}">
      <formula1>"X"</formula1>
    </dataValidation>
    <dataValidation type="list" allowBlank="1" showInputMessage="1" showErrorMessage="1" errorTitle="Invalid Data Input" error="Please enter &quot;X&quot; to run bridge data or clear cell to skip this analysis" promptTitle="Run Bridge Cond Data on Locs" prompt="Enter &quot;X&quot; to run the Bridge Condition data on the flagged sections or clear the cell and leave blank to skip running the Bridge data." sqref="F15" xr:uid="{00000000-0002-0000-0000-000007000000}">
      <formula1>"X"</formula1>
    </dataValidation>
    <dataValidation type="list" allowBlank="1" showInputMessage="1" showErrorMessage="1" errorTitle="Invalid Data Input" error="Please enter &quot;X&quot; to run pavement data or clear cell to skip this analysis" promptTitle="Run Pavement Cond Data on Locs" prompt="Enter &quot;X&quot; to run the Pavement Condition data on the flagged sections or clear the cell and leave blank to skip running the Pavement data." sqref="F14 F12" xr:uid="{00000000-0002-0000-0000-000008000000}">
      <formula1>"X"</formula1>
    </dataValidation>
    <dataValidation type="list" allowBlank="1" showInputMessage="1" showErrorMessage="1" errorTitle="Invalid Data Input" error="Please enter &quot;X&quot; to run Ellis data or clear cell to skip this analysis" promptTitle="Run Ellis Project Data on Locs" prompt="Enter &quot;X&quot; to run the Ellis Project data on the flagged sections or clear the cell and leave blank to skip running the Ellis data." sqref="F13" xr:uid="{00000000-0002-0000-0000-000009000000}">
      <formula1>"X"</formula1>
    </dataValidation>
    <dataValidation type="list" allowBlank="1" showInputMessage="1" showErrorMessage="1" errorTitle="Invalid Data Input" error="Please enter &quot;X&quot; to run crash data or clear cell to skip this analysis" promptTitle="Run Road Inventory Data on Locs" prompt="Enter &quot;X&quot; to run the Road Inventory (State &amp; Local) segment data on the flagged sections or clear the cell and leave blank to skip running the RI data." sqref="F11" xr:uid="{00000000-0002-0000-0000-00000B000000}">
      <formula1>"X"</formula1>
    </dataValidation>
    <dataValidation type="list" allowBlank="1" showInputMessage="1" showErrorMessage="1" errorTitle="Invalid Data Input" error="Please enter &quot;X&quot; to run congestion data or clear cell to skip this analysis" promptTitle="Run Congestion Data on Locs" prompt="Enter &quot;X&quot; to run the Congestion Model data on the flagged sections or clear the cell and leave blank to skip running the congestion data." sqref="F10" xr:uid="{00000000-0002-0000-0000-00000C000000}">
      <formula1>"X"</formula1>
    </dataValidation>
    <dataValidation type="list" allowBlank="1" showInputMessage="1" showErrorMessage="1" errorTitle="Invalid Data Input" error="Please enter &quot;X&quot; to run crash data or clear cell to skip this analysis" promptTitle="Run Cam Tool Crash Data on Locs" prompt="Enter &quot;X&quot; to run the CAM Tool crash data on the flagged sections or clear the cell and leave blank to skip running the crash data." sqref="F9" xr:uid="{00000000-0002-0000-0000-00000D000000}">
      <formula1>"X"</formula1>
    </dataValidation>
  </dataValidations>
  <hyperlinks>
    <hyperlink ref="F8" r:id="rId1" display="\\itcfs007\mobility$\SysPlan_ProgMgmt\Systems Planning Group\HSM\CAMTool\20210205_CAM_FS\" xr:uid="{2FD0EC3D-C395-4B66-AB86-0CA3040E0389}"/>
  </hyperlinks>
  <pageMargins left="0.25" right="0.2" top="0.25" bottom="0.25" header="0" footer="0"/>
  <pageSetup paperSize="17" scale="70" orientation="landscape"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ES20"/>
  <sheetViews>
    <sheetView zoomScaleNormal="100" workbookViewId="0"/>
  </sheetViews>
  <sheetFormatPr baseColWidth="10" defaultColWidth="9.1640625" defaultRowHeight="15" x14ac:dyDescent="0.2"/>
  <cols>
    <col min="1" max="1" width="11.5" style="116" bestFit="1" customWidth="1"/>
    <col min="2" max="2" width="16.5" style="116" bestFit="1" customWidth="1"/>
    <col min="3" max="3" width="21.5" style="116" bestFit="1" customWidth="1"/>
    <col min="4" max="4" width="11" style="116" bestFit="1" customWidth="1"/>
    <col min="5" max="5" width="14" style="116" bestFit="1" customWidth="1"/>
    <col min="6" max="6" width="16.1640625" style="114" bestFit="1" customWidth="1"/>
    <col min="7" max="7" width="12.5" style="114" bestFit="1" customWidth="1"/>
    <col min="8" max="8" width="21.5" style="122" bestFit="1" customWidth="1"/>
    <col min="9" max="9" width="24" style="114" bestFit="1" customWidth="1"/>
    <col min="10" max="10" width="26" style="114" bestFit="1" customWidth="1"/>
    <col min="11" max="11" width="18.6640625" style="114" bestFit="1" customWidth="1"/>
    <col min="12" max="12" width="22.5" style="114" bestFit="1" customWidth="1"/>
    <col min="13" max="13" width="26.5" style="114" bestFit="1" customWidth="1"/>
    <col min="14" max="14" width="19.33203125" style="225" bestFit="1" customWidth="1"/>
    <col min="15" max="15" width="32.1640625" style="114" bestFit="1" customWidth="1"/>
    <col min="16" max="16" width="26.6640625" style="114" bestFit="1" customWidth="1"/>
    <col min="17" max="17" width="25.6640625" style="114" bestFit="1" customWidth="1"/>
    <col min="18" max="18" width="24" style="114" bestFit="1" customWidth="1"/>
    <col min="19" max="19" width="18.33203125" style="225" bestFit="1" customWidth="1"/>
    <col min="20" max="20" width="26.5" style="225" bestFit="1" customWidth="1"/>
    <col min="21" max="21" width="32.5" style="225" bestFit="1" customWidth="1"/>
    <col min="22" max="22" width="27.6640625" style="225" bestFit="1" customWidth="1"/>
    <col min="23" max="23" width="33.5" style="114" bestFit="1" customWidth="1"/>
    <col min="24" max="24" width="27.1640625" style="114" bestFit="1" customWidth="1"/>
    <col min="25" max="25" width="31.6640625" style="114" bestFit="1" customWidth="1"/>
    <col min="26" max="26" width="32.5" style="114" bestFit="1" customWidth="1"/>
    <col min="27" max="27" width="15.83203125" style="114" bestFit="1" customWidth="1"/>
    <col min="28" max="28" width="19.33203125" style="114" bestFit="1" customWidth="1"/>
    <col min="29" max="29" width="30.33203125" style="114" bestFit="1" customWidth="1"/>
    <col min="30" max="30" width="38.6640625" style="114" bestFit="1" customWidth="1"/>
    <col min="31" max="31" width="16.5" style="121" bestFit="1" customWidth="1"/>
    <col min="32" max="32" width="12.5" style="114" bestFit="1" customWidth="1"/>
    <col min="33" max="33" width="27.33203125" style="114" bestFit="1" customWidth="1"/>
    <col min="34" max="34" width="25.6640625" style="114" bestFit="1" customWidth="1"/>
    <col min="35" max="35" width="27.33203125" style="114" bestFit="1" customWidth="1"/>
    <col min="36" max="36" width="20" style="114" bestFit="1" customWidth="1"/>
    <col min="37" max="37" width="31.1640625" style="114" bestFit="1" customWidth="1"/>
    <col min="38" max="38" width="37.5" style="114" bestFit="1" customWidth="1"/>
    <col min="39" max="39" width="22.83203125" style="114" bestFit="1" customWidth="1"/>
    <col min="40" max="40" width="29.5" style="114" bestFit="1" customWidth="1"/>
    <col min="41" max="41" width="33.5" style="114" bestFit="1" customWidth="1"/>
    <col min="42" max="42" width="29.5" style="114" bestFit="1" customWidth="1"/>
    <col min="43" max="43" width="23.1640625" style="114" bestFit="1" customWidth="1"/>
    <col min="44" max="44" width="19.1640625" style="114" bestFit="1" customWidth="1"/>
    <col min="45" max="45" width="32.83203125" style="114" bestFit="1" customWidth="1"/>
    <col min="46" max="46" width="29.1640625" style="114" bestFit="1" customWidth="1"/>
    <col min="47" max="47" width="25.6640625" style="114" bestFit="1" customWidth="1"/>
    <col min="48" max="48" width="27.83203125" style="114" bestFit="1" customWidth="1"/>
    <col min="49" max="49" width="20" style="114" bestFit="1" customWidth="1"/>
    <col min="50" max="50" width="22" style="114" bestFit="1" customWidth="1"/>
    <col min="51" max="51" width="26" style="114" bestFit="1" customWidth="1"/>
    <col min="52" max="52" width="26.6640625" style="114" bestFit="1" customWidth="1"/>
    <col min="53" max="53" width="35" style="114" bestFit="1" customWidth="1"/>
    <col min="54" max="54" width="37.33203125" style="114" bestFit="1" customWidth="1"/>
    <col min="55" max="55" width="36.83203125" style="114" bestFit="1" customWidth="1"/>
    <col min="56" max="56" width="38.33203125" style="114" bestFit="1" customWidth="1"/>
    <col min="57" max="57" width="33.1640625" style="114" bestFit="1" customWidth="1"/>
    <col min="58" max="58" width="34.33203125" style="114" bestFit="1" customWidth="1"/>
    <col min="59" max="59" width="27.1640625" style="114" bestFit="1" customWidth="1"/>
    <col min="60" max="60" width="31.5" style="114" bestFit="1" customWidth="1"/>
    <col min="61" max="61" width="37.5" style="114" bestFit="1" customWidth="1"/>
    <col min="62" max="62" width="28.6640625" style="114" bestFit="1" customWidth="1"/>
    <col min="63" max="63" width="28.83203125" style="114" bestFit="1" customWidth="1"/>
    <col min="64" max="64" width="38.33203125" style="114" bestFit="1" customWidth="1"/>
    <col min="65" max="65" width="25.33203125" style="114" bestFit="1" customWidth="1"/>
    <col min="66" max="66" width="33.83203125" style="114" bestFit="1" customWidth="1"/>
    <col min="67" max="67" width="26.6640625" style="114" bestFit="1" customWidth="1"/>
    <col min="68" max="68" width="31.1640625" style="114" bestFit="1" customWidth="1"/>
    <col min="69" max="69" width="31.5" style="114" bestFit="1" customWidth="1"/>
    <col min="70" max="70" width="22.5" style="114" bestFit="1" customWidth="1"/>
    <col min="71" max="71" width="27.33203125" style="114" bestFit="1" customWidth="1"/>
    <col min="72" max="72" width="24" style="114" bestFit="1" customWidth="1"/>
    <col min="73" max="73" width="30.5" style="114" bestFit="1" customWidth="1"/>
    <col min="74" max="74" width="29.1640625" style="114" bestFit="1" customWidth="1"/>
    <col min="75" max="75" width="24" style="114" bestFit="1" customWidth="1"/>
    <col min="76" max="76" width="24.5" style="114" bestFit="1" customWidth="1"/>
    <col min="77" max="77" width="29.5" style="114" bestFit="1" customWidth="1"/>
    <col min="78" max="78" width="30.33203125" style="114" bestFit="1" customWidth="1"/>
    <col min="79" max="79" width="34.5" style="114" bestFit="1" customWidth="1"/>
    <col min="80" max="80" width="29.5" style="114" bestFit="1" customWidth="1"/>
    <col min="81" max="81" width="30.1640625" style="114" bestFit="1" customWidth="1"/>
    <col min="82" max="82" width="34" style="114" bestFit="1" customWidth="1"/>
    <col min="83" max="83" width="29.1640625" style="114" bestFit="1" customWidth="1"/>
    <col min="84" max="87" width="29.5" style="114" bestFit="1" customWidth="1"/>
    <col min="88" max="89" width="33.5" style="114" bestFit="1" customWidth="1"/>
    <col min="90" max="90" width="29.1640625" style="114" bestFit="1" customWidth="1"/>
    <col min="91" max="91" width="31.5" style="114" bestFit="1" customWidth="1"/>
    <col min="92" max="92" width="14.5" style="114" bestFit="1" customWidth="1"/>
    <col min="93" max="93" width="17.5" style="114" bestFit="1" customWidth="1"/>
    <col min="94" max="94" width="35" style="114" bestFit="1" customWidth="1"/>
    <col min="95" max="95" width="28.33203125" style="114" bestFit="1" customWidth="1"/>
    <col min="96" max="96" width="28.6640625" style="114" bestFit="1" customWidth="1"/>
    <col min="97" max="97" width="22.83203125" style="114" bestFit="1" customWidth="1"/>
    <col min="98" max="99" width="24.5" style="114" bestFit="1" customWidth="1"/>
    <col min="100" max="100" width="24.83203125" style="114" bestFit="1" customWidth="1"/>
    <col min="101" max="101" width="30" style="114" bestFit="1" customWidth="1"/>
    <col min="102" max="102" width="30.6640625" style="114" bestFit="1" customWidth="1"/>
    <col min="103" max="103" width="34.83203125" style="114" bestFit="1" customWidth="1"/>
    <col min="104" max="104" width="30" style="114" bestFit="1" customWidth="1"/>
    <col min="105" max="105" width="30.5" style="114" bestFit="1" customWidth="1"/>
    <col min="106" max="106" width="34.5" style="114" bestFit="1" customWidth="1"/>
    <col min="107" max="107" width="29.5" style="114" bestFit="1" customWidth="1"/>
    <col min="108" max="111" width="30" style="114" bestFit="1" customWidth="1"/>
    <col min="112" max="112" width="33.83203125" style="114" bestFit="1" customWidth="1"/>
    <col min="113" max="113" width="34" style="114" bestFit="1" customWidth="1"/>
    <col min="114" max="114" width="32" style="114" bestFit="1" customWidth="1"/>
    <col min="115" max="115" width="15" style="114" bestFit="1" customWidth="1"/>
    <col min="116" max="116" width="17.83203125" style="114" bestFit="1" customWidth="1"/>
    <col min="117" max="117" width="35.5" style="114" bestFit="1" customWidth="1"/>
    <col min="118" max="118" width="28.6640625" style="114" bestFit="1" customWidth="1"/>
    <col min="119" max="16384" width="9.1640625" style="116"/>
  </cols>
  <sheetData>
    <row r="1" spans="2:118" ht="18" customHeight="1" x14ac:dyDescent="0.2">
      <c r="E1" s="121"/>
      <c r="F1" s="121"/>
      <c r="G1" s="121"/>
      <c r="I1" s="121"/>
      <c r="J1" s="121"/>
      <c r="W1" s="121"/>
      <c r="AA1" s="121"/>
      <c r="AB1" s="121"/>
      <c r="AC1" s="121"/>
      <c r="AD1" s="121"/>
      <c r="AJ1" s="121"/>
      <c r="AO1" s="121"/>
      <c r="AR1" s="121"/>
      <c r="AS1" s="121"/>
      <c r="AU1" s="121"/>
      <c r="AV1" s="121"/>
      <c r="AW1" s="121"/>
      <c r="AX1" s="121"/>
      <c r="AY1" s="121"/>
      <c r="AZ1" s="121"/>
      <c r="BD1" s="121"/>
      <c r="BE1" s="121"/>
      <c r="BL1" s="121"/>
      <c r="BM1" s="121"/>
      <c r="BP1" s="121"/>
      <c r="BQ1" s="121"/>
      <c r="BR1" s="121"/>
      <c r="BS1" s="121"/>
      <c r="BT1" s="121"/>
      <c r="CE1" s="121"/>
      <c r="CF1" s="121"/>
      <c r="CL1" s="121"/>
      <c r="CN1" s="121"/>
      <c r="CO1" s="121"/>
      <c r="CS1" s="121"/>
      <c r="DC1" s="121"/>
      <c r="DD1" s="121"/>
      <c r="DH1" s="121"/>
      <c r="DI1" s="121"/>
      <c r="DK1" s="121"/>
      <c r="DL1" s="121"/>
    </row>
    <row r="2" spans="2:118" ht="18" customHeight="1" x14ac:dyDescent="0.2">
      <c r="E2" s="121"/>
      <c r="F2" s="121"/>
      <c r="G2" s="121"/>
      <c r="I2" s="121"/>
      <c r="J2" s="121"/>
      <c r="W2" s="121"/>
      <c r="AA2" s="121"/>
      <c r="AB2" s="121"/>
      <c r="AC2" s="121"/>
      <c r="AD2" s="121"/>
      <c r="AJ2" s="121"/>
      <c r="AO2" s="121"/>
      <c r="AR2" s="121"/>
      <c r="AS2" s="121"/>
      <c r="AU2" s="121"/>
      <c r="AV2" s="121"/>
      <c r="AW2" s="121"/>
      <c r="AX2" s="121"/>
      <c r="AY2" s="121"/>
      <c r="AZ2" s="121"/>
      <c r="BD2" s="121"/>
      <c r="BE2" s="121"/>
      <c r="BL2" s="121"/>
      <c r="BM2" s="121"/>
      <c r="BP2" s="121"/>
      <c r="BQ2" s="121"/>
      <c r="BR2" s="121"/>
      <c r="BS2" s="121"/>
      <c r="BT2" s="121"/>
      <c r="CE2" s="121"/>
      <c r="CF2" s="121"/>
      <c r="CL2" s="121"/>
      <c r="CN2" s="121"/>
      <c r="CO2" s="121"/>
    </row>
    <row r="3" spans="2:118" ht="18" customHeight="1" x14ac:dyDescent="0.2"/>
    <row r="11" spans="2:118" x14ac:dyDescent="0.2">
      <c r="B11" s="116">
        <v>308</v>
      </c>
    </row>
    <row r="15" spans="2:118" s="115" customFormat="1" x14ac:dyDescent="0.2">
      <c r="F15" s="114"/>
      <c r="G15" s="114"/>
      <c r="H15" s="122"/>
      <c r="I15" s="114"/>
      <c r="J15" s="114"/>
      <c r="K15" s="114"/>
      <c r="L15" s="114"/>
      <c r="M15" s="114"/>
      <c r="N15" s="225"/>
      <c r="O15" s="114"/>
      <c r="P15" s="114"/>
      <c r="Q15" s="114"/>
      <c r="R15" s="114"/>
      <c r="S15" s="225"/>
      <c r="T15" s="225"/>
      <c r="U15" s="225"/>
      <c r="V15" s="225"/>
      <c r="W15" s="114"/>
      <c r="X15" s="114"/>
      <c r="Y15" s="114"/>
      <c r="Z15" s="114"/>
      <c r="AA15" s="114"/>
      <c r="AB15" s="114"/>
      <c r="AC15" s="114"/>
      <c r="AD15" s="114"/>
      <c r="AE15" s="121"/>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row>
    <row r="18" spans="1:149" x14ac:dyDescent="0.2">
      <c r="Q18" s="114">
        <f>P19+1</f>
        <v>17</v>
      </c>
    </row>
    <row r="19" spans="1:149" s="115" customFormat="1" x14ac:dyDescent="0.2">
      <c r="A19" s="115">
        <v>1</v>
      </c>
      <c r="B19" s="115">
        <f>A19+1</f>
        <v>2</v>
      </c>
      <c r="C19" s="115">
        <f t="shared" ref="C19:X19" si="0">B19+1</f>
        <v>3</v>
      </c>
      <c r="D19" s="115">
        <f t="shared" si="0"/>
        <v>4</v>
      </c>
      <c r="E19" s="115">
        <f t="shared" si="0"/>
        <v>5</v>
      </c>
      <c r="F19" s="115">
        <f t="shared" si="0"/>
        <v>6</v>
      </c>
      <c r="G19" s="115">
        <f t="shared" si="0"/>
        <v>7</v>
      </c>
      <c r="H19" s="115">
        <f t="shared" si="0"/>
        <v>8</v>
      </c>
      <c r="I19" s="115">
        <f t="shared" si="0"/>
        <v>9</v>
      </c>
      <c r="J19" s="115">
        <f t="shared" si="0"/>
        <v>10</v>
      </c>
      <c r="K19" s="115">
        <f t="shared" si="0"/>
        <v>11</v>
      </c>
      <c r="L19" s="115">
        <f t="shared" si="0"/>
        <v>12</v>
      </c>
      <c r="M19" s="115">
        <f t="shared" si="0"/>
        <v>13</v>
      </c>
      <c r="N19" s="115">
        <f t="shared" si="0"/>
        <v>14</v>
      </c>
      <c r="O19" s="115">
        <f t="shared" si="0"/>
        <v>15</v>
      </c>
      <c r="P19" s="115">
        <f t="shared" si="0"/>
        <v>16</v>
      </c>
      <c r="Q19" s="115">
        <v>99</v>
      </c>
      <c r="R19" s="115">
        <f>Q18+1</f>
        <v>18</v>
      </c>
      <c r="S19" s="115">
        <f t="shared" si="0"/>
        <v>19</v>
      </c>
      <c r="T19" s="115">
        <f t="shared" si="0"/>
        <v>20</v>
      </c>
      <c r="U19" s="115">
        <f t="shared" si="0"/>
        <v>21</v>
      </c>
      <c r="V19" s="115">
        <f t="shared" si="0"/>
        <v>22</v>
      </c>
      <c r="W19" s="115">
        <f t="shared" si="0"/>
        <v>23</v>
      </c>
      <c r="X19" s="115">
        <f t="shared" si="0"/>
        <v>24</v>
      </c>
      <c r="Y19" s="115">
        <f t="shared" ref="Y19" si="1">X19+1</f>
        <v>25</v>
      </c>
      <c r="Z19" s="115">
        <f t="shared" ref="Z19" si="2">Y19+1</f>
        <v>26</v>
      </c>
      <c r="AA19" s="115">
        <f t="shared" ref="AA19" si="3">Z19+1</f>
        <v>27</v>
      </c>
      <c r="AB19" s="115">
        <f t="shared" ref="AB19" si="4">AA19+1</f>
        <v>28</v>
      </c>
      <c r="AC19" s="115">
        <f t="shared" ref="AC19" si="5">AB19+1</f>
        <v>29</v>
      </c>
      <c r="AD19" s="115">
        <f t="shared" ref="AD19" si="6">AC19+1</f>
        <v>30</v>
      </c>
      <c r="AE19" s="115">
        <f t="shared" ref="AE19" si="7">AD19+1</f>
        <v>31</v>
      </c>
      <c r="AF19" s="115">
        <f t="shared" ref="AF19" si="8">AE19+1</f>
        <v>32</v>
      </c>
      <c r="AG19" s="115">
        <f t="shared" ref="AG19" si="9">AF19+1</f>
        <v>33</v>
      </c>
      <c r="AH19" s="115">
        <f t="shared" ref="AH19" si="10">AG19+1</f>
        <v>34</v>
      </c>
      <c r="AI19" s="115">
        <f t="shared" ref="AI19" si="11">AH19+1</f>
        <v>35</v>
      </c>
      <c r="AJ19" s="115">
        <f t="shared" ref="AJ19" si="12">AI19+1</f>
        <v>36</v>
      </c>
      <c r="AK19" s="115">
        <f t="shared" ref="AK19" si="13">AJ19+1</f>
        <v>37</v>
      </c>
      <c r="AL19" s="115">
        <f t="shared" ref="AL19" si="14">AK19+1</f>
        <v>38</v>
      </c>
      <c r="AM19" s="115">
        <f t="shared" ref="AM19" si="15">AL19+1</f>
        <v>39</v>
      </c>
      <c r="AN19" s="115">
        <f t="shared" ref="AN19" si="16">AM19+1</f>
        <v>40</v>
      </c>
      <c r="AO19" s="115">
        <f t="shared" ref="AO19" si="17">AN19+1</f>
        <v>41</v>
      </c>
      <c r="AP19" s="115">
        <f t="shared" ref="AP19" si="18">AO19+1</f>
        <v>42</v>
      </c>
      <c r="AQ19" s="115">
        <f t="shared" ref="AQ19" si="19">AP19+1</f>
        <v>43</v>
      </c>
      <c r="AR19" s="115">
        <f t="shared" ref="AR19" si="20">AQ19+1</f>
        <v>44</v>
      </c>
      <c r="AS19" s="115">
        <f t="shared" ref="AS19" si="21">AR19+1</f>
        <v>45</v>
      </c>
      <c r="AT19" s="115">
        <f t="shared" ref="AT19" si="22">AS19+1</f>
        <v>46</v>
      </c>
      <c r="AU19" s="115">
        <f t="shared" ref="AU19" si="23">AT19+1</f>
        <v>47</v>
      </c>
      <c r="AV19" s="115">
        <f t="shared" ref="AV19" si="24">AU19+1</f>
        <v>48</v>
      </c>
      <c r="AW19" s="115">
        <f t="shared" ref="AW19" si="25">AV19+1</f>
        <v>49</v>
      </c>
      <c r="AX19" s="115">
        <f t="shared" ref="AX19" si="26">AW19+1</f>
        <v>50</v>
      </c>
      <c r="AY19" s="115">
        <f t="shared" ref="AY19" si="27">AX19+1</f>
        <v>51</v>
      </c>
      <c r="AZ19" s="115">
        <f t="shared" ref="AZ19" si="28">AY19+1</f>
        <v>52</v>
      </c>
      <c r="BA19" s="115">
        <f t="shared" ref="BA19" si="29">AZ19+1</f>
        <v>53</v>
      </c>
      <c r="BB19" s="115">
        <f t="shared" ref="BB19" si="30">BA19+1</f>
        <v>54</v>
      </c>
      <c r="BC19" s="115">
        <f t="shared" ref="BC19" si="31">BB19+1</f>
        <v>55</v>
      </c>
      <c r="BD19" s="115">
        <f t="shared" ref="BD19" si="32">BC19+1</f>
        <v>56</v>
      </c>
      <c r="BE19" s="115">
        <f t="shared" ref="BE19" si="33">BD19+1</f>
        <v>57</v>
      </c>
      <c r="BF19" s="115">
        <f t="shared" ref="BF19" si="34">BE19+1</f>
        <v>58</v>
      </c>
      <c r="BG19" s="115">
        <f t="shared" ref="BG19" si="35">BF19+1</f>
        <v>59</v>
      </c>
      <c r="BH19" s="115">
        <f t="shared" ref="BH19" si="36">BG19+1</f>
        <v>60</v>
      </c>
      <c r="BI19" s="115">
        <f t="shared" ref="BI19" si="37">BH19+1</f>
        <v>61</v>
      </c>
      <c r="BJ19" s="115">
        <f t="shared" ref="BJ19" si="38">BI19+1</f>
        <v>62</v>
      </c>
      <c r="BK19" s="115">
        <f t="shared" ref="BK19" si="39">BJ19+1</f>
        <v>63</v>
      </c>
      <c r="BL19" s="115">
        <f t="shared" ref="BL19" si="40">BK19+1</f>
        <v>64</v>
      </c>
      <c r="BM19" s="115">
        <f t="shared" ref="BM19" si="41">BL19+1</f>
        <v>65</v>
      </c>
      <c r="BN19" s="115">
        <f t="shared" ref="BN19" si="42">BM19+1</f>
        <v>66</v>
      </c>
      <c r="BO19" s="115">
        <f t="shared" ref="BO19" si="43">BN19+1</f>
        <v>67</v>
      </c>
      <c r="BP19" s="115">
        <f t="shared" ref="BP19" si="44">BO19+1</f>
        <v>68</v>
      </c>
      <c r="BQ19" s="115">
        <f t="shared" ref="BQ19" si="45">BP19+1</f>
        <v>69</v>
      </c>
      <c r="BR19" s="115">
        <f t="shared" ref="BR19" si="46">BQ19+1</f>
        <v>70</v>
      </c>
      <c r="BS19" s="115">
        <f t="shared" ref="BS19" si="47">BR19+1</f>
        <v>71</v>
      </c>
      <c r="BT19" s="115">
        <f t="shared" ref="BT19" si="48">BS19+1</f>
        <v>72</v>
      </c>
      <c r="BU19" s="115">
        <f t="shared" ref="BU19" si="49">BT19+1</f>
        <v>73</v>
      </c>
      <c r="BV19" s="115">
        <f t="shared" ref="BV19" si="50">BU19+1</f>
        <v>74</v>
      </c>
      <c r="BW19" s="115">
        <f t="shared" ref="BW19" si="51">BV19+1</f>
        <v>75</v>
      </c>
      <c r="BX19" s="115">
        <f t="shared" ref="BX19" si="52">BW19+1</f>
        <v>76</v>
      </c>
      <c r="BY19" s="115">
        <f t="shared" ref="BY19" si="53">BX19+1</f>
        <v>77</v>
      </c>
      <c r="BZ19" s="115">
        <f t="shared" ref="BZ19" si="54">BY19+1</f>
        <v>78</v>
      </c>
      <c r="CA19" s="115">
        <f t="shared" ref="CA19" si="55">BZ19+1</f>
        <v>79</v>
      </c>
      <c r="CB19" s="115">
        <f t="shared" ref="CB19" si="56">CA19+1</f>
        <v>80</v>
      </c>
      <c r="CC19" s="115">
        <f t="shared" ref="CC19" si="57">CB19+1</f>
        <v>81</v>
      </c>
      <c r="CD19" s="115">
        <f t="shared" ref="CD19" si="58">CC19+1</f>
        <v>82</v>
      </c>
      <c r="CE19" s="115">
        <f t="shared" ref="CE19" si="59">CD19+1</f>
        <v>83</v>
      </c>
      <c r="CF19" s="115">
        <f t="shared" ref="CF19" si="60">CE19+1</f>
        <v>84</v>
      </c>
      <c r="CG19" s="115">
        <f t="shared" ref="CG19" si="61">CF19+1</f>
        <v>85</v>
      </c>
      <c r="CH19" s="115">
        <f t="shared" ref="CH19" si="62">CG19+1</f>
        <v>86</v>
      </c>
      <c r="CI19" s="115">
        <f t="shared" ref="CI19" si="63">CH19+1</f>
        <v>87</v>
      </c>
      <c r="CJ19" s="115">
        <f t="shared" ref="CJ19" si="64">CI19+1</f>
        <v>88</v>
      </c>
      <c r="CK19" s="115">
        <f t="shared" ref="CK19" si="65">CJ19+1</f>
        <v>89</v>
      </c>
      <c r="CL19" s="115">
        <f t="shared" ref="CL19" si="66">CK19+1</f>
        <v>90</v>
      </c>
      <c r="CM19" s="115">
        <f t="shared" ref="CM19" si="67">CL19+1</f>
        <v>91</v>
      </c>
      <c r="CN19" s="115">
        <f t="shared" ref="CN19" si="68">CM19+1</f>
        <v>92</v>
      </c>
      <c r="CO19" s="115">
        <f t="shared" ref="CO19" si="69">CN19+1</f>
        <v>93</v>
      </c>
      <c r="CP19" s="115">
        <f t="shared" ref="CP19" si="70">CO19+1</f>
        <v>94</v>
      </c>
      <c r="CQ19" s="115">
        <f t="shared" ref="CQ19" si="71">CP19+1</f>
        <v>95</v>
      </c>
      <c r="CR19" s="115">
        <f t="shared" ref="CR19" si="72">CQ19+1</f>
        <v>96</v>
      </c>
      <c r="CS19" s="115">
        <f t="shared" ref="CS19" si="73">CR19+1</f>
        <v>97</v>
      </c>
      <c r="CT19" s="115">
        <f t="shared" ref="CT19" si="74">CS19+1</f>
        <v>98</v>
      </c>
      <c r="CU19" s="115">
        <f t="shared" ref="CU19" si="75">CT19+1</f>
        <v>99</v>
      </c>
      <c r="CV19" s="115">
        <f t="shared" ref="CV19" si="76">CU19+1</f>
        <v>100</v>
      </c>
      <c r="CW19" s="115">
        <f t="shared" ref="CW19" si="77">CV19+1</f>
        <v>101</v>
      </c>
      <c r="CX19" s="115">
        <f t="shared" ref="CX19" si="78">CW19+1</f>
        <v>102</v>
      </c>
      <c r="CY19" s="115">
        <f t="shared" ref="CY19" si="79">CX19+1</f>
        <v>103</v>
      </c>
      <c r="CZ19" s="115">
        <f t="shared" ref="CZ19" si="80">CY19+1</f>
        <v>104</v>
      </c>
      <c r="DA19" s="115">
        <f t="shared" ref="DA19" si="81">CZ19+1</f>
        <v>105</v>
      </c>
      <c r="DB19" s="115">
        <f t="shared" ref="DB19" si="82">DA19+1</f>
        <v>106</v>
      </c>
      <c r="DC19" s="115">
        <f t="shared" ref="DC19" si="83">DB19+1</f>
        <v>107</v>
      </c>
      <c r="DD19" s="115">
        <f t="shared" ref="DD19" si="84">DC19+1</f>
        <v>108</v>
      </c>
      <c r="DE19" s="115">
        <f t="shared" ref="DE19" si="85">DD19+1</f>
        <v>109</v>
      </c>
      <c r="DF19" s="115">
        <f t="shared" ref="DF19" si="86">DE19+1</f>
        <v>110</v>
      </c>
      <c r="DG19" s="115">
        <f t="shared" ref="DG19" si="87">DF19+1</f>
        <v>111</v>
      </c>
      <c r="DH19" s="115">
        <f t="shared" ref="DH19" si="88">DG19+1</f>
        <v>112</v>
      </c>
      <c r="DI19" s="115">
        <f t="shared" ref="DI19" si="89">DH19+1</f>
        <v>113</v>
      </c>
      <c r="DJ19" s="115">
        <f t="shared" ref="DJ19" si="90">DI19+1</f>
        <v>114</v>
      </c>
      <c r="DK19" s="115">
        <f t="shared" ref="DK19" si="91">DJ19+1</f>
        <v>115</v>
      </c>
      <c r="DL19" s="115">
        <f t="shared" ref="DL19" si="92">DK19+1</f>
        <v>116</v>
      </c>
      <c r="DM19" s="115">
        <f t="shared" ref="DM19" si="93">DL19+1</f>
        <v>117</v>
      </c>
      <c r="DN19" s="115">
        <f t="shared" ref="DN19" si="94">DM19+1</f>
        <v>118</v>
      </c>
      <c r="DO19" s="115">
        <f t="shared" ref="DO19" si="95">DN19+1</f>
        <v>119</v>
      </c>
      <c r="DP19" s="115">
        <f t="shared" ref="DP19" si="96">DO19+1</f>
        <v>120</v>
      </c>
      <c r="DQ19" s="115">
        <f t="shared" ref="DQ19" si="97">DP19+1</f>
        <v>121</v>
      </c>
      <c r="DR19" s="115">
        <f t="shared" ref="DR19" si="98">DQ19+1</f>
        <v>122</v>
      </c>
      <c r="DS19" s="115">
        <f t="shared" ref="DS19" si="99">DR19+1</f>
        <v>123</v>
      </c>
      <c r="DT19" s="115">
        <f t="shared" ref="DT19" si="100">DS19+1</f>
        <v>124</v>
      </c>
      <c r="DU19" s="115">
        <f t="shared" ref="DU19" si="101">DT19+1</f>
        <v>125</v>
      </c>
      <c r="DV19" s="115">
        <f t="shared" ref="DV19" si="102">DU19+1</f>
        <v>126</v>
      </c>
      <c r="DW19" s="115">
        <f t="shared" ref="DW19" si="103">DV19+1</f>
        <v>127</v>
      </c>
      <c r="DX19" s="115">
        <f t="shared" ref="DX19" si="104">DW19+1</f>
        <v>128</v>
      </c>
      <c r="DY19" s="115">
        <f t="shared" ref="DY19" si="105">DX19+1</f>
        <v>129</v>
      </c>
      <c r="DZ19" s="115">
        <f t="shared" ref="DZ19" si="106">DY19+1</f>
        <v>130</v>
      </c>
      <c r="EA19" s="115">
        <f t="shared" ref="EA19" si="107">DZ19+1</f>
        <v>131</v>
      </c>
      <c r="EB19" s="115">
        <f t="shared" ref="EB19" si="108">EA19+1</f>
        <v>132</v>
      </c>
      <c r="EC19" s="115">
        <f t="shared" ref="EC19" si="109">EB19+1</f>
        <v>133</v>
      </c>
      <c r="ED19" s="115">
        <f t="shared" ref="ED19" si="110">EC19+1</f>
        <v>134</v>
      </c>
      <c r="EE19" s="115">
        <f t="shared" ref="EE19" si="111">ED19+1</f>
        <v>135</v>
      </c>
      <c r="EF19" s="115">
        <f t="shared" ref="EF19" si="112">EE19+1</f>
        <v>136</v>
      </c>
      <c r="EG19" s="115">
        <f t="shared" ref="EG19" si="113">EF19+1</f>
        <v>137</v>
      </c>
      <c r="EH19" s="115">
        <f t="shared" ref="EH19" si="114">EG19+1</f>
        <v>138</v>
      </c>
      <c r="EI19" s="115">
        <f t="shared" ref="EI19" si="115">EH19+1</f>
        <v>139</v>
      </c>
      <c r="EJ19" s="115">
        <f t="shared" ref="EJ19" si="116">EI19+1</f>
        <v>140</v>
      </c>
      <c r="EK19" s="115">
        <f t="shared" ref="EK19" si="117">EJ19+1</f>
        <v>141</v>
      </c>
      <c r="EL19" s="115">
        <f t="shared" ref="EL19" si="118">EK19+1</f>
        <v>142</v>
      </c>
      <c r="EM19" s="115">
        <f t="shared" ref="EM19" si="119">EL19+1</f>
        <v>143</v>
      </c>
      <c r="EN19" s="115">
        <f t="shared" ref="EN19" si="120">EM19+1</f>
        <v>144</v>
      </c>
      <c r="EO19" s="115">
        <f t="shared" ref="EO19" si="121">EN19+1</f>
        <v>145</v>
      </c>
      <c r="EP19" s="115">
        <f t="shared" ref="EP19" si="122">EO19+1</f>
        <v>146</v>
      </c>
      <c r="EQ19" s="115">
        <f t="shared" ref="EQ19" si="123">EP19+1</f>
        <v>147</v>
      </c>
      <c r="ER19" s="115">
        <f t="shared" ref="ER19" si="124">EQ19+1</f>
        <v>148</v>
      </c>
      <c r="ES19" s="115">
        <f t="shared" ref="ES19" si="125">ER19+1</f>
        <v>149</v>
      </c>
    </row>
    <row r="20" spans="1:149" x14ac:dyDescent="0.2">
      <c r="A20" s="7" t="s">
        <v>19</v>
      </c>
      <c r="B20" s="119" t="s">
        <v>316</v>
      </c>
      <c r="C20" s="119" t="s">
        <v>861</v>
      </c>
      <c r="D20" s="12" t="s">
        <v>329</v>
      </c>
      <c r="E20" s="8" t="s">
        <v>6153</v>
      </c>
      <c r="F20" s="14" t="s">
        <v>65</v>
      </c>
      <c r="G20" s="12" t="s">
        <v>275</v>
      </c>
      <c r="H20" s="12" t="s">
        <v>862</v>
      </c>
      <c r="I20" s="7" t="s">
        <v>328</v>
      </c>
      <c r="J20" s="7" t="s">
        <v>317</v>
      </c>
      <c r="K20" s="12" t="s">
        <v>318</v>
      </c>
      <c r="L20" s="7" t="s">
        <v>319</v>
      </c>
      <c r="M20" s="7" t="s">
        <v>863</v>
      </c>
      <c r="N20" s="7" t="s">
        <v>928</v>
      </c>
      <c r="O20" s="7" t="s">
        <v>6154</v>
      </c>
      <c r="P20" s="7" t="s">
        <v>6155</v>
      </c>
      <c r="Q20" s="7" t="s">
        <v>321</v>
      </c>
      <c r="R20" s="12" t="s">
        <v>330</v>
      </c>
      <c r="S20" s="7" t="s">
        <v>882</v>
      </c>
      <c r="T20" s="7" t="s">
        <v>870</v>
      </c>
      <c r="U20" s="7" t="s">
        <v>868</v>
      </c>
      <c r="V20" s="7" t="s">
        <v>875</v>
      </c>
      <c r="W20" s="7" t="s">
        <v>326</v>
      </c>
      <c r="X20" s="7" t="s">
        <v>6156</v>
      </c>
      <c r="Y20" s="7" t="s">
        <v>322</v>
      </c>
      <c r="Z20" s="7" t="s">
        <v>916</v>
      </c>
      <c r="AA20" s="7" t="s">
        <v>914</v>
      </c>
      <c r="AB20" s="7" t="s">
        <v>915</v>
      </c>
      <c r="AC20" s="7" t="s">
        <v>876</v>
      </c>
      <c r="AD20" s="7" t="s">
        <v>6121</v>
      </c>
      <c r="AE20" s="7" t="s">
        <v>6120</v>
      </c>
      <c r="AF20" s="7" t="s">
        <v>6157</v>
      </c>
      <c r="AG20" s="7" t="s">
        <v>334</v>
      </c>
      <c r="AH20" s="7" t="s">
        <v>350</v>
      </c>
      <c r="AI20" s="7" t="s">
        <v>877</v>
      </c>
      <c r="AJ20" s="7" t="s">
        <v>879</v>
      </c>
      <c r="AK20" s="7" t="s">
        <v>871</v>
      </c>
      <c r="AL20" s="7" t="s">
        <v>865</v>
      </c>
      <c r="AM20" s="7" t="s">
        <v>323</v>
      </c>
      <c r="AN20" s="7" t="s">
        <v>867</v>
      </c>
      <c r="AO20" s="7" t="s">
        <v>878</v>
      </c>
      <c r="AP20" s="7" t="s">
        <v>869</v>
      </c>
      <c r="AQ20" s="7" t="s">
        <v>6117</v>
      </c>
      <c r="AR20" s="227" t="s">
        <v>872</v>
      </c>
      <c r="AS20" s="227" t="s">
        <v>325</v>
      </c>
      <c r="AT20" s="227" t="s">
        <v>873</v>
      </c>
      <c r="AU20" s="227" t="s">
        <v>327</v>
      </c>
      <c r="AV20" s="7" t="s">
        <v>6116</v>
      </c>
      <c r="AW20" s="7" t="s">
        <v>6158</v>
      </c>
      <c r="AX20" s="7" t="s">
        <v>881</v>
      </c>
      <c r="AY20" s="7" t="s">
        <v>892</v>
      </c>
      <c r="AZ20" s="12" t="s">
        <v>336</v>
      </c>
      <c r="BA20" s="243" t="s">
        <v>883</v>
      </c>
      <c r="BB20" s="243" t="s">
        <v>337</v>
      </c>
      <c r="BC20" s="7" t="s">
        <v>885</v>
      </c>
      <c r="BD20" s="7" t="s">
        <v>342</v>
      </c>
      <c r="BE20" t="s">
        <v>6159</v>
      </c>
      <c r="BF20" t="s">
        <v>884</v>
      </c>
      <c r="BG20" t="s">
        <v>344</v>
      </c>
      <c r="BH20" t="s">
        <v>886</v>
      </c>
      <c r="BI20" t="s">
        <v>345</v>
      </c>
      <c r="BJ20" t="s">
        <v>887</v>
      </c>
      <c r="BK20" t="s">
        <v>893</v>
      </c>
      <c r="BL20" t="s">
        <v>339</v>
      </c>
      <c r="BM20" t="s">
        <v>889</v>
      </c>
      <c r="BN20" t="s">
        <v>346</v>
      </c>
      <c r="BO20" t="s">
        <v>888</v>
      </c>
      <c r="BP20" t="s">
        <v>349</v>
      </c>
      <c r="BQ20" t="s">
        <v>890</v>
      </c>
      <c r="BR20" t="s">
        <v>348</v>
      </c>
      <c r="BS20" t="s">
        <v>891</v>
      </c>
      <c r="BT20" t="s">
        <v>347</v>
      </c>
      <c r="BU20" t="s">
        <v>338</v>
      </c>
      <c r="BV20" t="s">
        <v>880</v>
      </c>
      <c r="BW20" t="s">
        <v>340</v>
      </c>
      <c r="BX20" t="s">
        <v>864</v>
      </c>
      <c r="BY20" t="s">
        <v>343</v>
      </c>
      <c r="BZ20" t="s">
        <v>341</v>
      </c>
      <c r="CA20" t="s">
        <v>874</v>
      </c>
      <c r="CB20" t="s">
        <v>324</v>
      </c>
      <c r="CC20" t="s">
        <v>332</v>
      </c>
      <c r="CD20" t="s">
        <v>335</v>
      </c>
      <c r="CE20" t="s">
        <v>917</v>
      </c>
      <c r="CF20" t="s">
        <v>918</v>
      </c>
      <c r="CG20" t="s">
        <v>6160</v>
      </c>
      <c r="CH20" t="s">
        <v>919</v>
      </c>
      <c r="CI20" t="s">
        <v>367</v>
      </c>
      <c r="CJ20" t="s">
        <v>894</v>
      </c>
      <c r="CK20" t="s">
        <v>358</v>
      </c>
      <c r="CL20" t="s">
        <v>352</v>
      </c>
      <c r="CM20" t="s">
        <v>353</v>
      </c>
      <c r="CN20" t="s">
        <v>370</v>
      </c>
      <c r="CO20" t="s">
        <v>368</v>
      </c>
      <c r="CP20" t="s">
        <v>6161</v>
      </c>
      <c r="CQ20" t="s">
        <v>6162</v>
      </c>
      <c r="CR20" t="s">
        <v>6163</v>
      </c>
      <c r="CS20" t="s">
        <v>366</v>
      </c>
      <c r="CT20" t="s">
        <v>6164</v>
      </c>
      <c r="CU20" t="s">
        <v>898</v>
      </c>
      <c r="CV20" t="s">
        <v>351</v>
      </c>
      <c r="CW20" t="s">
        <v>6165</v>
      </c>
      <c r="CX20" t="s">
        <v>897</v>
      </c>
      <c r="CY20" t="s">
        <v>357</v>
      </c>
      <c r="CZ20" t="s">
        <v>360</v>
      </c>
      <c r="DA20" t="s">
        <v>361</v>
      </c>
      <c r="DB20" t="s">
        <v>362</v>
      </c>
      <c r="DC20" t="s">
        <v>363</v>
      </c>
      <c r="DD20" t="s">
        <v>364</v>
      </c>
      <c r="DE20" t="s">
        <v>365</v>
      </c>
      <c r="DF20" t="s">
        <v>356</v>
      </c>
      <c r="DG20" t="s">
        <v>354</v>
      </c>
      <c r="DH20" t="s">
        <v>895</v>
      </c>
      <c r="DI20" t="s">
        <v>355</v>
      </c>
      <c r="DJ20" t="s">
        <v>896</v>
      </c>
      <c r="DK20" t="s">
        <v>387</v>
      </c>
      <c r="DL20" t="s">
        <v>379</v>
      </c>
      <c r="DM20" t="s">
        <v>373</v>
      </c>
      <c r="DN20" t="s">
        <v>374</v>
      </c>
      <c r="DO20" t="s">
        <v>389</v>
      </c>
      <c r="DP20" t="s">
        <v>388</v>
      </c>
      <c r="DQ20" t="s">
        <v>386</v>
      </c>
      <c r="DR20" t="s">
        <v>372</v>
      </c>
      <c r="DS20" t="s">
        <v>901</v>
      </c>
      <c r="DT20" t="s">
        <v>378</v>
      </c>
      <c r="DU20" t="s">
        <v>380</v>
      </c>
      <c r="DV20" t="s">
        <v>381</v>
      </c>
      <c r="DW20" t="s">
        <v>382</v>
      </c>
      <c r="DX20" t="s">
        <v>383</v>
      </c>
      <c r="DY20" t="s">
        <v>384</v>
      </c>
      <c r="DZ20" t="s">
        <v>385</v>
      </c>
      <c r="EA20" t="s">
        <v>377</v>
      </c>
      <c r="EB20" t="s">
        <v>375</v>
      </c>
      <c r="EC20" t="s">
        <v>899</v>
      </c>
      <c r="ED20" t="s">
        <v>376</v>
      </c>
      <c r="EE20" t="s">
        <v>900</v>
      </c>
      <c r="EF20" t="s">
        <v>907</v>
      </c>
      <c r="EG20" t="s">
        <v>902</v>
      </c>
      <c r="EH20" s="116" t="s">
        <v>906</v>
      </c>
      <c r="EI20" s="116" t="s">
        <v>908</v>
      </c>
      <c r="EJ20" s="116" t="s">
        <v>909</v>
      </c>
      <c r="EK20" s="116" t="s">
        <v>910</v>
      </c>
      <c r="EL20" s="116" t="s">
        <v>911</v>
      </c>
      <c r="EM20" s="116" t="s">
        <v>912</v>
      </c>
      <c r="EN20" s="116" t="s">
        <v>913</v>
      </c>
      <c r="EO20" s="116" t="s">
        <v>905</v>
      </c>
      <c r="EP20" s="116" t="s">
        <v>903</v>
      </c>
      <c r="EQ20" s="116" t="s">
        <v>904</v>
      </c>
      <c r="ER20" s="116" t="s">
        <v>866</v>
      </c>
      <c r="ES20" s="116" t="s">
        <v>331</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DC13F-E222-47C0-9A50-8127BA0AD22F}">
  <sheetPr codeName="Sheet34"/>
  <dimension ref="A1:B150"/>
  <sheetViews>
    <sheetView zoomScaleNormal="100" workbookViewId="0"/>
  </sheetViews>
  <sheetFormatPr baseColWidth="10" defaultColWidth="8.83203125" defaultRowHeight="13" x14ac:dyDescent="0.15"/>
  <cols>
    <col min="1" max="1" width="37.1640625" bestFit="1" customWidth="1"/>
    <col min="2" max="2" width="91.5" customWidth="1"/>
  </cols>
  <sheetData>
    <row r="1" spans="1:2" ht="21" x14ac:dyDescent="0.25">
      <c r="A1" s="469" t="s">
        <v>6175</v>
      </c>
      <c r="B1" s="471"/>
    </row>
    <row r="2" spans="1:2" ht="14" x14ac:dyDescent="0.15">
      <c r="A2" s="472">
        <v>43907</v>
      </c>
      <c r="B2" s="471"/>
    </row>
    <row r="3" spans="1:2" ht="14" x14ac:dyDescent="0.15">
      <c r="A3" s="470"/>
      <c r="B3" s="471"/>
    </row>
    <row r="4" spans="1:2" ht="15" x14ac:dyDescent="0.15">
      <c r="A4" s="473" t="s">
        <v>6176</v>
      </c>
      <c r="B4" s="474" t="s">
        <v>6177</v>
      </c>
    </row>
    <row r="5" spans="1:2" ht="30" x14ac:dyDescent="0.15">
      <c r="A5" s="475" t="s">
        <v>6152</v>
      </c>
      <c r="B5" s="476" t="s">
        <v>6178</v>
      </c>
    </row>
    <row r="6" spans="1:2" ht="15" x14ac:dyDescent="0.15">
      <c r="A6" s="475" t="s">
        <v>80</v>
      </c>
      <c r="B6" s="476" t="s">
        <v>6180</v>
      </c>
    </row>
    <row r="7" spans="1:2" ht="15" x14ac:dyDescent="0.15">
      <c r="A7" s="475" t="s">
        <v>1161</v>
      </c>
      <c r="B7" s="476" t="s">
        <v>6241</v>
      </c>
    </row>
    <row r="8" spans="1:2" ht="15" x14ac:dyDescent="0.15">
      <c r="A8" s="475" t="s">
        <v>1162</v>
      </c>
      <c r="B8" s="476" t="s">
        <v>6407</v>
      </c>
    </row>
    <row r="9" spans="1:2" ht="15" x14ac:dyDescent="0.15">
      <c r="A9" s="475" t="s">
        <v>81</v>
      </c>
      <c r="B9" s="476" t="s">
        <v>6388</v>
      </c>
    </row>
    <row r="10" spans="1:2" ht="15" x14ac:dyDescent="0.15">
      <c r="A10" s="475" t="s">
        <v>176</v>
      </c>
      <c r="B10" s="476" t="s">
        <v>6193</v>
      </c>
    </row>
    <row r="11" spans="1:2" ht="15" x14ac:dyDescent="0.15">
      <c r="A11" s="475" t="s">
        <v>1163</v>
      </c>
      <c r="B11" s="476" t="s">
        <v>1163</v>
      </c>
    </row>
    <row r="12" spans="1:2" ht="15" x14ac:dyDescent="0.15">
      <c r="A12" s="475" t="s">
        <v>1164</v>
      </c>
      <c r="B12" s="476" t="s">
        <v>6183</v>
      </c>
    </row>
    <row r="13" spans="1:2" ht="15" x14ac:dyDescent="0.15">
      <c r="A13" s="475" t="s">
        <v>1180</v>
      </c>
      <c r="B13" s="476" t="s">
        <v>6196</v>
      </c>
    </row>
    <row r="14" spans="1:2" ht="15" x14ac:dyDescent="0.15">
      <c r="A14" s="475" t="s">
        <v>275</v>
      </c>
      <c r="B14" s="476" t="s">
        <v>6181</v>
      </c>
    </row>
    <row r="15" spans="1:2" ht="15" x14ac:dyDescent="0.15">
      <c r="A15" s="475" t="s">
        <v>1165</v>
      </c>
      <c r="B15" s="476" t="s">
        <v>6185</v>
      </c>
    </row>
    <row r="16" spans="1:2" ht="15" x14ac:dyDescent="0.15">
      <c r="A16" s="475" t="s">
        <v>1166</v>
      </c>
      <c r="B16" s="476" t="s">
        <v>6297</v>
      </c>
    </row>
    <row r="17" spans="1:2" ht="15" x14ac:dyDescent="0.15">
      <c r="A17" s="475" t="s">
        <v>6172</v>
      </c>
      <c r="B17" s="476" t="s">
        <v>6225</v>
      </c>
    </row>
    <row r="18" spans="1:2" ht="15" x14ac:dyDescent="0.15">
      <c r="A18" s="475" t="s">
        <v>6173</v>
      </c>
      <c r="B18" s="476" t="s">
        <v>6389</v>
      </c>
    </row>
    <row r="19" spans="1:2" ht="30" x14ac:dyDescent="0.15">
      <c r="A19" s="475" t="s">
        <v>1169</v>
      </c>
      <c r="B19" s="476" t="s">
        <v>6186</v>
      </c>
    </row>
    <row r="20" spans="1:2" ht="60" x14ac:dyDescent="0.15">
      <c r="A20" s="475" t="s">
        <v>1170</v>
      </c>
      <c r="B20" s="476" t="s">
        <v>6187</v>
      </c>
    </row>
    <row r="21" spans="1:2" ht="30" x14ac:dyDescent="0.15">
      <c r="A21" s="475" t="s">
        <v>1171</v>
      </c>
      <c r="B21" s="476" t="s">
        <v>6188</v>
      </c>
    </row>
    <row r="22" spans="1:2" ht="15" x14ac:dyDescent="0.15">
      <c r="A22" s="475" t="s">
        <v>1190</v>
      </c>
      <c r="B22" s="476" t="s">
        <v>6390</v>
      </c>
    </row>
    <row r="23" spans="1:2" ht="15" x14ac:dyDescent="0.15">
      <c r="A23" s="475" t="s">
        <v>1279</v>
      </c>
      <c r="B23" s="476" t="s">
        <v>6406</v>
      </c>
    </row>
    <row r="24" spans="1:2" ht="15" x14ac:dyDescent="0.15">
      <c r="A24" s="475" t="s">
        <v>131</v>
      </c>
      <c r="B24" s="476" t="s">
        <v>6189</v>
      </c>
    </row>
    <row r="25" spans="1:2" ht="15" x14ac:dyDescent="0.15">
      <c r="A25" s="475" t="s">
        <v>1172</v>
      </c>
      <c r="B25" s="476" t="s">
        <v>6391</v>
      </c>
    </row>
    <row r="26" spans="1:2" ht="15" x14ac:dyDescent="0.15">
      <c r="A26" s="475" t="s">
        <v>1174</v>
      </c>
      <c r="B26" s="476" t="s">
        <v>6392</v>
      </c>
    </row>
    <row r="27" spans="1:2" ht="15" x14ac:dyDescent="0.15">
      <c r="A27" s="475" t="s">
        <v>1173</v>
      </c>
      <c r="B27" s="476" t="s">
        <v>6190</v>
      </c>
    </row>
    <row r="28" spans="1:2" ht="15" x14ac:dyDescent="0.15">
      <c r="A28" s="475" t="s">
        <v>1175</v>
      </c>
      <c r="B28" s="476" t="s">
        <v>6191</v>
      </c>
    </row>
    <row r="29" spans="1:2" ht="15" x14ac:dyDescent="0.15">
      <c r="A29" s="475" t="s">
        <v>1176</v>
      </c>
      <c r="B29" s="476" t="s">
        <v>6393</v>
      </c>
    </row>
    <row r="30" spans="1:2" ht="15" x14ac:dyDescent="0.15">
      <c r="A30" s="475" t="s">
        <v>1177</v>
      </c>
      <c r="B30" s="476" t="s">
        <v>6192</v>
      </c>
    </row>
    <row r="31" spans="1:2" ht="15" x14ac:dyDescent="0.15">
      <c r="A31" s="475" t="s">
        <v>1167</v>
      </c>
      <c r="B31" s="476" t="s">
        <v>6182</v>
      </c>
    </row>
    <row r="32" spans="1:2" ht="15" x14ac:dyDescent="0.15">
      <c r="A32" s="475" t="s">
        <v>1168</v>
      </c>
      <c r="B32" s="476" t="s">
        <v>6184</v>
      </c>
    </row>
    <row r="33" spans="1:2" ht="15" x14ac:dyDescent="0.15">
      <c r="A33" s="475" t="s">
        <v>1181</v>
      </c>
      <c r="B33" s="476" t="s">
        <v>6197</v>
      </c>
    </row>
    <row r="34" spans="1:2" ht="15" x14ac:dyDescent="0.15">
      <c r="A34" s="475" t="s">
        <v>1182</v>
      </c>
      <c r="B34" s="476" t="s">
        <v>6198</v>
      </c>
    </row>
    <row r="35" spans="1:2" ht="45" x14ac:dyDescent="0.15">
      <c r="A35" s="475" t="s">
        <v>1183</v>
      </c>
      <c r="B35" s="476" t="s">
        <v>6199</v>
      </c>
    </row>
    <row r="36" spans="1:2" ht="15" x14ac:dyDescent="0.15">
      <c r="A36" s="475" t="s">
        <v>1184</v>
      </c>
      <c r="B36" s="476" t="s">
        <v>6200</v>
      </c>
    </row>
    <row r="37" spans="1:2" ht="15" x14ac:dyDescent="0.15">
      <c r="A37" s="475" t="s">
        <v>1185</v>
      </c>
      <c r="B37" s="476" t="s">
        <v>6201</v>
      </c>
    </row>
    <row r="38" spans="1:2" ht="15" x14ac:dyDescent="0.15">
      <c r="A38" s="475" t="s">
        <v>1186</v>
      </c>
      <c r="B38" s="476" t="s">
        <v>6202</v>
      </c>
    </row>
    <row r="39" spans="1:2" ht="15" x14ac:dyDescent="0.15">
      <c r="A39" s="475" t="s">
        <v>1281</v>
      </c>
      <c r="B39" s="476" t="s">
        <v>6203</v>
      </c>
    </row>
    <row r="40" spans="1:2" ht="15" x14ac:dyDescent="0.15">
      <c r="A40" s="475" t="s">
        <v>203</v>
      </c>
      <c r="B40" s="476" t="s">
        <v>6204</v>
      </c>
    </row>
    <row r="41" spans="1:2" ht="15" x14ac:dyDescent="0.15">
      <c r="A41" s="475" t="s">
        <v>1187</v>
      </c>
      <c r="B41" s="476" t="s">
        <v>6205</v>
      </c>
    </row>
    <row r="42" spans="1:2" ht="15" x14ac:dyDescent="0.15">
      <c r="A42" s="475" t="s">
        <v>1188</v>
      </c>
      <c r="B42" s="476" t="s">
        <v>6206</v>
      </c>
    </row>
    <row r="43" spans="1:2" ht="15" x14ac:dyDescent="0.15">
      <c r="A43" s="475" t="s">
        <v>1189</v>
      </c>
      <c r="B43" s="476" t="s">
        <v>6207</v>
      </c>
    </row>
    <row r="44" spans="1:2" ht="15" x14ac:dyDescent="0.15">
      <c r="A44" s="475" t="s">
        <v>90</v>
      </c>
      <c r="B44" s="476" t="s">
        <v>6209</v>
      </c>
    </row>
    <row r="45" spans="1:2" ht="15" x14ac:dyDescent="0.15">
      <c r="A45" s="475" t="s">
        <v>1191</v>
      </c>
      <c r="B45" s="476" t="s">
        <v>6210</v>
      </c>
    </row>
    <row r="46" spans="1:2" ht="15" x14ac:dyDescent="0.15">
      <c r="A46" s="475" t="s">
        <v>91</v>
      </c>
      <c r="B46" s="476" t="s">
        <v>6394</v>
      </c>
    </row>
    <row r="47" spans="1:2" ht="15" x14ac:dyDescent="0.15">
      <c r="A47" s="475" t="s">
        <v>1192</v>
      </c>
      <c r="B47" s="476" t="s">
        <v>6211</v>
      </c>
    </row>
    <row r="48" spans="1:2" ht="15" x14ac:dyDescent="0.15">
      <c r="A48" s="475" t="s">
        <v>1193</v>
      </c>
      <c r="B48" s="476" t="s">
        <v>6212</v>
      </c>
    </row>
    <row r="49" spans="1:2" ht="15" x14ac:dyDescent="0.15">
      <c r="A49" s="475" t="s">
        <v>575</v>
      </c>
      <c r="B49" s="476" t="s">
        <v>6395</v>
      </c>
    </row>
    <row r="50" spans="1:2" ht="15" x14ac:dyDescent="0.15">
      <c r="A50" s="475" t="s">
        <v>576</v>
      </c>
      <c r="B50" s="476" t="s">
        <v>6396</v>
      </c>
    </row>
    <row r="51" spans="1:2" ht="15" x14ac:dyDescent="0.15">
      <c r="A51" s="475" t="s">
        <v>577</v>
      </c>
      <c r="B51" s="476" t="s">
        <v>6213</v>
      </c>
    </row>
    <row r="52" spans="1:2" ht="15" x14ac:dyDescent="0.15">
      <c r="A52" s="475" t="s">
        <v>1178</v>
      </c>
      <c r="B52" s="476" t="s">
        <v>6194</v>
      </c>
    </row>
    <row r="53" spans="1:2" ht="30" x14ac:dyDescent="0.15">
      <c r="A53" s="475" t="s">
        <v>1179</v>
      </c>
      <c r="B53" s="476" t="s">
        <v>6195</v>
      </c>
    </row>
    <row r="54" spans="1:2" ht="15" x14ac:dyDescent="0.15">
      <c r="A54" s="475" t="s">
        <v>1194</v>
      </c>
      <c r="B54" s="476" t="s">
        <v>6214</v>
      </c>
    </row>
    <row r="55" spans="1:2" ht="15" x14ac:dyDescent="0.15">
      <c r="A55" s="475" t="s">
        <v>6167</v>
      </c>
      <c r="B55" s="476" t="s">
        <v>6397</v>
      </c>
    </row>
    <row r="56" spans="1:2" ht="15" x14ac:dyDescent="0.15">
      <c r="A56" s="475" t="s">
        <v>1195</v>
      </c>
      <c r="B56" s="476" t="s">
        <v>6398</v>
      </c>
    </row>
    <row r="57" spans="1:2" ht="15" x14ac:dyDescent="0.15">
      <c r="A57" s="475" t="s">
        <v>1196</v>
      </c>
      <c r="B57" s="476" t="s">
        <v>6215</v>
      </c>
    </row>
    <row r="58" spans="1:2" ht="15" x14ac:dyDescent="0.15">
      <c r="A58" s="475" t="s">
        <v>1197</v>
      </c>
      <c r="B58" s="476" t="s">
        <v>6216</v>
      </c>
    </row>
    <row r="59" spans="1:2" ht="15" x14ac:dyDescent="0.15">
      <c r="A59" s="475" t="s">
        <v>1198</v>
      </c>
      <c r="B59" s="476" t="s">
        <v>6217</v>
      </c>
    </row>
    <row r="60" spans="1:2" ht="15" x14ac:dyDescent="0.15">
      <c r="A60" s="475" t="s">
        <v>1199</v>
      </c>
      <c r="B60" s="476" t="s">
        <v>6218</v>
      </c>
    </row>
    <row r="61" spans="1:2" ht="15" x14ac:dyDescent="0.15">
      <c r="A61" s="475" t="s">
        <v>1203</v>
      </c>
      <c r="B61" s="476" t="s">
        <v>6222</v>
      </c>
    </row>
    <row r="62" spans="1:2" ht="15" x14ac:dyDescent="0.15">
      <c r="A62" s="475" t="s">
        <v>1200</v>
      </c>
      <c r="B62" s="476" t="s">
        <v>6219</v>
      </c>
    </row>
    <row r="63" spans="1:2" ht="15" x14ac:dyDescent="0.15">
      <c r="A63" s="475" t="s">
        <v>1201</v>
      </c>
      <c r="B63" s="476" t="s">
        <v>6220</v>
      </c>
    </row>
    <row r="64" spans="1:2" ht="15" x14ac:dyDescent="0.15">
      <c r="A64" s="475" t="s">
        <v>1202</v>
      </c>
      <c r="B64" s="476" t="s">
        <v>6221</v>
      </c>
    </row>
    <row r="65" spans="1:2" ht="15" x14ac:dyDescent="0.15">
      <c r="A65" s="475" t="s">
        <v>1204</v>
      </c>
      <c r="B65" s="476" t="s">
        <v>6223</v>
      </c>
    </row>
    <row r="66" spans="1:2" ht="30" x14ac:dyDescent="0.15">
      <c r="A66" s="475" t="s">
        <v>1205</v>
      </c>
      <c r="B66" s="476" t="s">
        <v>6208</v>
      </c>
    </row>
    <row r="67" spans="1:2" ht="15" x14ac:dyDescent="0.15">
      <c r="A67" s="475" t="s">
        <v>1209</v>
      </c>
      <c r="B67" s="476" t="s">
        <v>6224</v>
      </c>
    </row>
    <row r="68" spans="1:2" ht="15" x14ac:dyDescent="0.15">
      <c r="A68" s="475" t="s">
        <v>1210</v>
      </c>
      <c r="B68" s="476" t="s">
        <v>6225</v>
      </c>
    </row>
    <row r="69" spans="1:2" ht="15" x14ac:dyDescent="0.15">
      <c r="A69" s="475" t="s">
        <v>1211</v>
      </c>
      <c r="B69" s="476" t="s">
        <v>6226</v>
      </c>
    </row>
    <row r="70" spans="1:2" ht="15" x14ac:dyDescent="0.15">
      <c r="A70" s="475" t="s">
        <v>1212</v>
      </c>
      <c r="B70" s="476" t="s">
        <v>6227</v>
      </c>
    </row>
    <row r="71" spans="1:2" ht="15" x14ac:dyDescent="0.15">
      <c r="A71" s="475" t="s">
        <v>1213</v>
      </c>
      <c r="B71" s="476" t="s">
        <v>6228</v>
      </c>
    </row>
    <row r="72" spans="1:2" ht="15" x14ac:dyDescent="0.15">
      <c r="A72" s="475" t="s">
        <v>1214</v>
      </c>
      <c r="B72" s="476" t="s">
        <v>6229</v>
      </c>
    </row>
    <row r="73" spans="1:2" ht="15" x14ac:dyDescent="0.15">
      <c r="A73" s="475" t="s">
        <v>1215</v>
      </c>
      <c r="B73" s="476" t="s">
        <v>6230</v>
      </c>
    </row>
    <row r="74" spans="1:2" ht="15" x14ac:dyDescent="0.15">
      <c r="A74" s="475" t="s">
        <v>1280</v>
      </c>
      <c r="B74" s="476" t="s">
        <v>6231</v>
      </c>
    </row>
    <row r="75" spans="1:2" ht="15" x14ac:dyDescent="0.15">
      <c r="A75" s="475" t="s">
        <v>1206</v>
      </c>
      <c r="B75" s="476" t="s">
        <v>6232</v>
      </c>
    </row>
    <row r="76" spans="1:2" ht="15" x14ac:dyDescent="0.15">
      <c r="A76" s="475" t="s">
        <v>1207</v>
      </c>
      <c r="B76" s="476" t="s">
        <v>6233</v>
      </c>
    </row>
    <row r="77" spans="1:2" ht="15" x14ac:dyDescent="0.15">
      <c r="A77" s="475" t="s">
        <v>1208</v>
      </c>
      <c r="B77" s="476" t="s">
        <v>6234</v>
      </c>
    </row>
    <row r="78" spans="1:2" ht="15" x14ac:dyDescent="0.15">
      <c r="A78" s="475" t="s">
        <v>1216</v>
      </c>
      <c r="B78" s="476" t="s">
        <v>6235</v>
      </c>
    </row>
    <row r="79" spans="1:2" ht="15" x14ac:dyDescent="0.15">
      <c r="A79" s="475" t="s">
        <v>1217</v>
      </c>
      <c r="B79" s="476" t="s">
        <v>6236</v>
      </c>
    </row>
    <row r="80" spans="1:2" ht="15" x14ac:dyDescent="0.15">
      <c r="A80" s="475" t="s">
        <v>1218</v>
      </c>
      <c r="B80" s="476" t="s">
        <v>6237</v>
      </c>
    </row>
    <row r="81" spans="1:2" ht="15" x14ac:dyDescent="0.15">
      <c r="A81" s="475" t="s">
        <v>1220</v>
      </c>
      <c r="B81" s="476" t="s">
        <v>6238</v>
      </c>
    </row>
    <row r="82" spans="1:2" ht="15" x14ac:dyDescent="0.15">
      <c r="A82" s="475" t="s">
        <v>1219</v>
      </c>
      <c r="B82" s="476" t="s">
        <v>6239</v>
      </c>
    </row>
    <row r="83" spans="1:2" ht="15" x14ac:dyDescent="0.15">
      <c r="A83" s="475" t="s">
        <v>6166</v>
      </c>
      <c r="B83" s="476" t="s">
        <v>6240</v>
      </c>
    </row>
    <row r="84" spans="1:2" ht="15" x14ac:dyDescent="0.15">
      <c r="A84" s="475" t="s">
        <v>1221</v>
      </c>
      <c r="B84" s="476" t="s">
        <v>6242</v>
      </c>
    </row>
    <row r="85" spans="1:2" ht="15" x14ac:dyDescent="0.15">
      <c r="A85" s="475" t="s">
        <v>1282</v>
      </c>
      <c r="B85" s="476" t="s">
        <v>6243</v>
      </c>
    </row>
    <row r="86" spans="1:2" ht="15" x14ac:dyDescent="0.15">
      <c r="A86" s="475" t="s">
        <v>1222</v>
      </c>
      <c r="B86" s="476" t="s">
        <v>6244</v>
      </c>
    </row>
    <row r="87" spans="1:2" ht="15" x14ac:dyDescent="0.15">
      <c r="A87" s="475" t="s">
        <v>1223</v>
      </c>
      <c r="B87" s="476" t="s">
        <v>6245</v>
      </c>
    </row>
    <row r="88" spans="1:2" ht="30" x14ac:dyDescent="0.15">
      <c r="A88" s="475" t="s">
        <v>1224</v>
      </c>
      <c r="B88" s="476" t="s">
        <v>6246</v>
      </c>
    </row>
    <row r="89" spans="1:2" ht="15" x14ac:dyDescent="0.15">
      <c r="A89" s="475" t="s">
        <v>1225</v>
      </c>
      <c r="B89" s="476" t="s">
        <v>6247</v>
      </c>
    </row>
    <row r="90" spans="1:2" ht="30" x14ac:dyDescent="0.15">
      <c r="A90" s="475" t="s">
        <v>1226</v>
      </c>
      <c r="B90" s="476" t="s">
        <v>6248</v>
      </c>
    </row>
    <row r="91" spans="1:2" ht="15" x14ac:dyDescent="0.15">
      <c r="A91" s="475" t="s">
        <v>1227</v>
      </c>
      <c r="B91" s="476" t="s">
        <v>6249</v>
      </c>
    </row>
    <row r="92" spans="1:2" ht="15" x14ac:dyDescent="0.15">
      <c r="A92" s="475" t="s">
        <v>1228</v>
      </c>
      <c r="B92" s="476" t="s">
        <v>6250</v>
      </c>
    </row>
    <row r="93" spans="1:2" ht="15" x14ac:dyDescent="0.15">
      <c r="A93" s="475" t="s">
        <v>1229</v>
      </c>
      <c r="B93" s="476" t="s">
        <v>6251</v>
      </c>
    </row>
    <row r="94" spans="1:2" ht="15" x14ac:dyDescent="0.15">
      <c r="A94" s="475" t="s">
        <v>1230</v>
      </c>
      <c r="B94" s="476" t="s">
        <v>6252</v>
      </c>
    </row>
    <row r="95" spans="1:2" ht="15" x14ac:dyDescent="0.15">
      <c r="A95" s="475" t="s">
        <v>1231</v>
      </c>
      <c r="B95" s="476" t="s">
        <v>6399</v>
      </c>
    </row>
    <row r="96" spans="1:2" ht="30" x14ac:dyDescent="0.15">
      <c r="A96" s="475" t="s">
        <v>1232</v>
      </c>
      <c r="B96" s="476" t="s">
        <v>6253</v>
      </c>
    </row>
    <row r="97" spans="1:2" ht="15" x14ac:dyDescent="0.15">
      <c r="A97" s="475" t="s">
        <v>1233</v>
      </c>
      <c r="B97" s="476" t="s">
        <v>6254</v>
      </c>
    </row>
    <row r="98" spans="1:2" ht="15" x14ac:dyDescent="0.15">
      <c r="A98" s="475" t="s">
        <v>1234</v>
      </c>
      <c r="B98" s="476" t="s">
        <v>6255</v>
      </c>
    </row>
    <row r="99" spans="1:2" ht="15" x14ac:dyDescent="0.15">
      <c r="A99" s="475" t="s">
        <v>1235</v>
      </c>
      <c r="B99" s="476" t="s">
        <v>6256</v>
      </c>
    </row>
    <row r="100" spans="1:2" ht="15" x14ac:dyDescent="0.15">
      <c r="A100" s="475" t="s">
        <v>1236</v>
      </c>
      <c r="B100" s="476" t="s">
        <v>6257</v>
      </c>
    </row>
    <row r="101" spans="1:2" ht="15" x14ac:dyDescent="0.15">
      <c r="A101" s="475" t="s">
        <v>1237</v>
      </c>
      <c r="B101" s="476" t="s">
        <v>6258</v>
      </c>
    </row>
    <row r="102" spans="1:2" ht="15" x14ac:dyDescent="0.15">
      <c r="A102" s="475" t="s">
        <v>1238</v>
      </c>
      <c r="B102" s="476" t="s">
        <v>6259</v>
      </c>
    </row>
    <row r="103" spans="1:2" ht="15" x14ac:dyDescent="0.15">
      <c r="A103" s="475" t="s">
        <v>1239</v>
      </c>
      <c r="B103" s="476" t="s">
        <v>6260</v>
      </c>
    </row>
    <row r="104" spans="1:2" ht="15" x14ac:dyDescent="0.15">
      <c r="A104" s="475" t="s">
        <v>1240</v>
      </c>
      <c r="B104" s="476" t="s">
        <v>6261</v>
      </c>
    </row>
    <row r="105" spans="1:2" ht="15" x14ac:dyDescent="0.15">
      <c r="A105" s="475" t="s">
        <v>1241</v>
      </c>
      <c r="B105" s="476" t="s">
        <v>6262</v>
      </c>
    </row>
    <row r="106" spans="1:2" ht="15" x14ac:dyDescent="0.15">
      <c r="A106" s="475" t="s">
        <v>1242</v>
      </c>
      <c r="B106" s="476" t="s">
        <v>6263</v>
      </c>
    </row>
    <row r="107" spans="1:2" ht="15" x14ac:dyDescent="0.15">
      <c r="A107" s="475" t="s">
        <v>1283</v>
      </c>
      <c r="B107" s="476" t="s">
        <v>6264</v>
      </c>
    </row>
    <row r="108" spans="1:2" ht="15" x14ac:dyDescent="0.15">
      <c r="A108" s="475" t="s">
        <v>1243</v>
      </c>
      <c r="B108" s="476" t="s">
        <v>6244</v>
      </c>
    </row>
    <row r="109" spans="1:2" ht="15" x14ac:dyDescent="0.15">
      <c r="A109" s="475" t="s">
        <v>1244</v>
      </c>
      <c r="B109" s="476" t="s">
        <v>6245</v>
      </c>
    </row>
    <row r="110" spans="1:2" ht="30" x14ac:dyDescent="0.15">
      <c r="A110" s="475" t="s">
        <v>1245</v>
      </c>
      <c r="B110" s="476" t="s">
        <v>6265</v>
      </c>
    </row>
    <row r="111" spans="1:2" ht="15" x14ac:dyDescent="0.15">
      <c r="A111" s="475" t="s">
        <v>1246</v>
      </c>
      <c r="B111" s="476" t="s">
        <v>6266</v>
      </c>
    </row>
    <row r="112" spans="1:2" ht="30" x14ac:dyDescent="0.15">
      <c r="A112" s="475" t="s">
        <v>1247</v>
      </c>
      <c r="B112" s="476" t="s">
        <v>6267</v>
      </c>
    </row>
    <row r="113" spans="1:2" ht="15" x14ac:dyDescent="0.15">
      <c r="A113" s="475" t="s">
        <v>1248</v>
      </c>
      <c r="B113" s="476" t="s">
        <v>6268</v>
      </c>
    </row>
    <row r="114" spans="1:2" ht="15" x14ac:dyDescent="0.15">
      <c r="A114" s="475" t="s">
        <v>1249</v>
      </c>
      <c r="B114" s="476" t="s">
        <v>6269</v>
      </c>
    </row>
    <row r="115" spans="1:2" ht="15" x14ac:dyDescent="0.15">
      <c r="A115" s="475" t="s">
        <v>1250</v>
      </c>
      <c r="B115" s="476" t="s">
        <v>6270</v>
      </c>
    </row>
    <row r="116" spans="1:2" ht="15" x14ac:dyDescent="0.15">
      <c r="A116" s="475" t="s">
        <v>1251</v>
      </c>
      <c r="B116" s="476" t="s">
        <v>6271</v>
      </c>
    </row>
    <row r="117" spans="1:2" ht="15" x14ac:dyDescent="0.15">
      <c r="A117" s="475" t="s">
        <v>1252</v>
      </c>
      <c r="B117" s="476" t="s">
        <v>6400</v>
      </c>
    </row>
    <row r="118" spans="1:2" ht="15" x14ac:dyDescent="0.15">
      <c r="A118" s="475" t="s">
        <v>1253</v>
      </c>
      <c r="B118" s="476" t="s">
        <v>6272</v>
      </c>
    </row>
    <row r="119" spans="1:2" ht="15" x14ac:dyDescent="0.15">
      <c r="A119" s="475" t="s">
        <v>1254</v>
      </c>
      <c r="B119" s="476" t="s">
        <v>6273</v>
      </c>
    </row>
    <row r="120" spans="1:2" ht="15" x14ac:dyDescent="0.15">
      <c r="A120" s="475" t="s">
        <v>1255</v>
      </c>
      <c r="B120" s="476" t="s">
        <v>6274</v>
      </c>
    </row>
    <row r="121" spans="1:2" ht="15" x14ac:dyDescent="0.15">
      <c r="A121" s="475" t="s">
        <v>1256</v>
      </c>
      <c r="B121" s="476" t="s">
        <v>6275</v>
      </c>
    </row>
    <row r="122" spans="1:2" ht="15" x14ac:dyDescent="0.15">
      <c r="A122" s="475" t="s">
        <v>1257</v>
      </c>
      <c r="B122" s="476" t="s">
        <v>6276</v>
      </c>
    </row>
    <row r="123" spans="1:2" ht="15" x14ac:dyDescent="0.15">
      <c r="A123" s="475" t="s">
        <v>1258</v>
      </c>
      <c r="B123" s="476" t="s">
        <v>6277</v>
      </c>
    </row>
    <row r="124" spans="1:2" ht="15" x14ac:dyDescent="0.15">
      <c r="A124" s="475" t="s">
        <v>1259</v>
      </c>
      <c r="B124" s="476" t="s">
        <v>6260</v>
      </c>
    </row>
    <row r="125" spans="1:2" ht="15" x14ac:dyDescent="0.15">
      <c r="A125" s="475" t="s">
        <v>1260</v>
      </c>
      <c r="B125" s="476" t="s">
        <v>6278</v>
      </c>
    </row>
    <row r="126" spans="1:2" ht="15" x14ac:dyDescent="0.15">
      <c r="A126" s="475" t="s">
        <v>1261</v>
      </c>
      <c r="B126" s="476" t="s">
        <v>6279</v>
      </c>
    </row>
    <row r="127" spans="1:2" ht="15" x14ac:dyDescent="0.15">
      <c r="A127" s="475" t="s">
        <v>1262</v>
      </c>
      <c r="B127" s="476" t="s">
        <v>6280</v>
      </c>
    </row>
    <row r="128" spans="1:2" ht="15" x14ac:dyDescent="0.15">
      <c r="A128" s="475" t="s">
        <v>1284</v>
      </c>
      <c r="B128" s="476" t="s">
        <v>6281</v>
      </c>
    </row>
    <row r="129" spans="1:2" ht="15" x14ac:dyDescent="0.15">
      <c r="A129" s="475" t="s">
        <v>1263</v>
      </c>
      <c r="B129" s="476" t="s">
        <v>6282</v>
      </c>
    </row>
    <row r="130" spans="1:2" ht="30" x14ac:dyDescent="0.15">
      <c r="A130" s="475" t="s">
        <v>1264</v>
      </c>
      <c r="B130" s="476" t="s">
        <v>6283</v>
      </c>
    </row>
    <row r="131" spans="1:2" ht="15" x14ac:dyDescent="0.15">
      <c r="A131" s="475" t="s">
        <v>1265</v>
      </c>
      <c r="B131" s="476" t="s">
        <v>6284</v>
      </c>
    </row>
    <row r="132" spans="1:2" ht="15" x14ac:dyDescent="0.15">
      <c r="A132" s="475" t="s">
        <v>1266</v>
      </c>
      <c r="B132" s="476" t="s">
        <v>6285</v>
      </c>
    </row>
    <row r="133" spans="1:2" ht="15" x14ac:dyDescent="0.15">
      <c r="A133" s="475" t="s">
        <v>1267</v>
      </c>
      <c r="B133" s="476" t="s">
        <v>6401</v>
      </c>
    </row>
    <row r="134" spans="1:2" ht="15" x14ac:dyDescent="0.15">
      <c r="A134" s="475" t="s">
        <v>1268</v>
      </c>
      <c r="B134" s="476" t="s">
        <v>6286</v>
      </c>
    </row>
    <row r="135" spans="1:2" ht="15" x14ac:dyDescent="0.15">
      <c r="A135" s="475" t="s">
        <v>1269</v>
      </c>
      <c r="B135" s="476" t="s">
        <v>6287</v>
      </c>
    </row>
    <row r="136" spans="1:2" ht="15" x14ac:dyDescent="0.15">
      <c r="A136" s="475" t="s">
        <v>1270</v>
      </c>
      <c r="B136" s="476" t="s">
        <v>6288</v>
      </c>
    </row>
    <row r="137" spans="1:2" ht="15" x14ac:dyDescent="0.15">
      <c r="A137" s="475" t="s">
        <v>1271</v>
      </c>
      <c r="B137" s="476" t="s">
        <v>6289</v>
      </c>
    </row>
    <row r="138" spans="1:2" ht="15" x14ac:dyDescent="0.15">
      <c r="A138" s="475" t="s">
        <v>1272</v>
      </c>
      <c r="B138" s="476" t="s">
        <v>6290</v>
      </c>
    </row>
    <row r="139" spans="1:2" ht="15" x14ac:dyDescent="0.15">
      <c r="A139" s="475" t="s">
        <v>1273</v>
      </c>
      <c r="B139" s="476" t="s">
        <v>6291</v>
      </c>
    </row>
    <row r="140" spans="1:2" ht="30" x14ac:dyDescent="0.15">
      <c r="A140" s="475" t="s">
        <v>1274</v>
      </c>
      <c r="B140" s="476" t="s">
        <v>6292</v>
      </c>
    </row>
    <row r="141" spans="1:2" ht="15" x14ac:dyDescent="0.15">
      <c r="A141" s="475" t="s">
        <v>1275</v>
      </c>
      <c r="B141" s="476" t="s">
        <v>6293</v>
      </c>
    </row>
    <row r="142" spans="1:2" ht="30" x14ac:dyDescent="0.15">
      <c r="A142" s="475" t="s">
        <v>1276</v>
      </c>
      <c r="B142" s="476" t="s">
        <v>6294</v>
      </c>
    </row>
    <row r="143" spans="1:2" ht="15" x14ac:dyDescent="0.15">
      <c r="A143" s="475" t="s">
        <v>1277</v>
      </c>
      <c r="B143" s="476" t="s">
        <v>6295</v>
      </c>
    </row>
    <row r="144" spans="1:2" ht="15" x14ac:dyDescent="0.15">
      <c r="A144" s="475" t="s">
        <v>1278</v>
      </c>
      <c r="B144" s="476" t="s">
        <v>6296</v>
      </c>
    </row>
    <row r="145" spans="1:2" ht="15" x14ac:dyDescent="0.15">
      <c r="A145" s="475" t="s">
        <v>1160</v>
      </c>
      <c r="B145" s="476" t="s">
        <v>6402</v>
      </c>
    </row>
    <row r="146" spans="1:2" ht="15" x14ac:dyDescent="0.15">
      <c r="A146" s="475" t="s">
        <v>6408</v>
      </c>
      <c r="B146" s="476" t="s">
        <v>6179</v>
      </c>
    </row>
    <row r="147" spans="1:2" ht="15" x14ac:dyDescent="0.15">
      <c r="A147" s="475" t="s">
        <v>1102</v>
      </c>
      <c r="B147" s="476" t="s">
        <v>6387</v>
      </c>
    </row>
    <row r="148" spans="1:2" ht="15" x14ac:dyDescent="0.15">
      <c r="A148" s="475" t="s">
        <v>73</v>
      </c>
      <c r="B148" s="476" t="s">
        <v>6405</v>
      </c>
    </row>
    <row r="149" spans="1:2" ht="15" x14ac:dyDescent="0.15">
      <c r="A149" s="475" t="s">
        <v>74</v>
      </c>
      <c r="B149" s="476" t="s">
        <v>6403</v>
      </c>
    </row>
    <row r="150" spans="1:2" ht="15" x14ac:dyDescent="0.15">
      <c r="A150" s="475" t="s">
        <v>256</v>
      </c>
      <c r="B150" s="476" t="s">
        <v>6404</v>
      </c>
    </row>
  </sheetData>
  <sheetProtection formatCells="0" formatColumns="0" formatRows="0" insertColumns="0" insertRows="0" insertHyperlinks="0" deleteColumns="0" deleteRows="0" sort="0" autoFilter="0" pivotTables="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FFC000"/>
    <pageSetUpPr fitToPage="1"/>
  </sheetPr>
  <dimension ref="A1:EV2537"/>
  <sheetViews>
    <sheetView topLeftCell="A10" zoomScaleNormal="100" workbookViewId="0"/>
  </sheetViews>
  <sheetFormatPr baseColWidth="10" defaultColWidth="13.33203125" defaultRowHeight="13" x14ac:dyDescent="0.15"/>
  <cols>
    <col min="1" max="1" width="12.33203125" style="577" customWidth="1"/>
    <col min="2" max="2" width="12" style="118" bestFit="1" customWidth="1"/>
    <col min="3" max="3" width="5" style="118" bestFit="1" customWidth="1"/>
    <col min="4" max="4" width="18.6640625" style="118" bestFit="1" customWidth="1"/>
    <col min="5" max="5" width="12.33203125" style="118" bestFit="1" customWidth="1"/>
    <col min="6" max="6" width="13.33203125" style="118"/>
    <col min="7" max="7" width="18.1640625" style="118" bestFit="1" customWidth="1"/>
    <col min="8" max="8" width="12.5" style="118" bestFit="1" customWidth="1"/>
    <col min="9" max="9" width="9.6640625" style="118" bestFit="1" customWidth="1"/>
    <col min="10" max="10" width="24.6640625" style="118" bestFit="1" customWidth="1"/>
    <col min="11" max="11" width="17" style="118" bestFit="1" customWidth="1"/>
    <col min="12" max="12" width="14.6640625" style="118" bestFit="1" customWidth="1"/>
    <col min="13" max="15" width="13.33203125" style="118"/>
    <col min="16" max="16" width="13.5" style="118" bestFit="1" customWidth="1"/>
    <col min="17" max="17" width="14.83203125" style="118" bestFit="1" customWidth="1"/>
    <col min="18" max="18" width="10.83203125" style="118" bestFit="1" customWidth="1"/>
    <col min="19" max="19" width="26.6640625" style="118" bestFit="1" customWidth="1"/>
    <col min="20" max="20" width="20.1640625" style="118" bestFit="1" customWidth="1"/>
    <col min="21" max="21" width="8.5" style="118" bestFit="1" customWidth="1"/>
    <col min="22" max="22" width="13.83203125" style="118" bestFit="1" customWidth="1"/>
    <col min="23" max="23" width="17.83203125" style="118" bestFit="1" customWidth="1"/>
    <col min="24" max="24" width="14.6640625" style="118" bestFit="1" customWidth="1"/>
    <col min="25" max="25" width="9.6640625" style="118" bestFit="1" customWidth="1"/>
    <col min="26" max="26" width="21.5" style="118" bestFit="1" customWidth="1"/>
    <col min="27" max="27" width="14.5" style="118" bestFit="1" customWidth="1"/>
    <col min="28" max="28" width="16.1640625" style="118" bestFit="1" customWidth="1"/>
    <col min="29" max="29" width="16.33203125" style="118" bestFit="1" customWidth="1"/>
    <col min="30" max="30" width="17.33203125" style="118" bestFit="1" customWidth="1"/>
    <col min="31" max="31" width="10.33203125" style="118" bestFit="1" customWidth="1"/>
    <col min="32" max="32" width="26.1640625" style="118" bestFit="1" customWidth="1"/>
    <col min="33" max="33" width="30.33203125" style="118" bestFit="1" customWidth="1"/>
    <col min="34" max="34" width="12.33203125" style="118" bestFit="1" customWidth="1"/>
    <col min="35" max="35" width="22.6640625" style="118" bestFit="1" customWidth="1"/>
    <col min="36" max="36" width="26.1640625" style="118" bestFit="1" customWidth="1"/>
    <col min="37" max="37" width="8" style="118" bestFit="1" customWidth="1"/>
    <col min="38" max="38" width="8.6640625" style="118" bestFit="1" customWidth="1"/>
    <col min="39" max="39" width="15.83203125" style="118" bestFit="1" customWidth="1"/>
    <col min="40" max="40" width="27.5" style="402" bestFit="1" customWidth="1"/>
    <col min="41" max="41" width="9.6640625" style="402" bestFit="1" customWidth="1"/>
    <col min="42" max="42" width="6.1640625" style="118" bestFit="1" customWidth="1"/>
    <col min="43" max="43" width="4.83203125" style="118" bestFit="1" customWidth="1"/>
    <col min="44" max="44" width="11.6640625" style="118" bestFit="1" customWidth="1"/>
    <col min="45" max="45" width="26.83203125" style="118" bestFit="1" customWidth="1"/>
    <col min="46" max="46" width="24.1640625" style="118" bestFit="1" customWidth="1"/>
    <col min="47" max="47" width="30" style="118" bestFit="1" customWidth="1"/>
    <col min="48" max="48" width="13.1640625" style="118" bestFit="1" customWidth="1"/>
    <col min="49" max="49" width="17.5" style="118" bestFit="1" customWidth="1"/>
    <col min="50" max="50" width="23.5" style="118" bestFit="1" customWidth="1"/>
    <col min="51" max="51" width="14.1640625" style="118" bestFit="1" customWidth="1"/>
    <col min="52" max="52" width="14.1640625" style="118" customWidth="1"/>
    <col min="53" max="53" width="11.6640625" style="118" bestFit="1" customWidth="1"/>
    <col min="54" max="54" width="18.5" style="118" bestFit="1" customWidth="1"/>
    <col min="55" max="55" width="17.33203125" style="118" bestFit="1" customWidth="1"/>
    <col min="56" max="56" width="13.33203125" style="118"/>
    <col min="57" max="57" width="18.5" style="118" bestFit="1" customWidth="1"/>
    <col min="58" max="58" width="17.5" style="118" bestFit="1" customWidth="1"/>
    <col min="59" max="59" width="17" style="118" bestFit="1" customWidth="1"/>
    <col min="60" max="60" width="32.5" style="118" bestFit="1" customWidth="1"/>
    <col min="61" max="61" width="26.33203125" style="118" bestFit="1" customWidth="1"/>
    <col min="62" max="62" width="14.6640625" style="118" bestFit="1" customWidth="1"/>
    <col min="63" max="63" width="31.1640625" style="118" bestFit="1" customWidth="1"/>
    <col min="64" max="64" width="25.33203125" style="118" bestFit="1" customWidth="1"/>
    <col min="65" max="65" width="25.5" style="118" bestFit="1" customWidth="1"/>
    <col min="66" max="66" width="25.1640625" style="118" bestFit="1" customWidth="1"/>
    <col min="67" max="67" width="34.83203125" style="118" bestFit="1" customWidth="1"/>
    <col min="68" max="68" width="19.5" style="118" bestFit="1" customWidth="1"/>
    <col min="69" max="69" width="22.1640625" style="118" bestFit="1" customWidth="1"/>
    <col min="70" max="70" width="20.1640625" style="118" bestFit="1" customWidth="1"/>
    <col min="71" max="71" width="24.6640625" style="118" bestFit="1" customWidth="1"/>
    <col min="72" max="72" width="33.5" style="118" bestFit="1" customWidth="1"/>
    <col min="73" max="73" width="24.5" style="118" bestFit="1" customWidth="1"/>
    <col min="74" max="74" width="34.33203125" style="118" bestFit="1" customWidth="1"/>
    <col min="75" max="75" width="19" style="118" bestFit="1" customWidth="1"/>
    <col min="76" max="76" width="21.5" style="118" bestFit="1" customWidth="1"/>
    <col min="77" max="77" width="19.5" style="118" bestFit="1" customWidth="1"/>
    <col min="78" max="78" width="32.5" style="118" bestFit="1" customWidth="1"/>
    <col min="79" max="79" width="24" style="118" bestFit="1" customWidth="1"/>
    <col min="80" max="80" width="30.1640625" style="118" bestFit="1" customWidth="1"/>
    <col min="81" max="81" width="16.1640625" style="118" bestFit="1" customWidth="1"/>
    <col min="82" max="82" width="19.33203125" style="118" bestFit="1" customWidth="1"/>
    <col min="83" max="83" width="21.83203125" style="118" bestFit="1" customWidth="1"/>
    <col min="84" max="84" width="19.5" style="118" bestFit="1" customWidth="1"/>
    <col min="85" max="85" width="12.83203125" style="118" bestFit="1" customWidth="1"/>
    <col min="86" max="86" width="21.5" style="118" bestFit="1" customWidth="1"/>
    <col min="87" max="87" width="35" style="118" bestFit="1" customWidth="1"/>
    <col min="88" max="88" width="26.6640625" style="118" bestFit="1" customWidth="1"/>
    <col min="89" max="89" width="19.33203125" style="118" bestFit="1" customWidth="1"/>
    <col min="90" max="90" width="22" style="118" bestFit="1" customWidth="1"/>
    <col min="91" max="91" width="38.5" style="118" bestFit="1" customWidth="1"/>
    <col min="92" max="92" width="34.1640625" style="118" bestFit="1" customWidth="1"/>
    <col min="93" max="93" width="24.83203125" style="118" bestFit="1" customWidth="1"/>
    <col min="94" max="94" width="32.6640625" style="118" bestFit="1" customWidth="1"/>
    <col min="95" max="98" width="30" style="118" bestFit="1" customWidth="1"/>
    <col min="99" max="99" width="32.6640625" style="118" bestFit="1" customWidth="1"/>
    <col min="100" max="100" width="27" style="118" bestFit="1" customWidth="1"/>
    <col min="101" max="101" width="13.33203125" style="118"/>
    <col min="102" max="102" width="15.5" style="118" bestFit="1" customWidth="1"/>
    <col min="103" max="103" width="29.33203125" style="118" bestFit="1" customWidth="1"/>
    <col min="104" max="104" width="19.33203125" style="118" bestFit="1" customWidth="1"/>
    <col min="105" max="105" width="21.83203125" style="118" bestFit="1" customWidth="1"/>
    <col min="106" max="106" width="19.5" style="118" bestFit="1" customWidth="1"/>
    <col min="107" max="107" width="12.83203125" style="118" bestFit="1" customWidth="1"/>
    <col min="108" max="108" width="21.5" style="118" bestFit="1" customWidth="1"/>
    <col min="109" max="109" width="35" style="118" bestFit="1" customWidth="1"/>
    <col min="110" max="110" width="26.6640625" style="118" bestFit="1" customWidth="1"/>
    <col min="111" max="111" width="19.33203125" style="118" bestFit="1" customWidth="1"/>
    <col min="112" max="112" width="22" style="118" bestFit="1" customWidth="1"/>
    <col min="113" max="113" width="38.5" style="118" bestFit="1" customWidth="1"/>
    <col min="114" max="114" width="34.1640625" style="118" bestFit="1" customWidth="1"/>
    <col min="115" max="115" width="35.6640625" style="118" bestFit="1" customWidth="1"/>
    <col min="116" max="116" width="32.6640625" style="118" bestFit="1" customWidth="1"/>
    <col min="117" max="118" width="30" style="118" bestFit="1" customWidth="1"/>
    <col min="119" max="120" width="23.1640625" style="118" bestFit="1" customWidth="1"/>
    <col min="121" max="121" width="27.33203125" style="118" bestFit="1" customWidth="1"/>
    <col min="122" max="122" width="13.33203125" style="118"/>
    <col min="123" max="123" width="15.5" style="118" bestFit="1" customWidth="1"/>
    <col min="124" max="124" width="29.33203125" style="118" bestFit="1" customWidth="1"/>
    <col min="125" max="125" width="19.33203125" style="118" bestFit="1" customWidth="1"/>
    <col min="126" max="126" width="20.83203125" style="118" bestFit="1" customWidth="1"/>
    <col min="127" max="127" width="35" style="118" bestFit="1" customWidth="1"/>
    <col min="128" max="128" width="23.5" style="118" bestFit="1" customWidth="1"/>
    <col min="129" max="129" width="25.33203125" style="118" bestFit="1" customWidth="1"/>
    <col min="130" max="130" width="24" style="118" bestFit="1" customWidth="1"/>
    <col min="131" max="131" width="32.6640625" style="118" bestFit="1" customWidth="1"/>
    <col min="132" max="132" width="30" style="118" bestFit="1" customWidth="1"/>
    <col min="133" max="136" width="23.1640625" style="118" bestFit="1" customWidth="1"/>
    <col min="137" max="137" width="14.1640625" style="118" bestFit="1" customWidth="1"/>
    <col min="138" max="138" width="15.6640625" style="118" bestFit="1" customWidth="1"/>
    <col min="139" max="139" width="14.5" style="118" bestFit="1" customWidth="1"/>
    <col min="140" max="140" width="11.83203125" style="118" bestFit="1" customWidth="1"/>
    <col min="141" max="141" width="14.83203125" style="118" bestFit="1" customWidth="1"/>
    <col min="142" max="142" width="15" style="118" bestFit="1" customWidth="1"/>
    <col min="143" max="143" width="49.1640625" style="118" bestFit="1" customWidth="1"/>
    <col min="144" max="144" width="17.83203125" style="118" bestFit="1" customWidth="1"/>
    <col min="145" max="145" width="8.6640625" style="118" bestFit="1" customWidth="1"/>
    <col min="146" max="146" width="12" style="118" bestFit="1" customWidth="1"/>
    <col min="147" max="147" width="11.6640625" style="118" bestFit="1" customWidth="1"/>
    <col min="148" max="16384" width="13.33203125" style="118"/>
  </cols>
  <sheetData>
    <row r="1" spans="1:145" s="2" customFormat="1" ht="95.5" customHeight="1" x14ac:dyDescent="0.15">
      <c r="C1" s="249"/>
      <c r="G1" s="250"/>
      <c r="H1" s="440" t="s">
        <v>259</v>
      </c>
      <c r="I1" s="250"/>
      <c r="J1" s="250"/>
      <c r="K1" s="250"/>
      <c r="L1" s="250"/>
      <c r="W1" s="251"/>
      <c r="AU1" s="252"/>
      <c r="AV1" s="252"/>
      <c r="AW1" s="252"/>
      <c r="EO1" s="2" t="s">
        <v>315</v>
      </c>
    </row>
    <row r="2" spans="1:145" customFormat="1" x14ac:dyDescent="0.15">
      <c r="B2" s="231"/>
      <c r="C2" s="118"/>
      <c r="G2" s="20"/>
      <c r="H2" s="20"/>
      <c r="I2" s="20"/>
      <c r="J2" s="20"/>
      <c r="K2" s="20"/>
      <c r="L2" s="20"/>
      <c r="AU2" s="226"/>
      <c r="AV2" s="226"/>
      <c r="AW2" s="226"/>
    </row>
    <row r="3" spans="1:145" customFormat="1" ht="18" x14ac:dyDescent="0.2">
      <c r="A3" s="579" t="s">
        <v>1099</v>
      </c>
      <c r="C3" s="118"/>
      <c r="G3" s="7"/>
      <c r="H3" s="7"/>
      <c r="I3" s="7"/>
      <c r="J3" s="16"/>
      <c r="K3" s="16"/>
      <c r="L3" s="17"/>
      <c r="R3" s="235"/>
      <c r="S3" s="232"/>
      <c r="T3" s="232"/>
      <c r="AU3" s="226"/>
      <c r="AV3" s="226"/>
      <c r="AW3" s="226"/>
    </row>
    <row r="4" spans="1:145" customFormat="1" ht="16" x14ac:dyDescent="0.2">
      <c r="C4" s="118"/>
      <c r="G4" s="118"/>
      <c r="H4" s="118"/>
      <c r="L4" s="15"/>
      <c r="T4" s="236"/>
      <c r="U4" s="236"/>
      <c r="AU4" s="226"/>
      <c r="AV4" s="226"/>
      <c r="AW4" s="226"/>
    </row>
    <row r="5" spans="1:145" customFormat="1" ht="16" x14ac:dyDescent="0.2">
      <c r="C5" s="118"/>
      <c r="G5" s="118"/>
      <c r="H5" s="118"/>
      <c r="L5" s="7"/>
      <c r="Q5" s="235"/>
      <c r="R5" s="232"/>
      <c r="S5" s="232"/>
      <c r="T5" s="234"/>
      <c r="U5" s="234"/>
      <c r="AU5" s="226"/>
      <c r="AV5" s="226"/>
      <c r="AW5" s="226"/>
    </row>
    <row r="6" spans="1:145" customFormat="1" ht="16" x14ac:dyDescent="0.2">
      <c r="C6" s="118"/>
      <c r="G6" s="118"/>
      <c r="H6" s="118"/>
      <c r="L6" s="7"/>
      <c r="Q6" s="235"/>
      <c r="R6" s="232"/>
      <c r="S6" s="232"/>
      <c r="T6" s="232"/>
      <c r="U6" s="232"/>
      <c r="AU6" s="226"/>
      <c r="AV6" s="226"/>
      <c r="AW6" s="226"/>
    </row>
    <row r="7" spans="1:145" customFormat="1" x14ac:dyDescent="0.15">
      <c r="C7" s="118"/>
      <c r="G7" s="118"/>
      <c r="H7" s="118"/>
      <c r="L7" s="7"/>
      <c r="T7" s="237"/>
      <c r="U7" s="237"/>
      <c r="AU7" s="226"/>
      <c r="AV7" s="226"/>
      <c r="AW7" s="226"/>
    </row>
    <row r="8" spans="1:145" customFormat="1" ht="16" x14ac:dyDescent="0.2">
      <c r="C8" s="118"/>
      <c r="G8" s="118"/>
      <c r="H8" s="118"/>
      <c r="L8" s="7"/>
      <c r="Q8" s="232"/>
      <c r="R8" s="232"/>
      <c r="S8" s="232"/>
      <c r="T8" s="233"/>
      <c r="U8" s="233"/>
      <c r="AU8" s="226"/>
      <c r="AV8" s="226"/>
      <c r="AW8" s="226"/>
    </row>
    <row r="9" spans="1:145" customFormat="1" ht="16" x14ac:dyDescent="0.2">
      <c r="C9" s="118"/>
      <c r="G9" s="118"/>
      <c r="H9" s="118"/>
      <c r="L9" s="7"/>
      <c r="Q9" s="232"/>
      <c r="R9" s="232"/>
      <c r="S9" s="232"/>
      <c r="T9" s="232"/>
      <c r="U9" s="232"/>
      <c r="AU9" s="226"/>
      <c r="AV9" s="226"/>
      <c r="AW9" s="226"/>
    </row>
    <row r="10" spans="1:145" customFormat="1" ht="16" x14ac:dyDescent="0.2">
      <c r="C10" s="118"/>
      <c r="G10" s="118"/>
      <c r="H10" s="118"/>
      <c r="L10" s="7"/>
      <c r="M10" s="118"/>
      <c r="Q10" s="232"/>
      <c r="R10" s="232"/>
      <c r="S10" s="232"/>
      <c r="T10" s="232"/>
      <c r="U10" s="232"/>
      <c r="AU10" s="226"/>
      <c r="AV10" s="226"/>
      <c r="AW10" s="226"/>
    </row>
    <row r="11" spans="1:145" customFormat="1" ht="16" x14ac:dyDescent="0.2">
      <c r="B11" s="12"/>
      <c r="C11" s="14"/>
      <c r="D11" s="14"/>
      <c r="E11" s="8"/>
      <c r="F11" s="7"/>
      <c r="G11" s="118"/>
      <c r="H11" s="118"/>
      <c r="L11" s="7"/>
      <c r="M11" s="13"/>
      <c r="N11" s="13"/>
      <c r="O11" s="13"/>
      <c r="P11" s="7"/>
      <c r="Q11" s="232"/>
      <c r="R11" s="232"/>
      <c r="S11" s="232"/>
      <c r="T11" s="232"/>
      <c r="U11" s="232"/>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227"/>
      <c r="AV11" s="227"/>
      <c r="AW11" s="227"/>
      <c r="AX11" s="7"/>
      <c r="AY11" s="7"/>
      <c r="AZ11" s="7"/>
      <c r="BA11" s="7"/>
      <c r="BB11" s="7"/>
      <c r="BC11" s="7"/>
      <c r="BD11" s="7"/>
      <c r="BE11" s="7"/>
      <c r="BF11" s="7"/>
      <c r="BG11" s="7"/>
    </row>
    <row r="12" spans="1:145" customFormat="1" x14ac:dyDescent="0.15">
      <c r="B12" s="12"/>
      <c r="C12" s="119"/>
      <c r="D12" s="101"/>
      <c r="E12" s="8"/>
      <c r="F12" s="7"/>
      <c r="G12" s="7"/>
      <c r="H12" s="7"/>
      <c r="I12" s="7"/>
      <c r="J12" s="7"/>
      <c r="K12" s="7"/>
      <c r="L12" s="7"/>
      <c r="M12" s="7"/>
      <c r="N12" s="7"/>
      <c r="O12" s="7"/>
      <c r="P12" s="7"/>
      <c r="Q12" s="7"/>
      <c r="R12" s="7"/>
      <c r="S12" s="7"/>
      <c r="T12" s="12"/>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227"/>
      <c r="AV12" s="227"/>
      <c r="AW12" s="227"/>
      <c r="AX12" s="7"/>
      <c r="AY12" s="7"/>
      <c r="AZ12" s="7"/>
      <c r="BA12" s="7"/>
      <c r="BB12" s="7"/>
      <c r="BC12" s="7"/>
      <c r="BD12" s="7"/>
      <c r="BE12" s="7"/>
      <c r="BF12" s="7"/>
      <c r="BG12" s="7"/>
    </row>
    <row r="13" spans="1:145" customFormat="1" x14ac:dyDescent="0.15">
      <c r="B13" s="12"/>
      <c r="C13" s="119"/>
      <c r="D13" s="101"/>
      <c r="E13" s="8"/>
      <c r="F13" s="7"/>
      <c r="G13" s="7"/>
      <c r="H13" s="7"/>
      <c r="I13" s="7"/>
      <c r="J13" s="7"/>
      <c r="K13" s="7"/>
      <c r="L13" s="7"/>
      <c r="M13" s="7"/>
      <c r="N13" s="7"/>
      <c r="O13" s="7"/>
      <c r="P13" s="7"/>
      <c r="Q13" s="7"/>
      <c r="R13" s="7"/>
      <c r="S13" s="7"/>
      <c r="T13" s="12"/>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227"/>
      <c r="AV13" s="227"/>
      <c r="AW13" s="227"/>
      <c r="AX13" s="7"/>
      <c r="AY13" s="7"/>
      <c r="AZ13" s="7"/>
      <c r="BA13" s="7"/>
      <c r="BB13" s="7"/>
      <c r="BC13" s="7"/>
      <c r="BD13" s="7"/>
      <c r="BE13" s="7"/>
      <c r="BF13" s="7"/>
      <c r="BG13" s="7"/>
    </row>
    <row r="14" spans="1:145" customFormat="1" x14ac:dyDescent="0.15">
      <c r="B14" s="12"/>
      <c r="C14" s="119"/>
      <c r="D14" s="101"/>
      <c r="E14" s="8"/>
      <c r="F14" s="7"/>
      <c r="G14" s="7"/>
      <c r="H14" s="7"/>
      <c r="I14" s="7"/>
      <c r="J14" s="230"/>
      <c r="K14" s="7"/>
      <c r="L14" s="7"/>
      <c r="M14" s="7"/>
      <c r="N14" s="7"/>
      <c r="O14" s="7"/>
      <c r="P14" s="7"/>
      <c r="Q14" s="7"/>
      <c r="R14" s="7"/>
      <c r="S14" s="7"/>
      <c r="T14" s="12"/>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227"/>
      <c r="AV14" s="227"/>
      <c r="AW14" s="227"/>
      <c r="AX14" s="7"/>
      <c r="AY14" s="7"/>
      <c r="AZ14" s="7"/>
      <c r="BA14" s="7"/>
      <c r="BB14" s="7"/>
      <c r="BC14" s="7"/>
      <c r="BD14" s="7"/>
      <c r="BE14" s="7"/>
      <c r="BF14" s="7"/>
      <c r="BG14" s="7"/>
    </row>
    <row r="15" spans="1:145" customFormat="1" x14ac:dyDescent="0.15">
      <c r="B15" s="12"/>
      <c r="C15" s="119"/>
      <c r="D15" s="101"/>
      <c r="E15" s="8"/>
      <c r="F15" s="7"/>
      <c r="G15" s="7"/>
      <c r="H15" s="7"/>
      <c r="I15" s="7"/>
      <c r="J15" s="7"/>
      <c r="K15" s="7"/>
      <c r="L15" s="7"/>
      <c r="M15" s="7"/>
      <c r="N15" s="7"/>
      <c r="O15" s="7"/>
      <c r="P15" s="7"/>
      <c r="Q15" s="7"/>
      <c r="R15" s="7"/>
      <c r="S15" s="7"/>
      <c r="T15" s="12"/>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227"/>
      <c r="AV15" s="227"/>
      <c r="AW15" s="227"/>
      <c r="AX15" s="7"/>
      <c r="AY15" s="7"/>
      <c r="AZ15" s="7"/>
      <c r="BA15" s="7"/>
      <c r="BB15" s="7"/>
      <c r="BC15" s="7"/>
      <c r="BD15" s="7"/>
      <c r="BE15" s="7"/>
      <c r="BF15" s="7"/>
      <c r="BG15" s="7"/>
    </row>
    <row r="16" spans="1:145" customFormat="1" x14ac:dyDescent="0.15">
      <c r="A16" s="1"/>
      <c r="B16" s="12"/>
      <c r="C16" s="101"/>
      <c r="F16" s="7"/>
      <c r="G16" s="7"/>
      <c r="H16" s="8"/>
      <c r="I16" s="7"/>
      <c r="J16" s="7"/>
      <c r="K16" s="7"/>
      <c r="L16" s="7"/>
      <c r="N16" t="str">
        <f>IF(RIGHT(K19,3)="**C","",IF(RIGHT(K19,2)="*C","",MID(K19,13,1)))</f>
        <v/>
      </c>
      <c r="P16" s="7"/>
      <c r="Q16" s="7"/>
      <c r="R16" s="7"/>
      <c r="S16" s="7"/>
      <c r="T16" s="7"/>
      <c r="U16" s="7"/>
      <c r="V16" s="7"/>
      <c r="W16" s="7"/>
      <c r="X16" s="12"/>
      <c r="Y16" s="7"/>
      <c r="Z16" s="7"/>
      <c r="AA16" s="7"/>
      <c r="AB16" s="7"/>
      <c r="AC16" s="7"/>
      <c r="AD16" s="7"/>
      <c r="AE16" s="7"/>
      <c r="AF16" s="7"/>
      <c r="AG16" s="7"/>
      <c r="AH16" s="7"/>
      <c r="AI16" s="7"/>
      <c r="AJ16" s="7"/>
      <c r="AK16" s="7"/>
      <c r="AL16" s="7"/>
      <c r="AM16" s="7"/>
      <c r="AN16" s="7"/>
      <c r="AO16" s="7"/>
      <c r="AP16" s="7"/>
      <c r="AQ16" s="7"/>
      <c r="AR16" s="7"/>
      <c r="AS16" s="7"/>
      <c r="AT16" s="7"/>
      <c r="AU16" s="227"/>
      <c r="AV16" s="227"/>
      <c r="AW16" s="7"/>
      <c r="AX16" s="7"/>
      <c r="AY16" s="227"/>
      <c r="AZ16" s="227"/>
      <c r="BA16" s="227"/>
      <c r="BB16" s="7"/>
      <c r="BC16" s="7"/>
      <c r="BD16" s="7"/>
      <c r="BE16" s="7"/>
      <c r="BF16" s="7"/>
      <c r="BG16" s="7"/>
      <c r="BH16" s="7"/>
      <c r="BI16" s="7"/>
      <c r="BJ16" s="7"/>
      <c r="EM16" s="119"/>
    </row>
    <row r="17" spans="1:152" customFormat="1" x14ac:dyDescent="0.15">
      <c r="A17" t="str">
        <f>IF(C17*1&gt;2010,HYPERLINK(EM17,"Crash Report"),IF(EN17="","",HYPERLINK(EN17,"Crash Report")))</f>
        <v/>
      </c>
      <c r="B17" s="12"/>
      <c r="C17" s="101"/>
      <c r="F17" s="7"/>
      <c r="G17" s="7" t="s">
        <v>6096</v>
      </c>
      <c r="H17" s="8"/>
      <c r="I17" s="7" t="s">
        <v>6096</v>
      </c>
      <c r="J17" s="7" t="s">
        <v>6096</v>
      </c>
      <c r="K17" s="7" t="s">
        <v>6096</v>
      </c>
      <c r="L17" s="7" t="s">
        <v>6096</v>
      </c>
      <c r="N17" t="str">
        <f>IF(K19&lt;&gt;"",MID(K19,5,2)&amp;IFERROR(MID(K19,7,5)*1,MID(K19,7,5)),)</f>
        <v/>
      </c>
      <c r="P17" s="7" t="s">
        <v>6096</v>
      </c>
      <c r="Q17" s="7" t="s">
        <v>6096</v>
      </c>
      <c r="R17" s="7" t="s">
        <v>6096</v>
      </c>
      <c r="S17" s="7"/>
      <c r="T17" s="7"/>
      <c r="U17" s="7"/>
      <c r="V17" s="7"/>
      <c r="W17" s="7"/>
      <c r="X17" s="12"/>
      <c r="Y17" s="7"/>
      <c r="Z17" s="7"/>
      <c r="AA17" s="7"/>
      <c r="AB17" s="7"/>
      <c r="AC17" s="7"/>
      <c r="AD17" s="7"/>
      <c r="AE17" s="7"/>
      <c r="AF17" s="7"/>
      <c r="AG17" s="7"/>
      <c r="AH17" s="4"/>
      <c r="AI17" s="7"/>
      <c r="AJ17" s="7"/>
      <c r="AK17" s="7"/>
      <c r="AL17" s="7"/>
      <c r="AM17" s="7"/>
      <c r="AN17" s="7"/>
      <c r="AO17" s="7"/>
      <c r="AP17" s="7"/>
      <c r="AQ17" s="7"/>
      <c r="AR17" s="7"/>
      <c r="AS17" s="7"/>
      <c r="AT17" s="7"/>
      <c r="AU17" s="227"/>
      <c r="AV17" s="227"/>
      <c r="AW17" s="7" t="s">
        <v>6096</v>
      </c>
      <c r="AX17" s="7" t="s">
        <v>6096</v>
      </c>
      <c r="AY17" s="227"/>
      <c r="AZ17" s="227"/>
      <c r="BA17" s="227"/>
      <c r="BB17" s="7"/>
      <c r="BC17" s="7"/>
      <c r="BD17" s="7"/>
      <c r="BE17" s="7"/>
      <c r="BF17" s="7"/>
      <c r="BG17" s="7"/>
      <c r="BH17" s="7"/>
      <c r="BI17" s="7"/>
      <c r="BJ17" s="7"/>
      <c r="BL17" t="s">
        <v>6096</v>
      </c>
      <c r="BM17" t="s">
        <v>6096</v>
      </c>
      <c r="BN17" t="s">
        <v>6096</v>
      </c>
      <c r="BO17" t="s">
        <v>6096</v>
      </c>
      <c r="BP17" t="s">
        <v>6096</v>
      </c>
      <c r="BQ17" t="s">
        <v>6096</v>
      </c>
      <c r="BR17" t="s">
        <v>6096</v>
      </c>
      <c r="BS17" t="s">
        <v>6096</v>
      </c>
      <c r="BT17" t="s">
        <v>6096</v>
      </c>
      <c r="BU17" t="s">
        <v>6096</v>
      </c>
      <c r="BV17" t="s">
        <v>6096</v>
      </c>
      <c r="BW17" t="s">
        <v>6096</v>
      </c>
      <c r="BX17" t="s">
        <v>6096</v>
      </c>
      <c r="BY17" t="s">
        <v>6096</v>
      </c>
      <c r="BZ17" t="s">
        <v>6096</v>
      </c>
      <c r="CA17" t="s">
        <v>6096</v>
      </c>
      <c r="CB17" t="s">
        <v>6096</v>
      </c>
      <c r="EG17" t="s">
        <v>6096</v>
      </c>
      <c r="EH17" t="s">
        <v>6096</v>
      </c>
      <c r="EI17" t="s">
        <v>6096</v>
      </c>
      <c r="EJ17" t="s">
        <v>6096</v>
      </c>
      <c r="EK17" t="s">
        <v>6096</v>
      </c>
      <c r="EM17" s="119"/>
    </row>
    <row r="18" spans="1:152" customFormat="1" x14ac:dyDescent="0.15">
      <c r="A18">
        <v>1</v>
      </c>
      <c r="B18" s="7">
        <f>A18+1</f>
        <v>2</v>
      </c>
      <c r="C18" s="7">
        <f>EM18+1</f>
        <v>4</v>
      </c>
      <c r="D18" s="7">
        <f>CB18+1</f>
        <v>75</v>
      </c>
      <c r="E18" s="7"/>
      <c r="F18" s="7">
        <f>R18+1</f>
        <v>14</v>
      </c>
      <c r="G18" s="7">
        <f>AA18+1</f>
        <v>22</v>
      </c>
      <c r="H18" s="7">
        <f>C18+1</f>
        <v>5</v>
      </c>
      <c r="I18" s="7">
        <f>AB18+1</f>
        <v>8</v>
      </c>
      <c r="J18" s="7">
        <f>AX18+1</f>
        <v>25</v>
      </c>
      <c r="K18" s="7">
        <f>H18+1</f>
        <v>6</v>
      </c>
      <c r="L18" s="7">
        <f>AC18+1</f>
        <v>10</v>
      </c>
      <c r="M18" s="7">
        <f>EK18+1</f>
        <v>137</v>
      </c>
      <c r="N18" s="7"/>
      <c r="O18" s="7"/>
      <c r="P18" s="7">
        <f>L18+1</f>
        <v>11</v>
      </c>
      <c r="Q18" s="7">
        <f>P18+1</f>
        <v>12</v>
      </c>
      <c r="R18" s="7">
        <f>Q18+1</f>
        <v>13</v>
      </c>
      <c r="S18" s="7">
        <f>AN18+1</f>
        <v>37</v>
      </c>
      <c r="T18" s="7"/>
      <c r="U18" s="7">
        <f>F18+1</f>
        <v>15</v>
      </c>
      <c r="V18" s="7">
        <f t="shared" ref="V18:AA18" si="0">U18+1</f>
        <v>16</v>
      </c>
      <c r="W18" s="7">
        <f t="shared" si="0"/>
        <v>17</v>
      </c>
      <c r="X18" s="7">
        <f t="shared" si="0"/>
        <v>18</v>
      </c>
      <c r="Y18" s="7">
        <f t="shared" si="0"/>
        <v>19</v>
      </c>
      <c r="Z18" s="7">
        <f t="shared" si="0"/>
        <v>20</v>
      </c>
      <c r="AA18" s="7">
        <f t="shared" si="0"/>
        <v>21</v>
      </c>
      <c r="AB18" s="7">
        <f>K18+1</f>
        <v>7</v>
      </c>
      <c r="AC18" s="7">
        <f>I18+1</f>
        <v>9</v>
      </c>
      <c r="AD18" s="7">
        <f>J18+1</f>
        <v>26</v>
      </c>
      <c r="AE18" s="7">
        <f t="shared" ref="AE18:AN18" si="1">AD18+1</f>
        <v>27</v>
      </c>
      <c r="AF18" s="7">
        <f t="shared" si="1"/>
        <v>28</v>
      </c>
      <c r="AG18" s="7">
        <f t="shared" si="1"/>
        <v>29</v>
      </c>
      <c r="AH18" s="7">
        <f t="shared" si="1"/>
        <v>30</v>
      </c>
      <c r="AI18" s="7">
        <f t="shared" si="1"/>
        <v>31</v>
      </c>
      <c r="AJ18" s="7">
        <f t="shared" si="1"/>
        <v>32</v>
      </c>
      <c r="AK18" s="7">
        <f t="shared" si="1"/>
        <v>33</v>
      </c>
      <c r="AL18" s="7">
        <f t="shared" si="1"/>
        <v>34</v>
      </c>
      <c r="AM18" s="7">
        <f t="shared" si="1"/>
        <v>35</v>
      </c>
      <c r="AN18" s="7">
        <f t="shared" si="1"/>
        <v>36</v>
      </c>
      <c r="AO18" s="7">
        <f>S18+1</f>
        <v>38</v>
      </c>
      <c r="AP18" s="7">
        <f t="shared" ref="AP18:AV18" si="2">AO18+1</f>
        <v>39</v>
      </c>
      <c r="AQ18" s="7">
        <f t="shared" si="2"/>
        <v>40</v>
      </c>
      <c r="AR18" s="7">
        <f t="shared" si="2"/>
        <v>41</v>
      </c>
      <c r="AS18" s="7">
        <f t="shared" si="2"/>
        <v>42</v>
      </c>
      <c r="AT18" s="7">
        <f t="shared" si="2"/>
        <v>43</v>
      </c>
      <c r="AU18" s="7">
        <f>AT18+1</f>
        <v>44</v>
      </c>
      <c r="AV18" s="7">
        <f t="shared" si="2"/>
        <v>45</v>
      </c>
      <c r="AW18" s="7">
        <f>G18+1</f>
        <v>23</v>
      </c>
      <c r="AX18" s="7">
        <f>AW18+1</f>
        <v>24</v>
      </c>
      <c r="AY18" s="7">
        <f>AV18+1</f>
        <v>46</v>
      </c>
      <c r="AZ18" s="7"/>
      <c r="BA18" s="7">
        <f>AY18+1</f>
        <v>47</v>
      </c>
      <c r="BB18" s="7">
        <f>BA18+1</f>
        <v>48</v>
      </c>
      <c r="BC18" s="7">
        <f>BB18+1</f>
        <v>49</v>
      </c>
      <c r="BD18" s="7">
        <f>BC18+1</f>
        <v>50</v>
      </c>
      <c r="BE18" s="7">
        <f>BD18+1</f>
        <v>51</v>
      </c>
      <c r="BF18" s="7">
        <f>BI18+1</f>
        <v>55</v>
      </c>
      <c r="BG18" s="7">
        <f>BE18+1</f>
        <v>52</v>
      </c>
      <c r="BH18" s="7">
        <f>BG18+1</f>
        <v>53</v>
      </c>
      <c r="BI18" s="7">
        <f>BH18+1</f>
        <v>54</v>
      </c>
      <c r="BJ18" s="7">
        <f>BF18+1</f>
        <v>56</v>
      </c>
      <c r="BK18" s="7">
        <f t="shared" ref="BK18:CB18" si="3">BJ18+1</f>
        <v>57</v>
      </c>
      <c r="BL18" s="7">
        <f t="shared" si="3"/>
        <v>58</v>
      </c>
      <c r="BM18" s="7">
        <f t="shared" si="3"/>
        <v>59</v>
      </c>
      <c r="BN18" s="7">
        <f t="shared" si="3"/>
        <v>60</v>
      </c>
      <c r="BO18" s="7">
        <f t="shared" si="3"/>
        <v>61</v>
      </c>
      <c r="BP18" s="7">
        <f t="shared" si="3"/>
        <v>62</v>
      </c>
      <c r="BQ18" s="7">
        <f t="shared" si="3"/>
        <v>63</v>
      </c>
      <c r="BR18" s="7">
        <f t="shared" si="3"/>
        <v>64</v>
      </c>
      <c r="BS18" s="7">
        <f t="shared" si="3"/>
        <v>65</v>
      </c>
      <c r="BT18" s="7">
        <f t="shared" si="3"/>
        <v>66</v>
      </c>
      <c r="BU18" s="7">
        <f t="shared" si="3"/>
        <v>67</v>
      </c>
      <c r="BV18" s="7">
        <f t="shared" si="3"/>
        <v>68</v>
      </c>
      <c r="BW18" s="7">
        <f t="shared" si="3"/>
        <v>69</v>
      </c>
      <c r="BX18" s="7">
        <f t="shared" si="3"/>
        <v>70</v>
      </c>
      <c r="BY18" s="7">
        <f t="shared" si="3"/>
        <v>71</v>
      </c>
      <c r="BZ18" s="7">
        <f t="shared" si="3"/>
        <v>72</v>
      </c>
      <c r="CA18" s="7">
        <f t="shared" si="3"/>
        <v>73</v>
      </c>
      <c r="CB18" s="7">
        <f t="shared" si="3"/>
        <v>74</v>
      </c>
      <c r="CC18" s="7">
        <f>D18+1</f>
        <v>76</v>
      </c>
      <c r="CD18" s="7">
        <f t="shared" ref="CD18:DF18" si="4">CC18+1</f>
        <v>77</v>
      </c>
      <c r="CE18" s="7">
        <f t="shared" si="4"/>
        <v>78</v>
      </c>
      <c r="CF18" s="7">
        <f t="shared" si="4"/>
        <v>79</v>
      </c>
      <c r="CG18" s="7">
        <f t="shared" si="4"/>
        <v>80</v>
      </c>
      <c r="CH18" s="7">
        <f t="shared" si="4"/>
        <v>81</v>
      </c>
      <c r="CI18" s="7">
        <f t="shared" si="4"/>
        <v>82</v>
      </c>
      <c r="CJ18" s="7">
        <f t="shared" si="4"/>
        <v>83</v>
      </c>
      <c r="CK18" s="7">
        <f t="shared" si="4"/>
        <v>84</v>
      </c>
      <c r="CL18" s="7">
        <f t="shared" si="4"/>
        <v>85</v>
      </c>
      <c r="CM18" s="7">
        <f t="shared" si="4"/>
        <v>86</v>
      </c>
      <c r="CN18" s="7">
        <f t="shared" si="4"/>
        <v>87</v>
      </c>
      <c r="CO18" s="7">
        <f t="shared" si="4"/>
        <v>88</v>
      </c>
      <c r="CP18" s="7">
        <f t="shared" si="4"/>
        <v>89</v>
      </c>
      <c r="CQ18" s="7">
        <f t="shared" si="4"/>
        <v>90</v>
      </c>
      <c r="CR18" s="7">
        <f t="shared" si="4"/>
        <v>91</v>
      </c>
      <c r="CS18" s="7">
        <f t="shared" si="4"/>
        <v>92</v>
      </c>
      <c r="CT18" s="7">
        <f t="shared" si="4"/>
        <v>93</v>
      </c>
      <c r="CU18" s="7">
        <f t="shared" si="4"/>
        <v>94</v>
      </c>
      <c r="CV18" s="7">
        <f t="shared" si="4"/>
        <v>95</v>
      </c>
      <c r="CW18" s="7">
        <f t="shared" si="4"/>
        <v>96</v>
      </c>
      <c r="CX18" s="7">
        <f t="shared" si="4"/>
        <v>97</v>
      </c>
      <c r="CY18" s="7">
        <f t="shared" si="4"/>
        <v>98</v>
      </c>
      <c r="CZ18" s="7">
        <f t="shared" si="4"/>
        <v>99</v>
      </c>
      <c r="DA18" s="7">
        <f t="shared" si="4"/>
        <v>100</v>
      </c>
      <c r="DB18" s="7">
        <f t="shared" si="4"/>
        <v>101</v>
      </c>
      <c r="DC18" s="7">
        <f t="shared" si="4"/>
        <v>102</v>
      </c>
      <c r="DD18" s="7">
        <f t="shared" si="4"/>
        <v>103</v>
      </c>
      <c r="DE18" s="7">
        <f t="shared" si="4"/>
        <v>104</v>
      </c>
      <c r="DF18" s="7">
        <f t="shared" si="4"/>
        <v>105</v>
      </c>
      <c r="DG18" s="7">
        <f t="shared" ref="DG18:EK18" si="5">DF18+1</f>
        <v>106</v>
      </c>
      <c r="DH18" s="7">
        <f t="shared" si="5"/>
        <v>107</v>
      </c>
      <c r="DI18" s="7">
        <f t="shared" si="5"/>
        <v>108</v>
      </c>
      <c r="DJ18" s="7">
        <f t="shared" si="5"/>
        <v>109</v>
      </c>
      <c r="DK18" s="7">
        <f t="shared" si="5"/>
        <v>110</v>
      </c>
      <c r="DL18" s="7">
        <f t="shared" si="5"/>
        <v>111</v>
      </c>
      <c r="DM18" s="7">
        <f t="shared" si="5"/>
        <v>112</v>
      </c>
      <c r="DN18" s="7">
        <f t="shared" si="5"/>
        <v>113</v>
      </c>
      <c r="DO18" s="7">
        <f t="shared" si="5"/>
        <v>114</v>
      </c>
      <c r="DP18" s="7">
        <f t="shared" si="5"/>
        <v>115</v>
      </c>
      <c r="DQ18" s="7">
        <f t="shared" si="5"/>
        <v>116</v>
      </c>
      <c r="DR18" s="7">
        <f t="shared" si="5"/>
        <v>117</v>
      </c>
      <c r="DS18" s="7">
        <f t="shared" si="5"/>
        <v>118</v>
      </c>
      <c r="DT18" s="7">
        <f t="shared" si="5"/>
        <v>119</v>
      </c>
      <c r="DU18" s="7">
        <f t="shared" ref="DU18" si="6">DT18+1</f>
        <v>120</v>
      </c>
      <c r="DV18" s="7">
        <f t="shared" ref="DV18" si="7">DU18+1</f>
        <v>121</v>
      </c>
      <c r="DW18" s="7">
        <f t="shared" si="5"/>
        <v>122</v>
      </c>
      <c r="DX18" s="7">
        <f t="shared" si="5"/>
        <v>123</v>
      </c>
      <c r="DY18" s="7">
        <f t="shared" si="5"/>
        <v>124</v>
      </c>
      <c r="DZ18" s="7">
        <f t="shared" si="5"/>
        <v>125</v>
      </c>
      <c r="EA18" s="7">
        <f t="shared" si="5"/>
        <v>126</v>
      </c>
      <c r="EB18" s="7">
        <f t="shared" si="5"/>
        <v>127</v>
      </c>
      <c r="EC18" s="7">
        <f t="shared" si="5"/>
        <v>128</v>
      </c>
      <c r="ED18" s="7">
        <f t="shared" si="5"/>
        <v>129</v>
      </c>
      <c r="EE18" s="7">
        <f t="shared" si="5"/>
        <v>130</v>
      </c>
      <c r="EF18" s="7">
        <f t="shared" si="5"/>
        <v>131</v>
      </c>
      <c r="EG18" s="7">
        <f t="shared" si="5"/>
        <v>132</v>
      </c>
      <c r="EH18" s="7">
        <f t="shared" si="5"/>
        <v>133</v>
      </c>
      <c r="EI18" s="7">
        <f t="shared" si="5"/>
        <v>134</v>
      </c>
      <c r="EJ18" s="7">
        <f t="shared" si="5"/>
        <v>135</v>
      </c>
      <c r="EK18" s="7">
        <f t="shared" si="5"/>
        <v>136</v>
      </c>
      <c r="EM18" s="7">
        <f>B18+1</f>
        <v>3</v>
      </c>
      <c r="EO18" s="7">
        <f>M18+1</f>
        <v>138</v>
      </c>
      <c r="EP18" s="7">
        <f>EO18+1</f>
        <v>139</v>
      </c>
      <c r="EQ18" s="7">
        <f>EP18+1</f>
        <v>140</v>
      </c>
      <c r="ER18" s="7">
        <f t="shared" ref="ER18:ET18" si="8">EQ18+1</f>
        <v>141</v>
      </c>
      <c r="ES18" s="7">
        <f t="shared" si="8"/>
        <v>142</v>
      </c>
      <c r="ET18" s="7">
        <f t="shared" si="8"/>
        <v>143</v>
      </c>
    </row>
    <row r="19" spans="1:152" s="4" customFormat="1" x14ac:dyDescent="0.15">
      <c r="A19" s="581" t="str">
        <f>IF(C19*1&gt;2010,HYPERLINK(EM19,"Crash Report"),IF(EM19="","","Restricted Access"))</f>
        <v/>
      </c>
      <c r="B19" s="8">
        <f>Data!B19*1</f>
        <v>2</v>
      </c>
      <c r="C19" s="4">
        <f>Data!D19</f>
        <v>4</v>
      </c>
      <c r="D19" s="4">
        <f>IF(Data!AH19="","",Data!AH19)</f>
        <v>34</v>
      </c>
      <c r="F19" s="4" t="str">
        <f>IFERROR(VLOOKUP(Data!P19,RefTables!$B$274:$D$278,3,FALSE),"")</f>
        <v/>
      </c>
      <c r="G19" s="4" t="str">
        <f>IFERROR(VLOOKUP(Data!Q19,RefTables!$B$103:$D$122,3,FALSE),"")</f>
        <v/>
      </c>
      <c r="H19" s="4">
        <f>Data!F19</f>
        <v>6</v>
      </c>
      <c r="I19" s="4">
        <f>Data!I19</f>
        <v>9</v>
      </c>
      <c r="J19" s="4" t="str">
        <f>IFERROR(VLOOKUP(Data!AP19,RefTables!$B$179:$D$192,3,FALSE),"")</f>
        <v/>
      </c>
      <c r="K19" s="4">
        <f>IF(Data!G19="","",Data!G19)</f>
        <v>7</v>
      </c>
      <c r="L19" s="4">
        <f>IF(Data!J19="","",Data!J19)</f>
        <v>10</v>
      </c>
      <c r="M19" s="4">
        <f>IF(Data!CH19="","",Data!CH19)</f>
        <v>86</v>
      </c>
      <c r="N19" s="4" t="str">
        <f>IFERROR(IF(K19&lt;&gt;"",MID(K19,5,2)&amp;IFERROR(MID(K19,7,5)*1,MID(K19,7,5))&amp;IF(LEFT(K19,1)="S",IF(OR(RIGHT(K19,2)="*C",RIGHT(K19,2)="*N"),"",MID(K19,13,1)),IF(OR(RIGHT(K19,3)="**C",RIGHT(K19,3)="**N"),"",MID(K19,12,1))),TRIM(IF('Full Crash Data'!BQ19&lt;&gt;"",'Full Crash Data'!BP19&amp;'Full Crash Data'!BQ19&amp;'Full Crash Data'!BR19,IF('Full Crash Data'!BL19="","",'Full Crash Data'!BL19&amp;" ")&amp;IF('Full Crash Data'!BM19="","",'Full Crash Data'!BM19&amp;" ")&amp;IF('Full Crash Data'!BN19="","",'Full Crash Data'!BN19&amp;" ")&amp;IF('Full Crash Data'!BO19="","",'Full Crash Data'!BO19)))),"")</f>
        <v/>
      </c>
      <c r="O19" s="4" t="str">
        <f>IFERROR(IF(CA19&lt;&gt;"","MP"&amp;CA19,IF(BZ19&lt;&gt;"",BZ19,TRIM(IF('Full Crash Data'!BX19&lt;&gt;"",'Full Crash Data'!BW19&amp;'Full Crash Data'!BX19&amp;'Full Crash Data'!BY19,IF('Full Crash Data'!BS19="","",'Full Crash Data'!BS19&amp;" ")&amp;IF('Full Crash Data'!BT19="","",'Full Crash Data'!BT19&amp;" ")&amp;IF('Full Crash Data'!BU19="","",'Full Crash Data'!BU19&amp;" ")&amp;IF('Full Crash Data'!BV19="","",'Full Crash Data'!BV19))))),"")</f>
        <v>MP63</v>
      </c>
      <c r="P19" s="4">
        <f>IF(Data!K19="","",Data!K19)</f>
        <v>11</v>
      </c>
      <c r="Q19" s="4">
        <f>IF(Data!L19="","",Data!L19)</f>
        <v>12</v>
      </c>
      <c r="R19" s="4">
        <f>IF(Data!M19="","",Data!M19)</f>
        <v>13</v>
      </c>
      <c r="S19" s="4">
        <f>IF(Data!AO19="","",Data!AO19)</f>
        <v>41</v>
      </c>
      <c r="T19">
        <f>IFERROR(VLOOKUP(R19,RefTables!G:I,3,FALSE),3)</f>
        <v>3</v>
      </c>
      <c r="U19" s="4">
        <f>IF(Data!BX19="","",Data!BX19)</f>
        <v>76</v>
      </c>
      <c r="V19" s="4">
        <f>IF(Data!Y19="","",Data!Y19)</f>
        <v>25</v>
      </c>
      <c r="W19" s="4">
        <f>IF(Data!AM19="","",Data!AM19)</f>
        <v>39</v>
      </c>
      <c r="X19" s="4">
        <f>IF(Data!CB19="","",Data!CB19)</f>
        <v>80</v>
      </c>
      <c r="Y19" s="4">
        <f>IF(Data!AL19="","",Data!AL19)</f>
        <v>38</v>
      </c>
      <c r="Z19" s="4">
        <f>IF(Data!ER19="","",Data!ER19)</f>
        <v>148</v>
      </c>
      <c r="AA19" s="4">
        <f>IF(Data!AN19="","",Data!AN19)</f>
        <v>40</v>
      </c>
      <c r="AB19" s="4" t="str">
        <f>IF(K19="",Data!H19,LEFT(K19,1))</f>
        <v>7</v>
      </c>
      <c r="AC19" s="4" t="str">
        <f>IF(K19="",Data!BI19,MID(K19,5,2))</f>
        <v/>
      </c>
      <c r="AD19" s="4" t="str">
        <f>IFERROR(VLOOKUP(Data!T19,RefTables!$B$139:$D$144,3,FALSE),"")</f>
        <v/>
      </c>
      <c r="AE19" s="4" t="str">
        <f>IFERROR(VLOOKUP(Data!N19,RefTables!$B$2:$D$102,3,FALSE),"")</f>
        <v/>
      </c>
      <c r="AF19" s="4" t="str">
        <f>IFERROR(VLOOKUP(Data!W19,RefTables!$B$149:$D$155,3,FALSE),"")</f>
        <v/>
      </c>
      <c r="AG19" s="4" t="str">
        <f>IFERROR(VLOOKUP(Data!AK19,RefTables!$B$167:$D$178,3,FALSE),"")</f>
        <v/>
      </c>
      <c r="AH19" s="4" t="str">
        <f>IF(Data!AR19="Y","Yes","No")</f>
        <v>No</v>
      </c>
      <c r="AI19" s="4">
        <f>IF(Data!AT19="","",Data!AT19)</f>
        <v>46</v>
      </c>
      <c r="AJ19" s="4" t="str">
        <f>IF(Data!CA19="","",IFERROR(VLOOKUP(Data!CA19,RefTables!$B$575:$D$577,3,FALSE),""))</f>
        <v/>
      </c>
      <c r="AK19" s="4" t="str">
        <f>IF(Data!V19="Y","Yes","No")</f>
        <v>No</v>
      </c>
      <c r="AL19" s="4" t="str">
        <f>IF(Data!AC19="Y","Yes","No")</f>
        <v>No</v>
      </c>
      <c r="AM19" s="4" t="str">
        <f>IF(Data!AU19="Y","Yes","No")</f>
        <v>No</v>
      </c>
      <c r="AN19" s="4" t="e">
        <f>IF(Data!AI19&lt;&gt;80,VLOOKUP(Data!AI19,RefTables!$B$578:$D$604,3,FALSE),IFERROR(VLOOKUP(IF(AND(T19=3,AB19="S"),1,IF(AC19="IR",1,IF(AND(T19=3,AB19="C"),2,IF(AND(T19=3,AB19="T"),3,IF(AB19="F",60,4))))),RefTables!$B$578:$D$604,3,FALSE),"Other"))</f>
        <v>#N/A</v>
      </c>
      <c r="AO19" s="4">
        <f>IF(Data!O19="","",Data!O19)</f>
        <v>15</v>
      </c>
      <c r="AP19" s="4">
        <f>IF(Data!AJ19="","",Data!AJ19)</f>
        <v>36</v>
      </c>
      <c r="AQ19" s="7">
        <f>Data!X19</f>
        <v>24</v>
      </c>
      <c r="AR19" s="4" t="str">
        <f>IFERROR(VLOOKUP(Data!R19,RefTables!$B$123:$D$136,3,FALSE),"")</f>
        <v/>
      </c>
      <c r="AS19" s="4" t="str">
        <f>IFERROR(VLOOKUP(Data!ES19,RefTables!$B$556:$D$574,3,FALSE),"Unknown")</f>
        <v>Unknown</v>
      </c>
      <c r="AT19" s="4" t="str">
        <f>IFERROR(VLOOKUP(Data!CC19,RefTables!$B$242:$D$252,3,FALSE),"Other / Unknown")</f>
        <v>Other / Unknown</v>
      </c>
      <c r="AU19" s="4" t="str">
        <f>IFERROR(VLOOKUP(Data!AG19,RefTables!$B$158:$D$166,3,FALSE),"")</f>
        <v/>
      </c>
      <c r="AV19" s="4" t="str">
        <f>IFERROR(VLOOKUP(Data!CD19,RefTables!$B$264:$D$273,3,FALSE),"")</f>
        <v/>
      </c>
      <c r="AW19" s="4" t="str">
        <f>IF(Data!U19="Y","Yes","No")</f>
        <v>No</v>
      </c>
      <c r="AX19" s="4" t="str">
        <f>IF(Data!AS19="Y","Yes","No")</f>
        <v>No</v>
      </c>
      <c r="AY19" s="4" t="str">
        <f>IF(Data!AZ19="Y","Yes","No")</f>
        <v>No</v>
      </c>
      <c r="AZ19" s="4" t="str">
        <f>IF(Data!CQ19="Y","Yes","No")</f>
        <v>No</v>
      </c>
      <c r="BA19" s="4" t="str">
        <f>IF(Data!BB19="Y","Yes","No")</f>
        <v>No</v>
      </c>
      <c r="BB19" s="4" t="str">
        <f>IF(Data!BU19="Y","Yes","No")</f>
        <v>No</v>
      </c>
      <c r="BC19" s="4" t="str">
        <f>IF(Data!BL19="Y","Yes","No")</f>
        <v>No</v>
      </c>
      <c r="BD19" s="4" t="str">
        <f>IF(Data!BW19="Y","Yes","No")</f>
        <v>No</v>
      </c>
      <c r="BE19" s="4" t="str">
        <f>IF(Data!BV19="Y","Yes","No")</f>
        <v>No</v>
      </c>
      <c r="BF19" s="4" t="str">
        <f>IF(Data!AX19="Y","Yes","No")</f>
        <v>No</v>
      </c>
      <c r="BG19" s="4" t="str">
        <f>IF(Data!BZ19="Y","Yes","No")</f>
        <v>No</v>
      </c>
      <c r="BH19" s="4" t="str">
        <f>IFERROR(VLOOKUP(Data!BD19,RefTables!$B$206:$D$211,3,FALSE),"")</f>
        <v/>
      </c>
      <c r="BI19" s="4" t="str">
        <f>IFERROR(VLOOKUP(Data!BY19,RefTables!$B$230:$D$235,3,FALSE),"")</f>
        <v/>
      </c>
      <c r="BJ19" s="4" t="str">
        <f>IF(Data!S19="Y","Yes","No")</f>
        <v>No</v>
      </c>
      <c r="BK19" s="4">
        <f>IF(Data!BA19="","",Data!BA19)</f>
        <v>53</v>
      </c>
      <c r="BL19" s="4">
        <f>IF(Data!BE19="","",Data!BE19)</f>
        <v>57</v>
      </c>
      <c r="BM19" s="4">
        <f>IF(Data!BF19="","",Data!BF19)</f>
        <v>58</v>
      </c>
      <c r="BN19" s="4">
        <f>IF(Data!BG19="","",Data!BG19)</f>
        <v>59</v>
      </c>
      <c r="BO19" s="4">
        <f>IF(Data!BC19="","",Data!BC19)</f>
        <v>55</v>
      </c>
      <c r="BP19" s="4">
        <f>IF(Data!BI19="","",Data!BI19)</f>
        <v>61</v>
      </c>
      <c r="BQ19" s="4">
        <f>IF(Data!BH19="","",Data!BH19)</f>
        <v>60</v>
      </c>
      <c r="BR19" s="4">
        <f>IF(Data!BJ19="","",Data!BJ19)</f>
        <v>62</v>
      </c>
      <c r="BS19" s="4">
        <f>IF(Data!BN19="","",Data!BN19)</f>
        <v>66</v>
      </c>
      <c r="BT19" s="4">
        <f>IF(Data!BO19="","",Data!BO19)</f>
        <v>67</v>
      </c>
      <c r="BU19" s="4">
        <f>IF(Data!BT19="","",Data!BT19)</f>
        <v>72</v>
      </c>
      <c r="BV19" s="4">
        <f>IF(Data!BM19="","",Data!BM19)</f>
        <v>65</v>
      </c>
      <c r="BW19" s="4">
        <f>IF(Data!BR19="","",Data!BR19)</f>
        <v>70</v>
      </c>
      <c r="BX19" s="4">
        <f>IF(Data!BQ19="","",Data!BQ19)</f>
        <v>69</v>
      </c>
      <c r="BY19" s="4">
        <f>IF(Data!BS19="","",Data!BS19)</f>
        <v>71</v>
      </c>
      <c r="BZ19" s="4">
        <f>IF(Data!AY19="","",Data!AY19)</f>
        <v>51</v>
      </c>
      <c r="CA19" s="4">
        <f>IF(Data!BK19="","",Data!BK19)</f>
        <v>63</v>
      </c>
      <c r="CB19" s="4" t="str">
        <f>IFERROR(VLOOKUP(Data!BP19,RefTables!$B$214:$D$223,3,FALSE),"")</f>
        <v/>
      </c>
      <c r="CC19" s="4" t="str">
        <f>IF(Data!CJ19="Y","Yes","No")</f>
        <v>No</v>
      </c>
      <c r="CD19" s="4">
        <f>IF(Data!CV19="","",Data!CV19)</f>
        <v>100</v>
      </c>
      <c r="CE19" s="4" t="str">
        <f>IF(Data!CL19="","",IFERROR(VLOOKUP(Data!CL19*1,RefTables!$B$353:$D$361,3,FALSE),""))</f>
        <v/>
      </c>
      <c r="CF19" s="4" t="str">
        <f>IF(Data!CM19="","",IFERROR(VLOOKUP(Data!CM19*1,RefTables!$B$362:$D$370,3,FALSE),""))</f>
        <v/>
      </c>
      <c r="CG19" s="4" t="str">
        <f>IF(Data!DH19="","",IFERROR(VLOOKUP(Data!DH19,RefTables!$B$523:$D$526,3,FALSE),""))</f>
        <v/>
      </c>
      <c r="CH19" s="4" t="str">
        <f>IF(Data!DG19="","",IFERROR(VLOOKUP(Data!DG19,RefTables!$B$507:$D$522,3,FALSE),""))</f>
        <v/>
      </c>
      <c r="CI19" s="4" t="str">
        <f>IF(Data!DI19="","",IFERROR(VLOOKUP(Data!DI19,RefTables!$B$527:$D$604,3,FALSE),""))</f>
        <v/>
      </c>
      <c r="CJ19" s="4" t="str">
        <f>IF(Data!DF19="","",IFERROR(VLOOKUP(Data!DF19,RefTables!$B$485:$D$506,3,FALSE),""))</f>
        <v/>
      </c>
      <c r="CK19" s="4">
        <f>IF(Data!DJ19="","",Data!DJ19)</f>
        <v>114</v>
      </c>
      <c r="CL19" s="4">
        <f>IF(Data!CX19="","",IF(Data!CX19*1&gt;70,70,IF(OR(RIGHT(Data!CX19,1)*1=5,RIGHT(Data!CX19,1)*1=0),Data!CX19,IF(RIGHT(Data!CX19,1)*1&gt;5,ROUNDDOWN(Data!CX19,-1)+5,ROUNDDOWN(Data!CX19,-1)))))</f>
        <v>70</v>
      </c>
      <c r="CM19" s="4" t="str">
        <f>IF(Data!CY19="","",IFERROR(VLOOKUP(Data!CY19,RefTables!$B$406:$D$428,3,FALSE),""))</f>
        <v/>
      </c>
      <c r="CN19" s="4" t="str">
        <f>IF(Data!CK19="","",IFERROR(VLOOKUP(Data!CK19,RefTables!$B$287:$D$319,3,FALSE),""))</f>
        <v/>
      </c>
      <c r="CO19" s="4" t="str">
        <f>IF(Data!CU19="","",IFERROR(VLOOKUP(Data!CU19,RefTables!$B$605:$D$636,3,FALSE),""))</f>
        <v>Other / Unknown</v>
      </c>
      <c r="CP19" s="4" t="str">
        <f>IF(Data!CZ19="","",IFERROR(VLOOKUP(Data!CZ19,RefTables!$B$429:$D$484,3,FALSE),""))</f>
        <v/>
      </c>
      <c r="CQ19" s="4" t="str">
        <f>IF(Data!DA19=0,"",IFERROR(VLOOKUP(Data!DA19,RefTables!$B$429:$D$484,3,FALSE),""))</f>
        <v/>
      </c>
      <c r="CR19" s="4" t="str">
        <f>IF(Data!DB19=0,"",IFERROR(VLOOKUP(Data!DB19,RefTables!$B$429:$D$484,3,FALSE),""))</f>
        <v/>
      </c>
      <c r="CS19" s="4" t="str">
        <f>IF(Data!DC19=0,"",IFERROR(VLOOKUP(Data!DC19,RefTables!$B$429:$D$484,3,FALSE),""))</f>
        <v/>
      </c>
      <c r="CT19" s="4" t="str">
        <f>IF(Data!DD19=0,"",IFERROR(VLOOKUP(Data!DD19,RefTables!$B$429:$D$484,3,FALSE),""))</f>
        <v/>
      </c>
      <c r="CU19" s="4" t="str">
        <f>IF(Data!DE19=0,"",IFERROR(VLOOKUP(Data!DE19,RefTables!$B$429:$D$484,3,FALSE),""))</f>
        <v/>
      </c>
      <c r="CV19" s="4" t="str">
        <f>IF(Data!CS19="","",IFERROR(VLOOKUP(Data!CS19,RefTables!$B$392:$D$405,3,FALSE),""))</f>
        <v/>
      </c>
      <c r="CW19" s="4">
        <f>IF(Data!CI19="",0,Data!CI19*1)</f>
        <v>87</v>
      </c>
      <c r="CX19" s="4" t="str">
        <f>IF(Data!CO19="","",IFERROR(VLOOKUP(Data!CO19,RefTables!$B$389:$D$391,3,FALSE),""))</f>
        <v/>
      </c>
      <c r="CY19" s="4" t="str">
        <f>IF(Data!CN19="","Other / Unknown",IFERROR(VLOOKUP(Data!CN19,RefTables!$B$371:$D$379,3,FALSE),"Other / Unknown"))</f>
        <v>Other / Unknown</v>
      </c>
      <c r="CZ19" s="4">
        <f>IF(Data!DR19="","",Data!DR19)</f>
        <v>122</v>
      </c>
      <c r="DA19" s="4" t="str">
        <f>IF(Data!DM19="","",IFERROR(VLOOKUP(Data!DM19*1,RefTables!$B$353:$D$361,3,FALSE),""))</f>
        <v/>
      </c>
      <c r="DB19" s="4" t="str">
        <f>IF(Data!DN19="","",IFERROR(VLOOKUP(Data!DN19*1,RefTables!$B$362:$D$370,3,FALSE),""))</f>
        <v/>
      </c>
      <c r="DC19" s="4" t="str">
        <f>IF(Data!EC19="","",IFERROR(VLOOKUP(Data!EC19*1,RefTables!$B$523:$D$526,3,FALSE),""))</f>
        <v/>
      </c>
      <c r="DD19" s="4" t="str">
        <f>IF(Data!EB19="","",IFERROR(VLOOKUP(Data!EB19,RefTables!$B$507:$D$522,3,FALSE),""))</f>
        <v/>
      </c>
      <c r="DE19" s="4" t="str">
        <f>IF(Data!ED19="","",IFERROR(VLOOKUP(Data!ED19,RefTables!$B$527:$D$604,3,FALSE),""))</f>
        <v/>
      </c>
      <c r="DF19" s="4" t="str">
        <f>IF(Data!EA19="","",IFERROR(VLOOKUP(Data!EA19,RefTables!$B$485:$D$506,3,FALSE),""))</f>
        <v/>
      </c>
      <c r="DG19" s="4">
        <f>IF(Data!EE19="","",Data!EE19)</f>
        <v>135</v>
      </c>
      <c r="DH19" s="4">
        <f>IF(Data!DS19="","",Data!DS19)</f>
        <v>123</v>
      </c>
      <c r="DI19" s="4" t="str">
        <f>IF(Data!DT19="","",IFERROR(VLOOKUP(Data!DT19,RefTables!$B$406:$D$428,3,FALSE),""))</f>
        <v/>
      </c>
      <c r="DJ19" s="4" t="str">
        <f>IF(Data!DL19="","",IFERROR(VLOOKUP(Data!DL19,RefTables!$B$287:$D$319,3,FALSE),""))</f>
        <v/>
      </c>
      <c r="DK19" s="4" t="str">
        <f>IF(Data!DU19="","",IFERROR(VLOOKUP(Data!DU19,RefTables!$B$429:$D$484,3,FALSE),""))</f>
        <v/>
      </c>
      <c r="DL19" s="4" t="str">
        <f>IF(Data!DV19=0,"",IFERROR(VLOOKUP(Data!DV19,RefTables!$B$429:$D$484,3,FALSE),""))</f>
        <v/>
      </c>
      <c r="DM19" s="4" t="str">
        <f>IF(Data!DW19=0,"",IFERROR(VLOOKUP(Data!DW19,RefTables!$B$429:$D$484,3,FALSE),""))</f>
        <v/>
      </c>
      <c r="DN19" s="4" t="str">
        <f>IF(Data!DX19=0,"",IFERROR(VLOOKUP(Data!DX19,RefTables!$B$429:$D$484,3,FALSE),""))</f>
        <v/>
      </c>
      <c r="DO19" s="4" t="str">
        <f>IF(Data!DY19=0,"",IFERROR(VLOOKUP(Data!DY19,RefTables!$B$429:$D$484,3,FALSE),""))</f>
        <v/>
      </c>
      <c r="DP19" s="4" t="str">
        <f>IF(Data!DZ19=0,"",IFERROR(VLOOKUP(Data!DZ19,RefTables!$B$429:$D$484,3,FALSE),""))</f>
        <v/>
      </c>
      <c r="DQ19" s="4" t="str">
        <f>IF(Data!DQ19="","",IFERROR(VLOOKUP(Data!DQ19,RefTables!$B$429:$D$484,3,FALSE),""))</f>
        <v/>
      </c>
      <c r="DR19" s="4">
        <f>IF(Data!DK19="",0,Data!DK19*1)</f>
        <v>115</v>
      </c>
      <c r="DS19" s="4" t="str">
        <f>IF(Data!DP19="","",IFERROR(VLOOKUP(Data!DP19,RefTables!$B$389:$D$391,3,FALSE),""))</f>
        <v/>
      </c>
      <c r="DT19" s="4" t="str">
        <f>IF(Data!DO19="","",IFERROR(VLOOKUP(Data!DO19,RefTables!$B$371:$D$379,3,FALSE),""))</f>
        <v/>
      </c>
      <c r="DU19" s="4">
        <f>IF(Data!EG19="","",Data!EG19)</f>
        <v>137</v>
      </c>
      <c r="DV19" s="4" t="str">
        <f>IF(Data!EP19="","",IFERROR(VLOOKUP(Data!EP19,RefTables!$B$507:$D$522,3,FALSE),""))</f>
        <v/>
      </c>
      <c r="DW19" s="4" t="str">
        <f>IF(Data!EQ19="","",IFERROR(VLOOKUP(Data!EQ19,RefTables!$B$527:$D$604,3,FALSE),""))</f>
        <v/>
      </c>
      <c r="DX19" s="4" t="str">
        <f>IF(Data!EO19="","",IFERROR(VLOOKUP(Data!EO19,RefTables!$B$485:$D$506,3,FALSE),""))</f>
        <v/>
      </c>
      <c r="DY19" s="4" t="str">
        <f>IF(Data!EH19="","",IFERROR(VLOOKUP(Data!EH19,RefTables!$B$406:$D$428,3,FALSE),""))</f>
        <v/>
      </c>
      <c r="DZ19" s="4" t="str">
        <f>IF(Data!EF19="","",IFERROR(VLOOKUP(Data!EF19,RefTables!$B$287:$D$319,3,FALSE),""))</f>
        <v/>
      </c>
      <c r="EA19" s="4" t="str">
        <f>IF(Data!EI19="","",IFERROR(VLOOKUP(Data!EI19,RefTables!$B$429:$D$484,3,FALSE),""))</f>
        <v/>
      </c>
      <c r="EB19" s="4" t="str">
        <f>IF(Data!EJ19=0,"",IFERROR(VLOOKUP(Data!EJ19,RefTables!$B$429:$D$484,3,FALSE),""))</f>
        <v/>
      </c>
      <c r="EC19" s="4" t="str">
        <f>IF(Data!EK19=0,"",IFERROR(VLOOKUP(Data!EK19,RefTables!$B$429:$D$484,3,FALSE),""))</f>
        <v/>
      </c>
      <c r="ED19" s="4" t="str">
        <f>IF(Data!EL19=0,"",IFERROR(VLOOKUP(Data!EL19,RefTables!$B$429:$D$484,3,FALSE),""))</f>
        <v/>
      </c>
      <c r="EE19" s="4" t="str">
        <f>IF(Data!EM19=0,"",IFERROR(VLOOKUP(Data!EM19,RefTables!$B$429:$D$484,3,FALSE),""))</f>
        <v/>
      </c>
      <c r="EF19" s="4" t="str">
        <f>IF(Data!EN19=0,"",IFERROR(VLOOKUP(Data!EN19,RefTables!$B$429:$D$484,3,FALSE),""))</f>
        <v/>
      </c>
      <c r="EG19" s="4">
        <f>IF(Data!AA19="","",Data!AA19)</f>
        <v>27</v>
      </c>
      <c r="EH19" s="4">
        <f>IF(Data!AB19="","",Data!AB19)</f>
        <v>28</v>
      </c>
      <c r="EI19" s="4">
        <f>IF(Data!Z19="","",Data!Z19)</f>
        <v>26</v>
      </c>
      <c r="EJ19" s="4">
        <f>IF(Data!CE19="","",Data!CE19)</f>
        <v>83</v>
      </c>
      <c r="EK19" s="4">
        <f>IF(Data!CF19="","",Data!CF19)</f>
        <v>84</v>
      </c>
      <c r="EL19" t="e">
        <f>IF(OR(LEFT(AN19,1)="S",AN19="Other Federal Agency"),"State","Local")</f>
        <v>#N/A</v>
      </c>
      <c r="EM19" s="4" t="str">
        <f>IF(C19&gt;2010,Data!C19,"")</f>
        <v/>
      </c>
      <c r="EN19" s="4" t="str">
        <f>IFERROR(VLOOKUP(B19,HistoricalImages!A:B,2,FALSE),"")</f>
        <v/>
      </c>
      <c r="EO19" s="6" t="str">
        <f>+HYPERLINK(CONCATENATE("http://pathweb.pathwayservices.com/ohiopublic/?nlfid='",+K19,"'&amp;logpoint=",+L19),"Pathweb")</f>
        <v>Pathweb</v>
      </c>
      <c r="EP19" s="6" t="str">
        <f>HYPERLINK(CONCATENATE("http://maps.google.com/maps?q=",+P19,",+",+Q19,"+(Crash+Location)&amp;iwloc=A&amp;hl=en"),"Google Maps")</f>
        <v>Google Maps</v>
      </c>
      <c r="EQ19" s="6" t="str">
        <f>HYPERLINK(CONCATENATE("http://data.mashedworld.com/dualmaps/map.htm?x=",Q19,"&amp;y=",P19,"&amp;z=15&amp;gm=0&amp;ve=5&amp;gc=0&amp;bz=1&amp;bd=0&amp;mw=1&amp;sv=1&amp;svb=0&amp;svp=0&amp;svz=0&amp;svm=2&amp;svf=0"),"Mashed Map")</f>
        <v>Mashed Map</v>
      </c>
      <c r="ER19" s="4" t="str">
        <f>IFERROR(IF(OR(Data!Q19=1,Data!Q19=2,Data!Q19=3,Data!Q19=4,Data!Q19=5,Data!Q19=6,Data!Q19=18,Data!Q19=19),"MV","SV"),"SV")</f>
        <v>SV</v>
      </c>
      <c r="ES19" s="4" t="str">
        <f>IFERROR(IF(Data!P19*1&lt;5,"FI","PDO"),"PDO")</f>
        <v>PDO</v>
      </c>
      <c r="ET19" s="4">
        <f>IF(Data!AV19="","",Data!AV19)</f>
        <v>48</v>
      </c>
    </row>
    <row r="20" spans="1:152" s="405" customFormat="1" x14ac:dyDescent="0.15">
      <c r="A20" s="22" t="s">
        <v>19</v>
      </c>
      <c r="B20" s="466" t="s">
        <v>6152</v>
      </c>
      <c r="C20" s="404" t="s">
        <v>80</v>
      </c>
      <c r="D20" s="403" t="s">
        <v>1161</v>
      </c>
      <c r="E20" s="405" t="s">
        <v>1162</v>
      </c>
      <c r="F20" s="22" t="s">
        <v>81</v>
      </c>
      <c r="G20" s="22" t="s">
        <v>176</v>
      </c>
      <c r="H20" s="22" t="s">
        <v>1163</v>
      </c>
      <c r="I20" s="404" t="s">
        <v>1164</v>
      </c>
      <c r="J20" s="22" t="s">
        <v>1180</v>
      </c>
      <c r="K20" s="22" t="s">
        <v>275</v>
      </c>
      <c r="L20" s="22" t="s">
        <v>1165</v>
      </c>
      <c r="M20" s="405" t="s">
        <v>1166</v>
      </c>
      <c r="N20" s="405" t="s">
        <v>6172</v>
      </c>
      <c r="O20" s="405" t="s">
        <v>6173</v>
      </c>
      <c r="P20" s="404" t="s">
        <v>1169</v>
      </c>
      <c r="Q20" s="22" t="s">
        <v>1170</v>
      </c>
      <c r="R20" s="22" t="s">
        <v>1171</v>
      </c>
      <c r="S20" s="22" t="s">
        <v>1190</v>
      </c>
      <c r="T20" s="22" t="s">
        <v>1279</v>
      </c>
      <c r="U20" s="22" t="s">
        <v>131</v>
      </c>
      <c r="V20" s="22" t="s">
        <v>1172</v>
      </c>
      <c r="W20" s="22" t="s">
        <v>1174</v>
      </c>
      <c r="X20" s="404" t="s">
        <v>1173</v>
      </c>
      <c r="Y20" s="22" t="s">
        <v>1175</v>
      </c>
      <c r="Z20" s="22" t="s">
        <v>1176</v>
      </c>
      <c r="AA20" s="22" t="s">
        <v>1177</v>
      </c>
      <c r="AB20" s="404" t="s">
        <v>1167</v>
      </c>
      <c r="AC20" s="22" t="s">
        <v>1168</v>
      </c>
      <c r="AD20" s="22" t="s">
        <v>1181</v>
      </c>
      <c r="AE20" s="22" t="s">
        <v>1182</v>
      </c>
      <c r="AF20" s="22" t="s">
        <v>1183</v>
      </c>
      <c r="AG20" s="22" t="s">
        <v>1184</v>
      </c>
      <c r="AH20" s="22" t="s">
        <v>1185</v>
      </c>
      <c r="AI20" s="22" t="s">
        <v>1186</v>
      </c>
      <c r="AJ20" s="22" t="s">
        <v>1281</v>
      </c>
      <c r="AK20" s="22" t="s">
        <v>203</v>
      </c>
      <c r="AL20" s="22" t="s">
        <v>1187</v>
      </c>
      <c r="AM20" s="22" t="s">
        <v>1188</v>
      </c>
      <c r="AN20" s="22" t="s">
        <v>1189</v>
      </c>
      <c r="AO20" s="22" t="s">
        <v>90</v>
      </c>
      <c r="AP20" s="22" t="s">
        <v>1191</v>
      </c>
      <c r="AQ20" s="22" t="s">
        <v>91</v>
      </c>
      <c r="AR20" s="22" t="s">
        <v>1192</v>
      </c>
      <c r="AS20" s="22" t="s">
        <v>1193</v>
      </c>
      <c r="AT20" s="22" t="s">
        <v>575</v>
      </c>
      <c r="AU20" s="406" t="s">
        <v>576</v>
      </c>
      <c r="AV20" s="406" t="s">
        <v>577</v>
      </c>
      <c r="AW20" s="22" t="s">
        <v>1178</v>
      </c>
      <c r="AX20" s="22" t="s">
        <v>1179</v>
      </c>
      <c r="AY20" s="406" t="s">
        <v>1194</v>
      </c>
      <c r="AZ20" s="406" t="s">
        <v>6167</v>
      </c>
      <c r="BA20" s="406" t="s">
        <v>1195</v>
      </c>
      <c r="BB20" s="22" t="s">
        <v>1196</v>
      </c>
      <c r="BC20" s="22" t="s">
        <v>1197</v>
      </c>
      <c r="BD20" s="22" t="s">
        <v>1198</v>
      </c>
      <c r="BE20" s="22" t="s">
        <v>1199</v>
      </c>
      <c r="BF20" s="22" t="s">
        <v>1203</v>
      </c>
      <c r="BG20" s="404" t="s">
        <v>1200</v>
      </c>
      <c r="BH20" s="407" t="s">
        <v>1201</v>
      </c>
      <c r="BI20" s="407" t="s">
        <v>1202</v>
      </c>
      <c r="BJ20" s="22" t="s">
        <v>1204</v>
      </c>
      <c r="BK20" s="405" t="s">
        <v>1205</v>
      </c>
      <c r="BL20" s="405" t="s">
        <v>1209</v>
      </c>
      <c r="BM20" s="405" t="s">
        <v>1210</v>
      </c>
      <c r="BN20" s="405" t="s">
        <v>1211</v>
      </c>
      <c r="BO20" s="405" t="s">
        <v>1212</v>
      </c>
      <c r="BP20" s="405" t="s">
        <v>1213</v>
      </c>
      <c r="BQ20" s="405" t="s">
        <v>1214</v>
      </c>
      <c r="BR20" s="405" t="s">
        <v>1215</v>
      </c>
      <c r="BS20" s="405" t="s">
        <v>1280</v>
      </c>
      <c r="BT20" s="405" t="s">
        <v>1206</v>
      </c>
      <c r="BU20" s="405" t="s">
        <v>1207</v>
      </c>
      <c r="BV20" s="405" t="s">
        <v>1208</v>
      </c>
      <c r="BW20" s="405" t="s">
        <v>1216</v>
      </c>
      <c r="BX20" s="405" t="s">
        <v>1217</v>
      </c>
      <c r="BY20" s="405" t="s">
        <v>1218</v>
      </c>
      <c r="BZ20" s="405" t="s">
        <v>1220</v>
      </c>
      <c r="CA20" s="405" t="s">
        <v>1219</v>
      </c>
      <c r="CB20" s="405" t="s">
        <v>6166</v>
      </c>
      <c r="CC20" s="405" t="s">
        <v>1221</v>
      </c>
      <c r="CD20" s="405" t="s">
        <v>1282</v>
      </c>
      <c r="CE20" s="405" t="s">
        <v>1222</v>
      </c>
      <c r="CF20" s="405" t="s">
        <v>1223</v>
      </c>
      <c r="CG20" s="405" t="s">
        <v>1224</v>
      </c>
      <c r="CH20" s="405" t="s">
        <v>1225</v>
      </c>
      <c r="CI20" s="405" t="s">
        <v>1226</v>
      </c>
      <c r="CJ20" s="405" t="s">
        <v>1227</v>
      </c>
      <c r="CK20" s="405" t="s">
        <v>1228</v>
      </c>
      <c r="CL20" s="405" t="s">
        <v>1229</v>
      </c>
      <c r="CM20" s="405" t="s">
        <v>1230</v>
      </c>
      <c r="CN20" s="405" t="s">
        <v>1231</v>
      </c>
      <c r="CO20" s="405" t="s">
        <v>1232</v>
      </c>
      <c r="CP20" s="405" t="s">
        <v>1233</v>
      </c>
      <c r="CQ20" s="405" t="s">
        <v>1234</v>
      </c>
      <c r="CR20" s="405" t="s">
        <v>1235</v>
      </c>
      <c r="CS20" s="405" t="s">
        <v>1236</v>
      </c>
      <c r="CT20" s="405" t="s">
        <v>1237</v>
      </c>
      <c r="CU20" s="405" t="s">
        <v>1238</v>
      </c>
      <c r="CV20" s="405" t="s">
        <v>1239</v>
      </c>
      <c r="CW20" s="405" t="s">
        <v>1240</v>
      </c>
      <c r="CX20" s="405" t="s">
        <v>1241</v>
      </c>
      <c r="CY20" s="405" t="s">
        <v>1242</v>
      </c>
      <c r="CZ20" s="405" t="s">
        <v>1283</v>
      </c>
      <c r="DA20" s="405" t="s">
        <v>1243</v>
      </c>
      <c r="DB20" s="405" t="s">
        <v>1244</v>
      </c>
      <c r="DC20" s="405" t="s">
        <v>1245</v>
      </c>
      <c r="DD20" s="405" t="s">
        <v>1246</v>
      </c>
      <c r="DE20" s="405" t="s">
        <v>1247</v>
      </c>
      <c r="DF20" s="405" t="s">
        <v>1248</v>
      </c>
      <c r="DG20" s="405" t="s">
        <v>1249</v>
      </c>
      <c r="DH20" s="405" t="s">
        <v>1250</v>
      </c>
      <c r="DI20" s="405" t="s">
        <v>1251</v>
      </c>
      <c r="DJ20" s="405" t="s">
        <v>1252</v>
      </c>
      <c r="DK20" s="405" t="s">
        <v>1253</v>
      </c>
      <c r="DL20" s="405" t="s">
        <v>1254</v>
      </c>
      <c r="DM20" s="405" t="s">
        <v>1255</v>
      </c>
      <c r="DN20" s="405" t="s">
        <v>1256</v>
      </c>
      <c r="DO20" s="405" t="s">
        <v>1257</v>
      </c>
      <c r="DP20" s="405" t="s">
        <v>1258</v>
      </c>
      <c r="DQ20" s="405" t="s">
        <v>1259</v>
      </c>
      <c r="DR20" s="405" t="s">
        <v>1260</v>
      </c>
      <c r="DS20" s="405" t="s">
        <v>1261</v>
      </c>
      <c r="DT20" s="405" t="s">
        <v>1262</v>
      </c>
      <c r="DU20" s="405" t="s">
        <v>1284</v>
      </c>
      <c r="DV20" s="405" t="s">
        <v>1263</v>
      </c>
      <c r="DW20" s="405" t="s">
        <v>1264</v>
      </c>
      <c r="DX20" s="405" t="s">
        <v>1265</v>
      </c>
      <c r="DY20" s="405" t="s">
        <v>1266</v>
      </c>
      <c r="DZ20" s="405" t="s">
        <v>1267</v>
      </c>
      <c r="EA20" s="405" t="s">
        <v>1268</v>
      </c>
      <c r="EB20" s="405" t="s">
        <v>1269</v>
      </c>
      <c r="EC20" s="405" t="s">
        <v>1270</v>
      </c>
      <c r="ED20" s="405" t="s">
        <v>1271</v>
      </c>
      <c r="EE20" s="405" t="s">
        <v>1272</v>
      </c>
      <c r="EF20" s="405" t="s">
        <v>1273</v>
      </c>
      <c r="EG20" s="405" t="s">
        <v>1274</v>
      </c>
      <c r="EH20" s="405" t="s">
        <v>1275</v>
      </c>
      <c r="EI20" s="405" t="s">
        <v>1276</v>
      </c>
      <c r="EJ20" s="405" t="s">
        <v>1277</v>
      </c>
      <c r="EK20" s="405" t="s">
        <v>1278</v>
      </c>
      <c r="EL20" s="405" t="s">
        <v>1160</v>
      </c>
      <c r="EM20" s="404" t="s">
        <v>861</v>
      </c>
      <c r="EN20" s="405" t="s">
        <v>1102</v>
      </c>
      <c r="EO20" s="22" t="s">
        <v>73</v>
      </c>
      <c r="EP20" s="22" t="s">
        <v>74</v>
      </c>
      <c r="EQ20" s="22" t="s">
        <v>256</v>
      </c>
      <c r="ER20" s="405" t="s">
        <v>6413</v>
      </c>
      <c r="ES20" s="405" t="s">
        <v>6412</v>
      </c>
      <c r="ET20" s="403" t="s">
        <v>6718</v>
      </c>
    </row>
    <row r="21" spans="1:152" x14ac:dyDescent="0.15">
      <c r="A21" s="581" t="str">
        <f t="shared" ref="A21:A84" si="9">IF(C21*1&gt;2010,HYPERLINK(EM21,"Crash Report"),IF(EM21="","","Restricted Access"))</f>
        <v>Crash Report</v>
      </c>
      <c r="B21" s="14">
        <v>20213005927</v>
      </c>
      <c r="C21" s="118">
        <v>2021</v>
      </c>
      <c r="D21" s="14">
        <v>21011324220700</v>
      </c>
      <c r="F21" s="118" t="s">
        <v>6442</v>
      </c>
      <c r="G21" s="118" t="s">
        <v>211</v>
      </c>
      <c r="H21" s="118">
        <v>2</v>
      </c>
      <c r="I21" s="118" t="s">
        <v>6055</v>
      </c>
      <c r="J21" s="118" t="s">
        <v>423</v>
      </c>
      <c r="K21" s="118" t="s">
        <v>6985</v>
      </c>
      <c r="L21" s="118">
        <v>0.14899999999999999</v>
      </c>
      <c r="M21" s="118">
        <v>0.14899999999999999</v>
      </c>
      <c r="N21" s="118" t="s">
        <v>7465</v>
      </c>
      <c r="O21" s="118" t="s">
        <v>7466</v>
      </c>
      <c r="P21" s="118">
        <v>41.648505999999998</v>
      </c>
      <c r="Q21" s="118">
        <v>-83.523465999999999</v>
      </c>
      <c r="R21" s="118">
        <v>77000</v>
      </c>
      <c r="S21" s="118" t="s">
        <v>6988</v>
      </c>
      <c r="T21" s="118">
        <v>1</v>
      </c>
      <c r="U21" s="118">
        <v>0</v>
      </c>
      <c r="V21" s="118">
        <v>0</v>
      </c>
      <c r="W21" s="118">
        <v>0</v>
      </c>
      <c r="X21" s="118">
        <v>0</v>
      </c>
      <c r="Y21" s="118">
        <v>2</v>
      </c>
      <c r="Z21" s="118">
        <v>0</v>
      </c>
      <c r="AA21" s="118">
        <v>2</v>
      </c>
      <c r="AB21" s="118" t="s">
        <v>1067</v>
      </c>
      <c r="AC21" s="118" t="s">
        <v>6989</v>
      </c>
      <c r="AD21" s="118" t="s">
        <v>1034</v>
      </c>
      <c r="AE21" s="118" t="s">
        <v>943</v>
      </c>
      <c r="AF21" s="118" t="s">
        <v>1042</v>
      </c>
      <c r="AG21" s="118" t="s">
        <v>6415</v>
      </c>
      <c r="AH21" s="118" t="s">
        <v>393</v>
      </c>
      <c r="AI21" s="118">
        <v>4</v>
      </c>
      <c r="AJ21" s="118" t="s">
        <v>6415</v>
      </c>
      <c r="AK21" s="118" t="s">
        <v>393</v>
      </c>
      <c r="AL21" s="118" t="s">
        <v>393</v>
      </c>
      <c r="AM21" s="118" t="s">
        <v>393</v>
      </c>
      <c r="AN21" s="118" t="s">
        <v>5975</v>
      </c>
      <c r="AO21" s="402">
        <v>44209</v>
      </c>
      <c r="AP21" s="118">
        <v>1</v>
      </c>
      <c r="AQ21" s="14">
        <v>7</v>
      </c>
      <c r="AR21" s="118" t="s">
        <v>6446</v>
      </c>
      <c r="AS21" t="s">
        <v>403</v>
      </c>
      <c r="AT21" s="118" t="s">
        <v>225</v>
      </c>
      <c r="AU21" s="118" t="s">
        <v>6324</v>
      </c>
      <c r="AV21" s="118" t="s">
        <v>508</v>
      </c>
      <c r="AW21" s="118" t="s">
        <v>393</v>
      </c>
      <c r="AX21" s="118" t="s">
        <v>740</v>
      </c>
      <c r="AY21" s="118" t="s">
        <v>393</v>
      </c>
      <c r="AZ21" s="118" t="s">
        <v>393</v>
      </c>
      <c r="BA21" s="118" t="s">
        <v>393</v>
      </c>
      <c r="BB21" s="118" t="s">
        <v>393</v>
      </c>
      <c r="BC21" s="118" t="s">
        <v>393</v>
      </c>
      <c r="BD21" s="118" t="s">
        <v>740</v>
      </c>
      <c r="BE21" s="118" t="s">
        <v>393</v>
      </c>
      <c r="BF21" s="118" t="s">
        <v>740</v>
      </c>
      <c r="BG21" s="118" t="s">
        <v>393</v>
      </c>
      <c r="BH21" s="118" t="s">
        <v>394</v>
      </c>
      <c r="BI21" s="118" t="s">
        <v>394</v>
      </c>
      <c r="BJ21" s="118" t="s">
        <v>393</v>
      </c>
      <c r="BK21" s="118" t="s">
        <v>6988</v>
      </c>
      <c r="BL21" s="118" t="s">
        <v>6415</v>
      </c>
      <c r="BM21" s="118" t="s">
        <v>6990</v>
      </c>
      <c r="BN21" s="118" t="s">
        <v>6991</v>
      </c>
      <c r="BO21" s="118" t="s">
        <v>6415</v>
      </c>
      <c r="BP21" s="118" t="s">
        <v>6415</v>
      </c>
      <c r="BQ21" s="118" t="s">
        <v>6415</v>
      </c>
      <c r="BR21" s="118" t="s">
        <v>6415</v>
      </c>
      <c r="BS21" s="118" t="s">
        <v>6415</v>
      </c>
      <c r="BT21" s="118" t="s">
        <v>6992</v>
      </c>
      <c r="BU21" s="118" t="s">
        <v>6991</v>
      </c>
      <c r="BV21" s="118" t="s">
        <v>6415</v>
      </c>
      <c r="BW21" s="118" t="s">
        <v>6415</v>
      </c>
      <c r="BX21" s="118" t="s">
        <v>6415</v>
      </c>
      <c r="BY21" s="118" t="s">
        <v>6415</v>
      </c>
      <c r="BZ21" s="118" t="s">
        <v>6415</v>
      </c>
      <c r="CA21" s="118" t="s">
        <v>6415</v>
      </c>
      <c r="CB21" s="118" t="s">
        <v>221</v>
      </c>
      <c r="CC21" s="118" t="s">
        <v>740</v>
      </c>
      <c r="CD21" s="118">
        <v>1</v>
      </c>
      <c r="CE21" s="118" t="s">
        <v>405</v>
      </c>
      <c r="CF21" s="118" t="s">
        <v>410</v>
      </c>
      <c r="CG21" s="118" t="s">
        <v>230</v>
      </c>
      <c r="CH21" s="118" t="s">
        <v>6300</v>
      </c>
      <c r="CI21" s="118" t="s">
        <v>6303</v>
      </c>
      <c r="CJ21" s="118" t="s">
        <v>398</v>
      </c>
      <c r="CK21" s="14">
        <v>15</v>
      </c>
      <c r="CL21" s="118">
        <v>35</v>
      </c>
      <c r="CM21" s="118" t="s">
        <v>436</v>
      </c>
      <c r="CN21" s="118" t="s">
        <v>425</v>
      </c>
      <c r="CO21" s="118" t="s">
        <v>1096</v>
      </c>
      <c r="CP21" s="118" t="s">
        <v>400</v>
      </c>
      <c r="CQ21" s="118" t="s">
        <v>6415</v>
      </c>
      <c r="CR21" s="118" t="s">
        <v>6415</v>
      </c>
      <c r="CS21" s="118" t="s">
        <v>6415</v>
      </c>
      <c r="CT21" s="118" t="s">
        <v>6415</v>
      </c>
      <c r="CU21" s="118" t="s">
        <v>6415</v>
      </c>
      <c r="CV21" s="118" t="s">
        <v>6415</v>
      </c>
      <c r="CW21" s="14">
        <v>30</v>
      </c>
      <c r="CX21" s="118" t="s">
        <v>1068</v>
      </c>
      <c r="CY21" s="118" t="s">
        <v>6341</v>
      </c>
      <c r="CZ21" s="118">
        <v>2</v>
      </c>
      <c r="DA21" s="118" t="s">
        <v>410</v>
      </c>
      <c r="DB21" s="118" t="s">
        <v>411</v>
      </c>
      <c r="DC21" s="118" t="s">
        <v>6415</v>
      </c>
      <c r="DD21" s="118" t="s">
        <v>6300</v>
      </c>
      <c r="DE21" s="118" t="s">
        <v>6303</v>
      </c>
      <c r="DF21" s="118" t="s">
        <v>398</v>
      </c>
      <c r="DG21" s="14">
        <v>0</v>
      </c>
      <c r="DH21" s="118">
        <v>35</v>
      </c>
      <c r="DI21" s="118" t="s">
        <v>6355</v>
      </c>
      <c r="DJ21" s="118" t="s">
        <v>398</v>
      </c>
      <c r="DK21" s="118" t="s">
        <v>400</v>
      </c>
      <c r="DL21" s="118" t="s">
        <v>6415</v>
      </c>
      <c r="DM21" s="118" t="s">
        <v>6415</v>
      </c>
      <c r="DN21" s="118" t="s">
        <v>6415</v>
      </c>
      <c r="DO21" s="118" t="s">
        <v>6415</v>
      </c>
      <c r="DP21" s="118" t="s">
        <v>6415</v>
      </c>
      <c r="DQ21" s="118" t="s">
        <v>6415</v>
      </c>
      <c r="DR21" s="118">
        <v>19</v>
      </c>
      <c r="DS21" s="118" t="s">
        <v>1066</v>
      </c>
      <c r="DT21" s="118" t="s">
        <v>6341</v>
      </c>
      <c r="DU21" s="118" t="s">
        <v>6415</v>
      </c>
      <c r="DV21" s="118" t="s">
        <v>6415</v>
      </c>
      <c r="DW21" s="118" t="s">
        <v>6415</v>
      </c>
      <c r="DX21" s="118" t="s">
        <v>6415</v>
      </c>
      <c r="DY21" s="118" t="s">
        <v>6415</v>
      </c>
      <c r="DZ21" s="118" t="s">
        <v>6415</v>
      </c>
      <c r="EA21" s="118" t="s">
        <v>6415</v>
      </c>
      <c r="EB21" s="118" t="s">
        <v>6415</v>
      </c>
      <c r="EC21" s="118" t="s">
        <v>6415</v>
      </c>
      <c r="ED21" s="118" t="s">
        <v>6415</v>
      </c>
      <c r="EE21" s="118" t="s">
        <v>6415</v>
      </c>
      <c r="EF21" s="118" t="s">
        <v>6415</v>
      </c>
      <c r="EG21" s="118" t="s">
        <v>6986</v>
      </c>
      <c r="EH21" s="118" t="s">
        <v>6987</v>
      </c>
      <c r="EI21" s="118" t="s">
        <v>6415</v>
      </c>
      <c r="EJ21" s="118" t="s">
        <v>6415</v>
      </c>
      <c r="EK21" s="118" t="s">
        <v>6415</v>
      </c>
      <c r="EL21" s="118" t="s">
        <v>7467</v>
      </c>
      <c r="EM21" s="118" t="s">
        <v>6984</v>
      </c>
      <c r="EN21" s="118" t="s">
        <v>6415</v>
      </c>
      <c r="EO21" s="6" t="str">
        <f t="shared" ref="EO21:EO84" si="10">+HYPERLINK(CONCATENATE("http://pathweb.pathwayservices.com/ohiopublic/?nlfid='",+K21,"'&amp;logpoint=",+L21),"Pathweb")</f>
        <v>Pathweb</v>
      </c>
      <c r="EP21" s="6" t="str">
        <f t="shared" ref="EP21:EP84" si="11">HYPERLINK(CONCATENATE("http://maps.google.com/maps?q=",+P21,",+",+Q21,"+(Crash+Location)&amp;iwloc=A&amp;hl=en"),"Google Maps")</f>
        <v>Google Maps</v>
      </c>
      <c r="EQ21" s="6" t="str">
        <f t="shared" ref="EQ21:EQ84" si="12">HYPERLINK(CONCATENATE("http://data.mashedworld.com/dualmaps/map.htm?x=",Q21,"&amp;y=",P21,"&amp;z=15&amp;gm=0&amp;ve=5&amp;gc=0&amp;bz=1&amp;bd=0&amp;mw=1&amp;sv=1&amp;svb=0&amp;svp=0&amp;svz=0&amp;svm=2&amp;svf=0"),"Mashed Map")</f>
        <v>Mashed Map</v>
      </c>
      <c r="ER21" s="118" t="s">
        <v>6727</v>
      </c>
      <c r="ES21" s="118" t="s">
        <v>71</v>
      </c>
      <c r="ET21" s="4">
        <v>0</v>
      </c>
      <c r="EU21" s="4"/>
      <c r="EV21" s="4"/>
    </row>
    <row r="22" spans="1:152" x14ac:dyDescent="0.15">
      <c r="A22" s="581" t="str">
        <f t="shared" si="9"/>
        <v>Crash Report</v>
      </c>
      <c r="B22" s="14">
        <v>20213005960</v>
      </c>
      <c r="C22" s="118">
        <v>2021</v>
      </c>
      <c r="D22" s="14">
        <v>20011420571420</v>
      </c>
      <c r="F22" s="118" t="s">
        <v>6440</v>
      </c>
      <c r="G22" s="118" t="s">
        <v>402</v>
      </c>
      <c r="H22" s="118">
        <v>2</v>
      </c>
      <c r="I22" s="118" t="s">
        <v>6055</v>
      </c>
      <c r="J22" s="118" t="s">
        <v>391</v>
      </c>
      <c r="K22" s="118" t="s">
        <v>6985</v>
      </c>
      <c r="L22" s="118">
        <v>0.51300000000000001</v>
      </c>
      <c r="M22" s="118">
        <v>0.51300000000000001</v>
      </c>
      <c r="N22" t="s">
        <v>7465</v>
      </c>
      <c r="O22" s="118" t="s">
        <v>7468</v>
      </c>
      <c r="P22" s="118">
        <v>41.651800000000001</v>
      </c>
      <c r="Q22" s="118">
        <v>-83.518060000000006</v>
      </c>
      <c r="R22" s="118">
        <v>77000</v>
      </c>
      <c r="S22" s="118" t="s">
        <v>6988</v>
      </c>
      <c r="T22" s="118">
        <v>1</v>
      </c>
      <c r="U22" s="118">
        <v>0</v>
      </c>
      <c r="V22" s="118">
        <v>0</v>
      </c>
      <c r="W22" s="118">
        <v>3</v>
      </c>
      <c r="X22" s="118">
        <v>1</v>
      </c>
      <c r="Y22" s="118">
        <v>1</v>
      </c>
      <c r="Z22" s="118">
        <v>0</v>
      </c>
      <c r="AA22" s="118">
        <v>2</v>
      </c>
      <c r="AB22" s="118" t="s">
        <v>1067</v>
      </c>
      <c r="AC22" s="118" t="s">
        <v>6989</v>
      </c>
      <c r="AD22" s="118" t="s">
        <v>1034</v>
      </c>
      <c r="AE22" s="118" t="s">
        <v>943</v>
      </c>
      <c r="AF22" s="118" t="s">
        <v>1041</v>
      </c>
      <c r="AG22" s="118" t="s">
        <v>6415</v>
      </c>
      <c r="AH22" s="118" t="s">
        <v>393</v>
      </c>
      <c r="AI22" s="118">
        <v>4</v>
      </c>
      <c r="AJ22" s="118" t="s">
        <v>6415</v>
      </c>
      <c r="AK22" s="118" t="s">
        <v>393</v>
      </c>
      <c r="AL22" s="118" t="s">
        <v>393</v>
      </c>
      <c r="AM22" s="118" t="s">
        <v>393</v>
      </c>
      <c r="AN22" s="118" t="s">
        <v>5975</v>
      </c>
      <c r="AO22" s="402">
        <v>44210</v>
      </c>
      <c r="AP22" s="118">
        <v>1</v>
      </c>
      <c r="AQ22" s="14">
        <v>14</v>
      </c>
      <c r="AR22" s="118" t="s">
        <v>6447</v>
      </c>
      <c r="AS22" t="s">
        <v>392</v>
      </c>
      <c r="AT22" s="118" t="s">
        <v>500</v>
      </c>
      <c r="AU22" s="118" t="s">
        <v>404</v>
      </c>
      <c r="AV22" s="118" t="s">
        <v>508</v>
      </c>
      <c r="AW22" s="118" t="s">
        <v>393</v>
      </c>
      <c r="AX22" s="118" t="s">
        <v>740</v>
      </c>
      <c r="AY22" s="118" t="s">
        <v>393</v>
      </c>
      <c r="AZ22" s="118" t="s">
        <v>393</v>
      </c>
      <c r="BA22" s="118" t="s">
        <v>393</v>
      </c>
      <c r="BB22" s="118" t="s">
        <v>393</v>
      </c>
      <c r="BC22" s="118" t="s">
        <v>393</v>
      </c>
      <c r="BD22" s="118" t="s">
        <v>393</v>
      </c>
      <c r="BE22" s="118" t="s">
        <v>393</v>
      </c>
      <c r="BF22" s="118" t="s">
        <v>740</v>
      </c>
      <c r="BG22" s="118" t="s">
        <v>393</v>
      </c>
      <c r="BH22" s="118" t="s">
        <v>394</v>
      </c>
      <c r="BI22" s="118" t="s">
        <v>394</v>
      </c>
      <c r="BJ22" s="118" t="s">
        <v>393</v>
      </c>
      <c r="BK22" s="118" t="s">
        <v>6988</v>
      </c>
      <c r="BL22" s="118" t="s">
        <v>6415</v>
      </c>
      <c r="BM22" s="118" t="s">
        <v>6990</v>
      </c>
      <c r="BN22" s="118" t="s">
        <v>6991</v>
      </c>
      <c r="BO22" s="118" t="s">
        <v>6415</v>
      </c>
      <c r="BP22" s="118" t="s">
        <v>6415</v>
      </c>
      <c r="BQ22" s="118" t="s">
        <v>6415</v>
      </c>
      <c r="BR22" s="118" t="s">
        <v>6415</v>
      </c>
      <c r="BS22" s="118" t="s">
        <v>261</v>
      </c>
      <c r="BT22" s="118" t="s">
        <v>1791</v>
      </c>
      <c r="BU22" s="118" t="s">
        <v>6991</v>
      </c>
      <c r="BV22" s="118" t="s">
        <v>6415</v>
      </c>
      <c r="BW22" s="118" t="s">
        <v>6415</v>
      </c>
      <c r="BX22" s="118" t="s">
        <v>6415</v>
      </c>
      <c r="BY22" s="118" t="s">
        <v>6415</v>
      </c>
      <c r="BZ22" s="118" t="s">
        <v>6415</v>
      </c>
      <c r="CA22" s="118" t="s">
        <v>6415</v>
      </c>
      <c r="CB22" s="118" t="s">
        <v>221</v>
      </c>
      <c r="CC22" s="118" t="s">
        <v>740</v>
      </c>
      <c r="CD22" s="118">
        <v>1</v>
      </c>
      <c r="CE22" s="118" t="s">
        <v>406</v>
      </c>
      <c r="CF22" s="118" t="s">
        <v>411</v>
      </c>
      <c r="CG22" s="118" t="s">
        <v>230</v>
      </c>
      <c r="CH22" s="118" t="s">
        <v>6300</v>
      </c>
      <c r="CI22" s="118" t="s">
        <v>6304</v>
      </c>
      <c r="CJ22" s="118" t="s">
        <v>398</v>
      </c>
      <c r="CK22" s="14">
        <v>35</v>
      </c>
      <c r="CL22" s="118">
        <v>35</v>
      </c>
      <c r="CM22" s="118" t="s">
        <v>436</v>
      </c>
      <c r="CN22" s="118" t="s">
        <v>451</v>
      </c>
      <c r="CO22" s="118" t="s">
        <v>461</v>
      </c>
      <c r="CP22" s="118" t="s">
        <v>400</v>
      </c>
      <c r="CQ22" s="118" t="s">
        <v>452</v>
      </c>
      <c r="CR22" s="118" t="s">
        <v>461</v>
      </c>
      <c r="CS22" s="118" t="s">
        <v>6415</v>
      </c>
      <c r="CT22" s="118" t="s">
        <v>6415</v>
      </c>
      <c r="CU22" s="118" t="s">
        <v>6415</v>
      </c>
      <c r="CV22" s="118" t="s">
        <v>6415</v>
      </c>
      <c r="CW22" s="14">
        <v>45</v>
      </c>
      <c r="CX22" s="118" t="s">
        <v>1066</v>
      </c>
      <c r="CY22" s="118" t="s">
        <v>6341</v>
      </c>
      <c r="CZ22" s="118">
        <v>2</v>
      </c>
      <c r="DA22" s="118" t="s">
        <v>406</v>
      </c>
      <c r="DB22" s="118" t="s">
        <v>405</v>
      </c>
      <c r="DC22" s="118" t="s">
        <v>6415</v>
      </c>
      <c r="DD22" s="118" t="s">
        <v>6300</v>
      </c>
      <c r="DE22" s="118" t="s">
        <v>6303</v>
      </c>
      <c r="DF22" s="118" t="s">
        <v>398</v>
      </c>
      <c r="DG22" s="14">
        <v>35</v>
      </c>
      <c r="DH22" s="118">
        <v>35</v>
      </c>
      <c r="DI22" s="118" t="s">
        <v>399</v>
      </c>
      <c r="DJ22" s="118" t="s">
        <v>398</v>
      </c>
      <c r="DK22" s="118" t="s">
        <v>400</v>
      </c>
      <c r="DL22" s="118" t="s">
        <v>6415</v>
      </c>
      <c r="DM22" s="118" t="s">
        <v>6415</v>
      </c>
      <c r="DN22" s="118" t="s">
        <v>6415</v>
      </c>
      <c r="DO22" s="118" t="s">
        <v>6415</v>
      </c>
      <c r="DP22" s="118" t="s">
        <v>6415</v>
      </c>
      <c r="DQ22" s="118" t="s">
        <v>6415</v>
      </c>
      <c r="DR22" s="118">
        <v>22</v>
      </c>
      <c r="DS22" s="118" t="s">
        <v>1066</v>
      </c>
      <c r="DT22" s="118" t="s">
        <v>6341</v>
      </c>
      <c r="DU22" s="118" t="s">
        <v>6415</v>
      </c>
      <c r="DV22" s="118" t="s">
        <v>6415</v>
      </c>
      <c r="DW22" s="118" t="s">
        <v>6415</v>
      </c>
      <c r="DX22" s="118" t="s">
        <v>6415</v>
      </c>
      <c r="DY22" s="118" t="s">
        <v>6415</v>
      </c>
      <c r="DZ22" s="118" t="s">
        <v>6415</v>
      </c>
      <c r="EA22" s="118" t="s">
        <v>6415</v>
      </c>
      <c r="EB22" s="118" t="s">
        <v>6415</v>
      </c>
      <c r="EC22" s="118" t="s">
        <v>6415</v>
      </c>
      <c r="ED22" s="118" t="s">
        <v>6415</v>
      </c>
      <c r="EE22" s="118" t="s">
        <v>6415</v>
      </c>
      <c r="EF22" s="118" t="s">
        <v>6415</v>
      </c>
      <c r="EG22" s="118" t="s">
        <v>6994</v>
      </c>
      <c r="EH22" s="118" t="s">
        <v>6995</v>
      </c>
      <c r="EI22" s="118" t="s">
        <v>6415</v>
      </c>
      <c r="EJ22" s="118" t="s">
        <v>6415</v>
      </c>
      <c r="EK22" s="118" t="s">
        <v>6415</v>
      </c>
      <c r="EL22" s="118" t="s">
        <v>7467</v>
      </c>
      <c r="EM22" s="118" t="s">
        <v>6993</v>
      </c>
      <c r="EN22" s="118" t="s">
        <v>6415</v>
      </c>
      <c r="EO22" s="6" t="str">
        <f t="shared" si="10"/>
        <v>Pathweb</v>
      </c>
      <c r="EP22" s="6" t="str">
        <f t="shared" si="11"/>
        <v>Google Maps</v>
      </c>
      <c r="EQ22" s="6" t="str">
        <f t="shared" si="12"/>
        <v>Mashed Map</v>
      </c>
      <c r="ER22" s="118" t="s">
        <v>6727</v>
      </c>
      <c r="ES22" s="118" t="s">
        <v>6728</v>
      </c>
      <c r="ET22" s="4">
        <v>0</v>
      </c>
      <c r="EU22" s="4"/>
      <c r="EV22" s="4"/>
    </row>
    <row r="23" spans="1:152" x14ac:dyDescent="0.15">
      <c r="A23" s="581" t="str">
        <f t="shared" si="9"/>
        <v>Crash Report</v>
      </c>
      <c r="B23" s="118">
        <v>20213007015</v>
      </c>
      <c r="C23" s="118">
        <v>2021</v>
      </c>
      <c r="D23" s="118">
        <v>21011925971707</v>
      </c>
      <c r="F23" s="118" t="s">
        <v>6442</v>
      </c>
      <c r="G23" s="118" t="s">
        <v>438</v>
      </c>
      <c r="H23" s="118">
        <v>2</v>
      </c>
      <c r="I23" s="118" t="s">
        <v>6055</v>
      </c>
      <c r="J23" s="118" t="s">
        <v>391</v>
      </c>
      <c r="K23" s="118" t="s">
        <v>6997</v>
      </c>
      <c r="L23" s="118">
        <v>0.84199999999999997</v>
      </c>
      <c r="M23" s="118">
        <v>0.84199999999999997</v>
      </c>
      <c r="N23" s="118" t="s">
        <v>7469</v>
      </c>
      <c r="O23" s="118">
        <v>2</v>
      </c>
      <c r="P23" s="118">
        <v>41.649966999999997</v>
      </c>
      <c r="Q23" s="118">
        <v>-83.525019</v>
      </c>
      <c r="R23" s="118">
        <v>77000</v>
      </c>
      <c r="S23" s="118" t="s">
        <v>6988</v>
      </c>
      <c r="T23" s="118">
        <v>1</v>
      </c>
      <c r="U23" s="118">
        <v>0</v>
      </c>
      <c r="V23" s="118">
        <v>0</v>
      </c>
      <c r="W23" s="118">
        <v>0</v>
      </c>
      <c r="X23" s="118">
        <v>0</v>
      </c>
      <c r="Y23" s="118">
        <v>2</v>
      </c>
      <c r="Z23" s="118">
        <v>0</v>
      </c>
      <c r="AA23" s="118">
        <v>2</v>
      </c>
      <c r="AB23" s="118" t="s">
        <v>1067</v>
      </c>
      <c r="AC23" s="118" t="s">
        <v>6989</v>
      </c>
      <c r="AD23" s="118" t="s">
        <v>1034</v>
      </c>
      <c r="AE23" s="118" t="s">
        <v>943</v>
      </c>
      <c r="AF23" s="118" t="s">
        <v>1041</v>
      </c>
      <c r="AG23" s="118" t="s">
        <v>6415</v>
      </c>
      <c r="AH23" s="118" t="s">
        <v>393</v>
      </c>
      <c r="AI23" s="118">
        <v>2</v>
      </c>
      <c r="AJ23" s="118" t="s">
        <v>6415</v>
      </c>
      <c r="AK23" s="118" t="s">
        <v>393</v>
      </c>
      <c r="AL23" s="118" t="s">
        <v>393</v>
      </c>
      <c r="AM23" s="118" t="s">
        <v>393</v>
      </c>
      <c r="AN23" s="402" t="s">
        <v>5975</v>
      </c>
      <c r="AO23" s="402">
        <v>44215</v>
      </c>
      <c r="AP23" s="118">
        <v>1</v>
      </c>
      <c r="AQ23" s="118">
        <v>17</v>
      </c>
      <c r="AR23" s="118" t="s">
        <v>6445</v>
      </c>
      <c r="AS23" t="s">
        <v>403</v>
      </c>
      <c r="AT23" s="118" t="s">
        <v>500</v>
      </c>
      <c r="AU23" s="118" t="s">
        <v>6324</v>
      </c>
      <c r="AV23" s="118" t="s">
        <v>508</v>
      </c>
      <c r="AW23" s="118" t="s">
        <v>393</v>
      </c>
      <c r="AX23" s="118" t="s">
        <v>393</v>
      </c>
      <c r="AY23" s="118" t="s">
        <v>393</v>
      </c>
      <c r="AZ23" s="118" t="s">
        <v>393</v>
      </c>
      <c r="BA23" s="118" t="s">
        <v>393</v>
      </c>
      <c r="BB23" s="118" t="s">
        <v>393</v>
      </c>
      <c r="BC23" s="118" t="s">
        <v>393</v>
      </c>
      <c r="BD23" s="118" t="s">
        <v>393</v>
      </c>
      <c r="BE23" s="118" t="s">
        <v>393</v>
      </c>
      <c r="BF23" s="118" t="s">
        <v>393</v>
      </c>
      <c r="BG23" s="118" t="s">
        <v>393</v>
      </c>
      <c r="BH23" s="118" t="s">
        <v>394</v>
      </c>
      <c r="BI23" s="118" t="s">
        <v>394</v>
      </c>
      <c r="BJ23" s="118" t="s">
        <v>393</v>
      </c>
      <c r="BK23" s="118" t="s">
        <v>6988</v>
      </c>
      <c r="BL23" s="118" t="s">
        <v>6415</v>
      </c>
      <c r="BM23" s="118" t="s">
        <v>6992</v>
      </c>
      <c r="BN23" s="118" t="s">
        <v>6991</v>
      </c>
      <c r="BO23" s="118" t="s">
        <v>6415</v>
      </c>
      <c r="BP23" s="118" t="s">
        <v>6415</v>
      </c>
      <c r="BQ23" s="118" t="s">
        <v>6415</v>
      </c>
      <c r="BR23" s="118" t="s">
        <v>6415</v>
      </c>
      <c r="BS23" s="118" t="s">
        <v>6415</v>
      </c>
      <c r="BT23" s="118" t="s">
        <v>7000</v>
      </c>
      <c r="BU23" s="118" t="s">
        <v>6415</v>
      </c>
      <c r="BV23" s="118" t="s">
        <v>6415</v>
      </c>
      <c r="BW23" s="118" t="s">
        <v>6415</v>
      </c>
      <c r="BX23" s="118" t="s">
        <v>6415</v>
      </c>
      <c r="BY23" s="118" t="s">
        <v>6415</v>
      </c>
      <c r="BZ23" s="118">
        <v>2</v>
      </c>
      <c r="CA23" s="118" t="s">
        <v>6415</v>
      </c>
      <c r="CB23" s="118" t="s">
        <v>422</v>
      </c>
      <c r="CC23" s="118" t="s">
        <v>740</v>
      </c>
      <c r="CD23" s="118">
        <v>2</v>
      </c>
      <c r="CE23" s="118" t="s">
        <v>411</v>
      </c>
      <c r="CF23" s="118" t="s">
        <v>410</v>
      </c>
      <c r="CG23" s="118" t="s">
        <v>924</v>
      </c>
      <c r="CH23" s="118" t="s">
        <v>6302</v>
      </c>
      <c r="CI23" s="118" t="s">
        <v>6303</v>
      </c>
      <c r="CJ23" s="118" t="s">
        <v>398</v>
      </c>
      <c r="CK23" s="118">
        <v>20</v>
      </c>
      <c r="CL23" s="118">
        <v>25</v>
      </c>
      <c r="CM23" s="118" t="s">
        <v>399</v>
      </c>
      <c r="CN23" s="118" t="s">
        <v>458</v>
      </c>
      <c r="CO23" s="118" t="s">
        <v>1096</v>
      </c>
      <c r="CP23" s="118" t="s">
        <v>6369</v>
      </c>
      <c r="CQ23" s="118" t="s">
        <v>6415</v>
      </c>
      <c r="CR23" s="118" t="s">
        <v>6415</v>
      </c>
      <c r="CS23" s="118" t="s">
        <v>6415</v>
      </c>
      <c r="CT23" s="118" t="s">
        <v>6415</v>
      </c>
      <c r="CU23" s="118" t="s">
        <v>6415</v>
      </c>
      <c r="CV23" s="118" t="s">
        <v>6415</v>
      </c>
      <c r="CW23" s="118">
        <v>26</v>
      </c>
      <c r="CX23" s="118" t="s">
        <v>1068</v>
      </c>
      <c r="CY23" s="118" t="s">
        <v>6341</v>
      </c>
      <c r="CZ23" s="118">
        <v>1</v>
      </c>
      <c r="DA23" s="118" t="s">
        <v>410</v>
      </c>
      <c r="DB23" s="118" t="s">
        <v>411</v>
      </c>
      <c r="DC23" s="118" t="s">
        <v>6415</v>
      </c>
      <c r="DD23" s="118" t="s">
        <v>6302</v>
      </c>
      <c r="DE23" s="118" t="s">
        <v>417</v>
      </c>
      <c r="DF23" s="118" t="s">
        <v>398</v>
      </c>
      <c r="DG23" s="118">
        <v>20</v>
      </c>
      <c r="DH23" s="118">
        <v>25</v>
      </c>
      <c r="DI23" s="118" t="s">
        <v>399</v>
      </c>
      <c r="DJ23" s="118" t="s">
        <v>398</v>
      </c>
      <c r="DK23" s="118" t="s">
        <v>6369</v>
      </c>
      <c r="DL23" s="118" t="s">
        <v>6415</v>
      </c>
      <c r="DM23" s="118" t="s">
        <v>6415</v>
      </c>
      <c r="DN23" s="118" t="s">
        <v>6415</v>
      </c>
      <c r="DO23" s="118" t="s">
        <v>6415</v>
      </c>
      <c r="DP23" s="118" t="s">
        <v>6415</v>
      </c>
      <c r="DQ23" s="118" t="s">
        <v>6415</v>
      </c>
      <c r="DR23" s="118">
        <v>49</v>
      </c>
      <c r="DS23" s="118" t="s">
        <v>1066</v>
      </c>
      <c r="DT23" s="118" t="s">
        <v>6341</v>
      </c>
      <c r="DU23" s="118" t="s">
        <v>6415</v>
      </c>
      <c r="DV23" s="118" t="s">
        <v>6415</v>
      </c>
      <c r="DW23" s="118" t="s">
        <v>6415</v>
      </c>
      <c r="DX23" s="118" t="s">
        <v>6415</v>
      </c>
      <c r="DY23" s="118" t="s">
        <v>6415</v>
      </c>
      <c r="DZ23" s="118" t="s">
        <v>6415</v>
      </c>
      <c r="EA23" s="118" t="s">
        <v>6415</v>
      </c>
      <c r="EB23" s="118" t="s">
        <v>6415</v>
      </c>
      <c r="EC23" s="118" t="s">
        <v>6415</v>
      </c>
      <c r="ED23" s="118" t="s">
        <v>6415</v>
      </c>
      <c r="EE23" s="118" t="s">
        <v>6415</v>
      </c>
      <c r="EF23" s="118" t="s">
        <v>6415</v>
      </c>
      <c r="EG23" s="118" t="s">
        <v>6998</v>
      </c>
      <c r="EH23" s="118" t="s">
        <v>6999</v>
      </c>
      <c r="EI23" s="118" t="s">
        <v>6415</v>
      </c>
      <c r="EJ23" s="118" t="s">
        <v>6415</v>
      </c>
      <c r="EK23" s="118" t="s">
        <v>6415</v>
      </c>
      <c r="EL23" s="118" t="s">
        <v>7467</v>
      </c>
      <c r="EM23" s="118" t="s">
        <v>6996</v>
      </c>
      <c r="EN23" s="118" t="s">
        <v>6415</v>
      </c>
      <c r="EO23" s="6" t="str">
        <f t="shared" si="10"/>
        <v>Pathweb</v>
      </c>
      <c r="EP23" s="6" t="str">
        <f t="shared" si="11"/>
        <v>Google Maps</v>
      </c>
      <c r="EQ23" s="6" t="str">
        <f t="shared" si="12"/>
        <v>Mashed Map</v>
      </c>
      <c r="ER23" s="118" t="s">
        <v>6727</v>
      </c>
      <c r="ES23" s="118" t="s">
        <v>71</v>
      </c>
      <c r="ET23" s="4">
        <v>0.114</v>
      </c>
      <c r="EU23" s="4"/>
      <c r="EV23" s="4"/>
    </row>
    <row r="24" spans="1:152" x14ac:dyDescent="0.15">
      <c r="A24" s="581" t="str">
        <f t="shared" si="9"/>
        <v>Crash Report</v>
      </c>
      <c r="B24" s="118">
        <v>20213008495</v>
      </c>
      <c r="C24" s="118">
        <v>2021</v>
      </c>
      <c r="D24" s="118">
        <v>21012127741725</v>
      </c>
      <c r="F24" s="118" t="s">
        <v>6442</v>
      </c>
      <c r="G24" s="118" t="s">
        <v>390</v>
      </c>
      <c r="H24" s="118">
        <v>2</v>
      </c>
      <c r="I24" s="118" t="s">
        <v>6055</v>
      </c>
      <c r="J24" s="118" t="s">
        <v>391</v>
      </c>
      <c r="K24" s="118" t="s">
        <v>6985</v>
      </c>
      <c r="L24" s="118">
        <v>0.27100000000000002</v>
      </c>
      <c r="M24" s="118">
        <v>0.27100000000000002</v>
      </c>
      <c r="N24" s="118" t="s">
        <v>7465</v>
      </c>
      <c r="O24" s="118" t="s">
        <v>7470</v>
      </c>
      <c r="P24" s="118">
        <v>41.649611999999998</v>
      </c>
      <c r="Q24" s="118">
        <v>-83.521654999999996</v>
      </c>
      <c r="R24" s="118">
        <v>77000</v>
      </c>
      <c r="S24" s="118" t="s">
        <v>6988</v>
      </c>
      <c r="T24" s="118">
        <v>1</v>
      </c>
      <c r="U24" s="118">
        <v>0</v>
      </c>
      <c r="V24" s="118">
        <v>0</v>
      </c>
      <c r="W24" s="118">
        <v>0</v>
      </c>
      <c r="X24" s="118">
        <v>0</v>
      </c>
      <c r="Y24" s="118">
        <v>2</v>
      </c>
      <c r="Z24" s="118">
        <v>0</v>
      </c>
      <c r="AA24" s="118">
        <v>2</v>
      </c>
      <c r="AB24" s="118" t="s">
        <v>1067</v>
      </c>
      <c r="AC24" s="118" t="s">
        <v>6989</v>
      </c>
      <c r="AD24" s="118" t="s">
        <v>1034</v>
      </c>
      <c r="AE24" s="118" t="s">
        <v>943</v>
      </c>
      <c r="AF24" s="118" t="s">
        <v>1041</v>
      </c>
      <c r="AG24" s="118" t="s">
        <v>6415</v>
      </c>
      <c r="AH24" s="118" t="s">
        <v>393</v>
      </c>
      <c r="AI24" s="118">
        <v>4</v>
      </c>
      <c r="AJ24" s="118" t="s">
        <v>6415</v>
      </c>
      <c r="AK24" s="118" t="s">
        <v>393</v>
      </c>
      <c r="AL24" s="118" t="s">
        <v>393</v>
      </c>
      <c r="AM24" s="118" t="s">
        <v>393</v>
      </c>
      <c r="AN24" s="402" t="s">
        <v>5975</v>
      </c>
      <c r="AO24" s="402">
        <v>44217</v>
      </c>
      <c r="AP24" s="118">
        <v>1</v>
      </c>
      <c r="AQ24" s="118">
        <v>17</v>
      </c>
      <c r="AR24" s="118" t="s">
        <v>6447</v>
      </c>
      <c r="AS24" t="s">
        <v>392</v>
      </c>
      <c r="AT24" s="118" t="s">
        <v>500</v>
      </c>
      <c r="AU24" s="118" t="s">
        <v>404</v>
      </c>
      <c r="AV24" s="118" t="s">
        <v>508</v>
      </c>
      <c r="AW24" s="118" t="s">
        <v>393</v>
      </c>
      <c r="AX24" s="118" t="s">
        <v>393</v>
      </c>
      <c r="AY24" s="118" t="s">
        <v>393</v>
      </c>
      <c r="AZ24" s="118" t="s">
        <v>393</v>
      </c>
      <c r="BA24" s="118" t="s">
        <v>393</v>
      </c>
      <c r="BB24" s="118" t="s">
        <v>393</v>
      </c>
      <c r="BC24" s="118" t="s">
        <v>393</v>
      </c>
      <c r="BD24" s="118" t="s">
        <v>393</v>
      </c>
      <c r="BE24" s="118" t="s">
        <v>740</v>
      </c>
      <c r="BF24" s="118" t="s">
        <v>740</v>
      </c>
      <c r="BG24" s="118" t="s">
        <v>393</v>
      </c>
      <c r="BH24" s="118" t="s">
        <v>394</v>
      </c>
      <c r="BI24" s="118" t="s">
        <v>394</v>
      </c>
      <c r="BJ24" s="118" t="s">
        <v>393</v>
      </c>
      <c r="BK24" s="118" t="s">
        <v>6988</v>
      </c>
      <c r="BL24" s="118" t="s">
        <v>6415</v>
      </c>
      <c r="BM24" s="118" t="s">
        <v>6990</v>
      </c>
      <c r="BN24" s="118" t="s">
        <v>6991</v>
      </c>
      <c r="BO24" s="118" t="s">
        <v>6415</v>
      </c>
      <c r="BP24" s="118" t="s">
        <v>6415</v>
      </c>
      <c r="BQ24" s="118" t="s">
        <v>6415</v>
      </c>
      <c r="BR24" s="118" t="s">
        <v>6415</v>
      </c>
      <c r="BS24" s="118" t="s">
        <v>6415</v>
      </c>
      <c r="BT24" s="118" t="s">
        <v>7004</v>
      </c>
      <c r="BU24" s="118" t="s">
        <v>6991</v>
      </c>
      <c r="BV24" s="118" t="s">
        <v>6415</v>
      </c>
      <c r="BW24" s="118" t="s">
        <v>6415</v>
      </c>
      <c r="BX24" s="118" t="s">
        <v>6415</v>
      </c>
      <c r="BY24" s="118" t="s">
        <v>6415</v>
      </c>
      <c r="BZ24" s="118" t="s">
        <v>6415</v>
      </c>
      <c r="CA24" s="118" t="s">
        <v>6415</v>
      </c>
      <c r="CB24" s="118" t="s">
        <v>221</v>
      </c>
      <c r="CC24" s="118" t="s">
        <v>740</v>
      </c>
      <c r="CD24" s="118">
        <v>2</v>
      </c>
      <c r="CE24" s="118" t="s">
        <v>410</v>
      </c>
      <c r="CF24" s="118" t="s">
        <v>411</v>
      </c>
      <c r="CG24" s="118" t="s">
        <v>924</v>
      </c>
      <c r="CH24" s="118" t="s">
        <v>6302</v>
      </c>
      <c r="CI24" s="118" t="s">
        <v>6303</v>
      </c>
      <c r="CJ24" s="118" t="s">
        <v>398</v>
      </c>
      <c r="CK24" s="14">
        <v>25</v>
      </c>
      <c r="CL24" s="118">
        <v>35</v>
      </c>
      <c r="CM24" s="118" t="s">
        <v>399</v>
      </c>
      <c r="CN24" s="118" t="s">
        <v>6512</v>
      </c>
      <c r="CO24" s="118" t="s">
        <v>1096</v>
      </c>
      <c r="CP24" s="118" t="s">
        <v>400</v>
      </c>
      <c r="CQ24" s="118" t="s">
        <v>6415</v>
      </c>
      <c r="CR24" s="118" t="s">
        <v>6415</v>
      </c>
      <c r="CS24" s="118" t="s">
        <v>6415</v>
      </c>
      <c r="CT24" s="118" t="s">
        <v>6415</v>
      </c>
      <c r="CU24" s="118" t="s">
        <v>6415</v>
      </c>
      <c r="CV24" s="118" t="s">
        <v>6415</v>
      </c>
      <c r="CW24" s="14">
        <v>79</v>
      </c>
      <c r="CX24" s="118" t="s">
        <v>1068</v>
      </c>
      <c r="CY24" s="118" t="s">
        <v>6341</v>
      </c>
      <c r="CZ24" s="118">
        <v>1</v>
      </c>
      <c r="DA24" s="118" t="s">
        <v>410</v>
      </c>
      <c r="DB24" s="118" t="s">
        <v>411</v>
      </c>
      <c r="DC24" s="118" t="s">
        <v>6415</v>
      </c>
      <c r="DD24" s="118" t="s">
        <v>6302</v>
      </c>
      <c r="DE24" s="118" t="s">
        <v>6303</v>
      </c>
      <c r="DF24" s="118" t="s">
        <v>398</v>
      </c>
      <c r="DG24" s="14">
        <v>25</v>
      </c>
      <c r="DH24" s="118">
        <v>35</v>
      </c>
      <c r="DI24" s="118" t="s">
        <v>399</v>
      </c>
      <c r="DJ24" s="118" t="s">
        <v>398</v>
      </c>
      <c r="DK24" s="118" t="s">
        <v>400</v>
      </c>
      <c r="DL24" s="118" t="s">
        <v>6415</v>
      </c>
      <c r="DM24" s="118" t="s">
        <v>6415</v>
      </c>
      <c r="DN24" s="118" t="s">
        <v>6415</v>
      </c>
      <c r="DO24" s="118" t="s">
        <v>6415</v>
      </c>
      <c r="DP24" s="118" t="s">
        <v>6415</v>
      </c>
      <c r="DQ24" s="118" t="s">
        <v>6415</v>
      </c>
      <c r="DR24" s="118">
        <v>19</v>
      </c>
      <c r="DS24" s="118" t="s">
        <v>1068</v>
      </c>
      <c r="DT24" s="118" t="s">
        <v>6341</v>
      </c>
      <c r="DU24" s="118" t="s">
        <v>6415</v>
      </c>
      <c r="DV24" s="118" t="s">
        <v>6415</v>
      </c>
      <c r="DW24" s="118" t="s">
        <v>6415</v>
      </c>
      <c r="DX24" s="118" t="s">
        <v>6415</v>
      </c>
      <c r="DY24" s="118" t="s">
        <v>6415</v>
      </c>
      <c r="DZ24" s="118" t="s">
        <v>6415</v>
      </c>
      <c r="EA24" s="118" t="s">
        <v>6415</v>
      </c>
      <c r="EB24" s="118" t="s">
        <v>6415</v>
      </c>
      <c r="EC24" s="118" t="s">
        <v>6415</v>
      </c>
      <c r="ED24" s="118" t="s">
        <v>6415</v>
      </c>
      <c r="EE24" s="118" t="s">
        <v>6415</v>
      </c>
      <c r="EF24" s="118" t="s">
        <v>6415</v>
      </c>
      <c r="EG24" s="118" t="s">
        <v>7002</v>
      </c>
      <c r="EH24" s="118" t="s">
        <v>7003</v>
      </c>
      <c r="EI24" s="118" t="s">
        <v>6415</v>
      </c>
      <c r="EJ24" s="118" t="s">
        <v>6415</v>
      </c>
      <c r="EK24" s="118" t="s">
        <v>6415</v>
      </c>
      <c r="EL24" s="118" t="s">
        <v>7467</v>
      </c>
      <c r="EM24" s="118" t="s">
        <v>7001</v>
      </c>
      <c r="EN24" s="118" t="s">
        <v>6415</v>
      </c>
      <c r="EO24" s="6" t="str">
        <f t="shared" si="10"/>
        <v>Pathweb</v>
      </c>
      <c r="EP24" s="6" t="str">
        <f t="shared" si="11"/>
        <v>Google Maps</v>
      </c>
      <c r="EQ24" s="6" t="str">
        <f t="shared" si="12"/>
        <v>Mashed Map</v>
      </c>
      <c r="ER24" s="118" t="s">
        <v>6727</v>
      </c>
      <c r="ES24" s="118" t="s">
        <v>71</v>
      </c>
      <c r="ET24" s="4">
        <v>6.0000000000000001E-3</v>
      </c>
      <c r="EU24" s="4"/>
      <c r="EV24" s="4"/>
    </row>
    <row r="25" spans="1:152" x14ac:dyDescent="0.15">
      <c r="A25" s="581" t="str">
        <f t="shared" si="9"/>
        <v>Crash Report</v>
      </c>
      <c r="B25" s="14">
        <v>20213010833</v>
      </c>
      <c r="C25" s="118">
        <v>2021</v>
      </c>
      <c r="D25" s="14">
        <v>21012626991714</v>
      </c>
      <c r="F25" s="118" t="s">
        <v>6442</v>
      </c>
      <c r="G25" s="118" t="s">
        <v>402</v>
      </c>
      <c r="H25" s="118">
        <v>2</v>
      </c>
      <c r="I25" s="118" t="s">
        <v>6055</v>
      </c>
      <c r="J25" s="118" t="s">
        <v>423</v>
      </c>
      <c r="K25" s="118" t="s">
        <v>6985</v>
      </c>
      <c r="L25" s="118">
        <v>1.0720000000000001</v>
      </c>
      <c r="M25" s="118">
        <v>1.0720000000000001</v>
      </c>
      <c r="N25" s="118" t="s">
        <v>7465</v>
      </c>
      <c r="O25" s="118" t="s">
        <v>7471</v>
      </c>
      <c r="P25" s="118">
        <v>41.656886999999998</v>
      </c>
      <c r="Q25" s="118">
        <v>-83.509607000000003</v>
      </c>
      <c r="R25" s="118">
        <v>77000</v>
      </c>
      <c r="S25" s="118" t="s">
        <v>6988</v>
      </c>
      <c r="T25" s="118">
        <v>1</v>
      </c>
      <c r="U25" s="118">
        <v>0</v>
      </c>
      <c r="V25" s="118">
        <v>0</v>
      </c>
      <c r="W25" s="118">
        <v>0</v>
      </c>
      <c r="X25" s="118">
        <v>0</v>
      </c>
      <c r="Y25" s="118">
        <v>3</v>
      </c>
      <c r="Z25" s="118">
        <v>1</v>
      </c>
      <c r="AA25" s="118">
        <v>2</v>
      </c>
      <c r="AB25" s="118" t="s">
        <v>1067</v>
      </c>
      <c r="AC25" s="118" t="s">
        <v>6989</v>
      </c>
      <c r="AD25" s="118" t="s">
        <v>1034</v>
      </c>
      <c r="AE25" s="118" t="s">
        <v>943</v>
      </c>
      <c r="AF25" s="118" t="s">
        <v>1041</v>
      </c>
      <c r="AG25" s="118" t="s">
        <v>6415</v>
      </c>
      <c r="AH25" s="118" t="s">
        <v>393</v>
      </c>
      <c r="AI25" s="118">
        <v>4</v>
      </c>
      <c r="AJ25" s="118" t="s">
        <v>6415</v>
      </c>
      <c r="AK25" s="118" t="s">
        <v>393</v>
      </c>
      <c r="AL25" s="118" t="s">
        <v>393</v>
      </c>
      <c r="AM25" s="118" t="s">
        <v>393</v>
      </c>
      <c r="AN25" s="402" t="s">
        <v>5975</v>
      </c>
      <c r="AO25" s="402">
        <v>44222</v>
      </c>
      <c r="AP25" s="118">
        <v>1</v>
      </c>
      <c r="AQ25" s="118">
        <v>17</v>
      </c>
      <c r="AR25" s="118" t="s">
        <v>6445</v>
      </c>
      <c r="AS25" t="s">
        <v>403</v>
      </c>
      <c r="AT25" s="118" t="s">
        <v>225</v>
      </c>
      <c r="AU25" s="118" t="s">
        <v>6324</v>
      </c>
      <c r="AV25" s="118" t="s">
        <v>508</v>
      </c>
      <c r="AW25" s="118" t="s">
        <v>393</v>
      </c>
      <c r="AX25" s="118" t="s">
        <v>740</v>
      </c>
      <c r="AY25" s="118" t="s">
        <v>393</v>
      </c>
      <c r="AZ25" s="118" t="s">
        <v>393</v>
      </c>
      <c r="BA25" s="118" t="s">
        <v>393</v>
      </c>
      <c r="BB25" s="118" t="s">
        <v>393</v>
      </c>
      <c r="BC25" s="118" t="s">
        <v>393</v>
      </c>
      <c r="BD25" s="118" t="s">
        <v>393</v>
      </c>
      <c r="BE25" s="118" t="s">
        <v>393</v>
      </c>
      <c r="BF25" s="118" t="s">
        <v>740</v>
      </c>
      <c r="BG25" s="118" t="s">
        <v>393</v>
      </c>
      <c r="BH25" s="118" t="s">
        <v>394</v>
      </c>
      <c r="BI25" s="118" t="s">
        <v>394</v>
      </c>
      <c r="BJ25" s="118" t="s">
        <v>393</v>
      </c>
      <c r="BK25" s="118" t="s">
        <v>6988</v>
      </c>
      <c r="BL25" s="118" t="s">
        <v>6415</v>
      </c>
      <c r="BM25" s="118" t="s">
        <v>6990</v>
      </c>
      <c r="BN25" s="118" t="s">
        <v>6991</v>
      </c>
      <c r="BO25" s="118" t="s">
        <v>6415</v>
      </c>
      <c r="BP25" s="118" t="s">
        <v>6415</v>
      </c>
      <c r="BQ25" s="118" t="s">
        <v>6415</v>
      </c>
      <c r="BR25" s="118" t="s">
        <v>6415</v>
      </c>
      <c r="BS25" s="118" t="s">
        <v>6415</v>
      </c>
      <c r="BT25" s="118" t="s">
        <v>7008</v>
      </c>
      <c r="BU25" s="118" t="s">
        <v>6991</v>
      </c>
      <c r="BV25" s="118" t="s">
        <v>6415</v>
      </c>
      <c r="BW25" s="118" t="s">
        <v>6415</v>
      </c>
      <c r="BX25" s="118" t="s">
        <v>6415</v>
      </c>
      <c r="BY25" s="118" t="s">
        <v>6415</v>
      </c>
      <c r="BZ25" s="118" t="s">
        <v>6415</v>
      </c>
      <c r="CA25" s="118" t="s">
        <v>6415</v>
      </c>
      <c r="CB25" s="118" t="s">
        <v>221</v>
      </c>
      <c r="CC25" s="118" t="s">
        <v>740</v>
      </c>
      <c r="CD25" s="118">
        <v>2</v>
      </c>
      <c r="CE25" s="118" t="s">
        <v>410</v>
      </c>
      <c r="CF25" s="118" t="s">
        <v>411</v>
      </c>
      <c r="CG25" s="118" t="s">
        <v>924</v>
      </c>
      <c r="CH25" s="118" t="s">
        <v>6300</v>
      </c>
      <c r="CI25" s="118" t="s">
        <v>6304</v>
      </c>
      <c r="CJ25" s="118" t="s">
        <v>398</v>
      </c>
      <c r="CK25" s="14">
        <v>35</v>
      </c>
      <c r="CL25" s="118">
        <v>35</v>
      </c>
      <c r="CM25" s="118" t="s">
        <v>463</v>
      </c>
      <c r="CN25" s="118" t="s">
        <v>398</v>
      </c>
      <c r="CO25" s="118" t="s">
        <v>1096</v>
      </c>
      <c r="CP25" s="118" t="s">
        <v>400</v>
      </c>
      <c r="CQ25" s="118" t="s">
        <v>6415</v>
      </c>
      <c r="CR25" s="118" t="s">
        <v>6415</v>
      </c>
      <c r="CS25" s="118" t="s">
        <v>6415</v>
      </c>
      <c r="CT25" s="118" t="s">
        <v>6415</v>
      </c>
      <c r="CU25" s="118" t="s">
        <v>6415</v>
      </c>
      <c r="CV25" s="118" t="s">
        <v>6415</v>
      </c>
      <c r="CW25" s="14">
        <v>32</v>
      </c>
      <c r="CX25" s="118" t="s">
        <v>1068</v>
      </c>
      <c r="CY25" s="118" t="s">
        <v>6151</v>
      </c>
      <c r="CZ25" s="118">
        <v>1</v>
      </c>
      <c r="DA25" s="118" t="s">
        <v>410</v>
      </c>
      <c r="DB25" s="118" t="s">
        <v>411</v>
      </c>
      <c r="DC25" s="118" t="s">
        <v>6415</v>
      </c>
      <c r="DD25" s="118" t="s">
        <v>6300</v>
      </c>
      <c r="DE25" s="118" t="s">
        <v>6303</v>
      </c>
      <c r="DF25" s="118" t="s">
        <v>398</v>
      </c>
      <c r="DG25" s="14">
        <v>35</v>
      </c>
      <c r="DH25" s="118">
        <v>35</v>
      </c>
      <c r="DI25" s="118" t="s">
        <v>399</v>
      </c>
      <c r="DJ25" s="118" t="s">
        <v>398</v>
      </c>
      <c r="DK25" s="118" t="s">
        <v>400</v>
      </c>
      <c r="DL25" s="118" t="s">
        <v>6415</v>
      </c>
      <c r="DM25" s="118" t="s">
        <v>6415</v>
      </c>
      <c r="DN25" s="118" t="s">
        <v>6415</v>
      </c>
      <c r="DO25" s="118" t="s">
        <v>6415</v>
      </c>
      <c r="DP25" s="118" t="s">
        <v>6415</v>
      </c>
      <c r="DQ25" s="118" t="s">
        <v>6415</v>
      </c>
      <c r="DR25" s="118">
        <v>19</v>
      </c>
      <c r="DS25" s="118" t="s">
        <v>1068</v>
      </c>
      <c r="DT25" s="118" t="s">
        <v>6341</v>
      </c>
      <c r="DU25" s="118" t="s">
        <v>6415</v>
      </c>
      <c r="DV25" s="118" t="s">
        <v>6415</v>
      </c>
      <c r="DW25" s="118" t="s">
        <v>6415</v>
      </c>
      <c r="DX25" s="118" t="s">
        <v>6415</v>
      </c>
      <c r="DY25" s="118" t="s">
        <v>6415</v>
      </c>
      <c r="DZ25" s="118" t="s">
        <v>6415</v>
      </c>
      <c r="EA25" s="118" t="s">
        <v>6415</v>
      </c>
      <c r="EB25" s="118" t="s">
        <v>6415</v>
      </c>
      <c r="EC25" s="118" t="s">
        <v>6415</v>
      </c>
      <c r="ED25" s="118" t="s">
        <v>6415</v>
      </c>
      <c r="EE25" s="118" t="s">
        <v>6415</v>
      </c>
      <c r="EF25" s="118" t="s">
        <v>6415</v>
      </c>
      <c r="EG25" s="118" t="s">
        <v>7006</v>
      </c>
      <c r="EH25" s="118" t="s">
        <v>7007</v>
      </c>
      <c r="EI25" s="118" t="s">
        <v>6415</v>
      </c>
      <c r="EJ25" s="118" t="s">
        <v>6415</v>
      </c>
      <c r="EK25" s="118" t="s">
        <v>6415</v>
      </c>
      <c r="EL25" s="118" t="s">
        <v>7467</v>
      </c>
      <c r="EM25" s="118" t="s">
        <v>7005</v>
      </c>
      <c r="EN25" s="118" t="s">
        <v>6415</v>
      </c>
      <c r="EO25" s="6" t="str">
        <f t="shared" si="10"/>
        <v>Pathweb</v>
      </c>
      <c r="EP25" s="6" t="str">
        <f t="shared" si="11"/>
        <v>Google Maps</v>
      </c>
      <c r="EQ25" s="6" t="str">
        <f t="shared" si="12"/>
        <v>Mashed Map</v>
      </c>
      <c r="ER25" s="118" t="s">
        <v>6727</v>
      </c>
      <c r="ES25" s="118" t="s">
        <v>71</v>
      </c>
      <c r="ET25" s="4">
        <v>3.7999999999999999E-2</v>
      </c>
      <c r="EU25" s="4"/>
      <c r="EV25" s="4"/>
    </row>
    <row r="26" spans="1:152" x14ac:dyDescent="0.15">
      <c r="A26" s="581" t="str">
        <f t="shared" si="9"/>
        <v>Crash Report</v>
      </c>
      <c r="B26" s="14">
        <v>20213012029</v>
      </c>
      <c r="C26" s="118">
        <v>2021</v>
      </c>
      <c r="D26" s="14">
        <v>21012828021816</v>
      </c>
      <c r="F26" s="118" t="s">
        <v>6442</v>
      </c>
      <c r="G26" s="118" t="s">
        <v>402</v>
      </c>
      <c r="H26" s="118">
        <v>2</v>
      </c>
      <c r="I26" s="118" t="s">
        <v>6055</v>
      </c>
      <c r="J26" s="118" t="s">
        <v>391</v>
      </c>
      <c r="K26" s="118" t="s">
        <v>6985</v>
      </c>
      <c r="L26" s="118">
        <v>0.14899999999999999</v>
      </c>
      <c r="M26" s="118">
        <v>0.14899999999999999</v>
      </c>
      <c r="N26" s="118" t="s">
        <v>7465</v>
      </c>
      <c r="O26" s="118" t="s">
        <v>7466</v>
      </c>
      <c r="P26" s="118">
        <v>41.648505999999998</v>
      </c>
      <c r="Q26" s="118">
        <v>-83.523465999999999</v>
      </c>
      <c r="R26" s="118">
        <v>77000</v>
      </c>
      <c r="S26" s="118" t="s">
        <v>6988</v>
      </c>
      <c r="T26" s="118">
        <v>1</v>
      </c>
      <c r="U26" s="118">
        <v>0</v>
      </c>
      <c r="V26" s="118">
        <v>0</v>
      </c>
      <c r="W26" s="118">
        <v>0</v>
      </c>
      <c r="X26" s="118">
        <v>0</v>
      </c>
      <c r="Y26" s="118">
        <v>3</v>
      </c>
      <c r="Z26" s="118">
        <v>0</v>
      </c>
      <c r="AA26" s="118">
        <v>2</v>
      </c>
      <c r="AB26" s="118" t="s">
        <v>1067</v>
      </c>
      <c r="AC26" s="118" t="s">
        <v>6989</v>
      </c>
      <c r="AD26" s="118" t="s">
        <v>1034</v>
      </c>
      <c r="AE26" s="118" t="s">
        <v>943</v>
      </c>
      <c r="AF26" s="118" t="s">
        <v>1042</v>
      </c>
      <c r="AG26" s="118" t="s">
        <v>6415</v>
      </c>
      <c r="AH26" s="118" t="s">
        <v>393</v>
      </c>
      <c r="AI26" s="118">
        <v>4</v>
      </c>
      <c r="AJ26" s="118" t="s">
        <v>6415</v>
      </c>
      <c r="AK26" s="118" t="s">
        <v>393</v>
      </c>
      <c r="AL26" s="118" t="s">
        <v>393</v>
      </c>
      <c r="AM26" s="118" t="s">
        <v>393</v>
      </c>
      <c r="AN26" s="402" t="s">
        <v>5975</v>
      </c>
      <c r="AO26" s="402">
        <v>44224</v>
      </c>
      <c r="AP26" s="118">
        <v>1</v>
      </c>
      <c r="AQ26" s="118">
        <v>18</v>
      </c>
      <c r="AR26" s="118" t="s">
        <v>6447</v>
      </c>
      <c r="AS26" t="s">
        <v>392</v>
      </c>
      <c r="AT26" s="118" t="s">
        <v>500</v>
      </c>
      <c r="AU26" s="118" t="s">
        <v>505</v>
      </c>
      <c r="AV26" s="118" t="s">
        <v>508</v>
      </c>
      <c r="AW26" s="118" t="s">
        <v>393</v>
      </c>
      <c r="AX26" s="118" t="s">
        <v>393</v>
      </c>
      <c r="AY26" s="118" t="s">
        <v>393</v>
      </c>
      <c r="AZ26" s="118" t="s">
        <v>393</v>
      </c>
      <c r="BA26" s="118" t="s">
        <v>393</v>
      </c>
      <c r="BB26" s="118" t="s">
        <v>393</v>
      </c>
      <c r="BC26" s="118" t="s">
        <v>393</v>
      </c>
      <c r="BD26" s="118" t="s">
        <v>393</v>
      </c>
      <c r="BE26" s="118" t="s">
        <v>393</v>
      </c>
      <c r="BF26" s="118" t="s">
        <v>740</v>
      </c>
      <c r="BG26" s="118" t="s">
        <v>393</v>
      </c>
      <c r="BH26" s="118" t="s">
        <v>394</v>
      </c>
      <c r="BI26" s="118" t="s">
        <v>394</v>
      </c>
      <c r="BJ26" s="118" t="s">
        <v>393</v>
      </c>
      <c r="BK26" s="118" t="s">
        <v>6988</v>
      </c>
      <c r="BL26" s="118" t="s">
        <v>6415</v>
      </c>
      <c r="BM26" s="118" t="s">
        <v>6990</v>
      </c>
      <c r="BN26" s="118" t="s">
        <v>6991</v>
      </c>
      <c r="BO26" s="118" t="s">
        <v>6415</v>
      </c>
      <c r="BP26" s="118" t="s">
        <v>6415</v>
      </c>
      <c r="BQ26" s="118" t="s">
        <v>6415</v>
      </c>
      <c r="BR26" s="118" t="s">
        <v>6415</v>
      </c>
      <c r="BS26" s="118" t="s">
        <v>6415</v>
      </c>
      <c r="BT26" s="118" t="s">
        <v>6992</v>
      </c>
      <c r="BU26" s="118" t="s">
        <v>6991</v>
      </c>
      <c r="BV26" s="118" t="s">
        <v>6415</v>
      </c>
      <c r="BW26" s="118" t="s">
        <v>6415</v>
      </c>
      <c r="BX26" s="118" t="s">
        <v>6415</v>
      </c>
      <c r="BY26" s="118" t="s">
        <v>6415</v>
      </c>
      <c r="BZ26" s="118" t="s">
        <v>6415</v>
      </c>
      <c r="CA26" s="118" t="s">
        <v>6415</v>
      </c>
      <c r="CB26" s="118" t="s">
        <v>221</v>
      </c>
      <c r="CC26" s="118" t="s">
        <v>740</v>
      </c>
      <c r="CD26" s="118">
        <v>2</v>
      </c>
      <c r="CE26" s="118" t="s">
        <v>446</v>
      </c>
      <c r="CF26" s="118" t="s">
        <v>445</v>
      </c>
      <c r="CG26" s="118" t="s">
        <v>924</v>
      </c>
      <c r="CH26" s="118" t="s">
        <v>6302</v>
      </c>
      <c r="CI26" s="118" t="s">
        <v>6303</v>
      </c>
      <c r="CJ26" s="118" t="s">
        <v>398</v>
      </c>
      <c r="CK26" s="118">
        <v>20</v>
      </c>
      <c r="CL26" s="118">
        <v>25</v>
      </c>
      <c r="CM26" s="118" t="s">
        <v>399</v>
      </c>
      <c r="CN26" s="118" t="s">
        <v>6330</v>
      </c>
      <c r="CO26" s="118" t="s">
        <v>1096</v>
      </c>
      <c r="CP26" s="118" t="s">
        <v>400</v>
      </c>
      <c r="CQ26" s="118" t="s">
        <v>6415</v>
      </c>
      <c r="CR26" s="118" t="s">
        <v>6415</v>
      </c>
      <c r="CS26" s="118" t="s">
        <v>6415</v>
      </c>
      <c r="CT26" s="118" t="s">
        <v>6415</v>
      </c>
      <c r="CU26" s="118" t="s">
        <v>6415</v>
      </c>
      <c r="CV26" s="118" t="s">
        <v>6415</v>
      </c>
      <c r="CW26" s="118">
        <v>22</v>
      </c>
      <c r="CX26" s="118" t="s">
        <v>1068</v>
      </c>
      <c r="CY26" s="118" t="s">
        <v>6341</v>
      </c>
      <c r="CZ26" s="118">
        <v>1</v>
      </c>
      <c r="DA26" s="118" t="s">
        <v>446</v>
      </c>
      <c r="DB26" s="118" t="s">
        <v>445</v>
      </c>
      <c r="DC26" s="118" t="s">
        <v>6415</v>
      </c>
      <c r="DD26" s="118" t="s">
        <v>6302</v>
      </c>
      <c r="DE26" s="118" t="s">
        <v>417</v>
      </c>
      <c r="DF26" s="118" t="s">
        <v>398</v>
      </c>
      <c r="DG26" s="118">
        <v>15</v>
      </c>
      <c r="DH26" s="118">
        <v>25</v>
      </c>
      <c r="DI26" s="118" t="s">
        <v>399</v>
      </c>
      <c r="DJ26" s="118" t="s">
        <v>398</v>
      </c>
      <c r="DK26" s="118" t="s">
        <v>400</v>
      </c>
      <c r="DL26" s="118" t="s">
        <v>6415</v>
      </c>
      <c r="DM26" s="118" t="s">
        <v>6415</v>
      </c>
      <c r="DN26" s="118" t="s">
        <v>6415</v>
      </c>
      <c r="DO26" s="118" t="s">
        <v>6415</v>
      </c>
      <c r="DP26" s="118" t="s">
        <v>6415</v>
      </c>
      <c r="DQ26" s="118" t="s">
        <v>6415</v>
      </c>
      <c r="DR26" s="118">
        <v>28</v>
      </c>
      <c r="DS26" s="118" t="s">
        <v>1068</v>
      </c>
      <c r="DT26" s="118" t="s">
        <v>6341</v>
      </c>
      <c r="DU26" s="118" t="s">
        <v>6415</v>
      </c>
      <c r="DV26" s="118" t="s">
        <v>6415</v>
      </c>
      <c r="DW26" s="118" t="s">
        <v>6415</v>
      </c>
      <c r="DX26" s="118" t="s">
        <v>6415</v>
      </c>
      <c r="DY26" s="118" t="s">
        <v>6415</v>
      </c>
      <c r="DZ26" s="118" t="s">
        <v>6415</v>
      </c>
      <c r="EA26" s="118" t="s">
        <v>6415</v>
      </c>
      <c r="EB26" s="118" t="s">
        <v>6415</v>
      </c>
      <c r="EC26" s="118" t="s">
        <v>6415</v>
      </c>
      <c r="ED26" s="118" t="s">
        <v>6415</v>
      </c>
      <c r="EE26" s="118" t="s">
        <v>6415</v>
      </c>
      <c r="EF26" s="118" t="s">
        <v>6415</v>
      </c>
      <c r="EG26" s="118" t="s">
        <v>6986</v>
      </c>
      <c r="EH26" s="118" t="s">
        <v>6987</v>
      </c>
      <c r="EI26" s="118" t="s">
        <v>6415</v>
      </c>
      <c r="EJ26" s="118" t="s">
        <v>6415</v>
      </c>
      <c r="EK26" s="118" t="s">
        <v>6415</v>
      </c>
      <c r="EL26" s="118" t="s">
        <v>7467</v>
      </c>
      <c r="EM26" s="118" t="s">
        <v>7009</v>
      </c>
      <c r="EN26" s="118" t="s">
        <v>6415</v>
      </c>
      <c r="EO26" s="6" t="str">
        <f t="shared" si="10"/>
        <v>Pathweb</v>
      </c>
      <c r="EP26" s="6" t="str">
        <f t="shared" si="11"/>
        <v>Google Maps</v>
      </c>
      <c r="EQ26" s="6" t="str">
        <f t="shared" si="12"/>
        <v>Mashed Map</v>
      </c>
      <c r="ER26" s="118" t="s">
        <v>6727</v>
      </c>
      <c r="ES26" s="118" t="s">
        <v>71</v>
      </c>
      <c r="ET26" s="4">
        <v>6.0000000000000001E-3</v>
      </c>
      <c r="EU26" s="4"/>
      <c r="EV26" s="4"/>
    </row>
    <row r="27" spans="1:152" x14ac:dyDescent="0.15">
      <c r="A27" s="581" t="str">
        <f t="shared" si="9"/>
        <v>Crash Report</v>
      </c>
      <c r="B27" s="118">
        <v>20213012516</v>
      </c>
      <c r="C27" s="118">
        <v>2021</v>
      </c>
      <c r="D27" s="118">
        <v>21012927652353</v>
      </c>
      <c r="F27" s="118" t="s">
        <v>6442</v>
      </c>
      <c r="G27" s="118" t="s">
        <v>211</v>
      </c>
      <c r="H27" s="118">
        <v>2</v>
      </c>
      <c r="I27" s="118" t="s">
        <v>6055</v>
      </c>
      <c r="J27" s="118" t="s">
        <v>391</v>
      </c>
      <c r="K27" s="118" t="s">
        <v>6985</v>
      </c>
      <c r="L27" s="118">
        <v>0.30499999999999999</v>
      </c>
      <c r="M27" s="118">
        <v>0.30499999999999999</v>
      </c>
      <c r="N27" s="118" t="s">
        <v>7465</v>
      </c>
      <c r="O27" s="118">
        <v>802</v>
      </c>
      <c r="P27" s="118">
        <v>41.649951999999999</v>
      </c>
      <c r="Q27" s="118">
        <v>-83.521141</v>
      </c>
      <c r="R27" s="118">
        <v>77000</v>
      </c>
      <c r="S27" s="118" t="s">
        <v>6988</v>
      </c>
      <c r="T27" s="118">
        <v>1</v>
      </c>
      <c r="U27" s="118">
        <v>0</v>
      </c>
      <c r="V27" s="118">
        <v>0</v>
      </c>
      <c r="W27" s="118">
        <v>0</v>
      </c>
      <c r="X27" s="118">
        <v>0</v>
      </c>
      <c r="Y27" s="118">
        <v>2</v>
      </c>
      <c r="Z27" s="118">
        <v>0</v>
      </c>
      <c r="AA27" s="118">
        <v>2</v>
      </c>
      <c r="AB27" s="118" t="s">
        <v>1067</v>
      </c>
      <c r="AC27" s="118" t="s">
        <v>6989</v>
      </c>
      <c r="AD27" s="118" t="s">
        <v>1034</v>
      </c>
      <c r="AE27" s="118" t="s">
        <v>943</v>
      </c>
      <c r="AF27" s="118" t="s">
        <v>1041</v>
      </c>
      <c r="AG27" s="118" t="s">
        <v>6415</v>
      </c>
      <c r="AH27" s="118" t="s">
        <v>393</v>
      </c>
      <c r="AI27" s="118">
        <v>4</v>
      </c>
      <c r="AJ27" s="118" t="s">
        <v>6415</v>
      </c>
      <c r="AK27" s="118" t="s">
        <v>393</v>
      </c>
      <c r="AL27" s="118" t="s">
        <v>393</v>
      </c>
      <c r="AM27" s="118" t="s">
        <v>393</v>
      </c>
      <c r="AN27" s="402" t="s">
        <v>5975</v>
      </c>
      <c r="AO27" s="402">
        <v>44225</v>
      </c>
      <c r="AP27" s="118">
        <v>1</v>
      </c>
      <c r="AQ27" s="118">
        <v>23</v>
      </c>
      <c r="AR27" s="118" t="s">
        <v>6448</v>
      </c>
      <c r="AS27" t="s">
        <v>392</v>
      </c>
      <c r="AT27" s="118" t="s">
        <v>500</v>
      </c>
      <c r="AU27" s="118" t="s">
        <v>506</v>
      </c>
      <c r="AV27" s="118" t="s">
        <v>508</v>
      </c>
      <c r="AW27" s="118" t="s">
        <v>393</v>
      </c>
      <c r="AX27" s="118" t="s">
        <v>393</v>
      </c>
      <c r="AY27" s="118" t="s">
        <v>740</v>
      </c>
      <c r="AZ27" s="118" t="s">
        <v>393</v>
      </c>
      <c r="BA27" s="118" t="s">
        <v>393</v>
      </c>
      <c r="BB27" s="118" t="s">
        <v>393</v>
      </c>
      <c r="BC27" s="118" t="s">
        <v>393</v>
      </c>
      <c r="BD27" s="118" t="s">
        <v>393</v>
      </c>
      <c r="BE27" s="118" t="s">
        <v>393</v>
      </c>
      <c r="BF27" s="118" t="s">
        <v>393</v>
      </c>
      <c r="BG27" s="118" t="s">
        <v>393</v>
      </c>
      <c r="BH27" s="118" t="s">
        <v>394</v>
      </c>
      <c r="BI27" s="118" t="s">
        <v>394</v>
      </c>
      <c r="BJ27" s="118" t="s">
        <v>393</v>
      </c>
      <c r="BK27" s="118" t="s">
        <v>6988</v>
      </c>
      <c r="BL27" s="118" t="s">
        <v>6415</v>
      </c>
      <c r="BM27" s="118" t="s">
        <v>6990</v>
      </c>
      <c r="BN27" s="118" t="s">
        <v>6991</v>
      </c>
      <c r="BO27" s="118" t="s">
        <v>6415</v>
      </c>
      <c r="BP27" s="118" t="s">
        <v>6415</v>
      </c>
      <c r="BQ27" s="118" t="s">
        <v>6415</v>
      </c>
      <c r="BR27" s="118" t="s">
        <v>6415</v>
      </c>
      <c r="BS27" s="118" t="s">
        <v>6415</v>
      </c>
      <c r="BT27" s="118" t="s">
        <v>7012</v>
      </c>
      <c r="BU27" s="118" t="s">
        <v>6415</v>
      </c>
      <c r="BV27" s="118" t="s">
        <v>6415</v>
      </c>
      <c r="BW27" s="118" t="s">
        <v>6415</v>
      </c>
      <c r="BX27" s="118" t="s">
        <v>6415</v>
      </c>
      <c r="BY27" s="118" t="s">
        <v>6415</v>
      </c>
      <c r="BZ27" s="118">
        <v>802</v>
      </c>
      <c r="CA27" s="118" t="s">
        <v>6415</v>
      </c>
      <c r="CB27" s="118" t="s">
        <v>422</v>
      </c>
      <c r="CC27" s="118" t="s">
        <v>740</v>
      </c>
      <c r="CD27" s="118">
        <v>2</v>
      </c>
      <c r="CE27" s="118" t="s">
        <v>397</v>
      </c>
      <c r="CF27" s="118" t="s">
        <v>396</v>
      </c>
      <c r="CG27" s="118" t="s">
        <v>924</v>
      </c>
      <c r="CH27" s="118" t="s">
        <v>6302</v>
      </c>
      <c r="CI27" s="118" t="s">
        <v>6305</v>
      </c>
      <c r="CJ27" s="118" t="s">
        <v>398</v>
      </c>
      <c r="CK27" s="14">
        <v>0</v>
      </c>
      <c r="CL27" s="118">
        <v>35</v>
      </c>
      <c r="CM27" s="118" t="s">
        <v>399</v>
      </c>
      <c r="CN27" s="118" t="s">
        <v>407</v>
      </c>
      <c r="CO27" s="118" t="s">
        <v>1096</v>
      </c>
      <c r="CP27" s="118" t="s">
        <v>400</v>
      </c>
      <c r="CQ27" s="118" t="s">
        <v>6415</v>
      </c>
      <c r="CR27" s="118" t="s">
        <v>6415</v>
      </c>
      <c r="CS27" s="118" t="s">
        <v>6415</v>
      </c>
      <c r="CT27" s="118" t="s">
        <v>6415</v>
      </c>
      <c r="CU27" s="118" t="s">
        <v>6415</v>
      </c>
      <c r="CV27" s="118" t="s">
        <v>6415</v>
      </c>
      <c r="CW27" s="14">
        <v>0</v>
      </c>
      <c r="CX27" s="118" t="s">
        <v>401</v>
      </c>
      <c r="CY27" s="118" t="s">
        <v>6151</v>
      </c>
      <c r="CZ27" s="118">
        <v>1</v>
      </c>
      <c r="DA27" s="118" t="s">
        <v>446</v>
      </c>
      <c r="DB27" s="118" t="s">
        <v>445</v>
      </c>
      <c r="DC27" s="118" t="s">
        <v>6415</v>
      </c>
      <c r="DD27" s="118" t="s">
        <v>6302</v>
      </c>
      <c r="DE27" s="118" t="s">
        <v>6305</v>
      </c>
      <c r="DF27" s="118" t="s">
        <v>398</v>
      </c>
      <c r="DG27" s="14" t="s">
        <v>6415</v>
      </c>
      <c r="DH27" s="118">
        <v>35</v>
      </c>
      <c r="DI27" s="118" t="s">
        <v>399</v>
      </c>
      <c r="DJ27" s="118" t="s">
        <v>398</v>
      </c>
      <c r="DK27" s="118" t="s">
        <v>400</v>
      </c>
      <c r="DL27" s="118" t="s">
        <v>6415</v>
      </c>
      <c r="DM27" s="118" t="s">
        <v>6415</v>
      </c>
      <c r="DN27" s="118" t="s">
        <v>6415</v>
      </c>
      <c r="DO27" s="118" t="s">
        <v>6415</v>
      </c>
      <c r="DP27" s="118" t="s">
        <v>6415</v>
      </c>
      <c r="DQ27" s="118" t="s">
        <v>6415</v>
      </c>
      <c r="DR27" s="118">
        <v>29</v>
      </c>
      <c r="DS27" s="118" t="s">
        <v>1068</v>
      </c>
      <c r="DT27" s="118" t="s">
        <v>6151</v>
      </c>
      <c r="DU27" s="118" t="s">
        <v>6415</v>
      </c>
      <c r="DV27" s="118" t="s">
        <v>6415</v>
      </c>
      <c r="DW27" s="118" t="s">
        <v>6415</v>
      </c>
      <c r="DX27" s="118" t="s">
        <v>6415</v>
      </c>
      <c r="DY27" s="118" t="s">
        <v>6415</v>
      </c>
      <c r="DZ27" s="118" t="s">
        <v>6415</v>
      </c>
      <c r="EA27" s="118" t="s">
        <v>6415</v>
      </c>
      <c r="EB27" s="118" t="s">
        <v>6415</v>
      </c>
      <c r="EC27" s="118" t="s">
        <v>6415</v>
      </c>
      <c r="ED27" s="118" t="s">
        <v>6415</v>
      </c>
      <c r="EE27" s="118" t="s">
        <v>6415</v>
      </c>
      <c r="EF27" s="118" t="s">
        <v>6415</v>
      </c>
      <c r="EG27" s="118" t="s">
        <v>7002</v>
      </c>
      <c r="EH27" s="118" t="s">
        <v>7011</v>
      </c>
      <c r="EI27" s="118" t="s">
        <v>6415</v>
      </c>
      <c r="EJ27" s="118" t="s">
        <v>6415</v>
      </c>
      <c r="EK27" s="118" t="s">
        <v>6415</v>
      </c>
      <c r="EL27" s="118" t="s">
        <v>7467</v>
      </c>
      <c r="EM27" s="118" t="s">
        <v>7010</v>
      </c>
      <c r="EN27" s="118" t="s">
        <v>6415</v>
      </c>
      <c r="EO27" s="6" t="str">
        <f t="shared" si="10"/>
        <v>Pathweb</v>
      </c>
      <c r="EP27" s="6" t="str">
        <f t="shared" si="11"/>
        <v>Google Maps</v>
      </c>
      <c r="EQ27" s="6" t="str">
        <f t="shared" si="12"/>
        <v>Mashed Map</v>
      </c>
      <c r="ER27" s="118" t="s">
        <v>6727</v>
      </c>
      <c r="ES27" s="118" t="s">
        <v>71</v>
      </c>
      <c r="ET27" s="4">
        <v>0</v>
      </c>
      <c r="EU27" s="4"/>
      <c r="EV27" s="4"/>
    </row>
    <row r="28" spans="1:152" x14ac:dyDescent="0.15">
      <c r="A28" s="581" t="str">
        <f t="shared" si="9"/>
        <v>Crash Report</v>
      </c>
      <c r="B28" s="118">
        <v>20213012539</v>
      </c>
      <c r="C28" s="118">
        <v>2021</v>
      </c>
      <c r="D28" s="118">
        <v>21012927652340</v>
      </c>
      <c r="F28" s="118" t="s">
        <v>6441</v>
      </c>
      <c r="G28" s="118" t="s">
        <v>211</v>
      </c>
      <c r="H28" s="118">
        <v>2</v>
      </c>
      <c r="I28" s="118" t="s">
        <v>6055</v>
      </c>
      <c r="J28" s="118" t="s">
        <v>434</v>
      </c>
      <c r="K28" s="118" t="s">
        <v>6985</v>
      </c>
      <c r="L28" s="118">
        <v>0.622</v>
      </c>
      <c r="M28" s="118">
        <v>0.622</v>
      </c>
      <c r="N28" s="118" t="s">
        <v>7465</v>
      </c>
      <c r="O28" s="118" t="s">
        <v>7472</v>
      </c>
      <c r="P28" s="118">
        <v>41.652808999999998</v>
      </c>
      <c r="Q28" s="118">
        <v>-83.516418999999999</v>
      </c>
      <c r="R28" s="118">
        <v>77000</v>
      </c>
      <c r="S28" s="118" t="s">
        <v>6988</v>
      </c>
      <c r="T28" s="118">
        <v>1</v>
      </c>
      <c r="U28" s="118">
        <v>0</v>
      </c>
      <c r="V28" s="118">
        <v>0</v>
      </c>
      <c r="W28" s="118">
        <v>0</v>
      </c>
      <c r="X28" s="118">
        <v>8</v>
      </c>
      <c r="Y28" s="118">
        <v>3</v>
      </c>
      <c r="Z28" s="118">
        <v>0</v>
      </c>
      <c r="AA28" s="118">
        <v>2</v>
      </c>
      <c r="AB28" s="118" t="s">
        <v>1067</v>
      </c>
      <c r="AC28" s="118" t="s">
        <v>6989</v>
      </c>
      <c r="AD28" s="118" t="s">
        <v>1034</v>
      </c>
      <c r="AE28" s="118" t="s">
        <v>943</v>
      </c>
      <c r="AF28" s="118" t="s">
        <v>1041</v>
      </c>
      <c r="AG28" s="118" t="s">
        <v>6415</v>
      </c>
      <c r="AH28" s="118" t="s">
        <v>393</v>
      </c>
      <c r="AI28" s="118">
        <v>4</v>
      </c>
      <c r="AJ28" s="118" t="s">
        <v>6415</v>
      </c>
      <c r="AK28" s="118" t="s">
        <v>393</v>
      </c>
      <c r="AL28" s="118" t="s">
        <v>393</v>
      </c>
      <c r="AM28" s="118" t="s">
        <v>393</v>
      </c>
      <c r="AN28" s="402" t="s">
        <v>5975</v>
      </c>
      <c r="AO28" s="402">
        <v>44225</v>
      </c>
      <c r="AP28" s="118">
        <v>1</v>
      </c>
      <c r="AQ28" s="118">
        <v>23</v>
      </c>
      <c r="AR28" s="118" t="s">
        <v>6448</v>
      </c>
      <c r="AS28" t="s">
        <v>392</v>
      </c>
      <c r="AT28" s="118" t="s">
        <v>500</v>
      </c>
      <c r="AU28" s="118" t="s">
        <v>505</v>
      </c>
      <c r="AV28" s="118" t="s">
        <v>508</v>
      </c>
      <c r="AW28" s="118" t="s">
        <v>393</v>
      </c>
      <c r="AX28" s="118" t="s">
        <v>740</v>
      </c>
      <c r="AY28" s="118" t="s">
        <v>393</v>
      </c>
      <c r="AZ28" s="118" t="s">
        <v>393</v>
      </c>
      <c r="BA28" s="118" t="s">
        <v>393</v>
      </c>
      <c r="BB28" s="118" t="s">
        <v>393</v>
      </c>
      <c r="BC28" s="118" t="s">
        <v>393</v>
      </c>
      <c r="BD28" s="118" t="s">
        <v>393</v>
      </c>
      <c r="BE28" s="118" t="s">
        <v>393</v>
      </c>
      <c r="BF28" s="118" t="s">
        <v>393</v>
      </c>
      <c r="BG28" s="118" t="s">
        <v>393</v>
      </c>
      <c r="BH28" s="118" t="s">
        <v>394</v>
      </c>
      <c r="BI28" s="118" t="s">
        <v>394</v>
      </c>
      <c r="BJ28" s="118" t="s">
        <v>393</v>
      </c>
      <c r="BK28" s="118" t="s">
        <v>6988</v>
      </c>
      <c r="BL28" s="118" t="s">
        <v>6415</v>
      </c>
      <c r="BM28" s="118" t="s">
        <v>6990</v>
      </c>
      <c r="BN28" s="118" t="s">
        <v>6991</v>
      </c>
      <c r="BO28" s="118" t="s">
        <v>6415</v>
      </c>
      <c r="BP28" s="118" t="s">
        <v>6415</v>
      </c>
      <c r="BQ28" s="118" t="s">
        <v>6415</v>
      </c>
      <c r="BR28" s="118" t="s">
        <v>6415</v>
      </c>
      <c r="BS28" s="118" t="s">
        <v>6415</v>
      </c>
      <c r="BT28" s="118" t="s">
        <v>7016</v>
      </c>
      <c r="BU28" s="118" t="s">
        <v>7017</v>
      </c>
      <c r="BV28" s="118" t="s">
        <v>6415</v>
      </c>
      <c r="BW28" s="118" t="s">
        <v>6415</v>
      </c>
      <c r="BX28" s="118" t="s">
        <v>6415</v>
      </c>
      <c r="BY28" s="118" t="s">
        <v>6415</v>
      </c>
      <c r="BZ28" s="118" t="s">
        <v>6415</v>
      </c>
      <c r="CA28" s="118" t="s">
        <v>6415</v>
      </c>
      <c r="CB28" s="118" t="s">
        <v>221</v>
      </c>
      <c r="CC28" s="118" t="s">
        <v>740</v>
      </c>
      <c r="CD28" s="118">
        <v>2</v>
      </c>
      <c r="CE28" s="118" t="s">
        <v>406</v>
      </c>
      <c r="CF28" s="118" t="s">
        <v>405</v>
      </c>
      <c r="CG28" s="118" t="s">
        <v>924</v>
      </c>
      <c r="CH28" s="118" t="s">
        <v>6302</v>
      </c>
      <c r="CI28" s="118" t="s">
        <v>417</v>
      </c>
      <c r="CJ28" s="118" t="s">
        <v>398</v>
      </c>
      <c r="CK28" s="14">
        <v>0</v>
      </c>
      <c r="CL28" s="118">
        <v>35</v>
      </c>
      <c r="CM28" s="118" t="s">
        <v>399</v>
      </c>
      <c r="CN28" s="118" t="s">
        <v>407</v>
      </c>
      <c r="CO28" s="118" t="s">
        <v>1096</v>
      </c>
      <c r="CP28" s="118" t="s">
        <v>400</v>
      </c>
      <c r="CQ28" s="118" t="s">
        <v>6415</v>
      </c>
      <c r="CR28" s="118" t="s">
        <v>6415</v>
      </c>
      <c r="CS28" s="118" t="s">
        <v>6415</v>
      </c>
      <c r="CT28" s="118" t="s">
        <v>6415</v>
      </c>
      <c r="CU28" s="118" t="s">
        <v>6415</v>
      </c>
      <c r="CV28" s="118" t="s">
        <v>6415</v>
      </c>
      <c r="CW28" s="14">
        <v>43</v>
      </c>
      <c r="CX28" s="118" t="s">
        <v>1068</v>
      </c>
      <c r="CY28" s="118" t="s">
        <v>6341</v>
      </c>
      <c r="CZ28" s="118">
        <v>1</v>
      </c>
      <c r="DA28" s="118" t="s">
        <v>406</v>
      </c>
      <c r="DB28" s="118" t="s">
        <v>446</v>
      </c>
      <c r="DC28" s="118" t="s">
        <v>6415</v>
      </c>
      <c r="DD28" s="118" t="s">
        <v>6302</v>
      </c>
      <c r="DE28" s="118" t="s">
        <v>6307</v>
      </c>
      <c r="DF28" s="118" t="s">
        <v>398</v>
      </c>
      <c r="DG28" s="14">
        <v>15</v>
      </c>
      <c r="DH28" s="118">
        <v>35</v>
      </c>
      <c r="DI28" s="118" t="s">
        <v>436</v>
      </c>
      <c r="DJ28" s="118" t="s">
        <v>398</v>
      </c>
      <c r="DK28" s="118" t="s">
        <v>400</v>
      </c>
      <c r="DL28" s="118" t="s">
        <v>6415</v>
      </c>
      <c r="DM28" s="118" t="s">
        <v>6415</v>
      </c>
      <c r="DN28" s="118" t="s">
        <v>6415</v>
      </c>
      <c r="DO28" s="118" t="s">
        <v>6415</v>
      </c>
      <c r="DP28" s="118" t="s">
        <v>6415</v>
      </c>
      <c r="DQ28" s="118" t="s">
        <v>6415</v>
      </c>
      <c r="DR28" s="118">
        <v>55</v>
      </c>
      <c r="DS28" s="118" t="s">
        <v>1066</v>
      </c>
      <c r="DT28" s="118" t="s">
        <v>6341</v>
      </c>
      <c r="DU28" s="118" t="s">
        <v>6415</v>
      </c>
      <c r="DV28" s="118" t="s">
        <v>6415</v>
      </c>
      <c r="DW28" s="118" t="s">
        <v>6415</v>
      </c>
      <c r="DX28" s="118" t="s">
        <v>6415</v>
      </c>
      <c r="DY28" s="118" t="s">
        <v>6415</v>
      </c>
      <c r="DZ28" s="118" t="s">
        <v>6415</v>
      </c>
      <c r="EA28" s="118" t="s">
        <v>6415</v>
      </c>
      <c r="EB28" s="118" t="s">
        <v>6415</v>
      </c>
      <c r="EC28" s="118" t="s">
        <v>6415</v>
      </c>
      <c r="ED28" s="118" t="s">
        <v>6415</v>
      </c>
      <c r="EE28" s="118" t="s">
        <v>6415</v>
      </c>
      <c r="EF28" s="118" t="s">
        <v>6415</v>
      </c>
      <c r="EG28" s="118" t="s">
        <v>7014</v>
      </c>
      <c r="EH28" s="118" t="s">
        <v>7015</v>
      </c>
      <c r="EI28" s="118" t="s">
        <v>6415</v>
      </c>
      <c r="EJ28" s="118" t="s">
        <v>6415</v>
      </c>
      <c r="EK28" s="118" t="s">
        <v>6415</v>
      </c>
      <c r="EL28" s="118" t="s">
        <v>7467</v>
      </c>
      <c r="EM28" s="118" t="s">
        <v>7013</v>
      </c>
      <c r="EN28" s="118" t="s">
        <v>6415</v>
      </c>
      <c r="EO28" s="6" t="str">
        <f t="shared" si="10"/>
        <v>Pathweb</v>
      </c>
      <c r="EP28" s="6" t="str">
        <f t="shared" si="11"/>
        <v>Google Maps</v>
      </c>
      <c r="EQ28" s="6" t="str">
        <f t="shared" si="12"/>
        <v>Mashed Map</v>
      </c>
      <c r="ER28" s="118" t="s">
        <v>6727</v>
      </c>
      <c r="ES28" s="118" t="s">
        <v>6728</v>
      </c>
      <c r="ET28" s="4">
        <v>0</v>
      </c>
      <c r="EU28" s="4"/>
      <c r="EV28" s="4"/>
    </row>
    <row r="29" spans="1:152" x14ac:dyDescent="0.15">
      <c r="A29" s="581" t="str">
        <f t="shared" si="9"/>
        <v>Crash Report</v>
      </c>
      <c r="B29" s="14">
        <v>20213034960</v>
      </c>
      <c r="C29" s="118">
        <v>2021</v>
      </c>
      <c r="D29" s="14">
        <v>21030522241024</v>
      </c>
      <c r="F29" s="118" t="s">
        <v>6442</v>
      </c>
      <c r="G29" s="118" t="s">
        <v>402</v>
      </c>
      <c r="H29" s="118">
        <v>2</v>
      </c>
      <c r="I29" s="118" t="s">
        <v>6055</v>
      </c>
      <c r="J29" s="118" t="s">
        <v>391</v>
      </c>
      <c r="K29" s="118" t="s">
        <v>6985</v>
      </c>
      <c r="L29" s="118">
        <v>0.16700000000000001</v>
      </c>
      <c r="M29" s="118">
        <v>0.16700000000000001</v>
      </c>
      <c r="N29" s="118" t="s">
        <v>7465</v>
      </c>
      <c r="O29" s="118">
        <v>625</v>
      </c>
      <c r="P29" s="118">
        <v>41.648688999999997</v>
      </c>
      <c r="Q29" s="118">
        <v>-83.523199000000005</v>
      </c>
      <c r="R29" s="118">
        <v>77000</v>
      </c>
      <c r="S29" s="118" t="s">
        <v>6988</v>
      </c>
      <c r="T29" s="118">
        <v>1</v>
      </c>
      <c r="U29" s="118">
        <v>0</v>
      </c>
      <c r="V29" s="118">
        <v>0</v>
      </c>
      <c r="W29" s="118">
        <v>0</v>
      </c>
      <c r="X29" s="118">
        <v>0</v>
      </c>
      <c r="Y29" s="118">
        <v>3</v>
      </c>
      <c r="Z29" s="118">
        <v>0</v>
      </c>
      <c r="AA29" s="118">
        <v>2</v>
      </c>
      <c r="AB29" s="118" t="s">
        <v>1067</v>
      </c>
      <c r="AC29" s="118" t="s">
        <v>6989</v>
      </c>
      <c r="AD29" s="118" t="s">
        <v>1034</v>
      </c>
      <c r="AE29" s="118" t="s">
        <v>943</v>
      </c>
      <c r="AF29" s="118" t="s">
        <v>1041</v>
      </c>
      <c r="AG29" s="118" t="s">
        <v>6415</v>
      </c>
      <c r="AH29" s="118" t="s">
        <v>393</v>
      </c>
      <c r="AI29" s="118">
        <v>4</v>
      </c>
      <c r="AJ29" s="118" t="s">
        <v>6415</v>
      </c>
      <c r="AK29" s="118" t="s">
        <v>393</v>
      </c>
      <c r="AL29" s="118" t="s">
        <v>393</v>
      </c>
      <c r="AM29" s="118" t="s">
        <v>393</v>
      </c>
      <c r="AN29" s="402" t="s">
        <v>5975</v>
      </c>
      <c r="AO29" s="402">
        <v>44260</v>
      </c>
      <c r="AP29" s="118">
        <v>3</v>
      </c>
      <c r="AQ29" s="118">
        <v>10</v>
      </c>
      <c r="AR29" s="118" t="s">
        <v>6448</v>
      </c>
      <c r="AS29" t="s">
        <v>392</v>
      </c>
      <c r="AT29" s="118" t="s">
        <v>500</v>
      </c>
      <c r="AU29" s="118" t="s">
        <v>404</v>
      </c>
      <c r="AV29" s="118" t="s">
        <v>508</v>
      </c>
      <c r="AW29" s="118" t="s">
        <v>393</v>
      </c>
      <c r="AX29" s="118" t="s">
        <v>393</v>
      </c>
      <c r="AY29" s="118" t="s">
        <v>393</v>
      </c>
      <c r="AZ29" s="118" t="s">
        <v>393</v>
      </c>
      <c r="BA29" s="118" t="s">
        <v>393</v>
      </c>
      <c r="BB29" s="118" t="s">
        <v>393</v>
      </c>
      <c r="BC29" s="118" t="s">
        <v>393</v>
      </c>
      <c r="BD29" s="118" t="s">
        <v>393</v>
      </c>
      <c r="BE29" s="118" t="s">
        <v>393</v>
      </c>
      <c r="BF29" s="118" t="s">
        <v>393</v>
      </c>
      <c r="BG29" s="118" t="s">
        <v>393</v>
      </c>
      <c r="BH29" s="118" t="s">
        <v>394</v>
      </c>
      <c r="BI29" s="118" t="s">
        <v>394</v>
      </c>
      <c r="BJ29" s="118" t="s">
        <v>393</v>
      </c>
      <c r="BK29" s="118" t="s">
        <v>6988</v>
      </c>
      <c r="BL29" s="118" t="s">
        <v>6415</v>
      </c>
      <c r="BM29" s="118" t="s">
        <v>6990</v>
      </c>
      <c r="BN29" s="118" t="s">
        <v>6991</v>
      </c>
      <c r="BO29" s="118" t="s">
        <v>6415</v>
      </c>
      <c r="BP29" s="118" t="s">
        <v>6415</v>
      </c>
      <c r="BQ29" s="118" t="s">
        <v>6415</v>
      </c>
      <c r="BR29" s="118" t="s">
        <v>6415</v>
      </c>
      <c r="BS29" s="118" t="s">
        <v>6415</v>
      </c>
      <c r="BT29" s="118" t="s">
        <v>7020</v>
      </c>
      <c r="BU29" s="118" t="s">
        <v>6415</v>
      </c>
      <c r="BV29" s="118" t="s">
        <v>6415</v>
      </c>
      <c r="BW29" s="118" t="s">
        <v>6415</v>
      </c>
      <c r="BX29" s="118" t="s">
        <v>6415</v>
      </c>
      <c r="BY29" s="118" t="s">
        <v>6415</v>
      </c>
      <c r="BZ29" s="118">
        <v>625</v>
      </c>
      <c r="CA29" s="118" t="s">
        <v>6415</v>
      </c>
      <c r="CB29" s="118" t="s">
        <v>422</v>
      </c>
      <c r="CC29" s="118" t="s">
        <v>740</v>
      </c>
      <c r="CD29" s="118">
        <v>2</v>
      </c>
      <c r="CE29" s="118" t="s">
        <v>406</v>
      </c>
      <c r="CF29" s="118" t="s">
        <v>405</v>
      </c>
      <c r="CG29" s="118" t="s">
        <v>924</v>
      </c>
      <c r="CH29" s="118" t="s">
        <v>6302</v>
      </c>
      <c r="CI29" s="118" t="s">
        <v>6303</v>
      </c>
      <c r="CJ29" s="118" t="s">
        <v>398</v>
      </c>
      <c r="CK29" s="118">
        <v>25</v>
      </c>
      <c r="CL29" s="118">
        <v>0</v>
      </c>
      <c r="CM29" s="118" t="s">
        <v>439</v>
      </c>
      <c r="CN29" s="118" t="s">
        <v>398</v>
      </c>
      <c r="CO29" s="118" t="s">
        <v>1096</v>
      </c>
      <c r="CP29" s="118" t="s">
        <v>400</v>
      </c>
      <c r="CQ29" s="118" t="s">
        <v>6415</v>
      </c>
      <c r="CR29" s="118" t="s">
        <v>6415</v>
      </c>
      <c r="CS29" s="118" t="s">
        <v>6415</v>
      </c>
      <c r="CT29" s="118" t="s">
        <v>6415</v>
      </c>
      <c r="CU29" s="118" t="s">
        <v>6415</v>
      </c>
      <c r="CV29" s="118" t="s">
        <v>6415</v>
      </c>
      <c r="CW29" s="118">
        <v>34</v>
      </c>
      <c r="CX29" s="118" t="s">
        <v>1066</v>
      </c>
      <c r="CY29" s="118" t="s">
        <v>6341</v>
      </c>
      <c r="CZ29" s="118">
        <v>1</v>
      </c>
      <c r="DA29" s="118" t="s">
        <v>406</v>
      </c>
      <c r="DB29" s="118" t="s">
        <v>405</v>
      </c>
      <c r="DC29" s="118" t="s">
        <v>6415</v>
      </c>
      <c r="DD29" s="118" t="s">
        <v>6302</v>
      </c>
      <c r="DE29" s="118" t="s">
        <v>6303</v>
      </c>
      <c r="DF29" s="118" t="s">
        <v>398</v>
      </c>
      <c r="DG29" s="118">
        <v>20</v>
      </c>
      <c r="DH29" s="118" t="s">
        <v>6415</v>
      </c>
      <c r="DI29" s="118" t="s">
        <v>399</v>
      </c>
      <c r="DJ29" s="118" t="s">
        <v>398</v>
      </c>
      <c r="DK29" s="118" t="s">
        <v>400</v>
      </c>
      <c r="DL29" s="118" t="s">
        <v>6415</v>
      </c>
      <c r="DM29" s="118" t="s">
        <v>6415</v>
      </c>
      <c r="DN29" s="118" t="s">
        <v>6415</v>
      </c>
      <c r="DO29" s="118" t="s">
        <v>6415</v>
      </c>
      <c r="DP29" s="118" t="s">
        <v>6415</v>
      </c>
      <c r="DQ29" s="118" t="s">
        <v>6415</v>
      </c>
      <c r="DR29" s="118">
        <v>33</v>
      </c>
      <c r="DS29" s="118" t="s">
        <v>1066</v>
      </c>
      <c r="DT29" s="118" t="s">
        <v>6341</v>
      </c>
      <c r="DU29" s="118" t="s">
        <v>6415</v>
      </c>
      <c r="DV29" s="118" t="s">
        <v>6415</v>
      </c>
      <c r="DW29" s="118" t="s">
        <v>6415</v>
      </c>
      <c r="DX29" s="118" t="s">
        <v>6415</v>
      </c>
      <c r="DY29" s="118" t="s">
        <v>6415</v>
      </c>
      <c r="DZ29" s="118" t="s">
        <v>6415</v>
      </c>
      <c r="EA29" s="118" t="s">
        <v>6415</v>
      </c>
      <c r="EB29" s="118" t="s">
        <v>6415</v>
      </c>
      <c r="EC29" s="118" t="s">
        <v>6415</v>
      </c>
      <c r="ED29" s="118" t="s">
        <v>6415</v>
      </c>
      <c r="EE29" s="118" t="s">
        <v>6415</v>
      </c>
      <c r="EF29" s="118" t="s">
        <v>6415</v>
      </c>
      <c r="EG29" s="118" t="s">
        <v>6986</v>
      </c>
      <c r="EH29" s="118" t="s">
        <v>7019</v>
      </c>
      <c r="EI29" s="118" t="s">
        <v>6415</v>
      </c>
      <c r="EJ29" s="118" t="s">
        <v>6415</v>
      </c>
      <c r="EK29" s="118" t="s">
        <v>6415</v>
      </c>
      <c r="EL29" s="118" t="s">
        <v>7467</v>
      </c>
      <c r="EM29" s="118" t="s">
        <v>7018</v>
      </c>
      <c r="EN29" s="118" t="s">
        <v>6415</v>
      </c>
      <c r="EO29" s="6" t="str">
        <f t="shared" si="10"/>
        <v>Pathweb</v>
      </c>
      <c r="EP29" s="6" t="str">
        <f t="shared" si="11"/>
        <v>Google Maps</v>
      </c>
      <c r="EQ29" s="6" t="str">
        <f t="shared" si="12"/>
        <v>Mashed Map</v>
      </c>
      <c r="ER29" s="118" t="s">
        <v>6727</v>
      </c>
      <c r="ES29" s="118" t="s">
        <v>71</v>
      </c>
      <c r="ET29" s="4">
        <v>0</v>
      </c>
      <c r="EU29" s="4"/>
      <c r="EV29" s="4"/>
    </row>
    <row r="30" spans="1:152" x14ac:dyDescent="0.15">
      <c r="A30" s="581" t="str">
        <f t="shared" si="9"/>
        <v>Crash Report</v>
      </c>
      <c r="B30" s="14">
        <v>20213036126</v>
      </c>
      <c r="C30" s="118">
        <v>2021</v>
      </c>
      <c r="D30" s="14">
        <v>21030927711506</v>
      </c>
      <c r="F30" s="118" t="s">
        <v>6442</v>
      </c>
      <c r="G30" s="118" t="s">
        <v>390</v>
      </c>
      <c r="H30" s="118">
        <v>2</v>
      </c>
      <c r="I30" s="118" t="s">
        <v>6055</v>
      </c>
      <c r="J30" s="118" t="s">
        <v>423</v>
      </c>
      <c r="K30" s="118" t="s">
        <v>6997</v>
      </c>
      <c r="L30" s="118">
        <v>0.71399999999999997</v>
      </c>
      <c r="M30" s="118">
        <v>0.71399999999999997</v>
      </c>
      <c r="N30" s="118" t="s">
        <v>7469</v>
      </c>
      <c r="O30" s="118" t="s">
        <v>7473</v>
      </c>
      <c r="P30" s="118">
        <v>41.648527000000001</v>
      </c>
      <c r="Q30" s="118">
        <v>-83.523510999999999</v>
      </c>
      <c r="R30" s="118">
        <v>77000</v>
      </c>
      <c r="S30" s="118" t="s">
        <v>6988</v>
      </c>
      <c r="T30" s="118">
        <v>1</v>
      </c>
      <c r="U30" s="118">
        <v>0</v>
      </c>
      <c r="V30" s="118">
        <v>0</v>
      </c>
      <c r="W30" s="118">
        <v>0</v>
      </c>
      <c r="X30" s="118">
        <v>0</v>
      </c>
      <c r="Y30" s="118">
        <v>2</v>
      </c>
      <c r="Z30" s="118">
        <v>0</v>
      </c>
      <c r="AA30" s="118">
        <v>2</v>
      </c>
      <c r="AB30" s="118" t="s">
        <v>1067</v>
      </c>
      <c r="AC30" s="118" t="s">
        <v>6989</v>
      </c>
      <c r="AD30" s="118" t="s">
        <v>1034</v>
      </c>
      <c r="AE30" s="118" t="s">
        <v>943</v>
      </c>
      <c r="AF30" s="118" t="s">
        <v>1041</v>
      </c>
      <c r="AG30" s="118" t="s">
        <v>6415</v>
      </c>
      <c r="AH30" s="118" t="s">
        <v>393</v>
      </c>
      <c r="AI30" s="118">
        <v>2</v>
      </c>
      <c r="AJ30" s="118" t="s">
        <v>6415</v>
      </c>
      <c r="AK30" s="118" t="s">
        <v>393</v>
      </c>
      <c r="AL30" s="118" t="s">
        <v>393</v>
      </c>
      <c r="AM30" s="118" t="s">
        <v>393</v>
      </c>
      <c r="AN30" s="402" t="s">
        <v>5975</v>
      </c>
      <c r="AO30" s="402">
        <v>44264</v>
      </c>
      <c r="AP30" s="118">
        <v>3</v>
      </c>
      <c r="AQ30" s="118">
        <v>15</v>
      </c>
      <c r="AR30" s="118" t="s">
        <v>6445</v>
      </c>
      <c r="AS30" t="s">
        <v>392</v>
      </c>
      <c r="AT30" s="118" t="s">
        <v>500</v>
      </c>
      <c r="AU30" s="118" t="s">
        <v>404</v>
      </c>
      <c r="AV30" s="118" t="s">
        <v>508</v>
      </c>
      <c r="AW30" s="118" t="s">
        <v>393</v>
      </c>
      <c r="AX30" s="118" t="s">
        <v>740</v>
      </c>
      <c r="AY30" s="118" t="s">
        <v>393</v>
      </c>
      <c r="AZ30" s="118" t="s">
        <v>393</v>
      </c>
      <c r="BA30" s="118" t="s">
        <v>393</v>
      </c>
      <c r="BB30" s="118" t="s">
        <v>393</v>
      </c>
      <c r="BC30" s="118" t="s">
        <v>393</v>
      </c>
      <c r="BD30" s="118" t="s">
        <v>393</v>
      </c>
      <c r="BE30" s="118" t="s">
        <v>393</v>
      </c>
      <c r="BF30" s="118" t="s">
        <v>393</v>
      </c>
      <c r="BG30" s="118" t="s">
        <v>393</v>
      </c>
      <c r="BH30" s="118" t="s">
        <v>394</v>
      </c>
      <c r="BI30" s="118" t="s">
        <v>394</v>
      </c>
      <c r="BJ30" s="118" t="s">
        <v>393</v>
      </c>
      <c r="BK30" s="118" t="s">
        <v>6988</v>
      </c>
      <c r="BL30" s="118" t="s">
        <v>6415</v>
      </c>
      <c r="BM30" s="118" t="s">
        <v>6992</v>
      </c>
      <c r="BN30" s="118" t="s">
        <v>6991</v>
      </c>
      <c r="BO30" s="118" t="s">
        <v>6415</v>
      </c>
      <c r="BP30" s="118" t="s">
        <v>6415</v>
      </c>
      <c r="BQ30" s="118" t="s">
        <v>6415</v>
      </c>
      <c r="BR30" s="118" t="s">
        <v>6415</v>
      </c>
      <c r="BS30" s="118" t="s">
        <v>6415</v>
      </c>
      <c r="BT30" s="118" t="s">
        <v>6990</v>
      </c>
      <c r="BU30" s="118" t="s">
        <v>6991</v>
      </c>
      <c r="BV30" s="118" t="s">
        <v>6415</v>
      </c>
      <c r="BW30" s="118" t="s">
        <v>6415</v>
      </c>
      <c r="BX30" s="118" t="s">
        <v>6415</v>
      </c>
      <c r="BY30" s="118" t="s">
        <v>6415</v>
      </c>
      <c r="BZ30" s="118" t="s">
        <v>6415</v>
      </c>
      <c r="CA30" s="118" t="s">
        <v>6415</v>
      </c>
      <c r="CB30" s="118" t="s">
        <v>221</v>
      </c>
      <c r="CC30" s="118" t="s">
        <v>740</v>
      </c>
      <c r="CD30" s="118">
        <v>2</v>
      </c>
      <c r="CE30" s="118" t="s">
        <v>446</v>
      </c>
      <c r="CF30" s="118" t="s">
        <v>445</v>
      </c>
      <c r="CG30" s="118" t="s">
        <v>924</v>
      </c>
      <c r="CH30" s="118" t="s">
        <v>6300</v>
      </c>
      <c r="CI30" s="118" t="s">
        <v>6303</v>
      </c>
      <c r="CJ30" s="118" t="s">
        <v>6151</v>
      </c>
      <c r="CK30" s="14">
        <v>25</v>
      </c>
      <c r="CL30" s="118">
        <v>35</v>
      </c>
      <c r="CM30" s="118" t="s">
        <v>399</v>
      </c>
      <c r="CN30" s="118" t="s">
        <v>6512</v>
      </c>
      <c r="CO30" s="118" t="s">
        <v>1096</v>
      </c>
      <c r="CP30" s="118" t="s">
        <v>400</v>
      </c>
      <c r="CQ30" s="118" t="s">
        <v>6415</v>
      </c>
      <c r="CR30" s="118" t="s">
        <v>6415</v>
      </c>
      <c r="CS30" s="118" t="s">
        <v>6415</v>
      </c>
      <c r="CT30" s="118" t="s">
        <v>6415</v>
      </c>
      <c r="CU30" s="118" t="s">
        <v>6415</v>
      </c>
      <c r="CV30" s="118" t="s">
        <v>6415</v>
      </c>
      <c r="CW30" s="14">
        <v>0</v>
      </c>
      <c r="CX30" s="118" t="s">
        <v>1066</v>
      </c>
      <c r="CY30" s="118" t="s">
        <v>6151</v>
      </c>
      <c r="CZ30" s="118">
        <v>1</v>
      </c>
      <c r="DA30" s="118" t="s">
        <v>446</v>
      </c>
      <c r="DB30" s="118" t="s">
        <v>445</v>
      </c>
      <c r="DC30" s="118" t="s">
        <v>6415</v>
      </c>
      <c r="DD30" s="118" t="s">
        <v>6300</v>
      </c>
      <c r="DE30" s="118" t="s">
        <v>6303</v>
      </c>
      <c r="DF30" s="118" t="s">
        <v>398</v>
      </c>
      <c r="DG30" s="14">
        <v>25</v>
      </c>
      <c r="DH30" s="118">
        <v>35</v>
      </c>
      <c r="DI30" s="118" t="s">
        <v>399</v>
      </c>
      <c r="DJ30" s="118" t="s">
        <v>398</v>
      </c>
      <c r="DK30" s="118" t="s">
        <v>400</v>
      </c>
      <c r="DL30" s="118" t="s">
        <v>6415</v>
      </c>
      <c r="DM30" s="118" t="s">
        <v>6415</v>
      </c>
      <c r="DN30" s="118" t="s">
        <v>6415</v>
      </c>
      <c r="DO30" s="118" t="s">
        <v>6415</v>
      </c>
      <c r="DP30" s="118" t="s">
        <v>6415</v>
      </c>
      <c r="DQ30" s="118" t="s">
        <v>6415</v>
      </c>
      <c r="DR30" s="118">
        <v>32</v>
      </c>
      <c r="DS30" s="118" t="s">
        <v>1066</v>
      </c>
      <c r="DT30" s="118" t="s">
        <v>6341</v>
      </c>
      <c r="DU30" s="118" t="s">
        <v>6415</v>
      </c>
      <c r="DV30" s="118" t="s">
        <v>6415</v>
      </c>
      <c r="DW30" s="118" t="s">
        <v>6415</v>
      </c>
      <c r="DX30" s="118" t="s">
        <v>6415</v>
      </c>
      <c r="DY30" s="118" t="s">
        <v>6415</v>
      </c>
      <c r="DZ30" s="118" t="s">
        <v>6415</v>
      </c>
      <c r="EA30" s="118" t="s">
        <v>6415</v>
      </c>
      <c r="EB30" s="118" t="s">
        <v>6415</v>
      </c>
      <c r="EC30" s="118" t="s">
        <v>6415</v>
      </c>
      <c r="ED30" s="118" t="s">
        <v>6415</v>
      </c>
      <c r="EE30" s="118" t="s">
        <v>6415</v>
      </c>
      <c r="EF30" s="118" t="s">
        <v>6415</v>
      </c>
      <c r="EG30" s="118" t="s">
        <v>6986</v>
      </c>
      <c r="EH30" s="118" t="s">
        <v>7022</v>
      </c>
      <c r="EI30" s="118" t="s">
        <v>6415</v>
      </c>
      <c r="EJ30" s="118" t="s">
        <v>6415</v>
      </c>
      <c r="EK30" s="118" t="s">
        <v>6415</v>
      </c>
      <c r="EL30" s="118" t="s">
        <v>7467</v>
      </c>
      <c r="EM30" s="118" t="s">
        <v>7021</v>
      </c>
      <c r="EN30" s="118" t="s">
        <v>6415</v>
      </c>
      <c r="EO30" s="6" t="str">
        <f t="shared" si="10"/>
        <v>Pathweb</v>
      </c>
      <c r="EP30" s="6" t="str">
        <f t="shared" si="11"/>
        <v>Google Maps</v>
      </c>
      <c r="EQ30" s="6" t="str">
        <f t="shared" si="12"/>
        <v>Mashed Map</v>
      </c>
      <c r="ER30" s="118" t="s">
        <v>6727</v>
      </c>
      <c r="ES30" s="118" t="s">
        <v>71</v>
      </c>
      <c r="ET30" s="4">
        <v>0</v>
      </c>
      <c r="EU30" s="4"/>
      <c r="EV30" s="4"/>
    </row>
    <row r="31" spans="1:152" x14ac:dyDescent="0.15">
      <c r="A31" s="581" t="str">
        <f t="shared" si="9"/>
        <v>Crash Report</v>
      </c>
      <c r="B31" s="118">
        <v>20213040177</v>
      </c>
      <c r="C31" s="118">
        <v>2021</v>
      </c>
      <c r="D31" s="118">
        <v>21031528011420</v>
      </c>
      <c r="F31" s="118" t="s">
        <v>6441</v>
      </c>
      <c r="G31" s="118" t="s">
        <v>230</v>
      </c>
      <c r="H31" s="118">
        <v>2</v>
      </c>
      <c r="I31" s="118" t="s">
        <v>6055</v>
      </c>
      <c r="J31" s="118" t="s">
        <v>423</v>
      </c>
      <c r="K31" s="118" t="s">
        <v>6985</v>
      </c>
      <c r="L31" s="118">
        <v>1.0720000000000001</v>
      </c>
      <c r="M31" s="118">
        <v>1.0720000000000001</v>
      </c>
      <c r="N31" s="118" t="s">
        <v>7465</v>
      </c>
      <c r="O31" s="118" t="s">
        <v>7471</v>
      </c>
      <c r="P31" s="118">
        <v>41.656886999999998</v>
      </c>
      <c r="Q31" s="118">
        <v>-83.509607000000003</v>
      </c>
      <c r="R31" s="118">
        <v>77000</v>
      </c>
      <c r="S31" s="118" t="s">
        <v>6988</v>
      </c>
      <c r="T31" s="118">
        <v>1</v>
      </c>
      <c r="U31" s="118">
        <v>0</v>
      </c>
      <c r="V31" s="118">
        <v>0</v>
      </c>
      <c r="W31" s="118">
        <v>0</v>
      </c>
      <c r="X31" s="118">
        <v>1</v>
      </c>
      <c r="Y31" s="118">
        <v>1</v>
      </c>
      <c r="Z31" s="118">
        <v>0</v>
      </c>
      <c r="AA31" s="118">
        <v>2</v>
      </c>
      <c r="AB31" s="118" t="s">
        <v>1067</v>
      </c>
      <c r="AC31" s="118" t="s">
        <v>6989</v>
      </c>
      <c r="AD31" s="118" t="s">
        <v>1034</v>
      </c>
      <c r="AE31" s="118" t="s">
        <v>943</v>
      </c>
      <c r="AF31" s="118" t="s">
        <v>1041</v>
      </c>
      <c r="AG31" s="118" t="s">
        <v>6415</v>
      </c>
      <c r="AH31" s="118" t="s">
        <v>393</v>
      </c>
      <c r="AI31" s="118">
        <v>4</v>
      </c>
      <c r="AJ31" s="118" t="s">
        <v>6415</v>
      </c>
      <c r="AK31" s="118" t="s">
        <v>393</v>
      </c>
      <c r="AL31" s="118" t="s">
        <v>393</v>
      </c>
      <c r="AM31" s="118" t="s">
        <v>393</v>
      </c>
      <c r="AN31" s="402" t="s">
        <v>5975</v>
      </c>
      <c r="AO31" s="402">
        <v>44270</v>
      </c>
      <c r="AP31" s="118">
        <v>3</v>
      </c>
      <c r="AQ31" s="118">
        <v>14</v>
      </c>
      <c r="AR31" s="118" t="s">
        <v>6444</v>
      </c>
      <c r="AS31" s="118" t="s">
        <v>392</v>
      </c>
      <c r="AT31" s="118" t="s">
        <v>500</v>
      </c>
      <c r="AU31" s="118" t="s">
        <v>404</v>
      </c>
      <c r="AV31" s="118" t="s">
        <v>508</v>
      </c>
      <c r="AW31" s="118" t="s">
        <v>393</v>
      </c>
      <c r="AX31" s="118" t="s">
        <v>740</v>
      </c>
      <c r="AY31" s="118" t="s">
        <v>393</v>
      </c>
      <c r="AZ31" s="118" t="s">
        <v>393</v>
      </c>
      <c r="BA31" s="118" t="s">
        <v>393</v>
      </c>
      <c r="BB31" s="118" t="s">
        <v>393</v>
      </c>
      <c r="BC31" s="118" t="s">
        <v>393</v>
      </c>
      <c r="BD31" s="118" t="s">
        <v>393</v>
      </c>
      <c r="BE31" s="118" t="s">
        <v>393</v>
      </c>
      <c r="BF31" s="118" t="s">
        <v>740</v>
      </c>
      <c r="BG31" s="118" t="s">
        <v>393</v>
      </c>
      <c r="BH31" s="118" t="s">
        <v>394</v>
      </c>
      <c r="BI31" s="118" t="s">
        <v>394</v>
      </c>
      <c r="BJ31" s="118" t="s">
        <v>393</v>
      </c>
      <c r="BK31" s="118" t="s">
        <v>6988</v>
      </c>
      <c r="BL31" s="118" t="s">
        <v>6415</v>
      </c>
      <c r="BM31" s="118" t="s">
        <v>6990</v>
      </c>
      <c r="BN31" s="118" t="s">
        <v>6991</v>
      </c>
      <c r="BO31" s="118" t="s">
        <v>6415</v>
      </c>
      <c r="BP31" s="118" t="s">
        <v>6415</v>
      </c>
      <c r="BQ31" s="118" t="s">
        <v>6415</v>
      </c>
      <c r="BR31" s="118" t="s">
        <v>6415</v>
      </c>
      <c r="BS31" s="118" t="s">
        <v>6415</v>
      </c>
      <c r="BT31" s="118" t="s">
        <v>7008</v>
      </c>
      <c r="BU31" s="118" t="s">
        <v>6991</v>
      </c>
      <c r="BV31" s="118" t="s">
        <v>6415</v>
      </c>
      <c r="BW31" s="118" t="s">
        <v>6415</v>
      </c>
      <c r="BX31" s="118" t="s">
        <v>6415</v>
      </c>
      <c r="BY31" s="118" t="s">
        <v>6415</v>
      </c>
      <c r="BZ31" s="118" t="s">
        <v>6415</v>
      </c>
      <c r="CA31" s="118" t="s">
        <v>6415</v>
      </c>
      <c r="CB31" s="118" t="s">
        <v>221</v>
      </c>
      <c r="CC31" s="118" t="s">
        <v>740</v>
      </c>
      <c r="CD31" s="118">
        <v>1</v>
      </c>
      <c r="CE31" s="118" t="s">
        <v>406</v>
      </c>
      <c r="CF31" s="118" t="s">
        <v>411</v>
      </c>
      <c r="CG31" s="118" t="s">
        <v>230</v>
      </c>
      <c r="CH31" s="118" t="s">
        <v>6300</v>
      </c>
      <c r="CI31" s="118" t="s">
        <v>6306</v>
      </c>
      <c r="CJ31" s="118" t="s">
        <v>6151</v>
      </c>
      <c r="CK31" s="14">
        <v>10</v>
      </c>
      <c r="CL31" s="118">
        <v>35</v>
      </c>
      <c r="CM31" s="118" t="s">
        <v>436</v>
      </c>
      <c r="CN31" s="118" t="s">
        <v>6327</v>
      </c>
      <c r="CO31" s="118" t="s">
        <v>1096</v>
      </c>
      <c r="CP31" s="118" t="s">
        <v>400</v>
      </c>
      <c r="CQ31" s="118" t="s">
        <v>6415</v>
      </c>
      <c r="CR31" s="118" t="s">
        <v>6415</v>
      </c>
      <c r="CS31" s="118" t="s">
        <v>6415</v>
      </c>
      <c r="CT31" s="118" t="s">
        <v>6415</v>
      </c>
      <c r="CU31" s="118" t="s">
        <v>6415</v>
      </c>
      <c r="CV31" s="118" t="s">
        <v>6415</v>
      </c>
      <c r="CW31" s="14">
        <v>24</v>
      </c>
      <c r="CX31" s="118" t="s">
        <v>1068</v>
      </c>
      <c r="CY31" s="118" t="s">
        <v>6341</v>
      </c>
      <c r="CZ31" s="118">
        <v>2</v>
      </c>
      <c r="DA31" s="118" t="s">
        <v>405</v>
      </c>
      <c r="DB31" s="118" t="s">
        <v>406</v>
      </c>
      <c r="DC31" s="118" t="s">
        <v>6415</v>
      </c>
      <c r="DD31" s="118" t="s">
        <v>6300</v>
      </c>
      <c r="DE31" s="118" t="s">
        <v>6303</v>
      </c>
      <c r="DF31" s="118" t="s">
        <v>398</v>
      </c>
      <c r="DG31" s="14">
        <v>35</v>
      </c>
      <c r="DH31" s="118">
        <v>35</v>
      </c>
      <c r="DI31" s="118" t="s">
        <v>399</v>
      </c>
      <c r="DJ31" s="118" t="s">
        <v>398</v>
      </c>
      <c r="DK31" s="118" t="s">
        <v>400</v>
      </c>
      <c r="DL31" s="118" t="s">
        <v>6415</v>
      </c>
      <c r="DM31" s="118" t="s">
        <v>6415</v>
      </c>
      <c r="DN31" s="118" t="s">
        <v>6415</v>
      </c>
      <c r="DO31" s="118" t="s">
        <v>6415</v>
      </c>
      <c r="DP31" s="118" t="s">
        <v>6415</v>
      </c>
      <c r="DQ31" s="118" t="s">
        <v>6415</v>
      </c>
      <c r="DR31" s="118">
        <v>51</v>
      </c>
      <c r="DS31" s="118" t="s">
        <v>1066</v>
      </c>
      <c r="DT31" s="118" t="s">
        <v>6341</v>
      </c>
      <c r="DU31" s="118" t="s">
        <v>6415</v>
      </c>
      <c r="DV31" s="118" t="s">
        <v>6415</v>
      </c>
      <c r="DW31" s="118" t="s">
        <v>6415</v>
      </c>
      <c r="DX31" s="118" t="s">
        <v>6415</v>
      </c>
      <c r="DY31" s="118" t="s">
        <v>6415</v>
      </c>
      <c r="DZ31" s="118" t="s">
        <v>6415</v>
      </c>
      <c r="EA31" s="118" t="s">
        <v>6415</v>
      </c>
      <c r="EB31" s="118" t="s">
        <v>6415</v>
      </c>
      <c r="EC31" s="118" t="s">
        <v>6415</v>
      </c>
      <c r="ED31" s="118" t="s">
        <v>6415</v>
      </c>
      <c r="EE31" s="118" t="s">
        <v>6415</v>
      </c>
      <c r="EF31" s="118" t="s">
        <v>6415</v>
      </c>
      <c r="EG31" s="118" t="s">
        <v>7006</v>
      </c>
      <c r="EH31" s="118" t="s">
        <v>7007</v>
      </c>
      <c r="EI31" s="118" t="s">
        <v>6415</v>
      </c>
      <c r="EJ31" s="118" t="s">
        <v>6415</v>
      </c>
      <c r="EK31" s="118" t="s">
        <v>6415</v>
      </c>
      <c r="EL31" s="118" t="s">
        <v>7467</v>
      </c>
      <c r="EM31" s="118" t="s">
        <v>7023</v>
      </c>
      <c r="EN31" s="118" t="s">
        <v>6415</v>
      </c>
      <c r="EO31" s="6" t="str">
        <f t="shared" si="10"/>
        <v>Pathweb</v>
      </c>
      <c r="EP31" s="6" t="str">
        <f t="shared" si="11"/>
        <v>Google Maps</v>
      </c>
      <c r="EQ31" s="6" t="str">
        <f t="shared" si="12"/>
        <v>Mashed Map</v>
      </c>
      <c r="ER31" s="118" t="s">
        <v>6727</v>
      </c>
      <c r="ES31" s="118" t="s">
        <v>6728</v>
      </c>
      <c r="ET31" s="4">
        <v>0</v>
      </c>
      <c r="EU31" s="4"/>
      <c r="EV31" s="4"/>
    </row>
    <row r="32" spans="1:152" x14ac:dyDescent="0.15">
      <c r="A32" s="581" t="str">
        <f t="shared" si="9"/>
        <v>Crash Report</v>
      </c>
      <c r="B32" s="118">
        <v>20213049449</v>
      </c>
      <c r="C32" s="118">
        <v>2021</v>
      </c>
      <c r="D32" s="118">
        <v>21033026722043</v>
      </c>
      <c r="F32" s="118" t="s">
        <v>6442</v>
      </c>
      <c r="G32" s="118" t="s">
        <v>211</v>
      </c>
      <c r="H32" s="118">
        <v>2</v>
      </c>
      <c r="I32" s="118" t="s">
        <v>6055</v>
      </c>
      <c r="J32" s="118" t="s">
        <v>423</v>
      </c>
      <c r="K32" s="118" t="s">
        <v>6997</v>
      </c>
      <c r="L32" s="118">
        <v>0.247</v>
      </c>
      <c r="M32" s="118">
        <v>0.247</v>
      </c>
      <c r="N32" s="118" t="s">
        <v>7469</v>
      </c>
      <c r="O32" s="118" t="s">
        <v>7474</v>
      </c>
      <c r="P32" s="118">
        <v>41.643400999999997</v>
      </c>
      <c r="Q32" s="118">
        <v>-83.518276</v>
      </c>
      <c r="R32" s="118">
        <v>77000</v>
      </c>
      <c r="S32" s="118" t="s">
        <v>6988</v>
      </c>
      <c r="T32" s="118">
        <v>1</v>
      </c>
      <c r="U32" s="118">
        <v>0</v>
      </c>
      <c r="V32" s="118">
        <v>0</v>
      </c>
      <c r="W32" s="118">
        <v>0</v>
      </c>
      <c r="X32" s="118">
        <v>0</v>
      </c>
      <c r="Y32" s="118">
        <v>5</v>
      </c>
      <c r="Z32" s="118">
        <v>0</v>
      </c>
      <c r="AA32" s="118">
        <v>2</v>
      </c>
      <c r="AB32" s="118" t="s">
        <v>1067</v>
      </c>
      <c r="AC32" s="118" t="s">
        <v>6989</v>
      </c>
      <c r="AD32" s="118" t="s">
        <v>1034</v>
      </c>
      <c r="AE32" s="118" t="s">
        <v>943</v>
      </c>
      <c r="AF32" s="118" t="s">
        <v>1045</v>
      </c>
      <c r="AG32" s="118" t="s">
        <v>6415</v>
      </c>
      <c r="AH32" s="118" t="s">
        <v>393</v>
      </c>
      <c r="AI32" s="118">
        <v>4</v>
      </c>
      <c r="AJ32" s="118" t="s">
        <v>6415</v>
      </c>
      <c r="AK32" s="118" t="s">
        <v>393</v>
      </c>
      <c r="AL32" s="118" t="s">
        <v>393</v>
      </c>
      <c r="AM32" s="118" t="s">
        <v>393</v>
      </c>
      <c r="AN32" s="402" t="s">
        <v>5975</v>
      </c>
      <c r="AO32" s="402">
        <v>44285</v>
      </c>
      <c r="AP32" s="118">
        <v>3</v>
      </c>
      <c r="AQ32" s="118">
        <v>20</v>
      </c>
      <c r="AR32" s="118" t="s">
        <v>6445</v>
      </c>
      <c r="AS32" s="118" t="s">
        <v>392</v>
      </c>
      <c r="AT32" s="118" t="s">
        <v>500</v>
      </c>
      <c r="AU32" s="118" t="s">
        <v>505</v>
      </c>
      <c r="AV32" s="118" t="s">
        <v>508</v>
      </c>
      <c r="AW32" s="118" t="s">
        <v>393</v>
      </c>
      <c r="AX32" s="118" t="s">
        <v>740</v>
      </c>
      <c r="AY32" s="118" t="s">
        <v>393</v>
      </c>
      <c r="AZ32" s="118" t="s">
        <v>393</v>
      </c>
      <c r="BA32" s="118" t="s">
        <v>393</v>
      </c>
      <c r="BB32" s="118" t="s">
        <v>393</v>
      </c>
      <c r="BC32" s="118" t="s">
        <v>393</v>
      </c>
      <c r="BD32" s="118" t="s">
        <v>393</v>
      </c>
      <c r="BE32" s="118" t="s">
        <v>393</v>
      </c>
      <c r="BF32" s="118" t="s">
        <v>393</v>
      </c>
      <c r="BG32" s="118" t="s">
        <v>393</v>
      </c>
      <c r="BH32" s="118" t="s">
        <v>394</v>
      </c>
      <c r="BI32" s="118" t="s">
        <v>394</v>
      </c>
      <c r="BJ32" s="118" t="s">
        <v>393</v>
      </c>
      <c r="BK32" s="118" t="s">
        <v>6988</v>
      </c>
      <c r="BL32" s="118" t="s">
        <v>6415</v>
      </c>
      <c r="BM32" s="118" t="s">
        <v>6992</v>
      </c>
      <c r="BN32" s="118" t="s">
        <v>6991</v>
      </c>
      <c r="BO32" s="118" t="s">
        <v>6415</v>
      </c>
      <c r="BP32" s="118" t="s">
        <v>6415</v>
      </c>
      <c r="BQ32" s="118" t="s">
        <v>6415</v>
      </c>
      <c r="BR32" s="118" t="s">
        <v>6415</v>
      </c>
      <c r="BS32" s="118" t="s">
        <v>6415</v>
      </c>
      <c r="BT32" s="118" t="s">
        <v>5179</v>
      </c>
      <c r="BU32" s="118" t="s">
        <v>7017</v>
      </c>
      <c r="BV32" s="118" t="s">
        <v>6415</v>
      </c>
      <c r="BW32" s="118" t="s">
        <v>6415</v>
      </c>
      <c r="BX32" s="118" t="s">
        <v>6415</v>
      </c>
      <c r="BY32" s="118" t="s">
        <v>6415</v>
      </c>
      <c r="BZ32" s="118" t="s">
        <v>6415</v>
      </c>
      <c r="CA32" s="118" t="s">
        <v>6415</v>
      </c>
      <c r="CB32" s="118" t="s">
        <v>221</v>
      </c>
      <c r="CC32" s="118" t="s">
        <v>740</v>
      </c>
      <c r="CD32" s="118">
        <v>2</v>
      </c>
      <c r="CE32" s="118" t="s">
        <v>406</v>
      </c>
      <c r="CF32" s="118" t="s">
        <v>411</v>
      </c>
      <c r="CG32" s="118" t="s">
        <v>230</v>
      </c>
      <c r="CH32" s="118" t="s">
        <v>6300</v>
      </c>
      <c r="CI32" s="118" t="s">
        <v>6303</v>
      </c>
      <c r="CJ32" s="118" t="s">
        <v>398</v>
      </c>
      <c r="CK32" s="118">
        <v>15</v>
      </c>
      <c r="CL32" s="118">
        <v>25</v>
      </c>
      <c r="CM32" s="118" t="s">
        <v>436</v>
      </c>
      <c r="CN32" s="118" t="s">
        <v>6328</v>
      </c>
      <c r="CO32" s="118" t="s">
        <v>1096</v>
      </c>
      <c r="CP32" s="118" t="s">
        <v>400</v>
      </c>
      <c r="CQ32" s="118" t="s">
        <v>6415</v>
      </c>
      <c r="CR32" s="118" t="s">
        <v>6415</v>
      </c>
      <c r="CS32" s="118" t="s">
        <v>6415</v>
      </c>
      <c r="CT32" s="118" t="s">
        <v>6415</v>
      </c>
      <c r="CU32" s="118" t="s">
        <v>6415</v>
      </c>
      <c r="CV32" s="118" t="s">
        <v>6415</v>
      </c>
      <c r="CW32" s="118">
        <v>0</v>
      </c>
      <c r="CX32" s="118" t="s">
        <v>1066</v>
      </c>
      <c r="CY32" s="118" t="s">
        <v>6151</v>
      </c>
      <c r="CZ32" s="118">
        <v>1</v>
      </c>
      <c r="DA32" s="118" t="s">
        <v>410</v>
      </c>
      <c r="DB32" s="118" t="s">
        <v>411</v>
      </c>
      <c r="DC32" s="118" t="s">
        <v>6415</v>
      </c>
      <c r="DD32" s="118" t="s">
        <v>6300</v>
      </c>
      <c r="DE32" s="118" t="s">
        <v>6303</v>
      </c>
      <c r="DF32" s="118" t="s">
        <v>398</v>
      </c>
      <c r="DG32" s="118">
        <v>0</v>
      </c>
      <c r="DH32" s="118">
        <v>25</v>
      </c>
      <c r="DI32" s="118" t="s">
        <v>6355</v>
      </c>
      <c r="DJ32" s="118" t="s">
        <v>398</v>
      </c>
      <c r="DK32" s="118" t="s">
        <v>400</v>
      </c>
      <c r="DL32" s="118" t="s">
        <v>6415</v>
      </c>
      <c r="DM32" s="118" t="s">
        <v>6415</v>
      </c>
      <c r="DN32" s="118" t="s">
        <v>6415</v>
      </c>
      <c r="DO32" s="118" t="s">
        <v>6415</v>
      </c>
      <c r="DP32" s="118" t="s">
        <v>6415</v>
      </c>
      <c r="DQ32" s="118" t="s">
        <v>6415</v>
      </c>
      <c r="DR32" s="118">
        <v>35</v>
      </c>
      <c r="DS32" s="118" t="s">
        <v>1066</v>
      </c>
      <c r="DT32" s="118" t="s">
        <v>6341</v>
      </c>
      <c r="DU32" s="118" t="s">
        <v>6415</v>
      </c>
      <c r="DV32" s="118" t="s">
        <v>6415</v>
      </c>
      <c r="DW32" s="118" t="s">
        <v>6415</v>
      </c>
      <c r="DX32" s="118" t="s">
        <v>6415</v>
      </c>
      <c r="DY32" s="118" t="s">
        <v>6415</v>
      </c>
      <c r="DZ32" s="118" t="s">
        <v>6415</v>
      </c>
      <c r="EA32" s="118" t="s">
        <v>6415</v>
      </c>
      <c r="EB32" s="118" t="s">
        <v>6415</v>
      </c>
      <c r="EC32" s="118" t="s">
        <v>6415</v>
      </c>
      <c r="ED32" s="118" t="s">
        <v>6415</v>
      </c>
      <c r="EE32" s="118" t="s">
        <v>6415</v>
      </c>
      <c r="EF32" s="118" t="s">
        <v>6415</v>
      </c>
      <c r="EG32" s="118" t="s">
        <v>7025</v>
      </c>
      <c r="EH32" s="118" t="s">
        <v>7026</v>
      </c>
      <c r="EI32" s="118" t="s">
        <v>6415</v>
      </c>
      <c r="EJ32" s="118" t="s">
        <v>6415</v>
      </c>
      <c r="EK32" s="118" t="s">
        <v>6415</v>
      </c>
      <c r="EL32" s="118" t="s">
        <v>7467</v>
      </c>
      <c r="EM32" s="118" t="s">
        <v>7024</v>
      </c>
      <c r="EN32" s="118" t="s">
        <v>6415</v>
      </c>
      <c r="EO32" s="6" t="str">
        <f t="shared" si="10"/>
        <v>Pathweb</v>
      </c>
      <c r="EP32" s="6" t="str">
        <f t="shared" si="11"/>
        <v>Google Maps</v>
      </c>
      <c r="EQ32" s="6" t="str">
        <f t="shared" si="12"/>
        <v>Mashed Map</v>
      </c>
      <c r="ER32" s="118" t="s">
        <v>6727</v>
      </c>
      <c r="ES32" s="118" t="s">
        <v>71</v>
      </c>
      <c r="ET32" s="4">
        <v>3.0000000000000001E-3</v>
      </c>
      <c r="EU32" s="4"/>
      <c r="EV32" s="4"/>
    </row>
    <row r="33" spans="1:152" x14ac:dyDescent="0.15">
      <c r="A33" s="581" t="str">
        <f t="shared" si="9"/>
        <v>Crash Report</v>
      </c>
      <c r="B33" s="14">
        <v>20213049768</v>
      </c>
      <c r="C33" s="118">
        <v>2021</v>
      </c>
      <c r="D33" s="14">
        <v>21031027701550</v>
      </c>
      <c r="F33" s="118" t="s">
        <v>6442</v>
      </c>
      <c r="G33" s="118" t="s">
        <v>390</v>
      </c>
      <c r="H33" s="118">
        <v>2</v>
      </c>
      <c r="I33" s="118" t="s">
        <v>6055</v>
      </c>
      <c r="J33" s="118" t="s">
        <v>391</v>
      </c>
      <c r="K33" s="118" t="s">
        <v>6985</v>
      </c>
      <c r="L33" s="118">
        <v>0.09</v>
      </c>
      <c r="M33" s="118">
        <v>0.09</v>
      </c>
      <c r="N33" s="118" t="s">
        <v>7465</v>
      </c>
      <c r="O33" s="118" t="s">
        <v>7475</v>
      </c>
      <c r="P33" s="118">
        <v>41.647981999999999</v>
      </c>
      <c r="Q33" s="118">
        <v>-83.524343999999999</v>
      </c>
      <c r="R33" s="118">
        <v>77000</v>
      </c>
      <c r="S33" s="118" t="s">
        <v>6988</v>
      </c>
      <c r="T33" s="118">
        <v>1</v>
      </c>
      <c r="U33" s="118">
        <v>0</v>
      </c>
      <c r="V33" s="118">
        <v>0</v>
      </c>
      <c r="W33" s="118">
        <v>0</v>
      </c>
      <c r="X33" s="118">
        <v>0</v>
      </c>
      <c r="Y33" s="118">
        <v>7</v>
      </c>
      <c r="Z33" s="118">
        <v>0</v>
      </c>
      <c r="AA33" s="118">
        <v>3</v>
      </c>
      <c r="AB33" s="118" t="s">
        <v>1067</v>
      </c>
      <c r="AC33" s="118" t="s">
        <v>6989</v>
      </c>
      <c r="AD33" s="118" t="s">
        <v>1034</v>
      </c>
      <c r="AE33" s="118" t="s">
        <v>943</v>
      </c>
      <c r="AF33" s="118" t="s">
        <v>1042</v>
      </c>
      <c r="AG33" s="118" t="s">
        <v>6415</v>
      </c>
      <c r="AH33" s="118" t="s">
        <v>393</v>
      </c>
      <c r="AI33" s="118">
        <v>4</v>
      </c>
      <c r="AJ33" s="118" t="s">
        <v>6415</v>
      </c>
      <c r="AK33" s="118" t="s">
        <v>393</v>
      </c>
      <c r="AL33" s="118" t="s">
        <v>393</v>
      </c>
      <c r="AM33" s="118" t="s">
        <v>393</v>
      </c>
      <c r="AN33" s="402" t="s">
        <v>5975</v>
      </c>
      <c r="AO33" s="402">
        <v>44265</v>
      </c>
      <c r="AP33" s="118">
        <v>3</v>
      </c>
      <c r="AQ33" s="118">
        <v>15</v>
      </c>
      <c r="AR33" s="118" t="s">
        <v>6446</v>
      </c>
      <c r="AS33" s="118" t="s">
        <v>392</v>
      </c>
      <c r="AT33" s="118" t="s">
        <v>500</v>
      </c>
      <c r="AU33" s="118" t="s">
        <v>404</v>
      </c>
      <c r="AV33" s="118" t="s">
        <v>509</v>
      </c>
      <c r="AW33" s="118" t="s">
        <v>393</v>
      </c>
      <c r="AX33" s="118" t="s">
        <v>393</v>
      </c>
      <c r="AY33" s="118" t="s">
        <v>393</v>
      </c>
      <c r="AZ33" s="118" t="s">
        <v>393</v>
      </c>
      <c r="BA33" s="118" t="s">
        <v>393</v>
      </c>
      <c r="BB33" s="118" t="s">
        <v>393</v>
      </c>
      <c r="BC33" s="118" t="s">
        <v>393</v>
      </c>
      <c r="BD33" s="118" t="s">
        <v>393</v>
      </c>
      <c r="BE33" s="118" t="s">
        <v>393</v>
      </c>
      <c r="BF33" s="118" t="s">
        <v>393</v>
      </c>
      <c r="BG33" s="118" t="s">
        <v>393</v>
      </c>
      <c r="BH33" s="118" t="s">
        <v>394</v>
      </c>
      <c r="BI33" s="118" t="s">
        <v>394</v>
      </c>
      <c r="BJ33" s="118" t="s">
        <v>393</v>
      </c>
      <c r="BK33" s="118" t="s">
        <v>6988</v>
      </c>
      <c r="BL33" s="118" t="s">
        <v>6415</v>
      </c>
      <c r="BM33" s="118" t="s">
        <v>6990</v>
      </c>
      <c r="BN33" s="118" t="s">
        <v>6991</v>
      </c>
      <c r="BO33" s="118" t="s">
        <v>6415</v>
      </c>
      <c r="BP33" s="118" t="s">
        <v>6415</v>
      </c>
      <c r="BQ33" s="118" t="s">
        <v>6415</v>
      </c>
      <c r="BR33" s="118" t="s">
        <v>6415</v>
      </c>
      <c r="BS33" s="118" t="s">
        <v>6415</v>
      </c>
      <c r="BT33" s="118" t="s">
        <v>2583</v>
      </c>
      <c r="BU33" s="118" t="s">
        <v>7017</v>
      </c>
      <c r="BV33" s="118" t="s">
        <v>6415</v>
      </c>
      <c r="BW33" s="118" t="s">
        <v>6415</v>
      </c>
      <c r="BX33" s="118" t="s">
        <v>6415</v>
      </c>
      <c r="BY33" s="118" t="s">
        <v>6415</v>
      </c>
      <c r="BZ33" s="118" t="s">
        <v>6415</v>
      </c>
      <c r="CA33" s="118" t="s">
        <v>6415</v>
      </c>
      <c r="CB33" s="118" t="s">
        <v>221</v>
      </c>
      <c r="CC33" s="118" t="s">
        <v>740</v>
      </c>
      <c r="CD33" s="118">
        <v>3</v>
      </c>
      <c r="CE33" s="118" t="s">
        <v>411</v>
      </c>
      <c r="CF33" s="118" t="s">
        <v>410</v>
      </c>
      <c r="CG33" s="118" t="s">
        <v>924</v>
      </c>
      <c r="CH33" s="118" t="s">
        <v>6302</v>
      </c>
      <c r="CI33" s="118" t="s">
        <v>6303</v>
      </c>
      <c r="CJ33" s="118" t="s">
        <v>398</v>
      </c>
      <c r="CK33" s="14">
        <v>35</v>
      </c>
      <c r="CL33" s="118">
        <v>35</v>
      </c>
      <c r="CM33" s="118" t="s">
        <v>399</v>
      </c>
      <c r="CN33" s="118" t="s">
        <v>398</v>
      </c>
      <c r="CO33" s="118" t="s">
        <v>1096</v>
      </c>
      <c r="CP33" s="118" t="s">
        <v>400</v>
      </c>
      <c r="CQ33" s="118" t="s">
        <v>6415</v>
      </c>
      <c r="CR33" s="118" t="s">
        <v>6415</v>
      </c>
      <c r="CS33" s="118" t="s">
        <v>6415</v>
      </c>
      <c r="CT33" s="118" t="s">
        <v>6415</v>
      </c>
      <c r="CU33" s="118" t="s">
        <v>6415</v>
      </c>
      <c r="CV33" s="118" t="s">
        <v>6415</v>
      </c>
      <c r="CW33" s="14">
        <v>0</v>
      </c>
      <c r="CX33" s="118" t="s">
        <v>401</v>
      </c>
      <c r="CY33" s="118" t="s">
        <v>6151</v>
      </c>
      <c r="CZ33" s="118">
        <v>2</v>
      </c>
      <c r="DA33" s="118" t="s">
        <v>411</v>
      </c>
      <c r="DB33" s="118" t="s">
        <v>410</v>
      </c>
      <c r="DC33" s="118" t="s">
        <v>6415</v>
      </c>
      <c r="DD33" s="118" t="s">
        <v>6302</v>
      </c>
      <c r="DE33" s="118" t="s">
        <v>6303</v>
      </c>
      <c r="DF33" s="118" t="s">
        <v>398</v>
      </c>
      <c r="DG33" s="14">
        <v>35</v>
      </c>
      <c r="DH33" s="118">
        <v>35</v>
      </c>
      <c r="DI33" s="118" t="s">
        <v>399</v>
      </c>
      <c r="DJ33" s="118" t="s">
        <v>398</v>
      </c>
      <c r="DK33" s="118" t="s">
        <v>400</v>
      </c>
      <c r="DL33" s="118" t="s">
        <v>6415</v>
      </c>
      <c r="DM33" s="118" t="s">
        <v>6415</v>
      </c>
      <c r="DN33" s="118" t="s">
        <v>6415</v>
      </c>
      <c r="DO33" s="118" t="s">
        <v>6415</v>
      </c>
      <c r="DP33" s="118" t="s">
        <v>6415</v>
      </c>
      <c r="DQ33" s="118" t="s">
        <v>6415</v>
      </c>
      <c r="DR33" s="118">
        <v>41</v>
      </c>
      <c r="DS33" s="118" t="s">
        <v>1066</v>
      </c>
      <c r="DT33" s="118" t="s">
        <v>6341</v>
      </c>
      <c r="DU33" s="118">
        <v>1</v>
      </c>
      <c r="DV33" s="118" t="s">
        <v>6302</v>
      </c>
      <c r="DW33" s="118" t="s">
        <v>6303</v>
      </c>
      <c r="DX33" s="118" t="s">
        <v>398</v>
      </c>
      <c r="DY33" s="118" t="s">
        <v>399</v>
      </c>
      <c r="DZ33" s="118" t="s">
        <v>398</v>
      </c>
      <c r="EA33" s="118" t="s">
        <v>400</v>
      </c>
      <c r="EB33" s="118" t="s">
        <v>6415</v>
      </c>
      <c r="EC33" s="118" t="s">
        <v>6415</v>
      </c>
      <c r="ED33" s="118" t="s">
        <v>6415</v>
      </c>
      <c r="EE33" s="118" t="s">
        <v>6415</v>
      </c>
      <c r="EF33" s="118" t="s">
        <v>6415</v>
      </c>
      <c r="EG33" s="118" t="s">
        <v>7028</v>
      </c>
      <c r="EH33" s="118" t="s">
        <v>7029</v>
      </c>
      <c r="EI33" s="118" t="s">
        <v>6415</v>
      </c>
      <c r="EJ33" s="118" t="s">
        <v>6415</v>
      </c>
      <c r="EK33" s="118" t="s">
        <v>6415</v>
      </c>
      <c r="EL33" s="118" t="s">
        <v>7467</v>
      </c>
      <c r="EM33" s="118" t="s">
        <v>7027</v>
      </c>
      <c r="EN33" s="118" t="s">
        <v>6415</v>
      </c>
      <c r="EO33" s="6" t="str">
        <f t="shared" si="10"/>
        <v>Pathweb</v>
      </c>
      <c r="EP33" s="6" t="str">
        <f t="shared" si="11"/>
        <v>Google Maps</v>
      </c>
      <c r="EQ33" s="6" t="str">
        <f t="shared" si="12"/>
        <v>Mashed Map</v>
      </c>
      <c r="ER33" s="118" t="s">
        <v>6727</v>
      </c>
      <c r="ES33" s="118" t="s">
        <v>71</v>
      </c>
      <c r="ET33" s="4">
        <v>0</v>
      </c>
      <c r="EU33" s="4"/>
      <c r="EV33" s="4"/>
    </row>
    <row r="34" spans="1:152" x14ac:dyDescent="0.15">
      <c r="A34" s="581" t="str">
        <f t="shared" si="9"/>
        <v>Crash Report</v>
      </c>
      <c r="B34" s="14">
        <v>20213052599</v>
      </c>
      <c r="C34" s="118">
        <v>2021</v>
      </c>
      <c r="D34" s="14">
        <v>21040120280640</v>
      </c>
      <c r="F34" s="118" t="s">
        <v>6442</v>
      </c>
      <c r="G34" s="118" t="s">
        <v>402</v>
      </c>
      <c r="H34" s="118">
        <v>2</v>
      </c>
      <c r="I34" s="118" t="s">
        <v>6055</v>
      </c>
      <c r="J34" s="118" t="s">
        <v>391</v>
      </c>
      <c r="K34" s="118" t="s">
        <v>6985</v>
      </c>
      <c r="L34" s="118">
        <v>0.72199999999999998</v>
      </c>
      <c r="M34" s="118">
        <v>0.72199999999999998</v>
      </c>
      <c r="N34" s="118" t="s">
        <v>7465</v>
      </c>
      <c r="O34" s="118" t="s">
        <v>7476</v>
      </c>
      <c r="P34" s="118">
        <v>41.653725999999999</v>
      </c>
      <c r="Q34" s="118">
        <v>-83.514921000000001</v>
      </c>
      <c r="R34" s="118">
        <v>77000</v>
      </c>
      <c r="S34" s="118" t="s">
        <v>6988</v>
      </c>
      <c r="T34" s="118">
        <v>1</v>
      </c>
      <c r="U34" s="118">
        <v>0</v>
      </c>
      <c r="V34" s="118">
        <v>0</v>
      </c>
      <c r="W34" s="118">
        <v>0</v>
      </c>
      <c r="X34" s="118">
        <v>0</v>
      </c>
      <c r="Y34" s="118">
        <v>2</v>
      </c>
      <c r="Z34" s="118">
        <v>0</v>
      </c>
      <c r="AA34" s="118">
        <v>2</v>
      </c>
      <c r="AB34" s="118" t="s">
        <v>1067</v>
      </c>
      <c r="AC34" s="118" t="s">
        <v>6989</v>
      </c>
      <c r="AD34" s="118" t="s">
        <v>1034</v>
      </c>
      <c r="AE34" s="118" t="s">
        <v>943</v>
      </c>
      <c r="AF34" s="118" t="s">
        <v>1041</v>
      </c>
      <c r="AG34" s="118" t="s">
        <v>6415</v>
      </c>
      <c r="AH34" s="118" t="s">
        <v>393</v>
      </c>
      <c r="AI34" s="118">
        <v>4</v>
      </c>
      <c r="AJ34" s="118" t="s">
        <v>6415</v>
      </c>
      <c r="AK34" s="118" t="s">
        <v>393</v>
      </c>
      <c r="AL34" s="118" t="s">
        <v>393</v>
      </c>
      <c r="AM34" s="118" t="s">
        <v>393</v>
      </c>
      <c r="AN34" s="402" t="s">
        <v>5975</v>
      </c>
      <c r="AO34" s="402">
        <v>44287</v>
      </c>
      <c r="AP34" s="118">
        <v>4</v>
      </c>
      <c r="AQ34" s="118">
        <v>6</v>
      </c>
      <c r="AR34" s="118" t="s">
        <v>6447</v>
      </c>
      <c r="AS34" s="118" t="s">
        <v>392</v>
      </c>
      <c r="AT34" s="118" t="s">
        <v>500</v>
      </c>
      <c r="AU34" s="118" t="s">
        <v>6324</v>
      </c>
      <c r="AV34" s="118" t="s">
        <v>508</v>
      </c>
      <c r="AW34" s="118" t="s">
        <v>393</v>
      </c>
      <c r="AX34" s="118" t="s">
        <v>393</v>
      </c>
      <c r="AY34" s="118" t="s">
        <v>393</v>
      </c>
      <c r="AZ34" s="118" t="s">
        <v>393</v>
      </c>
      <c r="BA34" s="118" t="s">
        <v>393</v>
      </c>
      <c r="BB34" s="118" t="s">
        <v>393</v>
      </c>
      <c r="BC34" s="118" t="s">
        <v>393</v>
      </c>
      <c r="BD34" s="118" t="s">
        <v>393</v>
      </c>
      <c r="BE34" s="118" t="s">
        <v>393</v>
      </c>
      <c r="BF34" s="118" t="s">
        <v>393</v>
      </c>
      <c r="BG34" s="118" t="s">
        <v>393</v>
      </c>
      <c r="BH34" s="118" t="s">
        <v>394</v>
      </c>
      <c r="BI34" s="118" t="s">
        <v>394</v>
      </c>
      <c r="BJ34" s="118" t="s">
        <v>393</v>
      </c>
      <c r="BK34" s="118" t="s">
        <v>6988</v>
      </c>
      <c r="BL34" s="118" t="s">
        <v>6415</v>
      </c>
      <c r="BM34" s="118" t="s">
        <v>6990</v>
      </c>
      <c r="BN34" s="118" t="s">
        <v>6991</v>
      </c>
      <c r="BO34" s="118" t="s">
        <v>6415</v>
      </c>
      <c r="BP34" s="118" t="s">
        <v>6415</v>
      </c>
      <c r="BQ34" s="118" t="s">
        <v>6415</v>
      </c>
      <c r="BR34" s="118" t="s">
        <v>6415</v>
      </c>
      <c r="BS34" s="118" t="s">
        <v>6415</v>
      </c>
      <c r="BT34" s="118" t="s">
        <v>7033</v>
      </c>
      <c r="BU34" s="118" t="s">
        <v>6991</v>
      </c>
      <c r="BV34" s="118" t="s">
        <v>6415</v>
      </c>
      <c r="BW34" s="118" t="s">
        <v>6415</v>
      </c>
      <c r="BX34" s="118" t="s">
        <v>6415</v>
      </c>
      <c r="BY34" s="118" t="s">
        <v>6415</v>
      </c>
      <c r="BZ34" s="118" t="s">
        <v>6415</v>
      </c>
      <c r="CA34" s="118" t="s">
        <v>6415</v>
      </c>
      <c r="CB34" s="118" t="s">
        <v>221</v>
      </c>
      <c r="CC34" s="118" t="s">
        <v>740</v>
      </c>
      <c r="CD34" s="118">
        <v>1</v>
      </c>
      <c r="CE34" s="118" t="s">
        <v>405</v>
      </c>
      <c r="CF34" s="118" t="s">
        <v>406</v>
      </c>
      <c r="CG34" s="118" t="s">
        <v>924</v>
      </c>
      <c r="CH34" s="118" t="s">
        <v>6302</v>
      </c>
      <c r="CI34" s="118" t="s">
        <v>6303</v>
      </c>
      <c r="CJ34" s="118" t="s">
        <v>398</v>
      </c>
      <c r="CK34" s="14">
        <v>30</v>
      </c>
      <c r="CL34" s="118">
        <v>35</v>
      </c>
      <c r="CM34" s="118" t="s">
        <v>439</v>
      </c>
      <c r="CN34" s="118" t="s">
        <v>6329</v>
      </c>
      <c r="CO34" s="118" t="s">
        <v>1096</v>
      </c>
      <c r="CP34" s="118" t="s">
        <v>400</v>
      </c>
      <c r="CQ34" s="118" t="s">
        <v>6415</v>
      </c>
      <c r="CR34" s="118" t="s">
        <v>6415</v>
      </c>
      <c r="CS34" s="118" t="s">
        <v>6415</v>
      </c>
      <c r="CT34" s="118" t="s">
        <v>6415</v>
      </c>
      <c r="CU34" s="118" t="s">
        <v>6415</v>
      </c>
      <c r="CV34" s="118" t="s">
        <v>6415</v>
      </c>
      <c r="CW34" s="14">
        <v>26</v>
      </c>
      <c r="CX34" s="118" t="s">
        <v>1068</v>
      </c>
      <c r="CY34" s="118" t="s">
        <v>6341</v>
      </c>
      <c r="CZ34" s="118">
        <v>2</v>
      </c>
      <c r="DA34" s="118" t="s">
        <v>405</v>
      </c>
      <c r="DB34" s="118" t="s">
        <v>406</v>
      </c>
      <c r="DC34" s="118" t="s">
        <v>6415</v>
      </c>
      <c r="DD34" s="118" t="s">
        <v>6302</v>
      </c>
      <c r="DE34" s="118" t="s">
        <v>6303</v>
      </c>
      <c r="DF34" s="118" t="s">
        <v>398</v>
      </c>
      <c r="DG34" s="14">
        <v>26</v>
      </c>
      <c r="DH34" s="118">
        <v>35</v>
      </c>
      <c r="DI34" s="118" t="s">
        <v>399</v>
      </c>
      <c r="DJ34" s="118" t="s">
        <v>398</v>
      </c>
      <c r="DK34" s="118" t="s">
        <v>400</v>
      </c>
      <c r="DL34" s="118" t="s">
        <v>6415</v>
      </c>
      <c r="DM34" s="118" t="s">
        <v>6415</v>
      </c>
      <c r="DN34" s="118" t="s">
        <v>6415</v>
      </c>
      <c r="DO34" s="118" t="s">
        <v>6415</v>
      </c>
      <c r="DP34" s="118" t="s">
        <v>6415</v>
      </c>
      <c r="DQ34" s="118" t="s">
        <v>6415</v>
      </c>
      <c r="DR34" s="118">
        <v>0</v>
      </c>
      <c r="DS34" s="118" t="s">
        <v>6415</v>
      </c>
      <c r="DT34" s="118" t="s">
        <v>6151</v>
      </c>
      <c r="DU34" s="118" t="s">
        <v>6415</v>
      </c>
      <c r="DV34" s="118" t="s">
        <v>6415</v>
      </c>
      <c r="DW34" s="118" t="s">
        <v>6415</v>
      </c>
      <c r="DX34" s="118" t="s">
        <v>6415</v>
      </c>
      <c r="DY34" s="118" t="s">
        <v>6415</v>
      </c>
      <c r="DZ34" s="118" t="s">
        <v>6415</v>
      </c>
      <c r="EA34" s="118" t="s">
        <v>6415</v>
      </c>
      <c r="EB34" s="118" t="s">
        <v>6415</v>
      </c>
      <c r="EC34" s="118" t="s">
        <v>6415</v>
      </c>
      <c r="ED34" s="118" t="s">
        <v>6415</v>
      </c>
      <c r="EE34" s="118" t="s">
        <v>6415</v>
      </c>
      <c r="EF34" s="118" t="s">
        <v>6415</v>
      </c>
      <c r="EG34" s="118" t="s">
        <v>7031</v>
      </c>
      <c r="EH34" s="118" t="s">
        <v>7032</v>
      </c>
      <c r="EI34" s="118" t="s">
        <v>6415</v>
      </c>
      <c r="EJ34" s="118" t="s">
        <v>6415</v>
      </c>
      <c r="EK34" s="118" t="s">
        <v>6415</v>
      </c>
      <c r="EL34" s="118" t="s">
        <v>7467</v>
      </c>
      <c r="EM34" s="118" t="s">
        <v>7030</v>
      </c>
      <c r="EN34" s="118" t="s">
        <v>6415</v>
      </c>
      <c r="EO34" s="6" t="str">
        <f t="shared" si="10"/>
        <v>Pathweb</v>
      </c>
      <c r="EP34" s="6" t="str">
        <f t="shared" si="11"/>
        <v>Google Maps</v>
      </c>
      <c r="EQ34" s="6" t="str">
        <f t="shared" si="12"/>
        <v>Mashed Map</v>
      </c>
      <c r="ER34" s="118" t="s">
        <v>6727</v>
      </c>
      <c r="ES34" s="118" t="s">
        <v>71</v>
      </c>
      <c r="ET34" s="4">
        <v>0</v>
      </c>
      <c r="EU34" s="4"/>
      <c r="EV34" s="4"/>
    </row>
    <row r="35" spans="1:152" x14ac:dyDescent="0.15">
      <c r="A35" s="581" t="str">
        <f t="shared" si="9"/>
        <v>Crash Report</v>
      </c>
      <c r="B35" s="118">
        <v>20213052662</v>
      </c>
      <c r="C35" s="118">
        <v>2021</v>
      </c>
      <c r="D35" s="118">
        <v>21040426712100</v>
      </c>
      <c r="F35" s="118" t="s">
        <v>6442</v>
      </c>
      <c r="G35" s="118" t="s">
        <v>416</v>
      </c>
      <c r="H35" s="118">
        <v>2</v>
      </c>
      <c r="I35" s="118" t="s">
        <v>6055</v>
      </c>
      <c r="J35" s="118" t="s">
        <v>391</v>
      </c>
      <c r="K35" s="118" t="s">
        <v>6997</v>
      </c>
      <c r="L35" s="118">
        <v>0.60599999999999998</v>
      </c>
      <c r="M35" s="118">
        <v>0.60599999999999998</v>
      </c>
      <c r="N35" s="118" t="s">
        <v>7469</v>
      </c>
      <c r="O35" s="118" t="s">
        <v>7477</v>
      </c>
      <c r="P35" s="118">
        <v>41.647316000000004</v>
      </c>
      <c r="Q35" s="118">
        <v>-83.522154999999998</v>
      </c>
      <c r="R35" s="118">
        <v>77000</v>
      </c>
      <c r="S35" s="118" t="s">
        <v>6988</v>
      </c>
      <c r="T35" s="118">
        <v>1</v>
      </c>
      <c r="U35" s="118">
        <v>0</v>
      </c>
      <c r="V35" s="118">
        <v>0</v>
      </c>
      <c r="W35" s="118">
        <v>0</v>
      </c>
      <c r="X35" s="118">
        <v>0</v>
      </c>
      <c r="Y35" s="118">
        <v>1</v>
      </c>
      <c r="Z35" s="118">
        <v>0</v>
      </c>
      <c r="AA35" s="118">
        <v>1</v>
      </c>
      <c r="AB35" s="118" t="s">
        <v>1067</v>
      </c>
      <c r="AC35" s="118" t="s">
        <v>6989</v>
      </c>
      <c r="AD35" s="118" t="s">
        <v>1034</v>
      </c>
      <c r="AE35" s="118" t="s">
        <v>943</v>
      </c>
      <c r="AF35" s="118" t="s">
        <v>1042</v>
      </c>
      <c r="AG35" s="118" t="s">
        <v>6415</v>
      </c>
      <c r="AH35" s="118" t="s">
        <v>393</v>
      </c>
      <c r="AI35" s="118">
        <v>2</v>
      </c>
      <c r="AJ35" s="118" t="s">
        <v>6415</v>
      </c>
      <c r="AK35" s="118" t="s">
        <v>393</v>
      </c>
      <c r="AL35" s="118" t="s">
        <v>393</v>
      </c>
      <c r="AM35" s="118" t="s">
        <v>393</v>
      </c>
      <c r="AN35" s="402" t="s">
        <v>5975</v>
      </c>
      <c r="AO35" s="402">
        <v>44290</v>
      </c>
      <c r="AP35" s="118">
        <v>4</v>
      </c>
      <c r="AQ35" s="118">
        <v>21</v>
      </c>
      <c r="AR35" s="118" t="s">
        <v>6443</v>
      </c>
      <c r="AS35" s="118" t="s">
        <v>392</v>
      </c>
      <c r="AT35" s="118" t="s">
        <v>500</v>
      </c>
      <c r="AU35" s="118" t="s">
        <v>505</v>
      </c>
      <c r="AV35" s="118" t="s">
        <v>508</v>
      </c>
      <c r="AW35" s="118" t="s">
        <v>740</v>
      </c>
      <c r="AX35" s="118" t="s">
        <v>740</v>
      </c>
      <c r="AY35" s="118" t="s">
        <v>393</v>
      </c>
      <c r="AZ35" s="118" t="s">
        <v>393</v>
      </c>
      <c r="BA35" s="118" t="s">
        <v>393</v>
      </c>
      <c r="BB35" s="118" t="s">
        <v>393</v>
      </c>
      <c r="BC35" s="118" t="s">
        <v>393</v>
      </c>
      <c r="BD35" s="118" t="s">
        <v>740</v>
      </c>
      <c r="BE35" s="118" t="s">
        <v>393</v>
      </c>
      <c r="BF35" s="118" t="s">
        <v>393</v>
      </c>
      <c r="BG35" s="118" t="s">
        <v>393</v>
      </c>
      <c r="BH35" s="118" t="s">
        <v>394</v>
      </c>
      <c r="BI35" s="118" t="s">
        <v>394</v>
      </c>
      <c r="BJ35" s="118" t="s">
        <v>393</v>
      </c>
      <c r="BK35" s="118" t="s">
        <v>6988</v>
      </c>
      <c r="BL35" s="118" t="s">
        <v>6415</v>
      </c>
      <c r="BM35" s="118" t="s">
        <v>6992</v>
      </c>
      <c r="BN35" s="118" t="s">
        <v>6991</v>
      </c>
      <c r="BO35" s="118" t="s">
        <v>6415</v>
      </c>
      <c r="BP35" s="118" t="s">
        <v>6415</v>
      </c>
      <c r="BQ35" s="118" t="s">
        <v>6415</v>
      </c>
      <c r="BR35" s="118" t="s">
        <v>6415</v>
      </c>
      <c r="BS35" s="118" t="s">
        <v>6415</v>
      </c>
      <c r="BT35" s="118" t="s">
        <v>7000</v>
      </c>
      <c r="BU35" s="118" t="s">
        <v>6991</v>
      </c>
      <c r="BV35" s="118" t="s">
        <v>6415</v>
      </c>
      <c r="BW35" s="118" t="s">
        <v>6415</v>
      </c>
      <c r="BX35" s="118" t="s">
        <v>6415</v>
      </c>
      <c r="BY35" s="118" t="s">
        <v>6415</v>
      </c>
      <c r="BZ35" s="118" t="s">
        <v>6415</v>
      </c>
      <c r="CA35" s="118" t="s">
        <v>6415</v>
      </c>
      <c r="CB35" s="118" t="s">
        <v>221</v>
      </c>
      <c r="CC35" s="118" t="s">
        <v>740</v>
      </c>
      <c r="CD35" s="118">
        <v>1</v>
      </c>
      <c r="CE35" s="118" t="s">
        <v>405</v>
      </c>
      <c r="CF35" s="118" t="s">
        <v>406</v>
      </c>
      <c r="CG35" s="118" t="s">
        <v>924</v>
      </c>
      <c r="CH35" s="118" t="s">
        <v>6302</v>
      </c>
      <c r="CI35" s="118" t="s">
        <v>6303</v>
      </c>
      <c r="CJ35" s="118" t="s">
        <v>398</v>
      </c>
      <c r="CK35" s="118">
        <v>0</v>
      </c>
      <c r="CL35" s="118">
        <v>25</v>
      </c>
      <c r="CM35" s="118" t="s">
        <v>399</v>
      </c>
      <c r="CN35" s="118" t="s">
        <v>425</v>
      </c>
      <c r="CO35" s="118" t="s">
        <v>461</v>
      </c>
      <c r="CP35" s="118" t="s">
        <v>461</v>
      </c>
      <c r="CQ35" s="118" t="s">
        <v>461</v>
      </c>
      <c r="CR35" s="118" t="s">
        <v>6415</v>
      </c>
      <c r="CS35" s="118" t="s">
        <v>6415</v>
      </c>
      <c r="CT35" s="118" t="s">
        <v>6415</v>
      </c>
      <c r="CU35" s="118" t="s">
        <v>6415</v>
      </c>
      <c r="CV35" s="118" t="s">
        <v>6415</v>
      </c>
      <c r="CW35" s="118">
        <v>0</v>
      </c>
      <c r="CX35" s="118" t="s">
        <v>401</v>
      </c>
      <c r="CY35" s="118" t="s">
        <v>6151</v>
      </c>
      <c r="CZ35" s="118" t="s">
        <v>6415</v>
      </c>
      <c r="DA35" s="118" t="s">
        <v>6415</v>
      </c>
      <c r="DB35" s="118" t="s">
        <v>6415</v>
      </c>
      <c r="DC35" s="118" t="s">
        <v>6415</v>
      </c>
      <c r="DD35" s="118" t="s">
        <v>6415</v>
      </c>
      <c r="DE35" s="118" t="s">
        <v>6415</v>
      </c>
      <c r="DF35" s="118" t="s">
        <v>6415</v>
      </c>
      <c r="DG35" s="118" t="s">
        <v>6415</v>
      </c>
      <c r="DH35" s="118" t="s">
        <v>6415</v>
      </c>
      <c r="DI35" s="118" t="s">
        <v>6415</v>
      </c>
      <c r="DJ35" s="118" t="s">
        <v>6415</v>
      </c>
      <c r="DK35" s="118" t="s">
        <v>6415</v>
      </c>
      <c r="DL35" s="118" t="s">
        <v>6415</v>
      </c>
      <c r="DM35" s="118" t="s">
        <v>6415</v>
      </c>
      <c r="DN35" s="118" t="s">
        <v>6415</v>
      </c>
      <c r="DO35" s="118" t="s">
        <v>6415</v>
      </c>
      <c r="DP35" s="118" t="s">
        <v>6415</v>
      </c>
      <c r="DQ35" s="118" t="s">
        <v>6415</v>
      </c>
      <c r="DR35" s="118">
        <v>0</v>
      </c>
      <c r="DS35" s="118" t="s">
        <v>6415</v>
      </c>
      <c r="DT35" s="118" t="s">
        <v>6415</v>
      </c>
      <c r="DU35" s="118" t="s">
        <v>6415</v>
      </c>
      <c r="DV35" s="118" t="s">
        <v>6415</v>
      </c>
      <c r="DW35" s="118" t="s">
        <v>6415</v>
      </c>
      <c r="DX35" s="118" t="s">
        <v>6415</v>
      </c>
      <c r="DY35" s="118" t="s">
        <v>6415</v>
      </c>
      <c r="DZ35" s="118" t="s">
        <v>6415</v>
      </c>
      <c r="EA35" s="118" t="s">
        <v>6415</v>
      </c>
      <c r="EB35" s="118" t="s">
        <v>6415</v>
      </c>
      <c r="EC35" s="118" t="s">
        <v>6415</v>
      </c>
      <c r="ED35" s="118" t="s">
        <v>6415</v>
      </c>
      <c r="EE35" s="118" t="s">
        <v>6415</v>
      </c>
      <c r="EF35" s="118" t="s">
        <v>6415</v>
      </c>
      <c r="EG35" s="118" t="s">
        <v>7035</v>
      </c>
      <c r="EH35" s="118" t="s">
        <v>7036</v>
      </c>
      <c r="EI35" s="118" t="s">
        <v>6415</v>
      </c>
      <c r="EJ35" s="118" t="s">
        <v>6415</v>
      </c>
      <c r="EK35" s="118" t="s">
        <v>6415</v>
      </c>
      <c r="EL35" s="118" t="s">
        <v>7467</v>
      </c>
      <c r="EM35" s="118" t="s">
        <v>7034</v>
      </c>
      <c r="EN35" s="118" t="s">
        <v>6415</v>
      </c>
      <c r="EO35" s="6" t="str">
        <f t="shared" si="10"/>
        <v>Pathweb</v>
      </c>
      <c r="EP35" s="6" t="str">
        <f t="shared" si="11"/>
        <v>Google Maps</v>
      </c>
      <c r="EQ35" s="6" t="str">
        <f t="shared" si="12"/>
        <v>Mashed Map</v>
      </c>
      <c r="ER35" s="118" t="s">
        <v>6726</v>
      </c>
      <c r="ES35" s="118" t="s">
        <v>71</v>
      </c>
      <c r="ET35" s="4">
        <v>0</v>
      </c>
      <c r="EU35" s="4"/>
      <c r="EV35" s="4"/>
    </row>
    <row r="36" spans="1:152" x14ac:dyDescent="0.15">
      <c r="A36" s="581" t="str">
        <f t="shared" si="9"/>
        <v>Crash Report</v>
      </c>
      <c r="B36" s="118">
        <v>20213053732</v>
      </c>
      <c r="C36" s="118">
        <v>2021</v>
      </c>
      <c r="D36" s="118">
        <v>21040621941120</v>
      </c>
      <c r="F36" s="118" t="s">
        <v>6441</v>
      </c>
      <c r="G36" s="118" t="s">
        <v>390</v>
      </c>
      <c r="H36" s="118">
        <v>2</v>
      </c>
      <c r="I36" s="118" t="s">
        <v>6055</v>
      </c>
      <c r="J36" s="118" t="s">
        <v>423</v>
      </c>
      <c r="K36" s="118" t="s">
        <v>6997</v>
      </c>
      <c r="L36" s="118">
        <v>0.60599999999999998</v>
      </c>
      <c r="M36" s="118">
        <v>0.60599999999999998</v>
      </c>
      <c r="N36" s="118" t="s">
        <v>7469</v>
      </c>
      <c r="O36" s="118" t="s">
        <v>7477</v>
      </c>
      <c r="P36" s="118">
        <v>41.647316000000004</v>
      </c>
      <c r="Q36" s="118">
        <v>-83.522154999999998</v>
      </c>
      <c r="R36" s="118">
        <v>77000</v>
      </c>
      <c r="S36" s="118" t="s">
        <v>6988</v>
      </c>
      <c r="T36" s="118">
        <v>1</v>
      </c>
      <c r="U36" s="118">
        <v>0</v>
      </c>
      <c r="V36" s="118">
        <v>0</v>
      </c>
      <c r="W36" s="118">
        <v>0</v>
      </c>
      <c r="X36" s="118">
        <v>1</v>
      </c>
      <c r="Y36" s="118">
        <v>1</v>
      </c>
      <c r="Z36" s="118">
        <v>0</v>
      </c>
      <c r="AA36" s="118">
        <v>2</v>
      </c>
      <c r="AB36" s="118" t="s">
        <v>1067</v>
      </c>
      <c r="AC36" s="118" t="s">
        <v>6989</v>
      </c>
      <c r="AD36" s="118" t="s">
        <v>1034</v>
      </c>
      <c r="AE36" s="118" t="s">
        <v>943</v>
      </c>
      <c r="AF36" s="118" t="s">
        <v>1042</v>
      </c>
      <c r="AG36" s="118" t="s">
        <v>6415</v>
      </c>
      <c r="AH36" s="118" t="s">
        <v>393</v>
      </c>
      <c r="AI36" s="118">
        <v>2</v>
      </c>
      <c r="AJ36" s="118" t="s">
        <v>6415</v>
      </c>
      <c r="AK36" s="118" t="s">
        <v>393</v>
      </c>
      <c r="AL36" s="118" t="s">
        <v>393</v>
      </c>
      <c r="AM36" s="118" t="s">
        <v>393</v>
      </c>
      <c r="AN36" s="402" t="s">
        <v>5975</v>
      </c>
      <c r="AO36" s="402">
        <v>44292</v>
      </c>
      <c r="AP36" s="118">
        <v>4</v>
      </c>
      <c r="AQ36" s="118">
        <v>11</v>
      </c>
      <c r="AR36" s="118" t="s">
        <v>6445</v>
      </c>
      <c r="AS36" s="118" t="s">
        <v>392</v>
      </c>
      <c r="AT36" s="118" t="s">
        <v>500</v>
      </c>
      <c r="AU36" s="118" t="s">
        <v>404</v>
      </c>
      <c r="AV36" s="118" t="s">
        <v>508</v>
      </c>
      <c r="AW36" s="118" t="s">
        <v>393</v>
      </c>
      <c r="AX36" s="118" t="s">
        <v>740</v>
      </c>
      <c r="AY36" s="118" t="s">
        <v>393</v>
      </c>
      <c r="AZ36" s="118" t="s">
        <v>393</v>
      </c>
      <c r="BA36" s="118" t="s">
        <v>393</v>
      </c>
      <c r="BB36" s="118" t="s">
        <v>393</v>
      </c>
      <c r="BC36" s="118" t="s">
        <v>393</v>
      </c>
      <c r="BD36" s="118" t="s">
        <v>393</v>
      </c>
      <c r="BE36" s="118" t="s">
        <v>393</v>
      </c>
      <c r="BF36" s="118" t="s">
        <v>740</v>
      </c>
      <c r="BG36" s="118" t="s">
        <v>393</v>
      </c>
      <c r="BH36" s="118" t="s">
        <v>394</v>
      </c>
      <c r="BI36" s="118" t="s">
        <v>394</v>
      </c>
      <c r="BJ36" s="118" t="s">
        <v>393</v>
      </c>
      <c r="BK36" s="118" t="s">
        <v>6988</v>
      </c>
      <c r="BL36" s="118" t="s">
        <v>6415</v>
      </c>
      <c r="BM36" s="118" t="s">
        <v>6992</v>
      </c>
      <c r="BN36" s="118" t="s">
        <v>6991</v>
      </c>
      <c r="BO36" s="118" t="s">
        <v>6415</v>
      </c>
      <c r="BP36" s="118" t="s">
        <v>6415</v>
      </c>
      <c r="BQ36" s="118" t="s">
        <v>6415</v>
      </c>
      <c r="BR36" s="118" t="s">
        <v>6415</v>
      </c>
      <c r="BS36" s="118" t="s">
        <v>6415</v>
      </c>
      <c r="BT36" s="118" t="s">
        <v>7000</v>
      </c>
      <c r="BU36" s="118" t="s">
        <v>6991</v>
      </c>
      <c r="BV36" s="118" t="s">
        <v>6415</v>
      </c>
      <c r="BW36" s="118" t="s">
        <v>6415</v>
      </c>
      <c r="BX36" s="118" t="s">
        <v>6415</v>
      </c>
      <c r="BY36" s="118" t="s">
        <v>6415</v>
      </c>
      <c r="BZ36" s="118" t="s">
        <v>6415</v>
      </c>
      <c r="CA36" s="118" t="s">
        <v>6415</v>
      </c>
      <c r="CB36" s="118" t="s">
        <v>221</v>
      </c>
      <c r="CC36" s="118" t="s">
        <v>740</v>
      </c>
      <c r="CD36" s="118">
        <v>2</v>
      </c>
      <c r="CE36" s="118" t="s">
        <v>445</v>
      </c>
      <c r="CF36" s="118" t="s">
        <v>446</v>
      </c>
      <c r="CG36" s="118" t="s">
        <v>924</v>
      </c>
      <c r="CH36" s="118" t="s">
        <v>6300</v>
      </c>
      <c r="CI36" s="118" t="s">
        <v>417</v>
      </c>
      <c r="CJ36" s="118" t="s">
        <v>398</v>
      </c>
      <c r="CK36" s="14">
        <v>0</v>
      </c>
      <c r="CL36" s="118">
        <v>25</v>
      </c>
      <c r="CM36" s="118" t="s">
        <v>399</v>
      </c>
      <c r="CN36" s="118" t="s">
        <v>6512</v>
      </c>
      <c r="CO36" s="118" t="s">
        <v>1096</v>
      </c>
      <c r="CP36" s="118" t="s">
        <v>400</v>
      </c>
      <c r="CQ36" s="118" t="s">
        <v>6415</v>
      </c>
      <c r="CR36" s="118" t="s">
        <v>6415</v>
      </c>
      <c r="CS36" s="118" t="s">
        <v>6415</v>
      </c>
      <c r="CT36" s="118" t="s">
        <v>6415</v>
      </c>
      <c r="CU36" s="118" t="s">
        <v>6415</v>
      </c>
      <c r="CV36" s="118" t="s">
        <v>6415</v>
      </c>
      <c r="CW36" s="14">
        <v>0</v>
      </c>
      <c r="CX36" s="118" t="s">
        <v>1068</v>
      </c>
      <c r="CY36" s="118" t="s">
        <v>6151</v>
      </c>
      <c r="CZ36" s="118">
        <v>1</v>
      </c>
      <c r="DA36" s="118" t="s">
        <v>445</v>
      </c>
      <c r="DB36" s="118" t="s">
        <v>446</v>
      </c>
      <c r="DC36" s="118" t="s">
        <v>6415</v>
      </c>
      <c r="DD36" s="118" t="s">
        <v>6300</v>
      </c>
      <c r="DE36" s="118" t="s">
        <v>6303</v>
      </c>
      <c r="DF36" s="118" t="s">
        <v>398</v>
      </c>
      <c r="DG36" s="14">
        <v>0</v>
      </c>
      <c r="DH36" s="118">
        <v>25</v>
      </c>
      <c r="DI36" s="118" t="s">
        <v>6355</v>
      </c>
      <c r="DJ36" s="118" t="s">
        <v>398</v>
      </c>
      <c r="DK36" s="118" t="s">
        <v>400</v>
      </c>
      <c r="DL36" s="118" t="s">
        <v>6415</v>
      </c>
      <c r="DM36" s="118" t="s">
        <v>6415</v>
      </c>
      <c r="DN36" s="118" t="s">
        <v>6415</v>
      </c>
      <c r="DO36" s="118" t="s">
        <v>6415</v>
      </c>
      <c r="DP36" s="118" t="s">
        <v>6415</v>
      </c>
      <c r="DQ36" s="118" t="s">
        <v>6415</v>
      </c>
      <c r="DR36" s="118">
        <v>25</v>
      </c>
      <c r="DS36" s="118" t="s">
        <v>1066</v>
      </c>
      <c r="DT36" s="118" t="s">
        <v>6341</v>
      </c>
      <c r="DU36" s="118" t="s">
        <v>6415</v>
      </c>
      <c r="DV36" s="118" t="s">
        <v>6415</v>
      </c>
      <c r="DW36" s="118" t="s">
        <v>6415</v>
      </c>
      <c r="DX36" s="118" t="s">
        <v>6415</v>
      </c>
      <c r="DY36" s="118" t="s">
        <v>6415</v>
      </c>
      <c r="DZ36" s="118" t="s">
        <v>6415</v>
      </c>
      <c r="EA36" s="118" t="s">
        <v>6415</v>
      </c>
      <c r="EB36" s="118" t="s">
        <v>6415</v>
      </c>
      <c r="EC36" s="118" t="s">
        <v>6415</v>
      </c>
      <c r="ED36" s="118" t="s">
        <v>6415</v>
      </c>
      <c r="EE36" s="118" t="s">
        <v>6415</v>
      </c>
      <c r="EF36" s="118" t="s">
        <v>6415</v>
      </c>
      <c r="EG36" s="118" t="s">
        <v>7035</v>
      </c>
      <c r="EH36" s="118" t="s">
        <v>7036</v>
      </c>
      <c r="EI36" s="118" t="s">
        <v>6415</v>
      </c>
      <c r="EJ36" s="118" t="s">
        <v>6415</v>
      </c>
      <c r="EK36" s="118" t="s">
        <v>6415</v>
      </c>
      <c r="EL36" s="118" t="s">
        <v>7467</v>
      </c>
      <c r="EM36" s="118" t="s">
        <v>7037</v>
      </c>
      <c r="EN36" s="118" t="s">
        <v>6415</v>
      </c>
      <c r="EO36" s="6" t="str">
        <f t="shared" si="10"/>
        <v>Pathweb</v>
      </c>
      <c r="EP36" s="6" t="str">
        <f t="shared" si="11"/>
        <v>Google Maps</v>
      </c>
      <c r="EQ36" s="6" t="str">
        <f t="shared" si="12"/>
        <v>Mashed Map</v>
      </c>
      <c r="ER36" s="118" t="s">
        <v>6727</v>
      </c>
      <c r="ES36" s="118" t="s">
        <v>6728</v>
      </c>
      <c r="ET36" s="4">
        <v>0</v>
      </c>
      <c r="EU36" s="4"/>
      <c r="EV36" s="4"/>
    </row>
    <row r="37" spans="1:152" x14ac:dyDescent="0.15">
      <c r="A37" s="581" t="str">
        <f t="shared" si="9"/>
        <v>Crash Report</v>
      </c>
      <c r="B37" s="14">
        <v>20213056119</v>
      </c>
      <c r="C37" s="118">
        <v>2021</v>
      </c>
      <c r="D37" s="14">
        <v>21040826742035</v>
      </c>
      <c r="F37" s="118" t="s">
        <v>6440</v>
      </c>
      <c r="G37" s="118" t="s">
        <v>438</v>
      </c>
      <c r="H37" s="118">
        <v>2</v>
      </c>
      <c r="I37" s="118" t="s">
        <v>6055</v>
      </c>
      <c r="J37" s="118" t="s">
        <v>423</v>
      </c>
      <c r="K37" s="118" t="s">
        <v>6985</v>
      </c>
      <c r="L37" s="118">
        <v>0.14899999999999999</v>
      </c>
      <c r="M37" s="118">
        <v>0.14899999999999999</v>
      </c>
      <c r="N37" s="118" t="s">
        <v>7465</v>
      </c>
      <c r="O37" s="118" t="s">
        <v>7466</v>
      </c>
      <c r="P37" s="118">
        <v>41.648505999999998</v>
      </c>
      <c r="Q37" s="118">
        <v>-83.523465999999999</v>
      </c>
      <c r="R37" s="118">
        <v>77000</v>
      </c>
      <c r="S37" s="118" t="s">
        <v>6988</v>
      </c>
      <c r="T37" s="118">
        <v>1</v>
      </c>
      <c r="U37" s="118">
        <v>0</v>
      </c>
      <c r="V37" s="118">
        <v>0</v>
      </c>
      <c r="W37" s="118">
        <v>1</v>
      </c>
      <c r="X37" s="118">
        <v>2</v>
      </c>
      <c r="Y37" s="118">
        <v>1</v>
      </c>
      <c r="Z37" s="118">
        <v>0</v>
      </c>
      <c r="AA37" s="118">
        <v>2</v>
      </c>
      <c r="AB37" s="118" t="s">
        <v>1067</v>
      </c>
      <c r="AC37" s="118" t="s">
        <v>6989</v>
      </c>
      <c r="AD37" s="118" t="s">
        <v>1034</v>
      </c>
      <c r="AE37" s="118" t="s">
        <v>943</v>
      </c>
      <c r="AF37" s="118" t="s">
        <v>1042</v>
      </c>
      <c r="AG37" s="118" t="s">
        <v>6415</v>
      </c>
      <c r="AH37" s="118" t="s">
        <v>393</v>
      </c>
      <c r="AI37" s="118">
        <v>4</v>
      </c>
      <c r="AJ37" s="118" t="s">
        <v>6415</v>
      </c>
      <c r="AK37" s="118" t="s">
        <v>393</v>
      </c>
      <c r="AL37" s="118" t="s">
        <v>393</v>
      </c>
      <c r="AM37" s="118" t="s">
        <v>393</v>
      </c>
      <c r="AN37" s="402" t="s">
        <v>5975</v>
      </c>
      <c r="AO37" s="402">
        <v>44294</v>
      </c>
      <c r="AP37" s="118">
        <v>4</v>
      </c>
      <c r="AQ37" s="118">
        <v>20</v>
      </c>
      <c r="AR37" s="118" t="s">
        <v>6447</v>
      </c>
      <c r="AS37" s="118" t="s">
        <v>392</v>
      </c>
      <c r="AT37" s="118" t="s">
        <v>225</v>
      </c>
      <c r="AU37" s="118" t="s">
        <v>505</v>
      </c>
      <c r="AV37" s="118" t="s">
        <v>508</v>
      </c>
      <c r="AW37" s="118" t="s">
        <v>393</v>
      </c>
      <c r="AX37" s="118" t="s">
        <v>740</v>
      </c>
      <c r="AY37" s="118" t="s">
        <v>393</v>
      </c>
      <c r="AZ37" s="118" t="s">
        <v>393</v>
      </c>
      <c r="BA37" s="118" t="s">
        <v>393</v>
      </c>
      <c r="BB37" s="118" t="s">
        <v>393</v>
      </c>
      <c r="BC37" s="118" t="s">
        <v>393</v>
      </c>
      <c r="BD37" s="118" t="s">
        <v>393</v>
      </c>
      <c r="BE37" s="118" t="s">
        <v>393</v>
      </c>
      <c r="BF37" s="118" t="s">
        <v>740</v>
      </c>
      <c r="BG37" s="118" t="s">
        <v>393</v>
      </c>
      <c r="BH37" s="118" t="s">
        <v>394</v>
      </c>
      <c r="BI37" s="118" t="s">
        <v>394</v>
      </c>
      <c r="BJ37" s="118" t="s">
        <v>393</v>
      </c>
      <c r="BK37" s="118" t="s">
        <v>6988</v>
      </c>
      <c r="BL37" s="118" t="s">
        <v>6415</v>
      </c>
      <c r="BM37" s="118" t="s">
        <v>6990</v>
      </c>
      <c r="BN37" s="118" t="s">
        <v>6991</v>
      </c>
      <c r="BO37" s="118" t="s">
        <v>6415</v>
      </c>
      <c r="BP37" s="118" t="s">
        <v>6415</v>
      </c>
      <c r="BQ37" s="118" t="s">
        <v>6415</v>
      </c>
      <c r="BR37" s="118" t="s">
        <v>6415</v>
      </c>
      <c r="BS37" s="118" t="s">
        <v>6415</v>
      </c>
      <c r="BT37" s="118" t="s">
        <v>6992</v>
      </c>
      <c r="BU37" s="118" t="s">
        <v>6991</v>
      </c>
      <c r="BV37" s="118" t="s">
        <v>6415</v>
      </c>
      <c r="BW37" s="118" t="s">
        <v>6415</v>
      </c>
      <c r="BX37" s="118" t="s">
        <v>6415</v>
      </c>
      <c r="BY37" s="118" t="s">
        <v>6415</v>
      </c>
      <c r="BZ37" s="118" t="s">
        <v>6415</v>
      </c>
      <c r="CA37" s="118" t="s">
        <v>6415</v>
      </c>
      <c r="CB37" s="118" t="s">
        <v>221</v>
      </c>
      <c r="CC37" s="118" t="s">
        <v>740</v>
      </c>
      <c r="CD37" s="118">
        <v>2</v>
      </c>
      <c r="CE37" s="118" t="s">
        <v>396</v>
      </c>
      <c r="CF37" s="118" t="s">
        <v>445</v>
      </c>
      <c r="CG37" s="118" t="s">
        <v>230</v>
      </c>
      <c r="CH37" s="118" t="s">
        <v>6300</v>
      </c>
      <c r="CI37" s="118" t="s">
        <v>6303</v>
      </c>
      <c r="CJ37" s="118" t="s">
        <v>398</v>
      </c>
      <c r="CK37" s="14">
        <v>15</v>
      </c>
      <c r="CL37" s="118">
        <v>35</v>
      </c>
      <c r="CM37" s="118" t="s">
        <v>436</v>
      </c>
      <c r="CN37" s="118" t="s">
        <v>6327</v>
      </c>
      <c r="CO37" s="118" t="s">
        <v>1096</v>
      </c>
      <c r="CP37" s="118" t="s">
        <v>400</v>
      </c>
      <c r="CQ37" s="118" t="s">
        <v>6415</v>
      </c>
      <c r="CR37" s="118" t="s">
        <v>6415</v>
      </c>
      <c r="CS37" s="118" t="s">
        <v>6415</v>
      </c>
      <c r="CT37" s="118" t="s">
        <v>6415</v>
      </c>
      <c r="CU37" s="118" t="s">
        <v>6415</v>
      </c>
      <c r="CV37" s="118" t="s">
        <v>6415</v>
      </c>
      <c r="CW37" s="14">
        <v>19</v>
      </c>
      <c r="CX37" s="118" t="s">
        <v>1068</v>
      </c>
      <c r="CY37" s="118" t="s">
        <v>6341</v>
      </c>
      <c r="CZ37" s="118">
        <v>1</v>
      </c>
      <c r="DA37" s="118" t="s">
        <v>397</v>
      </c>
      <c r="DB37" s="118" t="s">
        <v>396</v>
      </c>
      <c r="DC37" s="118" t="s">
        <v>6415</v>
      </c>
      <c r="DD37" s="118" t="s">
        <v>6300</v>
      </c>
      <c r="DE37" s="118" t="s">
        <v>6305</v>
      </c>
      <c r="DF37" s="118" t="s">
        <v>398</v>
      </c>
      <c r="DG37" s="14">
        <v>30</v>
      </c>
      <c r="DH37" s="118">
        <v>35</v>
      </c>
      <c r="DI37" s="118" t="s">
        <v>399</v>
      </c>
      <c r="DJ37" s="118" t="s">
        <v>398</v>
      </c>
      <c r="DK37" s="118" t="s">
        <v>400</v>
      </c>
      <c r="DL37" s="118" t="s">
        <v>6415</v>
      </c>
      <c r="DM37" s="118" t="s">
        <v>6415</v>
      </c>
      <c r="DN37" s="118" t="s">
        <v>6415</v>
      </c>
      <c r="DO37" s="118" t="s">
        <v>6415</v>
      </c>
      <c r="DP37" s="118" t="s">
        <v>6415</v>
      </c>
      <c r="DQ37" s="118" t="s">
        <v>6415</v>
      </c>
      <c r="DR37" s="118">
        <v>31</v>
      </c>
      <c r="DS37" s="118" t="s">
        <v>1068</v>
      </c>
      <c r="DT37" s="118" t="s">
        <v>6341</v>
      </c>
      <c r="DU37" s="118" t="s">
        <v>6415</v>
      </c>
      <c r="DV37" s="118" t="s">
        <v>6415</v>
      </c>
      <c r="DW37" s="118" t="s">
        <v>6415</v>
      </c>
      <c r="DX37" s="118" t="s">
        <v>6415</v>
      </c>
      <c r="DY37" s="118" t="s">
        <v>6415</v>
      </c>
      <c r="DZ37" s="118" t="s">
        <v>6415</v>
      </c>
      <c r="EA37" s="118" t="s">
        <v>6415</v>
      </c>
      <c r="EB37" s="118" t="s">
        <v>6415</v>
      </c>
      <c r="EC37" s="118" t="s">
        <v>6415</v>
      </c>
      <c r="ED37" s="118" t="s">
        <v>6415</v>
      </c>
      <c r="EE37" s="118" t="s">
        <v>6415</v>
      </c>
      <c r="EF37" s="118" t="s">
        <v>6415</v>
      </c>
      <c r="EG37" s="118" t="s">
        <v>6986</v>
      </c>
      <c r="EH37" s="118" t="s">
        <v>6987</v>
      </c>
      <c r="EI37" s="118" t="s">
        <v>6415</v>
      </c>
      <c r="EJ37" s="118" t="s">
        <v>6415</v>
      </c>
      <c r="EK37" s="118" t="s">
        <v>6415</v>
      </c>
      <c r="EL37" s="118" t="s">
        <v>7467</v>
      </c>
      <c r="EM37" s="118" t="s">
        <v>7038</v>
      </c>
      <c r="EN37" s="118" t="s">
        <v>6415</v>
      </c>
      <c r="EO37" s="6" t="str">
        <f t="shared" si="10"/>
        <v>Pathweb</v>
      </c>
      <c r="EP37" s="6" t="str">
        <f t="shared" si="11"/>
        <v>Google Maps</v>
      </c>
      <c r="EQ37" s="6" t="str">
        <f t="shared" si="12"/>
        <v>Mashed Map</v>
      </c>
      <c r="ER37" s="118" t="s">
        <v>6727</v>
      </c>
      <c r="ES37" s="118" t="s">
        <v>6728</v>
      </c>
      <c r="ET37" s="4">
        <v>0</v>
      </c>
      <c r="EU37" s="4"/>
      <c r="EV37" s="4"/>
    </row>
    <row r="38" spans="1:152" x14ac:dyDescent="0.15">
      <c r="A38" s="581" t="str">
        <f t="shared" si="9"/>
        <v>Crash Report</v>
      </c>
      <c r="B38" s="14">
        <v>20213058023</v>
      </c>
      <c r="C38" s="118">
        <v>2021</v>
      </c>
      <c r="D38" s="14">
        <v>21041227271951</v>
      </c>
      <c r="F38" s="118" t="s">
        <v>6442</v>
      </c>
      <c r="G38" s="118" t="s">
        <v>416</v>
      </c>
      <c r="H38" s="118">
        <v>2</v>
      </c>
      <c r="I38" s="118" t="s">
        <v>6055</v>
      </c>
      <c r="J38" s="118" t="s">
        <v>391</v>
      </c>
      <c r="K38" s="118" t="s">
        <v>6997</v>
      </c>
      <c r="L38" s="118">
        <v>0.879</v>
      </c>
      <c r="M38" s="118">
        <v>0.879</v>
      </c>
      <c r="N38" s="118" t="s">
        <v>7469</v>
      </c>
      <c r="O38" s="118">
        <v>24</v>
      </c>
      <c r="P38" s="118">
        <v>41.650378000000003</v>
      </c>
      <c r="Q38" s="118">
        <v>-83.525510999999995</v>
      </c>
      <c r="R38" s="118">
        <v>77000</v>
      </c>
      <c r="S38" s="118" t="s">
        <v>6988</v>
      </c>
      <c r="T38" s="118">
        <v>1</v>
      </c>
      <c r="U38" s="118">
        <v>0</v>
      </c>
      <c r="V38" s="118">
        <v>0</v>
      </c>
      <c r="W38" s="118">
        <v>0</v>
      </c>
      <c r="X38" s="118">
        <v>0</v>
      </c>
      <c r="Y38" s="118">
        <v>1</v>
      </c>
      <c r="Z38" s="118">
        <v>0</v>
      </c>
      <c r="AA38" s="118">
        <v>1</v>
      </c>
      <c r="AB38" s="118" t="s">
        <v>1067</v>
      </c>
      <c r="AC38" s="118" t="s">
        <v>6989</v>
      </c>
      <c r="AD38" s="118" t="s">
        <v>1034</v>
      </c>
      <c r="AE38" s="118" t="s">
        <v>943</v>
      </c>
      <c r="AF38" s="118" t="s">
        <v>1041</v>
      </c>
      <c r="AG38" s="118" t="s">
        <v>6415</v>
      </c>
      <c r="AH38" s="118" t="s">
        <v>393</v>
      </c>
      <c r="AI38" s="118">
        <v>2</v>
      </c>
      <c r="AJ38" s="118" t="s">
        <v>6415</v>
      </c>
      <c r="AK38" s="118" t="s">
        <v>393</v>
      </c>
      <c r="AL38" s="118" t="s">
        <v>393</v>
      </c>
      <c r="AM38" s="118" t="s">
        <v>393</v>
      </c>
      <c r="AN38" s="402" t="s">
        <v>5975</v>
      </c>
      <c r="AO38" s="402">
        <v>44298</v>
      </c>
      <c r="AP38" s="118">
        <v>4</v>
      </c>
      <c r="AQ38" s="118">
        <v>19</v>
      </c>
      <c r="AR38" s="118" t="s">
        <v>6444</v>
      </c>
      <c r="AS38" s="118" t="s">
        <v>392</v>
      </c>
      <c r="AT38" s="118" t="s">
        <v>500</v>
      </c>
      <c r="AU38" s="118" t="s">
        <v>6324</v>
      </c>
      <c r="AV38" s="118" t="s">
        <v>508</v>
      </c>
      <c r="AW38" s="118" t="s">
        <v>740</v>
      </c>
      <c r="AX38" s="118" t="s">
        <v>393</v>
      </c>
      <c r="AY38" s="118" t="s">
        <v>740</v>
      </c>
      <c r="AZ38" s="118" t="s">
        <v>393</v>
      </c>
      <c r="BA38" s="118" t="s">
        <v>393</v>
      </c>
      <c r="BB38" s="118" t="s">
        <v>393</v>
      </c>
      <c r="BC38" s="118" t="s">
        <v>393</v>
      </c>
      <c r="BD38" s="118" t="s">
        <v>740</v>
      </c>
      <c r="BE38" s="118" t="s">
        <v>393</v>
      </c>
      <c r="BF38" s="118" t="s">
        <v>740</v>
      </c>
      <c r="BG38" s="118" t="s">
        <v>393</v>
      </c>
      <c r="BH38" s="118" t="s">
        <v>394</v>
      </c>
      <c r="BI38" s="118" t="s">
        <v>394</v>
      </c>
      <c r="BJ38" s="118" t="s">
        <v>393</v>
      </c>
      <c r="BK38" s="118" t="s">
        <v>6988</v>
      </c>
      <c r="BL38" s="118" t="s">
        <v>6415</v>
      </c>
      <c r="BM38" s="118" t="s">
        <v>6992</v>
      </c>
      <c r="BN38" s="118" t="s">
        <v>6991</v>
      </c>
      <c r="BO38" s="118" t="s">
        <v>6415</v>
      </c>
      <c r="BP38" s="118" t="s">
        <v>6415</v>
      </c>
      <c r="BQ38" s="118" t="s">
        <v>6415</v>
      </c>
      <c r="BR38" s="118" t="s">
        <v>6415</v>
      </c>
      <c r="BS38" s="118" t="s">
        <v>6415</v>
      </c>
      <c r="BT38" s="118" t="s">
        <v>7041</v>
      </c>
      <c r="BU38" s="118" t="s">
        <v>6415</v>
      </c>
      <c r="BV38" s="118" t="s">
        <v>6415</v>
      </c>
      <c r="BW38" s="118" t="s">
        <v>6415</v>
      </c>
      <c r="BX38" s="118" t="s">
        <v>6415</v>
      </c>
      <c r="BY38" s="118" t="s">
        <v>6415</v>
      </c>
      <c r="BZ38" s="118">
        <v>24</v>
      </c>
      <c r="CA38" s="118" t="s">
        <v>6415</v>
      </c>
      <c r="CB38" s="118" t="s">
        <v>422</v>
      </c>
      <c r="CC38" s="118" t="s">
        <v>740</v>
      </c>
      <c r="CD38" s="118">
        <v>1</v>
      </c>
      <c r="CE38" s="118" t="s">
        <v>410</v>
      </c>
      <c r="CF38" s="118" t="s">
        <v>411</v>
      </c>
      <c r="CG38" s="118" t="s">
        <v>924</v>
      </c>
      <c r="CH38" s="118" t="s">
        <v>6302</v>
      </c>
      <c r="CI38" s="118" t="s">
        <v>6303</v>
      </c>
      <c r="CJ38" s="118" t="s">
        <v>398</v>
      </c>
      <c r="CK38" s="118">
        <v>20</v>
      </c>
      <c r="CL38" s="118">
        <v>10</v>
      </c>
      <c r="CM38" s="118" t="s">
        <v>6356</v>
      </c>
      <c r="CN38" s="118" t="s">
        <v>425</v>
      </c>
      <c r="CO38" s="118" t="s">
        <v>455</v>
      </c>
      <c r="CP38" s="118" t="s">
        <v>455</v>
      </c>
      <c r="CQ38" s="118" t="s">
        <v>6415</v>
      </c>
      <c r="CR38" s="118" t="s">
        <v>6415</v>
      </c>
      <c r="CS38" s="118" t="s">
        <v>6415</v>
      </c>
      <c r="CT38" s="118" t="s">
        <v>6415</v>
      </c>
      <c r="CU38" s="118" t="s">
        <v>6415</v>
      </c>
      <c r="CV38" s="118" t="s">
        <v>6415</v>
      </c>
      <c r="CW38" s="118">
        <v>24</v>
      </c>
      <c r="CX38" s="118" t="s">
        <v>1068</v>
      </c>
      <c r="CY38" s="118" t="s">
        <v>6341</v>
      </c>
      <c r="CZ38" s="118" t="s">
        <v>6415</v>
      </c>
      <c r="DA38" s="118" t="s">
        <v>6415</v>
      </c>
      <c r="DB38" s="118" t="s">
        <v>6415</v>
      </c>
      <c r="DC38" s="118" t="s">
        <v>6415</v>
      </c>
      <c r="DD38" s="118" t="s">
        <v>6415</v>
      </c>
      <c r="DE38" s="118" t="s">
        <v>6415</v>
      </c>
      <c r="DF38" s="118" t="s">
        <v>6415</v>
      </c>
      <c r="DG38" s="118" t="s">
        <v>6415</v>
      </c>
      <c r="DH38" s="118" t="s">
        <v>6415</v>
      </c>
      <c r="DI38" s="118" t="s">
        <v>6415</v>
      </c>
      <c r="DJ38" s="118" t="s">
        <v>6415</v>
      </c>
      <c r="DK38" s="118" t="s">
        <v>6415</v>
      </c>
      <c r="DL38" s="118" t="s">
        <v>6415</v>
      </c>
      <c r="DM38" s="118" t="s">
        <v>6415</v>
      </c>
      <c r="DN38" s="118" t="s">
        <v>6415</v>
      </c>
      <c r="DO38" s="118" t="s">
        <v>6415</v>
      </c>
      <c r="DP38" s="118" t="s">
        <v>6415</v>
      </c>
      <c r="DQ38" s="118" t="s">
        <v>6415</v>
      </c>
      <c r="DR38" s="118">
        <v>0</v>
      </c>
      <c r="DS38" s="118" t="s">
        <v>6415</v>
      </c>
      <c r="DT38" s="118" t="s">
        <v>6415</v>
      </c>
      <c r="DU38" s="118" t="s">
        <v>6415</v>
      </c>
      <c r="DV38" s="118" t="s">
        <v>6415</v>
      </c>
      <c r="DW38" s="118" t="s">
        <v>6415</v>
      </c>
      <c r="DX38" s="118" t="s">
        <v>6415</v>
      </c>
      <c r="DY38" s="118" t="s">
        <v>6415</v>
      </c>
      <c r="DZ38" s="118" t="s">
        <v>6415</v>
      </c>
      <c r="EA38" s="118" t="s">
        <v>6415</v>
      </c>
      <c r="EB38" s="118" t="s">
        <v>6415</v>
      </c>
      <c r="EC38" s="118" t="s">
        <v>6415</v>
      </c>
      <c r="ED38" s="118" t="s">
        <v>6415</v>
      </c>
      <c r="EE38" s="118" t="s">
        <v>6415</v>
      </c>
      <c r="EF38" s="118" t="s">
        <v>6415</v>
      </c>
      <c r="EG38" s="118" t="s">
        <v>6998</v>
      </c>
      <c r="EH38" s="118" t="s">
        <v>7040</v>
      </c>
      <c r="EI38" s="118" t="s">
        <v>6415</v>
      </c>
      <c r="EJ38" s="118" t="s">
        <v>6415</v>
      </c>
      <c r="EK38" s="118" t="s">
        <v>6415</v>
      </c>
      <c r="EL38" s="118" t="s">
        <v>7467</v>
      </c>
      <c r="EM38" s="118" t="s">
        <v>7039</v>
      </c>
      <c r="EN38" s="118" t="s">
        <v>6415</v>
      </c>
      <c r="EO38" s="6" t="str">
        <f t="shared" si="10"/>
        <v>Pathweb</v>
      </c>
      <c r="EP38" s="6" t="str">
        <f t="shared" si="11"/>
        <v>Google Maps</v>
      </c>
      <c r="EQ38" s="6" t="str">
        <f t="shared" si="12"/>
        <v>Mashed Map</v>
      </c>
      <c r="ER38" s="118" t="s">
        <v>6726</v>
      </c>
      <c r="ES38" s="118" t="s">
        <v>71</v>
      </c>
      <c r="ET38" s="4">
        <v>0</v>
      </c>
      <c r="EU38" s="4"/>
      <c r="EV38" s="4"/>
    </row>
    <row r="39" spans="1:152" x14ac:dyDescent="0.15">
      <c r="A39" s="581" t="str">
        <f t="shared" si="9"/>
        <v>Crash Report</v>
      </c>
      <c r="B39" s="118">
        <v>20213060003</v>
      </c>
      <c r="C39" s="118">
        <v>2021</v>
      </c>
      <c r="D39" s="118">
        <v>21041426551720</v>
      </c>
      <c r="F39" s="118" t="s">
        <v>6440</v>
      </c>
      <c r="G39" s="118" t="s">
        <v>211</v>
      </c>
      <c r="H39" s="118">
        <v>2</v>
      </c>
      <c r="I39" s="118" t="s">
        <v>6055</v>
      </c>
      <c r="J39" s="118" t="s">
        <v>391</v>
      </c>
      <c r="K39" s="118" t="s">
        <v>6997</v>
      </c>
      <c r="L39" s="118">
        <v>0.49099999999999999</v>
      </c>
      <c r="M39" s="118">
        <v>0.49099999999999999</v>
      </c>
      <c r="N39" s="118" t="s">
        <v>7469</v>
      </c>
      <c r="O39" s="118" t="s">
        <v>7478</v>
      </c>
      <c r="P39" s="118">
        <v>41.646026999999997</v>
      </c>
      <c r="Q39" s="118">
        <v>-83.520775</v>
      </c>
      <c r="R39" s="118">
        <v>77000</v>
      </c>
      <c r="S39" s="118" t="s">
        <v>6988</v>
      </c>
      <c r="T39" s="118">
        <v>1</v>
      </c>
      <c r="U39" s="118">
        <v>0</v>
      </c>
      <c r="V39" s="118">
        <v>0</v>
      </c>
      <c r="W39" s="118">
        <v>1</v>
      </c>
      <c r="X39" s="118">
        <v>0</v>
      </c>
      <c r="Y39" s="118">
        <v>1</v>
      </c>
      <c r="Z39" s="118">
        <v>0</v>
      </c>
      <c r="AA39" s="118">
        <v>2</v>
      </c>
      <c r="AB39" s="118" t="s">
        <v>1067</v>
      </c>
      <c r="AC39" s="118" t="s">
        <v>6989</v>
      </c>
      <c r="AD39" s="118" t="s">
        <v>1034</v>
      </c>
      <c r="AE39" s="118" t="s">
        <v>943</v>
      </c>
      <c r="AF39" s="118" t="s">
        <v>1042</v>
      </c>
      <c r="AG39" s="118" t="s">
        <v>6415</v>
      </c>
      <c r="AH39" s="118" t="s">
        <v>393</v>
      </c>
      <c r="AI39" s="118">
        <v>2</v>
      </c>
      <c r="AJ39" s="118" t="s">
        <v>6415</v>
      </c>
      <c r="AK39" s="118" t="s">
        <v>393</v>
      </c>
      <c r="AL39" s="118" t="s">
        <v>393</v>
      </c>
      <c r="AM39" s="118" t="s">
        <v>393</v>
      </c>
      <c r="AN39" s="402" t="s">
        <v>5975</v>
      </c>
      <c r="AO39" s="402">
        <v>44300</v>
      </c>
      <c r="AP39" s="118">
        <v>4</v>
      </c>
      <c r="AQ39" s="118">
        <v>17</v>
      </c>
      <c r="AR39" s="118" t="s">
        <v>6446</v>
      </c>
      <c r="AS39" s="118" t="s">
        <v>392</v>
      </c>
      <c r="AT39" s="118" t="s">
        <v>500</v>
      </c>
      <c r="AU39" s="118" t="s">
        <v>404</v>
      </c>
      <c r="AV39" s="118" t="s">
        <v>508</v>
      </c>
      <c r="AW39" s="118" t="s">
        <v>393</v>
      </c>
      <c r="AX39" s="118" t="s">
        <v>393</v>
      </c>
      <c r="AY39" s="118" t="s">
        <v>393</v>
      </c>
      <c r="AZ39" s="118" t="s">
        <v>393</v>
      </c>
      <c r="BA39" s="118" t="s">
        <v>393</v>
      </c>
      <c r="BB39" s="118" t="s">
        <v>393</v>
      </c>
      <c r="BC39" s="118" t="s">
        <v>393</v>
      </c>
      <c r="BD39" s="118" t="s">
        <v>393</v>
      </c>
      <c r="BE39" s="118" t="s">
        <v>393</v>
      </c>
      <c r="BF39" s="118" t="s">
        <v>393</v>
      </c>
      <c r="BG39" s="118" t="s">
        <v>393</v>
      </c>
      <c r="BH39" s="118" t="s">
        <v>394</v>
      </c>
      <c r="BI39" s="118" t="s">
        <v>394</v>
      </c>
      <c r="BJ39" s="118" t="s">
        <v>393</v>
      </c>
      <c r="BK39" s="118" t="s">
        <v>6988</v>
      </c>
      <c r="BL39" s="118" t="s">
        <v>6415</v>
      </c>
      <c r="BM39" s="118" t="s">
        <v>6992</v>
      </c>
      <c r="BN39" s="118" t="s">
        <v>6991</v>
      </c>
      <c r="BO39" s="118" t="s">
        <v>6415</v>
      </c>
      <c r="BP39" s="118" t="s">
        <v>6415</v>
      </c>
      <c r="BQ39" s="118" t="s">
        <v>6415</v>
      </c>
      <c r="BR39" s="118" t="s">
        <v>6415</v>
      </c>
      <c r="BS39" s="118" t="s">
        <v>6415</v>
      </c>
      <c r="BT39" s="118" t="s">
        <v>7045</v>
      </c>
      <c r="BU39" s="118" t="s">
        <v>6991</v>
      </c>
      <c r="BV39" s="118" t="s">
        <v>6415</v>
      </c>
      <c r="BW39" s="118" t="s">
        <v>6415</v>
      </c>
      <c r="BX39" s="118" t="s">
        <v>6415</v>
      </c>
      <c r="BY39" s="118" t="s">
        <v>6415</v>
      </c>
      <c r="BZ39" s="118" t="s">
        <v>6415</v>
      </c>
      <c r="CA39" s="118" t="s">
        <v>6415</v>
      </c>
      <c r="CB39" s="118" t="s">
        <v>221</v>
      </c>
      <c r="CC39" s="118" t="s">
        <v>740</v>
      </c>
      <c r="CD39" s="118">
        <v>2</v>
      </c>
      <c r="CE39" s="118" t="s">
        <v>406</v>
      </c>
      <c r="CF39" s="118" t="s">
        <v>405</v>
      </c>
      <c r="CG39" s="118" t="s">
        <v>924</v>
      </c>
      <c r="CH39" s="118" t="s">
        <v>6302</v>
      </c>
      <c r="CI39" s="118" t="s">
        <v>417</v>
      </c>
      <c r="CJ39" s="118" t="s">
        <v>398</v>
      </c>
      <c r="CK39" s="14">
        <v>5</v>
      </c>
      <c r="CL39" s="118">
        <v>25</v>
      </c>
      <c r="CM39" s="118" t="s">
        <v>444</v>
      </c>
      <c r="CN39" s="118" t="s">
        <v>6327</v>
      </c>
      <c r="CO39" s="118" t="s">
        <v>1096</v>
      </c>
      <c r="CP39" s="118" t="s">
        <v>400</v>
      </c>
      <c r="CQ39" s="118" t="s">
        <v>6415</v>
      </c>
      <c r="CR39" s="118" t="s">
        <v>6415</v>
      </c>
      <c r="CS39" s="118" t="s">
        <v>6415</v>
      </c>
      <c r="CT39" s="118" t="s">
        <v>6415</v>
      </c>
      <c r="CU39" s="118" t="s">
        <v>6415</v>
      </c>
      <c r="CV39" s="118" t="s">
        <v>6415</v>
      </c>
      <c r="CW39" s="14">
        <v>30</v>
      </c>
      <c r="CX39" s="118" t="s">
        <v>1066</v>
      </c>
      <c r="CY39" s="118" t="s">
        <v>6341</v>
      </c>
      <c r="CZ39" s="118">
        <v>1</v>
      </c>
      <c r="DA39" s="118" t="s">
        <v>410</v>
      </c>
      <c r="DB39" s="118" t="s">
        <v>411</v>
      </c>
      <c r="DC39" s="118" t="s">
        <v>6415</v>
      </c>
      <c r="DD39" s="118" t="s">
        <v>6302</v>
      </c>
      <c r="DE39" s="118" t="s">
        <v>6303</v>
      </c>
      <c r="DF39" s="118" t="s">
        <v>398</v>
      </c>
      <c r="DG39" s="14">
        <v>20</v>
      </c>
      <c r="DH39" s="118">
        <v>25</v>
      </c>
      <c r="DI39" s="118" t="s">
        <v>399</v>
      </c>
      <c r="DJ39" s="118" t="s">
        <v>398</v>
      </c>
      <c r="DK39" s="118" t="s">
        <v>400</v>
      </c>
      <c r="DL39" s="118" t="s">
        <v>6415</v>
      </c>
      <c r="DM39" s="118" t="s">
        <v>6415</v>
      </c>
      <c r="DN39" s="118" t="s">
        <v>6415</v>
      </c>
      <c r="DO39" s="118" t="s">
        <v>6415</v>
      </c>
      <c r="DP39" s="118" t="s">
        <v>6415</v>
      </c>
      <c r="DQ39" s="118" t="s">
        <v>6415</v>
      </c>
      <c r="DR39" s="118">
        <v>52</v>
      </c>
      <c r="DS39" s="118" t="s">
        <v>1068</v>
      </c>
      <c r="DT39" s="118" t="s">
        <v>6341</v>
      </c>
      <c r="DU39" s="118" t="s">
        <v>6415</v>
      </c>
      <c r="DV39" s="118" t="s">
        <v>6415</v>
      </c>
      <c r="DW39" s="118" t="s">
        <v>6415</v>
      </c>
      <c r="DX39" s="118" t="s">
        <v>6415</v>
      </c>
      <c r="DY39" s="118" t="s">
        <v>6415</v>
      </c>
      <c r="DZ39" s="118" t="s">
        <v>6415</v>
      </c>
      <c r="EA39" s="118" t="s">
        <v>6415</v>
      </c>
      <c r="EB39" s="118" t="s">
        <v>6415</v>
      </c>
      <c r="EC39" s="118" t="s">
        <v>6415</v>
      </c>
      <c r="ED39" s="118" t="s">
        <v>6415</v>
      </c>
      <c r="EE39" s="118" t="s">
        <v>6415</v>
      </c>
      <c r="EF39" s="118" t="s">
        <v>6415</v>
      </c>
      <c r="EG39" s="118" t="s">
        <v>7043</v>
      </c>
      <c r="EH39" s="118" t="s">
        <v>7044</v>
      </c>
      <c r="EI39" s="118" t="s">
        <v>6415</v>
      </c>
      <c r="EJ39" s="118" t="s">
        <v>6415</v>
      </c>
      <c r="EK39" s="118" t="s">
        <v>6415</v>
      </c>
      <c r="EL39" s="118" t="s">
        <v>7467</v>
      </c>
      <c r="EM39" s="118" t="s">
        <v>7042</v>
      </c>
      <c r="EN39" s="118" t="s">
        <v>6415</v>
      </c>
      <c r="EO39" s="6" t="str">
        <f t="shared" si="10"/>
        <v>Pathweb</v>
      </c>
      <c r="EP39" s="6" t="str">
        <f t="shared" si="11"/>
        <v>Google Maps</v>
      </c>
      <c r="EQ39" s="6" t="str">
        <f t="shared" si="12"/>
        <v>Mashed Map</v>
      </c>
      <c r="ER39" s="118" t="s">
        <v>6727</v>
      </c>
      <c r="ES39" s="118" t="s">
        <v>6728</v>
      </c>
      <c r="ET39" s="4">
        <v>1.9E-2</v>
      </c>
      <c r="EU39" s="4"/>
      <c r="EV39" s="4"/>
    </row>
    <row r="40" spans="1:152" x14ac:dyDescent="0.15">
      <c r="A40" s="581" t="str">
        <f t="shared" si="9"/>
        <v>Crash Report</v>
      </c>
      <c r="B40" s="118">
        <v>20213063385</v>
      </c>
      <c r="C40" s="118">
        <v>2021</v>
      </c>
      <c r="D40" s="118">
        <v>21041926721433</v>
      </c>
      <c r="F40" s="118" t="s">
        <v>6442</v>
      </c>
      <c r="G40" s="118" t="s">
        <v>390</v>
      </c>
      <c r="H40" s="118">
        <v>2</v>
      </c>
      <c r="I40" s="118" t="s">
        <v>6055</v>
      </c>
      <c r="J40" s="118" t="s">
        <v>423</v>
      </c>
      <c r="K40" s="118" t="s">
        <v>6985</v>
      </c>
      <c r="L40" s="118">
        <v>0.51300000000000001</v>
      </c>
      <c r="M40" s="118">
        <v>0.51300000000000001</v>
      </c>
      <c r="N40" s="118" t="s">
        <v>7465</v>
      </c>
      <c r="O40" s="118" t="s">
        <v>7468</v>
      </c>
      <c r="P40" s="118">
        <v>41.651800000000001</v>
      </c>
      <c r="Q40" s="118">
        <v>-83.518060000000006</v>
      </c>
      <c r="R40" s="118">
        <v>77000</v>
      </c>
      <c r="S40" s="118" t="s">
        <v>6988</v>
      </c>
      <c r="T40" s="118">
        <v>1</v>
      </c>
      <c r="U40" s="118">
        <v>0</v>
      </c>
      <c r="V40" s="118">
        <v>0</v>
      </c>
      <c r="W40" s="118">
        <v>0</v>
      </c>
      <c r="X40" s="118">
        <v>0</v>
      </c>
      <c r="Y40" s="118">
        <v>2</v>
      </c>
      <c r="Z40" s="118">
        <v>0</v>
      </c>
      <c r="AA40" s="118">
        <v>2</v>
      </c>
      <c r="AB40" s="118" t="s">
        <v>1067</v>
      </c>
      <c r="AC40" s="118" t="s">
        <v>6989</v>
      </c>
      <c r="AD40" s="118" t="s">
        <v>1034</v>
      </c>
      <c r="AE40" s="118" t="s">
        <v>943</v>
      </c>
      <c r="AF40" s="118" t="s">
        <v>1041</v>
      </c>
      <c r="AG40" s="118" t="s">
        <v>6415</v>
      </c>
      <c r="AH40" s="118" t="s">
        <v>393</v>
      </c>
      <c r="AI40" s="118">
        <v>4</v>
      </c>
      <c r="AJ40" s="118" t="s">
        <v>6415</v>
      </c>
      <c r="AK40" s="118" t="s">
        <v>393</v>
      </c>
      <c r="AL40" s="118" t="s">
        <v>393</v>
      </c>
      <c r="AM40" s="118" t="s">
        <v>393</v>
      </c>
      <c r="AN40" s="402" t="s">
        <v>5975</v>
      </c>
      <c r="AO40" s="402">
        <v>44305</v>
      </c>
      <c r="AP40" s="118">
        <v>4</v>
      </c>
      <c r="AQ40" s="118">
        <v>14</v>
      </c>
      <c r="AR40" s="118" t="s">
        <v>6444</v>
      </c>
      <c r="AS40" s="118" t="s">
        <v>392</v>
      </c>
      <c r="AT40" s="118" t="s">
        <v>500</v>
      </c>
      <c r="AU40" s="118" t="s">
        <v>404</v>
      </c>
      <c r="AV40" s="118" t="s">
        <v>508</v>
      </c>
      <c r="AW40" s="118" t="s">
        <v>393</v>
      </c>
      <c r="AX40" s="118" t="s">
        <v>740</v>
      </c>
      <c r="AY40" s="118" t="s">
        <v>393</v>
      </c>
      <c r="AZ40" s="118" t="s">
        <v>393</v>
      </c>
      <c r="BA40" s="118" t="s">
        <v>393</v>
      </c>
      <c r="BB40" s="118" t="s">
        <v>393</v>
      </c>
      <c r="BC40" s="118" t="s">
        <v>393</v>
      </c>
      <c r="BD40" s="118" t="s">
        <v>393</v>
      </c>
      <c r="BE40" s="118" t="s">
        <v>393</v>
      </c>
      <c r="BF40" s="118" t="s">
        <v>740</v>
      </c>
      <c r="BG40" s="118" t="s">
        <v>393</v>
      </c>
      <c r="BH40" s="118" t="s">
        <v>394</v>
      </c>
      <c r="BI40" s="118" t="s">
        <v>394</v>
      </c>
      <c r="BJ40" s="118" t="s">
        <v>393</v>
      </c>
      <c r="BK40" s="118" t="s">
        <v>6988</v>
      </c>
      <c r="BL40" s="118" t="s">
        <v>6415</v>
      </c>
      <c r="BM40" s="118" t="s">
        <v>6990</v>
      </c>
      <c r="BN40" s="118" t="s">
        <v>6991</v>
      </c>
      <c r="BO40" s="118" t="s">
        <v>6415</v>
      </c>
      <c r="BP40" s="118" t="s">
        <v>6415</v>
      </c>
      <c r="BQ40" s="118" t="s">
        <v>6415</v>
      </c>
      <c r="BR40" s="118" t="s">
        <v>6415</v>
      </c>
      <c r="BS40" s="118" t="s">
        <v>261</v>
      </c>
      <c r="BT40" s="118" t="s">
        <v>1791</v>
      </c>
      <c r="BU40" s="118" t="s">
        <v>6991</v>
      </c>
      <c r="BV40" s="118" t="s">
        <v>6415</v>
      </c>
      <c r="BW40" s="118" t="s">
        <v>6415</v>
      </c>
      <c r="BX40" s="118" t="s">
        <v>6415</v>
      </c>
      <c r="BY40" s="118" t="s">
        <v>6415</v>
      </c>
      <c r="BZ40" s="118" t="s">
        <v>6415</v>
      </c>
      <c r="CA40" s="118" t="s">
        <v>6415</v>
      </c>
      <c r="CB40" s="118" t="s">
        <v>221</v>
      </c>
      <c r="CC40" s="118" t="s">
        <v>740</v>
      </c>
      <c r="CD40" s="118">
        <v>2</v>
      </c>
      <c r="CE40" s="118" t="s">
        <v>410</v>
      </c>
      <c r="CF40" s="118" t="s">
        <v>411</v>
      </c>
      <c r="CG40" s="118" t="s">
        <v>924</v>
      </c>
      <c r="CH40" s="118" t="s">
        <v>6300</v>
      </c>
      <c r="CI40" s="118" t="s">
        <v>6303</v>
      </c>
      <c r="CJ40" s="118" t="s">
        <v>398</v>
      </c>
      <c r="CK40" s="14">
        <v>25</v>
      </c>
      <c r="CL40" s="118">
        <v>35</v>
      </c>
      <c r="CM40" s="118" t="s">
        <v>399</v>
      </c>
      <c r="CN40" s="118" t="s">
        <v>6512</v>
      </c>
      <c r="CO40" s="118" t="s">
        <v>1096</v>
      </c>
      <c r="CP40" s="118" t="s">
        <v>400</v>
      </c>
      <c r="CQ40" s="118" t="s">
        <v>6415</v>
      </c>
      <c r="CR40" s="118" t="s">
        <v>6415</v>
      </c>
      <c r="CS40" s="118" t="s">
        <v>6415</v>
      </c>
      <c r="CT40" s="118" t="s">
        <v>6415</v>
      </c>
      <c r="CU40" s="118" t="s">
        <v>6415</v>
      </c>
      <c r="CV40" s="118" t="s">
        <v>6415</v>
      </c>
      <c r="CW40" s="14">
        <v>21</v>
      </c>
      <c r="CX40" s="118" t="s">
        <v>1066</v>
      </c>
      <c r="CY40" s="118" t="s">
        <v>6341</v>
      </c>
      <c r="CZ40" s="118">
        <v>1</v>
      </c>
      <c r="DA40" s="118" t="s">
        <v>410</v>
      </c>
      <c r="DB40" s="118" t="s">
        <v>411</v>
      </c>
      <c r="DC40" s="118" t="s">
        <v>6415</v>
      </c>
      <c r="DD40" s="118" t="s">
        <v>6300</v>
      </c>
      <c r="DE40" s="118" t="s">
        <v>6303</v>
      </c>
      <c r="DF40" s="118" t="s">
        <v>398</v>
      </c>
      <c r="DG40" s="14">
        <v>0</v>
      </c>
      <c r="DH40" s="118">
        <v>35</v>
      </c>
      <c r="DI40" s="118" t="s">
        <v>6355</v>
      </c>
      <c r="DJ40" s="118" t="s">
        <v>398</v>
      </c>
      <c r="DK40" s="118" t="s">
        <v>400</v>
      </c>
      <c r="DL40" s="118" t="s">
        <v>6415</v>
      </c>
      <c r="DM40" s="118" t="s">
        <v>6415</v>
      </c>
      <c r="DN40" s="118" t="s">
        <v>6415</v>
      </c>
      <c r="DO40" s="118" t="s">
        <v>6415</v>
      </c>
      <c r="DP40" s="118" t="s">
        <v>6415</v>
      </c>
      <c r="DQ40" s="118" t="s">
        <v>6415</v>
      </c>
      <c r="DR40" s="118">
        <v>36</v>
      </c>
      <c r="DS40" s="118" t="s">
        <v>1066</v>
      </c>
      <c r="DT40" s="118" t="s">
        <v>6341</v>
      </c>
      <c r="DU40" s="118" t="s">
        <v>6415</v>
      </c>
      <c r="DV40" s="118" t="s">
        <v>6415</v>
      </c>
      <c r="DW40" s="118" t="s">
        <v>6415</v>
      </c>
      <c r="DX40" s="118" t="s">
        <v>6415</v>
      </c>
      <c r="DY40" s="118" t="s">
        <v>6415</v>
      </c>
      <c r="DZ40" s="118" t="s">
        <v>6415</v>
      </c>
      <c r="EA40" s="118" t="s">
        <v>6415</v>
      </c>
      <c r="EB40" s="118" t="s">
        <v>6415</v>
      </c>
      <c r="EC40" s="118" t="s">
        <v>6415</v>
      </c>
      <c r="ED40" s="118" t="s">
        <v>6415</v>
      </c>
      <c r="EE40" s="118" t="s">
        <v>6415</v>
      </c>
      <c r="EF40" s="118" t="s">
        <v>6415</v>
      </c>
      <c r="EG40" s="118" t="s">
        <v>6994</v>
      </c>
      <c r="EH40" s="118" t="s">
        <v>6995</v>
      </c>
      <c r="EI40" s="118" t="s">
        <v>6415</v>
      </c>
      <c r="EJ40" s="118" t="s">
        <v>6415</v>
      </c>
      <c r="EK40" s="118" t="s">
        <v>6415</v>
      </c>
      <c r="EL40" s="118" t="s">
        <v>7467</v>
      </c>
      <c r="EM40" s="118" t="s">
        <v>7046</v>
      </c>
      <c r="EN40" s="118" t="s">
        <v>6415</v>
      </c>
      <c r="EO40" s="6" t="str">
        <f t="shared" si="10"/>
        <v>Pathweb</v>
      </c>
      <c r="EP40" s="6" t="str">
        <f t="shared" si="11"/>
        <v>Google Maps</v>
      </c>
      <c r="EQ40" s="6" t="str">
        <f t="shared" si="12"/>
        <v>Mashed Map</v>
      </c>
      <c r="ER40" s="118" t="s">
        <v>6727</v>
      </c>
      <c r="ES40" s="118" t="s">
        <v>71</v>
      </c>
      <c r="ET40" s="4">
        <v>2E-3</v>
      </c>
      <c r="EU40" s="4"/>
      <c r="EV40" s="4"/>
    </row>
    <row r="41" spans="1:152" x14ac:dyDescent="0.15">
      <c r="A41" s="581" t="str">
        <f t="shared" si="9"/>
        <v>Crash Report</v>
      </c>
      <c r="B41" s="14">
        <v>20213063549</v>
      </c>
      <c r="C41" s="118">
        <v>2021</v>
      </c>
      <c r="D41" s="14">
        <v>21041420281615</v>
      </c>
      <c r="F41" s="118" t="s">
        <v>6442</v>
      </c>
      <c r="G41" s="118" t="s">
        <v>390</v>
      </c>
      <c r="H41" s="118">
        <v>2</v>
      </c>
      <c r="I41" s="118" t="s">
        <v>6055</v>
      </c>
      <c r="J41" s="118" t="s">
        <v>391</v>
      </c>
      <c r="K41" s="118" t="s">
        <v>6997</v>
      </c>
      <c r="L41" s="118">
        <v>0.49099999999999999</v>
      </c>
      <c r="M41" s="118">
        <v>0.49099999999999999</v>
      </c>
      <c r="N41" s="118" t="s">
        <v>7469</v>
      </c>
      <c r="O41" s="118" t="s">
        <v>7478</v>
      </c>
      <c r="P41" s="118">
        <v>41.646026999999997</v>
      </c>
      <c r="Q41" s="118">
        <v>-83.520775</v>
      </c>
      <c r="R41" s="118">
        <v>77000</v>
      </c>
      <c r="S41" s="118" t="s">
        <v>6988</v>
      </c>
      <c r="T41" s="118">
        <v>1</v>
      </c>
      <c r="U41" s="118">
        <v>0</v>
      </c>
      <c r="V41" s="118">
        <v>0</v>
      </c>
      <c r="W41" s="118">
        <v>0</v>
      </c>
      <c r="X41" s="118">
        <v>0</v>
      </c>
      <c r="Y41" s="118">
        <v>3</v>
      </c>
      <c r="Z41" s="118">
        <v>0</v>
      </c>
      <c r="AA41" s="118">
        <v>2</v>
      </c>
      <c r="AB41" s="118" t="s">
        <v>1067</v>
      </c>
      <c r="AC41" s="118" t="s">
        <v>6989</v>
      </c>
      <c r="AD41" s="118" t="s">
        <v>1034</v>
      </c>
      <c r="AE41" s="118" t="s">
        <v>943</v>
      </c>
      <c r="AF41" s="118" t="s">
        <v>1042</v>
      </c>
      <c r="AG41" s="118" t="s">
        <v>6415</v>
      </c>
      <c r="AH41" s="118" t="s">
        <v>393</v>
      </c>
      <c r="AI41" s="118">
        <v>2</v>
      </c>
      <c r="AJ41" s="118" t="s">
        <v>6415</v>
      </c>
      <c r="AK41" s="118" t="s">
        <v>393</v>
      </c>
      <c r="AL41" s="118" t="s">
        <v>393</v>
      </c>
      <c r="AM41" s="118" t="s">
        <v>393</v>
      </c>
      <c r="AN41" s="402" t="s">
        <v>5975</v>
      </c>
      <c r="AO41" s="402">
        <v>44300</v>
      </c>
      <c r="AP41" s="118">
        <v>4</v>
      </c>
      <c r="AQ41" s="118">
        <v>16</v>
      </c>
      <c r="AR41" s="118" t="s">
        <v>6446</v>
      </c>
      <c r="AS41" s="118" t="s">
        <v>392</v>
      </c>
      <c r="AT41" s="118" t="s">
        <v>500</v>
      </c>
      <c r="AU41" s="118" t="s">
        <v>404</v>
      </c>
      <c r="AV41" s="118" t="s">
        <v>508</v>
      </c>
      <c r="AW41" s="118" t="s">
        <v>393</v>
      </c>
      <c r="AX41" s="118" t="s">
        <v>740</v>
      </c>
      <c r="AY41" s="118" t="s">
        <v>393</v>
      </c>
      <c r="AZ41" s="118" t="s">
        <v>393</v>
      </c>
      <c r="BA41" s="118" t="s">
        <v>393</v>
      </c>
      <c r="BB41" s="118" t="s">
        <v>393</v>
      </c>
      <c r="BC41" s="118" t="s">
        <v>393</v>
      </c>
      <c r="BD41" s="118" t="s">
        <v>393</v>
      </c>
      <c r="BE41" s="118" t="s">
        <v>393</v>
      </c>
      <c r="BF41" s="118" t="s">
        <v>740</v>
      </c>
      <c r="BG41" s="118" t="s">
        <v>393</v>
      </c>
      <c r="BH41" s="118" t="s">
        <v>394</v>
      </c>
      <c r="BI41" s="118" t="s">
        <v>394</v>
      </c>
      <c r="BJ41" s="118" t="s">
        <v>393</v>
      </c>
      <c r="BK41" s="118" t="s">
        <v>6988</v>
      </c>
      <c r="BL41" s="118" t="s">
        <v>6415</v>
      </c>
      <c r="BM41" s="118" t="s">
        <v>6992</v>
      </c>
      <c r="BN41" s="118" t="s">
        <v>6991</v>
      </c>
      <c r="BO41" s="118" t="s">
        <v>6415</v>
      </c>
      <c r="BP41" s="118" t="s">
        <v>6415</v>
      </c>
      <c r="BQ41" s="118" t="s">
        <v>6415</v>
      </c>
      <c r="BR41" s="118" t="s">
        <v>6415</v>
      </c>
      <c r="BS41" s="118" t="s">
        <v>6415</v>
      </c>
      <c r="BT41" s="118" t="s">
        <v>7045</v>
      </c>
      <c r="BU41" s="118" t="s">
        <v>6991</v>
      </c>
      <c r="BV41" s="118" t="s">
        <v>6415</v>
      </c>
      <c r="BW41" s="118" t="s">
        <v>6415</v>
      </c>
      <c r="BX41" s="118" t="s">
        <v>6415</v>
      </c>
      <c r="BY41" s="118" t="s">
        <v>6415</v>
      </c>
      <c r="BZ41" s="118" t="s">
        <v>6415</v>
      </c>
      <c r="CA41" s="118" t="s">
        <v>6415</v>
      </c>
      <c r="CB41" s="118" t="s">
        <v>221</v>
      </c>
      <c r="CC41" s="118" t="s">
        <v>740</v>
      </c>
      <c r="CD41" s="118">
        <v>2</v>
      </c>
      <c r="CE41" s="118" t="s">
        <v>405</v>
      </c>
      <c r="CF41" s="118" t="s">
        <v>406</v>
      </c>
      <c r="CG41" s="118" t="s">
        <v>924</v>
      </c>
      <c r="CH41" s="118" t="s">
        <v>6301</v>
      </c>
      <c r="CI41" s="118" t="s">
        <v>6303</v>
      </c>
      <c r="CJ41" s="118" t="s">
        <v>398</v>
      </c>
      <c r="CK41" s="118">
        <v>29</v>
      </c>
      <c r="CL41" s="118">
        <v>35</v>
      </c>
      <c r="CM41" s="118" t="s">
        <v>399</v>
      </c>
      <c r="CN41" s="118" t="s">
        <v>6512</v>
      </c>
      <c r="CO41" s="118" t="s">
        <v>1096</v>
      </c>
      <c r="CP41" s="118" t="s">
        <v>400</v>
      </c>
      <c r="CQ41" s="118" t="s">
        <v>6415</v>
      </c>
      <c r="CR41" s="118" t="s">
        <v>6415</v>
      </c>
      <c r="CS41" s="118" t="s">
        <v>6415</v>
      </c>
      <c r="CT41" s="118" t="s">
        <v>6415</v>
      </c>
      <c r="CU41" s="118" t="s">
        <v>6415</v>
      </c>
      <c r="CV41" s="118" t="s">
        <v>6415</v>
      </c>
      <c r="CW41" s="118">
        <v>25</v>
      </c>
      <c r="CX41" s="118" t="s">
        <v>1066</v>
      </c>
      <c r="CY41" s="118" t="s">
        <v>6341</v>
      </c>
      <c r="CZ41" s="118">
        <v>1</v>
      </c>
      <c r="DA41" s="118" t="s">
        <v>405</v>
      </c>
      <c r="DB41" s="118" t="s">
        <v>406</v>
      </c>
      <c r="DC41" s="118" t="s">
        <v>6415</v>
      </c>
      <c r="DD41" s="118" t="s">
        <v>6300</v>
      </c>
      <c r="DE41" s="118" t="s">
        <v>417</v>
      </c>
      <c r="DF41" s="118" t="s">
        <v>398</v>
      </c>
      <c r="DG41" s="118">
        <v>0</v>
      </c>
      <c r="DH41" s="118">
        <v>35</v>
      </c>
      <c r="DI41" s="118" t="s">
        <v>6355</v>
      </c>
      <c r="DJ41" s="118" t="s">
        <v>398</v>
      </c>
      <c r="DK41" s="118" t="s">
        <v>400</v>
      </c>
      <c r="DL41" s="118" t="s">
        <v>6415</v>
      </c>
      <c r="DM41" s="118" t="s">
        <v>6415</v>
      </c>
      <c r="DN41" s="118" t="s">
        <v>6415</v>
      </c>
      <c r="DO41" s="118" t="s">
        <v>6415</v>
      </c>
      <c r="DP41" s="118" t="s">
        <v>6415</v>
      </c>
      <c r="DQ41" s="118" t="s">
        <v>6415</v>
      </c>
      <c r="DR41" s="118">
        <v>49</v>
      </c>
      <c r="DS41" s="118" t="s">
        <v>1066</v>
      </c>
      <c r="DT41" s="118" t="s">
        <v>6341</v>
      </c>
      <c r="DU41" s="118" t="s">
        <v>6415</v>
      </c>
      <c r="DV41" s="118" t="s">
        <v>6415</v>
      </c>
      <c r="DW41" s="118" t="s">
        <v>6415</v>
      </c>
      <c r="DX41" s="118" t="s">
        <v>6415</v>
      </c>
      <c r="DY41" s="118" t="s">
        <v>6415</v>
      </c>
      <c r="DZ41" s="118" t="s">
        <v>6415</v>
      </c>
      <c r="EA41" s="118" t="s">
        <v>6415</v>
      </c>
      <c r="EB41" s="118" t="s">
        <v>6415</v>
      </c>
      <c r="EC41" s="118" t="s">
        <v>6415</v>
      </c>
      <c r="ED41" s="118" t="s">
        <v>6415</v>
      </c>
      <c r="EE41" s="118" t="s">
        <v>6415</v>
      </c>
      <c r="EF41" s="118" t="s">
        <v>6415</v>
      </c>
      <c r="EG41" s="118" t="s">
        <v>7043</v>
      </c>
      <c r="EH41" s="118" t="s">
        <v>7044</v>
      </c>
      <c r="EI41" s="118" t="s">
        <v>6415</v>
      </c>
      <c r="EJ41" s="118" t="s">
        <v>6415</v>
      </c>
      <c r="EK41" s="118" t="s">
        <v>6415</v>
      </c>
      <c r="EL41" s="118" t="s">
        <v>7467</v>
      </c>
      <c r="EM41" s="118" t="s">
        <v>7047</v>
      </c>
      <c r="EN41" s="118" t="s">
        <v>6415</v>
      </c>
      <c r="EO41" s="6" t="str">
        <f t="shared" si="10"/>
        <v>Pathweb</v>
      </c>
      <c r="EP41" s="6" t="str">
        <f t="shared" si="11"/>
        <v>Google Maps</v>
      </c>
      <c r="EQ41" s="6" t="str">
        <f t="shared" si="12"/>
        <v>Mashed Map</v>
      </c>
      <c r="ER41" s="118" t="s">
        <v>6727</v>
      </c>
      <c r="ES41" s="118" t="s">
        <v>71</v>
      </c>
      <c r="ET41" s="4">
        <v>0</v>
      </c>
      <c r="EU41" s="4"/>
      <c r="EV41" s="4"/>
    </row>
    <row r="42" spans="1:152" x14ac:dyDescent="0.15">
      <c r="A42" s="581" t="str">
        <f t="shared" si="9"/>
        <v>Crash Report</v>
      </c>
      <c r="B42" s="14">
        <v>20213066065</v>
      </c>
      <c r="C42" s="118">
        <v>2021</v>
      </c>
      <c r="D42" s="14">
        <v>21042327521547</v>
      </c>
      <c r="F42" s="118" t="s">
        <v>6442</v>
      </c>
      <c r="G42" s="118" t="s">
        <v>402</v>
      </c>
      <c r="H42" s="118">
        <v>2</v>
      </c>
      <c r="I42" s="118" t="s">
        <v>6055</v>
      </c>
      <c r="J42" s="118" t="s">
        <v>423</v>
      </c>
      <c r="K42" s="118" t="s">
        <v>6985</v>
      </c>
      <c r="L42" s="118">
        <v>0.51300000000000001</v>
      </c>
      <c r="M42" s="118">
        <v>0.51300000000000001</v>
      </c>
      <c r="N42" s="118" t="s">
        <v>7465</v>
      </c>
      <c r="O42" s="118" t="s">
        <v>7479</v>
      </c>
      <c r="P42" s="118">
        <v>41.651800000000001</v>
      </c>
      <c r="Q42" s="118">
        <v>-83.518060000000006</v>
      </c>
      <c r="R42" s="118">
        <v>77000</v>
      </c>
      <c r="S42" s="118" t="s">
        <v>6988</v>
      </c>
      <c r="T42" s="118">
        <v>1</v>
      </c>
      <c r="U42" s="118">
        <v>0</v>
      </c>
      <c r="V42" s="118">
        <v>0</v>
      </c>
      <c r="W42" s="118">
        <v>0</v>
      </c>
      <c r="X42" s="118">
        <v>0</v>
      </c>
      <c r="Y42" s="118">
        <v>3</v>
      </c>
      <c r="Z42" s="118">
        <v>0</v>
      </c>
      <c r="AA42" s="118">
        <v>2</v>
      </c>
      <c r="AB42" s="118" t="s">
        <v>1067</v>
      </c>
      <c r="AC42" s="118" t="s">
        <v>6989</v>
      </c>
      <c r="AD42" s="118" t="s">
        <v>1034</v>
      </c>
      <c r="AE42" s="118" t="s">
        <v>943</v>
      </c>
      <c r="AF42" s="118" t="s">
        <v>1041</v>
      </c>
      <c r="AG42" s="118" t="s">
        <v>6415</v>
      </c>
      <c r="AH42" s="118" t="s">
        <v>393</v>
      </c>
      <c r="AI42" s="118">
        <v>4</v>
      </c>
      <c r="AJ42" s="118" t="s">
        <v>6415</v>
      </c>
      <c r="AK42" s="118" t="s">
        <v>393</v>
      </c>
      <c r="AL42" s="118" t="s">
        <v>393</v>
      </c>
      <c r="AM42" s="118" t="s">
        <v>393</v>
      </c>
      <c r="AN42" s="402" t="s">
        <v>5975</v>
      </c>
      <c r="AO42" s="402">
        <v>44309</v>
      </c>
      <c r="AP42" s="118">
        <v>4</v>
      </c>
      <c r="AQ42" s="118">
        <v>15</v>
      </c>
      <c r="AR42" s="118" t="s">
        <v>6448</v>
      </c>
      <c r="AS42" s="118" t="s">
        <v>392</v>
      </c>
      <c r="AT42" s="118" t="s">
        <v>500</v>
      </c>
      <c r="AU42" s="118" t="s">
        <v>404</v>
      </c>
      <c r="AV42" s="118" t="s">
        <v>508</v>
      </c>
      <c r="AW42" s="118" t="s">
        <v>393</v>
      </c>
      <c r="AX42" s="118" t="s">
        <v>740</v>
      </c>
      <c r="AY42" s="118" t="s">
        <v>393</v>
      </c>
      <c r="AZ42" s="118" t="s">
        <v>393</v>
      </c>
      <c r="BA42" s="118" t="s">
        <v>393</v>
      </c>
      <c r="BB42" s="118" t="s">
        <v>393</v>
      </c>
      <c r="BC42" s="118" t="s">
        <v>393</v>
      </c>
      <c r="BD42" s="118" t="s">
        <v>393</v>
      </c>
      <c r="BE42" s="118" t="s">
        <v>740</v>
      </c>
      <c r="BF42" s="118" t="s">
        <v>393</v>
      </c>
      <c r="BG42" s="118" t="s">
        <v>393</v>
      </c>
      <c r="BH42" s="118" t="s">
        <v>394</v>
      </c>
      <c r="BI42" s="118" t="s">
        <v>394</v>
      </c>
      <c r="BJ42" s="118" t="s">
        <v>393</v>
      </c>
      <c r="BK42" s="118" t="s">
        <v>6988</v>
      </c>
      <c r="BL42" s="118" t="s">
        <v>6415</v>
      </c>
      <c r="BM42" s="118" t="s">
        <v>6990</v>
      </c>
      <c r="BN42" s="118" t="s">
        <v>6991</v>
      </c>
      <c r="BO42" s="118" t="s">
        <v>6415</v>
      </c>
      <c r="BP42" s="118" t="s">
        <v>6415</v>
      </c>
      <c r="BQ42" s="118" t="s">
        <v>6415</v>
      </c>
      <c r="BR42" s="118" t="s">
        <v>6415</v>
      </c>
      <c r="BS42" s="118" t="s">
        <v>261</v>
      </c>
      <c r="BT42" s="118" t="s">
        <v>1791</v>
      </c>
      <c r="BU42" s="118" t="s">
        <v>7017</v>
      </c>
      <c r="BV42" s="118" t="s">
        <v>6415</v>
      </c>
      <c r="BW42" s="118" t="s">
        <v>6415</v>
      </c>
      <c r="BX42" s="118" t="s">
        <v>6415</v>
      </c>
      <c r="BY42" s="118" t="s">
        <v>6415</v>
      </c>
      <c r="BZ42" s="118" t="s">
        <v>6415</v>
      </c>
      <c r="CA42" s="118" t="s">
        <v>6415</v>
      </c>
      <c r="CB42" s="118" t="s">
        <v>221</v>
      </c>
      <c r="CC42" s="118" t="s">
        <v>393</v>
      </c>
      <c r="CD42" s="118">
        <v>1</v>
      </c>
      <c r="CE42" s="118" t="s">
        <v>397</v>
      </c>
      <c r="CF42" s="118" t="s">
        <v>396</v>
      </c>
      <c r="CG42" s="118" t="s">
        <v>924</v>
      </c>
      <c r="CH42" s="118" t="s">
        <v>6300</v>
      </c>
      <c r="CI42" s="118" t="s">
        <v>6305</v>
      </c>
      <c r="CJ42" s="118" t="s">
        <v>398</v>
      </c>
      <c r="CK42" s="14">
        <v>0</v>
      </c>
      <c r="CL42" s="118">
        <v>35</v>
      </c>
      <c r="CM42" s="118" t="s">
        <v>6355</v>
      </c>
      <c r="CN42" s="118" t="s">
        <v>6338</v>
      </c>
      <c r="CO42" s="118" t="s">
        <v>1096</v>
      </c>
      <c r="CP42" s="118" t="s">
        <v>400</v>
      </c>
      <c r="CQ42" s="118" t="s">
        <v>6415</v>
      </c>
      <c r="CR42" s="118" t="s">
        <v>6415</v>
      </c>
      <c r="CS42" s="118" t="s">
        <v>6415</v>
      </c>
      <c r="CT42" s="118" t="s">
        <v>6415</v>
      </c>
      <c r="CU42" s="118" t="s">
        <v>6415</v>
      </c>
      <c r="CV42" s="118" t="s">
        <v>6415</v>
      </c>
      <c r="CW42" s="14">
        <v>73</v>
      </c>
      <c r="CX42" s="118" t="s">
        <v>1068</v>
      </c>
      <c r="CY42" s="118" t="s">
        <v>6341</v>
      </c>
      <c r="CZ42" s="118">
        <v>2</v>
      </c>
      <c r="DA42" s="118" t="s">
        <v>397</v>
      </c>
      <c r="DB42" s="118" t="s">
        <v>396</v>
      </c>
      <c r="DC42" s="118" t="s">
        <v>6415</v>
      </c>
      <c r="DD42" s="118" t="s">
        <v>6300</v>
      </c>
      <c r="DE42" s="118" t="s">
        <v>6303</v>
      </c>
      <c r="DF42" s="118" t="s">
        <v>6151</v>
      </c>
      <c r="DG42" s="14" t="s">
        <v>6415</v>
      </c>
      <c r="DH42" s="118">
        <v>35</v>
      </c>
      <c r="DI42" s="118" t="s">
        <v>399</v>
      </c>
      <c r="DJ42" s="118" t="s">
        <v>6338</v>
      </c>
      <c r="DK42" s="118" t="s">
        <v>400</v>
      </c>
      <c r="DL42" s="118" t="s">
        <v>6415</v>
      </c>
      <c r="DM42" s="118" t="s">
        <v>6415</v>
      </c>
      <c r="DN42" s="118" t="s">
        <v>6415</v>
      </c>
      <c r="DO42" s="118" t="s">
        <v>6415</v>
      </c>
      <c r="DP42" s="118" t="s">
        <v>6415</v>
      </c>
      <c r="DQ42" s="118" t="s">
        <v>6415</v>
      </c>
      <c r="DR42" s="118">
        <v>0</v>
      </c>
      <c r="DS42" s="118" t="s">
        <v>1068</v>
      </c>
      <c r="DT42" s="118" t="s">
        <v>6151</v>
      </c>
      <c r="DU42" s="118" t="s">
        <v>6415</v>
      </c>
      <c r="DV42" s="118" t="s">
        <v>6415</v>
      </c>
      <c r="DW42" s="118" t="s">
        <v>6415</v>
      </c>
      <c r="DX42" s="118" t="s">
        <v>6415</v>
      </c>
      <c r="DY42" s="118" t="s">
        <v>6415</v>
      </c>
      <c r="DZ42" s="118" t="s">
        <v>6415</v>
      </c>
      <c r="EA42" s="118" t="s">
        <v>6415</v>
      </c>
      <c r="EB42" s="118" t="s">
        <v>6415</v>
      </c>
      <c r="EC42" s="118" t="s">
        <v>6415</v>
      </c>
      <c r="ED42" s="118" t="s">
        <v>6415</v>
      </c>
      <c r="EE42" s="118" t="s">
        <v>6415</v>
      </c>
      <c r="EF42" s="118" t="s">
        <v>6415</v>
      </c>
      <c r="EG42" s="118" t="s">
        <v>6994</v>
      </c>
      <c r="EH42" s="118" t="s">
        <v>6995</v>
      </c>
      <c r="EI42" s="118" t="s">
        <v>6415</v>
      </c>
      <c r="EJ42" s="118" t="s">
        <v>6415</v>
      </c>
      <c r="EK42" s="118" t="s">
        <v>6415</v>
      </c>
      <c r="EL42" s="118" t="s">
        <v>7467</v>
      </c>
      <c r="EM42" s="118" t="s">
        <v>7048</v>
      </c>
      <c r="EN42" s="118" t="s">
        <v>6415</v>
      </c>
      <c r="EO42" s="6" t="str">
        <f t="shared" si="10"/>
        <v>Pathweb</v>
      </c>
      <c r="EP42" s="6" t="str">
        <f t="shared" si="11"/>
        <v>Google Maps</v>
      </c>
      <c r="EQ42" s="6" t="str">
        <f t="shared" si="12"/>
        <v>Mashed Map</v>
      </c>
      <c r="ER42" s="118" t="s">
        <v>6727</v>
      </c>
      <c r="ES42" s="118" t="s">
        <v>71</v>
      </c>
      <c r="ET42" s="4">
        <v>0</v>
      </c>
      <c r="EU42" s="4"/>
      <c r="EV42" s="4"/>
    </row>
    <row r="43" spans="1:152" x14ac:dyDescent="0.15">
      <c r="A43" s="581" t="str">
        <f t="shared" si="9"/>
        <v>Crash Report</v>
      </c>
      <c r="B43" s="118">
        <v>20213066240</v>
      </c>
      <c r="C43" s="118">
        <v>2021</v>
      </c>
      <c r="D43" s="118">
        <v>21042327521845</v>
      </c>
      <c r="F43" s="118" t="s">
        <v>6442</v>
      </c>
      <c r="G43" s="118" t="s">
        <v>211</v>
      </c>
      <c r="H43" s="118">
        <v>2</v>
      </c>
      <c r="I43" s="118" t="s">
        <v>6055</v>
      </c>
      <c r="J43" s="118" t="s">
        <v>423</v>
      </c>
      <c r="K43" s="118" t="s">
        <v>6997</v>
      </c>
      <c r="L43" s="118">
        <v>0.71399999999999997</v>
      </c>
      <c r="M43" s="118">
        <v>0.71399999999999997</v>
      </c>
      <c r="N43" s="118" t="s">
        <v>7469</v>
      </c>
      <c r="O43" s="118" t="s">
        <v>7473</v>
      </c>
      <c r="P43" s="118">
        <v>41.648527000000001</v>
      </c>
      <c r="Q43" s="118">
        <v>-83.523510999999999</v>
      </c>
      <c r="R43" s="118">
        <v>77000</v>
      </c>
      <c r="S43" s="118" t="s">
        <v>6988</v>
      </c>
      <c r="T43" s="118">
        <v>1</v>
      </c>
      <c r="U43" s="118">
        <v>0</v>
      </c>
      <c r="V43" s="118">
        <v>0</v>
      </c>
      <c r="W43" s="118">
        <v>0</v>
      </c>
      <c r="X43" s="118">
        <v>0</v>
      </c>
      <c r="Y43" s="118">
        <v>3</v>
      </c>
      <c r="Z43" s="118">
        <v>0</v>
      </c>
      <c r="AA43" s="118">
        <v>2</v>
      </c>
      <c r="AB43" s="118" t="s">
        <v>1067</v>
      </c>
      <c r="AC43" s="118" t="s">
        <v>6989</v>
      </c>
      <c r="AD43" s="118" t="s">
        <v>1034</v>
      </c>
      <c r="AE43" s="118" t="s">
        <v>943</v>
      </c>
      <c r="AF43" s="118" t="s">
        <v>1041</v>
      </c>
      <c r="AG43" s="118" t="s">
        <v>6415</v>
      </c>
      <c r="AH43" s="118" t="s">
        <v>393</v>
      </c>
      <c r="AI43" s="118">
        <v>2</v>
      </c>
      <c r="AJ43" s="118" t="s">
        <v>6415</v>
      </c>
      <c r="AK43" s="118" t="s">
        <v>393</v>
      </c>
      <c r="AL43" s="118" t="s">
        <v>393</v>
      </c>
      <c r="AM43" s="118" t="s">
        <v>393</v>
      </c>
      <c r="AN43" s="402" t="s">
        <v>5975</v>
      </c>
      <c r="AO43" s="402">
        <v>44309</v>
      </c>
      <c r="AP43" s="118">
        <v>4</v>
      </c>
      <c r="AQ43" s="118">
        <v>18</v>
      </c>
      <c r="AR43" s="118" t="s">
        <v>6448</v>
      </c>
      <c r="AS43" s="118" t="s">
        <v>392</v>
      </c>
      <c r="AT43" s="118" t="s">
        <v>500</v>
      </c>
      <c r="AU43" s="118" t="s">
        <v>404</v>
      </c>
      <c r="AV43" s="118" t="s">
        <v>508</v>
      </c>
      <c r="AW43" s="118" t="s">
        <v>393</v>
      </c>
      <c r="AX43" s="118" t="s">
        <v>740</v>
      </c>
      <c r="AY43" s="118" t="s">
        <v>393</v>
      </c>
      <c r="AZ43" s="118" t="s">
        <v>393</v>
      </c>
      <c r="BA43" s="118" t="s">
        <v>393</v>
      </c>
      <c r="BB43" s="118" t="s">
        <v>393</v>
      </c>
      <c r="BC43" s="118" t="s">
        <v>393</v>
      </c>
      <c r="BD43" s="118" t="s">
        <v>393</v>
      </c>
      <c r="BE43" s="118" t="s">
        <v>740</v>
      </c>
      <c r="BF43" s="118" t="s">
        <v>393</v>
      </c>
      <c r="BG43" s="118" t="s">
        <v>393</v>
      </c>
      <c r="BH43" s="118" t="s">
        <v>394</v>
      </c>
      <c r="BI43" s="118" t="s">
        <v>394</v>
      </c>
      <c r="BJ43" s="118" t="s">
        <v>393</v>
      </c>
      <c r="BK43" s="118" t="s">
        <v>6988</v>
      </c>
      <c r="BL43" s="118" t="s">
        <v>6415</v>
      </c>
      <c r="BM43" s="118" t="s">
        <v>6992</v>
      </c>
      <c r="BN43" s="118" t="s">
        <v>6991</v>
      </c>
      <c r="BO43" s="118" t="s">
        <v>6415</v>
      </c>
      <c r="BP43" s="118" t="s">
        <v>6415</v>
      </c>
      <c r="BQ43" s="118" t="s">
        <v>6415</v>
      </c>
      <c r="BR43" s="118" t="s">
        <v>6415</v>
      </c>
      <c r="BS43" s="118" t="s">
        <v>6415</v>
      </c>
      <c r="BT43" s="118" t="s">
        <v>6990</v>
      </c>
      <c r="BU43" s="118" t="s">
        <v>6991</v>
      </c>
      <c r="BV43" s="118" t="s">
        <v>6415</v>
      </c>
      <c r="BW43" s="118" t="s">
        <v>6415</v>
      </c>
      <c r="BX43" s="118" t="s">
        <v>6415</v>
      </c>
      <c r="BY43" s="118" t="s">
        <v>6415</v>
      </c>
      <c r="BZ43" s="118" t="s">
        <v>6415</v>
      </c>
      <c r="CA43" s="118" t="s">
        <v>6415</v>
      </c>
      <c r="CB43" s="118" t="s">
        <v>221</v>
      </c>
      <c r="CC43" s="118" t="s">
        <v>740</v>
      </c>
      <c r="CD43" s="118">
        <v>2</v>
      </c>
      <c r="CE43" s="118" t="s">
        <v>446</v>
      </c>
      <c r="CF43" s="118" t="s">
        <v>445</v>
      </c>
      <c r="CG43" s="118" t="s">
        <v>924</v>
      </c>
      <c r="CH43" s="118" t="s">
        <v>6300</v>
      </c>
      <c r="CI43" s="118" t="s">
        <v>6303</v>
      </c>
      <c r="CJ43" s="118" t="s">
        <v>6151</v>
      </c>
      <c r="CK43" s="14">
        <v>0</v>
      </c>
      <c r="CL43" s="118">
        <v>30</v>
      </c>
      <c r="CM43" s="118" t="s">
        <v>399</v>
      </c>
      <c r="CN43" s="118" t="s">
        <v>440</v>
      </c>
      <c r="CO43" s="118" t="s">
        <v>1096</v>
      </c>
      <c r="CP43" s="118" t="s">
        <v>400</v>
      </c>
      <c r="CQ43" s="118" t="s">
        <v>6415</v>
      </c>
      <c r="CR43" s="118" t="s">
        <v>6415</v>
      </c>
      <c r="CS43" s="118" t="s">
        <v>6415</v>
      </c>
      <c r="CT43" s="118" t="s">
        <v>6415</v>
      </c>
      <c r="CU43" s="118" t="s">
        <v>6415</v>
      </c>
      <c r="CV43" s="118" t="s">
        <v>6415</v>
      </c>
      <c r="CW43" s="14">
        <v>0</v>
      </c>
      <c r="CX43" s="118" t="s">
        <v>401</v>
      </c>
      <c r="CY43" s="118" t="s">
        <v>6151</v>
      </c>
      <c r="CZ43" s="118">
        <v>1</v>
      </c>
      <c r="DA43" s="118" t="s">
        <v>445</v>
      </c>
      <c r="DB43" s="118" t="s">
        <v>397</v>
      </c>
      <c r="DC43" s="118" t="s">
        <v>6415</v>
      </c>
      <c r="DD43" s="118" t="s">
        <v>6300</v>
      </c>
      <c r="DE43" s="118" t="s">
        <v>6303</v>
      </c>
      <c r="DF43" s="118" t="s">
        <v>398</v>
      </c>
      <c r="DG43" s="14">
        <v>5</v>
      </c>
      <c r="DH43" s="118">
        <v>30</v>
      </c>
      <c r="DI43" s="118" t="s">
        <v>436</v>
      </c>
      <c r="DJ43" s="118" t="s">
        <v>398</v>
      </c>
      <c r="DK43" s="118" t="s">
        <v>400</v>
      </c>
      <c r="DL43" s="118" t="s">
        <v>6415</v>
      </c>
      <c r="DM43" s="118" t="s">
        <v>6415</v>
      </c>
      <c r="DN43" s="118" t="s">
        <v>6415</v>
      </c>
      <c r="DO43" s="118" t="s">
        <v>6415</v>
      </c>
      <c r="DP43" s="118" t="s">
        <v>6415</v>
      </c>
      <c r="DQ43" s="118" t="s">
        <v>6415</v>
      </c>
      <c r="DR43" s="118">
        <v>78</v>
      </c>
      <c r="DS43" s="118" t="s">
        <v>1068</v>
      </c>
      <c r="DT43" s="118" t="s">
        <v>6341</v>
      </c>
      <c r="DU43" s="118" t="s">
        <v>6415</v>
      </c>
      <c r="DV43" s="118" t="s">
        <v>6415</v>
      </c>
      <c r="DW43" s="118" t="s">
        <v>6415</v>
      </c>
      <c r="DX43" s="118" t="s">
        <v>6415</v>
      </c>
      <c r="DY43" s="118" t="s">
        <v>6415</v>
      </c>
      <c r="DZ43" s="118" t="s">
        <v>6415</v>
      </c>
      <c r="EA43" s="118" t="s">
        <v>6415</v>
      </c>
      <c r="EB43" s="118" t="s">
        <v>6415</v>
      </c>
      <c r="EC43" s="118" t="s">
        <v>6415</v>
      </c>
      <c r="ED43" s="118" t="s">
        <v>6415</v>
      </c>
      <c r="EE43" s="118" t="s">
        <v>6415</v>
      </c>
      <c r="EF43" s="118" t="s">
        <v>6415</v>
      </c>
      <c r="EG43" s="118" t="s">
        <v>6986</v>
      </c>
      <c r="EH43" s="118" t="s">
        <v>7022</v>
      </c>
      <c r="EI43" s="118" t="s">
        <v>6415</v>
      </c>
      <c r="EJ43" s="118" t="s">
        <v>6415</v>
      </c>
      <c r="EK43" s="118" t="s">
        <v>6415</v>
      </c>
      <c r="EL43" s="118" t="s">
        <v>7467</v>
      </c>
      <c r="EM43" s="118" t="s">
        <v>7049</v>
      </c>
      <c r="EN43" s="118" t="s">
        <v>6415</v>
      </c>
      <c r="EO43" s="6" t="str">
        <f t="shared" si="10"/>
        <v>Pathweb</v>
      </c>
      <c r="EP43" s="6" t="str">
        <f t="shared" si="11"/>
        <v>Google Maps</v>
      </c>
      <c r="EQ43" s="6" t="str">
        <f t="shared" si="12"/>
        <v>Mashed Map</v>
      </c>
      <c r="ER43" s="118" t="s">
        <v>6727</v>
      </c>
      <c r="ES43" s="118" t="s">
        <v>71</v>
      </c>
      <c r="ET43" s="4">
        <v>0</v>
      </c>
      <c r="EU43" s="4"/>
      <c r="EV43" s="4"/>
    </row>
    <row r="44" spans="1:152" x14ac:dyDescent="0.15">
      <c r="A44" s="581" t="str">
        <f t="shared" si="9"/>
        <v>Crash Report</v>
      </c>
      <c r="B44" s="118">
        <v>20213079428</v>
      </c>
      <c r="C44" s="118">
        <v>2021</v>
      </c>
      <c r="D44" s="118">
        <v>21051128011838</v>
      </c>
      <c r="F44" s="118" t="s">
        <v>6439</v>
      </c>
      <c r="G44" s="118" t="s">
        <v>211</v>
      </c>
      <c r="H44" s="118">
        <v>2</v>
      </c>
      <c r="I44" s="118" t="s">
        <v>6055</v>
      </c>
      <c r="J44" s="118" t="s">
        <v>391</v>
      </c>
      <c r="K44" s="118" t="s">
        <v>6997</v>
      </c>
      <c r="L44" s="118">
        <v>0.42</v>
      </c>
      <c r="M44" s="118">
        <v>0.42</v>
      </c>
      <c r="N44" s="118" t="s">
        <v>7469</v>
      </c>
      <c r="O44" s="118">
        <v>506</v>
      </c>
      <c r="P44" s="118">
        <v>41.645229999999998</v>
      </c>
      <c r="Q44" s="118">
        <v>-83.519874999999999</v>
      </c>
      <c r="R44" s="118">
        <v>77000</v>
      </c>
      <c r="S44" s="118" t="s">
        <v>6988</v>
      </c>
      <c r="T44" s="118">
        <v>1</v>
      </c>
      <c r="U44" s="118">
        <v>0</v>
      </c>
      <c r="V44" s="118">
        <v>1</v>
      </c>
      <c r="W44" s="118">
        <v>0</v>
      </c>
      <c r="X44" s="118">
        <v>0</v>
      </c>
      <c r="Y44" s="118">
        <v>1</v>
      </c>
      <c r="Z44" s="118">
        <v>0</v>
      </c>
      <c r="AA44" s="118">
        <v>2</v>
      </c>
      <c r="AB44" s="118" t="s">
        <v>1067</v>
      </c>
      <c r="AC44" s="118" t="s">
        <v>6989</v>
      </c>
      <c r="AD44" s="118" t="s">
        <v>1034</v>
      </c>
      <c r="AE44" s="118" t="s">
        <v>943</v>
      </c>
      <c r="AF44" s="118" t="s">
        <v>1042</v>
      </c>
      <c r="AG44" s="118" t="s">
        <v>6415</v>
      </c>
      <c r="AH44" s="118" t="s">
        <v>393</v>
      </c>
      <c r="AI44" s="118">
        <v>2</v>
      </c>
      <c r="AJ44" s="118" t="s">
        <v>6415</v>
      </c>
      <c r="AK44" s="118" t="s">
        <v>393</v>
      </c>
      <c r="AL44" s="118" t="s">
        <v>393</v>
      </c>
      <c r="AM44" s="118" t="s">
        <v>393</v>
      </c>
      <c r="AN44" s="402" t="s">
        <v>5975</v>
      </c>
      <c r="AO44" s="402">
        <v>44327</v>
      </c>
      <c r="AP44" s="118">
        <v>5</v>
      </c>
      <c r="AQ44" s="118">
        <v>18</v>
      </c>
      <c r="AR44" s="118" t="s">
        <v>6445</v>
      </c>
      <c r="AS44" s="118" t="s">
        <v>392</v>
      </c>
      <c r="AT44" s="118" t="s">
        <v>500</v>
      </c>
      <c r="AU44" s="118" t="s">
        <v>404</v>
      </c>
      <c r="AV44" s="118" t="s">
        <v>508</v>
      </c>
      <c r="AW44" s="118" t="s">
        <v>393</v>
      </c>
      <c r="AX44" s="118" t="s">
        <v>393</v>
      </c>
      <c r="AY44" s="118" t="s">
        <v>393</v>
      </c>
      <c r="AZ44" s="118" t="s">
        <v>393</v>
      </c>
      <c r="BA44" s="118" t="s">
        <v>393</v>
      </c>
      <c r="BB44" s="118" t="s">
        <v>393</v>
      </c>
      <c r="BC44" s="118" t="s">
        <v>740</v>
      </c>
      <c r="BD44" s="118" t="s">
        <v>393</v>
      </c>
      <c r="BE44" s="118" t="s">
        <v>393</v>
      </c>
      <c r="BF44" s="118" t="s">
        <v>740</v>
      </c>
      <c r="BG44" s="118" t="s">
        <v>393</v>
      </c>
      <c r="BH44" s="118" t="s">
        <v>394</v>
      </c>
      <c r="BI44" s="118" t="s">
        <v>394</v>
      </c>
      <c r="BJ44" s="118" t="s">
        <v>393</v>
      </c>
      <c r="BK44" s="118" t="s">
        <v>6988</v>
      </c>
      <c r="BL44" s="118" t="s">
        <v>6415</v>
      </c>
      <c r="BM44" s="118" t="s">
        <v>6992</v>
      </c>
      <c r="BN44" s="118" t="s">
        <v>6991</v>
      </c>
      <c r="BO44" s="118" t="s">
        <v>6415</v>
      </c>
      <c r="BP44" s="118" t="s">
        <v>6415</v>
      </c>
      <c r="BQ44" s="118" t="s">
        <v>6415</v>
      </c>
      <c r="BR44" s="118" t="s">
        <v>6415</v>
      </c>
      <c r="BS44" s="118" t="s">
        <v>6415</v>
      </c>
      <c r="BT44" s="118" t="s">
        <v>7053</v>
      </c>
      <c r="BU44" s="118" t="s">
        <v>6415</v>
      </c>
      <c r="BV44" s="118" t="s">
        <v>6415</v>
      </c>
      <c r="BW44" s="118" t="s">
        <v>6415</v>
      </c>
      <c r="BX44" s="118" t="s">
        <v>6415</v>
      </c>
      <c r="BY44" s="118" t="s">
        <v>6415</v>
      </c>
      <c r="BZ44" s="118">
        <v>506</v>
      </c>
      <c r="CA44" s="118" t="s">
        <v>6415</v>
      </c>
      <c r="CB44" s="118" t="s">
        <v>422</v>
      </c>
      <c r="CC44" s="118" t="s">
        <v>740</v>
      </c>
      <c r="CD44" s="118">
        <v>1</v>
      </c>
      <c r="CE44" s="118" t="s">
        <v>410</v>
      </c>
      <c r="CF44" s="118" t="s">
        <v>411</v>
      </c>
      <c r="CG44" s="118" t="s">
        <v>924</v>
      </c>
      <c r="CH44" s="118" t="s">
        <v>6302</v>
      </c>
      <c r="CI44" s="118" t="s">
        <v>6308</v>
      </c>
      <c r="CJ44" s="118" t="s">
        <v>398</v>
      </c>
      <c r="CK44" s="118">
        <v>35</v>
      </c>
      <c r="CL44" s="118">
        <v>35</v>
      </c>
      <c r="CM44" s="118" t="s">
        <v>399</v>
      </c>
      <c r="CN44" s="118" t="s">
        <v>398</v>
      </c>
      <c r="CO44" s="118" t="s">
        <v>1096</v>
      </c>
      <c r="CP44" s="118" t="s">
        <v>400</v>
      </c>
      <c r="CQ44" s="118" t="s">
        <v>6415</v>
      </c>
      <c r="CR44" s="118" t="s">
        <v>6415</v>
      </c>
      <c r="CS44" s="118" t="s">
        <v>6415</v>
      </c>
      <c r="CT44" s="118" t="s">
        <v>6415</v>
      </c>
      <c r="CU44" s="118" t="s">
        <v>6415</v>
      </c>
      <c r="CV44" s="118" t="s">
        <v>6415</v>
      </c>
      <c r="CW44" s="118">
        <v>19</v>
      </c>
      <c r="CX44" s="118" t="s">
        <v>1068</v>
      </c>
      <c r="CY44" s="118" t="s">
        <v>6341</v>
      </c>
      <c r="CZ44" s="118">
        <v>2</v>
      </c>
      <c r="DA44" s="118" t="s">
        <v>411</v>
      </c>
      <c r="DB44" s="118" t="s">
        <v>405</v>
      </c>
      <c r="DC44" s="118" t="s">
        <v>6415</v>
      </c>
      <c r="DD44" s="118" t="s">
        <v>6302</v>
      </c>
      <c r="DE44" s="118" t="s">
        <v>6303</v>
      </c>
      <c r="DF44" s="118" t="s">
        <v>398</v>
      </c>
      <c r="DG44" s="118">
        <v>10</v>
      </c>
      <c r="DH44" s="118">
        <v>35</v>
      </c>
      <c r="DI44" s="118" t="s">
        <v>436</v>
      </c>
      <c r="DJ44" s="118" t="s">
        <v>398</v>
      </c>
      <c r="DK44" s="118" t="s">
        <v>400</v>
      </c>
      <c r="DL44" s="118" t="s">
        <v>6415</v>
      </c>
      <c r="DM44" s="118" t="s">
        <v>6415</v>
      </c>
      <c r="DN44" s="118" t="s">
        <v>6415</v>
      </c>
      <c r="DO44" s="118" t="s">
        <v>6415</v>
      </c>
      <c r="DP44" s="118" t="s">
        <v>6415</v>
      </c>
      <c r="DQ44" s="118" t="s">
        <v>6415</v>
      </c>
      <c r="DR44" s="118">
        <v>25</v>
      </c>
      <c r="DS44" s="118" t="s">
        <v>1068</v>
      </c>
      <c r="DT44" s="118" t="s">
        <v>6341</v>
      </c>
      <c r="DU44" s="118" t="s">
        <v>6415</v>
      </c>
      <c r="DV44" s="118" t="s">
        <v>6415</v>
      </c>
      <c r="DW44" s="118" t="s">
        <v>6415</v>
      </c>
      <c r="DX44" s="118" t="s">
        <v>6415</v>
      </c>
      <c r="DY44" s="118" t="s">
        <v>6415</v>
      </c>
      <c r="DZ44" s="118" t="s">
        <v>6415</v>
      </c>
      <c r="EA44" s="118" t="s">
        <v>6415</v>
      </c>
      <c r="EB44" s="118" t="s">
        <v>6415</v>
      </c>
      <c r="EC44" s="118" t="s">
        <v>6415</v>
      </c>
      <c r="ED44" s="118" t="s">
        <v>6415</v>
      </c>
      <c r="EE44" s="118" t="s">
        <v>6415</v>
      </c>
      <c r="EF44" s="118" t="s">
        <v>6415</v>
      </c>
      <c r="EG44" s="118" t="s">
        <v>7051</v>
      </c>
      <c r="EH44" s="118" t="s">
        <v>7052</v>
      </c>
      <c r="EI44" s="118" t="s">
        <v>6415</v>
      </c>
      <c r="EJ44" s="118" t="s">
        <v>6415</v>
      </c>
      <c r="EK44" s="118" t="s">
        <v>6415</v>
      </c>
      <c r="EL44" s="118" t="s">
        <v>7467</v>
      </c>
      <c r="EM44" s="118" t="s">
        <v>7050</v>
      </c>
      <c r="EN44" s="118" t="s">
        <v>6415</v>
      </c>
      <c r="EO44" s="6" t="str">
        <f t="shared" si="10"/>
        <v>Pathweb</v>
      </c>
      <c r="EP44" s="6" t="str">
        <f t="shared" si="11"/>
        <v>Google Maps</v>
      </c>
      <c r="EQ44" s="6" t="str">
        <f t="shared" si="12"/>
        <v>Mashed Map</v>
      </c>
      <c r="ER44" s="118" t="s">
        <v>6727</v>
      </c>
      <c r="ES44" s="118" t="s">
        <v>6728</v>
      </c>
      <c r="ET44" s="4">
        <v>0</v>
      </c>
      <c r="EU44" s="4"/>
      <c r="EV44" s="4"/>
    </row>
    <row r="45" spans="1:152" x14ac:dyDescent="0.15">
      <c r="A45" s="581" t="str">
        <f t="shared" si="9"/>
        <v>Crash Report</v>
      </c>
      <c r="B45" s="14">
        <v>20213081732</v>
      </c>
      <c r="C45" s="118">
        <v>2021</v>
      </c>
      <c r="D45" s="14">
        <v>21051527160240</v>
      </c>
      <c r="F45" s="118" t="s">
        <v>6442</v>
      </c>
      <c r="G45" s="118" t="s">
        <v>390</v>
      </c>
      <c r="H45" s="118">
        <v>2</v>
      </c>
      <c r="I45" s="118" t="s">
        <v>6055</v>
      </c>
      <c r="J45" s="118" t="s">
        <v>391</v>
      </c>
      <c r="K45" s="118" t="s">
        <v>6997</v>
      </c>
      <c r="L45" s="118">
        <v>0.88400000000000001</v>
      </c>
      <c r="M45" s="118">
        <v>0.88400000000000001</v>
      </c>
      <c r="N45" s="118" t="s">
        <v>7469</v>
      </c>
      <c r="O45" s="118" t="s">
        <v>7466</v>
      </c>
      <c r="P45" s="118">
        <v>41.650444</v>
      </c>
      <c r="Q45" s="118">
        <v>-83.525520999999998</v>
      </c>
      <c r="R45" s="118">
        <v>77000</v>
      </c>
      <c r="S45" s="118" t="s">
        <v>6988</v>
      </c>
      <c r="T45" s="118">
        <v>1</v>
      </c>
      <c r="U45" s="118">
        <v>0</v>
      </c>
      <c r="V45" s="118">
        <v>0</v>
      </c>
      <c r="W45" s="118">
        <v>0</v>
      </c>
      <c r="X45" s="118">
        <v>0</v>
      </c>
      <c r="Y45" s="118">
        <v>3</v>
      </c>
      <c r="Z45" s="118">
        <v>1</v>
      </c>
      <c r="AA45" s="118">
        <v>2</v>
      </c>
      <c r="AB45" s="118" t="s">
        <v>1067</v>
      </c>
      <c r="AC45" s="118" t="s">
        <v>6989</v>
      </c>
      <c r="AD45" s="118" t="s">
        <v>1034</v>
      </c>
      <c r="AE45" s="118" t="s">
        <v>943</v>
      </c>
      <c r="AF45" s="118" t="s">
        <v>1041</v>
      </c>
      <c r="AG45" s="118" t="s">
        <v>6415</v>
      </c>
      <c r="AH45" s="118" t="s">
        <v>393</v>
      </c>
      <c r="AI45" s="118">
        <v>2</v>
      </c>
      <c r="AJ45" s="118" t="s">
        <v>6415</v>
      </c>
      <c r="AK45" s="118" t="s">
        <v>393</v>
      </c>
      <c r="AL45" s="118" t="s">
        <v>393</v>
      </c>
      <c r="AM45" s="118" t="s">
        <v>393</v>
      </c>
      <c r="AN45" s="402" t="s">
        <v>5975</v>
      </c>
      <c r="AO45" s="402">
        <v>44331</v>
      </c>
      <c r="AP45" s="118">
        <v>5</v>
      </c>
      <c r="AQ45" s="118">
        <v>2</v>
      </c>
      <c r="AR45" s="118" t="s">
        <v>6449</v>
      </c>
      <c r="AS45" s="118" t="s">
        <v>392</v>
      </c>
      <c r="AT45" s="118" t="s">
        <v>500</v>
      </c>
      <c r="AU45" s="118" t="s">
        <v>507</v>
      </c>
      <c r="AV45" s="118" t="s">
        <v>508</v>
      </c>
      <c r="AW45" s="118" t="s">
        <v>393</v>
      </c>
      <c r="AX45" s="118" t="s">
        <v>393</v>
      </c>
      <c r="AY45" s="118" t="s">
        <v>393</v>
      </c>
      <c r="AZ45" s="118" t="s">
        <v>393</v>
      </c>
      <c r="BA45" s="118" t="s">
        <v>393</v>
      </c>
      <c r="BB45" s="118" t="s">
        <v>393</v>
      </c>
      <c r="BC45" s="118" t="s">
        <v>393</v>
      </c>
      <c r="BD45" s="118" t="s">
        <v>393</v>
      </c>
      <c r="BE45" s="118" t="s">
        <v>393</v>
      </c>
      <c r="BF45" s="118" t="s">
        <v>393</v>
      </c>
      <c r="BG45" s="118" t="s">
        <v>393</v>
      </c>
      <c r="BH45" s="118" t="s">
        <v>394</v>
      </c>
      <c r="BI45" s="118" t="s">
        <v>394</v>
      </c>
      <c r="BJ45" s="118" t="s">
        <v>393</v>
      </c>
      <c r="BK45" s="118" t="s">
        <v>6988</v>
      </c>
      <c r="BL45" s="118" t="s">
        <v>6415</v>
      </c>
      <c r="BM45" s="118" t="s">
        <v>4748</v>
      </c>
      <c r="BN45" s="118" t="s">
        <v>7057</v>
      </c>
      <c r="BO45" s="118" t="s">
        <v>6415</v>
      </c>
      <c r="BP45" s="118" t="s">
        <v>6415</v>
      </c>
      <c r="BQ45" s="118" t="s">
        <v>6415</v>
      </c>
      <c r="BR45" s="118" t="s">
        <v>6415</v>
      </c>
      <c r="BS45" s="118" t="s">
        <v>6415</v>
      </c>
      <c r="BT45" s="118" t="s">
        <v>6992</v>
      </c>
      <c r="BU45" s="118" t="s">
        <v>6991</v>
      </c>
      <c r="BV45" s="118" t="s">
        <v>6415</v>
      </c>
      <c r="BW45" s="118" t="s">
        <v>6415</v>
      </c>
      <c r="BX45" s="118" t="s">
        <v>6415</v>
      </c>
      <c r="BY45" s="118" t="s">
        <v>6415</v>
      </c>
      <c r="BZ45" s="118" t="s">
        <v>6415</v>
      </c>
      <c r="CA45" s="118" t="s">
        <v>6415</v>
      </c>
      <c r="CB45" s="118" t="s">
        <v>221</v>
      </c>
      <c r="CC45" s="118" t="s">
        <v>740</v>
      </c>
      <c r="CD45" s="118">
        <v>2</v>
      </c>
      <c r="CE45" s="118" t="s">
        <v>396</v>
      </c>
      <c r="CF45" s="118" t="s">
        <v>397</v>
      </c>
      <c r="CG45" s="118" t="s">
        <v>924</v>
      </c>
      <c r="CH45" s="118" t="s">
        <v>6302</v>
      </c>
      <c r="CI45" s="118" t="s">
        <v>6303</v>
      </c>
      <c r="CJ45" s="118" t="s">
        <v>398</v>
      </c>
      <c r="CK45" s="14">
        <v>0</v>
      </c>
      <c r="CL45" s="118">
        <v>25</v>
      </c>
      <c r="CM45" s="118" t="s">
        <v>399</v>
      </c>
      <c r="CN45" s="118" t="s">
        <v>6512</v>
      </c>
      <c r="CO45" s="118" t="s">
        <v>1096</v>
      </c>
      <c r="CP45" s="118" t="s">
        <v>400</v>
      </c>
      <c r="CQ45" s="118" t="s">
        <v>6415</v>
      </c>
      <c r="CR45" s="118" t="s">
        <v>6415</v>
      </c>
      <c r="CS45" s="118" t="s">
        <v>6415</v>
      </c>
      <c r="CT45" s="118" t="s">
        <v>6415</v>
      </c>
      <c r="CU45" s="118" t="s">
        <v>6415</v>
      </c>
      <c r="CV45" s="118" t="s">
        <v>6415</v>
      </c>
      <c r="CW45" s="14">
        <v>0</v>
      </c>
      <c r="CX45" s="118" t="s">
        <v>1068</v>
      </c>
      <c r="CY45" s="118" t="s">
        <v>6151</v>
      </c>
      <c r="CZ45" s="118">
        <v>1</v>
      </c>
      <c r="DA45" s="118" t="s">
        <v>396</v>
      </c>
      <c r="DB45" s="118" t="s">
        <v>397</v>
      </c>
      <c r="DC45" s="118" t="s">
        <v>6415</v>
      </c>
      <c r="DD45" s="118" t="s">
        <v>6302</v>
      </c>
      <c r="DE45" s="118" t="s">
        <v>6303</v>
      </c>
      <c r="DF45" s="118" t="s">
        <v>398</v>
      </c>
      <c r="DG45" s="14" t="s">
        <v>6415</v>
      </c>
      <c r="DH45" s="118">
        <v>25</v>
      </c>
      <c r="DI45" s="118" t="s">
        <v>399</v>
      </c>
      <c r="DJ45" s="118" t="s">
        <v>398</v>
      </c>
      <c r="DK45" s="118" t="s">
        <v>400</v>
      </c>
      <c r="DL45" s="118" t="s">
        <v>6415</v>
      </c>
      <c r="DM45" s="118" t="s">
        <v>6415</v>
      </c>
      <c r="DN45" s="118" t="s">
        <v>6415</v>
      </c>
      <c r="DO45" s="118" t="s">
        <v>6415</v>
      </c>
      <c r="DP45" s="118" t="s">
        <v>6415</v>
      </c>
      <c r="DQ45" s="118" t="s">
        <v>6415</v>
      </c>
      <c r="DR45" s="118">
        <v>36</v>
      </c>
      <c r="DS45" s="118" t="s">
        <v>1066</v>
      </c>
      <c r="DT45" s="118" t="s">
        <v>6151</v>
      </c>
      <c r="DU45" s="118" t="s">
        <v>6415</v>
      </c>
      <c r="DV45" s="118" t="s">
        <v>6415</v>
      </c>
      <c r="DW45" s="118" t="s">
        <v>6415</v>
      </c>
      <c r="DX45" s="118" t="s">
        <v>6415</v>
      </c>
      <c r="DY45" s="118" t="s">
        <v>6415</v>
      </c>
      <c r="DZ45" s="118" t="s">
        <v>6415</v>
      </c>
      <c r="EA45" s="118" t="s">
        <v>6415</v>
      </c>
      <c r="EB45" s="118" t="s">
        <v>6415</v>
      </c>
      <c r="EC45" s="118" t="s">
        <v>6415</v>
      </c>
      <c r="ED45" s="118" t="s">
        <v>6415</v>
      </c>
      <c r="EE45" s="118" t="s">
        <v>6415</v>
      </c>
      <c r="EF45" s="118" t="s">
        <v>6415</v>
      </c>
      <c r="EG45" s="118" t="s">
        <v>7055</v>
      </c>
      <c r="EH45" s="118" t="s">
        <v>7056</v>
      </c>
      <c r="EI45" s="118" t="s">
        <v>6415</v>
      </c>
      <c r="EJ45" s="118" t="s">
        <v>6415</v>
      </c>
      <c r="EK45" s="118" t="s">
        <v>6415</v>
      </c>
      <c r="EL45" s="118" t="s">
        <v>7467</v>
      </c>
      <c r="EM45" s="118" t="s">
        <v>7054</v>
      </c>
      <c r="EN45" s="118" t="s">
        <v>6415</v>
      </c>
      <c r="EO45" s="6" t="str">
        <f t="shared" si="10"/>
        <v>Pathweb</v>
      </c>
      <c r="EP45" s="6" t="str">
        <f t="shared" si="11"/>
        <v>Google Maps</v>
      </c>
      <c r="EQ45" s="6" t="str">
        <f t="shared" si="12"/>
        <v>Mashed Map</v>
      </c>
      <c r="ER45" s="118" t="s">
        <v>6727</v>
      </c>
      <c r="ES45" s="118" t="s">
        <v>71</v>
      </c>
      <c r="ET45" s="4">
        <v>0</v>
      </c>
      <c r="EU45" s="4"/>
      <c r="EV45" s="4"/>
    </row>
    <row r="46" spans="1:152" x14ac:dyDescent="0.15">
      <c r="A46" s="581" t="str">
        <f t="shared" si="9"/>
        <v>Crash Report</v>
      </c>
      <c r="B46" s="14">
        <v>20213093581</v>
      </c>
      <c r="C46" s="118">
        <v>2021</v>
      </c>
      <c r="D46" s="14">
        <v>21060225751219</v>
      </c>
      <c r="F46" s="118" t="s">
        <v>6442</v>
      </c>
      <c r="G46" s="118" t="s">
        <v>390</v>
      </c>
      <c r="H46" s="118">
        <v>2</v>
      </c>
      <c r="I46" s="118" t="s">
        <v>6055</v>
      </c>
      <c r="J46" s="118" t="s">
        <v>423</v>
      </c>
      <c r="K46" s="118" t="s">
        <v>6985</v>
      </c>
      <c r="L46" s="118">
        <v>1.077</v>
      </c>
      <c r="M46" s="118">
        <v>1.077</v>
      </c>
      <c r="N46" s="118" t="s">
        <v>7465</v>
      </c>
      <c r="O46" s="118" t="s">
        <v>7471</v>
      </c>
      <c r="P46" s="118">
        <v>41.656922999999999</v>
      </c>
      <c r="Q46" s="118">
        <v>-83.509524999999996</v>
      </c>
      <c r="R46" s="118">
        <v>77000</v>
      </c>
      <c r="S46" s="118" t="s">
        <v>6988</v>
      </c>
      <c r="T46" s="118">
        <v>1</v>
      </c>
      <c r="U46" s="118">
        <v>0</v>
      </c>
      <c r="V46" s="118">
        <v>0</v>
      </c>
      <c r="W46" s="118">
        <v>0</v>
      </c>
      <c r="X46" s="118">
        <v>0</v>
      </c>
      <c r="Y46" s="118">
        <v>4</v>
      </c>
      <c r="Z46" s="118">
        <v>2</v>
      </c>
      <c r="AA46" s="118">
        <v>2</v>
      </c>
      <c r="AB46" s="118" t="s">
        <v>1067</v>
      </c>
      <c r="AC46" s="118" t="s">
        <v>6989</v>
      </c>
      <c r="AD46" s="118" t="s">
        <v>1034</v>
      </c>
      <c r="AE46" s="118" t="s">
        <v>943</v>
      </c>
      <c r="AF46" s="118" t="s">
        <v>1041</v>
      </c>
      <c r="AG46" s="118" t="s">
        <v>6415</v>
      </c>
      <c r="AH46" s="118" t="s">
        <v>393</v>
      </c>
      <c r="AI46" s="118">
        <v>4</v>
      </c>
      <c r="AJ46" s="118" t="s">
        <v>6415</v>
      </c>
      <c r="AK46" s="118" t="s">
        <v>393</v>
      </c>
      <c r="AL46" s="118" t="s">
        <v>393</v>
      </c>
      <c r="AM46" s="118" t="s">
        <v>393</v>
      </c>
      <c r="AN46" s="402" t="s">
        <v>5975</v>
      </c>
      <c r="AO46" s="402">
        <v>44349</v>
      </c>
      <c r="AP46" s="118">
        <v>6</v>
      </c>
      <c r="AQ46" s="118">
        <v>12</v>
      </c>
      <c r="AR46" s="118" t="s">
        <v>6446</v>
      </c>
      <c r="AS46" s="118" t="s">
        <v>420</v>
      </c>
      <c r="AT46" s="118" t="s">
        <v>225</v>
      </c>
      <c r="AU46" s="118" t="s">
        <v>404</v>
      </c>
      <c r="AV46" s="118" t="s">
        <v>508</v>
      </c>
      <c r="AW46" s="118" t="s">
        <v>393</v>
      </c>
      <c r="AX46" s="118" t="s">
        <v>740</v>
      </c>
      <c r="AY46" s="118" t="s">
        <v>393</v>
      </c>
      <c r="AZ46" s="118" t="s">
        <v>393</v>
      </c>
      <c r="BA46" s="118" t="s">
        <v>393</v>
      </c>
      <c r="BB46" s="118" t="s">
        <v>393</v>
      </c>
      <c r="BC46" s="118" t="s">
        <v>393</v>
      </c>
      <c r="BD46" s="118" t="s">
        <v>393</v>
      </c>
      <c r="BE46" s="118" t="s">
        <v>393</v>
      </c>
      <c r="BF46" s="118" t="s">
        <v>393</v>
      </c>
      <c r="BG46" s="118" t="s">
        <v>393</v>
      </c>
      <c r="BH46" s="118" t="s">
        <v>394</v>
      </c>
      <c r="BI46" s="118" t="s">
        <v>394</v>
      </c>
      <c r="BJ46" s="118" t="s">
        <v>393</v>
      </c>
      <c r="BK46" s="118" t="s">
        <v>6988</v>
      </c>
      <c r="BL46" s="118" t="s">
        <v>6415</v>
      </c>
      <c r="BM46" s="118" t="s">
        <v>6990</v>
      </c>
      <c r="BN46" s="118" t="s">
        <v>6991</v>
      </c>
      <c r="BO46" s="118" t="s">
        <v>6415</v>
      </c>
      <c r="BP46" s="118" t="s">
        <v>6415</v>
      </c>
      <c r="BQ46" s="118" t="s">
        <v>6415</v>
      </c>
      <c r="BR46" s="118" t="s">
        <v>6415</v>
      </c>
      <c r="BS46" s="118" t="s">
        <v>6415</v>
      </c>
      <c r="BT46" s="118" t="s">
        <v>7008</v>
      </c>
      <c r="BU46" s="118" t="s">
        <v>6991</v>
      </c>
      <c r="BV46" s="118" t="s">
        <v>6415</v>
      </c>
      <c r="BW46" s="118" t="s">
        <v>6415</v>
      </c>
      <c r="BX46" s="118" t="s">
        <v>6415</v>
      </c>
      <c r="BY46" s="118" t="s">
        <v>6415</v>
      </c>
      <c r="BZ46" s="118" t="s">
        <v>6415</v>
      </c>
      <c r="CA46" s="118" t="s">
        <v>6415</v>
      </c>
      <c r="CB46" s="118" t="s">
        <v>221</v>
      </c>
      <c r="CC46" s="118" t="s">
        <v>740</v>
      </c>
      <c r="CD46" s="118">
        <v>2</v>
      </c>
      <c r="CE46" s="118" t="s">
        <v>396</v>
      </c>
      <c r="CF46" s="118" t="s">
        <v>397</v>
      </c>
      <c r="CG46" s="118" t="s">
        <v>924</v>
      </c>
      <c r="CH46" s="118" t="s">
        <v>6300</v>
      </c>
      <c r="CI46" s="118" t="s">
        <v>417</v>
      </c>
      <c r="CJ46" s="118" t="s">
        <v>398</v>
      </c>
      <c r="CK46" s="14">
        <v>0</v>
      </c>
      <c r="CL46" s="118">
        <v>35</v>
      </c>
      <c r="CM46" s="118" t="s">
        <v>399</v>
      </c>
      <c r="CN46" s="118" t="s">
        <v>6512</v>
      </c>
      <c r="CO46" s="118" t="s">
        <v>1096</v>
      </c>
      <c r="CP46" s="118" t="s">
        <v>400</v>
      </c>
      <c r="CQ46" s="118" t="s">
        <v>6415</v>
      </c>
      <c r="CR46" s="118" t="s">
        <v>6415</v>
      </c>
      <c r="CS46" s="118" t="s">
        <v>6415</v>
      </c>
      <c r="CT46" s="118" t="s">
        <v>6415</v>
      </c>
      <c r="CU46" s="118" t="s">
        <v>6415</v>
      </c>
      <c r="CV46" s="118" t="s">
        <v>6415</v>
      </c>
      <c r="CW46" s="14">
        <v>31</v>
      </c>
      <c r="CX46" s="118" t="s">
        <v>1066</v>
      </c>
      <c r="CY46" s="118" t="s">
        <v>6341</v>
      </c>
      <c r="CZ46" s="118">
        <v>1</v>
      </c>
      <c r="DA46" s="118" t="s">
        <v>396</v>
      </c>
      <c r="DB46" s="118" t="s">
        <v>397</v>
      </c>
      <c r="DC46" s="118" t="s">
        <v>6415</v>
      </c>
      <c r="DD46" s="118" t="s">
        <v>6300</v>
      </c>
      <c r="DE46" s="118" t="s">
        <v>417</v>
      </c>
      <c r="DF46" s="118" t="s">
        <v>398</v>
      </c>
      <c r="DG46" s="14">
        <v>0</v>
      </c>
      <c r="DH46" s="118">
        <v>35</v>
      </c>
      <c r="DI46" s="118" t="s">
        <v>6355</v>
      </c>
      <c r="DJ46" s="118" t="s">
        <v>398</v>
      </c>
      <c r="DK46" s="118" t="s">
        <v>400</v>
      </c>
      <c r="DL46" s="118" t="s">
        <v>6415</v>
      </c>
      <c r="DM46" s="118" t="s">
        <v>6415</v>
      </c>
      <c r="DN46" s="118" t="s">
        <v>6415</v>
      </c>
      <c r="DO46" s="118" t="s">
        <v>6415</v>
      </c>
      <c r="DP46" s="118" t="s">
        <v>6415</v>
      </c>
      <c r="DQ46" s="118" t="s">
        <v>6415</v>
      </c>
      <c r="DR46" s="118">
        <v>51</v>
      </c>
      <c r="DS46" s="118" t="s">
        <v>1066</v>
      </c>
      <c r="DT46" s="118" t="s">
        <v>6341</v>
      </c>
      <c r="DU46" s="118" t="s">
        <v>6415</v>
      </c>
      <c r="DV46" s="118" t="s">
        <v>6415</v>
      </c>
      <c r="DW46" s="118" t="s">
        <v>6415</v>
      </c>
      <c r="DX46" s="118" t="s">
        <v>6415</v>
      </c>
      <c r="DY46" s="118" t="s">
        <v>6415</v>
      </c>
      <c r="DZ46" s="118" t="s">
        <v>6415</v>
      </c>
      <c r="EA46" s="118" t="s">
        <v>6415</v>
      </c>
      <c r="EB46" s="118" t="s">
        <v>6415</v>
      </c>
      <c r="EC46" s="118" t="s">
        <v>6415</v>
      </c>
      <c r="ED46" s="118" t="s">
        <v>6415</v>
      </c>
      <c r="EE46" s="118" t="s">
        <v>6415</v>
      </c>
      <c r="EF46" s="118" t="s">
        <v>6415</v>
      </c>
      <c r="EG46" s="118" t="s">
        <v>7006</v>
      </c>
      <c r="EH46" s="118" t="s">
        <v>7059</v>
      </c>
      <c r="EI46" s="118" t="s">
        <v>6415</v>
      </c>
      <c r="EJ46" s="118" t="s">
        <v>6415</v>
      </c>
      <c r="EK46" s="118" t="s">
        <v>6415</v>
      </c>
      <c r="EL46" s="118" t="s">
        <v>7467</v>
      </c>
      <c r="EM46" s="118" t="s">
        <v>7058</v>
      </c>
      <c r="EN46" s="118" t="s">
        <v>6415</v>
      </c>
      <c r="EO46" s="6" t="str">
        <f t="shared" si="10"/>
        <v>Pathweb</v>
      </c>
      <c r="EP46" s="6" t="str">
        <f t="shared" si="11"/>
        <v>Google Maps</v>
      </c>
      <c r="EQ46" s="6" t="str">
        <f t="shared" si="12"/>
        <v>Mashed Map</v>
      </c>
      <c r="ER46" s="118" t="s">
        <v>6727</v>
      </c>
      <c r="ES46" s="118" t="s">
        <v>71</v>
      </c>
      <c r="ET46" s="4">
        <v>0</v>
      </c>
      <c r="EU46" s="4"/>
      <c r="EV46" s="4"/>
    </row>
    <row r="47" spans="1:152" x14ac:dyDescent="0.15">
      <c r="A47" s="581" t="str">
        <f t="shared" si="9"/>
        <v>Crash Report</v>
      </c>
      <c r="B47" s="118">
        <v>20213094045</v>
      </c>
      <c r="C47" s="118">
        <v>2021</v>
      </c>
      <c r="D47" s="118">
        <v>21053127711742</v>
      </c>
      <c r="F47" s="118" t="s">
        <v>6442</v>
      </c>
      <c r="G47" s="118" t="s">
        <v>402</v>
      </c>
      <c r="H47" s="118">
        <v>2</v>
      </c>
      <c r="I47" s="118" t="s">
        <v>6055</v>
      </c>
      <c r="J47" s="118" t="s">
        <v>484</v>
      </c>
      <c r="K47" s="118" t="s">
        <v>6985</v>
      </c>
      <c r="L47" s="118">
        <v>1.077</v>
      </c>
      <c r="M47" s="118">
        <v>1.077</v>
      </c>
      <c r="N47" s="118" t="s">
        <v>7465</v>
      </c>
      <c r="O47" s="118" t="s">
        <v>7471</v>
      </c>
      <c r="P47" s="118">
        <v>41.656922999999999</v>
      </c>
      <c r="Q47" s="118">
        <v>-83.509524999999996</v>
      </c>
      <c r="R47" s="118">
        <v>77000</v>
      </c>
      <c r="S47" s="118" t="s">
        <v>6988</v>
      </c>
      <c r="T47" s="118">
        <v>1</v>
      </c>
      <c r="U47" s="118">
        <v>0</v>
      </c>
      <c r="V47" s="118">
        <v>0</v>
      </c>
      <c r="W47" s="118">
        <v>0</v>
      </c>
      <c r="X47" s="118">
        <v>0</v>
      </c>
      <c r="Y47" s="118">
        <v>5</v>
      </c>
      <c r="Z47" s="118">
        <v>0</v>
      </c>
      <c r="AA47" s="118">
        <v>2</v>
      </c>
      <c r="AB47" s="118" t="s">
        <v>1067</v>
      </c>
      <c r="AC47" s="118" t="s">
        <v>6989</v>
      </c>
      <c r="AD47" s="118" t="s">
        <v>1034</v>
      </c>
      <c r="AE47" s="118" t="s">
        <v>943</v>
      </c>
      <c r="AF47" s="118" t="s">
        <v>1041</v>
      </c>
      <c r="AG47" s="118" t="s">
        <v>6415</v>
      </c>
      <c r="AH47" s="118" t="s">
        <v>393</v>
      </c>
      <c r="AI47" s="118">
        <v>4</v>
      </c>
      <c r="AJ47" s="118" t="s">
        <v>6415</v>
      </c>
      <c r="AK47" s="118" t="s">
        <v>393</v>
      </c>
      <c r="AL47" s="118" t="s">
        <v>393</v>
      </c>
      <c r="AM47" s="118" t="s">
        <v>393</v>
      </c>
      <c r="AN47" s="402" t="s">
        <v>5975</v>
      </c>
      <c r="AO47" s="402">
        <v>44347</v>
      </c>
      <c r="AP47" s="118">
        <v>5</v>
      </c>
      <c r="AQ47" s="118">
        <v>17</v>
      </c>
      <c r="AR47" s="118" t="s">
        <v>6444</v>
      </c>
      <c r="AS47" s="118" t="s">
        <v>392</v>
      </c>
      <c r="AT47" s="118" t="s">
        <v>500</v>
      </c>
      <c r="AU47" s="118" t="s">
        <v>404</v>
      </c>
      <c r="AV47" s="118" t="s">
        <v>508</v>
      </c>
      <c r="AW47" s="118" t="s">
        <v>393</v>
      </c>
      <c r="AX47" s="118" t="s">
        <v>740</v>
      </c>
      <c r="AY47" s="118" t="s">
        <v>393</v>
      </c>
      <c r="AZ47" s="118" t="s">
        <v>393</v>
      </c>
      <c r="BA47" s="118" t="s">
        <v>393</v>
      </c>
      <c r="BB47" s="118" t="s">
        <v>393</v>
      </c>
      <c r="BC47" s="118" t="s">
        <v>393</v>
      </c>
      <c r="BD47" s="118" t="s">
        <v>393</v>
      </c>
      <c r="BE47" s="118" t="s">
        <v>393</v>
      </c>
      <c r="BF47" s="118" t="s">
        <v>393</v>
      </c>
      <c r="BG47" s="118" t="s">
        <v>393</v>
      </c>
      <c r="BH47" s="118" t="s">
        <v>394</v>
      </c>
      <c r="BI47" s="118" t="s">
        <v>394</v>
      </c>
      <c r="BJ47" s="118" t="s">
        <v>393</v>
      </c>
      <c r="BK47" s="118" t="s">
        <v>6988</v>
      </c>
      <c r="BL47" s="118" t="s">
        <v>6415</v>
      </c>
      <c r="BM47" s="118" t="s">
        <v>6990</v>
      </c>
      <c r="BN47" s="118" t="s">
        <v>6991</v>
      </c>
      <c r="BO47" s="118" t="s">
        <v>6415</v>
      </c>
      <c r="BP47" s="118" t="s">
        <v>6415</v>
      </c>
      <c r="BQ47" s="118" t="s">
        <v>6415</v>
      </c>
      <c r="BR47" s="118" t="s">
        <v>6415</v>
      </c>
      <c r="BS47" s="118" t="s">
        <v>6415</v>
      </c>
      <c r="BT47" s="118" t="s">
        <v>7008</v>
      </c>
      <c r="BU47" s="118" t="s">
        <v>6991</v>
      </c>
      <c r="BV47" s="118" t="s">
        <v>6415</v>
      </c>
      <c r="BW47" s="118" t="s">
        <v>6415</v>
      </c>
      <c r="BX47" s="118" t="s">
        <v>6415</v>
      </c>
      <c r="BY47" s="118" t="s">
        <v>6415</v>
      </c>
      <c r="BZ47" s="118" t="s">
        <v>6415</v>
      </c>
      <c r="CA47" s="118" t="s">
        <v>6415</v>
      </c>
      <c r="CB47" s="118" t="s">
        <v>221</v>
      </c>
      <c r="CC47" s="118" t="s">
        <v>740</v>
      </c>
      <c r="CD47" s="118">
        <v>2</v>
      </c>
      <c r="CE47" s="118" t="s">
        <v>406</v>
      </c>
      <c r="CF47" s="118" t="s">
        <v>405</v>
      </c>
      <c r="CG47" s="118" t="s">
        <v>924</v>
      </c>
      <c r="CH47" s="118" t="s">
        <v>6299</v>
      </c>
      <c r="CI47" s="118" t="s">
        <v>6304</v>
      </c>
      <c r="CJ47" s="118" t="s">
        <v>398</v>
      </c>
      <c r="CK47" s="118">
        <v>0</v>
      </c>
      <c r="CL47" s="118">
        <v>35</v>
      </c>
      <c r="CM47" s="118" t="s">
        <v>439</v>
      </c>
      <c r="CN47" s="118" t="s">
        <v>6329</v>
      </c>
      <c r="CO47" s="118" t="s">
        <v>1096</v>
      </c>
      <c r="CP47" s="118" t="s">
        <v>400</v>
      </c>
      <c r="CQ47" s="118" t="s">
        <v>6415</v>
      </c>
      <c r="CR47" s="118" t="s">
        <v>6415</v>
      </c>
      <c r="CS47" s="118" t="s">
        <v>6415</v>
      </c>
      <c r="CT47" s="118" t="s">
        <v>6415</v>
      </c>
      <c r="CU47" s="118" t="s">
        <v>6415</v>
      </c>
      <c r="CV47" s="118" t="s">
        <v>6415</v>
      </c>
      <c r="CW47" s="118">
        <v>48</v>
      </c>
      <c r="CX47" s="118" t="s">
        <v>1066</v>
      </c>
      <c r="CY47" s="118" t="s">
        <v>6341</v>
      </c>
      <c r="CZ47" s="118">
        <v>1</v>
      </c>
      <c r="DA47" s="118" t="s">
        <v>406</v>
      </c>
      <c r="DB47" s="118" t="s">
        <v>405</v>
      </c>
      <c r="DC47" s="118" t="s">
        <v>6415</v>
      </c>
      <c r="DD47" s="118" t="s">
        <v>6302</v>
      </c>
      <c r="DE47" s="118" t="s">
        <v>6303</v>
      </c>
      <c r="DF47" s="118" t="s">
        <v>398</v>
      </c>
      <c r="DG47" s="118" t="s">
        <v>6415</v>
      </c>
      <c r="DH47" s="118">
        <v>35</v>
      </c>
      <c r="DI47" s="118" t="s">
        <v>399</v>
      </c>
      <c r="DJ47" s="118" t="s">
        <v>398</v>
      </c>
      <c r="DK47" s="118" t="s">
        <v>400</v>
      </c>
      <c r="DL47" s="118" t="s">
        <v>6415</v>
      </c>
      <c r="DM47" s="118" t="s">
        <v>6415</v>
      </c>
      <c r="DN47" s="118" t="s">
        <v>6415</v>
      </c>
      <c r="DO47" s="118" t="s">
        <v>6415</v>
      </c>
      <c r="DP47" s="118" t="s">
        <v>6415</v>
      </c>
      <c r="DQ47" s="118" t="s">
        <v>6415</v>
      </c>
      <c r="DR47" s="118">
        <v>32</v>
      </c>
      <c r="DS47" s="118" t="s">
        <v>1066</v>
      </c>
      <c r="DT47" s="118" t="s">
        <v>6341</v>
      </c>
      <c r="DU47" s="118" t="s">
        <v>6415</v>
      </c>
      <c r="DV47" s="118" t="s">
        <v>6415</v>
      </c>
      <c r="DW47" s="118" t="s">
        <v>6415</v>
      </c>
      <c r="DX47" s="118" t="s">
        <v>6415</v>
      </c>
      <c r="DY47" s="118" t="s">
        <v>6415</v>
      </c>
      <c r="DZ47" s="118" t="s">
        <v>6415</v>
      </c>
      <c r="EA47" s="118" t="s">
        <v>6415</v>
      </c>
      <c r="EB47" s="118" t="s">
        <v>6415</v>
      </c>
      <c r="EC47" s="118" t="s">
        <v>6415</v>
      </c>
      <c r="ED47" s="118" t="s">
        <v>6415</v>
      </c>
      <c r="EE47" s="118" t="s">
        <v>6415</v>
      </c>
      <c r="EF47" s="118" t="s">
        <v>6415</v>
      </c>
      <c r="EG47" s="118" t="s">
        <v>7006</v>
      </c>
      <c r="EH47" s="118" t="s">
        <v>7059</v>
      </c>
      <c r="EI47" s="118" t="s">
        <v>6415</v>
      </c>
      <c r="EJ47" s="118" t="s">
        <v>6415</v>
      </c>
      <c r="EK47" s="118" t="s">
        <v>6415</v>
      </c>
      <c r="EL47" s="118" t="s">
        <v>7467</v>
      </c>
      <c r="EM47" s="118" t="s">
        <v>7060</v>
      </c>
      <c r="EN47" s="118" t="s">
        <v>6415</v>
      </c>
      <c r="EO47" s="6" t="str">
        <f t="shared" si="10"/>
        <v>Pathweb</v>
      </c>
      <c r="EP47" s="6" t="str">
        <f t="shared" si="11"/>
        <v>Google Maps</v>
      </c>
      <c r="EQ47" s="6" t="str">
        <f t="shared" si="12"/>
        <v>Mashed Map</v>
      </c>
      <c r="ER47" s="118" t="s">
        <v>6727</v>
      </c>
      <c r="ES47" s="118" t="s">
        <v>71</v>
      </c>
      <c r="ET47" s="4">
        <v>0</v>
      </c>
      <c r="EU47" s="4"/>
      <c r="EV47" s="4"/>
    </row>
    <row r="48" spans="1:152" x14ac:dyDescent="0.15">
      <c r="A48" s="581" t="str">
        <f t="shared" si="9"/>
        <v>Crash Report</v>
      </c>
      <c r="B48" s="118">
        <v>20213095224</v>
      </c>
      <c r="C48" s="118">
        <v>2021</v>
      </c>
      <c r="D48" s="118">
        <v>21060421620330</v>
      </c>
      <c r="F48" s="118" t="s">
        <v>6442</v>
      </c>
      <c r="G48" s="118" t="s">
        <v>211</v>
      </c>
      <c r="H48" s="118">
        <v>2</v>
      </c>
      <c r="I48" s="118" t="s">
        <v>6055</v>
      </c>
      <c r="J48" s="118" t="s">
        <v>391</v>
      </c>
      <c r="K48" s="118" t="s">
        <v>6997</v>
      </c>
      <c r="L48" s="118">
        <v>0.11600000000000001</v>
      </c>
      <c r="M48" s="118">
        <v>0.11600000000000001</v>
      </c>
      <c r="N48" s="118" t="s">
        <v>7469</v>
      </c>
      <c r="O48" s="118" t="s">
        <v>7480</v>
      </c>
      <c r="P48" s="118">
        <v>41.641643999999999</v>
      </c>
      <c r="Q48" s="118">
        <v>-83.518210999999994</v>
      </c>
      <c r="R48" s="118">
        <v>77000</v>
      </c>
      <c r="S48" s="118" t="s">
        <v>6988</v>
      </c>
      <c r="T48" s="118">
        <v>1</v>
      </c>
      <c r="U48" s="118">
        <v>0</v>
      </c>
      <c r="V48" s="118">
        <v>0</v>
      </c>
      <c r="W48" s="118">
        <v>0</v>
      </c>
      <c r="X48" s="118">
        <v>0</v>
      </c>
      <c r="Y48" s="118">
        <v>2</v>
      </c>
      <c r="Z48" s="118">
        <v>0</v>
      </c>
      <c r="AA48" s="118">
        <v>2</v>
      </c>
      <c r="AB48" s="118" t="s">
        <v>1067</v>
      </c>
      <c r="AC48" s="118" t="s">
        <v>6989</v>
      </c>
      <c r="AD48" s="118" t="s">
        <v>1034</v>
      </c>
      <c r="AE48" s="118" t="s">
        <v>943</v>
      </c>
      <c r="AF48" s="118" t="s">
        <v>1045</v>
      </c>
      <c r="AG48" s="118" t="s">
        <v>6415</v>
      </c>
      <c r="AH48" s="118" t="s">
        <v>393</v>
      </c>
      <c r="AI48" s="118">
        <v>4</v>
      </c>
      <c r="AJ48" s="118" t="s">
        <v>6415</v>
      </c>
      <c r="AK48" s="118" t="s">
        <v>393</v>
      </c>
      <c r="AL48" s="118" t="s">
        <v>393</v>
      </c>
      <c r="AM48" s="118" t="s">
        <v>393</v>
      </c>
      <c r="AN48" s="402" t="s">
        <v>5975</v>
      </c>
      <c r="AO48" s="402">
        <v>44351</v>
      </c>
      <c r="AP48" s="118">
        <v>6</v>
      </c>
      <c r="AQ48" s="118">
        <v>3</v>
      </c>
      <c r="AR48" s="118" t="s">
        <v>6448</v>
      </c>
      <c r="AS48" s="118" t="s">
        <v>392</v>
      </c>
      <c r="AT48" s="118" t="s">
        <v>500</v>
      </c>
      <c r="AU48" s="118" t="s">
        <v>505</v>
      </c>
      <c r="AV48" s="118" t="s">
        <v>508</v>
      </c>
      <c r="AW48" s="118" t="s">
        <v>393</v>
      </c>
      <c r="AX48" s="118" t="s">
        <v>740</v>
      </c>
      <c r="AY48" s="118" t="s">
        <v>393</v>
      </c>
      <c r="AZ48" s="118" t="s">
        <v>393</v>
      </c>
      <c r="BA48" s="118" t="s">
        <v>393</v>
      </c>
      <c r="BB48" s="118" t="s">
        <v>393</v>
      </c>
      <c r="BC48" s="118" t="s">
        <v>393</v>
      </c>
      <c r="BD48" s="118" t="s">
        <v>393</v>
      </c>
      <c r="BE48" s="118" t="s">
        <v>393</v>
      </c>
      <c r="BF48" s="118" t="s">
        <v>393</v>
      </c>
      <c r="BG48" s="118" t="s">
        <v>393</v>
      </c>
      <c r="BH48" s="118" t="s">
        <v>394</v>
      </c>
      <c r="BI48" s="118" t="s">
        <v>394</v>
      </c>
      <c r="BJ48" s="118" t="s">
        <v>393</v>
      </c>
      <c r="BK48" s="118" t="s">
        <v>6988</v>
      </c>
      <c r="BL48" s="118" t="s">
        <v>6415</v>
      </c>
      <c r="BM48" s="118" t="s">
        <v>6992</v>
      </c>
      <c r="BN48" s="118" t="s">
        <v>6991</v>
      </c>
      <c r="BO48" s="118" t="s">
        <v>6415</v>
      </c>
      <c r="BP48" s="118" t="s">
        <v>6415</v>
      </c>
      <c r="BQ48" s="118" t="s">
        <v>6415</v>
      </c>
      <c r="BR48" s="118" t="s">
        <v>6415</v>
      </c>
      <c r="BS48" s="118" t="s">
        <v>6415</v>
      </c>
      <c r="BT48" s="118" t="s">
        <v>2930</v>
      </c>
      <c r="BU48" s="118" t="s">
        <v>7017</v>
      </c>
      <c r="BV48" s="118" t="s">
        <v>6415</v>
      </c>
      <c r="BW48" s="118" t="s">
        <v>6415</v>
      </c>
      <c r="BX48" s="118" t="s">
        <v>6415</v>
      </c>
      <c r="BY48" s="118" t="s">
        <v>6415</v>
      </c>
      <c r="BZ48" s="118" t="s">
        <v>6415</v>
      </c>
      <c r="CA48" s="118" t="s">
        <v>6415</v>
      </c>
      <c r="CB48" s="118" t="s">
        <v>221</v>
      </c>
      <c r="CC48" s="118" t="s">
        <v>740</v>
      </c>
      <c r="CD48" s="118">
        <v>2</v>
      </c>
      <c r="CE48" s="118" t="s">
        <v>411</v>
      </c>
      <c r="CF48" s="118" t="s">
        <v>410</v>
      </c>
      <c r="CG48" s="118" t="s">
        <v>924</v>
      </c>
      <c r="CH48" s="118" t="s">
        <v>433</v>
      </c>
      <c r="CI48" s="118" t="s">
        <v>6303</v>
      </c>
      <c r="CJ48" s="118" t="s">
        <v>398</v>
      </c>
      <c r="CK48" s="14">
        <v>0</v>
      </c>
      <c r="CL48" s="118">
        <v>0</v>
      </c>
      <c r="CM48" s="118" t="s">
        <v>399</v>
      </c>
      <c r="CN48" s="118" t="s">
        <v>457</v>
      </c>
      <c r="CO48" s="118" t="s">
        <v>1096</v>
      </c>
      <c r="CP48" s="118" t="s">
        <v>400</v>
      </c>
      <c r="CQ48" s="118" t="s">
        <v>6415</v>
      </c>
      <c r="CR48" s="118" t="s">
        <v>6415</v>
      </c>
      <c r="CS48" s="118" t="s">
        <v>6415</v>
      </c>
      <c r="CT48" s="118" t="s">
        <v>6415</v>
      </c>
      <c r="CU48" s="118" t="s">
        <v>6415</v>
      </c>
      <c r="CV48" s="118" t="s">
        <v>6415</v>
      </c>
      <c r="CW48" s="14">
        <v>0</v>
      </c>
      <c r="CX48" s="118" t="s">
        <v>401</v>
      </c>
      <c r="CY48" s="118" t="s">
        <v>6151</v>
      </c>
      <c r="CZ48" s="118">
        <v>1</v>
      </c>
      <c r="DA48" s="118" t="s">
        <v>405</v>
      </c>
      <c r="DB48" s="118" t="s">
        <v>406</v>
      </c>
      <c r="DC48" s="118" t="s">
        <v>6415</v>
      </c>
      <c r="DD48" s="118" t="s">
        <v>6302</v>
      </c>
      <c r="DE48" s="118" t="s">
        <v>6303</v>
      </c>
      <c r="DF48" s="118" t="s">
        <v>398</v>
      </c>
      <c r="DG48" s="14">
        <v>10</v>
      </c>
      <c r="DH48" s="118">
        <v>20</v>
      </c>
      <c r="DI48" s="118" t="s">
        <v>399</v>
      </c>
      <c r="DJ48" s="118" t="s">
        <v>398</v>
      </c>
      <c r="DK48" s="118" t="s">
        <v>400</v>
      </c>
      <c r="DL48" s="118" t="s">
        <v>6415</v>
      </c>
      <c r="DM48" s="118" t="s">
        <v>6415</v>
      </c>
      <c r="DN48" s="118" t="s">
        <v>6415</v>
      </c>
      <c r="DO48" s="118" t="s">
        <v>6415</v>
      </c>
      <c r="DP48" s="118" t="s">
        <v>6415</v>
      </c>
      <c r="DQ48" s="118" t="s">
        <v>6415</v>
      </c>
      <c r="DR48" s="118">
        <v>28</v>
      </c>
      <c r="DS48" s="118" t="s">
        <v>1068</v>
      </c>
      <c r="DT48" s="118" t="s">
        <v>6341</v>
      </c>
      <c r="DU48" s="118" t="s">
        <v>6415</v>
      </c>
      <c r="DV48" s="118" t="s">
        <v>6415</v>
      </c>
      <c r="DW48" s="118" t="s">
        <v>6415</v>
      </c>
      <c r="DX48" s="118" t="s">
        <v>6415</v>
      </c>
      <c r="DY48" s="118" t="s">
        <v>6415</v>
      </c>
      <c r="DZ48" s="118" t="s">
        <v>6415</v>
      </c>
      <c r="EA48" s="118" t="s">
        <v>6415</v>
      </c>
      <c r="EB48" s="118" t="s">
        <v>6415</v>
      </c>
      <c r="EC48" s="118" t="s">
        <v>6415</v>
      </c>
      <c r="ED48" s="118" t="s">
        <v>6415</v>
      </c>
      <c r="EE48" s="118" t="s">
        <v>6415</v>
      </c>
      <c r="EF48" s="118" t="s">
        <v>6415</v>
      </c>
      <c r="EG48" s="118" t="s">
        <v>7062</v>
      </c>
      <c r="EH48" s="118" t="s">
        <v>7063</v>
      </c>
      <c r="EI48" s="118" t="s">
        <v>6415</v>
      </c>
      <c r="EJ48" s="118" t="s">
        <v>6415</v>
      </c>
      <c r="EK48" s="118" t="s">
        <v>6415</v>
      </c>
      <c r="EL48" s="118" t="s">
        <v>7467</v>
      </c>
      <c r="EM48" s="118" t="s">
        <v>7061</v>
      </c>
      <c r="EN48" s="118" t="s">
        <v>6415</v>
      </c>
      <c r="EO48" s="6" t="str">
        <f t="shared" si="10"/>
        <v>Pathweb</v>
      </c>
      <c r="EP48" s="6" t="str">
        <f t="shared" si="11"/>
        <v>Google Maps</v>
      </c>
      <c r="EQ48" s="6" t="str">
        <f t="shared" si="12"/>
        <v>Mashed Map</v>
      </c>
      <c r="ER48" s="118" t="s">
        <v>6727</v>
      </c>
      <c r="ES48" s="118" t="s">
        <v>71</v>
      </c>
      <c r="ET48" s="4">
        <v>1E-3</v>
      </c>
      <c r="EU48" s="4"/>
      <c r="EV48" s="4"/>
    </row>
    <row r="49" spans="1:152" x14ac:dyDescent="0.15">
      <c r="A49" s="581" t="str">
        <f t="shared" si="9"/>
        <v>Crash Report</v>
      </c>
      <c r="B49" s="14">
        <v>20213098693</v>
      </c>
      <c r="C49" s="118">
        <v>2021</v>
      </c>
      <c r="D49" s="14">
        <v>21060826011600</v>
      </c>
      <c r="F49" s="118" t="s">
        <v>6442</v>
      </c>
      <c r="G49" s="118" t="s">
        <v>860</v>
      </c>
      <c r="H49" s="118">
        <v>2</v>
      </c>
      <c r="I49" s="118" t="s">
        <v>6055</v>
      </c>
      <c r="J49" s="118" t="s">
        <v>391</v>
      </c>
      <c r="K49" s="118" t="s">
        <v>6985</v>
      </c>
      <c r="L49" s="118">
        <v>0.871</v>
      </c>
      <c r="M49" s="118">
        <v>0.871</v>
      </c>
      <c r="N49" s="118" t="s">
        <v>7465</v>
      </c>
      <c r="O49" s="118" t="s">
        <v>7481</v>
      </c>
      <c r="P49" s="118">
        <v>41.655135000000001</v>
      </c>
      <c r="Q49" s="118">
        <v>-83.512630999999999</v>
      </c>
      <c r="R49" s="118">
        <v>77000</v>
      </c>
      <c r="S49" s="118" t="s">
        <v>6988</v>
      </c>
      <c r="T49" s="118">
        <v>1</v>
      </c>
      <c r="U49" s="118">
        <v>0</v>
      </c>
      <c r="V49" s="118">
        <v>0</v>
      </c>
      <c r="W49" s="118">
        <v>0</v>
      </c>
      <c r="X49" s="118">
        <v>0</v>
      </c>
      <c r="Y49" s="118">
        <v>2</v>
      </c>
      <c r="Z49" s="118">
        <v>0</v>
      </c>
      <c r="AA49" s="118">
        <v>2</v>
      </c>
      <c r="AB49" s="118" t="s">
        <v>1067</v>
      </c>
      <c r="AC49" s="118" t="s">
        <v>6989</v>
      </c>
      <c r="AD49" s="118" t="s">
        <v>1034</v>
      </c>
      <c r="AE49" s="118" t="s">
        <v>943</v>
      </c>
      <c r="AF49" s="118" t="s">
        <v>1041</v>
      </c>
      <c r="AG49" s="118" t="s">
        <v>6415</v>
      </c>
      <c r="AH49" s="118" t="s">
        <v>393</v>
      </c>
      <c r="AI49" s="118">
        <v>4</v>
      </c>
      <c r="AJ49" s="118" t="s">
        <v>6415</v>
      </c>
      <c r="AK49" s="118" t="s">
        <v>393</v>
      </c>
      <c r="AL49" s="118" t="s">
        <v>393</v>
      </c>
      <c r="AM49" s="118" t="s">
        <v>393</v>
      </c>
      <c r="AN49" s="402" t="s">
        <v>5975</v>
      </c>
      <c r="AO49" s="402">
        <v>44355</v>
      </c>
      <c r="AP49" s="118">
        <v>6</v>
      </c>
      <c r="AQ49" s="118">
        <v>16</v>
      </c>
      <c r="AR49" s="118" t="s">
        <v>6445</v>
      </c>
      <c r="AS49" s="118" t="s">
        <v>420</v>
      </c>
      <c r="AT49" s="118" t="s">
        <v>225</v>
      </c>
      <c r="AU49" s="118" t="s">
        <v>404</v>
      </c>
      <c r="AV49" s="118" t="s">
        <v>509</v>
      </c>
      <c r="AW49" s="118" t="s">
        <v>393</v>
      </c>
      <c r="AX49" s="118" t="s">
        <v>393</v>
      </c>
      <c r="AY49" s="118" t="s">
        <v>393</v>
      </c>
      <c r="AZ49" s="118" t="s">
        <v>393</v>
      </c>
      <c r="BA49" s="118" t="s">
        <v>393</v>
      </c>
      <c r="BB49" s="118" t="s">
        <v>393</v>
      </c>
      <c r="BC49" s="118" t="s">
        <v>393</v>
      </c>
      <c r="BD49" s="118" t="s">
        <v>393</v>
      </c>
      <c r="BE49" s="118" t="s">
        <v>393</v>
      </c>
      <c r="BF49" s="118" t="s">
        <v>393</v>
      </c>
      <c r="BG49" s="118" t="s">
        <v>393</v>
      </c>
      <c r="BH49" s="118" t="s">
        <v>394</v>
      </c>
      <c r="BI49" s="118" t="s">
        <v>394</v>
      </c>
      <c r="BJ49" s="118" t="s">
        <v>393</v>
      </c>
      <c r="BK49" s="118" t="s">
        <v>6988</v>
      </c>
      <c r="BL49" s="118" t="s">
        <v>6415</v>
      </c>
      <c r="BM49" s="118" t="s">
        <v>6990</v>
      </c>
      <c r="BN49" s="118" t="s">
        <v>6991</v>
      </c>
      <c r="BO49" s="118" t="s">
        <v>6415</v>
      </c>
      <c r="BP49" s="118" t="s">
        <v>6415</v>
      </c>
      <c r="BQ49" s="118" t="s">
        <v>6415</v>
      </c>
      <c r="BR49" s="118" t="s">
        <v>6415</v>
      </c>
      <c r="BS49" s="118" t="s">
        <v>6415</v>
      </c>
      <c r="BT49" s="118" t="s">
        <v>7067</v>
      </c>
      <c r="BU49" s="118" t="s">
        <v>7017</v>
      </c>
      <c r="BV49" s="118" t="s">
        <v>6415</v>
      </c>
      <c r="BW49" s="118" t="s">
        <v>6415</v>
      </c>
      <c r="BX49" s="118" t="s">
        <v>6415</v>
      </c>
      <c r="BY49" s="118" t="s">
        <v>6415</v>
      </c>
      <c r="BZ49" s="118" t="s">
        <v>6415</v>
      </c>
      <c r="CA49" s="118" t="s">
        <v>6415</v>
      </c>
      <c r="CB49" s="118" t="s">
        <v>221</v>
      </c>
      <c r="CC49" s="118" t="s">
        <v>740</v>
      </c>
      <c r="CD49" s="118">
        <v>2</v>
      </c>
      <c r="CE49" s="118" t="s">
        <v>411</v>
      </c>
      <c r="CF49" s="118" t="s">
        <v>406</v>
      </c>
      <c r="CG49" s="118" t="s">
        <v>860</v>
      </c>
      <c r="CH49" s="118" t="s">
        <v>6302</v>
      </c>
      <c r="CI49" s="118" t="s">
        <v>6323</v>
      </c>
      <c r="CJ49" s="118" t="s">
        <v>6151</v>
      </c>
      <c r="CK49" s="14">
        <v>0</v>
      </c>
      <c r="CL49" s="118">
        <v>35</v>
      </c>
      <c r="CM49" s="118" t="s">
        <v>435</v>
      </c>
      <c r="CN49" s="118" t="s">
        <v>6327</v>
      </c>
      <c r="CO49" s="118" t="s">
        <v>1096</v>
      </c>
      <c r="CP49" s="118" t="s">
        <v>400</v>
      </c>
      <c r="CQ49" s="118" t="s">
        <v>6415</v>
      </c>
      <c r="CR49" s="118" t="s">
        <v>6415</v>
      </c>
      <c r="CS49" s="118" t="s">
        <v>6415</v>
      </c>
      <c r="CT49" s="118" t="s">
        <v>6415</v>
      </c>
      <c r="CU49" s="118" t="s">
        <v>6415</v>
      </c>
      <c r="CV49" s="118" t="s">
        <v>6415</v>
      </c>
      <c r="CW49" s="14">
        <v>0</v>
      </c>
      <c r="CX49" s="118" t="s">
        <v>401</v>
      </c>
      <c r="CY49" s="118" t="s">
        <v>6151</v>
      </c>
      <c r="CZ49" s="118">
        <v>1</v>
      </c>
      <c r="DA49" s="118" t="s">
        <v>405</v>
      </c>
      <c r="DB49" s="118" t="s">
        <v>406</v>
      </c>
      <c r="DC49" s="118" t="s">
        <v>6415</v>
      </c>
      <c r="DD49" s="118" t="s">
        <v>6302</v>
      </c>
      <c r="DE49" s="118" t="s">
        <v>6305</v>
      </c>
      <c r="DF49" s="118" t="s">
        <v>398</v>
      </c>
      <c r="DG49" s="14">
        <v>35</v>
      </c>
      <c r="DH49" s="118">
        <v>35</v>
      </c>
      <c r="DI49" s="118" t="s">
        <v>399</v>
      </c>
      <c r="DJ49" s="118" t="s">
        <v>398</v>
      </c>
      <c r="DK49" s="118" t="s">
        <v>400</v>
      </c>
      <c r="DL49" s="118" t="s">
        <v>6415</v>
      </c>
      <c r="DM49" s="118" t="s">
        <v>6415</v>
      </c>
      <c r="DN49" s="118" t="s">
        <v>6415</v>
      </c>
      <c r="DO49" s="118" t="s">
        <v>6415</v>
      </c>
      <c r="DP49" s="118" t="s">
        <v>6415</v>
      </c>
      <c r="DQ49" s="118" t="s">
        <v>6415</v>
      </c>
      <c r="DR49" s="118">
        <v>48</v>
      </c>
      <c r="DS49" s="118" t="s">
        <v>1068</v>
      </c>
      <c r="DT49" s="118" t="s">
        <v>6341</v>
      </c>
      <c r="DU49" s="118" t="s">
        <v>6415</v>
      </c>
      <c r="DV49" s="118" t="s">
        <v>6415</v>
      </c>
      <c r="DW49" s="118" t="s">
        <v>6415</v>
      </c>
      <c r="DX49" s="118" t="s">
        <v>6415</v>
      </c>
      <c r="DY49" s="118" t="s">
        <v>6415</v>
      </c>
      <c r="DZ49" s="118" t="s">
        <v>6415</v>
      </c>
      <c r="EA49" s="118" t="s">
        <v>6415</v>
      </c>
      <c r="EB49" s="118" t="s">
        <v>6415</v>
      </c>
      <c r="EC49" s="118" t="s">
        <v>6415</v>
      </c>
      <c r="ED49" s="118" t="s">
        <v>6415</v>
      </c>
      <c r="EE49" s="118" t="s">
        <v>6415</v>
      </c>
      <c r="EF49" s="118" t="s">
        <v>6415</v>
      </c>
      <c r="EG49" s="118" t="s">
        <v>7065</v>
      </c>
      <c r="EH49" s="118" t="s">
        <v>7066</v>
      </c>
      <c r="EI49" s="118" t="s">
        <v>6415</v>
      </c>
      <c r="EJ49" s="118" t="s">
        <v>6415</v>
      </c>
      <c r="EK49" s="118" t="s">
        <v>6415</v>
      </c>
      <c r="EL49" s="118" t="s">
        <v>7467</v>
      </c>
      <c r="EM49" s="118" t="s">
        <v>7064</v>
      </c>
      <c r="EN49" s="118" t="s">
        <v>6415</v>
      </c>
      <c r="EO49" s="6" t="str">
        <f t="shared" si="10"/>
        <v>Pathweb</v>
      </c>
      <c r="EP49" s="6" t="str">
        <f t="shared" si="11"/>
        <v>Google Maps</v>
      </c>
      <c r="EQ49" s="6" t="str">
        <f t="shared" si="12"/>
        <v>Mashed Map</v>
      </c>
      <c r="ER49" s="118" t="s">
        <v>6727</v>
      </c>
      <c r="ES49" s="118" t="s">
        <v>71</v>
      </c>
      <c r="ET49" s="4">
        <v>0</v>
      </c>
      <c r="EU49" s="4"/>
      <c r="EV49" s="4"/>
    </row>
    <row r="50" spans="1:152" x14ac:dyDescent="0.15">
      <c r="A50" s="581" t="str">
        <f t="shared" si="9"/>
        <v>Crash Report</v>
      </c>
      <c r="B50" s="14">
        <v>20213098756</v>
      </c>
      <c r="C50" s="118">
        <v>2021</v>
      </c>
      <c r="D50" s="14">
        <v>21060827111920</v>
      </c>
      <c r="F50" s="118" t="s">
        <v>6440</v>
      </c>
      <c r="G50" s="118" t="s">
        <v>230</v>
      </c>
      <c r="H50" s="118">
        <v>2</v>
      </c>
      <c r="I50" s="118" t="s">
        <v>6055</v>
      </c>
      <c r="J50" s="118" t="s">
        <v>423</v>
      </c>
      <c r="K50" s="118" t="s">
        <v>6985</v>
      </c>
      <c r="L50" s="118">
        <v>1.077</v>
      </c>
      <c r="M50" s="118">
        <v>1.077</v>
      </c>
      <c r="N50" s="118" t="s">
        <v>7465</v>
      </c>
      <c r="O50" s="118" t="s">
        <v>7471</v>
      </c>
      <c r="P50" s="118">
        <v>41.656922999999999</v>
      </c>
      <c r="Q50" s="118">
        <v>-83.509524999999996</v>
      </c>
      <c r="R50" s="118">
        <v>77000</v>
      </c>
      <c r="S50" s="118" t="s">
        <v>6988</v>
      </c>
      <c r="T50" s="118">
        <v>1</v>
      </c>
      <c r="U50" s="118">
        <v>0</v>
      </c>
      <c r="V50" s="118">
        <v>0</v>
      </c>
      <c r="W50" s="118">
        <v>1</v>
      </c>
      <c r="X50" s="118">
        <v>1</v>
      </c>
      <c r="Y50" s="118">
        <v>1</v>
      </c>
      <c r="Z50" s="118">
        <v>0</v>
      </c>
      <c r="AA50" s="118">
        <v>2</v>
      </c>
      <c r="AB50" s="118" t="s">
        <v>1067</v>
      </c>
      <c r="AC50" s="118" t="s">
        <v>6989</v>
      </c>
      <c r="AD50" s="118" t="s">
        <v>1034</v>
      </c>
      <c r="AE50" s="118" t="s">
        <v>943</v>
      </c>
      <c r="AF50" s="118" t="s">
        <v>1041</v>
      </c>
      <c r="AG50" s="118" t="s">
        <v>6415</v>
      </c>
      <c r="AH50" s="118" t="s">
        <v>393</v>
      </c>
      <c r="AI50" s="118">
        <v>4</v>
      </c>
      <c r="AJ50" s="118" t="s">
        <v>6415</v>
      </c>
      <c r="AK50" s="118" t="s">
        <v>393</v>
      </c>
      <c r="AL50" s="118" t="s">
        <v>393</v>
      </c>
      <c r="AM50" s="118" t="s">
        <v>393</v>
      </c>
      <c r="AN50" s="402" t="s">
        <v>5975</v>
      </c>
      <c r="AO50" s="402">
        <v>44355</v>
      </c>
      <c r="AP50" s="118">
        <v>6</v>
      </c>
      <c r="AQ50" s="118">
        <v>19</v>
      </c>
      <c r="AR50" s="118" t="s">
        <v>6445</v>
      </c>
      <c r="AS50" s="118" t="s">
        <v>392</v>
      </c>
      <c r="AT50" s="118" t="s">
        <v>500</v>
      </c>
      <c r="AU50" s="118" t="s">
        <v>404</v>
      </c>
      <c r="AV50" s="118" t="s">
        <v>508</v>
      </c>
      <c r="AW50" s="118" t="s">
        <v>393</v>
      </c>
      <c r="AX50" s="118" t="s">
        <v>740</v>
      </c>
      <c r="AY50" s="118" t="s">
        <v>393</v>
      </c>
      <c r="AZ50" s="118" t="s">
        <v>393</v>
      </c>
      <c r="BA50" s="118" t="s">
        <v>393</v>
      </c>
      <c r="BB50" s="118" t="s">
        <v>393</v>
      </c>
      <c r="BC50" s="118" t="s">
        <v>393</v>
      </c>
      <c r="BD50" s="118" t="s">
        <v>393</v>
      </c>
      <c r="BE50" s="118" t="s">
        <v>393</v>
      </c>
      <c r="BF50" s="118" t="s">
        <v>740</v>
      </c>
      <c r="BG50" s="118" t="s">
        <v>393</v>
      </c>
      <c r="BH50" s="118" t="s">
        <v>394</v>
      </c>
      <c r="BI50" s="118" t="s">
        <v>394</v>
      </c>
      <c r="BJ50" s="118" t="s">
        <v>393</v>
      </c>
      <c r="BK50" s="118" t="s">
        <v>6988</v>
      </c>
      <c r="BL50" s="118" t="s">
        <v>6415</v>
      </c>
      <c r="BM50" s="118" t="s">
        <v>6990</v>
      </c>
      <c r="BN50" s="118" t="s">
        <v>6991</v>
      </c>
      <c r="BO50" s="118" t="s">
        <v>6415</v>
      </c>
      <c r="BP50" s="118" t="s">
        <v>6415</v>
      </c>
      <c r="BQ50" s="118" t="s">
        <v>6415</v>
      </c>
      <c r="BR50" s="118" t="s">
        <v>6415</v>
      </c>
      <c r="BS50" s="118" t="s">
        <v>6415</v>
      </c>
      <c r="BT50" s="118" t="s">
        <v>7008</v>
      </c>
      <c r="BU50" s="118" t="s">
        <v>6991</v>
      </c>
      <c r="BV50" s="118" t="s">
        <v>6415</v>
      </c>
      <c r="BW50" s="118" t="s">
        <v>6415</v>
      </c>
      <c r="BX50" s="118" t="s">
        <v>6415</v>
      </c>
      <c r="BY50" s="118" t="s">
        <v>6415</v>
      </c>
      <c r="BZ50" s="118" t="s">
        <v>6415</v>
      </c>
      <c r="CA50" s="118" t="s">
        <v>6415</v>
      </c>
      <c r="CB50" s="118" t="s">
        <v>221</v>
      </c>
      <c r="CC50" s="118" t="s">
        <v>740</v>
      </c>
      <c r="CD50" s="118">
        <v>2</v>
      </c>
      <c r="CE50" s="118" t="s">
        <v>405</v>
      </c>
      <c r="CF50" s="118" t="s">
        <v>410</v>
      </c>
      <c r="CG50" s="118" t="s">
        <v>230</v>
      </c>
      <c r="CH50" s="118" t="s">
        <v>6300</v>
      </c>
      <c r="CI50" s="118" t="s">
        <v>417</v>
      </c>
      <c r="CJ50" s="118" t="s">
        <v>398</v>
      </c>
      <c r="CK50" s="118">
        <v>10</v>
      </c>
      <c r="CL50" s="118">
        <v>35</v>
      </c>
      <c r="CM50" s="118" t="s">
        <v>436</v>
      </c>
      <c r="CN50" s="118" t="s">
        <v>6327</v>
      </c>
      <c r="CO50" s="118" t="s">
        <v>1096</v>
      </c>
      <c r="CP50" s="118" t="s">
        <v>400</v>
      </c>
      <c r="CQ50" s="118" t="s">
        <v>6415</v>
      </c>
      <c r="CR50" s="118" t="s">
        <v>6415</v>
      </c>
      <c r="CS50" s="118" t="s">
        <v>6415</v>
      </c>
      <c r="CT50" s="118" t="s">
        <v>6415</v>
      </c>
      <c r="CU50" s="118" t="s">
        <v>6415</v>
      </c>
      <c r="CV50" s="118" t="s">
        <v>6415</v>
      </c>
      <c r="CW50" s="118">
        <v>25</v>
      </c>
      <c r="CX50" s="118" t="s">
        <v>1068</v>
      </c>
      <c r="CY50" s="118" t="s">
        <v>6151</v>
      </c>
      <c r="CZ50" s="118">
        <v>1</v>
      </c>
      <c r="DA50" s="118" t="s">
        <v>406</v>
      </c>
      <c r="DB50" s="118" t="s">
        <v>405</v>
      </c>
      <c r="DC50" s="118" t="s">
        <v>6415</v>
      </c>
      <c r="DD50" s="118" t="s">
        <v>6300</v>
      </c>
      <c r="DE50" s="118" t="s">
        <v>6303</v>
      </c>
      <c r="DF50" s="118" t="s">
        <v>398</v>
      </c>
      <c r="DG50" s="118">
        <v>35</v>
      </c>
      <c r="DH50" s="118">
        <v>35</v>
      </c>
      <c r="DI50" s="118" t="s">
        <v>399</v>
      </c>
      <c r="DJ50" s="118" t="s">
        <v>398</v>
      </c>
      <c r="DK50" s="118" t="s">
        <v>400</v>
      </c>
      <c r="DL50" s="118" t="s">
        <v>6415</v>
      </c>
      <c r="DM50" s="118" t="s">
        <v>6415</v>
      </c>
      <c r="DN50" s="118" t="s">
        <v>6415</v>
      </c>
      <c r="DO50" s="118" t="s">
        <v>6415</v>
      </c>
      <c r="DP50" s="118" t="s">
        <v>6415</v>
      </c>
      <c r="DQ50" s="118" t="s">
        <v>6415</v>
      </c>
      <c r="DR50" s="118">
        <v>27</v>
      </c>
      <c r="DS50" s="118" t="s">
        <v>1066</v>
      </c>
      <c r="DT50" s="118" t="s">
        <v>6341</v>
      </c>
      <c r="DU50" s="118" t="s">
        <v>6415</v>
      </c>
      <c r="DV50" s="118" t="s">
        <v>6415</v>
      </c>
      <c r="DW50" s="118" t="s">
        <v>6415</v>
      </c>
      <c r="DX50" s="118" t="s">
        <v>6415</v>
      </c>
      <c r="DY50" s="118" t="s">
        <v>6415</v>
      </c>
      <c r="DZ50" s="118" t="s">
        <v>6415</v>
      </c>
      <c r="EA50" s="118" t="s">
        <v>6415</v>
      </c>
      <c r="EB50" s="118" t="s">
        <v>6415</v>
      </c>
      <c r="EC50" s="118" t="s">
        <v>6415</v>
      </c>
      <c r="ED50" s="118" t="s">
        <v>6415</v>
      </c>
      <c r="EE50" s="118" t="s">
        <v>6415</v>
      </c>
      <c r="EF50" s="118" t="s">
        <v>6415</v>
      </c>
      <c r="EG50" s="118" t="s">
        <v>7006</v>
      </c>
      <c r="EH50" s="118" t="s">
        <v>7059</v>
      </c>
      <c r="EI50" s="118" t="s">
        <v>6415</v>
      </c>
      <c r="EJ50" s="118" t="s">
        <v>6415</v>
      </c>
      <c r="EK50" s="118" t="s">
        <v>6415</v>
      </c>
      <c r="EL50" s="118" t="s">
        <v>7467</v>
      </c>
      <c r="EM50" s="118" t="s">
        <v>7068</v>
      </c>
      <c r="EN50" s="118" t="s">
        <v>6415</v>
      </c>
      <c r="EO50" s="6" t="str">
        <f t="shared" si="10"/>
        <v>Pathweb</v>
      </c>
      <c r="EP50" s="6" t="str">
        <f t="shared" si="11"/>
        <v>Google Maps</v>
      </c>
      <c r="EQ50" s="6" t="str">
        <f t="shared" si="12"/>
        <v>Mashed Map</v>
      </c>
      <c r="ER50" s="118" t="s">
        <v>6727</v>
      </c>
      <c r="ES50" s="118" t="s">
        <v>6728</v>
      </c>
      <c r="ET50" s="4">
        <v>0</v>
      </c>
      <c r="EU50" s="4"/>
      <c r="EV50" s="4"/>
    </row>
    <row r="51" spans="1:152" x14ac:dyDescent="0.15">
      <c r="A51" s="581" t="str">
        <f t="shared" si="9"/>
        <v>Crash Report</v>
      </c>
      <c r="B51" s="118">
        <v>20213099447</v>
      </c>
      <c r="C51" s="118">
        <v>2021</v>
      </c>
      <c r="D51" s="118">
        <v>21060927071507</v>
      </c>
      <c r="F51" s="118" t="s">
        <v>6442</v>
      </c>
      <c r="G51" s="118" t="s">
        <v>390</v>
      </c>
      <c r="H51" s="118">
        <v>2</v>
      </c>
      <c r="I51" s="118" t="s">
        <v>6055</v>
      </c>
      <c r="J51" s="118" t="s">
        <v>434</v>
      </c>
      <c r="K51" s="118" t="s">
        <v>6985</v>
      </c>
      <c r="L51" s="118">
        <v>0.51300000000000001</v>
      </c>
      <c r="M51" s="118">
        <v>0.51300000000000001</v>
      </c>
      <c r="N51" s="118" t="s">
        <v>7465</v>
      </c>
      <c r="O51" s="118" t="s">
        <v>7468</v>
      </c>
      <c r="P51" s="118">
        <v>41.651800000000001</v>
      </c>
      <c r="Q51" s="118">
        <v>-83.518060000000006</v>
      </c>
      <c r="R51" s="118">
        <v>77000</v>
      </c>
      <c r="S51" s="118" t="s">
        <v>6988</v>
      </c>
      <c r="T51" s="118">
        <v>1</v>
      </c>
      <c r="U51" s="118">
        <v>0</v>
      </c>
      <c r="V51" s="118">
        <v>0</v>
      </c>
      <c r="W51" s="118">
        <v>0</v>
      </c>
      <c r="X51" s="118">
        <v>0</v>
      </c>
      <c r="Y51" s="118">
        <v>7</v>
      </c>
      <c r="Z51" s="118">
        <v>0</v>
      </c>
      <c r="AA51" s="118">
        <v>3</v>
      </c>
      <c r="AB51" s="118" t="s">
        <v>1067</v>
      </c>
      <c r="AC51" s="118" t="s">
        <v>6989</v>
      </c>
      <c r="AD51" s="118" t="s">
        <v>1034</v>
      </c>
      <c r="AE51" s="118" t="s">
        <v>943</v>
      </c>
      <c r="AF51" s="118" t="s">
        <v>1041</v>
      </c>
      <c r="AG51" s="118" t="s">
        <v>6415</v>
      </c>
      <c r="AH51" s="118" t="s">
        <v>393</v>
      </c>
      <c r="AI51" s="118">
        <v>4</v>
      </c>
      <c r="AJ51" s="118" t="s">
        <v>6415</v>
      </c>
      <c r="AK51" s="118" t="s">
        <v>393</v>
      </c>
      <c r="AL51" s="118" t="s">
        <v>393</v>
      </c>
      <c r="AM51" s="118" t="s">
        <v>393</v>
      </c>
      <c r="AN51" s="402" t="s">
        <v>5975</v>
      </c>
      <c r="AO51" s="402">
        <v>44356</v>
      </c>
      <c r="AP51" s="118">
        <v>6</v>
      </c>
      <c r="AQ51" s="118">
        <v>15</v>
      </c>
      <c r="AR51" s="118" t="s">
        <v>6446</v>
      </c>
      <c r="AS51" s="118" t="s">
        <v>392</v>
      </c>
      <c r="AT51" s="118" t="s">
        <v>500</v>
      </c>
      <c r="AU51" s="118" t="s">
        <v>404</v>
      </c>
      <c r="AV51" s="118" t="s">
        <v>508</v>
      </c>
      <c r="AW51" s="118" t="s">
        <v>393</v>
      </c>
      <c r="AX51" s="118" t="s">
        <v>740</v>
      </c>
      <c r="AY51" s="118" t="s">
        <v>393</v>
      </c>
      <c r="AZ51" s="118" t="s">
        <v>393</v>
      </c>
      <c r="BA51" s="118" t="s">
        <v>393</v>
      </c>
      <c r="BB51" s="118" t="s">
        <v>393</v>
      </c>
      <c r="BC51" s="118" t="s">
        <v>393</v>
      </c>
      <c r="BD51" s="118" t="s">
        <v>393</v>
      </c>
      <c r="BE51" s="118" t="s">
        <v>393</v>
      </c>
      <c r="BF51" s="118" t="s">
        <v>740</v>
      </c>
      <c r="BG51" s="118" t="s">
        <v>393</v>
      </c>
      <c r="BH51" s="118" t="s">
        <v>394</v>
      </c>
      <c r="BI51" s="118" t="s">
        <v>394</v>
      </c>
      <c r="BJ51" s="118" t="s">
        <v>393</v>
      </c>
      <c r="BK51" s="118" t="s">
        <v>6988</v>
      </c>
      <c r="BL51" s="118" t="s">
        <v>6415</v>
      </c>
      <c r="BM51" s="118" t="s">
        <v>6990</v>
      </c>
      <c r="BN51" s="118" t="s">
        <v>6991</v>
      </c>
      <c r="BO51" s="118" t="s">
        <v>6415</v>
      </c>
      <c r="BP51" s="118" t="s">
        <v>6415</v>
      </c>
      <c r="BQ51" s="118" t="s">
        <v>6415</v>
      </c>
      <c r="BR51" s="118" t="s">
        <v>6415</v>
      </c>
      <c r="BS51" s="118" t="s">
        <v>261</v>
      </c>
      <c r="BT51" s="118" t="s">
        <v>1791</v>
      </c>
      <c r="BU51" s="118" t="s">
        <v>6991</v>
      </c>
      <c r="BV51" s="118" t="s">
        <v>6415</v>
      </c>
      <c r="BW51" s="118" t="s">
        <v>6415</v>
      </c>
      <c r="BX51" s="118" t="s">
        <v>6415</v>
      </c>
      <c r="BY51" s="118" t="s">
        <v>6415</v>
      </c>
      <c r="BZ51" s="118" t="s">
        <v>6415</v>
      </c>
      <c r="CA51" s="118" t="s">
        <v>6415</v>
      </c>
      <c r="CB51" s="118" t="s">
        <v>221</v>
      </c>
      <c r="CC51" s="118" t="s">
        <v>740</v>
      </c>
      <c r="CD51" s="118">
        <v>2</v>
      </c>
      <c r="CE51" s="118" t="s">
        <v>410</v>
      </c>
      <c r="CF51" s="118" t="s">
        <v>411</v>
      </c>
      <c r="CG51" s="118" t="s">
        <v>924</v>
      </c>
      <c r="CH51" s="118" t="s">
        <v>6302</v>
      </c>
      <c r="CI51" s="118" t="s">
        <v>6303</v>
      </c>
      <c r="CJ51" s="118" t="s">
        <v>398</v>
      </c>
      <c r="CK51" s="14">
        <v>10</v>
      </c>
      <c r="CL51" s="118">
        <v>35</v>
      </c>
      <c r="CM51" s="118" t="s">
        <v>399</v>
      </c>
      <c r="CN51" s="118" t="s">
        <v>6512</v>
      </c>
      <c r="CO51" s="118" t="s">
        <v>1096</v>
      </c>
      <c r="CP51" s="118" t="s">
        <v>400</v>
      </c>
      <c r="CQ51" s="118" t="s">
        <v>400</v>
      </c>
      <c r="CR51" s="118" t="s">
        <v>6415</v>
      </c>
      <c r="CS51" s="118" t="s">
        <v>6415</v>
      </c>
      <c r="CT51" s="118" t="s">
        <v>6415</v>
      </c>
      <c r="CU51" s="118" t="s">
        <v>6415</v>
      </c>
      <c r="CV51" s="118" t="s">
        <v>6415</v>
      </c>
      <c r="CW51" s="14">
        <v>19</v>
      </c>
      <c r="CX51" s="118" t="s">
        <v>1066</v>
      </c>
      <c r="CY51" s="118" t="s">
        <v>6341</v>
      </c>
      <c r="CZ51" s="118">
        <v>1</v>
      </c>
      <c r="DA51" s="118" t="s">
        <v>410</v>
      </c>
      <c r="DB51" s="118" t="s">
        <v>411</v>
      </c>
      <c r="DC51" s="118" t="s">
        <v>6415</v>
      </c>
      <c r="DD51" s="118" t="s">
        <v>6302</v>
      </c>
      <c r="DE51" s="118" t="s">
        <v>6306</v>
      </c>
      <c r="DF51" s="118" t="s">
        <v>398</v>
      </c>
      <c r="DG51" s="14">
        <v>0</v>
      </c>
      <c r="DH51" s="118">
        <v>35</v>
      </c>
      <c r="DI51" s="118" t="s">
        <v>6355</v>
      </c>
      <c r="DJ51" s="118" t="s">
        <v>398</v>
      </c>
      <c r="DK51" s="118" t="s">
        <v>400</v>
      </c>
      <c r="DL51" s="118" t="s">
        <v>6415</v>
      </c>
      <c r="DM51" s="118" t="s">
        <v>6415</v>
      </c>
      <c r="DN51" s="118" t="s">
        <v>6415</v>
      </c>
      <c r="DO51" s="118" t="s">
        <v>6415</v>
      </c>
      <c r="DP51" s="118" t="s">
        <v>6415</v>
      </c>
      <c r="DQ51" s="118" t="s">
        <v>6415</v>
      </c>
      <c r="DR51" s="118">
        <v>37</v>
      </c>
      <c r="DS51" s="118" t="s">
        <v>1068</v>
      </c>
      <c r="DT51" s="118" t="s">
        <v>6341</v>
      </c>
      <c r="DU51" s="118">
        <v>3</v>
      </c>
      <c r="DV51" s="118" t="s">
        <v>6302</v>
      </c>
      <c r="DW51" s="118" t="s">
        <v>6303</v>
      </c>
      <c r="DX51" s="118" t="s">
        <v>6151</v>
      </c>
      <c r="DY51" s="118" t="s">
        <v>399</v>
      </c>
      <c r="DZ51" s="118" t="s">
        <v>6512</v>
      </c>
      <c r="EA51" s="118" t="s">
        <v>400</v>
      </c>
      <c r="EB51" s="118" t="s">
        <v>6415</v>
      </c>
      <c r="EC51" s="118" t="s">
        <v>6415</v>
      </c>
      <c r="ED51" s="118" t="s">
        <v>6415</v>
      </c>
      <c r="EE51" s="118" t="s">
        <v>6415</v>
      </c>
      <c r="EF51" s="118" t="s">
        <v>6415</v>
      </c>
      <c r="EG51" s="118" t="s">
        <v>6994</v>
      </c>
      <c r="EH51" s="118" t="s">
        <v>6995</v>
      </c>
      <c r="EI51" s="118" t="s">
        <v>6415</v>
      </c>
      <c r="EJ51" s="118" t="s">
        <v>6415</v>
      </c>
      <c r="EK51" s="118" t="s">
        <v>6415</v>
      </c>
      <c r="EL51" s="118" t="s">
        <v>7467</v>
      </c>
      <c r="EM51" s="118" t="s">
        <v>7069</v>
      </c>
      <c r="EN51" s="118" t="s">
        <v>6415</v>
      </c>
      <c r="EO51" s="6" t="str">
        <f t="shared" si="10"/>
        <v>Pathweb</v>
      </c>
      <c r="EP51" s="6" t="str">
        <f t="shared" si="11"/>
        <v>Google Maps</v>
      </c>
      <c r="EQ51" s="6" t="str">
        <f t="shared" si="12"/>
        <v>Mashed Map</v>
      </c>
      <c r="ER51" s="118" t="s">
        <v>6727</v>
      </c>
      <c r="ES51" s="118" t="s">
        <v>71</v>
      </c>
      <c r="ET51" s="4">
        <v>0</v>
      </c>
      <c r="EU51" s="4"/>
      <c r="EV51" s="4"/>
    </row>
    <row r="52" spans="1:152" x14ac:dyDescent="0.15">
      <c r="A52" s="581" t="str">
        <f t="shared" si="9"/>
        <v>Crash Report</v>
      </c>
      <c r="B52" s="118">
        <v>20213103070</v>
      </c>
      <c r="C52" s="118">
        <v>2021</v>
      </c>
      <c r="D52" s="118">
        <v>21061127432320</v>
      </c>
      <c r="F52" s="118" t="s">
        <v>6441</v>
      </c>
      <c r="G52" s="118" t="s">
        <v>438</v>
      </c>
      <c r="H52" s="118">
        <v>2</v>
      </c>
      <c r="I52" s="118" t="s">
        <v>6055</v>
      </c>
      <c r="J52" s="118" t="s">
        <v>391</v>
      </c>
      <c r="K52" s="118" t="s">
        <v>6985</v>
      </c>
      <c r="L52" s="118">
        <v>0.82199999999999995</v>
      </c>
      <c r="M52" s="118">
        <v>0.82199999999999995</v>
      </c>
      <c r="N52" s="118" t="s">
        <v>7465</v>
      </c>
      <c r="O52" s="118" t="s">
        <v>7482</v>
      </c>
      <c r="P52" s="118">
        <v>41.654648999999999</v>
      </c>
      <c r="Q52" s="118">
        <v>-83.513447999999997</v>
      </c>
      <c r="R52" s="118">
        <v>77000</v>
      </c>
      <c r="S52" s="118" t="s">
        <v>6988</v>
      </c>
      <c r="T52" s="118">
        <v>1</v>
      </c>
      <c r="U52" s="118">
        <v>0</v>
      </c>
      <c r="V52" s="118">
        <v>0</v>
      </c>
      <c r="W52" s="118">
        <v>0</v>
      </c>
      <c r="X52" s="118">
        <v>3</v>
      </c>
      <c r="Y52" s="118">
        <v>1</v>
      </c>
      <c r="Z52" s="118">
        <v>0</v>
      </c>
      <c r="AA52" s="118">
        <v>2</v>
      </c>
      <c r="AB52" s="118" t="s">
        <v>1067</v>
      </c>
      <c r="AC52" s="118" t="s">
        <v>6989</v>
      </c>
      <c r="AD52" s="118" t="s">
        <v>1034</v>
      </c>
      <c r="AE52" s="118" t="s">
        <v>943</v>
      </c>
      <c r="AF52" s="118" t="s">
        <v>1041</v>
      </c>
      <c r="AG52" s="118" t="s">
        <v>6415</v>
      </c>
      <c r="AH52" s="118" t="s">
        <v>393</v>
      </c>
      <c r="AI52" s="118">
        <v>4</v>
      </c>
      <c r="AJ52" s="118" t="s">
        <v>6415</v>
      </c>
      <c r="AK52" s="118" t="s">
        <v>393</v>
      </c>
      <c r="AL52" s="118" t="s">
        <v>393</v>
      </c>
      <c r="AM52" s="118" t="s">
        <v>393</v>
      </c>
      <c r="AN52" s="402" t="s">
        <v>5975</v>
      </c>
      <c r="AO52" s="402">
        <v>44358</v>
      </c>
      <c r="AP52" s="118">
        <v>6</v>
      </c>
      <c r="AQ52" s="118">
        <v>23</v>
      </c>
      <c r="AR52" s="118" t="s">
        <v>6448</v>
      </c>
      <c r="AS52" s="118" t="s">
        <v>392</v>
      </c>
      <c r="AT52" s="118" t="s">
        <v>500</v>
      </c>
      <c r="AU52" s="118" t="s">
        <v>505</v>
      </c>
      <c r="AV52" s="118" t="s">
        <v>508</v>
      </c>
      <c r="AW52" s="118" t="s">
        <v>393</v>
      </c>
      <c r="AX52" s="118" t="s">
        <v>393</v>
      </c>
      <c r="AY52" s="118" t="s">
        <v>393</v>
      </c>
      <c r="AZ52" s="118" t="s">
        <v>393</v>
      </c>
      <c r="BA52" s="118" t="s">
        <v>393</v>
      </c>
      <c r="BB52" s="118" t="s">
        <v>393</v>
      </c>
      <c r="BC52" s="118" t="s">
        <v>393</v>
      </c>
      <c r="BD52" s="118" t="s">
        <v>393</v>
      </c>
      <c r="BE52" s="118" t="s">
        <v>393</v>
      </c>
      <c r="BF52" s="118" t="s">
        <v>740</v>
      </c>
      <c r="BG52" s="118" t="s">
        <v>393</v>
      </c>
      <c r="BH52" s="118" t="s">
        <v>394</v>
      </c>
      <c r="BI52" s="118" t="s">
        <v>394</v>
      </c>
      <c r="BJ52" s="118" t="s">
        <v>393</v>
      </c>
      <c r="BK52" s="118" t="s">
        <v>6988</v>
      </c>
      <c r="BL52" s="118" t="s">
        <v>6415</v>
      </c>
      <c r="BM52" s="118" t="s">
        <v>6990</v>
      </c>
      <c r="BN52" s="118" t="s">
        <v>6991</v>
      </c>
      <c r="BO52" s="118" t="s">
        <v>6415</v>
      </c>
      <c r="BP52" s="118" t="s">
        <v>6415</v>
      </c>
      <c r="BQ52" s="118" t="s">
        <v>6415</v>
      </c>
      <c r="BR52" s="118" t="s">
        <v>6415</v>
      </c>
      <c r="BS52" s="118" t="s">
        <v>6415</v>
      </c>
      <c r="BT52" s="118" t="s">
        <v>7073</v>
      </c>
      <c r="BU52" s="118" t="s">
        <v>6991</v>
      </c>
      <c r="BV52" s="118" t="s">
        <v>6415</v>
      </c>
      <c r="BW52" s="118" t="s">
        <v>6415</v>
      </c>
      <c r="BX52" s="118" t="s">
        <v>6415</v>
      </c>
      <c r="BY52" s="118" t="s">
        <v>6415</v>
      </c>
      <c r="BZ52" s="118" t="s">
        <v>6415</v>
      </c>
      <c r="CA52" s="118" t="s">
        <v>6415</v>
      </c>
      <c r="CB52" s="118" t="s">
        <v>221</v>
      </c>
      <c r="CC52" s="118" t="s">
        <v>740</v>
      </c>
      <c r="CD52" s="118">
        <v>2</v>
      </c>
      <c r="CE52" s="118" t="s">
        <v>406</v>
      </c>
      <c r="CF52" s="118" t="s">
        <v>411</v>
      </c>
      <c r="CG52" s="118" t="s">
        <v>230</v>
      </c>
      <c r="CH52" s="118" t="s">
        <v>6302</v>
      </c>
      <c r="CI52" s="118" t="s">
        <v>6303</v>
      </c>
      <c r="CJ52" s="118" t="s">
        <v>520</v>
      </c>
      <c r="CK52" s="14">
        <v>0</v>
      </c>
      <c r="CL52" s="118">
        <v>45</v>
      </c>
      <c r="CM52" s="118" t="s">
        <v>436</v>
      </c>
      <c r="CN52" s="118" t="s">
        <v>451</v>
      </c>
      <c r="CO52" s="118" t="s">
        <v>1096</v>
      </c>
      <c r="CP52" s="118" t="s">
        <v>400</v>
      </c>
      <c r="CQ52" s="118" t="s">
        <v>6415</v>
      </c>
      <c r="CR52" s="118" t="s">
        <v>6415</v>
      </c>
      <c r="CS52" s="118" t="s">
        <v>6415</v>
      </c>
      <c r="CT52" s="118" t="s">
        <v>6415</v>
      </c>
      <c r="CU52" s="118" t="s">
        <v>6415</v>
      </c>
      <c r="CV52" s="118" t="s">
        <v>6415</v>
      </c>
      <c r="CW52" s="14">
        <v>34</v>
      </c>
      <c r="CX52" s="118" t="s">
        <v>1068</v>
      </c>
      <c r="CY52" s="118" t="s">
        <v>6341</v>
      </c>
      <c r="CZ52" s="118">
        <v>1</v>
      </c>
      <c r="DA52" s="118" t="s">
        <v>405</v>
      </c>
      <c r="DB52" s="118" t="s">
        <v>411</v>
      </c>
      <c r="DC52" s="118" t="s">
        <v>6415</v>
      </c>
      <c r="DD52" s="118" t="s">
        <v>6302</v>
      </c>
      <c r="DE52" s="118" t="s">
        <v>417</v>
      </c>
      <c r="DF52" s="118" t="s">
        <v>398</v>
      </c>
      <c r="DG52" s="14" t="s">
        <v>6415</v>
      </c>
      <c r="DH52" s="118">
        <v>45</v>
      </c>
      <c r="DI52" s="118" t="s">
        <v>435</v>
      </c>
      <c r="DJ52" s="118" t="s">
        <v>451</v>
      </c>
      <c r="DK52" s="118" t="s">
        <v>400</v>
      </c>
      <c r="DL52" s="118" t="s">
        <v>6415</v>
      </c>
      <c r="DM52" s="118" t="s">
        <v>6415</v>
      </c>
      <c r="DN52" s="118" t="s">
        <v>6415</v>
      </c>
      <c r="DO52" s="118" t="s">
        <v>6415</v>
      </c>
      <c r="DP52" s="118" t="s">
        <v>6415</v>
      </c>
      <c r="DQ52" s="118" t="s">
        <v>6415</v>
      </c>
      <c r="DR52" s="118">
        <v>20</v>
      </c>
      <c r="DS52" s="118" t="s">
        <v>1066</v>
      </c>
      <c r="DT52" s="118" t="s">
        <v>6341</v>
      </c>
      <c r="DU52" s="118" t="s">
        <v>6415</v>
      </c>
      <c r="DV52" s="118" t="s">
        <v>6415</v>
      </c>
      <c r="DW52" s="118" t="s">
        <v>6415</v>
      </c>
      <c r="DX52" s="118" t="s">
        <v>6415</v>
      </c>
      <c r="DY52" s="118" t="s">
        <v>6415</v>
      </c>
      <c r="DZ52" s="118" t="s">
        <v>6415</v>
      </c>
      <c r="EA52" s="118" t="s">
        <v>6415</v>
      </c>
      <c r="EB52" s="118" t="s">
        <v>6415</v>
      </c>
      <c r="EC52" s="118" t="s">
        <v>6415</v>
      </c>
      <c r="ED52" s="118" t="s">
        <v>6415</v>
      </c>
      <c r="EE52" s="118" t="s">
        <v>6415</v>
      </c>
      <c r="EF52" s="118" t="s">
        <v>6415</v>
      </c>
      <c r="EG52" s="118" t="s">
        <v>7071</v>
      </c>
      <c r="EH52" s="118" t="s">
        <v>7072</v>
      </c>
      <c r="EI52" s="118" t="s">
        <v>6415</v>
      </c>
      <c r="EJ52" s="118" t="s">
        <v>6415</v>
      </c>
      <c r="EK52" s="118" t="s">
        <v>6415</v>
      </c>
      <c r="EL52" s="118" t="s">
        <v>7467</v>
      </c>
      <c r="EM52" s="118" t="s">
        <v>7070</v>
      </c>
      <c r="EN52" s="118" t="s">
        <v>6415</v>
      </c>
      <c r="EO52" s="6" t="str">
        <f t="shared" si="10"/>
        <v>Pathweb</v>
      </c>
      <c r="EP52" s="6" t="str">
        <f t="shared" si="11"/>
        <v>Google Maps</v>
      </c>
      <c r="EQ52" s="6" t="str">
        <f t="shared" si="12"/>
        <v>Mashed Map</v>
      </c>
      <c r="ER52" s="118" t="s">
        <v>6727</v>
      </c>
      <c r="ES52" s="118" t="s">
        <v>6728</v>
      </c>
      <c r="ET52" s="4">
        <v>0</v>
      </c>
      <c r="EU52" s="4"/>
      <c r="EV52" s="4"/>
    </row>
    <row r="53" spans="1:152" x14ac:dyDescent="0.15">
      <c r="A53" s="581" t="str">
        <f t="shared" si="9"/>
        <v>Crash Report</v>
      </c>
      <c r="B53" s="14">
        <v>20213104038</v>
      </c>
      <c r="C53" s="118">
        <v>2021</v>
      </c>
      <c r="D53" s="14">
        <v>21061527031845</v>
      </c>
      <c r="F53" s="118" t="s">
        <v>6442</v>
      </c>
      <c r="G53" s="118" t="s">
        <v>402</v>
      </c>
      <c r="H53" s="118">
        <v>2</v>
      </c>
      <c r="I53" s="118" t="s">
        <v>6055</v>
      </c>
      <c r="J53" s="118" t="s">
        <v>434</v>
      </c>
      <c r="K53" s="118" t="s">
        <v>6985</v>
      </c>
      <c r="L53" s="118">
        <v>0.09</v>
      </c>
      <c r="M53" s="118">
        <v>0.09</v>
      </c>
      <c r="N53" s="118" t="s">
        <v>7465</v>
      </c>
      <c r="O53" s="118" t="s">
        <v>7475</v>
      </c>
      <c r="P53" s="118">
        <v>41.647981999999999</v>
      </c>
      <c r="Q53" s="118">
        <v>-83.524343999999999</v>
      </c>
      <c r="R53" s="118">
        <v>77000</v>
      </c>
      <c r="S53" s="118" t="s">
        <v>6988</v>
      </c>
      <c r="T53" s="118">
        <v>1</v>
      </c>
      <c r="U53" s="118">
        <v>0</v>
      </c>
      <c r="V53" s="118">
        <v>0</v>
      </c>
      <c r="W53" s="118">
        <v>0</v>
      </c>
      <c r="X53" s="118">
        <v>0</v>
      </c>
      <c r="Y53" s="118">
        <v>3</v>
      </c>
      <c r="Z53" s="118">
        <v>0</v>
      </c>
      <c r="AA53" s="118">
        <v>2</v>
      </c>
      <c r="AB53" s="118" t="s">
        <v>1067</v>
      </c>
      <c r="AC53" s="118" t="s">
        <v>6989</v>
      </c>
      <c r="AD53" s="118" t="s">
        <v>1034</v>
      </c>
      <c r="AE53" s="118" t="s">
        <v>943</v>
      </c>
      <c r="AF53" s="118" t="s">
        <v>1042</v>
      </c>
      <c r="AG53" s="118" t="s">
        <v>6415</v>
      </c>
      <c r="AH53" s="118" t="s">
        <v>393</v>
      </c>
      <c r="AI53" s="118">
        <v>4</v>
      </c>
      <c r="AJ53" s="118" t="s">
        <v>6415</v>
      </c>
      <c r="AK53" s="118" t="s">
        <v>393</v>
      </c>
      <c r="AL53" s="118" t="s">
        <v>393</v>
      </c>
      <c r="AM53" s="118" t="s">
        <v>393</v>
      </c>
      <c r="AN53" s="402" t="s">
        <v>5975</v>
      </c>
      <c r="AO53" s="402">
        <v>44362</v>
      </c>
      <c r="AP53" s="118">
        <v>6</v>
      </c>
      <c r="AQ53" s="118">
        <v>18</v>
      </c>
      <c r="AR53" s="118" t="s">
        <v>6445</v>
      </c>
      <c r="AS53" s="118" t="s">
        <v>392</v>
      </c>
      <c r="AT53" s="118" t="s">
        <v>500</v>
      </c>
      <c r="AU53" s="118" t="s">
        <v>404</v>
      </c>
      <c r="AV53" s="118" t="s">
        <v>508</v>
      </c>
      <c r="AW53" s="118" t="s">
        <v>393</v>
      </c>
      <c r="AX53" s="118" t="s">
        <v>740</v>
      </c>
      <c r="AY53" s="118" t="s">
        <v>393</v>
      </c>
      <c r="AZ53" s="118" t="s">
        <v>393</v>
      </c>
      <c r="BA53" s="118" t="s">
        <v>393</v>
      </c>
      <c r="BB53" s="118" t="s">
        <v>393</v>
      </c>
      <c r="BC53" s="118" t="s">
        <v>393</v>
      </c>
      <c r="BD53" s="118" t="s">
        <v>393</v>
      </c>
      <c r="BE53" s="118" t="s">
        <v>393</v>
      </c>
      <c r="BF53" s="118" t="s">
        <v>393</v>
      </c>
      <c r="BG53" s="118" t="s">
        <v>393</v>
      </c>
      <c r="BH53" s="118" t="s">
        <v>394</v>
      </c>
      <c r="BI53" s="118" t="s">
        <v>394</v>
      </c>
      <c r="BJ53" s="118" t="s">
        <v>393</v>
      </c>
      <c r="BK53" s="118" t="s">
        <v>6988</v>
      </c>
      <c r="BL53" s="118" t="s">
        <v>6415</v>
      </c>
      <c r="BM53" s="118" t="s">
        <v>6990</v>
      </c>
      <c r="BN53" s="118" t="s">
        <v>6991</v>
      </c>
      <c r="BO53" s="118" t="s">
        <v>6415</v>
      </c>
      <c r="BP53" s="118" t="s">
        <v>6415</v>
      </c>
      <c r="BQ53" s="118" t="s">
        <v>6415</v>
      </c>
      <c r="BR53" s="118" t="s">
        <v>6415</v>
      </c>
      <c r="BS53" s="118" t="s">
        <v>6415</v>
      </c>
      <c r="BT53" s="118" t="s">
        <v>2583</v>
      </c>
      <c r="BU53" s="118" t="s">
        <v>7017</v>
      </c>
      <c r="BV53" s="118" t="s">
        <v>6415</v>
      </c>
      <c r="BW53" s="118" t="s">
        <v>6415</v>
      </c>
      <c r="BX53" s="118" t="s">
        <v>6415</v>
      </c>
      <c r="BY53" s="118" t="s">
        <v>6415</v>
      </c>
      <c r="BZ53" s="118" t="s">
        <v>6415</v>
      </c>
      <c r="CA53" s="118" t="s">
        <v>6415</v>
      </c>
      <c r="CB53" s="118" t="s">
        <v>221</v>
      </c>
      <c r="CC53" s="118" t="s">
        <v>393</v>
      </c>
      <c r="CD53" s="118">
        <v>1</v>
      </c>
      <c r="CE53" s="118" t="s">
        <v>406</v>
      </c>
      <c r="CF53" s="118" t="s">
        <v>405</v>
      </c>
      <c r="CG53" s="118" t="s">
        <v>924</v>
      </c>
      <c r="CH53" s="118" t="s">
        <v>6302</v>
      </c>
      <c r="CI53" s="118" t="s">
        <v>6303</v>
      </c>
      <c r="CJ53" s="118" t="s">
        <v>398</v>
      </c>
      <c r="CK53" s="118">
        <v>0</v>
      </c>
      <c r="CL53" s="118">
        <v>35</v>
      </c>
      <c r="CM53" s="118" t="s">
        <v>399</v>
      </c>
      <c r="CN53" s="118" t="s">
        <v>398</v>
      </c>
      <c r="CO53" s="118" t="s">
        <v>1096</v>
      </c>
      <c r="CP53" s="118" t="s">
        <v>400</v>
      </c>
      <c r="CQ53" s="118" t="s">
        <v>6415</v>
      </c>
      <c r="CR53" s="118" t="s">
        <v>6415</v>
      </c>
      <c r="CS53" s="118" t="s">
        <v>6415</v>
      </c>
      <c r="CT53" s="118" t="s">
        <v>6415</v>
      </c>
      <c r="CU53" s="118" t="s">
        <v>6415</v>
      </c>
      <c r="CV53" s="118" t="s">
        <v>6415</v>
      </c>
      <c r="CW53" s="118">
        <v>36</v>
      </c>
      <c r="CX53" s="118" t="s">
        <v>1066</v>
      </c>
      <c r="CY53" s="118" t="s">
        <v>6341</v>
      </c>
      <c r="CZ53" s="118">
        <v>2</v>
      </c>
      <c r="DA53" s="118" t="s">
        <v>406</v>
      </c>
      <c r="DB53" s="118" t="s">
        <v>405</v>
      </c>
      <c r="DC53" s="118" t="s">
        <v>6415</v>
      </c>
      <c r="DD53" s="118" t="s">
        <v>6302</v>
      </c>
      <c r="DE53" s="118" t="s">
        <v>417</v>
      </c>
      <c r="DF53" s="118" t="s">
        <v>398</v>
      </c>
      <c r="DG53" s="118" t="s">
        <v>6415</v>
      </c>
      <c r="DH53" s="118">
        <v>35</v>
      </c>
      <c r="DI53" s="118" t="s">
        <v>399</v>
      </c>
      <c r="DJ53" s="118" t="s">
        <v>398</v>
      </c>
      <c r="DK53" s="118" t="s">
        <v>400</v>
      </c>
      <c r="DL53" s="118" t="s">
        <v>6415</v>
      </c>
      <c r="DM53" s="118" t="s">
        <v>6415</v>
      </c>
      <c r="DN53" s="118" t="s">
        <v>6415</v>
      </c>
      <c r="DO53" s="118" t="s">
        <v>6415</v>
      </c>
      <c r="DP53" s="118" t="s">
        <v>6415</v>
      </c>
      <c r="DQ53" s="118" t="s">
        <v>6415</v>
      </c>
      <c r="DR53" s="118">
        <v>32</v>
      </c>
      <c r="DS53" s="118" t="s">
        <v>1068</v>
      </c>
      <c r="DT53" s="118" t="s">
        <v>6341</v>
      </c>
      <c r="DU53" s="118" t="s">
        <v>6415</v>
      </c>
      <c r="DV53" s="118" t="s">
        <v>6415</v>
      </c>
      <c r="DW53" s="118" t="s">
        <v>6415</v>
      </c>
      <c r="DX53" s="118" t="s">
        <v>6415</v>
      </c>
      <c r="DY53" s="118" t="s">
        <v>6415</v>
      </c>
      <c r="DZ53" s="118" t="s">
        <v>6415</v>
      </c>
      <c r="EA53" s="118" t="s">
        <v>6415</v>
      </c>
      <c r="EB53" s="118" t="s">
        <v>6415</v>
      </c>
      <c r="EC53" s="118" t="s">
        <v>6415</v>
      </c>
      <c r="ED53" s="118" t="s">
        <v>6415</v>
      </c>
      <c r="EE53" s="118" t="s">
        <v>6415</v>
      </c>
      <c r="EF53" s="118" t="s">
        <v>6415</v>
      </c>
      <c r="EG53" s="118" t="s">
        <v>7028</v>
      </c>
      <c r="EH53" s="118" t="s">
        <v>7029</v>
      </c>
      <c r="EI53" s="118" t="s">
        <v>6415</v>
      </c>
      <c r="EJ53" s="118" t="s">
        <v>6415</v>
      </c>
      <c r="EK53" s="118" t="s">
        <v>6415</v>
      </c>
      <c r="EL53" s="118" t="s">
        <v>7467</v>
      </c>
      <c r="EM53" s="118" t="s">
        <v>7074</v>
      </c>
      <c r="EN53" s="118" t="s">
        <v>6415</v>
      </c>
      <c r="EO53" s="6" t="str">
        <f t="shared" si="10"/>
        <v>Pathweb</v>
      </c>
      <c r="EP53" s="6" t="str">
        <f t="shared" si="11"/>
        <v>Google Maps</v>
      </c>
      <c r="EQ53" s="6" t="str">
        <f t="shared" si="12"/>
        <v>Mashed Map</v>
      </c>
      <c r="ER53" s="118" t="s">
        <v>6727</v>
      </c>
      <c r="ES53" s="118" t="s">
        <v>71</v>
      </c>
      <c r="ET53" s="4">
        <v>0</v>
      </c>
      <c r="EU53" s="4"/>
      <c r="EV53" s="4"/>
    </row>
    <row r="54" spans="1:152" x14ac:dyDescent="0.15">
      <c r="A54" s="581" t="str">
        <f t="shared" si="9"/>
        <v>Crash Report</v>
      </c>
      <c r="B54" s="14">
        <v>20213107207</v>
      </c>
      <c r="C54" s="118">
        <v>2021</v>
      </c>
      <c r="D54" s="14">
        <v>21062121690209</v>
      </c>
      <c r="F54" s="118" t="s">
        <v>6441</v>
      </c>
      <c r="G54" s="118" t="s">
        <v>416</v>
      </c>
      <c r="H54" s="118">
        <v>2</v>
      </c>
      <c r="I54" s="118" t="s">
        <v>6055</v>
      </c>
      <c r="J54" s="118" t="s">
        <v>434</v>
      </c>
      <c r="K54" s="118" t="s">
        <v>6985</v>
      </c>
      <c r="L54" s="118">
        <v>0.871</v>
      </c>
      <c r="M54" s="118">
        <v>0.871</v>
      </c>
      <c r="N54" s="118" t="s">
        <v>7465</v>
      </c>
      <c r="O54" s="118" t="s">
        <v>7481</v>
      </c>
      <c r="P54" s="118">
        <v>41.655135000000001</v>
      </c>
      <c r="Q54" s="118">
        <v>-83.512630999999999</v>
      </c>
      <c r="R54" s="118">
        <v>77000</v>
      </c>
      <c r="S54" s="118" t="s">
        <v>6988</v>
      </c>
      <c r="T54" s="118">
        <v>1</v>
      </c>
      <c r="U54" s="118">
        <v>0</v>
      </c>
      <c r="V54" s="118">
        <v>0</v>
      </c>
      <c r="W54" s="118">
        <v>0</v>
      </c>
      <c r="X54" s="118">
        <v>1</v>
      </c>
      <c r="Y54" s="118">
        <v>0</v>
      </c>
      <c r="Z54" s="118">
        <v>0</v>
      </c>
      <c r="AA54" s="118">
        <v>1</v>
      </c>
      <c r="AB54" s="118" t="s">
        <v>1067</v>
      </c>
      <c r="AC54" s="118" t="s">
        <v>6989</v>
      </c>
      <c r="AD54" s="118" t="s">
        <v>1034</v>
      </c>
      <c r="AE54" s="118" t="s">
        <v>943</v>
      </c>
      <c r="AF54" s="118" t="s">
        <v>1041</v>
      </c>
      <c r="AG54" s="118" t="s">
        <v>6415</v>
      </c>
      <c r="AH54" s="118" t="s">
        <v>393</v>
      </c>
      <c r="AI54" s="118">
        <v>4</v>
      </c>
      <c r="AJ54" s="118" t="s">
        <v>6415</v>
      </c>
      <c r="AK54" s="118" t="s">
        <v>393</v>
      </c>
      <c r="AL54" s="118" t="s">
        <v>393</v>
      </c>
      <c r="AM54" s="118" t="s">
        <v>393</v>
      </c>
      <c r="AN54" s="402" t="s">
        <v>5975</v>
      </c>
      <c r="AO54" s="402">
        <v>44368</v>
      </c>
      <c r="AP54" s="118">
        <v>6</v>
      </c>
      <c r="AQ54" s="118">
        <v>2</v>
      </c>
      <c r="AR54" s="118" t="s">
        <v>6444</v>
      </c>
      <c r="AS54" s="118" t="s">
        <v>403</v>
      </c>
      <c r="AT54" s="118" t="s">
        <v>225</v>
      </c>
      <c r="AU54" s="118" t="s">
        <v>505</v>
      </c>
      <c r="AV54" s="118" t="s">
        <v>508</v>
      </c>
      <c r="AW54" s="118" t="s">
        <v>740</v>
      </c>
      <c r="AX54" s="118" t="s">
        <v>740</v>
      </c>
      <c r="AY54" s="118" t="s">
        <v>740</v>
      </c>
      <c r="AZ54" s="118" t="s">
        <v>393</v>
      </c>
      <c r="BA54" s="118" t="s">
        <v>393</v>
      </c>
      <c r="BB54" s="118" t="s">
        <v>393</v>
      </c>
      <c r="BC54" s="118" t="s">
        <v>393</v>
      </c>
      <c r="BD54" s="118" t="s">
        <v>740</v>
      </c>
      <c r="BE54" s="118" t="s">
        <v>393</v>
      </c>
      <c r="BF54" s="118" t="s">
        <v>393</v>
      </c>
      <c r="BG54" s="118" t="s">
        <v>393</v>
      </c>
      <c r="BH54" s="118" t="s">
        <v>394</v>
      </c>
      <c r="BI54" s="118" t="s">
        <v>394</v>
      </c>
      <c r="BJ54" s="118" t="s">
        <v>393</v>
      </c>
      <c r="BK54" s="118" t="s">
        <v>6988</v>
      </c>
      <c r="BL54" s="118" t="s">
        <v>6415</v>
      </c>
      <c r="BM54" s="118" t="s">
        <v>6990</v>
      </c>
      <c r="BN54" s="118" t="s">
        <v>6991</v>
      </c>
      <c r="BO54" s="118" t="s">
        <v>6415</v>
      </c>
      <c r="BP54" s="118" t="s">
        <v>6415</v>
      </c>
      <c r="BQ54" s="118" t="s">
        <v>6415</v>
      </c>
      <c r="BR54" s="118" t="s">
        <v>6415</v>
      </c>
      <c r="BS54" s="118" t="s">
        <v>6415</v>
      </c>
      <c r="BT54" s="118" t="s">
        <v>7067</v>
      </c>
      <c r="BU54" s="118" t="s">
        <v>7017</v>
      </c>
      <c r="BV54" s="118" t="s">
        <v>6415</v>
      </c>
      <c r="BW54" s="118" t="s">
        <v>6415</v>
      </c>
      <c r="BX54" s="118" t="s">
        <v>6415</v>
      </c>
      <c r="BY54" s="118" t="s">
        <v>6415</v>
      </c>
      <c r="BZ54" s="118" t="s">
        <v>6415</v>
      </c>
      <c r="CA54" s="118" t="s">
        <v>6415</v>
      </c>
      <c r="CB54" s="118" t="s">
        <v>221</v>
      </c>
      <c r="CC54" s="118" t="s">
        <v>740</v>
      </c>
      <c r="CD54" s="118">
        <v>1</v>
      </c>
      <c r="CE54" s="118" t="s">
        <v>396</v>
      </c>
      <c r="CF54" s="118" t="s">
        <v>411</v>
      </c>
      <c r="CG54" s="118" t="s">
        <v>860</v>
      </c>
      <c r="CH54" s="118" t="s">
        <v>6302</v>
      </c>
      <c r="CI54" s="118" t="s">
        <v>6305</v>
      </c>
      <c r="CJ54" s="118" t="s">
        <v>398</v>
      </c>
      <c r="CK54" s="14">
        <v>50</v>
      </c>
      <c r="CL54" s="118">
        <v>35</v>
      </c>
      <c r="CM54" s="118" t="s">
        <v>435</v>
      </c>
      <c r="CN54" s="118" t="s">
        <v>458</v>
      </c>
      <c r="CO54" s="118" t="s">
        <v>487</v>
      </c>
      <c r="CP54" s="118" t="s">
        <v>487</v>
      </c>
      <c r="CQ54" s="118" t="s">
        <v>6415</v>
      </c>
      <c r="CR54" s="118" t="s">
        <v>6415</v>
      </c>
      <c r="CS54" s="118" t="s">
        <v>6415</v>
      </c>
      <c r="CT54" s="118" t="s">
        <v>6415</v>
      </c>
      <c r="CU54" s="118" t="s">
        <v>6415</v>
      </c>
      <c r="CV54" s="118" t="s">
        <v>6415</v>
      </c>
      <c r="CW54" s="14">
        <v>32</v>
      </c>
      <c r="CX54" s="118" t="s">
        <v>1068</v>
      </c>
      <c r="CY54" s="118" t="s">
        <v>6341</v>
      </c>
      <c r="CZ54" s="118" t="s">
        <v>6415</v>
      </c>
      <c r="DA54" s="118" t="s">
        <v>6415</v>
      </c>
      <c r="DB54" s="118" t="s">
        <v>6415</v>
      </c>
      <c r="DC54" s="118" t="s">
        <v>6415</v>
      </c>
      <c r="DD54" s="118" t="s">
        <v>6415</v>
      </c>
      <c r="DE54" s="118" t="s">
        <v>6415</v>
      </c>
      <c r="DF54" s="118" t="s">
        <v>6415</v>
      </c>
      <c r="DG54" s="14" t="s">
        <v>6415</v>
      </c>
      <c r="DH54" s="118" t="s">
        <v>6415</v>
      </c>
      <c r="DI54" s="118" t="s">
        <v>6415</v>
      </c>
      <c r="DJ54" s="118" t="s">
        <v>6415</v>
      </c>
      <c r="DK54" s="118" t="s">
        <v>6415</v>
      </c>
      <c r="DL54" s="118" t="s">
        <v>6415</v>
      </c>
      <c r="DM54" s="118" t="s">
        <v>6415</v>
      </c>
      <c r="DN54" s="118" t="s">
        <v>6415</v>
      </c>
      <c r="DO54" s="118" t="s">
        <v>6415</v>
      </c>
      <c r="DP54" s="118" t="s">
        <v>6415</v>
      </c>
      <c r="DQ54" s="118" t="s">
        <v>6415</v>
      </c>
      <c r="DR54" s="118">
        <v>0</v>
      </c>
      <c r="DS54" s="118" t="s">
        <v>6415</v>
      </c>
      <c r="DT54" s="118" t="s">
        <v>6415</v>
      </c>
      <c r="DU54" s="118" t="s">
        <v>6415</v>
      </c>
      <c r="DV54" s="118" t="s">
        <v>6415</v>
      </c>
      <c r="DW54" s="118" t="s">
        <v>6415</v>
      </c>
      <c r="DX54" s="118" t="s">
        <v>6415</v>
      </c>
      <c r="DY54" s="118" t="s">
        <v>6415</v>
      </c>
      <c r="DZ54" s="118" t="s">
        <v>6415</v>
      </c>
      <c r="EA54" s="118" t="s">
        <v>6415</v>
      </c>
      <c r="EB54" s="118" t="s">
        <v>6415</v>
      </c>
      <c r="EC54" s="118" t="s">
        <v>6415</v>
      </c>
      <c r="ED54" s="118" t="s">
        <v>6415</v>
      </c>
      <c r="EE54" s="118" t="s">
        <v>6415</v>
      </c>
      <c r="EF54" s="118" t="s">
        <v>6415</v>
      </c>
      <c r="EG54" s="118" t="s">
        <v>7065</v>
      </c>
      <c r="EH54" s="118" t="s">
        <v>7066</v>
      </c>
      <c r="EI54" s="118" t="s">
        <v>6415</v>
      </c>
      <c r="EJ54" s="118" t="s">
        <v>6415</v>
      </c>
      <c r="EK54" s="118" t="s">
        <v>6415</v>
      </c>
      <c r="EL54" s="118" t="s">
        <v>7467</v>
      </c>
      <c r="EM54" s="118" t="s">
        <v>7075</v>
      </c>
      <c r="EN54" s="118" t="s">
        <v>6415</v>
      </c>
      <c r="EO54" s="6" t="str">
        <f t="shared" si="10"/>
        <v>Pathweb</v>
      </c>
      <c r="EP54" s="6" t="str">
        <f t="shared" si="11"/>
        <v>Google Maps</v>
      </c>
      <c r="EQ54" s="6" t="str">
        <f t="shared" si="12"/>
        <v>Mashed Map</v>
      </c>
      <c r="ER54" s="118" t="s">
        <v>6726</v>
      </c>
      <c r="ES54" s="118" t="s">
        <v>6728</v>
      </c>
      <c r="ET54" s="4">
        <v>0</v>
      </c>
      <c r="EU54" s="4"/>
      <c r="EV54" s="4"/>
    </row>
    <row r="55" spans="1:152" x14ac:dyDescent="0.15">
      <c r="A55" s="581" t="str">
        <f t="shared" si="9"/>
        <v>Crash Report</v>
      </c>
      <c r="B55" s="118">
        <v>20213107980</v>
      </c>
      <c r="C55" s="118">
        <v>2021</v>
      </c>
      <c r="D55" s="118">
        <v>21062027081912</v>
      </c>
      <c r="F55" s="118" t="s">
        <v>6440</v>
      </c>
      <c r="G55" s="118" t="s">
        <v>402</v>
      </c>
      <c r="H55" s="118">
        <v>2</v>
      </c>
      <c r="I55" s="118" t="s">
        <v>6055</v>
      </c>
      <c r="J55" s="118" t="s">
        <v>391</v>
      </c>
      <c r="K55" s="118" t="s">
        <v>6985</v>
      </c>
      <c r="L55" s="118">
        <v>0.871</v>
      </c>
      <c r="M55" s="118">
        <v>0.871</v>
      </c>
      <c r="N55" s="118" t="s">
        <v>7465</v>
      </c>
      <c r="O55" s="118" t="s">
        <v>7481</v>
      </c>
      <c r="P55" s="118">
        <v>41.655135000000001</v>
      </c>
      <c r="Q55" s="118">
        <v>-83.512630999999999</v>
      </c>
      <c r="R55" s="118">
        <v>77000</v>
      </c>
      <c r="S55" s="118" t="s">
        <v>6988</v>
      </c>
      <c r="T55" s="118">
        <v>1</v>
      </c>
      <c r="U55" s="118">
        <v>0</v>
      </c>
      <c r="V55" s="118">
        <v>0</v>
      </c>
      <c r="W55" s="118">
        <v>1</v>
      </c>
      <c r="X55" s="118">
        <v>0</v>
      </c>
      <c r="Y55" s="118">
        <v>4</v>
      </c>
      <c r="Z55" s="118">
        <v>1</v>
      </c>
      <c r="AA55" s="118">
        <v>2</v>
      </c>
      <c r="AB55" s="118" t="s">
        <v>1067</v>
      </c>
      <c r="AC55" s="118" t="s">
        <v>6989</v>
      </c>
      <c r="AD55" s="118" t="s">
        <v>1034</v>
      </c>
      <c r="AE55" s="118" t="s">
        <v>943</v>
      </c>
      <c r="AF55" s="118" t="s">
        <v>1041</v>
      </c>
      <c r="AG55" s="118" t="s">
        <v>6415</v>
      </c>
      <c r="AH55" s="118" t="s">
        <v>393</v>
      </c>
      <c r="AI55" s="118">
        <v>4</v>
      </c>
      <c r="AJ55" s="118" t="s">
        <v>6415</v>
      </c>
      <c r="AK55" s="118" t="s">
        <v>393</v>
      </c>
      <c r="AL55" s="118" t="s">
        <v>393</v>
      </c>
      <c r="AM55" s="118" t="s">
        <v>393</v>
      </c>
      <c r="AN55" s="402" t="s">
        <v>5975</v>
      </c>
      <c r="AO55" s="402">
        <v>44367</v>
      </c>
      <c r="AP55" s="118">
        <v>6</v>
      </c>
      <c r="AQ55" s="118">
        <v>19</v>
      </c>
      <c r="AR55" s="118" t="s">
        <v>6443</v>
      </c>
      <c r="AS55" s="118" t="s">
        <v>392</v>
      </c>
      <c r="AT55" s="118" t="s">
        <v>500</v>
      </c>
      <c r="AU55" s="118" t="s">
        <v>404</v>
      </c>
      <c r="AV55" s="118" t="s">
        <v>508</v>
      </c>
      <c r="AW55" s="118" t="s">
        <v>393</v>
      </c>
      <c r="AX55" s="118" t="s">
        <v>393</v>
      </c>
      <c r="AY55" s="118" t="s">
        <v>393</v>
      </c>
      <c r="AZ55" s="118" t="s">
        <v>393</v>
      </c>
      <c r="BA55" s="118" t="s">
        <v>393</v>
      </c>
      <c r="BB55" s="118" t="s">
        <v>393</v>
      </c>
      <c r="BC55" s="118" t="s">
        <v>393</v>
      </c>
      <c r="BD55" s="118" t="s">
        <v>393</v>
      </c>
      <c r="BE55" s="118" t="s">
        <v>740</v>
      </c>
      <c r="BF55" s="118" t="s">
        <v>393</v>
      </c>
      <c r="BG55" s="118" t="s">
        <v>393</v>
      </c>
      <c r="BH55" s="118" t="s">
        <v>394</v>
      </c>
      <c r="BI55" s="118" t="s">
        <v>394</v>
      </c>
      <c r="BJ55" s="118" t="s">
        <v>393</v>
      </c>
      <c r="BK55" s="118" t="s">
        <v>6988</v>
      </c>
      <c r="BL55" s="118" t="s">
        <v>6415</v>
      </c>
      <c r="BM55" s="118" t="s">
        <v>6990</v>
      </c>
      <c r="BN55" s="118" t="s">
        <v>6991</v>
      </c>
      <c r="BO55" s="118" t="s">
        <v>6415</v>
      </c>
      <c r="BP55" s="118" t="s">
        <v>6415</v>
      </c>
      <c r="BQ55" s="118" t="s">
        <v>6415</v>
      </c>
      <c r="BR55" s="118" t="s">
        <v>6415</v>
      </c>
      <c r="BS55" s="118" t="s">
        <v>6415</v>
      </c>
      <c r="BT55" s="118" t="s">
        <v>7067</v>
      </c>
      <c r="BU55" s="118" t="s">
        <v>7017</v>
      </c>
      <c r="BV55" s="118" t="s">
        <v>6415</v>
      </c>
      <c r="BW55" s="118" t="s">
        <v>6415</v>
      </c>
      <c r="BX55" s="118" t="s">
        <v>6415</v>
      </c>
      <c r="BY55" s="118" t="s">
        <v>6415</v>
      </c>
      <c r="BZ55" s="118" t="s">
        <v>6415</v>
      </c>
      <c r="CA55" s="118" t="s">
        <v>6415</v>
      </c>
      <c r="CB55" s="118" t="s">
        <v>221</v>
      </c>
      <c r="CC55" s="118" t="s">
        <v>740</v>
      </c>
      <c r="CD55" s="118">
        <v>2</v>
      </c>
      <c r="CE55" s="118" t="s">
        <v>411</v>
      </c>
      <c r="CF55" s="118" t="s">
        <v>405</v>
      </c>
      <c r="CG55" s="118" t="s">
        <v>230</v>
      </c>
      <c r="CH55" s="118" t="s">
        <v>6302</v>
      </c>
      <c r="CI55" s="118" t="s">
        <v>6303</v>
      </c>
      <c r="CJ55" s="118" t="s">
        <v>398</v>
      </c>
      <c r="CK55" s="14">
        <v>0</v>
      </c>
      <c r="CL55" s="118">
        <v>0</v>
      </c>
      <c r="CM55" s="118" t="s">
        <v>436</v>
      </c>
      <c r="CN55" s="118" t="s">
        <v>6327</v>
      </c>
      <c r="CO55" s="118" t="s">
        <v>1096</v>
      </c>
      <c r="CP55" s="118" t="s">
        <v>400</v>
      </c>
      <c r="CQ55" s="118" t="s">
        <v>6415</v>
      </c>
      <c r="CR55" s="118" t="s">
        <v>6415</v>
      </c>
      <c r="CS55" s="118" t="s">
        <v>6415</v>
      </c>
      <c r="CT55" s="118" t="s">
        <v>6415</v>
      </c>
      <c r="CU55" s="118" t="s">
        <v>6415</v>
      </c>
      <c r="CV55" s="118" t="s">
        <v>6415</v>
      </c>
      <c r="CW55" s="14">
        <v>35</v>
      </c>
      <c r="CX55" s="118" t="s">
        <v>1066</v>
      </c>
      <c r="CY55" s="118" t="s">
        <v>6341</v>
      </c>
      <c r="CZ55" s="118">
        <v>1</v>
      </c>
      <c r="DA55" s="118" t="s">
        <v>411</v>
      </c>
      <c r="DB55" s="118" t="s">
        <v>410</v>
      </c>
      <c r="DC55" s="118" t="s">
        <v>6415</v>
      </c>
      <c r="DD55" s="118" t="s">
        <v>6302</v>
      </c>
      <c r="DE55" s="118" t="s">
        <v>6303</v>
      </c>
      <c r="DF55" s="118" t="s">
        <v>398</v>
      </c>
      <c r="DG55" s="14" t="s">
        <v>6415</v>
      </c>
      <c r="DH55" s="118" t="s">
        <v>6415</v>
      </c>
      <c r="DI55" s="118" t="s">
        <v>399</v>
      </c>
      <c r="DJ55" s="118" t="s">
        <v>398</v>
      </c>
      <c r="DK55" s="118" t="s">
        <v>400</v>
      </c>
      <c r="DL55" s="118" t="s">
        <v>6415</v>
      </c>
      <c r="DM55" s="118" t="s">
        <v>6415</v>
      </c>
      <c r="DN55" s="118" t="s">
        <v>6415</v>
      </c>
      <c r="DO55" s="118" t="s">
        <v>6415</v>
      </c>
      <c r="DP55" s="118" t="s">
        <v>6415</v>
      </c>
      <c r="DQ55" s="118" t="s">
        <v>6415</v>
      </c>
      <c r="DR55" s="118">
        <v>73</v>
      </c>
      <c r="DS55" s="118" t="s">
        <v>1068</v>
      </c>
      <c r="DT55" s="118" t="s">
        <v>6341</v>
      </c>
      <c r="DU55" s="118" t="s">
        <v>6415</v>
      </c>
      <c r="DV55" s="118" t="s">
        <v>6415</v>
      </c>
      <c r="DW55" s="118" t="s">
        <v>6415</v>
      </c>
      <c r="DX55" s="118" t="s">
        <v>6415</v>
      </c>
      <c r="DY55" s="118" t="s">
        <v>6415</v>
      </c>
      <c r="DZ55" s="118" t="s">
        <v>6415</v>
      </c>
      <c r="EA55" s="118" t="s">
        <v>6415</v>
      </c>
      <c r="EB55" s="118" t="s">
        <v>6415</v>
      </c>
      <c r="EC55" s="118" t="s">
        <v>6415</v>
      </c>
      <c r="ED55" s="118" t="s">
        <v>6415</v>
      </c>
      <c r="EE55" s="118" t="s">
        <v>6415</v>
      </c>
      <c r="EF55" s="118" t="s">
        <v>6415</v>
      </c>
      <c r="EG55" s="118" t="s">
        <v>7065</v>
      </c>
      <c r="EH55" s="118" t="s">
        <v>7066</v>
      </c>
      <c r="EI55" s="118" t="s">
        <v>6415</v>
      </c>
      <c r="EJ55" s="118" t="s">
        <v>6415</v>
      </c>
      <c r="EK55" s="118" t="s">
        <v>6415</v>
      </c>
      <c r="EL55" s="118" t="s">
        <v>7467</v>
      </c>
      <c r="EM55" s="118" t="s">
        <v>7076</v>
      </c>
      <c r="EN55" s="118" t="s">
        <v>6415</v>
      </c>
      <c r="EO55" s="6" t="str">
        <f t="shared" si="10"/>
        <v>Pathweb</v>
      </c>
      <c r="EP55" s="6" t="str">
        <f t="shared" si="11"/>
        <v>Google Maps</v>
      </c>
      <c r="EQ55" s="6" t="str">
        <f t="shared" si="12"/>
        <v>Mashed Map</v>
      </c>
      <c r="ER55" s="118" t="s">
        <v>6727</v>
      </c>
      <c r="ES55" s="118" t="s">
        <v>6728</v>
      </c>
      <c r="ET55" s="4">
        <v>0</v>
      </c>
      <c r="EU55" s="4"/>
      <c r="EV55" s="4"/>
    </row>
    <row r="56" spans="1:152" x14ac:dyDescent="0.15">
      <c r="A56" s="581" t="str">
        <f t="shared" si="9"/>
        <v>Crash Report</v>
      </c>
      <c r="B56" s="118">
        <v>20213111636</v>
      </c>
      <c r="C56" s="118">
        <v>2021</v>
      </c>
      <c r="D56" s="118">
        <v>21062622870255</v>
      </c>
      <c r="F56" s="118" t="s">
        <v>6442</v>
      </c>
      <c r="G56" s="118" t="s">
        <v>210</v>
      </c>
      <c r="H56" s="118">
        <v>2</v>
      </c>
      <c r="I56" s="118" t="s">
        <v>6055</v>
      </c>
      <c r="J56" s="118" t="s">
        <v>423</v>
      </c>
      <c r="K56" s="118" t="s">
        <v>6997</v>
      </c>
      <c r="L56" s="118">
        <v>0.49099999999999999</v>
      </c>
      <c r="M56" s="118">
        <v>0.49099999999999999</v>
      </c>
      <c r="N56" s="118" t="s">
        <v>7469</v>
      </c>
      <c r="O56" s="118" t="s">
        <v>7478</v>
      </c>
      <c r="P56" s="118">
        <v>41.646026999999997</v>
      </c>
      <c r="Q56" s="118">
        <v>-83.520775</v>
      </c>
      <c r="R56" s="118">
        <v>77000</v>
      </c>
      <c r="S56" s="118" t="s">
        <v>6988</v>
      </c>
      <c r="T56" s="118">
        <v>1</v>
      </c>
      <c r="U56" s="118">
        <v>0</v>
      </c>
      <c r="V56" s="118">
        <v>0</v>
      </c>
      <c r="W56" s="118">
        <v>0</v>
      </c>
      <c r="X56" s="118">
        <v>0</v>
      </c>
      <c r="Y56" s="118">
        <v>1</v>
      </c>
      <c r="Z56" s="118">
        <v>0</v>
      </c>
      <c r="AA56" s="118">
        <v>2</v>
      </c>
      <c r="AB56" s="118" t="s">
        <v>1067</v>
      </c>
      <c r="AC56" s="118" t="s">
        <v>6989</v>
      </c>
      <c r="AD56" s="118" t="s">
        <v>1034</v>
      </c>
      <c r="AE56" s="118" t="s">
        <v>943</v>
      </c>
      <c r="AF56" s="118" t="s">
        <v>1042</v>
      </c>
      <c r="AG56" s="118" t="s">
        <v>6415</v>
      </c>
      <c r="AH56" s="118" t="s">
        <v>393</v>
      </c>
      <c r="AI56" s="118">
        <v>2</v>
      </c>
      <c r="AJ56" s="118" t="s">
        <v>6415</v>
      </c>
      <c r="AK56" s="118" t="s">
        <v>393</v>
      </c>
      <c r="AL56" s="118" t="s">
        <v>393</v>
      </c>
      <c r="AM56" s="118" t="s">
        <v>393</v>
      </c>
      <c r="AN56" s="402" t="s">
        <v>5975</v>
      </c>
      <c r="AO56" s="402">
        <v>44373</v>
      </c>
      <c r="AP56" s="118">
        <v>6</v>
      </c>
      <c r="AQ56" s="118">
        <v>2</v>
      </c>
      <c r="AR56" s="118" t="s">
        <v>6449</v>
      </c>
      <c r="AS56" s="118" t="s">
        <v>392</v>
      </c>
      <c r="AT56" s="118" t="s">
        <v>225</v>
      </c>
      <c r="AU56" s="118" t="s">
        <v>505</v>
      </c>
      <c r="AV56" s="118" t="s">
        <v>508</v>
      </c>
      <c r="AW56" s="118" t="s">
        <v>740</v>
      </c>
      <c r="AX56" s="118" t="s">
        <v>740</v>
      </c>
      <c r="AY56" s="118" t="s">
        <v>740</v>
      </c>
      <c r="AZ56" s="118" t="s">
        <v>393</v>
      </c>
      <c r="BA56" s="118" t="s">
        <v>393</v>
      </c>
      <c r="BB56" s="118" t="s">
        <v>393</v>
      </c>
      <c r="BC56" s="118" t="s">
        <v>393</v>
      </c>
      <c r="BD56" s="118" t="s">
        <v>393</v>
      </c>
      <c r="BE56" s="118" t="s">
        <v>393</v>
      </c>
      <c r="BF56" s="118" t="s">
        <v>740</v>
      </c>
      <c r="BG56" s="118" t="s">
        <v>393</v>
      </c>
      <c r="BH56" s="118" t="s">
        <v>394</v>
      </c>
      <c r="BI56" s="118" t="s">
        <v>394</v>
      </c>
      <c r="BJ56" s="118" t="s">
        <v>393</v>
      </c>
      <c r="BK56" s="118" t="s">
        <v>6988</v>
      </c>
      <c r="BL56" s="118" t="s">
        <v>6415</v>
      </c>
      <c r="BM56" s="118" t="s">
        <v>6992</v>
      </c>
      <c r="BN56" s="118" t="s">
        <v>6991</v>
      </c>
      <c r="BO56" s="118" t="s">
        <v>6415</v>
      </c>
      <c r="BP56" s="118" t="s">
        <v>6415</v>
      </c>
      <c r="BQ56" s="118" t="s">
        <v>6415</v>
      </c>
      <c r="BR56" s="118" t="s">
        <v>6415</v>
      </c>
      <c r="BS56" s="118" t="s">
        <v>6415</v>
      </c>
      <c r="BT56" s="118" t="s">
        <v>7045</v>
      </c>
      <c r="BU56" s="118" t="s">
        <v>6991</v>
      </c>
      <c r="BV56" s="118" t="s">
        <v>6415</v>
      </c>
      <c r="BW56" s="118" t="s">
        <v>6415</v>
      </c>
      <c r="BX56" s="118" t="s">
        <v>6415</v>
      </c>
      <c r="BY56" s="118" t="s">
        <v>6415</v>
      </c>
      <c r="BZ56" s="118" t="s">
        <v>6415</v>
      </c>
      <c r="CA56" s="118" t="s">
        <v>6415</v>
      </c>
      <c r="CB56" s="118" t="s">
        <v>221</v>
      </c>
      <c r="CC56" s="118" t="s">
        <v>740</v>
      </c>
      <c r="CD56" s="118">
        <v>1</v>
      </c>
      <c r="CE56" s="118" t="s">
        <v>445</v>
      </c>
      <c r="CF56" s="118" t="s">
        <v>446</v>
      </c>
      <c r="CG56" s="118" t="s">
        <v>924</v>
      </c>
      <c r="CH56" s="118" t="s">
        <v>6300</v>
      </c>
      <c r="CI56" s="118" t="s">
        <v>6303</v>
      </c>
      <c r="CJ56" s="118" t="s">
        <v>398</v>
      </c>
      <c r="CK56" s="118">
        <v>0</v>
      </c>
      <c r="CL56" s="118">
        <v>25</v>
      </c>
      <c r="CM56" s="118" t="s">
        <v>399</v>
      </c>
      <c r="CN56" s="118" t="s">
        <v>407</v>
      </c>
      <c r="CO56" s="118" t="s">
        <v>461</v>
      </c>
      <c r="CP56" s="118" t="s">
        <v>461</v>
      </c>
      <c r="CQ56" s="118" t="s">
        <v>461</v>
      </c>
      <c r="CR56" s="118" t="s">
        <v>450</v>
      </c>
      <c r="CS56" s="118" t="s">
        <v>6415</v>
      </c>
      <c r="CT56" s="118" t="s">
        <v>6415</v>
      </c>
      <c r="CU56" s="118" t="s">
        <v>6415</v>
      </c>
      <c r="CV56" s="118" t="s">
        <v>6415</v>
      </c>
      <c r="CW56" s="118">
        <v>23</v>
      </c>
      <c r="CX56" s="118" t="s">
        <v>1068</v>
      </c>
      <c r="CY56" s="118" t="s">
        <v>6341</v>
      </c>
      <c r="CZ56" s="118">
        <v>2</v>
      </c>
      <c r="DA56" s="118" t="s">
        <v>406</v>
      </c>
      <c r="DB56" s="118" t="s">
        <v>405</v>
      </c>
      <c r="DC56" s="118" t="s">
        <v>6415</v>
      </c>
      <c r="DD56" s="118" t="s">
        <v>6302</v>
      </c>
      <c r="DE56" s="118" t="s">
        <v>6304</v>
      </c>
      <c r="DF56" s="118" t="s">
        <v>398</v>
      </c>
      <c r="DG56" s="118">
        <v>0</v>
      </c>
      <c r="DH56" s="118">
        <v>25</v>
      </c>
      <c r="DI56" s="118" t="s">
        <v>429</v>
      </c>
      <c r="DJ56" s="118" t="s">
        <v>398</v>
      </c>
      <c r="DK56" s="118" t="s">
        <v>400</v>
      </c>
      <c r="DL56" s="118" t="s">
        <v>6415</v>
      </c>
      <c r="DM56" s="118" t="s">
        <v>6415</v>
      </c>
      <c r="DN56" s="118" t="s">
        <v>6415</v>
      </c>
      <c r="DO56" s="118" t="s">
        <v>6415</v>
      </c>
      <c r="DP56" s="118" t="s">
        <v>6415</v>
      </c>
      <c r="DQ56" s="118" t="s">
        <v>6415</v>
      </c>
      <c r="DR56" s="118">
        <v>0</v>
      </c>
      <c r="DS56" s="118" t="s">
        <v>6415</v>
      </c>
      <c r="DT56" s="118" t="s">
        <v>6415</v>
      </c>
      <c r="DU56" s="118" t="s">
        <v>6415</v>
      </c>
      <c r="DV56" s="118" t="s">
        <v>6415</v>
      </c>
      <c r="DW56" s="118" t="s">
        <v>6415</v>
      </c>
      <c r="DX56" s="118" t="s">
        <v>6415</v>
      </c>
      <c r="DY56" s="118" t="s">
        <v>6415</v>
      </c>
      <c r="DZ56" s="118" t="s">
        <v>6415</v>
      </c>
      <c r="EA56" s="118" t="s">
        <v>6415</v>
      </c>
      <c r="EB56" s="118" t="s">
        <v>6415</v>
      </c>
      <c r="EC56" s="118" t="s">
        <v>6415</v>
      </c>
      <c r="ED56" s="118" t="s">
        <v>6415</v>
      </c>
      <c r="EE56" s="118" t="s">
        <v>6415</v>
      </c>
      <c r="EF56" s="118" t="s">
        <v>6415</v>
      </c>
      <c r="EG56" s="118" t="s">
        <v>7043</v>
      </c>
      <c r="EH56" s="118" t="s">
        <v>7044</v>
      </c>
      <c r="EI56" s="118" t="s">
        <v>6415</v>
      </c>
      <c r="EJ56" s="118" t="s">
        <v>6415</v>
      </c>
      <c r="EK56" s="118" t="s">
        <v>6415</v>
      </c>
      <c r="EL56" s="118" t="s">
        <v>7467</v>
      </c>
      <c r="EM56" s="118" t="s">
        <v>7077</v>
      </c>
      <c r="EN56" s="118" t="s">
        <v>6415</v>
      </c>
      <c r="EO56" s="6" t="str">
        <f t="shared" si="10"/>
        <v>Pathweb</v>
      </c>
      <c r="EP56" s="6" t="str">
        <f t="shared" si="11"/>
        <v>Google Maps</v>
      </c>
      <c r="EQ56" s="6" t="str">
        <f t="shared" si="12"/>
        <v>Mashed Map</v>
      </c>
      <c r="ER56" s="118" t="s">
        <v>6726</v>
      </c>
      <c r="ES56" s="118" t="s">
        <v>71</v>
      </c>
      <c r="ET56" s="4">
        <v>0</v>
      </c>
      <c r="EU56" s="4"/>
      <c r="EV56" s="4"/>
    </row>
    <row r="57" spans="1:152" x14ac:dyDescent="0.15">
      <c r="A57" s="581" t="str">
        <f t="shared" si="9"/>
        <v>Crash Report</v>
      </c>
      <c r="B57" s="14">
        <v>20213111755</v>
      </c>
      <c r="C57" s="118">
        <v>2021</v>
      </c>
      <c r="D57" s="14">
        <v>21062428521750</v>
      </c>
      <c r="F57" s="118" t="s">
        <v>6442</v>
      </c>
      <c r="G57" s="118" t="s">
        <v>390</v>
      </c>
      <c r="H57" s="118">
        <v>2</v>
      </c>
      <c r="I57" s="118" t="s">
        <v>6055</v>
      </c>
      <c r="J57" s="118" t="s">
        <v>391</v>
      </c>
      <c r="K57" s="118" t="s">
        <v>6997</v>
      </c>
      <c r="L57" s="118">
        <v>0.78700000000000003</v>
      </c>
      <c r="M57" s="118">
        <v>0.78700000000000003</v>
      </c>
      <c r="N57" s="118" t="s">
        <v>7469</v>
      </c>
      <c r="O57" s="118" t="s">
        <v>7483</v>
      </c>
      <c r="P57" s="118">
        <v>41.649349999999998</v>
      </c>
      <c r="Q57" s="118">
        <v>-83.524348000000003</v>
      </c>
      <c r="R57" s="118">
        <v>77000</v>
      </c>
      <c r="S57" s="118" t="s">
        <v>6988</v>
      </c>
      <c r="T57" s="118">
        <v>1</v>
      </c>
      <c r="U57" s="118">
        <v>0</v>
      </c>
      <c r="V57" s="118">
        <v>0</v>
      </c>
      <c r="W57" s="118">
        <v>0</v>
      </c>
      <c r="X57" s="118">
        <v>0</v>
      </c>
      <c r="Y57" s="118">
        <v>4</v>
      </c>
      <c r="Z57" s="118">
        <v>0</v>
      </c>
      <c r="AA57" s="118">
        <v>2</v>
      </c>
      <c r="AB57" s="118" t="s">
        <v>1067</v>
      </c>
      <c r="AC57" s="118" t="s">
        <v>6989</v>
      </c>
      <c r="AD57" s="118" t="s">
        <v>1034</v>
      </c>
      <c r="AE57" s="118" t="s">
        <v>943</v>
      </c>
      <c r="AF57" s="118" t="s">
        <v>1041</v>
      </c>
      <c r="AG57" s="118" t="s">
        <v>6415</v>
      </c>
      <c r="AH57" s="118" t="s">
        <v>393</v>
      </c>
      <c r="AI57" s="118">
        <v>2</v>
      </c>
      <c r="AJ57" s="118" t="s">
        <v>6415</v>
      </c>
      <c r="AK57" s="118" t="s">
        <v>393</v>
      </c>
      <c r="AL57" s="118" t="s">
        <v>393</v>
      </c>
      <c r="AM57" s="118" t="s">
        <v>393</v>
      </c>
      <c r="AN57" s="402" t="s">
        <v>5975</v>
      </c>
      <c r="AO57" s="402">
        <v>44371</v>
      </c>
      <c r="AP57" s="118">
        <v>6</v>
      </c>
      <c r="AQ57" s="118">
        <v>17</v>
      </c>
      <c r="AR57" s="118" t="s">
        <v>6447</v>
      </c>
      <c r="AS57" s="118" t="s">
        <v>392</v>
      </c>
      <c r="AT57" s="118" t="s">
        <v>500</v>
      </c>
      <c r="AU57" s="118" t="s">
        <v>404</v>
      </c>
      <c r="AV57" s="118" t="s">
        <v>508</v>
      </c>
      <c r="AW57" s="118" t="s">
        <v>393</v>
      </c>
      <c r="AX57" s="118" t="s">
        <v>393</v>
      </c>
      <c r="AY57" s="118" t="s">
        <v>393</v>
      </c>
      <c r="AZ57" s="118" t="s">
        <v>393</v>
      </c>
      <c r="BA57" s="118" t="s">
        <v>393</v>
      </c>
      <c r="BB57" s="118" t="s">
        <v>393</v>
      </c>
      <c r="BC57" s="118" t="s">
        <v>393</v>
      </c>
      <c r="BD57" s="118" t="s">
        <v>393</v>
      </c>
      <c r="BE57" s="118" t="s">
        <v>393</v>
      </c>
      <c r="BF57" s="118" t="s">
        <v>740</v>
      </c>
      <c r="BG57" s="118" t="s">
        <v>393</v>
      </c>
      <c r="BH57" s="118" t="s">
        <v>394</v>
      </c>
      <c r="BI57" s="118" t="s">
        <v>394</v>
      </c>
      <c r="BJ57" s="118" t="s">
        <v>393</v>
      </c>
      <c r="BK57" s="118" t="s">
        <v>6988</v>
      </c>
      <c r="BL57" s="118" t="s">
        <v>6415</v>
      </c>
      <c r="BM57" s="118" t="s">
        <v>6992</v>
      </c>
      <c r="BN57" s="118" t="s">
        <v>6991</v>
      </c>
      <c r="BO57" s="118" t="s">
        <v>6415</v>
      </c>
      <c r="BP57" s="118" t="s">
        <v>6415</v>
      </c>
      <c r="BQ57" s="118" t="s">
        <v>6415</v>
      </c>
      <c r="BR57" s="118" t="s">
        <v>6415</v>
      </c>
      <c r="BS57" s="118" t="s">
        <v>6415</v>
      </c>
      <c r="BT57" s="118" t="s">
        <v>4748</v>
      </c>
      <c r="BU57" s="118" t="s">
        <v>7057</v>
      </c>
      <c r="BV57" s="118" t="s">
        <v>6415</v>
      </c>
      <c r="BW57" s="118" t="s">
        <v>6415</v>
      </c>
      <c r="BX57" s="118" t="s">
        <v>6415</v>
      </c>
      <c r="BY57" s="118" t="s">
        <v>6415</v>
      </c>
      <c r="BZ57" s="118" t="s">
        <v>6415</v>
      </c>
      <c r="CA57" s="118" t="s">
        <v>6415</v>
      </c>
      <c r="CB57" s="118" t="s">
        <v>221</v>
      </c>
      <c r="CC57" s="118" t="s">
        <v>740</v>
      </c>
      <c r="CD57" s="118">
        <v>1</v>
      </c>
      <c r="CE57" s="118" t="s">
        <v>406</v>
      </c>
      <c r="CF57" s="118" t="s">
        <v>405</v>
      </c>
      <c r="CG57" s="118" t="s">
        <v>924</v>
      </c>
      <c r="CH57" s="118" t="s">
        <v>6302</v>
      </c>
      <c r="CI57" s="118" t="s">
        <v>417</v>
      </c>
      <c r="CJ57" s="118" t="s">
        <v>398</v>
      </c>
      <c r="CK57" s="14">
        <v>30</v>
      </c>
      <c r="CL57" s="118">
        <v>30</v>
      </c>
      <c r="CM57" s="118" t="s">
        <v>399</v>
      </c>
      <c r="CN57" s="118" t="s">
        <v>6512</v>
      </c>
      <c r="CO57" s="118" t="s">
        <v>1096</v>
      </c>
      <c r="CP57" s="118" t="s">
        <v>400</v>
      </c>
      <c r="CQ57" s="118" t="s">
        <v>6415</v>
      </c>
      <c r="CR57" s="118" t="s">
        <v>6415</v>
      </c>
      <c r="CS57" s="118" t="s">
        <v>6415</v>
      </c>
      <c r="CT57" s="118" t="s">
        <v>6415</v>
      </c>
      <c r="CU57" s="118" t="s">
        <v>6415</v>
      </c>
      <c r="CV57" s="118" t="s">
        <v>6415</v>
      </c>
      <c r="CW57" s="14">
        <v>21</v>
      </c>
      <c r="CX57" s="118" t="s">
        <v>1066</v>
      </c>
      <c r="CY57" s="118" t="s">
        <v>6341</v>
      </c>
      <c r="CZ57" s="118">
        <v>2</v>
      </c>
      <c r="DA57" s="118" t="s">
        <v>406</v>
      </c>
      <c r="DB57" s="118" t="s">
        <v>405</v>
      </c>
      <c r="DC57" s="118" t="s">
        <v>6415</v>
      </c>
      <c r="DD57" s="118" t="s">
        <v>6302</v>
      </c>
      <c r="DE57" s="118" t="s">
        <v>6303</v>
      </c>
      <c r="DF57" s="118" t="s">
        <v>398</v>
      </c>
      <c r="DG57" s="14">
        <v>30</v>
      </c>
      <c r="DH57" s="118">
        <v>30</v>
      </c>
      <c r="DI57" s="118" t="s">
        <v>399</v>
      </c>
      <c r="DJ57" s="118" t="s">
        <v>398</v>
      </c>
      <c r="DK57" s="118" t="s">
        <v>400</v>
      </c>
      <c r="DL57" s="118" t="s">
        <v>6415</v>
      </c>
      <c r="DM57" s="118" t="s">
        <v>6415</v>
      </c>
      <c r="DN57" s="118" t="s">
        <v>6415</v>
      </c>
      <c r="DO57" s="118" t="s">
        <v>6415</v>
      </c>
      <c r="DP57" s="118" t="s">
        <v>6415</v>
      </c>
      <c r="DQ57" s="118" t="s">
        <v>6415</v>
      </c>
      <c r="DR57" s="118">
        <v>36</v>
      </c>
      <c r="DS57" s="118" t="s">
        <v>1066</v>
      </c>
      <c r="DT57" s="118" t="s">
        <v>6341</v>
      </c>
      <c r="DU57" s="118" t="s">
        <v>6415</v>
      </c>
      <c r="DV57" s="118" t="s">
        <v>6415</v>
      </c>
      <c r="DW57" s="118" t="s">
        <v>6415</v>
      </c>
      <c r="DX57" s="118" t="s">
        <v>6415</v>
      </c>
      <c r="DY57" s="118" t="s">
        <v>6415</v>
      </c>
      <c r="DZ57" s="118" t="s">
        <v>6415</v>
      </c>
      <c r="EA57" s="118" t="s">
        <v>6415</v>
      </c>
      <c r="EB57" s="118" t="s">
        <v>6415</v>
      </c>
      <c r="EC57" s="118" t="s">
        <v>6415</v>
      </c>
      <c r="ED57" s="118" t="s">
        <v>6415</v>
      </c>
      <c r="EE57" s="118" t="s">
        <v>6415</v>
      </c>
      <c r="EF57" s="118" t="s">
        <v>6415</v>
      </c>
      <c r="EG57" s="118" t="s">
        <v>6415</v>
      </c>
      <c r="EH57" s="118" t="s">
        <v>6415</v>
      </c>
      <c r="EI57" s="118" t="s">
        <v>6415</v>
      </c>
      <c r="EJ57" s="118" t="s">
        <v>6415</v>
      </c>
      <c r="EK57" s="118" t="s">
        <v>6415</v>
      </c>
      <c r="EL57" s="118" t="s">
        <v>7467</v>
      </c>
      <c r="EM57" s="118" t="s">
        <v>7078</v>
      </c>
      <c r="EN57" s="118" t="s">
        <v>6415</v>
      </c>
      <c r="EO57" s="6" t="str">
        <f t="shared" si="10"/>
        <v>Pathweb</v>
      </c>
      <c r="EP57" s="6" t="str">
        <f t="shared" si="11"/>
        <v>Google Maps</v>
      </c>
      <c r="EQ57" s="6" t="str">
        <f t="shared" si="12"/>
        <v>Mashed Map</v>
      </c>
      <c r="ER57" s="118" t="s">
        <v>6727</v>
      </c>
      <c r="ES57" s="118" t="s">
        <v>71</v>
      </c>
      <c r="ET57" s="4">
        <v>9.5000000000000001E-2</v>
      </c>
      <c r="EU57" s="4"/>
      <c r="EV57" s="4"/>
    </row>
    <row r="58" spans="1:152" x14ac:dyDescent="0.15">
      <c r="A58" s="581" t="str">
        <f t="shared" si="9"/>
        <v>Crash Report</v>
      </c>
      <c r="B58" s="14">
        <v>20213112435</v>
      </c>
      <c r="C58" s="118">
        <v>2021</v>
      </c>
      <c r="D58" s="14">
        <v>21061726791700</v>
      </c>
      <c r="F58" s="118" t="s">
        <v>6442</v>
      </c>
      <c r="G58" s="118" t="s">
        <v>390</v>
      </c>
      <c r="H58" s="118">
        <v>2</v>
      </c>
      <c r="I58" s="118" t="s">
        <v>6055</v>
      </c>
      <c r="J58" s="118" t="s">
        <v>391</v>
      </c>
      <c r="K58" s="118" t="s">
        <v>6985</v>
      </c>
      <c r="L58" s="118">
        <v>0.51300000000000001</v>
      </c>
      <c r="M58" s="118">
        <v>0.51300000000000001</v>
      </c>
      <c r="N58" s="118" t="s">
        <v>7465</v>
      </c>
      <c r="O58" s="118" t="s">
        <v>7468</v>
      </c>
      <c r="P58" s="118">
        <v>41.651800000000001</v>
      </c>
      <c r="Q58" s="118">
        <v>-83.518060000000006</v>
      </c>
      <c r="R58" s="118">
        <v>77000</v>
      </c>
      <c r="S58" s="118" t="s">
        <v>6988</v>
      </c>
      <c r="T58" s="118">
        <v>1</v>
      </c>
      <c r="U58" s="118">
        <v>0</v>
      </c>
      <c r="V58" s="118">
        <v>0</v>
      </c>
      <c r="W58" s="118">
        <v>0</v>
      </c>
      <c r="X58" s="118">
        <v>0</v>
      </c>
      <c r="Y58" s="118">
        <v>2</v>
      </c>
      <c r="Z58" s="118">
        <v>0</v>
      </c>
      <c r="AA58" s="118">
        <v>2</v>
      </c>
      <c r="AB58" s="118" t="s">
        <v>1067</v>
      </c>
      <c r="AC58" s="118" t="s">
        <v>6989</v>
      </c>
      <c r="AD58" s="118" t="s">
        <v>1034</v>
      </c>
      <c r="AE58" s="118" t="s">
        <v>943</v>
      </c>
      <c r="AF58" s="118" t="s">
        <v>1041</v>
      </c>
      <c r="AG58" s="118" t="s">
        <v>6415</v>
      </c>
      <c r="AH58" s="118" t="s">
        <v>393</v>
      </c>
      <c r="AI58" s="118">
        <v>4</v>
      </c>
      <c r="AJ58" s="118" t="s">
        <v>6415</v>
      </c>
      <c r="AK58" s="118" t="s">
        <v>393</v>
      </c>
      <c r="AL58" s="118" t="s">
        <v>393</v>
      </c>
      <c r="AM58" s="118" t="s">
        <v>393</v>
      </c>
      <c r="AN58" s="402" t="s">
        <v>5975</v>
      </c>
      <c r="AO58" s="402">
        <v>44364</v>
      </c>
      <c r="AP58" s="118">
        <v>6</v>
      </c>
      <c r="AQ58" s="118">
        <v>17</v>
      </c>
      <c r="AR58" s="118" t="s">
        <v>6447</v>
      </c>
      <c r="AS58" s="118" t="s">
        <v>392</v>
      </c>
      <c r="AT58" s="118" t="s">
        <v>500</v>
      </c>
      <c r="AU58" s="118" t="s">
        <v>404</v>
      </c>
      <c r="AV58" s="118" t="s">
        <v>508</v>
      </c>
      <c r="AW58" s="118" t="s">
        <v>393</v>
      </c>
      <c r="AX58" s="118" t="s">
        <v>393</v>
      </c>
      <c r="AY58" s="118" t="s">
        <v>393</v>
      </c>
      <c r="AZ58" s="118" t="s">
        <v>393</v>
      </c>
      <c r="BA58" s="118" t="s">
        <v>393</v>
      </c>
      <c r="BB58" s="118" t="s">
        <v>393</v>
      </c>
      <c r="BC58" s="118" t="s">
        <v>393</v>
      </c>
      <c r="BD58" s="118" t="s">
        <v>740</v>
      </c>
      <c r="BE58" s="118" t="s">
        <v>393</v>
      </c>
      <c r="BF58" s="118" t="s">
        <v>393</v>
      </c>
      <c r="BG58" s="118" t="s">
        <v>393</v>
      </c>
      <c r="BH58" s="118" t="s">
        <v>394</v>
      </c>
      <c r="BI58" s="118" t="s">
        <v>394</v>
      </c>
      <c r="BJ58" s="118" t="s">
        <v>393</v>
      </c>
      <c r="BK58" s="118" t="s">
        <v>6988</v>
      </c>
      <c r="BL58" s="118" t="s">
        <v>6415</v>
      </c>
      <c r="BM58" s="118" t="s">
        <v>6990</v>
      </c>
      <c r="BN58" s="118" t="s">
        <v>6991</v>
      </c>
      <c r="BO58" s="118" t="s">
        <v>6415</v>
      </c>
      <c r="BP58" s="118" t="s">
        <v>6415</v>
      </c>
      <c r="BQ58" s="118" t="s">
        <v>6415</v>
      </c>
      <c r="BR58" s="118" t="s">
        <v>6415</v>
      </c>
      <c r="BS58" s="118" t="s">
        <v>261</v>
      </c>
      <c r="BT58" s="118" t="s">
        <v>1791</v>
      </c>
      <c r="BU58" s="118" t="s">
        <v>6991</v>
      </c>
      <c r="BV58" s="118" t="s">
        <v>6415</v>
      </c>
      <c r="BW58" s="118" t="s">
        <v>6415</v>
      </c>
      <c r="BX58" s="118" t="s">
        <v>6415</v>
      </c>
      <c r="BY58" s="118" t="s">
        <v>6415</v>
      </c>
      <c r="BZ58" s="118" t="s">
        <v>6415</v>
      </c>
      <c r="CA58" s="118" t="s">
        <v>6415</v>
      </c>
      <c r="CB58" s="118" t="s">
        <v>221</v>
      </c>
      <c r="CC58" s="118" t="s">
        <v>740</v>
      </c>
      <c r="CD58" s="118">
        <v>2</v>
      </c>
      <c r="CE58" s="118" t="s">
        <v>406</v>
      </c>
      <c r="CF58" s="118" t="s">
        <v>405</v>
      </c>
      <c r="CG58" s="118" t="s">
        <v>924</v>
      </c>
      <c r="CH58" s="118" t="s">
        <v>6302</v>
      </c>
      <c r="CI58" s="118" t="s">
        <v>6303</v>
      </c>
      <c r="CJ58" s="118" t="s">
        <v>398</v>
      </c>
      <c r="CK58" s="14">
        <v>0</v>
      </c>
      <c r="CL58" s="118">
        <v>0</v>
      </c>
      <c r="CM58" s="118" t="s">
        <v>399</v>
      </c>
      <c r="CN58" s="118" t="s">
        <v>425</v>
      </c>
      <c r="CO58" s="118" t="s">
        <v>1096</v>
      </c>
      <c r="CP58" s="118" t="s">
        <v>400</v>
      </c>
      <c r="CQ58" s="118" t="s">
        <v>6415</v>
      </c>
      <c r="CR58" s="118" t="s">
        <v>6415</v>
      </c>
      <c r="CS58" s="118" t="s">
        <v>6415</v>
      </c>
      <c r="CT58" s="118" t="s">
        <v>6415</v>
      </c>
      <c r="CU58" s="118" t="s">
        <v>6415</v>
      </c>
      <c r="CV58" s="118" t="s">
        <v>6415</v>
      </c>
      <c r="CW58" s="14">
        <v>34</v>
      </c>
      <c r="CX58" s="118" t="s">
        <v>1066</v>
      </c>
      <c r="CY58" s="118" t="s">
        <v>6341</v>
      </c>
      <c r="CZ58" s="118">
        <v>1</v>
      </c>
      <c r="DA58" s="118" t="s">
        <v>406</v>
      </c>
      <c r="DB58" s="118" t="s">
        <v>405</v>
      </c>
      <c r="DC58" s="118" t="s">
        <v>6415</v>
      </c>
      <c r="DD58" s="118" t="s">
        <v>6302</v>
      </c>
      <c r="DE58" s="118" t="s">
        <v>6303</v>
      </c>
      <c r="DF58" s="118" t="s">
        <v>398</v>
      </c>
      <c r="DG58" s="14">
        <v>25</v>
      </c>
      <c r="DH58" s="118">
        <v>35</v>
      </c>
      <c r="DI58" s="118" t="s">
        <v>399</v>
      </c>
      <c r="DJ58" s="118" t="s">
        <v>398</v>
      </c>
      <c r="DK58" s="118" t="s">
        <v>400</v>
      </c>
      <c r="DL58" s="118" t="s">
        <v>6415</v>
      </c>
      <c r="DM58" s="118" t="s">
        <v>6415</v>
      </c>
      <c r="DN58" s="118" t="s">
        <v>6415</v>
      </c>
      <c r="DO58" s="118" t="s">
        <v>6415</v>
      </c>
      <c r="DP58" s="118" t="s">
        <v>6415</v>
      </c>
      <c r="DQ58" s="118" t="s">
        <v>6415</v>
      </c>
      <c r="DR58" s="118">
        <v>36</v>
      </c>
      <c r="DS58" s="118" t="s">
        <v>1068</v>
      </c>
      <c r="DT58" s="118" t="s">
        <v>6341</v>
      </c>
      <c r="DU58" s="118" t="s">
        <v>6415</v>
      </c>
      <c r="DV58" s="118" t="s">
        <v>6415</v>
      </c>
      <c r="DW58" s="118" t="s">
        <v>6415</v>
      </c>
      <c r="DX58" s="118" t="s">
        <v>6415</v>
      </c>
      <c r="DY58" s="118" t="s">
        <v>6415</v>
      </c>
      <c r="DZ58" s="118" t="s">
        <v>6415</v>
      </c>
      <c r="EA58" s="118" t="s">
        <v>6415</v>
      </c>
      <c r="EB58" s="118" t="s">
        <v>6415</v>
      </c>
      <c r="EC58" s="118" t="s">
        <v>6415</v>
      </c>
      <c r="ED58" s="118" t="s">
        <v>6415</v>
      </c>
      <c r="EE58" s="118" t="s">
        <v>6415</v>
      </c>
      <c r="EF58" s="118" t="s">
        <v>6415</v>
      </c>
      <c r="EG58" s="118" t="s">
        <v>6994</v>
      </c>
      <c r="EH58" s="118" t="s">
        <v>6995</v>
      </c>
      <c r="EI58" s="118" t="s">
        <v>6415</v>
      </c>
      <c r="EJ58" s="118" t="s">
        <v>6415</v>
      </c>
      <c r="EK58" s="118" t="s">
        <v>6415</v>
      </c>
      <c r="EL58" s="118" t="s">
        <v>7467</v>
      </c>
      <c r="EM58" s="118" t="s">
        <v>7079</v>
      </c>
      <c r="EN58" s="118" t="s">
        <v>6415</v>
      </c>
      <c r="EO58" s="6" t="str">
        <f t="shared" si="10"/>
        <v>Pathweb</v>
      </c>
      <c r="EP58" s="6" t="str">
        <f t="shared" si="11"/>
        <v>Google Maps</v>
      </c>
      <c r="EQ58" s="6" t="str">
        <f t="shared" si="12"/>
        <v>Mashed Map</v>
      </c>
      <c r="ER58" s="118" t="s">
        <v>6727</v>
      </c>
      <c r="ES58" s="118" t="s">
        <v>71</v>
      </c>
      <c r="ET58" s="4">
        <v>0</v>
      </c>
      <c r="EU58" s="4"/>
      <c r="EV58" s="4"/>
    </row>
    <row r="59" spans="1:152" x14ac:dyDescent="0.15">
      <c r="A59" s="581" t="str">
        <f t="shared" si="9"/>
        <v>Crash Report</v>
      </c>
      <c r="B59" s="118">
        <v>20213116818</v>
      </c>
      <c r="C59" s="118">
        <v>2021</v>
      </c>
      <c r="D59" s="118">
        <v>202105202</v>
      </c>
      <c r="F59" s="118" t="s">
        <v>6439</v>
      </c>
      <c r="G59" s="118" t="s">
        <v>230</v>
      </c>
      <c r="H59" s="118">
        <v>2</v>
      </c>
      <c r="I59" s="118" t="s">
        <v>6055</v>
      </c>
      <c r="J59" s="118" t="s">
        <v>391</v>
      </c>
      <c r="K59" s="118" t="s">
        <v>6985</v>
      </c>
      <c r="L59" s="118">
        <v>0.25600000000000001</v>
      </c>
      <c r="M59" s="118">
        <v>0.25600000000000001</v>
      </c>
      <c r="N59" s="118" t="s">
        <v>7465</v>
      </c>
      <c r="O59" s="118">
        <v>708</v>
      </c>
      <c r="P59" s="118">
        <v>41.649506000000002</v>
      </c>
      <c r="Q59" s="118">
        <v>-83.521874999999994</v>
      </c>
      <c r="R59" s="118">
        <v>77000</v>
      </c>
      <c r="S59" s="118" t="s">
        <v>6988</v>
      </c>
      <c r="T59" s="118">
        <v>1</v>
      </c>
      <c r="U59" s="118">
        <v>0</v>
      </c>
      <c r="V59" s="118">
        <v>2</v>
      </c>
      <c r="W59" s="118">
        <v>0</v>
      </c>
      <c r="X59" s="118">
        <v>0</v>
      </c>
      <c r="Y59" s="118">
        <v>2</v>
      </c>
      <c r="Z59" s="118">
        <v>0</v>
      </c>
      <c r="AA59" s="118">
        <v>2</v>
      </c>
      <c r="AB59" s="118" t="s">
        <v>1067</v>
      </c>
      <c r="AC59" s="118" t="s">
        <v>6989</v>
      </c>
      <c r="AD59" s="118" t="s">
        <v>1034</v>
      </c>
      <c r="AE59" s="118" t="s">
        <v>943</v>
      </c>
      <c r="AF59" s="118" t="s">
        <v>1041</v>
      </c>
      <c r="AG59" s="118" t="s">
        <v>6415</v>
      </c>
      <c r="AH59" s="118" t="s">
        <v>393</v>
      </c>
      <c r="AI59" s="118">
        <v>4</v>
      </c>
      <c r="AJ59" s="118" t="s">
        <v>6415</v>
      </c>
      <c r="AK59" s="118" t="s">
        <v>393</v>
      </c>
      <c r="AL59" s="118" t="s">
        <v>393</v>
      </c>
      <c r="AM59" s="118" t="s">
        <v>393</v>
      </c>
      <c r="AN59" s="402" t="s">
        <v>5975</v>
      </c>
      <c r="AO59" s="402">
        <v>44380</v>
      </c>
      <c r="AP59" s="118">
        <v>7</v>
      </c>
      <c r="AQ59" s="118">
        <v>0</v>
      </c>
      <c r="AR59" s="118" t="s">
        <v>6449</v>
      </c>
      <c r="AS59" s="118" t="s">
        <v>392</v>
      </c>
      <c r="AT59" s="118" t="s">
        <v>500</v>
      </c>
      <c r="AU59" s="118" t="s">
        <v>505</v>
      </c>
      <c r="AV59" s="118" t="s">
        <v>509</v>
      </c>
      <c r="AW59" s="118" t="s">
        <v>393</v>
      </c>
      <c r="AX59" s="118" t="s">
        <v>393</v>
      </c>
      <c r="AY59" s="118" t="s">
        <v>740</v>
      </c>
      <c r="AZ59" s="118" t="s">
        <v>393</v>
      </c>
      <c r="BA59" s="118" t="s">
        <v>393</v>
      </c>
      <c r="BB59" s="118" t="s">
        <v>393</v>
      </c>
      <c r="BC59" s="118" t="s">
        <v>740</v>
      </c>
      <c r="BD59" s="118" t="s">
        <v>740</v>
      </c>
      <c r="BE59" s="118" t="s">
        <v>393</v>
      </c>
      <c r="BF59" s="118" t="s">
        <v>393</v>
      </c>
      <c r="BG59" s="118" t="s">
        <v>393</v>
      </c>
      <c r="BH59" s="118" t="s">
        <v>394</v>
      </c>
      <c r="BI59" s="118" t="s">
        <v>394</v>
      </c>
      <c r="BJ59" s="118" t="s">
        <v>393</v>
      </c>
      <c r="BK59" s="118" t="s">
        <v>6988</v>
      </c>
      <c r="BL59" s="118" t="s">
        <v>6415</v>
      </c>
      <c r="BM59" s="118" t="s">
        <v>6990</v>
      </c>
      <c r="BN59" s="118" t="s">
        <v>6991</v>
      </c>
      <c r="BO59" s="118" t="s">
        <v>6415</v>
      </c>
      <c r="BP59" s="118" t="s">
        <v>6415</v>
      </c>
      <c r="BQ59" s="118" t="s">
        <v>6415</v>
      </c>
      <c r="BR59" s="118" t="s">
        <v>6415</v>
      </c>
      <c r="BS59" s="118" t="s">
        <v>6415</v>
      </c>
      <c r="BT59" s="118" t="s">
        <v>7083</v>
      </c>
      <c r="BU59" s="118" t="s">
        <v>6415</v>
      </c>
      <c r="BV59" s="118" t="s">
        <v>6415</v>
      </c>
      <c r="BW59" s="118" t="s">
        <v>6415</v>
      </c>
      <c r="BX59" s="118" t="s">
        <v>6415</v>
      </c>
      <c r="BY59" s="118" t="s">
        <v>6415</v>
      </c>
      <c r="BZ59" s="118">
        <v>708</v>
      </c>
      <c r="CA59" s="118" t="s">
        <v>6415</v>
      </c>
      <c r="CB59" s="118" t="s">
        <v>422</v>
      </c>
      <c r="CC59" s="118" t="s">
        <v>393</v>
      </c>
      <c r="CD59" s="118">
        <v>1</v>
      </c>
      <c r="CE59" s="118" t="s">
        <v>410</v>
      </c>
      <c r="CF59" s="118" t="s">
        <v>446</v>
      </c>
      <c r="CG59" s="118" t="s">
        <v>230</v>
      </c>
      <c r="CH59" s="118" t="s">
        <v>6302</v>
      </c>
      <c r="CI59" s="118" t="s">
        <v>6303</v>
      </c>
      <c r="CJ59" s="118" t="s">
        <v>398</v>
      </c>
      <c r="CK59" s="118">
        <v>25</v>
      </c>
      <c r="CL59" s="118">
        <v>35</v>
      </c>
      <c r="CM59" s="118" t="s">
        <v>436</v>
      </c>
      <c r="CN59" s="118" t="s">
        <v>6327</v>
      </c>
      <c r="CO59" s="118" t="s">
        <v>1096</v>
      </c>
      <c r="CP59" s="118" t="s">
        <v>400</v>
      </c>
      <c r="CQ59" s="118" t="s">
        <v>6415</v>
      </c>
      <c r="CR59" s="118" t="s">
        <v>6415</v>
      </c>
      <c r="CS59" s="118" t="s">
        <v>6415</v>
      </c>
      <c r="CT59" s="118" t="s">
        <v>6415</v>
      </c>
      <c r="CU59" s="118" t="s">
        <v>6415</v>
      </c>
      <c r="CV59" s="118" t="s">
        <v>6415</v>
      </c>
      <c r="CW59" s="118">
        <v>34</v>
      </c>
      <c r="CX59" s="118" t="s">
        <v>1066</v>
      </c>
      <c r="CY59" s="118" t="s">
        <v>6151</v>
      </c>
      <c r="CZ59" s="118">
        <v>2</v>
      </c>
      <c r="DA59" s="118" t="s">
        <v>411</v>
      </c>
      <c r="DB59" s="118" t="s">
        <v>410</v>
      </c>
      <c r="DC59" s="118" t="s">
        <v>6415</v>
      </c>
      <c r="DD59" s="118" t="s">
        <v>6302</v>
      </c>
      <c r="DE59" s="118" t="s">
        <v>6308</v>
      </c>
      <c r="DF59" s="118" t="s">
        <v>398</v>
      </c>
      <c r="DG59" s="118" t="s">
        <v>6415</v>
      </c>
      <c r="DH59" s="118">
        <v>35</v>
      </c>
      <c r="DI59" s="118" t="s">
        <v>399</v>
      </c>
      <c r="DJ59" s="118" t="s">
        <v>425</v>
      </c>
      <c r="DK59" s="118" t="s">
        <v>400</v>
      </c>
      <c r="DL59" s="118" t="s">
        <v>6415</v>
      </c>
      <c r="DM59" s="118" t="s">
        <v>6415</v>
      </c>
      <c r="DN59" s="118" t="s">
        <v>6415</v>
      </c>
      <c r="DO59" s="118" t="s">
        <v>6415</v>
      </c>
      <c r="DP59" s="118" t="s">
        <v>6415</v>
      </c>
      <c r="DQ59" s="118" t="s">
        <v>6415</v>
      </c>
      <c r="DR59" s="118">
        <v>39</v>
      </c>
      <c r="DS59" s="118" t="s">
        <v>1068</v>
      </c>
      <c r="DT59" s="118" t="s">
        <v>6151</v>
      </c>
      <c r="DU59" s="118" t="s">
        <v>6415</v>
      </c>
      <c r="DV59" s="118" t="s">
        <v>6415</v>
      </c>
      <c r="DW59" s="118" t="s">
        <v>6415</v>
      </c>
      <c r="DX59" s="118" t="s">
        <v>6415</v>
      </c>
      <c r="DY59" s="118" t="s">
        <v>6415</v>
      </c>
      <c r="DZ59" s="118" t="s">
        <v>6415</v>
      </c>
      <c r="EA59" s="118" t="s">
        <v>6415</v>
      </c>
      <c r="EB59" s="118" t="s">
        <v>6415</v>
      </c>
      <c r="EC59" s="118" t="s">
        <v>6415</v>
      </c>
      <c r="ED59" s="118" t="s">
        <v>6415</v>
      </c>
      <c r="EE59" s="118" t="s">
        <v>6415</v>
      </c>
      <c r="EF59" s="118" t="s">
        <v>6415</v>
      </c>
      <c r="EG59" s="118" t="s">
        <v>7081</v>
      </c>
      <c r="EH59" s="118" t="s">
        <v>7082</v>
      </c>
      <c r="EI59" s="118" t="s">
        <v>6415</v>
      </c>
      <c r="EJ59" s="118" t="s">
        <v>6415</v>
      </c>
      <c r="EK59" s="118" t="s">
        <v>6415</v>
      </c>
      <c r="EL59" s="118" t="s">
        <v>7467</v>
      </c>
      <c r="EM59" s="118" t="s">
        <v>7080</v>
      </c>
      <c r="EN59" s="118" t="s">
        <v>6415</v>
      </c>
      <c r="EO59" s="6" t="str">
        <f t="shared" si="10"/>
        <v>Pathweb</v>
      </c>
      <c r="EP59" s="6" t="str">
        <f t="shared" si="11"/>
        <v>Google Maps</v>
      </c>
      <c r="EQ59" s="6" t="str">
        <f t="shared" si="12"/>
        <v>Mashed Map</v>
      </c>
      <c r="ER59" s="118" t="s">
        <v>6727</v>
      </c>
      <c r="ES59" s="118" t="s">
        <v>6728</v>
      </c>
      <c r="ET59" s="4">
        <v>0</v>
      </c>
      <c r="EU59" s="4"/>
      <c r="EV59" s="4"/>
    </row>
    <row r="60" spans="1:152" x14ac:dyDescent="0.15">
      <c r="A60" s="581" t="str">
        <f t="shared" si="9"/>
        <v>Crash Report</v>
      </c>
      <c r="B60" s="118">
        <v>20213122273</v>
      </c>
      <c r="C60" s="118">
        <v>2021</v>
      </c>
      <c r="D60" s="118">
        <v>21070925502245</v>
      </c>
      <c r="F60" s="118" t="s">
        <v>6442</v>
      </c>
      <c r="G60" s="118" t="s">
        <v>210</v>
      </c>
      <c r="H60" s="118">
        <v>2</v>
      </c>
      <c r="I60" s="118" t="s">
        <v>6055</v>
      </c>
      <c r="J60" s="118" t="s">
        <v>391</v>
      </c>
      <c r="K60" s="118" t="s">
        <v>6985</v>
      </c>
      <c r="L60" s="118">
        <v>0.51400000000000001</v>
      </c>
      <c r="M60" s="118">
        <v>0.51400000000000001</v>
      </c>
      <c r="N60" s="118" t="s">
        <v>7465</v>
      </c>
      <c r="O60" s="118">
        <v>1008</v>
      </c>
      <c r="P60" s="118">
        <v>41.651859000000002</v>
      </c>
      <c r="Q60" s="118">
        <v>-83.518018999999995</v>
      </c>
      <c r="R60" s="118">
        <v>77000</v>
      </c>
      <c r="S60" s="118" t="s">
        <v>6988</v>
      </c>
      <c r="T60" s="118">
        <v>1</v>
      </c>
      <c r="U60" s="118">
        <v>0</v>
      </c>
      <c r="V60" s="118">
        <v>0</v>
      </c>
      <c r="W60" s="118">
        <v>0</v>
      </c>
      <c r="X60" s="118">
        <v>0</v>
      </c>
      <c r="Y60" s="118">
        <v>1</v>
      </c>
      <c r="Z60" s="118">
        <v>0</v>
      </c>
      <c r="AA60" s="118">
        <v>2</v>
      </c>
      <c r="AB60" s="118" t="s">
        <v>1067</v>
      </c>
      <c r="AC60" s="118" t="s">
        <v>6989</v>
      </c>
      <c r="AD60" s="118" t="s">
        <v>1034</v>
      </c>
      <c r="AE60" s="118" t="s">
        <v>943</v>
      </c>
      <c r="AF60" s="118" t="s">
        <v>1041</v>
      </c>
      <c r="AG60" s="118" t="s">
        <v>6415</v>
      </c>
      <c r="AH60" s="118" t="s">
        <v>393</v>
      </c>
      <c r="AI60" s="118">
        <v>4</v>
      </c>
      <c r="AJ60" s="118" t="s">
        <v>6415</v>
      </c>
      <c r="AK60" s="118" t="s">
        <v>393</v>
      </c>
      <c r="AL60" s="118" t="s">
        <v>393</v>
      </c>
      <c r="AM60" s="118" t="s">
        <v>393</v>
      </c>
      <c r="AN60" s="402" t="s">
        <v>5975</v>
      </c>
      <c r="AO60" s="402">
        <v>44386</v>
      </c>
      <c r="AP60" s="118">
        <v>7</v>
      </c>
      <c r="AQ60" s="118">
        <v>22</v>
      </c>
      <c r="AR60" s="118" t="s">
        <v>6448</v>
      </c>
      <c r="AS60" s="118" t="s">
        <v>392</v>
      </c>
      <c r="AT60" s="118" t="s">
        <v>500</v>
      </c>
      <c r="AU60" s="118" t="s">
        <v>505</v>
      </c>
      <c r="AV60" s="118" t="s">
        <v>508</v>
      </c>
      <c r="AW60" s="118" t="s">
        <v>740</v>
      </c>
      <c r="AX60" s="118" t="s">
        <v>393</v>
      </c>
      <c r="AY60" s="118" t="s">
        <v>393</v>
      </c>
      <c r="AZ60" s="118" t="s">
        <v>393</v>
      </c>
      <c r="BA60" s="118" t="s">
        <v>393</v>
      </c>
      <c r="BB60" s="118" t="s">
        <v>393</v>
      </c>
      <c r="BC60" s="118" t="s">
        <v>393</v>
      </c>
      <c r="BD60" s="118" t="s">
        <v>393</v>
      </c>
      <c r="BE60" s="118" t="s">
        <v>393</v>
      </c>
      <c r="BF60" s="118" t="s">
        <v>740</v>
      </c>
      <c r="BG60" s="118" t="s">
        <v>393</v>
      </c>
      <c r="BH60" s="118" t="s">
        <v>394</v>
      </c>
      <c r="BI60" s="118" t="s">
        <v>394</v>
      </c>
      <c r="BJ60" s="118" t="s">
        <v>393</v>
      </c>
      <c r="BK60" s="118" t="s">
        <v>6988</v>
      </c>
      <c r="BL60" s="118" t="s">
        <v>6415</v>
      </c>
      <c r="BM60" s="118" t="s">
        <v>6990</v>
      </c>
      <c r="BN60" s="118" t="s">
        <v>6991</v>
      </c>
      <c r="BO60" s="118" t="s">
        <v>6415</v>
      </c>
      <c r="BP60" s="118" t="s">
        <v>6415</v>
      </c>
      <c r="BQ60" s="118" t="s">
        <v>6415</v>
      </c>
      <c r="BR60" s="118" t="s">
        <v>6415</v>
      </c>
      <c r="BS60" s="118" t="s">
        <v>6415</v>
      </c>
      <c r="BT60" s="118" t="s">
        <v>7085</v>
      </c>
      <c r="BU60" s="118" t="s">
        <v>6415</v>
      </c>
      <c r="BV60" s="118" t="s">
        <v>6415</v>
      </c>
      <c r="BW60" s="118" t="s">
        <v>6415</v>
      </c>
      <c r="BX60" s="118" t="s">
        <v>6415</v>
      </c>
      <c r="BY60" s="118" t="s">
        <v>6415</v>
      </c>
      <c r="BZ60" s="118">
        <v>1008</v>
      </c>
      <c r="CA60" s="118" t="s">
        <v>6415</v>
      </c>
      <c r="CB60" s="118" t="s">
        <v>422</v>
      </c>
      <c r="CC60" s="118" t="s">
        <v>740</v>
      </c>
      <c r="CD60" s="118">
        <v>2</v>
      </c>
      <c r="CE60" s="118" t="s">
        <v>410</v>
      </c>
      <c r="CF60" s="118" t="s">
        <v>411</v>
      </c>
      <c r="CG60" s="118" t="s">
        <v>924</v>
      </c>
      <c r="CH60" s="118" t="s">
        <v>6302</v>
      </c>
      <c r="CI60" s="118" t="s">
        <v>6303</v>
      </c>
      <c r="CJ60" s="118" t="s">
        <v>398</v>
      </c>
      <c r="CK60" s="14">
        <v>0</v>
      </c>
      <c r="CL60" s="118">
        <v>15</v>
      </c>
      <c r="CM60" s="118" t="s">
        <v>399</v>
      </c>
      <c r="CN60" s="118" t="s">
        <v>407</v>
      </c>
      <c r="CO60" s="118" t="s">
        <v>1096</v>
      </c>
      <c r="CP60" s="118" t="s">
        <v>450</v>
      </c>
      <c r="CQ60" s="118" t="s">
        <v>6415</v>
      </c>
      <c r="CR60" s="118" t="s">
        <v>6415</v>
      </c>
      <c r="CS60" s="118" t="s">
        <v>6415</v>
      </c>
      <c r="CT60" s="118" t="s">
        <v>6415</v>
      </c>
      <c r="CU60" s="118" t="s">
        <v>6415</v>
      </c>
      <c r="CV60" s="118" t="s">
        <v>6415</v>
      </c>
      <c r="CW60" s="14">
        <v>23</v>
      </c>
      <c r="CX60" s="118" t="s">
        <v>1066</v>
      </c>
      <c r="CY60" s="118" t="s">
        <v>6151</v>
      </c>
      <c r="CZ60" s="118">
        <v>1</v>
      </c>
      <c r="DA60" s="118" t="s">
        <v>406</v>
      </c>
      <c r="DB60" s="118" t="s">
        <v>405</v>
      </c>
      <c r="DC60" s="118" t="s">
        <v>6415</v>
      </c>
      <c r="DD60" s="118" t="s">
        <v>6302</v>
      </c>
      <c r="DE60" s="118" t="s">
        <v>417</v>
      </c>
      <c r="DF60" s="118" t="s">
        <v>398</v>
      </c>
      <c r="DG60" s="14" t="s">
        <v>6415</v>
      </c>
      <c r="DH60" s="118">
        <v>15</v>
      </c>
      <c r="DI60" s="118" t="s">
        <v>429</v>
      </c>
      <c r="DJ60" s="118" t="s">
        <v>398</v>
      </c>
      <c r="DK60" s="118" t="s">
        <v>400</v>
      </c>
      <c r="DL60" s="118" t="s">
        <v>455</v>
      </c>
      <c r="DM60" s="118" t="s">
        <v>6415</v>
      </c>
      <c r="DN60" s="118" t="s">
        <v>6415</v>
      </c>
      <c r="DO60" s="118" t="s">
        <v>6415</v>
      </c>
      <c r="DP60" s="118" t="s">
        <v>6415</v>
      </c>
      <c r="DQ60" s="118" t="s">
        <v>6415</v>
      </c>
      <c r="DR60" s="118">
        <v>0</v>
      </c>
      <c r="DS60" s="118" t="s">
        <v>6415</v>
      </c>
      <c r="DT60" s="118" t="s">
        <v>6415</v>
      </c>
      <c r="DU60" s="118" t="s">
        <v>6415</v>
      </c>
      <c r="DV60" s="118" t="s">
        <v>6415</v>
      </c>
      <c r="DW60" s="118" t="s">
        <v>6415</v>
      </c>
      <c r="DX60" s="118" t="s">
        <v>6415</v>
      </c>
      <c r="DY60" s="118" t="s">
        <v>6415</v>
      </c>
      <c r="DZ60" s="118" t="s">
        <v>6415</v>
      </c>
      <c r="EA60" s="118" t="s">
        <v>6415</v>
      </c>
      <c r="EB60" s="118" t="s">
        <v>6415</v>
      </c>
      <c r="EC60" s="118" t="s">
        <v>6415</v>
      </c>
      <c r="ED60" s="118" t="s">
        <v>6415</v>
      </c>
      <c r="EE60" s="118" t="s">
        <v>6415</v>
      </c>
      <c r="EF60" s="118" t="s">
        <v>6415</v>
      </c>
      <c r="EG60" s="118" t="s">
        <v>6994</v>
      </c>
      <c r="EH60" s="118" t="s">
        <v>6995</v>
      </c>
      <c r="EI60" s="118" t="s">
        <v>6415</v>
      </c>
      <c r="EJ60" s="118" t="s">
        <v>6415</v>
      </c>
      <c r="EK60" s="118" t="s">
        <v>6415</v>
      </c>
      <c r="EL60" s="118" t="s">
        <v>7467</v>
      </c>
      <c r="EM60" s="118" t="s">
        <v>7084</v>
      </c>
      <c r="EN60" s="118" t="s">
        <v>6415</v>
      </c>
      <c r="EO60" s="6" t="str">
        <f t="shared" si="10"/>
        <v>Pathweb</v>
      </c>
      <c r="EP60" s="6" t="str">
        <f t="shared" si="11"/>
        <v>Google Maps</v>
      </c>
      <c r="EQ60" s="6" t="str">
        <f t="shared" si="12"/>
        <v>Mashed Map</v>
      </c>
      <c r="ER60" s="118" t="s">
        <v>6726</v>
      </c>
      <c r="ES60" s="118" t="s">
        <v>71</v>
      </c>
      <c r="ET60" s="4">
        <v>1.9E-2</v>
      </c>
      <c r="EU60" s="4"/>
      <c r="EV60" s="4"/>
    </row>
    <row r="61" spans="1:152" x14ac:dyDescent="0.15">
      <c r="A61" s="581" t="str">
        <f t="shared" si="9"/>
        <v>Crash Report</v>
      </c>
      <c r="B61" s="14">
        <v>20213123894</v>
      </c>
      <c r="C61" s="118">
        <v>2021</v>
      </c>
      <c r="D61" s="14">
        <v>21070928412250</v>
      </c>
      <c r="F61" s="118" t="s">
        <v>6440</v>
      </c>
      <c r="G61" s="118" t="s">
        <v>402</v>
      </c>
      <c r="H61" s="118">
        <v>2</v>
      </c>
      <c r="I61" s="118" t="s">
        <v>6055</v>
      </c>
      <c r="J61" s="118" t="s">
        <v>391</v>
      </c>
      <c r="K61" s="118" t="s">
        <v>6985</v>
      </c>
      <c r="L61" s="118">
        <v>0.09</v>
      </c>
      <c r="M61" s="118">
        <v>0.09</v>
      </c>
      <c r="N61" s="118" t="s">
        <v>7465</v>
      </c>
      <c r="O61" s="118" t="s">
        <v>7475</v>
      </c>
      <c r="P61" s="118">
        <v>41.647981999999999</v>
      </c>
      <c r="Q61" s="118">
        <v>-83.524343999999999</v>
      </c>
      <c r="R61" s="118">
        <v>77000</v>
      </c>
      <c r="S61" s="118" t="s">
        <v>6988</v>
      </c>
      <c r="T61" s="118">
        <v>1</v>
      </c>
      <c r="U61" s="118">
        <v>0</v>
      </c>
      <c r="V61" s="118">
        <v>0</v>
      </c>
      <c r="W61" s="118">
        <v>1</v>
      </c>
      <c r="X61" s="118">
        <v>0</v>
      </c>
      <c r="Y61" s="118">
        <v>3</v>
      </c>
      <c r="Z61" s="118">
        <v>0</v>
      </c>
      <c r="AA61" s="118">
        <v>2</v>
      </c>
      <c r="AB61" s="118" t="s">
        <v>1067</v>
      </c>
      <c r="AC61" s="118" t="s">
        <v>6989</v>
      </c>
      <c r="AD61" s="118" t="s">
        <v>1034</v>
      </c>
      <c r="AE61" s="118" t="s">
        <v>943</v>
      </c>
      <c r="AF61" s="118" t="s">
        <v>1042</v>
      </c>
      <c r="AG61" s="118" t="s">
        <v>6415</v>
      </c>
      <c r="AH61" s="118" t="s">
        <v>393</v>
      </c>
      <c r="AI61" s="118">
        <v>4</v>
      </c>
      <c r="AJ61" s="118" t="s">
        <v>6415</v>
      </c>
      <c r="AK61" s="118" t="s">
        <v>393</v>
      </c>
      <c r="AL61" s="118" t="s">
        <v>393</v>
      </c>
      <c r="AM61" s="118" t="s">
        <v>393</v>
      </c>
      <c r="AN61" s="402" t="s">
        <v>5975</v>
      </c>
      <c r="AO61" s="402">
        <v>44386</v>
      </c>
      <c r="AP61" s="118">
        <v>7</v>
      </c>
      <c r="AQ61" s="118">
        <v>22</v>
      </c>
      <c r="AR61" s="118" t="s">
        <v>6448</v>
      </c>
      <c r="AS61" s="118" t="s">
        <v>392</v>
      </c>
      <c r="AT61" s="118" t="s">
        <v>500</v>
      </c>
      <c r="AU61" s="118" t="s">
        <v>505</v>
      </c>
      <c r="AV61" s="118" t="s">
        <v>508</v>
      </c>
      <c r="AW61" s="118" t="s">
        <v>740</v>
      </c>
      <c r="AX61" s="118" t="s">
        <v>393</v>
      </c>
      <c r="AY61" s="118" t="s">
        <v>740</v>
      </c>
      <c r="AZ61" s="118" t="s">
        <v>393</v>
      </c>
      <c r="BA61" s="118" t="s">
        <v>393</v>
      </c>
      <c r="BB61" s="118" t="s">
        <v>393</v>
      </c>
      <c r="BC61" s="118" t="s">
        <v>393</v>
      </c>
      <c r="BD61" s="118" t="s">
        <v>393</v>
      </c>
      <c r="BE61" s="118" t="s">
        <v>393</v>
      </c>
      <c r="BF61" s="118" t="s">
        <v>740</v>
      </c>
      <c r="BG61" s="118" t="s">
        <v>740</v>
      </c>
      <c r="BH61" s="118" t="s">
        <v>471</v>
      </c>
      <c r="BI61" s="118" t="s">
        <v>414</v>
      </c>
      <c r="BJ61" s="118" t="s">
        <v>393</v>
      </c>
      <c r="BK61" s="118" t="s">
        <v>6988</v>
      </c>
      <c r="BL61" s="118" t="s">
        <v>6415</v>
      </c>
      <c r="BM61" s="118" t="s">
        <v>6990</v>
      </c>
      <c r="BN61" s="118" t="s">
        <v>6991</v>
      </c>
      <c r="BO61" s="118" t="s">
        <v>6415</v>
      </c>
      <c r="BP61" s="118" t="s">
        <v>6415</v>
      </c>
      <c r="BQ61" s="118" t="s">
        <v>6415</v>
      </c>
      <c r="BR61" s="118" t="s">
        <v>6415</v>
      </c>
      <c r="BS61" s="118" t="s">
        <v>6415</v>
      </c>
      <c r="BT61" s="118" t="s">
        <v>2583</v>
      </c>
      <c r="BU61" s="118" t="s">
        <v>7017</v>
      </c>
      <c r="BV61" s="118" t="s">
        <v>6415</v>
      </c>
      <c r="BW61" s="118" t="s">
        <v>6415</v>
      </c>
      <c r="BX61" s="118" t="s">
        <v>6415</v>
      </c>
      <c r="BY61" s="118" t="s">
        <v>6415</v>
      </c>
      <c r="BZ61" s="118" t="s">
        <v>6415</v>
      </c>
      <c r="CA61" s="118" t="s">
        <v>6415</v>
      </c>
      <c r="CB61" s="118" t="s">
        <v>221</v>
      </c>
      <c r="CC61" s="118" t="s">
        <v>740</v>
      </c>
      <c r="CD61" s="118">
        <v>2</v>
      </c>
      <c r="CE61" s="118" t="s">
        <v>406</v>
      </c>
      <c r="CF61" s="118" t="s">
        <v>405</v>
      </c>
      <c r="CG61" s="118" t="s">
        <v>924</v>
      </c>
      <c r="CH61" s="118" t="s">
        <v>6302</v>
      </c>
      <c r="CI61" s="118" t="s">
        <v>6303</v>
      </c>
      <c r="CJ61" s="118" t="s">
        <v>398</v>
      </c>
      <c r="CK61" s="14">
        <v>0</v>
      </c>
      <c r="CL61" s="118">
        <v>25</v>
      </c>
      <c r="CM61" s="118" t="s">
        <v>439</v>
      </c>
      <c r="CN61" s="118" t="s">
        <v>6329</v>
      </c>
      <c r="CO61" s="118" t="s">
        <v>1096</v>
      </c>
      <c r="CP61" s="118" t="s">
        <v>6363</v>
      </c>
      <c r="CQ61" s="118" t="s">
        <v>400</v>
      </c>
      <c r="CR61" s="118" t="s">
        <v>6415</v>
      </c>
      <c r="CS61" s="118" t="s">
        <v>6415</v>
      </c>
      <c r="CT61" s="118" t="s">
        <v>6415</v>
      </c>
      <c r="CU61" s="118" t="s">
        <v>6415</v>
      </c>
      <c r="CV61" s="118" t="s">
        <v>6415</v>
      </c>
      <c r="CW61" s="14">
        <v>23</v>
      </c>
      <c r="CX61" s="118" t="s">
        <v>1066</v>
      </c>
      <c r="CY61" s="118" t="s">
        <v>6341</v>
      </c>
      <c r="CZ61" s="118">
        <v>1</v>
      </c>
      <c r="DA61" s="118" t="s">
        <v>406</v>
      </c>
      <c r="DB61" s="118" t="s">
        <v>405</v>
      </c>
      <c r="DC61" s="118" t="s">
        <v>6415</v>
      </c>
      <c r="DD61" s="118" t="s">
        <v>6302</v>
      </c>
      <c r="DE61" s="118" t="s">
        <v>6303</v>
      </c>
      <c r="DF61" s="118" t="s">
        <v>398</v>
      </c>
      <c r="DG61" s="14" t="s">
        <v>6415</v>
      </c>
      <c r="DH61" s="118">
        <v>25</v>
      </c>
      <c r="DI61" s="118" t="s">
        <v>399</v>
      </c>
      <c r="DJ61" s="118" t="s">
        <v>398</v>
      </c>
      <c r="DK61" s="118" t="s">
        <v>400</v>
      </c>
      <c r="DL61" s="118" t="s">
        <v>6415</v>
      </c>
      <c r="DM61" s="118" t="s">
        <v>6415</v>
      </c>
      <c r="DN61" s="118" t="s">
        <v>6415</v>
      </c>
      <c r="DO61" s="118" t="s">
        <v>6415</v>
      </c>
      <c r="DP61" s="118" t="s">
        <v>6415</v>
      </c>
      <c r="DQ61" s="118" t="s">
        <v>6415</v>
      </c>
      <c r="DR61" s="118">
        <v>31</v>
      </c>
      <c r="DS61" s="118" t="s">
        <v>1066</v>
      </c>
      <c r="DT61" s="118" t="s">
        <v>6341</v>
      </c>
      <c r="DU61" s="118" t="s">
        <v>6415</v>
      </c>
      <c r="DV61" s="118" t="s">
        <v>6415</v>
      </c>
      <c r="DW61" s="118" t="s">
        <v>6415</v>
      </c>
      <c r="DX61" s="118" t="s">
        <v>6415</v>
      </c>
      <c r="DY61" s="118" t="s">
        <v>6415</v>
      </c>
      <c r="DZ61" s="118" t="s">
        <v>6415</v>
      </c>
      <c r="EA61" s="118" t="s">
        <v>6415</v>
      </c>
      <c r="EB61" s="118" t="s">
        <v>6415</v>
      </c>
      <c r="EC61" s="118" t="s">
        <v>6415</v>
      </c>
      <c r="ED61" s="118" t="s">
        <v>6415</v>
      </c>
      <c r="EE61" s="118" t="s">
        <v>6415</v>
      </c>
      <c r="EF61" s="118" t="s">
        <v>6415</v>
      </c>
      <c r="EG61" s="118" t="s">
        <v>7028</v>
      </c>
      <c r="EH61" s="118" t="s">
        <v>7029</v>
      </c>
      <c r="EI61" s="118" t="s">
        <v>6415</v>
      </c>
      <c r="EJ61" s="118" t="s">
        <v>6415</v>
      </c>
      <c r="EK61" s="118" t="s">
        <v>6415</v>
      </c>
      <c r="EL61" s="118" t="s">
        <v>7467</v>
      </c>
      <c r="EM61" s="118" t="s">
        <v>7086</v>
      </c>
      <c r="EN61" s="118" t="s">
        <v>6415</v>
      </c>
      <c r="EO61" s="6" t="str">
        <f t="shared" si="10"/>
        <v>Pathweb</v>
      </c>
      <c r="EP61" s="6" t="str">
        <f t="shared" si="11"/>
        <v>Google Maps</v>
      </c>
      <c r="EQ61" s="6" t="str">
        <f t="shared" si="12"/>
        <v>Mashed Map</v>
      </c>
      <c r="ER61" s="118" t="s">
        <v>6727</v>
      </c>
      <c r="ES61" s="118" t="s">
        <v>6728</v>
      </c>
      <c r="ET61" s="4">
        <v>2E-3</v>
      </c>
      <c r="EU61" s="4"/>
      <c r="EV61" s="4"/>
    </row>
    <row r="62" spans="1:152" x14ac:dyDescent="0.15">
      <c r="A62" s="581" t="str">
        <f t="shared" si="9"/>
        <v>Crash Report</v>
      </c>
      <c r="B62" s="14">
        <v>20213131682</v>
      </c>
      <c r="C62" s="118">
        <v>2021</v>
      </c>
      <c r="D62" s="14">
        <v>21072227702005</v>
      </c>
      <c r="F62" s="118" t="s">
        <v>6441</v>
      </c>
      <c r="G62" s="118" t="s">
        <v>211</v>
      </c>
      <c r="H62" s="118">
        <v>2</v>
      </c>
      <c r="I62" s="118" t="s">
        <v>6055</v>
      </c>
      <c r="J62" s="118" t="s">
        <v>391</v>
      </c>
      <c r="K62" s="118" t="s">
        <v>6985</v>
      </c>
      <c r="L62" s="118">
        <v>0.51200000000000001</v>
      </c>
      <c r="M62" s="118">
        <v>0.51200000000000001</v>
      </c>
      <c r="N62" s="118" t="s">
        <v>7465</v>
      </c>
      <c r="O62" s="118" t="s">
        <v>7468</v>
      </c>
      <c r="P62" s="118">
        <v>41.651794000000002</v>
      </c>
      <c r="Q62" s="118">
        <v>-83.518069999999994</v>
      </c>
      <c r="R62" s="118">
        <v>77000</v>
      </c>
      <c r="S62" s="118" t="s">
        <v>6988</v>
      </c>
      <c r="T62" s="118">
        <v>1</v>
      </c>
      <c r="U62" s="118">
        <v>0</v>
      </c>
      <c r="V62" s="118">
        <v>0</v>
      </c>
      <c r="W62" s="118">
        <v>0</v>
      </c>
      <c r="X62" s="118">
        <v>1</v>
      </c>
      <c r="Y62" s="118">
        <v>1</v>
      </c>
      <c r="Z62" s="118">
        <v>0</v>
      </c>
      <c r="AA62" s="118">
        <v>2</v>
      </c>
      <c r="AB62" s="118" t="s">
        <v>1067</v>
      </c>
      <c r="AC62" s="118" t="s">
        <v>6989</v>
      </c>
      <c r="AD62" s="118" t="s">
        <v>1034</v>
      </c>
      <c r="AE62" s="118" t="s">
        <v>943</v>
      </c>
      <c r="AF62" s="118" t="s">
        <v>1041</v>
      </c>
      <c r="AG62" s="118" t="s">
        <v>6415</v>
      </c>
      <c r="AH62" s="118" t="s">
        <v>393</v>
      </c>
      <c r="AI62" s="118">
        <v>4</v>
      </c>
      <c r="AJ62" s="118" t="s">
        <v>6415</v>
      </c>
      <c r="AK62" s="118" t="s">
        <v>393</v>
      </c>
      <c r="AL62" s="118" t="s">
        <v>393</v>
      </c>
      <c r="AM62" s="118" t="s">
        <v>393</v>
      </c>
      <c r="AN62" s="402" t="s">
        <v>5975</v>
      </c>
      <c r="AO62" s="402">
        <v>44399</v>
      </c>
      <c r="AP62" s="118">
        <v>7</v>
      </c>
      <c r="AQ62" s="118">
        <v>20</v>
      </c>
      <c r="AR62" s="118" t="s">
        <v>6447</v>
      </c>
      <c r="AS62" s="118" t="s">
        <v>392</v>
      </c>
      <c r="AT62" s="118" t="s">
        <v>500</v>
      </c>
      <c r="AU62" s="118" t="s">
        <v>404</v>
      </c>
      <c r="AV62" s="118" t="s">
        <v>508</v>
      </c>
      <c r="AW62" s="118" t="s">
        <v>393</v>
      </c>
      <c r="AX62" s="118" t="s">
        <v>393</v>
      </c>
      <c r="AY62" s="118" t="s">
        <v>393</v>
      </c>
      <c r="AZ62" s="118" t="s">
        <v>393</v>
      </c>
      <c r="BA62" s="118" t="s">
        <v>393</v>
      </c>
      <c r="BB62" s="118" t="s">
        <v>393</v>
      </c>
      <c r="BC62" s="118" t="s">
        <v>740</v>
      </c>
      <c r="BD62" s="118" t="s">
        <v>393</v>
      </c>
      <c r="BE62" s="118" t="s">
        <v>393</v>
      </c>
      <c r="BF62" s="118" t="s">
        <v>393</v>
      </c>
      <c r="BG62" s="118" t="s">
        <v>393</v>
      </c>
      <c r="BH62" s="118" t="s">
        <v>394</v>
      </c>
      <c r="BI62" s="118" t="s">
        <v>394</v>
      </c>
      <c r="BJ62" s="118" t="s">
        <v>393</v>
      </c>
      <c r="BK62" s="118" t="s">
        <v>6988</v>
      </c>
      <c r="BL62" s="118" t="s">
        <v>6415</v>
      </c>
      <c r="BM62" s="118" t="s">
        <v>6990</v>
      </c>
      <c r="BN62" s="118" t="s">
        <v>6991</v>
      </c>
      <c r="BO62" s="118" t="s">
        <v>6415</v>
      </c>
      <c r="BP62" s="118" t="s">
        <v>6415</v>
      </c>
      <c r="BQ62" s="118" t="s">
        <v>6415</v>
      </c>
      <c r="BR62" s="118" t="s">
        <v>6415</v>
      </c>
      <c r="BS62" s="118" t="s">
        <v>261</v>
      </c>
      <c r="BT62" s="118" t="s">
        <v>1791</v>
      </c>
      <c r="BU62" s="118" t="s">
        <v>6991</v>
      </c>
      <c r="BV62" s="118" t="s">
        <v>6415</v>
      </c>
      <c r="BW62" s="118" t="s">
        <v>6415</v>
      </c>
      <c r="BX62" s="118" t="s">
        <v>6415</v>
      </c>
      <c r="BY62" s="118" t="s">
        <v>6415</v>
      </c>
      <c r="BZ62" s="118" t="s">
        <v>6415</v>
      </c>
      <c r="CA62" s="118" t="s">
        <v>6415</v>
      </c>
      <c r="CB62" s="118" t="s">
        <v>221</v>
      </c>
      <c r="CC62" s="118" t="s">
        <v>740</v>
      </c>
      <c r="CD62" s="118">
        <v>2</v>
      </c>
      <c r="CE62" s="118" t="s">
        <v>410</v>
      </c>
      <c r="CF62" s="118" t="s">
        <v>411</v>
      </c>
      <c r="CG62" s="118" t="s">
        <v>924</v>
      </c>
      <c r="CH62" s="118" t="s">
        <v>6302</v>
      </c>
      <c r="CI62" s="118" t="s">
        <v>6303</v>
      </c>
      <c r="CJ62" s="118" t="s">
        <v>398</v>
      </c>
      <c r="CK62" s="118">
        <v>35</v>
      </c>
      <c r="CL62" s="118">
        <v>35</v>
      </c>
      <c r="CM62" s="118" t="s">
        <v>399</v>
      </c>
      <c r="CN62" s="118" t="s">
        <v>398</v>
      </c>
      <c r="CO62" s="118" t="s">
        <v>1096</v>
      </c>
      <c r="CP62" s="118" t="s">
        <v>400</v>
      </c>
      <c r="CQ62" s="118" t="s">
        <v>6415</v>
      </c>
      <c r="CR62" s="118" t="s">
        <v>6415</v>
      </c>
      <c r="CS62" s="118" t="s">
        <v>6415</v>
      </c>
      <c r="CT62" s="118" t="s">
        <v>6415</v>
      </c>
      <c r="CU62" s="118" t="s">
        <v>6415</v>
      </c>
      <c r="CV62" s="118" t="s">
        <v>6415</v>
      </c>
      <c r="CW62" s="118">
        <v>32</v>
      </c>
      <c r="CX62" s="118" t="s">
        <v>1068</v>
      </c>
      <c r="CY62" s="118" t="s">
        <v>6341</v>
      </c>
      <c r="CZ62" s="118">
        <v>1</v>
      </c>
      <c r="DA62" s="118" t="s">
        <v>411</v>
      </c>
      <c r="DB62" s="118" t="s">
        <v>410</v>
      </c>
      <c r="DC62" s="118" t="s">
        <v>6415</v>
      </c>
      <c r="DD62" s="118" t="s">
        <v>6302</v>
      </c>
      <c r="DE62" s="118" t="s">
        <v>6308</v>
      </c>
      <c r="DF62" s="118" t="s">
        <v>398</v>
      </c>
      <c r="DG62" s="118">
        <v>35</v>
      </c>
      <c r="DH62" s="118">
        <v>35</v>
      </c>
      <c r="DI62" s="118" t="s">
        <v>399</v>
      </c>
      <c r="DJ62" s="118" t="s">
        <v>398</v>
      </c>
      <c r="DK62" s="118" t="s">
        <v>400</v>
      </c>
      <c r="DL62" s="118" t="s">
        <v>6415</v>
      </c>
      <c r="DM62" s="118" t="s">
        <v>6415</v>
      </c>
      <c r="DN62" s="118" t="s">
        <v>6415</v>
      </c>
      <c r="DO62" s="118" t="s">
        <v>6415</v>
      </c>
      <c r="DP62" s="118" t="s">
        <v>6415</v>
      </c>
      <c r="DQ62" s="118" t="s">
        <v>6415</v>
      </c>
      <c r="DR62" s="118">
        <v>39</v>
      </c>
      <c r="DS62" s="118" t="s">
        <v>1068</v>
      </c>
      <c r="DT62" s="118" t="s">
        <v>6341</v>
      </c>
      <c r="DU62" s="118" t="s">
        <v>6415</v>
      </c>
      <c r="DV62" s="118" t="s">
        <v>6415</v>
      </c>
      <c r="DW62" s="118" t="s">
        <v>6415</v>
      </c>
      <c r="DX62" s="118" t="s">
        <v>6415</v>
      </c>
      <c r="DY62" s="118" t="s">
        <v>6415</v>
      </c>
      <c r="DZ62" s="118" t="s">
        <v>6415</v>
      </c>
      <c r="EA62" s="118" t="s">
        <v>6415</v>
      </c>
      <c r="EB62" s="118" t="s">
        <v>6415</v>
      </c>
      <c r="EC62" s="118" t="s">
        <v>6415</v>
      </c>
      <c r="ED62" s="118" t="s">
        <v>6415</v>
      </c>
      <c r="EE62" s="118" t="s">
        <v>6415</v>
      </c>
      <c r="EF62" s="118" t="s">
        <v>6415</v>
      </c>
      <c r="EG62" s="118" t="s">
        <v>6994</v>
      </c>
      <c r="EH62" s="118" t="s">
        <v>7088</v>
      </c>
      <c r="EI62" s="118" t="s">
        <v>6415</v>
      </c>
      <c r="EJ62" s="118" t="s">
        <v>6415</v>
      </c>
      <c r="EK62" s="118" t="s">
        <v>6415</v>
      </c>
      <c r="EL62" s="118" t="s">
        <v>7467</v>
      </c>
      <c r="EM62" s="118" t="s">
        <v>7087</v>
      </c>
      <c r="EN62" s="118" t="s">
        <v>6415</v>
      </c>
      <c r="EO62" s="6" t="str">
        <f t="shared" si="10"/>
        <v>Pathweb</v>
      </c>
      <c r="EP62" s="6" t="str">
        <f t="shared" si="11"/>
        <v>Google Maps</v>
      </c>
      <c r="EQ62" s="6" t="str">
        <f t="shared" si="12"/>
        <v>Mashed Map</v>
      </c>
      <c r="ER62" s="118" t="s">
        <v>6727</v>
      </c>
      <c r="ES62" s="118" t="s">
        <v>6728</v>
      </c>
      <c r="ET62" s="4">
        <v>0</v>
      </c>
      <c r="EU62" s="4"/>
      <c r="EV62" s="4"/>
    </row>
    <row r="63" spans="1:152" x14ac:dyDescent="0.15">
      <c r="A63" s="581" t="str">
        <f t="shared" si="9"/>
        <v>Crash Report</v>
      </c>
      <c r="B63" s="118">
        <v>20213133330</v>
      </c>
      <c r="C63" s="118">
        <v>2021</v>
      </c>
      <c r="D63" s="118">
        <v>21072624180858</v>
      </c>
      <c r="F63" s="118" t="s">
        <v>6440</v>
      </c>
      <c r="G63" s="118" t="s">
        <v>211</v>
      </c>
      <c r="H63" s="118">
        <v>2</v>
      </c>
      <c r="I63" s="118" t="s">
        <v>6055</v>
      </c>
      <c r="J63" s="118" t="s">
        <v>391</v>
      </c>
      <c r="K63" s="118" t="s">
        <v>6997</v>
      </c>
      <c r="L63" s="118">
        <v>0.45600000000000002</v>
      </c>
      <c r="M63" s="118">
        <v>0.45600000000000002</v>
      </c>
      <c r="N63" s="118" t="s">
        <v>7469</v>
      </c>
      <c r="O63" s="118">
        <v>417</v>
      </c>
      <c r="P63" s="118">
        <v>41.645636000000003</v>
      </c>
      <c r="Q63" s="118">
        <v>-83.520312000000004</v>
      </c>
      <c r="R63" s="118">
        <v>77000</v>
      </c>
      <c r="S63" s="118" t="s">
        <v>6988</v>
      </c>
      <c r="T63" s="118">
        <v>1</v>
      </c>
      <c r="U63" s="118">
        <v>0</v>
      </c>
      <c r="V63" s="118">
        <v>0</v>
      </c>
      <c r="W63" s="118">
        <v>1</v>
      </c>
      <c r="X63" s="118">
        <v>1</v>
      </c>
      <c r="Y63" s="118">
        <v>1</v>
      </c>
      <c r="Z63" s="118">
        <v>0</v>
      </c>
      <c r="AA63" s="118">
        <v>2</v>
      </c>
      <c r="AB63" s="118" t="s">
        <v>1067</v>
      </c>
      <c r="AC63" s="118" t="s">
        <v>6989</v>
      </c>
      <c r="AD63" s="118" t="s">
        <v>1034</v>
      </c>
      <c r="AE63" s="118" t="s">
        <v>943</v>
      </c>
      <c r="AF63" s="118" t="s">
        <v>1042</v>
      </c>
      <c r="AG63" s="118" t="s">
        <v>6415</v>
      </c>
      <c r="AH63" s="118" t="s">
        <v>393</v>
      </c>
      <c r="AI63" s="118">
        <v>2</v>
      </c>
      <c r="AJ63" s="118" t="s">
        <v>6415</v>
      </c>
      <c r="AK63" s="118" t="s">
        <v>393</v>
      </c>
      <c r="AL63" s="118" t="s">
        <v>393</v>
      </c>
      <c r="AM63" s="118" t="s">
        <v>393</v>
      </c>
      <c r="AN63" s="402" t="s">
        <v>5975</v>
      </c>
      <c r="AO63" s="402">
        <v>44403</v>
      </c>
      <c r="AP63" s="118">
        <v>7</v>
      </c>
      <c r="AQ63" s="118">
        <v>8</v>
      </c>
      <c r="AR63" s="118" t="s">
        <v>6444</v>
      </c>
      <c r="AS63" s="118" t="s">
        <v>392</v>
      </c>
      <c r="AT63" s="118" t="s">
        <v>500</v>
      </c>
      <c r="AU63" s="118" t="s">
        <v>404</v>
      </c>
      <c r="AV63" s="118" t="s">
        <v>508</v>
      </c>
      <c r="AW63" s="118" t="s">
        <v>393</v>
      </c>
      <c r="AX63" s="118" t="s">
        <v>393</v>
      </c>
      <c r="AY63" s="118" t="s">
        <v>740</v>
      </c>
      <c r="AZ63" s="118" t="s">
        <v>393</v>
      </c>
      <c r="BA63" s="118" t="s">
        <v>393</v>
      </c>
      <c r="BB63" s="118" t="s">
        <v>393</v>
      </c>
      <c r="BC63" s="118" t="s">
        <v>393</v>
      </c>
      <c r="BD63" s="118" t="s">
        <v>393</v>
      </c>
      <c r="BE63" s="118" t="s">
        <v>393</v>
      </c>
      <c r="BF63" s="118" t="s">
        <v>393</v>
      </c>
      <c r="BG63" s="118" t="s">
        <v>393</v>
      </c>
      <c r="BH63" s="118" t="s">
        <v>394</v>
      </c>
      <c r="BI63" s="118" t="s">
        <v>394</v>
      </c>
      <c r="BJ63" s="118" t="s">
        <v>393</v>
      </c>
      <c r="BK63" s="118" t="s">
        <v>6988</v>
      </c>
      <c r="BL63" s="118" t="s">
        <v>6415</v>
      </c>
      <c r="BM63" s="118" t="s">
        <v>6992</v>
      </c>
      <c r="BN63" s="118" t="s">
        <v>6991</v>
      </c>
      <c r="BO63" s="118" t="s">
        <v>6415</v>
      </c>
      <c r="BP63" s="118" t="s">
        <v>6415</v>
      </c>
      <c r="BQ63" s="118" t="s">
        <v>6415</v>
      </c>
      <c r="BR63" s="118" t="s">
        <v>6415</v>
      </c>
      <c r="BS63" s="118" t="s">
        <v>6415</v>
      </c>
      <c r="BT63" s="118" t="s">
        <v>7090</v>
      </c>
      <c r="BU63" s="118" t="s">
        <v>6415</v>
      </c>
      <c r="BV63" s="118" t="s">
        <v>6415</v>
      </c>
      <c r="BW63" s="118" t="s">
        <v>6415</v>
      </c>
      <c r="BX63" s="118" t="s">
        <v>6415</v>
      </c>
      <c r="BY63" s="118" t="s">
        <v>6415</v>
      </c>
      <c r="BZ63" s="118">
        <v>417</v>
      </c>
      <c r="CA63" s="118" t="s">
        <v>6415</v>
      </c>
      <c r="CB63" s="118" t="s">
        <v>422</v>
      </c>
      <c r="CC63" s="118" t="s">
        <v>740</v>
      </c>
      <c r="CD63" s="118">
        <v>1</v>
      </c>
      <c r="CE63" s="118" t="s">
        <v>405</v>
      </c>
      <c r="CF63" s="118" t="s">
        <v>406</v>
      </c>
      <c r="CG63" s="118" t="s">
        <v>924</v>
      </c>
      <c r="CH63" s="118" t="s">
        <v>6302</v>
      </c>
      <c r="CI63" s="118" t="s">
        <v>6303</v>
      </c>
      <c r="CJ63" s="118" t="s">
        <v>398</v>
      </c>
      <c r="CK63" s="14">
        <v>10</v>
      </c>
      <c r="CL63" s="118">
        <v>35</v>
      </c>
      <c r="CM63" s="118" t="s">
        <v>444</v>
      </c>
      <c r="CN63" s="118" t="s">
        <v>6327</v>
      </c>
      <c r="CO63" s="118" t="s">
        <v>1096</v>
      </c>
      <c r="CP63" s="118" t="s">
        <v>400</v>
      </c>
      <c r="CQ63" s="118" t="s">
        <v>6415</v>
      </c>
      <c r="CR63" s="118" t="s">
        <v>6415</v>
      </c>
      <c r="CS63" s="118" t="s">
        <v>6415</v>
      </c>
      <c r="CT63" s="118" t="s">
        <v>6415</v>
      </c>
      <c r="CU63" s="118" t="s">
        <v>6415</v>
      </c>
      <c r="CV63" s="118" t="s">
        <v>6415</v>
      </c>
      <c r="CW63" s="14">
        <v>51</v>
      </c>
      <c r="CX63" s="118" t="s">
        <v>1068</v>
      </c>
      <c r="CY63" s="118" t="s">
        <v>6151</v>
      </c>
      <c r="CZ63" s="118">
        <v>2</v>
      </c>
      <c r="DA63" s="118" t="s">
        <v>410</v>
      </c>
      <c r="DB63" s="118" t="s">
        <v>411</v>
      </c>
      <c r="DC63" s="118" t="s">
        <v>6415</v>
      </c>
      <c r="DD63" s="118" t="s">
        <v>6302</v>
      </c>
      <c r="DE63" s="118" t="s">
        <v>6303</v>
      </c>
      <c r="DF63" s="118" t="s">
        <v>398</v>
      </c>
      <c r="DG63" s="14">
        <v>35</v>
      </c>
      <c r="DH63" s="118">
        <v>35</v>
      </c>
      <c r="DI63" s="118" t="s">
        <v>399</v>
      </c>
      <c r="DJ63" s="118" t="s">
        <v>398</v>
      </c>
      <c r="DK63" s="118" t="s">
        <v>400</v>
      </c>
      <c r="DL63" s="118" t="s">
        <v>461</v>
      </c>
      <c r="DM63" s="118" t="s">
        <v>6372</v>
      </c>
      <c r="DN63" s="118" t="s">
        <v>6415</v>
      </c>
      <c r="DO63" s="118" t="s">
        <v>6415</v>
      </c>
      <c r="DP63" s="118" t="s">
        <v>6415</v>
      </c>
      <c r="DQ63" s="118" t="s">
        <v>6415</v>
      </c>
      <c r="DR63" s="118">
        <v>47</v>
      </c>
      <c r="DS63" s="118" t="s">
        <v>1066</v>
      </c>
      <c r="DT63" s="118" t="s">
        <v>6341</v>
      </c>
      <c r="DU63" s="118" t="s">
        <v>6415</v>
      </c>
      <c r="DV63" s="118" t="s">
        <v>6415</v>
      </c>
      <c r="DW63" s="118" t="s">
        <v>6415</v>
      </c>
      <c r="DX63" s="118" t="s">
        <v>6415</v>
      </c>
      <c r="DY63" s="118" t="s">
        <v>6415</v>
      </c>
      <c r="DZ63" s="118" t="s">
        <v>6415</v>
      </c>
      <c r="EA63" s="118" t="s">
        <v>6415</v>
      </c>
      <c r="EB63" s="118" t="s">
        <v>6415</v>
      </c>
      <c r="EC63" s="118" t="s">
        <v>6415</v>
      </c>
      <c r="ED63" s="118" t="s">
        <v>6415</v>
      </c>
      <c r="EE63" s="118" t="s">
        <v>6415</v>
      </c>
      <c r="EF63" s="118" t="s">
        <v>6415</v>
      </c>
      <c r="EG63" s="118" t="s">
        <v>7043</v>
      </c>
      <c r="EH63" s="118" t="s">
        <v>7044</v>
      </c>
      <c r="EI63" s="118" t="s">
        <v>6415</v>
      </c>
      <c r="EJ63" s="118" t="s">
        <v>6415</v>
      </c>
      <c r="EK63" s="118" t="s">
        <v>6415</v>
      </c>
      <c r="EL63" s="118" t="s">
        <v>7467</v>
      </c>
      <c r="EM63" s="118" t="s">
        <v>7089</v>
      </c>
      <c r="EN63" s="118" t="s">
        <v>6415</v>
      </c>
      <c r="EO63" s="6" t="str">
        <f t="shared" si="10"/>
        <v>Pathweb</v>
      </c>
      <c r="EP63" s="6" t="str">
        <f t="shared" si="11"/>
        <v>Google Maps</v>
      </c>
      <c r="EQ63" s="6" t="str">
        <f t="shared" si="12"/>
        <v>Mashed Map</v>
      </c>
      <c r="ER63" s="118" t="s">
        <v>6727</v>
      </c>
      <c r="ES63" s="118" t="s">
        <v>6728</v>
      </c>
      <c r="ET63" s="4">
        <v>0</v>
      </c>
      <c r="EU63" s="4"/>
      <c r="EV63" s="4"/>
    </row>
    <row r="64" spans="1:152" x14ac:dyDescent="0.15">
      <c r="A64" s="581" t="str">
        <f t="shared" si="9"/>
        <v>Crash Report</v>
      </c>
      <c r="B64" s="118">
        <v>20213133669</v>
      </c>
      <c r="C64" s="118">
        <v>2021</v>
      </c>
      <c r="D64" s="118">
        <v>21071628381755</v>
      </c>
      <c r="F64" s="118" t="s">
        <v>6442</v>
      </c>
      <c r="G64" s="118" t="s">
        <v>390</v>
      </c>
      <c r="H64" s="118">
        <v>2</v>
      </c>
      <c r="I64" s="118" t="s">
        <v>6055</v>
      </c>
      <c r="J64" s="118" t="s">
        <v>423</v>
      </c>
      <c r="K64" s="118" t="s">
        <v>6985</v>
      </c>
      <c r="L64" s="118">
        <v>0.17499999999999999</v>
      </c>
      <c r="M64" s="118">
        <v>0.17499999999999999</v>
      </c>
      <c r="N64" s="118" t="s">
        <v>7465</v>
      </c>
      <c r="O64" s="118" t="s">
        <v>7484</v>
      </c>
      <c r="P64" s="118">
        <v>41.648741000000001</v>
      </c>
      <c r="Q64" s="118">
        <v>-83.523077999999998</v>
      </c>
      <c r="R64" s="118">
        <v>77000</v>
      </c>
      <c r="S64" s="118" t="s">
        <v>6988</v>
      </c>
      <c r="T64" s="118">
        <v>1</v>
      </c>
      <c r="U64" s="118">
        <v>0</v>
      </c>
      <c r="V64" s="118">
        <v>0</v>
      </c>
      <c r="W64" s="118">
        <v>0</v>
      </c>
      <c r="X64" s="118">
        <v>0</v>
      </c>
      <c r="Y64" s="118">
        <v>3</v>
      </c>
      <c r="Z64" s="118">
        <v>0</v>
      </c>
      <c r="AA64" s="118">
        <v>3</v>
      </c>
      <c r="AB64" s="118" t="s">
        <v>1067</v>
      </c>
      <c r="AC64" s="118" t="s">
        <v>6989</v>
      </c>
      <c r="AD64" s="118" t="s">
        <v>1034</v>
      </c>
      <c r="AE64" s="118" t="s">
        <v>943</v>
      </c>
      <c r="AF64" s="118" t="s">
        <v>1041</v>
      </c>
      <c r="AG64" s="118" t="s">
        <v>6415</v>
      </c>
      <c r="AH64" s="118" t="s">
        <v>393</v>
      </c>
      <c r="AI64" s="118">
        <v>4</v>
      </c>
      <c r="AJ64" s="118" t="s">
        <v>6415</v>
      </c>
      <c r="AK64" s="118" t="s">
        <v>393</v>
      </c>
      <c r="AL64" s="118" t="s">
        <v>393</v>
      </c>
      <c r="AM64" s="118" t="s">
        <v>393</v>
      </c>
      <c r="AN64" s="402" t="s">
        <v>5975</v>
      </c>
      <c r="AO64" s="402">
        <v>44393</v>
      </c>
      <c r="AP64" s="118">
        <v>7</v>
      </c>
      <c r="AQ64" s="118">
        <v>17</v>
      </c>
      <c r="AR64" s="118" t="s">
        <v>6448</v>
      </c>
      <c r="AS64" s="118" t="s">
        <v>420</v>
      </c>
      <c r="AT64" s="118" t="s">
        <v>225</v>
      </c>
      <c r="AU64" s="118" t="s">
        <v>404</v>
      </c>
      <c r="AV64" s="118" t="s">
        <v>508</v>
      </c>
      <c r="AW64" s="118" t="s">
        <v>393</v>
      </c>
      <c r="AX64" s="118" t="s">
        <v>740</v>
      </c>
      <c r="AY64" s="118" t="s">
        <v>393</v>
      </c>
      <c r="AZ64" s="118" t="s">
        <v>393</v>
      </c>
      <c r="BA64" s="118" t="s">
        <v>393</v>
      </c>
      <c r="BB64" s="118" t="s">
        <v>393</v>
      </c>
      <c r="BC64" s="118" t="s">
        <v>393</v>
      </c>
      <c r="BD64" s="118" t="s">
        <v>393</v>
      </c>
      <c r="BE64" s="118" t="s">
        <v>393</v>
      </c>
      <c r="BF64" s="118" t="s">
        <v>393</v>
      </c>
      <c r="BG64" s="118" t="s">
        <v>393</v>
      </c>
      <c r="BH64" s="118" t="s">
        <v>394</v>
      </c>
      <c r="BI64" s="118" t="s">
        <v>394</v>
      </c>
      <c r="BJ64" s="118" t="s">
        <v>393</v>
      </c>
      <c r="BK64" s="118" t="s">
        <v>6988</v>
      </c>
      <c r="BL64" s="118" t="s">
        <v>260</v>
      </c>
      <c r="BM64" s="118" t="s">
        <v>6990</v>
      </c>
      <c r="BN64" s="118" t="s">
        <v>6991</v>
      </c>
      <c r="BO64" s="118" t="s">
        <v>6415</v>
      </c>
      <c r="BP64" s="118" t="s">
        <v>6415</v>
      </c>
      <c r="BQ64" s="118" t="s">
        <v>6415</v>
      </c>
      <c r="BR64" s="118" t="s">
        <v>6415</v>
      </c>
      <c r="BS64" s="118" t="s">
        <v>259</v>
      </c>
      <c r="BT64" s="118" t="s">
        <v>6992</v>
      </c>
      <c r="BU64" s="118" t="s">
        <v>6991</v>
      </c>
      <c r="BV64" s="118" t="s">
        <v>6415</v>
      </c>
      <c r="BW64" s="118" t="s">
        <v>6415</v>
      </c>
      <c r="BX64" s="118" t="s">
        <v>6415</v>
      </c>
      <c r="BY64" s="118" t="s">
        <v>6415</v>
      </c>
      <c r="BZ64" s="118" t="s">
        <v>6415</v>
      </c>
      <c r="CA64" s="118" t="s">
        <v>6415</v>
      </c>
      <c r="CB64" s="118" t="s">
        <v>221</v>
      </c>
      <c r="CC64" s="118" t="s">
        <v>740</v>
      </c>
      <c r="CD64" s="118">
        <v>1</v>
      </c>
      <c r="CE64" s="118" t="s">
        <v>410</v>
      </c>
      <c r="CF64" s="118" t="s">
        <v>411</v>
      </c>
      <c r="CG64" s="118" t="s">
        <v>924</v>
      </c>
      <c r="CH64" s="118" t="s">
        <v>6300</v>
      </c>
      <c r="CI64" s="118" t="s">
        <v>6303</v>
      </c>
      <c r="CJ64" s="118" t="s">
        <v>398</v>
      </c>
      <c r="CK64" s="14">
        <v>30</v>
      </c>
      <c r="CL64" s="118">
        <v>35</v>
      </c>
      <c r="CM64" s="118" t="s">
        <v>399</v>
      </c>
      <c r="CN64" s="118" t="s">
        <v>6512</v>
      </c>
      <c r="CO64" s="118" t="s">
        <v>1096</v>
      </c>
      <c r="CP64" s="118" t="s">
        <v>400</v>
      </c>
      <c r="CQ64" s="118" t="s">
        <v>6415</v>
      </c>
      <c r="CR64" s="118" t="s">
        <v>6415</v>
      </c>
      <c r="CS64" s="118" t="s">
        <v>6415</v>
      </c>
      <c r="CT64" s="118" t="s">
        <v>6415</v>
      </c>
      <c r="CU64" s="118" t="s">
        <v>6415</v>
      </c>
      <c r="CV64" s="118" t="s">
        <v>6415</v>
      </c>
      <c r="CW64" s="14">
        <v>34</v>
      </c>
      <c r="CX64" s="118" t="s">
        <v>1066</v>
      </c>
      <c r="CY64" s="118" t="s">
        <v>6341</v>
      </c>
      <c r="CZ64" s="118">
        <v>2</v>
      </c>
      <c r="DA64" s="118" t="s">
        <v>410</v>
      </c>
      <c r="DB64" s="118" t="s">
        <v>411</v>
      </c>
      <c r="DC64" s="118" t="s">
        <v>6415</v>
      </c>
      <c r="DD64" s="118" t="s">
        <v>6300</v>
      </c>
      <c r="DE64" s="118" t="s">
        <v>6303</v>
      </c>
      <c r="DF64" s="118" t="s">
        <v>398</v>
      </c>
      <c r="DG64" s="14">
        <v>0</v>
      </c>
      <c r="DH64" s="118">
        <v>35</v>
      </c>
      <c r="DI64" s="118" t="s">
        <v>6355</v>
      </c>
      <c r="DJ64" s="118" t="s">
        <v>6512</v>
      </c>
      <c r="DK64" s="118" t="s">
        <v>400</v>
      </c>
      <c r="DL64" s="118" t="s">
        <v>400</v>
      </c>
      <c r="DM64" s="118" t="s">
        <v>6415</v>
      </c>
      <c r="DN64" s="118" t="s">
        <v>6415</v>
      </c>
      <c r="DO64" s="118" t="s">
        <v>6415</v>
      </c>
      <c r="DP64" s="118" t="s">
        <v>6415</v>
      </c>
      <c r="DQ64" s="118" t="s">
        <v>6415</v>
      </c>
      <c r="DR64" s="118">
        <v>27</v>
      </c>
      <c r="DS64" s="118" t="s">
        <v>1068</v>
      </c>
      <c r="DT64" s="118" t="s">
        <v>6341</v>
      </c>
      <c r="DU64" s="118">
        <v>3</v>
      </c>
      <c r="DV64" s="118" t="s">
        <v>6300</v>
      </c>
      <c r="DW64" s="118" t="s">
        <v>6303</v>
      </c>
      <c r="DX64" s="118" t="s">
        <v>398</v>
      </c>
      <c r="DY64" s="118" t="s">
        <v>6355</v>
      </c>
      <c r="DZ64" s="118" t="s">
        <v>398</v>
      </c>
      <c r="EA64" s="118" t="s">
        <v>400</v>
      </c>
      <c r="EB64" s="118" t="s">
        <v>6415</v>
      </c>
      <c r="EC64" s="118" t="s">
        <v>6415</v>
      </c>
      <c r="ED64" s="118" t="s">
        <v>6415</v>
      </c>
      <c r="EE64" s="118" t="s">
        <v>6415</v>
      </c>
      <c r="EF64" s="118" t="s">
        <v>6415</v>
      </c>
      <c r="EG64" s="118" t="s">
        <v>6986</v>
      </c>
      <c r="EH64" s="118" t="s">
        <v>7019</v>
      </c>
      <c r="EI64" s="118" t="s">
        <v>6415</v>
      </c>
      <c r="EJ64" s="118" t="s">
        <v>6415</v>
      </c>
      <c r="EK64" s="118" t="s">
        <v>6415</v>
      </c>
      <c r="EL64" s="118" t="s">
        <v>7467</v>
      </c>
      <c r="EM64" s="118" t="s">
        <v>7091</v>
      </c>
      <c r="EN64" s="118" t="s">
        <v>6415</v>
      </c>
      <c r="EO64" s="6" t="str">
        <f t="shared" si="10"/>
        <v>Pathweb</v>
      </c>
      <c r="EP64" s="6" t="str">
        <f t="shared" si="11"/>
        <v>Google Maps</v>
      </c>
      <c r="EQ64" s="6" t="str">
        <f t="shared" si="12"/>
        <v>Mashed Map</v>
      </c>
      <c r="ER64" s="118" t="s">
        <v>6727</v>
      </c>
      <c r="ES64" s="118" t="s">
        <v>71</v>
      </c>
      <c r="ET64" s="4">
        <v>5.0000000000000001E-3</v>
      </c>
      <c r="EU64" s="4"/>
      <c r="EV64" s="4"/>
    </row>
    <row r="65" spans="1:152" x14ac:dyDescent="0.15">
      <c r="A65" s="581" t="str">
        <f t="shared" si="9"/>
        <v>Crash Report</v>
      </c>
      <c r="B65" s="14">
        <v>20213134404</v>
      </c>
      <c r="C65" s="118">
        <v>2021</v>
      </c>
      <c r="D65" s="14">
        <v>21072725201323</v>
      </c>
      <c r="F65" s="118" t="s">
        <v>6441</v>
      </c>
      <c r="G65" s="118" t="s">
        <v>390</v>
      </c>
      <c r="H65" s="118">
        <v>2</v>
      </c>
      <c r="I65" s="118" t="s">
        <v>6055</v>
      </c>
      <c r="J65" s="118" t="s">
        <v>423</v>
      </c>
      <c r="K65" s="118" t="s">
        <v>6985</v>
      </c>
      <c r="L65" s="118">
        <v>0.15</v>
      </c>
      <c r="M65" s="118">
        <v>0.15</v>
      </c>
      <c r="N65" s="118" t="s">
        <v>7465</v>
      </c>
      <c r="O65" s="118" t="s">
        <v>7466</v>
      </c>
      <c r="P65" s="118">
        <v>41.648516999999998</v>
      </c>
      <c r="Q65" s="118">
        <v>-83.523448000000002</v>
      </c>
      <c r="R65" s="118">
        <v>77000</v>
      </c>
      <c r="S65" s="118" t="s">
        <v>6988</v>
      </c>
      <c r="T65" s="118">
        <v>1</v>
      </c>
      <c r="U65" s="118">
        <v>0</v>
      </c>
      <c r="V65" s="118">
        <v>0</v>
      </c>
      <c r="W65" s="118">
        <v>0</v>
      </c>
      <c r="X65" s="118">
        <v>1</v>
      </c>
      <c r="Y65" s="118">
        <v>1</v>
      </c>
      <c r="Z65" s="118">
        <v>0</v>
      </c>
      <c r="AA65" s="118">
        <v>2</v>
      </c>
      <c r="AB65" s="118" t="s">
        <v>1067</v>
      </c>
      <c r="AC65" s="118" t="s">
        <v>6989</v>
      </c>
      <c r="AD65" s="118" t="s">
        <v>1034</v>
      </c>
      <c r="AE65" s="118" t="s">
        <v>943</v>
      </c>
      <c r="AF65" s="118" t="s">
        <v>1041</v>
      </c>
      <c r="AG65" s="118" t="s">
        <v>6415</v>
      </c>
      <c r="AH65" s="118" t="s">
        <v>393</v>
      </c>
      <c r="AI65" s="118">
        <v>4</v>
      </c>
      <c r="AJ65" s="118" t="s">
        <v>6415</v>
      </c>
      <c r="AK65" s="118" t="s">
        <v>393</v>
      </c>
      <c r="AL65" s="118" t="s">
        <v>393</v>
      </c>
      <c r="AM65" s="118" t="s">
        <v>393</v>
      </c>
      <c r="AN65" s="402" t="s">
        <v>5975</v>
      </c>
      <c r="AO65" s="402">
        <v>44404</v>
      </c>
      <c r="AP65" s="118">
        <v>7</v>
      </c>
      <c r="AQ65" s="118">
        <v>13</v>
      </c>
      <c r="AR65" s="118" t="s">
        <v>6445</v>
      </c>
      <c r="AS65" s="118" t="s">
        <v>392</v>
      </c>
      <c r="AT65" s="118" t="s">
        <v>500</v>
      </c>
      <c r="AU65" s="118" t="s">
        <v>404</v>
      </c>
      <c r="AV65" s="118" t="s">
        <v>508</v>
      </c>
      <c r="AW65" s="118" t="s">
        <v>393</v>
      </c>
      <c r="AX65" s="118" t="s">
        <v>740</v>
      </c>
      <c r="AY65" s="118" t="s">
        <v>393</v>
      </c>
      <c r="AZ65" s="118" t="s">
        <v>393</v>
      </c>
      <c r="BA65" s="118" t="s">
        <v>393</v>
      </c>
      <c r="BB65" s="118" t="s">
        <v>393</v>
      </c>
      <c r="BC65" s="118" t="s">
        <v>740</v>
      </c>
      <c r="BD65" s="118" t="s">
        <v>393</v>
      </c>
      <c r="BE65" s="118" t="s">
        <v>393</v>
      </c>
      <c r="BF65" s="118" t="s">
        <v>393</v>
      </c>
      <c r="BG65" s="118" t="s">
        <v>393</v>
      </c>
      <c r="BH65" s="118" t="s">
        <v>394</v>
      </c>
      <c r="BI65" s="118" t="s">
        <v>394</v>
      </c>
      <c r="BJ65" s="118" t="s">
        <v>393</v>
      </c>
      <c r="BK65" s="118" t="s">
        <v>6988</v>
      </c>
      <c r="BL65" s="118" t="s">
        <v>6415</v>
      </c>
      <c r="BM65" s="118" t="s">
        <v>6990</v>
      </c>
      <c r="BN65" s="118" t="s">
        <v>6991</v>
      </c>
      <c r="BO65" s="118" t="s">
        <v>6415</v>
      </c>
      <c r="BP65" s="118" t="s">
        <v>6415</v>
      </c>
      <c r="BQ65" s="118" t="s">
        <v>6415</v>
      </c>
      <c r="BR65" s="118" t="s">
        <v>6415</v>
      </c>
      <c r="BS65" s="118" t="s">
        <v>6415</v>
      </c>
      <c r="BT65" s="118" t="s">
        <v>6992</v>
      </c>
      <c r="BU65" s="118" t="s">
        <v>6991</v>
      </c>
      <c r="BV65" s="118" t="s">
        <v>6415</v>
      </c>
      <c r="BW65" s="118" t="s">
        <v>6415</v>
      </c>
      <c r="BX65" s="118" t="s">
        <v>6415</v>
      </c>
      <c r="BY65" s="118" t="s">
        <v>6415</v>
      </c>
      <c r="BZ65" s="118" t="s">
        <v>6415</v>
      </c>
      <c r="CA65" s="118" t="s">
        <v>6415</v>
      </c>
      <c r="CB65" s="118" t="s">
        <v>221</v>
      </c>
      <c r="CC65" s="118" t="s">
        <v>740</v>
      </c>
      <c r="CD65" s="118">
        <v>2</v>
      </c>
      <c r="CE65" s="118" t="s">
        <v>396</v>
      </c>
      <c r="CF65" s="118" t="s">
        <v>445</v>
      </c>
      <c r="CG65" s="118" t="s">
        <v>230</v>
      </c>
      <c r="CH65" s="118" t="s">
        <v>6300</v>
      </c>
      <c r="CI65" s="118" t="s">
        <v>417</v>
      </c>
      <c r="CJ65" s="118" t="s">
        <v>398</v>
      </c>
      <c r="CK65" s="118">
        <v>10</v>
      </c>
      <c r="CL65" s="118">
        <v>35</v>
      </c>
      <c r="CM65" s="118" t="s">
        <v>436</v>
      </c>
      <c r="CN65" s="118" t="s">
        <v>6512</v>
      </c>
      <c r="CO65" s="118" t="s">
        <v>1096</v>
      </c>
      <c r="CP65" s="118" t="s">
        <v>400</v>
      </c>
      <c r="CQ65" s="118" t="s">
        <v>6415</v>
      </c>
      <c r="CR65" s="118" t="s">
        <v>6415</v>
      </c>
      <c r="CS65" s="118" t="s">
        <v>6415</v>
      </c>
      <c r="CT65" s="118" t="s">
        <v>6415</v>
      </c>
      <c r="CU65" s="118" t="s">
        <v>6415</v>
      </c>
      <c r="CV65" s="118" t="s">
        <v>6415</v>
      </c>
      <c r="CW65" s="118">
        <v>58</v>
      </c>
      <c r="CX65" s="118" t="s">
        <v>1066</v>
      </c>
      <c r="CY65" s="118" t="s">
        <v>6341</v>
      </c>
      <c r="CZ65" s="118">
        <v>1</v>
      </c>
      <c r="DA65" s="118" t="s">
        <v>396</v>
      </c>
      <c r="DB65" s="118" t="s">
        <v>445</v>
      </c>
      <c r="DC65" s="118" t="s">
        <v>6415</v>
      </c>
      <c r="DD65" s="118" t="s">
        <v>6300</v>
      </c>
      <c r="DE65" s="118" t="s">
        <v>6308</v>
      </c>
      <c r="DF65" s="118" t="s">
        <v>398</v>
      </c>
      <c r="DG65" s="118">
        <v>0</v>
      </c>
      <c r="DH65" s="118">
        <v>35</v>
      </c>
      <c r="DI65" s="118" t="s">
        <v>6355</v>
      </c>
      <c r="DJ65" s="118" t="s">
        <v>398</v>
      </c>
      <c r="DK65" s="118" t="s">
        <v>400</v>
      </c>
      <c r="DL65" s="118" t="s">
        <v>6415</v>
      </c>
      <c r="DM65" s="118" t="s">
        <v>6415</v>
      </c>
      <c r="DN65" s="118" t="s">
        <v>6415</v>
      </c>
      <c r="DO65" s="118" t="s">
        <v>6415</v>
      </c>
      <c r="DP65" s="118" t="s">
        <v>6415</v>
      </c>
      <c r="DQ65" s="118" t="s">
        <v>6415</v>
      </c>
      <c r="DR65" s="118">
        <v>59</v>
      </c>
      <c r="DS65" s="118" t="s">
        <v>1068</v>
      </c>
      <c r="DT65" s="118" t="s">
        <v>6341</v>
      </c>
      <c r="DU65" s="118" t="s">
        <v>6415</v>
      </c>
      <c r="DV65" s="118" t="s">
        <v>6415</v>
      </c>
      <c r="DW65" s="118" t="s">
        <v>6415</v>
      </c>
      <c r="DX65" s="118" t="s">
        <v>6415</v>
      </c>
      <c r="DY65" s="118" t="s">
        <v>6415</v>
      </c>
      <c r="DZ65" s="118" t="s">
        <v>6415</v>
      </c>
      <c r="EA65" s="118" t="s">
        <v>6415</v>
      </c>
      <c r="EB65" s="118" t="s">
        <v>6415</v>
      </c>
      <c r="EC65" s="118" t="s">
        <v>6415</v>
      </c>
      <c r="ED65" s="118" t="s">
        <v>6415</v>
      </c>
      <c r="EE65" s="118" t="s">
        <v>6415</v>
      </c>
      <c r="EF65" s="118" t="s">
        <v>6415</v>
      </c>
      <c r="EG65" s="118" t="s">
        <v>6986</v>
      </c>
      <c r="EH65" s="118" t="s">
        <v>7093</v>
      </c>
      <c r="EI65" s="118" t="s">
        <v>6415</v>
      </c>
      <c r="EJ65" s="118" t="s">
        <v>6415</v>
      </c>
      <c r="EK65" s="118" t="s">
        <v>6415</v>
      </c>
      <c r="EL65" s="118" t="s">
        <v>7467</v>
      </c>
      <c r="EM65" s="118" t="s">
        <v>7092</v>
      </c>
      <c r="EN65" s="118" t="s">
        <v>6415</v>
      </c>
      <c r="EO65" s="6" t="str">
        <f t="shared" si="10"/>
        <v>Pathweb</v>
      </c>
      <c r="EP65" s="6" t="str">
        <f t="shared" si="11"/>
        <v>Google Maps</v>
      </c>
      <c r="EQ65" s="6" t="str">
        <f t="shared" si="12"/>
        <v>Mashed Map</v>
      </c>
      <c r="ER65" s="118" t="s">
        <v>6727</v>
      </c>
      <c r="ES65" s="118" t="s">
        <v>6728</v>
      </c>
      <c r="ET65" s="4">
        <v>0</v>
      </c>
      <c r="EU65" s="4"/>
      <c r="EV65" s="4"/>
    </row>
    <row r="66" spans="1:152" x14ac:dyDescent="0.15">
      <c r="A66" s="581" t="str">
        <f t="shared" si="9"/>
        <v>Crash Report</v>
      </c>
      <c r="B66" s="14">
        <v>20213136064</v>
      </c>
      <c r="C66" s="118">
        <v>2021</v>
      </c>
      <c r="D66" s="14">
        <v>21072627111846</v>
      </c>
      <c r="F66" s="118" t="s">
        <v>6442</v>
      </c>
      <c r="G66" s="118" t="s">
        <v>390</v>
      </c>
      <c r="H66" s="118">
        <v>2</v>
      </c>
      <c r="I66" s="118" t="s">
        <v>6055</v>
      </c>
      <c r="J66" s="118" t="s">
        <v>423</v>
      </c>
      <c r="K66" s="118" t="s">
        <v>6985</v>
      </c>
      <c r="L66" s="118">
        <v>0.15</v>
      </c>
      <c r="M66" s="118">
        <v>0.15</v>
      </c>
      <c r="N66" s="118" t="s">
        <v>7465</v>
      </c>
      <c r="O66" s="118" t="s">
        <v>7466</v>
      </c>
      <c r="P66" s="118">
        <v>41.648516999999998</v>
      </c>
      <c r="Q66" s="118">
        <v>-83.523448000000002</v>
      </c>
      <c r="R66" s="118">
        <v>77000</v>
      </c>
      <c r="S66" s="118" t="s">
        <v>6988</v>
      </c>
      <c r="T66" s="118">
        <v>1</v>
      </c>
      <c r="U66" s="118">
        <v>0</v>
      </c>
      <c r="V66" s="118">
        <v>0</v>
      </c>
      <c r="W66" s="118">
        <v>0</v>
      </c>
      <c r="X66" s="118">
        <v>0</v>
      </c>
      <c r="Y66" s="118">
        <v>3</v>
      </c>
      <c r="Z66" s="118">
        <v>0</v>
      </c>
      <c r="AA66" s="118">
        <v>2</v>
      </c>
      <c r="AB66" s="118" t="s">
        <v>1067</v>
      </c>
      <c r="AC66" s="118" t="s">
        <v>6989</v>
      </c>
      <c r="AD66" s="118" t="s">
        <v>1034</v>
      </c>
      <c r="AE66" s="118" t="s">
        <v>943</v>
      </c>
      <c r="AF66" s="118" t="s">
        <v>1041</v>
      </c>
      <c r="AG66" s="118" t="s">
        <v>6415</v>
      </c>
      <c r="AH66" s="118" t="s">
        <v>393</v>
      </c>
      <c r="AI66" s="118">
        <v>4</v>
      </c>
      <c r="AJ66" s="118" t="s">
        <v>6415</v>
      </c>
      <c r="AK66" s="118" t="s">
        <v>393</v>
      </c>
      <c r="AL66" s="118" t="s">
        <v>393</v>
      </c>
      <c r="AM66" s="118" t="s">
        <v>393</v>
      </c>
      <c r="AN66" s="402" t="s">
        <v>5975</v>
      </c>
      <c r="AO66" s="402">
        <v>44403</v>
      </c>
      <c r="AP66" s="118">
        <v>7</v>
      </c>
      <c r="AQ66" s="118">
        <v>18</v>
      </c>
      <c r="AR66" s="118" t="s">
        <v>6444</v>
      </c>
      <c r="AS66" s="118" t="s">
        <v>392</v>
      </c>
      <c r="AT66" s="118" t="s">
        <v>500</v>
      </c>
      <c r="AU66" s="118" t="s">
        <v>404</v>
      </c>
      <c r="AV66" s="118" t="s">
        <v>508</v>
      </c>
      <c r="AW66" s="118" t="s">
        <v>393</v>
      </c>
      <c r="AX66" s="118" t="s">
        <v>740</v>
      </c>
      <c r="AY66" s="118" t="s">
        <v>393</v>
      </c>
      <c r="AZ66" s="118" t="s">
        <v>393</v>
      </c>
      <c r="BA66" s="118" t="s">
        <v>393</v>
      </c>
      <c r="BB66" s="118" t="s">
        <v>393</v>
      </c>
      <c r="BC66" s="118" t="s">
        <v>393</v>
      </c>
      <c r="BD66" s="118" t="s">
        <v>393</v>
      </c>
      <c r="BE66" s="118" t="s">
        <v>393</v>
      </c>
      <c r="BF66" s="118" t="s">
        <v>393</v>
      </c>
      <c r="BG66" s="118" t="s">
        <v>393</v>
      </c>
      <c r="BH66" s="118" t="s">
        <v>394</v>
      </c>
      <c r="BI66" s="118" t="s">
        <v>394</v>
      </c>
      <c r="BJ66" s="118" t="s">
        <v>393</v>
      </c>
      <c r="BK66" s="118" t="s">
        <v>6988</v>
      </c>
      <c r="BL66" s="118" t="s">
        <v>6415</v>
      </c>
      <c r="BM66" s="118" t="s">
        <v>6990</v>
      </c>
      <c r="BN66" s="118" t="s">
        <v>6991</v>
      </c>
      <c r="BO66" s="118" t="s">
        <v>6415</v>
      </c>
      <c r="BP66" s="118" t="s">
        <v>6415</v>
      </c>
      <c r="BQ66" s="118" t="s">
        <v>6415</v>
      </c>
      <c r="BR66" s="118" t="s">
        <v>6415</v>
      </c>
      <c r="BS66" s="118" t="s">
        <v>6415</v>
      </c>
      <c r="BT66" s="118" t="s">
        <v>6992</v>
      </c>
      <c r="BU66" s="118" t="s">
        <v>6991</v>
      </c>
      <c r="BV66" s="118" t="s">
        <v>6415</v>
      </c>
      <c r="BW66" s="118" t="s">
        <v>6415</v>
      </c>
      <c r="BX66" s="118" t="s">
        <v>6415</v>
      </c>
      <c r="BY66" s="118" t="s">
        <v>6415</v>
      </c>
      <c r="BZ66" s="118" t="s">
        <v>6415</v>
      </c>
      <c r="CA66" s="118" t="s">
        <v>6415</v>
      </c>
      <c r="CB66" s="118" t="s">
        <v>221</v>
      </c>
      <c r="CC66" s="118" t="s">
        <v>740</v>
      </c>
      <c r="CD66" s="118">
        <v>2</v>
      </c>
      <c r="CE66" s="118" t="s">
        <v>397</v>
      </c>
      <c r="CF66" s="118" t="s">
        <v>396</v>
      </c>
      <c r="CG66" s="118" t="s">
        <v>924</v>
      </c>
      <c r="CH66" s="118" t="s">
        <v>6300</v>
      </c>
      <c r="CI66" s="118" t="s">
        <v>6303</v>
      </c>
      <c r="CJ66" s="118" t="s">
        <v>398</v>
      </c>
      <c r="CK66" s="14">
        <v>10</v>
      </c>
      <c r="CL66" s="118">
        <v>35</v>
      </c>
      <c r="CM66" s="118" t="s">
        <v>399</v>
      </c>
      <c r="CN66" s="118" t="s">
        <v>6512</v>
      </c>
      <c r="CO66" s="118" t="s">
        <v>1096</v>
      </c>
      <c r="CP66" s="118" t="s">
        <v>400</v>
      </c>
      <c r="CQ66" s="118" t="s">
        <v>6415</v>
      </c>
      <c r="CR66" s="118" t="s">
        <v>6415</v>
      </c>
      <c r="CS66" s="118" t="s">
        <v>6415</v>
      </c>
      <c r="CT66" s="118" t="s">
        <v>6415</v>
      </c>
      <c r="CU66" s="118" t="s">
        <v>6415</v>
      </c>
      <c r="CV66" s="118" t="s">
        <v>6415</v>
      </c>
      <c r="CW66" s="14">
        <v>33</v>
      </c>
      <c r="CX66" s="118" t="s">
        <v>1068</v>
      </c>
      <c r="CY66" s="118" t="s">
        <v>6151</v>
      </c>
      <c r="CZ66" s="118">
        <v>1</v>
      </c>
      <c r="DA66" s="118" t="s">
        <v>397</v>
      </c>
      <c r="DB66" s="118" t="s">
        <v>396</v>
      </c>
      <c r="DC66" s="118" t="s">
        <v>6415</v>
      </c>
      <c r="DD66" s="118" t="s">
        <v>6300</v>
      </c>
      <c r="DE66" s="118" t="s">
        <v>6303</v>
      </c>
      <c r="DF66" s="118" t="s">
        <v>398</v>
      </c>
      <c r="DG66" s="14">
        <v>0</v>
      </c>
      <c r="DH66" s="118">
        <v>35</v>
      </c>
      <c r="DI66" s="118" t="s">
        <v>6355</v>
      </c>
      <c r="DJ66" s="118" t="s">
        <v>398</v>
      </c>
      <c r="DK66" s="118" t="s">
        <v>400</v>
      </c>
      <c r="DL66" s="118" t="s">
        <v>6415</v>
      </c>
      <c r="DM66" s="118" t="s">
        <v>6415</v>
      </c>
      <c r="DN66" s="118" t="s">
        <v>6415</v>
      </c>
      <c r="DO66" s="118" t="s">
        <v>6415</v>
      </c>
      <c r="DP66" s="118" t="s">
        <v>6415</v>
      </c>
      <c r="DQ66" s="118" t="s">
        <v>6415</v>
      </c>
      <c r="DR66" s="118">
        <v>54</v>
      </c>
      <c r="DS66" s="118" t="s">
        <v>1066</v>
      </c>
      <c r="DT66" s="118" t="s">
        <v>6341</v>
      </c>
      <c r="DU66" s="118" t="s">
        <v>6415</v>
      </c>
      <c r="DV66" s="118" t="s">
        <v>6415</v>
      </c>
      <c r="DW66" s="118" t="s">
        <v>6415</v>
      </c>
      <c r="DX66" s="118" t="s">
        <v>6415</v>
      </c>
      <c r="DY66" s="118" t="s">
        <v>6415</v>
      </c>
      <c r="DZ66" s="118" t="s">
        <v>6415</v>
      </c>
      <c r="EA66" s="118" t="s">
        <v>6415</v>
      </c>
      <c r="EB66" s="118" t="s">
        <v>6415</v>
      </c>
      <c r="EC66" s="118" t="s">
        <v>6415</v>
      </c>
      <c r="ED66" s="118" t="s">
        <v>6415</v>
      </c>
      <c r="EE66" s="118" t="s">
        <v>6415</v>
      </c>
      <c r="EF66" s="118" t="s">
        <v>6415</v>
      </c>
      <c r="EG66" s="118" t="s">
        <v>6986</v>
      </c>
      <c r="EH66" s="118" t="s">
        <v>7093</v>
      </c>
      <c r="EI66" s="118" t="s">
        <v>6415</v>
      </c>
      <c r="EJ66" s="118" t="s">
        <v>6415</v>
      </c>
      <c r="EK66" s="118" t="s">
        <v>6415</v>
      </c>
      <c r="EL66" s="118" t="s">
        <v>7467</v>
      </c>
      <c r="EM66" s="118" t="s">
        <v>7094</v>
      </c>
      <c r="EN66" s="118" t="s">
        <v>6415</v>
      </c>
      <c r="EO66" s="6" t="str">
        <f t="shared" si="10"/>
        <v>Pathweb</v>
      </c>
      <c r="EP66" s="6" t="str">
        <f t="shared" si="11"/>
        <v>Google Maps</v>
      </c>
      <c r="EQ66" s="6" t="str">
        <f t="shared" si="12"/>
        <v>Mashed Map</v>
      </c>
      <c r="ER66" s="118" t="s">
        <v>6727</v>
      </c>
      <c r="ES66" s="118" t="s">
        <v>71</v>
      </c>
      <c r="ET66" s="4">
        <v>0</v>
      </c>
      <c r="EU66" s="4"/>
      <c r="EV66" s="4"/>
    </row>
    <row r="67" spans="1:152" x14ac:dyDescent="0.15">
      <c r="A67" s="581" t="str">
        <f t="shared" si="9"/>
        <v>Crash Report</v>
      </c>
      <c r="B67" s="118">
        <v>20213146514</v>
      </c>
      <c r="C67" s="118">
        <v>2021</v>
      </c>
      <c r="D67" s="118">
        <v>21073128540603</v>
      </c>
      <c r="F67" s="118" t="s">
        <v>6442</v>
      </c>
      <c r="G67" s="118" t="s">
        <v>210</v>
      </c>
      <c r="H67" s="118">
        <v>2</v>
      </c>
      <c r="I67" s="118" t="s">
        <v>6055</v>
      </c>
      <c r="J67" s="118" t="s">
        <v>391</v>
      </c>
      <c r="K67" s="118" t="s">
        <v>6997</v>
      </c>
      <c r="L67" s="118">
        <v>0.41</v>
      </c>
      <c r="M67" s="118">
        <v>0.41</v>
      </c>
      <c r="N67" s="118" t="s">
        <v>7469</v>
      </c>
      <c r="O67" s="118">
        <v>507</v>
      </c>
      <c r="P67" s="118">
        <v>41.645117999999997</v>
      </c>
      <c r="Q67" s="118">
        <v>-83.519754000000006</v>
      </c>
      <c r="R67" s="118">
        <v>77000</v>
      </c>
      <c r="S67" s="118" t="s">
        <v>6988</v>
      </c>
      <c r="T67" s="118">
        <v>1</v>
      </c>
      <c r="U67" s="118">
        <v>0</v>
      </c>
      <c r="V67" s="118">
        <v>0</v>
      </c>
      <c r="W67" s="118">
        <v>0</v>
      </c>
      <c r="X67" s="118">
        <v>0</v>
      </c>
      <c r="Y67" s="118">
        <v>1</v>
      </c>
      <c r="Z67" s="118">
        <v>0</v>
      </c>
      <c r="AA67" s="118">
        <v>2</v>
      </c>
      <c r="AB67" s="118" t="s">
        <v>1067</v>
      </c>
      <c r="AC67" s="118" t="s">
        <v>6989</v>
      </c>
      <c r="AD67" s="118" t="s">
        <v>1034</v>
      </c>
      <c r="AE67" s="118" t="s">
        <v>943</v>
      </c>
      <c r="AF67" s="118" t="s">
        <v>1042</v>
      </c>
      <c r="AG67" s="118" t="s">
        <v>6415</v>
      </c>
      <c r="AH67" s="118" t="s">
        <v>393</v>
      </c>
      <c r="AI67" s="118">
        <v>2</v>
      </c>
      <c r="AJ67" s="118" t="s">
        <v>6415</v>
      </c>
      <c r="AK67" s="118" t="s">
        <v>393</v>
      </c>
      <c r="AL67" s="118" t="s">
        <v>393</v>
      </c>
      <c r="AM67" s="118" t="s">
        <v>393</v>
      </c>
      <c r="AN67" s="402" t="s">
        <v>5975</v>
      </c>
      <c r="AO67" s="402">
        <v>44408</v>
      </c>
      <c r="AP67" s="118">
        <v>7</v>
      </c>
      <c r="AQ67" s="118">
        <v>6</v>
      </c>
      <c r="AR67" s="118" t="s">
        <v>6449</v>
      </c>
      <c r="AS67" s="118" t="s">
        <v>392</v>
      </c>
      <c r="AT67" s="118" t="s">
        <v>500</v>
      </c>
      <c r="AU67" s="118" t="s">
        <v>6324</v>
      </c>
      <c r="AV67" s="118" t="s">
        <v>508</v>
      </c>
      <c r="AW67" s="118" t="s">
        <v>740</v>
      </c>
      <c r="AX67" s="118" t="s">
        <v>393</v>
      </c>
      <c r="AY67" s="118" t="s">
        <v>393</v>
      </c>
      <c r="AZ67" s="118" t="s">
        <v>393</v>
      </c>
      <c r="BA67" s="118" t="s">
        <v>393</v>
      </c>
      <c r="BB67" s="118" t="s">
        <v>393</v>
      </c>
      <c r="BC67" s="118" t="s">
        <v>393</v>
      </c>
      <c r="BD67" s="118" t="s">
        <v>393</v>
      </c>
      <c r="BE67" s="118" t="s">
        <v>393</v>
      </c>
      <c r="BF67" s="118" t="s">
        <v>393</v>
      </c>
      <c r="BG67" s="118" t="s">
        <v>393</v>
      </c>
      <c r="BH67" s="118" t="s">
        <v>394</v>
      </c>
      <c r="BI67" s="118" t="s">
        <v>394</v>
      </c>
      <c r="BJ67" s="118" t="s">
        <v>393</v>
      </c>
      <c r="BK67" s="118" t="s">
        <v>6988</v>
      </c>
      <c r="BL67" s="118" t="s">
        <v>6415</v>
      </c>
      <c r="BM67" s="118" t="s">
        <v>6992</v>
      </c>
      <c r="BN67" s="118" t="s">
        <v>6991</v>
      </c>
      <c r="BO67" s="118" t="s">
        <v>6415</v>
      </c>
      <c r="BP67" s="118" t="s">
        <v>6415</v>
      </c>
      <c r="BQ67" s="118" t="s">
        <v>6415</v>
      </c>
      <c r="BR67" s="118" t="s">
        <v>6415</v>
      </c>
      <c r="BS67" s="118" t="s">
        <v>6415</v>
      </c>
      <c r="BT67" s="118" t="s">
        <v>6415</v>
      </c>
      <c r="BU67" s="118" t="s">
        <v>6415</v>
      </c>
      <c r="BV67" s="118" t="s">
        <v>6415</v>
      </c>
      <c r="BW67" s="118" t="s">
        <v>6415</v>
      </c>
      <c r="BX67" s="118" t="s">
        <v>6415</v>
      </c>
      <c r="BY67" s="118" t="s">
        <v>6415</v>
      </c>
      <c r="BZ67" s="118">
        <v>507</v>
      </c>
      <c r="CA67" s="118" t="s">
        <v>6415</v>
      </c>
      <c r="CB67" s="118" t="s">
        <v>422</v>
      </c>
      <c r="CC67" s="118" t="s">
        <v>740</v>
      </c>
      <c r="CD67" s="118">
        <v>2</v>
      </c>
      <c r="CE67" s="118" t="s">
        <v>411</v>
      </c>
      <c r="CF67" s="118" t="s">
        <v>410</v>
      </c>
      <c r="CG67" s="118" t="s">
        <v>924</v>
      </c>
      <c r="CH67" s="118" t="s">
        <v>6302</v>
      </c>
      <c r="CI67" s="118" t="s">
        <v>6303</v>
      </c>
      <c r="CJ67" s="118" t="s">
        <v>398</v>
      </c>
      <c r="CK67" s="14">
        <v>20</v>
      </c>
      <c r="CL67" s="118">
        <v>25</v>
      </c>
      <c r="CM67" s="118" t="s">
        <v>399</v>
      </c>
      <c r="CN67" s="118" t="s">
        <v>407</v>
      </c>
      <c r="CO67" s="118" t="s">
        <v>1096</v>
      </c>
      <c r="CP67" s="118" t="s">
        <v>450</v>
      </c>
      <c r="CQ67" s="118" t="s">
        <v>6415</v>
      </c>
      <c r="CR67" s="118" t="s">
        <v>6415</v>
      </c>
      <c r="CS67" s="118" t="s">
        <v>6415</v>
      </c>
      <c r="CT67" s="118" t="s">
        <v>6415</v>
      </c>
      <c r="CU67" s="118" t="s">
        <v>6415</v>
      </c>
      <c r="CV67" s="118" t="s">
        <v>6415</v>
      </c>
      <c r="CW67" s="14">
        <v>0</v>
      </c>
      <c r="CX67" s="118" t="s">
        <v>401</v>
      </c>
      <c r="CY67" s="118" t="s">
        <v>6151</v>
      </c>
      <c r="CZ67" s="118">
        <v>1</v>
      </c>
      <c r="DA67" s="118" t="s">
        <v>411</v>
      </c>
      <c r="DB67" s="118" t="s">
        <v>410</v>
      </c>
      <c r="DC67" s="118" t="s">
        <v>6415</v>
      </c>
      <c r="DD67" s="118" t="s">
        <v>6302</v>
      </c>
      <c r="DE67" s="118" t="s">
        <v>6305</v>
      </c>
      <c r="DF67" s="118" t="s">
        <v>398</v>
      </c>
      <c r="DG67" s="14">
        <v>0</v>
      </c>
      <c r="DH67" s="118">
        <v>25</v>
      </c>
      <c r="DI67" s="118" t="s">
        <v>429</v>
      </c>
      <c r="DJ67" s="118" t="s">
        <v>398</v>
      </c>
      <c r="DK67" s="118" t="s">
        <v>400</v>
      </c>
      <c r="DL67" s="118" t="s">
        <v>6415</v>
      </c>
      <c r="DM67" s="118" t="s">
        <v>6415</v>
      </c>
      <c r="DN67" s="118" t="s">
        <v>6415</v>
      </c>
      <c r="DO67" s="118" t="s">
        <v>6415</v>
      </c>
      <c r="DP67" s="118" t="s">
        <v>6415</v>
      </c>
      <c r="DQ67" s="118" t="s">
        <v>6415</v>
      </c>
      <c r="DR67" s="118">
        <v>0</v>
      </c>
      <c r="DS67" s="118" t="s">
        <v>6415</v>
      </c>
      <c r="DT67" s="118" t="s">
        <v>6415</v>
      </c>
      <c r="DU67" s="118" t="s">
        <v>6415</v>
      </c>
      <c r="DV67" s="118" t="s">
        <v>6415</v>
      </c>
      <c r="DW67" s="118" t="s">
        <v>6415</v>
      </c>
      <c r="DX67" s="118" t="s">
        <v>6415</v>
      </c>
      <c r="DY67" s="118" t="s">
        <v>6415</v>
      </c>
      <c r="DZ67" s="118" t="s">
        <v>6415</v>
      </c>
      <c r="EA67" s="118" t="s">
        <v>6415</v>
      </c>
      <c r="EB67" s="118" t="s">
        <v>6415</v>
      </c>
      <c r="EC67" s="118" t="s">
        <v>6415</v>
      </c>
      <c r="ED67" s="118" t="s">
        <v>6415</v>
      </c>
      <c r="EE67" s="118" t="s">
        <v>6415</v>
      </c>
      <c r="EF67" s="118" t="s">
        <v>6415</v>
      </c>
      <c r="EG67" s="118" t="s">
        <v>7051</v>
      </c>
      <c r="EH67" s="118" t="s">
        <v>7052</v>
      </c>
      <c r="EI67" s="118" t="s">
        <v>6415</v>
      </c>
      <c r="EJ67" s="118" t="s">
        <v>6415</v>
      </c>
      <c r="EK67" s="118" t="s">
        <v>6415</v>
      </c>
      <c r="EL67" s="118" t="s">
        <v>7467</v>
      </c>
      <c r="EM67" s="118" t="s">
        <v>7095</v>
      </c>
      <c r="EN67" s="118" t="s">
        <v>6415</v>
      </c>
      <c r="EO67" s="6" t="str">
        <f t="shared" si="10"/>
        <v>Pathweb</v>
      </c>
      <c r="EP67" s="6" t="str">
        <f t="shared" si="11"/>
        <v>Google Maps</v>
      </c>
      <c r="EQ67" s="6" t="str">
        <f t="shared" si="12"/>
        <v>Mashed Map</v>
      </c>
      <c r="ER67" s="118" t="s">
        <v>6726</v>
      </c>
      <c r="ES67" s="118" t="s">
        <v>71</v>
      </c>
      <c r="ET67" s="4">
        <v>0</v>
      </c>
      <c r="EU67" s="4"/>
      <c r="EV67" s="4"/>
    </row>
    <row r="68" spans="1:152" x14ac:dyDescent="0.15">
      <c r="A68" s="581" t="str">
        <f t="shared" si="9"/>
        <v>Crash Report</v>
      </c>
      <c r="B68" s="118">
        <v>20213153867</v>
      </c>
      <c r="C68" s="118">
        <v>2021</v>
      </c>
      <c r="D68" s="118">
        <v>21081728401711</v>
      </c>
      <c r="F68" s="118" t="s">
        <v>6442</v>
      </c>
      <c r="G68" s="118" t="s">
        <v>230</v>
      </c>
      <c r="H68" s="118">
        <v>2</v>
      </c>
      <c r="I68" s="118" t="s">
        <v>6055</v>
      </c>
      <c r="J68" s="118" t="s">
        <v>434</v>
      </c>
      <c r="K68" s="118" t="s">
        <v>6985</v>
      </c>
      <c r="L68" s="118">
        <v>9.0999999999999998E-2</v>
      </c>
      <c r="M68" s="118">
        <v>9.0999999999999998E-2</v>
      </c>
      <c r="N68" s="118" t="s">
        <v>7465</v>
      </c>
      <c r="O68" s="118" t="s">
        <v>7475</v>
      </c>
      <c r="P68" s="118">
        <v>41.647995999999999</v>
      </c>
      <c r="Q68" s="118">
        <v>-83.524321999999998</v>
      </c>
      <c r="R68" s="118">
        <v>77000</v>
      </c>
      <c r="S68" s="118" t="s">
        <v>6988</v>
      </c>
      <c r="T68" s="118">
        <v>1</v>
      </c>
      <c r="U68" s="118">
        <v>0</v>
      </c>
      <c r="V68" s="118">
        <v>0</v>
      </c>
      <c r="W68" s="118">
        <v>0</v>
      </c>
      <c r="X68" s="118">
        <v>0</v>
      </c>
      <c r="Y68" s="118">
        <v>2</v>
      </c>
      <c r="Z68" s="118">
        <v>0</v>
      </c>
      <c r="AA68" s="118">
        <v>2</v>
      </c>
      <c r="AB68" s="118" t="s">
        <v>1067</v>
      </c>
      <c r="AC68" s="118" t="s">
        <v>6989</v>
      </c>
      <c r="AD68" s="118" t="s">
        <v>1034</v>
      </c>
      <c r="AE68" s="118" t="s">
        <v>943</v>
      </c>
      <c r="AF68" s="118" t="s">
        <v>1042</v>
      </c>
      <c r="AG68" s="118" t="s">
        <v>6415</v>
      </c>
      <c r="AH68" s="118" t="s">
        <v>393</v>
      </c>
      <c r="AI68" s="118">
        <v>4</v>
      </c>
      <c r="AJ68" s="118" t="s">
        <v>6415</v>
      </c>
      <c r="AK68" s="118" t="s">
        <v>393</v>
      </c>
      <c r="AL68" s="118" t="s">
        <v>393</v>
      </c>
      <c r="AM68" s="118" t="s">
        <v>393</v>
      </c>
      <c r="AN68" s="402" t="s">
        <v>5975</v>
      </c>
      <c r="AO68" s="402">
        <v>44425</v>
      </c>
      <c r="AP68" s="118">
        <v>8</v>
      </c>
      <c r="AQ68" s="118">
        <v>17</v>
      </c>
      <c r="AR68" s="118" t="s">
        <v>6445</v>
      </c>
      <c r="AS68" s="118" t="s">
        <v>392</v>
      </c>
      <c r="AT68" s="118" t="s">
        <v>500</v>
      </c>
      <c r="AU68" s="118" t="s">
        <v>404</v>
      </c>
      <c r="AV68" s="118" t="s">
        <v>508</v>
      </c>
      <c r="AW68" s="118" t="s">
        <v>393</v>
      </c>
      <c r="AX68" s="118" t="s">
        <v>740</v>
      </c>
      <c r="AY68" s="118" t="s">
        <v>393</v>
      </c>
      <c r="AZ68" s="118" t="s">
        <v>393</v>
      </c>
      <c r="BA68" s="118" t="s">
        <v>393</v>
      </c>
      <c r="BB68" s="118" t="s">
        <v>393</v>
      </c>
      <c r="BC68" s="118" t="s">
        <v>393</v>
      </c>
      <c r="BD68" s="118" t="s">
        <v>393</v>
      </c>
      <c r="BE68" s="118" t="s">
        <v>393</v>
      </c>
      <c r="BF68" s="118" t="s">
        <v>740</v>
      </c>
      <c r="BG68" s="118" t="s">
        <v>393</v>
      </c>
      <c r="BH68" s="118" t="s">
        <v>394</v>
      </c>
      <c r="BI68" s="118" t="s">
        <v>394</v>
      </c>
      <c r="BJ68" s="118" t="s">
        <v>393</v>
      </c>
      <c r="BK68" s="118" t="s">
        <v>6988</v>
      </c>
      <c r="BL68" s="118" t="s">
        <v>6415</v>
      </c>
      <c r="BM68" s="118" t="s">
        <v>6990</v>
      </c>
      <c r="BN68" s="118" t="s">
        <v>6991</v>
      </c>
      <c r="BO68" s="118" t="s">
        <v>6415</v>
      </c>
      <c r="BP68" s="118" t="s">
        <v>6415</v>
      </c>
      <c r="BQ68" s="118" t="s">
        <v>6415</v>
      </c>
      <c r="BR68" s="118" t="s">
        <v>6415</v>
      </c>
      <c r="BS68" s="118" t="s">
        <v>6415</v>
      </c>
      <c r="BT68" s="118" t="s">
        <v>2583</v>
      </c>
      <c r="BU68" s="118" t="s">
        <v>7017</v>
      </c>
      <c r="BV68" s="118" t="s">
        <v>6415</v>
      </c>
      <c r="BW68" s="118" t="s">
        <v>6415</v>
      </c>
      <c r="BX68" s="118" t="s">
        <v>6415</v>
      </c>
      <c r="BY68" s="118" t="s">
        <v>6415</v>
      </c>
      <c r="BZ68" s="118" t="s">
        <v>6415</v>
      </c>
      <c r="CA68" s="118" t="s">
        <v>6415</v>
      </c>
      <c r="CB68" s="118" t="s">
        <v>221</v>
      </c>
      <c r="CC68" s="118" t="s">
        <v>740</v>
      </c>
      <c r="CD68" s="118">
        <v>1</v>
      </c>
      <c r="CE68" s="118" t="s">
        <v>410</v>
      </c>
      <c r="CF68" s="118" t="s">
        <v>406</v>
      </c>
      <c r="CG68" s="118" t="s">
        <v>230</v>
      </c>
      <c r="CH68" s="118" t="s">
        <v>6302</v>
      </c>
      <c r="CI68" s="118" t="s">
        <v>6303</v>
      </c>
      <c r="CJ68" s="118" t="s">
        <v>398</v>
      </c>
      <c r="CK68" s="118">
        <v>15</v>
      </c>
      <c r="CL68" s="118">
        <v>35</v>
      </c>
      <c r="CM68" s="118" t="s">
        <v>436</v>
      </c>
      <c r="CN68" s="118" t="s">
        <v>6327</v>
      </c>
      <c r="CO68" s="118" t="s">
        <v>1096</v>
      </c>
      <c r="CP68" s="118" t="s">
        <v>400</v>
      </c>
      <c r="CQ68" s="118" t="s">
        <v>6415</v>
      </c>
      <c r="CR68" s="118" t="s">
        <v>6415</v>
      </c>
      <c r="CS68" s="118" t="s">
        <v>6415</v>
      </c>
      <c r="CT68" s="118" t="s">
        <v>6415</v>
      </c>
      <c r="CU68" s="118" t="s">
        <v>6415</v>
      </c>
      <c r="CV68" s="118" t="s">
        <v>6415</v>
      </c>
      <c r="CW68" s="118">
        <v>48</v>
      </c>
      <c r="CX68" s="118" t="s">
        <v>1068</v>
      </c>
      <c r="CY68" s="118" t="s">
        <v>6341</v>
      </c>
      <c r="CZ68" s="118">
        <v>2</v>
      </c>
      <c r="DA68" s="118" t="s">
        <v>411</v>
      </c>
      <c r="DB68" s="118" t="s">
        <v>410</v>
      </c>
      <c r="DC68" s="118" t="s">
        <v>6415</v>
      </c>
      <c r="DD68" s="118" t="s">
        <v>6302</v>
      </c>
      <c r="DE68" s="118" t="s">
        <v>6303</v>
      </c>
      <c r="DF68" s="118" t="s">
        <v>398</v>
      </c>
      <c r="DG68" s="118">
        <v>15</v>
      </c>
      <c r="DH68" s="118">
        <v>35</v>
      </c>
      <c r="DI68" s="118" t="s">
        <v>399</v>
      </c>
      <c r="DJ68" s="118" t="s">
        <v>398</v>
      </c>
      <c r="DK68" s="118" t="s">
        <v>400</v>
      </c>
      <c r="DL68" s="118" t="s">
        <v>6415</v>
      </c>
      <c r="DM68" s="118" t="s">
        <v>6415</v>
      </c>
      <c r="DN68" s="118" t="s">
        <v>6415</v>
      </c>
      <c r="DO68" s="118" t="s">
        <v>6415</v>
      </c>
      <c r="DP68" s="118" t="s">
        <v>6415</v>
      </c>
      <c r="DQ68" s="118" t="s">
        <v>6415</v>
      </c>
      <c r="DR68" s="118">
        <v>18</v>
      </c>
      <c r="DS68" s="118" t="s">
        <v>1066</v>
      </c>
      <c r="DT68" s="118" t="s">
        <v>6341</v>
      </c>
      <c r="DU68" s="118" t="s">
        <v>6415</v>
      </c>
      <c r="DV68" s="118" t="s">
        <v>6415</v>
      </c>
      <c r="DW68" s="118" t="s">
        <v>6415</v>
      </c>
      <c r="DX68" s="118" t="s">
        <v>6415</v>
      </c>
      <c r="DY68" s="118" t="s">
        <v>6415</v>
      </c>
      <c r="DZ68" s="118" t="s">
        <v>6415</v>
      </c>
      <c r="EA68" s="118" t="s">
        <v>6415</v>
      </c>
      <c r="EB68" s="118" t="s">
        <v>6415</v>
      </c>
      <c r="EC68" s="118" t="s">
        <v>6415</v>
      </c>
      <c r="ED68" s="118" t="s">
        <v>6415</v>
      </c>
      <c r="EE68" s="118" t="s">
        <v>6415</v>
      </c>
      <c r="EF68" s="118" t="s">
        <v>6415</v>
      </c>
      <c r="EG68" s="118" t="s">
        <v>7028</v>
      </c>
      <c r="EH68" s="118" t="s">
        <v>7097</v>
      </c>
      <c r="EI68" s="118" t="s">
        <v>6415</v>
      </c>
      <c r="EJ68" s="118" t="s">
        <v>6415</v>
      </c>
      <c r="EK68" s="118" t="s">
        <v>6415</v>
      </c>
      <c r="EL68" s="118" t="s">
        <v>7467</v>
      </c>
      <c r="EM68" s="118" t="s">
        <v>7096</v>
      </c>
      <c r="EN68" s="118" t="s">
        <v>6415</v>
      </c>
      <c r="EO68" s="6" t="str">
        <f t="shared" si="10"/>
        <v>Pathweb</v>
      </c>
      <c r="EP68" s="6" t="str">
        <f t="shared" si="11"/>
        <v>Google Maps</v>
      </c>
      <c r="EQ68" s="6" t="str">
        <f t="shared" si="12"/>
        <v>Mashed Map</v>
      </c>
      <c r="ER68" s="118" t="s">
        <v>6727</v>
      </c>
      <c r="ES68" s="118" t="s">
        <v>71</v>
      </c>
      <c r="ET68" s="4">
        <v>0</v>
      </c>
      <c r="EU68" s="4"/>
      <c r="EV68" s="4"/>
    </row>
    <row r="69" spans="1:152" x14ac:dyDescent="0.15">
      <c r="A69" s="581" t="str">
        <f t="shared" si="9"/>
        <v>Crash Report</v>
      </c>
      <c r="B69" s="14">
        <v>20213158790</v>
      </c>
      <c r="C69" s="118">
        <v>2021</v>
      </c>
      <c r="D69" s="14">
        <v>21082927950040</v>
      </c>
      <c r="F69" s="118" t="s">
        <v>6442</v>
      </c>
      <c r="G69" s="118" t="s">
        <v>212</v>
      </c>
      <c r="H69" s="118">
        <v>2</v>
      </c>
      <c r="I69" s="118" t="s">
        <v>6055</v>
      </c>
      <c r="J69" s="118" t="s">
        <v>391</v>
      </c>
      <c r="K69" s="118" t="s">
        <v>6985</v>
      </c>
      <c r="L69" s="118">
        <v>0.65200000000000002</v>
      </c>
      <c r="M69" s="118">
        <v>0.65200000000000002</v>
      </c>
      <c r="N69" s="118" t="s">
        <v>7465</v>
      </c>
      <c r="O69" s="118">
        <v>1316</v>
      </c>
      <c r="P69" s="118">
        <v>41.653117000000002</v>
      </c>
      <c r="Q69" s="118">
        <v>-83.515955000000005</v>
      </c>
      <c r="R69" s="118">
        <v>77000</v>
      </c>
      <c r="S69" s="118" t="s">
        <v>6988</v>
      </c>
      <c r="T69" s="118">
        <v>1</v>
      </c>
      <c r="U69" s="118">
        <v>0</v>
      </c>
      <c r="V69" s="118">
        <v>0</v>
      </c>
      <c r="W69" s="118">
        <v>0</v>
      </c>
      <c r="X69" s="118">
        <v>0</v>
      </c>
      <c r="Y69" s="118">
        <v>1</v>
      </c>
      <c r="Z69" s="118">
        <v>0</v>
      </c>
      <c r="AA69" s="118">
        <v>2</v>
      </c>
      <c r="AB69" s="118" t="s">
        <v>1067</v>
      </c>
      <c r="AC69" s="118" t="s">
        <v>6989</v>
      </c>
      <c r="AD69" s="118" t="s">
        <v>1034</v>
      </c>
      <c r="AE69" s="118" t="s">
        <v>943</v>
      </c>
      <c r="AF69" s="118" t="s">
        <v>1041</v>
      </c>
      <c r="AG69" s="118" t="s">
        <v>6415</v>
      </c>
      <c r="AH69" s="118" t="s">
        <v>393</v>
      </c>
      <c r="AI69" s="118">
        <v>4</v>
      </c>
      <c r="AJ69" s="118" t="s">
        <v>6415</v>
      </c>
      <c r="AK69" s="118" t="s">
        <v>393</v>
      </c>
      <c r="AL69" s="118" t="s">
        <v>393</v>
      </c>
      <c r="AM69" s="118" t="s">
        <v>393</v>
      </c>
      <c r="AN69" s="402" t="s">
        <v>5975</v>
      </c>
      <c r="AO69" s="402">
        <v>44437</v>
      </c>
      <c r="AP69" s="118">
        <v>8</v>
      </c>
      <c r="AQ69" s="118">
        <v>0</v>
      </c>
      <c r="AR69" s="118" t="s">
        <v>6443</v>
      </c>
      <c r="AS69" s="118" t="s">
        <v>392</v>
      </c>
      <c r="AT69" s="118" t="s">
        <v>225</v>
      </c>
      <c r="AU69" s="118" t="s">
        <v>6151</v>
      </c>
      <c r="AV69" s="118" t="s">
        <v>508</v>
      </c>
      <c r="AW69" s="118" t="s">
        <v>393</v>
      </c>
      <c r="AX69" s="118" t="s">
        <v>393</v>
      </c>
      <c r="AY69" s="118" t="s">
        <v>393</v>
      </c>
      <c r="AZ69" s="118" t="s">
        <v>393</v>
      </c>
      <c r="BA69" s="118" t="s">
        <v>393</v>
      </c>
      <c r="BB69" s="118" t="s">
        <v>393</v>
      </c>
      <c r="BC69" s="118" t="s">
        <v>393</v>
      </c>
      <c r="BD69" s="118" t="s">
        <v>393</v>
      </c>
      <c r="BE69" s="118" t="s">
        <v>393</v>
      </c>
      <c r="BF69" s="118" t="s">
        <v>740</v>
      </c>
      <c r="BG69" s="118" t="s">
        <v>393</v>
      </c>
      <c r="BH69" s="118" t="s">
        <v>394</v>
      </c>
      <c r="BI69" s="118" t="s">
        <v>394</v>
      </c>
      <c r="BJ69" s="118" t="s">
        <v>393</v>
      </c>
      <c r="BK69" s="118" t="s">
        <v>6988</v>
      </c>
      <c r="BL69" s="118" t="s">
        <v>6415</v>
      </c>
      <c r="BM69" s="118" t="s">
        <v>6990</v>
      </c>
      <c r="BN69" s="118" t="s">
        <v>6991</v>
      </c>
      <c r="BO69" s="118" t="s">
        <v>6415</v>
      </c>
      <c r="BP69" s="118" t="s">
        <v>6415</v>
      </c>
      <c r="BQ69" s="118" t="s">
        <v>6415</v>
      </c>
      <c r="BR69" s="118" t="s">
        <v>6415</v>
      </c>
      <c r="BS69" s="118" t="s">
        <v>6415</v>
      </c>
      <c r="BT69" s="118" t="s">
        <v>7100</v>
      </c>
      <c r="BU69" s="118" t="s">
        <v>6415</v>
      </c>
      <c r="BV69" s="118" t="s">
        <v>6415</v>
      </c>
      <c r="BW69" s="118" t="s">
        <v>6415</v>
      </c>
      <c r="BX69" s="118" t="s">
        <v>6415</v>
      </c>
      <c r="BY69" s="118" t="s">
        <v>6415</v>
      </c>
      <c r="BZ69" s="118">
        <v>1316</v>
      </c>
      <c r="CA69" s="118" t="s">
        <v>6415</v>
      </c>
      <c r="CB69" s="118" t="s">
        <v>422</v>
      </c>
      <c r="CC69" s="118" t="s">
        <v>740</v>
      </c>
      <c r="CD69" s="118">
        <v>1</v>
      </c>
      <c r="CE69" s="118" t="s">
        <v>406</v>
      </c>
      <c r="CF69" s="118" t="s">
        <v>411</v>
      </c>
      <c r="CG69" s="118" t="s">
        <v>230</v>
      </c>
      <c r="CH69" s="118" t="s">
        <v>6302</v>
      </c>
      <c r="CI69" s="118" t="s">
        <v>6303</v>
      </c>
      <c r="CJ69" s="118" t="s">
        <v>398</v>
      </c>
      <c r="CK69" s="14">
        <v>0</v>
      </c>
      <c r="CL69" s="118">
        <v>5</v>
      </c>
      <c r="CM69" s="118" t="s">
        <v>212</v>
      </c>
      <c r="CN69" s="118" t="s">
        <v>441</v>
      </c>
      <c r="CO69" s="118" t="s">
        <v>1096</v>
      </c>
      <c r="CP69" s="118" t="s">
        <v>400</v>
      </c>
      <c r="CQ69" s="118" t="s">
        <v>6415</v>
      </c>
      <c r="CR69" s="118" t="s">
        <v>6415</v>
      </c>
      <c r="CS69" s="118" t="s">
        <v>6415</v>
      </c>
      <c r="CT69" s="118" t="s">
        <v>6415</v>
      </c>
      <c r="CU69" s="118" t="s">
        <v>6415</v>
      </c>
      <c r="CV69" s="118" t="s">
        <v>6415</v>
      </c>
      <c r="CW69" s="14">
        <v>25</v>
      </c>
      <c r="CX69" s="118" t="s">
        <v>1068</v>
      </c>
      <c r="CY69" s="118" t="s">
        <v>6341</v>
      </c>
      <c r="CZ69" s="118">
        <v>2</v>
      </c>
      <c r="DA69" s="118" t="s">
        <v>411</v>
      </c>
      <c r="DB69" s="118" t="s">
        <v>410</v>
      </c>
      <c r="DC69" s="118" t="s">
        <v>6415</v>
      </c>
      <c r="DD69" s="118" t="s">
        <v>6302</v>
      </c>
      <c r="DE69" s="118" t="s">
        <v>6303</v>
      </c>
      <c r="DF69" s="118" t="s">
        <v>398</v>
      </c>
      <c r="DG69" s="14">
        <v>0</v>
      </c>
      <c r="DH69" s="118">
        <v>5</v>
      </c>
      <c r="DI69" s="118" t="s">
        <v>429</v>
      </c>
      <c r="DJ69" s="118" t="s">
        <v>398</v>
      </c>
      <c r="DK69" s="118" t="s">
        <v>400</v>
      </c>
      <c r="DL69" s="118" t="s">
        <v>6415</v>
      </c>
      <c r="DM69" s="118" t="s">
        <v>6415</v>
      </c>
      <c r="DN69" s="118" t="s">
        <v>6415</v>
      </c>
      <c r="DO69" s="118" t="s">
        <v>6415</v>
      </c>
      <c r="DP69" s="118" t="s">
        <v>6415</v>
      </c>
      <c r="DQ69" s="118" t="s">
        <v>6415</v>
      </c>
      <c r="DR69" s="118">
        <v>0</v>
      </c>
      <c r="DS69" s="118" t="s">
        <v>6415</v>
      </c>
      <c r="DT69" s="118" t="s">
        <v>6415</v>
      </c>
      <c r="DU69" s="118" t="s">
        <v>6415</v>
      </c>
      <c r="DV69" s="118" t="s">
        <v>6415</v>
      </c>
      <c r="DW69" s="118" t="s">
        <v>6415</v>
      </c>
      <c r="DX69" s="118" t="s">
        <v>6415</v>
      </c>
      <c r="DY69" s="118" t="s">
        <v>6415</v>
      </c>
      <c r="DZ69" s="118" t="s">
        <v>6415</v>
      </c>
      <c r="EA69" s="118" t="s">
        <v>6415</v>
      </c>
      <c r="EB69" s="118" t="s">
        <v>6415</v>
      </c>
      <c r="EC69" s="118" t="s">
        <v>6415</v>
      </c>
      <c r="ED69" s="118" t="s">
        <v>6415</v>
      </c>
      <c r="EE69" s="118" t="s">
        <v>6415</v>
      </c>
      <c r="EF69" s="118" t="s">
        <v>6415</v>
      </c>
      <c r="EG69" s="118" t="s">
        <v>7014</v>
      </c>
      <c r="EH69" s="118" t="s">
        <v>7099</v>
      </c>
      <c r="EI69" s="118" t="s">
        <v>6415</v>
      </c>
      <c r="EJ69" s="118" t="s">
        <v>6415</v>
      </c>
      <c r="EK69" s="118" t="s">
        <v>6415</v>
      </c>
      <c r="EL69" s="118" t="s">
        <v>7467</v>
      </c>
      <c r="EM69" s="118" t="s">
        <v>7098</v>
      </c>
      <c r="EN69" s="118" t="s">
        <v>6415</v>
      </c>
      <c r="EO69" s="6" t="str">
        <f t="shared" si="10"/>
        <v>Pathweb</v>
      </c>
      <c r="EP69" s="6" t="str">
        <f t="shared" si="11"/>
        <v>Google Maps</v>
      </c>
      <c r="EQ69" s="6" t="str">
        <f t="shared" si="12"/>
        <v>Mashed Map</v>
      </c>
      <c r="ER69" s="118" t="s">
        <v>6727</v>
      </c>
      <c r="ES69" s="118" t="s">
        <v>71</v>
      </c>
      <c r="ET69" s="4">
        <v>2E-3</v>
      </c>
      <c r="EU69" s="4"/>
      <c r="EV69" s="4"/>
    </row>
    <row r="70" spans="1:152" x14ac:dyDescent="0.15">
      <c r="A70" s="581" t="str">
        <f t="shared" si="9"/>
        <v>Crash Report</v>
      </c>
      <c r="B70" s="14">
        <v>20213159356</v>
      </c>
      <c r="C70" s="118">
        <v>2021</v>
      </c>
      <c r="D70" s="14">
        <v>21082328460947</v>
      </c>
      <c r="F70" s="118" t="s">
        <v>6442</v>
      </c>
      <c r="G70" s="118" t="s">
        <v>210</v>
      </c>
      <c r="H70" s="118">
        <v>2</v>
      </c>
      <c r="I70" s="118" t="s">
        <v>6055</v>
      </c>
      <c r="J70" s="118" t="s">
        <v>391</v>
      </c>
      <c r="K70" s="118" t="s">
        <v>6997</v>
      </c>
      <c r="L70" s="118">
        <v>0.42399999999999999</v>
      </c>
      <c r="M70" s="118">
        <v>0.42399999999999999</v>
      </c>
      <c r="N70" s="118" t="s">
        <v>7469</v>
      </c>
      <c r="O70" s="118">
        <v>502</v>
      </c>
      <c r="P70" s="118">
        <v>41.645274999999998</v>
      </c>
      <c r="Q70" s="118">
        <v>-83.519924000000003</v>
      </c>
      <c r="R70" s="118">
        <v>77000</v>
      </c>
      <c r="S70" s="118" t="s">
        <v>6988</v>
      </c>
      <c r="T70" s="118">
        <v>1</v>
      </c>
      <c r="U70" s="118">
        <v>0</v>
      </c>
      <c r="V70" s="118">
        <v>0</v>
      </c>
      <c r="W70" s="118">
        <v>0</v>
      </c>
      <c r="X70" s="118">
        <v>0</v>
      </c>
      <c r="Y70" s="118">
        <v>1</v>
      </c>
      <c r="Z70" s="118">
        <v>0</v>
      </c>
      <c r="AA70" s="118">
        <v>2</v>
      </c>
      <c r="AB70" s="118" t="s">
        <v>1067</v>
      </c>
      <c r="AC70" s="118" t="s">
        <v>6989</v>
      </c>
      <c r="AD70" s="118" t="s">
        <v>1034</v>
      </c>
      <c r="AE70" s="118" t="s">
        <v>943</v>
      </c>
      <c r="AF70" s="118" t="s">
        <v>1042</v>
      </c>
      <c r="AG70" s="118" t="s">
        <v>6415</v>
      </c>
      <c r="AH70" s="118" t="s">
        <v>393</v>
      </c>
      <c r="AI70" s="118">
        <v>2</v>
      </c>
      <c r="AJ70" s="118" t="s">
        <v>6415</v>
      </c>
      <c r="AK70" s="118" t="s">
        <v>393</v>
      </c>
      <c r="AL70" s="118" t="s">
        <v>393</v>
      </c>
      <c r="AM70" s="118" t="s">
        <v>393</v>
      </c>
      <c r="AN70" s="402" t="s">
        <v>5975</v>
      </c>
      <c r="AO70" s="402">
        <v>44429</v>
      </c>
      <c r="AP70" s="118">
        <v>8</v>
      </c>
      <c r="AQ70" s="118">
        <v>20</v>
      </c>
      <c r="AR70" s="118" t="s">
        <v>6449</v>
      </c>
      <c r="AS70" s="118" t="s">
        <v>392</v>
      </c>
      <c r="AT70" s="118" t="s">
        <v>500</v>
      </c>
      <c r="AU70" s="118" t="s">
        <v>404</v>
      </c>
      <c r="AV70" s="118" t="s">
        <v>508</v>
      </c>
      <c r="AW70" s="118" t="s">
        <v>740</v>
      </c>
      <c r="AX70" s="118" t="s">
        <v>393</v>
      </c>
      <c r="AY70" s="118" t="s">
        <v>393</v>
      </c>
      <c r="AZ70" s="118" t="s">
        <v>393</v>
      </c>
      <c r="BA70" s="118" t="s">
        <v>393</v>
      </c>
      <c r="BB70" s="118" t="s">
        <v>393</v>
      </c>
      <c r="BC70" s="118" t="s">
        <v>393</v>
      </c>
      <c r="BD70" s="118" t="s">
        <v>393</v>
      </c>
      <c r="BE70" s="118" t="s">
        <v>393</v>
      </c>
      <c r="BF70" s="118" t="s">
        <v>393</v>
      </c>
      <c r="BG70" s="118" t="s">
        <v>393</v>
      </c>
      <c r="BH70" s="118" t="s">
        <v>394</v>
      </c>
      <c r="BI70" s="118" t="s">
        <v>394</v>
      </c>
      <c r="BJ70" s="118" t="s">
        <v>393</v>
      </c>
      <c r="BK70" s="118" t="s">
        <v>6988</v>
      </c>
      <c r="BL70" s="118" t="s">
        <v>6415</v>
      </c>
      <c r="BM70" s="118" t="s">
        <v>6992</v>
      </c>
      <c r="BN70" s="118" t="s">
        <v>6991</v>
      </c>
      <c r="BO70" s="118" t="s">
        <v>6415</v>
      </c>
      <c r="BP70" s="118" t="s">
        <v>6415</v>
      </c>
      <c r="BQ70" s="118" t="s">
        <v>6415</v>
      </c>
      <c r="BR70" s="118" t="s">
        <v>6415</v>
      </c>
      <c r="BS70" s="118" t="s">
        <v>6415</v>
      </c>
      <c r="BT70" s="118" t="s">
        <v>7102</v>
      </c>
      <c r="BU70" s="118" t="s">
        <v>6415</v>
      </c>
      <c r="BV70" s="118" t="s">
        <v>6415</v>
      </c>
      <c r="BW70" s="118" t="s">
        <v>6415</v>
      </c>
      <c r="BX70" s="118" t="s">
        <v>6415</v>
      </c>
      <c r="BY70" s="118" t="s">
        <v>6415</v>
      </c>
      <c r="BZ70" s="118">
        <v>502</v>
      </c>
      <c r="CA70" s="118" t="s">
        <v>6415</v>
      </c>
      <c r="CB70" s="118" t="s">
        <v>422</v>
      </c>
      <c r="CC70" s="118" t="s">
        <v>740</v>
      </c>
      <c r="CD70" s="118">
        <v>2</v>
      </c>
      <c r="CE70" s="118" t="s">
        <v>401</v>
      </c>
      <c r="CF70" s="118" t="s">
        <v>401</v>
      </c>
      <c r="CG70" s="118" t="s">
        <v>924</v>
      </c>
      <c r="CH70" s="118" t="s">
        <v>6302</v>
      </c>
      <c r="CI70" s="118" t="s">
        <v>6303</v>
      </c>
      <c r="CJ70" s="118" t="s">
        <v>398</v>
      </c>
      <c r="CK70" s="14">
        <v>0</v>
      </c>
      <c r="CL70" s="118">
        <v>0</v>
      </c>
      <c r="CM70" s="118" t="s">
        <v>439</v>
      </c>
      <c r="CN70" s="118" t="s">
        <v>407</v>
      </c>
      <c r="CO70" s="118" t="s">
        <v>1096</v>
      </c>
      <c r="CP70" s="118" t="s">
        <v>400</v>
      </c>
      <c r="CQ70" s="118" t="s">
        <v>6415</v>
      </c>
      <c r="CR70" s="118" t="s">
        <v>6415</v>
      </c>
      <c r="CS70" s="118" t="s">
        <v>6415</v>
      </c>
      <c r="CT70" s="118" t="s">
        <v>6415</v>
      </c>
      <c r="CU70" s="118" t="s">
        <v>6415</v>
      </c>
      <c r="CV70" s="118" t="s">
        <v>6415</v>
      </c>
      <c r="CW70" s="14">
        <v>0</v>
      </c>
      <c r="CX70" s="118" t="s">
        <v>401</v>
      </c>
      <c r="CY70" s="118" t="s">
        <v>6151</v>
      </c>
      <c r="CZ70" s="118">
        <v>1</v>
      </c>
      <c r="DA70" s="118" t="s">
        <v>401</v>
      </c>
      <c r="DB70" s="118" t="s">
        <v>401</v>
      </c>
      <c r="DC70" s="118" t="s">
        <v>6415</v>
      </c>
      <c r="DD70" s="118" t="s">
        <v>6302</v>
      </c>
      <c r="DE70" s="118" t="s">
        <v>6303</v>
      </c>
      <c r="DF70" s="118" t="s">
        <v>398</v>
      </c>
      <c r="DG70" s="14">
        <v>0</v>
      </c>
      <c r="DH70" s="118">
        <v>25</v>
      </c>
      <c r="DI70" s="118" t="s">
        <v>429</v>
      </c>
      <c r="DJ70" s="118" t="s">
        <v>398</v>
      </c>
      <c r="DK70" s="118" t="s">
        <v>400</v>
      </c>
      <c r="DL70" s="118" t="s">
        <v>6415</v>
      </c>
      <c r="DM70" s="118" t="s">
        <v>6415</v>
      </c>
      <c r="DN70" s="118" t="s">
        <v>6415</v>
      </c>
      <c r="DO70" s="118" t="s">
        <v>6415</v>
      </c>
      <c r="DP70" s="118" t="s">
        <v>6415</v>
      </c>
      <c r="DQ70" s="118" t="s">
        <v>6415</v>
      </c>
      <c r="DR70" s="118">
        <v>0</v>
      </c>
      <c r="DS70" s="118" t="s">
        <v>6415</v>
      </c>
      <c r="DT70" s="118" t="s">
        <v>6415</v>
      </c>
      <c r="DU70" s="118" t="s">
        <v>6415</v>
      </c>
      <c r="DV70" s="118" t="s">
        <v>6415</v>
      </c>
      <c r="DW70" s="118" t="s">
        <v>6415</v>
      </c>
      <c r="DX70" s="118" t="s">
        <v>6415</v>
      </c>
      <c r="DY70" s="118" t="s">
        <v>6415</v>
      </c>
      <c r="DZ70" s="118" t="s">
        <v>6415</v>
      </c>
      <c r="EA70" s="118" t="s">
        <v>6415</v>
      </c>
      <c r="EB70" s="118" t="s">
        <v>6415</v>
      </c>
      <c r="EC70" s="118" t="s">
        <v>6415</v>
      </c>
      <c r="ED70" s="118" t="s">
        <v>6415</v>
      </c>
      <c r="EE70" s="118" t="s">
        <v>6415</v>
      </c>
      <c r="EF70" s="118" t="s">
        <v>6415</v>
      </c>
      <c r="EG70" s="118" t="s">
        <v>7051</v>
      </c>
      <c r="EH70" s="118" t="s">
        <v>7052</v>
      </c>
      <c r="EI70" s="118" t="s">
        <v>6415</v>
      </c>
      <c r="EJ70" s="118" t="s">
        <v>6415</v>
      </c>
      <c r="EK70" s="118" t="s">
        <v>6415</v>
      </c>
      <c r="EL70" s="118" t="s">
        <v>7467</v>
      </c>
      <c r="EM70" s="118" t="s">
        <v>7101</v>
      </c>
      <c r="EN70" s="118" t="s">
        <v>6415</v>
      </c>
      <c r="EO70" s="6" t="str">
        <f t="shared" si="10"/>
        <v>Pathweb</v>
      </c>
      <c r="EP70" s="6" t="str">
        <f t="shared" si="11"/>
        <v>Google Maps</v>
      </c>
      <c r="EQ70" s="6" t="str">
        <f t="shared" si="12"/>
        <v>Mashed Map</v>
      </c>
      <c r="ER70" s="118" t="s">
        <v>6726</v>
      </c>
      <c r="ES70" s="118" t="s">
        <v>71</v>
      </c>
      <c r="ET70" s="4">
        <v>5.0000000000000001E-3</v>
      </c>
      <c r="EU70" s="4"/>
      <c r="EV70" s="4"/>
    </row>
    <row r="71" spans="1:152" x14ac:dyDescent="0.15">
      <c r="A71" s="581" t="str">
        <f t="shared" si="9"/>
        <v>Crash Report</v>
      </c>
      <c r="B71" s="118">
        <v>20213160150</v>
      </c>
      <c r="C71" s="118">
        <v>2021</v>
      </c>
      <c r="D71" s="118">
        <v>21083025172300</v>
      </c>
      <c r="F71" s="118" t="s">
        <v>6441</v>
      </c>
      <c r="G71" s="118" t="s">
        <v>390</v>
      </c>
      <c r="H71" s="118">
        <v>2</v>
      </c>
      <c r="I71" s="118" t="s">
        <v>6055</v>
      </c>
      <c r="J71" s="118" t="s">
        <v>391</v>
      </c>
      <c r="K71" s="118" t="s">
        <v>6985</v>
      </c>
      <c r="L71" s="118">
        <v>0.15</v>
      </c>
      <c r="M71" s="118">
        <v>0.15</v>
      </c>
      <c r="N71" s="118" t="s">
        <v>7465</v>
      </c>
      <c r="O71" s="118" t="s">
        <v>7473</v>
      </c>
      <c r="P71" s="118">
        <v>41.648516999999998</v>
      </c>
      <c r="Q71" s="118">
        <v>-83.523448000000002</v>
      </c>
      <c r="R71" s="118">
        <v>77000</v>
      </c>
      <c r="S71" s="118" t="s">
        <v>6988</v>
      </c>
      <c r="T71" s="118">
        <v>1</v>
      </c>
      <c r="U71" s="118">
        <v>0</v>
      </c>
      <c r="V71" s="118">
        <v>0</v>
      </c>
      <c r="W71" s="118">
        <v>0</v>
      </c>
      <c r="X71" s="118">
        <v>2</v>
      </c>
      <c r="Y71" s="118">
        <v>1</v>
      </c>
      <c r="Z71" s="118">
        <v>0</v>
      </c>
      <c r="AA71" s="118">
        <v>2</v>
      </c>
      <c r="AB71" s="118" t="s">
        <v>1067</v>
      </c>
      <c r="AC71" s="118" t="s">
        <v>6989</v>
      </c>
      <c r="AD71" s="118" t="s">
        <v>1034</v>
      </c>
      <c r="AE71" s="118" t="s">
        <v>943</v>
      </c>
      <c r="AF71" s="118" t="s">
        <v>1041</v>
      </c>
      <c r="AG71" s="118" t="s">
        <v>6415</v>
      </c>
      <c r="AH71" s="118" t="s">
        <v>393</v>
      </c>
      <c r="AI71" s="118">
        <v>4</v>
      </c>
      <c r="AJ71" s="118" t="s">
        <v>6415</v>
      </c>
      <c r="AK71" s="118" t="s">
        <v>393</v>
      </c>
      <c r="AL71" s="118" t="s">
        <v>393</v>
      </c>
      <c r="AM71" s="118" t="s">
        <v>393</v>
      </c>
      <c r="AN71" s="402" t="s">
        <v>5975</v>
      </c>
      <c r="AO71" s="402">
        <v>44438</v>
      </c>
      <c r="AP71" s="118">
        <v>8</v>
      </c>
      <c r="AQ71" s="118">
        <v>23</v>
      </c>
      <c r="AR71" s="118" t="s">
        <v>6444</v>
      </c>
      <c r="AS71" s="118" t="s">
        <v>392</v>
      </c>
      <c r="AT71" s="118" t="s">
        <v>500</v>
      </c>
      <c r="AU71" s="118" t="s">
        <v>505</v>
      </c>
      <c r="AV71" s="118" t="s">
        <v>508</v>
      </c>
      <c r="AW71" s="118" t="s">
        <v>393</v>
      </c>
      <c r="AX71" s="118" t="s">
        <v>740</v>
      </c>
      <c r="AY71" s="118" t="s">
        <v>393</v>
      </c>
      <c r="AZ71" s="118" t="s">
        <v>393</v>
      </c>
      <c r="BA71" s="118" t="s">
        <v>393</v>
      </c>
      <c r="BB71" s="118" t="s">
        <v>393</v>
      </c>
      <c r="BC71" s="118" t="s">
        <v>393</v>
      </c>
      <c r="BD71" s="118" t="s">
        <v>393</v>
      </c>
      <c r="BE71" s="118" t="s">
        <v>393</v>
      </c>
      <c r="BF71" s="118" t="s">
        <v>393</v>
      </c>
      <c r="BG71" s="118" t="s">
        <v>393</v>
      </c>
      <c r="BH71" s="118" t="s">
        <v>394</v>
      </c>
      <c r="BI71" s="118" t="s">
        <v>394</v>
      </c>
      <c r="BJ71" s="118" t="s">
        <v>393</v>
      </c>
      <c r="BK71" s="118" t="s">
        <v>6988</v>
      </c>
      <c r="BL71" s="118" t="s">
        <v>6415</v>
      </c>
      <c r="BM71" s="118" t="s">
        <v>6992</v>
      </c>
      <c r="BN71" s="118" t="s">
        <v>6991</v>
      </c>
      <c r="BO71" s="118" t="s">
        <v>6415</v>
      </c>
      <c r="BP71" s="118" t="s">
        <v>6415</v>
      </c>
      <c r="BQ71" s="118" t="s">
        <v>6415</v>
      </c>
      <c r="BR71" s="118" t="s">
        <v>6415</v>
      </c>
      <c r="BS71" s="118" t="s">
        <v>6415</v>
      </c>
      <c r="BT71" s="118" t="s">
        <v>6990</v>
      </c>
      <c r="BU71" s="118" t="s">
        <v>6991</v>
      </c>
      <c r="BV71" s="118" t="s">
        <v>6415</v>
      </c>
      <c r="BW71" s="118" t="s">
        <v>6415</v>
      </c>
      <c r="BX71" s="118" t="s">
        <v>6415</v>
      </c>
      <c r="BY71" s="118" t="s">
        <v>6415</v>
      </c>
      <c r="BZ71" s="118" t="s">
        <v>6415</v>
      </c>
      <c r="CA71" s="118" t="s">
        <v>6415</v>
      </c>
      <c r="CB71" s="118" t="s">
        <v>221</v>
      </c>
      <c r="CC71" s="118" t="s">
        <v>740</v>
      </c>
      <c r="CD71" s="118">
        <v>2</v>
      </c>
      <c r="CE71" s="118" t="s">
        <v>406</v>
      </c>
      <c r="CF71" s="118" t="s">
        <v>405</v>
      </c>
      <c r="CG71" s="118" t="s">
        <v>924</v>
      </c>
      <c r="CH71" s="118" t="s">
        <v>6300</v>
      </c>
      <c r="CI71" s="118" t="s">
        <v>6303</v>
      </c>
      <c r="CJ71" s="118" t="s">
        <v>398</v>
      </c>
      <c r="CK71" s="118">
        <v>20</v>
      </c>
      <c r="CL71" s="118">
        <v>35</v>
      </c>
      <c r="CM71" s="118" t="s">
        <v>399</v>
      </c>
      <c r="CN71" s="118" t="s">
        <v>6512</v>
      </c>
      <c r="CO71" s="118" t="s">
        <v>1096</v>
      </c>
      <c r="CP71" s="118" t="s">
        <v>400</v>
      </c>
      <c r="CQ71" s="118" t="s">
        <v>6415</v>
      </c>
      <c r="CR71" s="118" t="s">
        <v>6415</v>
      </c>
      <c r="CS71" s="118" t="s">
        <v>6415</v>
      </c>
      <c r="CT71" s="118" t="s">
        <v>6415</v>
      </c>
      <c r="CU71" s="118" t="s">
        <v>6415</v>
      </c>
      <c r="CV71" s="118" t="s">
        <v>6415</v>
      </c>
      <c r="CW71" s="118">
        <v>52</v>
      </c>
      <c r="CX71" s="118" t="s">
        <v>1066</v>
      </c>
      <c r="CY71" s="118" t="s">
        <v>6341</v>
      </c>
      <c r="CZ71" s="118">
        <v>1</v>
      </c>
      <c r="DA71" s="118" t="s">
        <v>406</v>
      </c>
      <c r="DB71" s="118" t="s">
        <v>405</v>
      </c>
      <c r="DC71" s="118" t="s">
        <v>6415</v>
      </c>
      <c r="DD71" s="118" t="s">
        <v>6300</v>
      </c>
      <c r="DE71" s="118" t="s">
        <v>6306</v>
      </c>
      <c r="DF71" s="118" t="s">
        <v>398</v>
      </c>
      <c r="DG71" s="118">
        <v>0</v>
      </c>
      <c r="DH71" s="118">
        <v>35</v>
      </c>
      <c r="DI71" s="118" t="s">
        <v>6355</v>
      </c>
      <c r="DJ71" s="118" t="s">
        <v>398</v>
      </c>
      <c r="DK71" s="118" t="s">
        <v>400</v>
      </c>
      <c r="DL71" s="118" t="s">
        <v>6415</v>
      </c>
      <c r="DM71" s="118" t="s">
        <v>6415</v>
      </c>
      <c r="DN71" s="118" t="s">
        <v>6415</v>
      </c>
      <c r="DO71" s="118" t="s">
        <v>6415</v>
      </c>
      <c r="DP71" s="118" t="s">
        <v>6415</v>
      </c>
      <c r="DQ71" s="118" t="s">
        <v>6415</v>
      </c>
      <c r="DR71" s="118">
        <v>27</v>
      </c>
      <c r="DS71" s="118" t="s">
        <v>1068</v>
      </c>
      <c r="DT71" s="118" t="s">
        <v>6341</v>
      </c>
      <c r="DU71" s="118" t="s">
        <v>6415</v>
      </c>
      <c r="DV71" s="118" t="s">
        <v>6415</v>
      </c>
      <c r="DW71" s="118" t="s">
        <v>6415</v>
      </c>
      <c r="DX71" s="118" t="s">
        <v>6415</v>
      </c>
      <c r="DY71" s="118" t="s">
        <v>6415</v>
      </c>
      <c r="DZ71" s="118" t="s">
        <v>6415</v>
      </c>
      <c r="EA71" s="118" t="s">
        <v>6415</v>
      </c>
      <c r="EB71" s="118" t="s">
        <v>6415</v>
      </c>
      <c r="EC71" s="118" t="s">
        <v>6415</v>
      </c>
      <c r="ED71" s="118" t="s">
        <v>6415</v>
      </c>
      <c r="EE71" s="118" t="s">
        <v>6415</v>
      </c>
      <c r="EF71" s="118" t="s">
        <v>6415</v>
      </c>
      <c r="EG71" s="118" t="s">
        <v>6986</v>
      </c>
      <c r="EH71" s="118" t="s">
        <v>7093</v>
      </c>
      <c r="EI71" s="118" t="s">
        <v>6415</v>
      </c>
      <c r="EJ71" s="118" t="s">
        <v>6415</v>
      </c>
      <c r="EK71" s="118" t="s">
        <v>6415</v>
      </c>
      <c r="EL71" s="118" t="s">
        <v>7467</v>
      </c>
      <c r="EM71" s="118" t="s">
        <v>7103</v>
      </c>
      <c r="EN71" s="118" t="s">
        <v>6415</v>
      </c>
      <c r="EO71" s="6" t="str">
        <f t="shared" si="10"/>
        <v>Pathweb</v>
      </c>
      <c r="EP71" s="6" t="str">
        <f t="shared" si="11"/>
        <v>Google Maps</v>
      </c>
      <c r="EQ71" s="6" t="str">
        <f t="shared" si="12"/>
        <v>Mashed Map</v>
      </c>
      <c r="ER71" s="118" t="s">
        <v>6727</v>
      </c>
      <c r="ES71" s="118" t="s">
        <v>6728</v>
      </c>
      <c r="ET71" s="4">
        <v>0</v>
      </c>
      <c r="EU71" s="4"/>
      <c r="EV71" s="4"/>
    </row>
    <row r="72" spans="1:152" x14ac:dyDescent="0.15">
      <c r="A72" s="581" t="str">
        <f t="shared" si="9"/>
        <v>Crash Report</v>
      </c>
      <c r="B72" s="118">
        <v>20213162414</v>
      </c>
      <c r="C72" s="118">
        <v>2021</v>
      </c>
      <c r="D72" s="118">
        <v>21090223291855</v>
      </c>
      <c r="F72" s="118" t="s">
        <v>6442</v>
      </c>
      <c r="G72" s="118" t="s">
        <v>230</v>
      </c>
      <c r="H72" s="118">
        <v>2</v>
      </c>
      <c r="I72" s="118" t="s">
        <v>6055</v>
      </c>
      <c r="J72" s="118" t="s">
        <v>391</v>
      </c>
      <c r="K72" s="118" t="s">
        <v>6985</v>
      </c>
      <c r="L72" s="118">
        <v>9.0999999999999998E-2</v>
      </c>
      <c r="M72" s="118">
        <v>9.0999999999999998E-2</v>
      </c>
      <c r="N72" s="118" t="s">
        <v>7465</v>
      </c>
      <c r="O72" s="118" t="s">
        <v>7475</v>
      </c>
      <c r="P72" s="118">
        <v>41.647995999999999</v>
      </c>
      <c r="Q72" s="118">
        <v>-83.524321999999998</v>
      </c>
      <c r="R72" s="118">
        <v>77000</v>
      </c>
      <c r="S72" s="118" t="s">
        <v>6988</v>
      </c>
      <c r="T72" s="118">
        <v>1</v>
      </c>
      <c r="U72" s="118">
        <v>0</v>
      </c>
      <c r="V72" s="118">
        <v>0</v>
      </c>
      <c r="W72" s="118">
        <v>0</v>
      </c>
      <c r="X72" s="118">
        <v>0</v>
      </c>
      <c r="Y72" s="118">
        <v>2</v>
      </c>
      <c r="Z72" s="118">
        <v>0</v>
      </c>
      <c r="AA72" s="118">
        <v>2</v>
      </c>
      <c r="AB72" s="118" t="s">
        <v>1067</v>
      </c>
      <c r="AC72" s="118" t="s">
        <v>6989</v>
      </c>
      <c r="AD72" s="118" t="s">
        <v>1034</v>
      </c>
      <c r="AE72" s="118" t="s">
        <v>943</v>
      </c>
      <c r="AF72" s="118" t="s">
        <v>1042</v>
      </c>
      <c r="AG72" s="118" t="s">
        <v>6415</v>
      </c>
      <c r="AH72" s="118" t="s">
        <v>393</v>
      </c>
      <c r="AI72" s="118">
        <v>4</v>
      </c>
      <c r="AJ72" s="118" t="s">
        <v>6415</v>
      </c>
      <c r="AK72" s="118" t="s">
        <v>393</v>
      </c>
      <c r="AL72" s="118" t="s">
        <v>393</v>
      </c>
      <c r="AM72" s="118" t="s">
        <v>393</v>
      </c>
      <c r="AN72" s="402" t="s">
        <v>5975</v>
      </c>
      <c r="AO72" s="402">
        <v>44441</v>
      </c>
      <c r="AP72" s="118">
        <v>9</v>
      </c>
      <c r="AQ72" s="118">
        <v>17</v>
      </c>
      <c r="AR72" s="118" t="s">
        <v>6447</v>
      </c>
      <c r="AS72" s="118" t="s">
        <v>392</v>
      </c>
      <c r="AT72" s="118" t="s">
        <v>500</v>
      </c>
      <c r="AU72" s="118" t="s">
        <v>404</v>
      </c>
      <c r="AV72" s="118" t="s">
        <v>508</v>
      </c>
      <c r="AW72" s="118" t="s">
        <v>393</v>
      </c>
      <c r="AX72" s="118" t="s">
        <v>393</v>
      </c>
      <c r="AY72" s="118" t="s">
        <v>393</v>
      </c>
      <c r="AZ72" s="118" t="s">
        <v>393</v>
      </c>
      <c r="BA72" s="118" t="s">
        <v>393</v>
      </c>
      <c r="BB72" s="118" t="s">
        <v>393</v>
      </c>
      <c r="BC72" s="118" t="s">
        <v>393</v>
      </c>
      <c r="BD72" s="118" t="s">
        <v>393</v>
      </c>
      <c r="BE72" s="118" t="s">
        <v>740</v>
      </c>
      <c r="BF72" s="118" t="s">
        <v>393</v>
      </c>
      <c r="BG72" s="118" t="s">
        <v>393</v>
      </c>
      <c r="BH72" s="118" t="s">
        <v>394</v>
      </c>
      <c r="BI72" s="118" t="s">
        <v>394</v>
      </c>
      <c r="BJ72" s="118" t="s">
        <v>393</v>
      </c>
      <c r="BK72" s="118" t="s">
        <v>6988</v>
      </c>
      <c r="BL72" s="118" t="s">
        <v>6415</v>
      </c>
      <c r="BM72" s="118" t="s">
        <v>6990</v>
      </c>
      <c r="BN72" s="118" t="s">
        <v>6991</v>
      </c>
      <c r="BO72" s="118" t="s">
        <v>6415</v>
      </c>
      <c r="BP72" s="118" t="s">
        <v>6415</v>
      </c>
      <c r="BQ72" s="118" t="s">
        <v>6415</v>
      </c>
      <c r="BR72" s="118" t="s">
        <v>6415</v>
      </c>
      <c r="BS72" s="118" t="s">
        <v>6415</v>
      </c>
      <c r="BT72" s="118" t="s">
        <v>2583</v>
      </c>
      <c r="BU72" s="118" t="s">
        <v>7017</v>
      </c>
      <c r="BV72" s="118" t="s">
        <v>6415</v>
      </c>
      <c r="BW72" s="118" t="s">
        <v>6415</v>
      </c>
      <c r="BX72" s="118" t="s">
        <v>6415</v>
      </c>
      <c r="BY72" s="118" t="s">
        <v>6415</v>
      </c>
      <c r="BZ72" s="118" t="s">
        <v>6415</v>
      </c>
      <c r="CA72" s="118" t="s">
        <v>6415</v>
      </c>
      <c r="CB72" s="118" t="s">
        <v>221</v>
      </c>
      <c r="CC72" s="118" t="s">
        <v>740</v>
      </c>
      <c r="CD72" s="118">
        <v>2</v>
      </c>
      <c r="CE72" s="118" t="s">
        <v>397</v>
      </c>
      <c r="CF72" s="118" t="s">
        <v>406</v>
      </c>
      <c r="CG72" s="118" t="s">
        <v>230</v>
      </c>
      <c r="CH72" s="118" t="s">
        <v>6302</v>
      </c>
      <c r="CI72" s="118" t="s">
        <v>6303</v>
      </c>
      <c r="CJ72" s="118" t="s">
        <v>398</v>
      </c>
      <c r="CK72" s="14">
        <v>0</v>
      </c>
      <c r="CL72" s="118">
        <v>35</v>
      </c>
      <c r="CM72" s="118" t="s">
        <v>436</v>
      </c>
      <c r="CN72" s="118" t="s">
        <v>451</v>
      </c>
      <c r="CO72" s="118" t="s">
        <v>1096</v>
      </c>
      <c r="CP72" s="118" t="s">
        <v>400</v>
      </c>
      <c r="CQ72" s="118" t="s">
        <v>6415</v>
      </c>
      <c r="CR72" s="118" t="s">
        <v>6415</v>
      </c>
      <c r="CS72" s="118" t="s">
        <v>6415</v>
      </c>
      <c r="CT72" s="118" t="s">
        <v>6415</v>
      </c>
      <c r="CU72" s="118" t="s">
        <v>6415</v>
      </c>
      <c r="CV72" s="118" t="s">
        <v>6415</v>
      </c>
      <c r="CW72" s="14">
        <v>81</v>
      </c>
      <c r="CX72" s="118" t="s">
        <v>1066</v>
      </c>
      <c r="CY72" s="118" t="s">
        <v>6151</v>
      </c>
      <c r="CZ72" s="118">
        <v>1</v>
      </c>
      <c r="DA72" s="118" t="s">
        <v>396</v>
      </c>
      <c r="DB72" s="118" t="s">
        <v>397</v>
      </c>
      <c r="DC72" s="118" t="s">
        <v>6415</v>
      </c>
      <c r="DD72" s="118" t="s">
        <v>6302</v>
      </c>
      <c r="DE72" s="118" t="s">
        <v>417</v>
      </c>
      <c r="DF72" s="118" t="s">
        <v>398</v>
      </c>
      <c r="DG72" s="14">
        <v>20</v>
      </c>
      <c r="DH72" s="118">
        <v>35</v>
      </c>
      <c r="DI72" s="118" t="s">
        <v>399</v>
      </c>
      <c r="DJ72" s="118" t="s">
        <v>398</v>
      </c>
      <c r="DK72" s="118" t="s">
        <v>400</v>
      </c>
      <c r="DL72" s="118" t="s">
        <v>6415</v>
      </c>
      <c r="DM72" s="118" t="s">
        <v>6415</v>
      </c>
      <c r="DN72" s="118" t="s">
        <v>6415</v>
      </c>
      <c r="DO72" s="118" t="s">
        <v>6415</v>
      </c>
      <c r="DP72" s="118" t="s">
        <v>6415</v>
      </c>
      <c r="DQ72" s="118" t="s">
        <v>6415</v>
      </c>
      <c r="DR72" s="118">
        <v>52</v>
      </c>
      <c r="DS72" s="118" t="s">
        <v>1068</v>
      </c>
      <c r="DT72" s="118" t="s">
        <v>6341</v>
      </c>
      <c r="DU72" s="118" t="s">
        <v>6415</v>
      </c>
      <c r="DV72" s="118" t="s">
        <v>6415</v>
      </c>
      <c r="DW72" s="118" t="s">
        <v>6415</v>
      </c>
      <c r="DX72" s="118" t="s">
        <v>6415</v>
      </c>
      <c r="DY72" s="118" t="s">
        <v>6415</v>
      </c>
      <c r="DZ72" s="118" t="s">
        <v>6415</v>
      </c>
      <c r="EA72" s="118" t="s">
        <v>6415</v>
      </c>
      <c r="EB72" s="118" t="s">
        <v>6415</v>
      </c>
      <c r="EC72" s="118" t="s">
        <v>6415</v>
      </c>
      <c r="ED72" s="118" t="s">
        <v>6415</v>
      </c>
      <c r="EE72" s="118" t="s">
        <v>6415</v>
      </c>
      <c r="EF72" s="118" t="s">
        <v>6415</v>
      </c>
      <c r="EG72" s="118" t="s">
        <v>7028</v>
      </c>
      <c r="EH72" s="118" t="s">
        <v>7097</v>
      </c>
      <c r="EI72" s="118" t="s">
        <v>6415</v>
      </c>
      <c r="EJ72" s="118" t="s">
        <v>6415</v>
      </c>
      <c r="EK72" s="118" t="s">
        <v>6415</v>
      </c>
      <c r="EL72" s="118" t="s">
        <v>7467</v>
      </c>
      <c r="EM72" s="118" t="s">
        <v>7104</v>
      </c>
      <c r="EN72" s="118" t="s">
        <v>6415</v>
      </c>
      <c r="EO72" s="6" t="str">
        <f t="shared" si="10"/>
        <v>Pathweb</v>
      </c>
      <c r="EP72" s="6" t="str">
        <f t="shared" si="11"/>
        <v>Google Maps</v>
      </c>
      <c r="EQ72" s="6" t="str">
        <f t="shared" si="12"/>
        <v>Mashed Map</v>
      </c>
      <c r="ER72" s="118" t="s">
        <v>6727</v>
      </c>
      <c r="ES72" s="118" t="s">
        <v>71</v>
      </c>
      <c r="ET72" s="4">
        <v>0</v>
      </c>
      <c r="EU72" s="4"/>
      <c r="EV72" s="4"/>
    </row>
    <row r="73" spans="1:152" x14ac:dyDescent="0.15">
      <c r="A73" s="581" t="str">
        <f t="shared" si="9"/>
        <v>Crash Report</v>
      </c>
      <c r="B73" s="14">
        <v>20213165376</v>
      </c>
      <c r="C73" s="118">
        <v>2021</v>
      </c>
      <c r="D73" s="14">
        <v>21090728052040</v>
      </c>
      <c r="F73" s="118" t="s">
        <v>6442</v>
      </c>
      <c r="G73" s="118" t="s">
        <v>860</v>
      </c>
      <c r="H73" s="118">
        <v>2</v>
      </c>
      <c r="I73" s="118" t="s">
        <v>6055</v>
      </c>
      <c r="J73" s="118" t="s">
        <v>423</v>
      </c>
      <c r="K73" s="118" t="s">
        <v>6985</v>
      </c>
      <c r="L73" s="118">
        <v>0.15</v>
      </c>
      <c r="M73" s="118">
        <v>0.15</v>
      </c>
      <c r="N73" s="118" t="s">
        <v>7465</v>
      </c>
      <c r="O73" s="118" t="s">
        <v>7473</v>
      </c>
      <c r="P73" s="118">
        <v>41.648516999999998</v>
      </c>
      <c r="Q73" s="118">
        <v>-83.523448000000002</v>
      </c>
      <c r="R73" s="118">
        <v>77000</v>
      </c>
      <c r="S73" s="118" t="s">
        <v>6988</v>
      </c>
      <c r="T73" s="118">
        <v>1</v>
      </c>
      <c r="U73" s="118">
        <v>0</v>
      </c>
      <c r="V73" s="118">
        <v>0</v>
      </c>
      <c r="W73" s="118">
        <v>0</v>
      </c>
      <c r="X73" s="118">
        <v>0</v>
      </c>
      <c r="Y73" s="118">
        <v>2</v>
      </c>
      <c r="Z73" s="118">
        <v>0</v>
      </c>
      <c r="AA73" s="118">
        <v>2</v>
      </c>
      <c r="AB73" s="118" t="s">
        <v>1067</v>
      </c>
      <c r="AC73" s="118" t="s">
        <v>6989</v>
      </c>
      <c r="AD73" s="118" t="s">
        <v>1034</v>
      </c>
      <c r="AE73" s="118" t="s">
        <v>943</v>
      </c>
      <c r="AF73" s="118" t="s">
        <v>1041</v>
      </c>
      <c r="AG73" s="118" t="s">
        <v>6415</v>
      </c>
      <c r="AH73" s="118" t="s">
        <v>393</v>
      </c>
      <c r="AI73" s="118">
        <v>4</v>
      </c>
      <c r="AJ73" s="118" t="s">
        <v>6415</v>
      </c>
      <c r="AK73" s="118" t="s">
        <v>393</v>
      </c>
      <c r="AL73" s="118" t="s">
        <v>393</v>
      </c>
      <c r="AM73" s="118" t="s">
        <v>393</v>
      </c>
      <c r="AN73" s="402" t="s">
        <v>5975</v>
      </c>
      <c r="AO73" s="402">
        <v>44446</v>
      </c>
      <c r="AP73" s="118">
        <v>9</v>
      </c>
      <c r="AQ73" s="118">
        <v>20</v>
      </c>
      <c r="AR73" s="118" t="s">
        <v>6445</v>
      </c>
      <c r="AS73" s="118" t="s">
        <v>403</v>
      </c>
      <c r="AT73" s="118" t="s">
        <v>225</v>
      </c>
      <c r="AU73" s="118" t="s">
        <v>505</v>
      </c>
      <c r="AV73" s="118" t="s">
        <v>508</v>
      </c>
      <c r="AW73" s="118" t="s">
        <v>393</v>
      </c>
      <c r="AX73" s="118" t="s">
        <v>740</v>
      </c>
      <c r="AY73" s="118" t="s">
        <v>393</v>
      </c>
      <c r="AZ73" s="118" t="s">
        <v>393</v>
      </c>
      <c r="BA73" s="118" t="s">
        <v>393</v>
      </c>
      <c r="BB73" s="118" t="s">
        <v>393</v>
      </c>
      <c r="BC73" s="118" t="s">
        <v>393</v>
      </c>
      <c r="BD73" s="118" t="s">
        <v>393</v>
      </c>
      <c r="BE73" s="118" t="s">
        <v>393</v>
      </c>
      <c r="BF73" s="118" t="s">
        <v>393</v>
      </c>
      <c r="BG73" s="118" t="s">
        <v>393</v>
      </c>
      <c r="BH73" s="118" t="s">
        <v>394</v>
      </c>
      <c r="BI73" s="118" t="s">
        <v>394</v>
      </c>
      <c r="BJ73" s="118" t="s">
        <v>393</v>
      </c>
      <c r="BK73" s="118" t="s">
        <v>6988</v>
      </c>
      <c r="BL73" s="118" t="s">
        <v>6415</v>
      </c>
      <c r="BM73" s="118" t="s">
        <v>6992</v>
      </c>
      <c r="BN73" s="118" t="s">
        <v>6991</v>
      </c>
      <c r="BO73" s="118" t="s">
        <v>6415</v>
      </c>
      <c r="BP73" s="118" t="s">
        <v>6415</v>
      </c>
      <c r="BQ73" s="118" t="s">
        <v>6415</v>
      </c>
      <c r="BR73" s="118" t="s">
        <v>6415</v>
      </c>
      <c r="BS73" s="118" t="s">
        <v>6415</v>
      </c>
      <c r="BT73" s="118" t="s">
        <v>6990</v>
      </c>
      <c r="BU73" s="118" t="s">
        <v>6991</v>
      </c>
      <c r="BV73" s="118" t="s">
        <v>6415</v>
      </c>
      <c r="BW73" s="118" t="s">
        <v>6415</v>
      </c>
      <c r="BX73" s="118" t="s">
        <v>6415</v>
      </c>
      <c r="BY73" s="118" t="s">
        <v>6415</v>
      </c>
      <c r="BZ73" s="118" t="s">
        <v>6415</v>
      </c>
      <c r="CA73" s="118" t="s">
        <v>6415</v>
      </c>
      <c r="CB73" s="118" t="s">
        <v>221</v>
      </c>
      <c r="CC73" s="118" t="s">
        <v>740</v>
      </c>
      <c r="CD73" s="118">
        <v>1</v>
      </c>
      <c r="CE73" s="118" t="s">
        <v>410</v>
      </c>
      <c r="CF73" s="118" t="s">
        <v>405</v>
      </c>
      <c r="CG73" s="118" t="s">
        <v>860</v>
      </c>
      <c r="CH73" s="118" t="s">
        <v>6300</v>
      </c>
      <c r="CI73" s="118" t="s">
        <v>6303</v>
      </c>
      <c r="CJ73" s="118" t="s">
        <v>398</v>
      </c>
      <c r="CK73" s="14">
        <v>0</v>
      </c>
      <c r="CL73" s="118">
        <v>35</v>
      </c>
      <c r="CM73" s="118" t="s">
        <v>435</v>
      </c>
      <c r="CN73" s="118" t="s">
        <v>6327</v>
      </c>
      <c r="CO73" s="118" t="s">
        <v>1096</v>
      </c>
      <c r="CP73" s="118" t="s">
        <v>400</v>
      </c>
      <c r="CQ73" s="118" t="s">
        <v>6415</v>
      </c>
      <c r="CR73" s="118" t="s">
        <v>6415</v>
      </c>
      <c r="CS73" s="118" t="s">
        <v>6415</v>
      </c>
      <c r="CT73" s="118" t="s">
        <v>6415</v>
      </c>
      <c r="CU73" s="118" t="s">
        <v>6415</v>
      </c>
      <c r="CV73" s="118" t="s">
        <v>6415</v>
      </c>
      <c r="CW73" s="14">
        <v>31</v>
      </c>
      <c r="CX73" s="118" t="s">
        <v>1068</v>
      </c>
      <c r="CY73" s="118" t="s">
        <v>6341</v>
      </c>
      <c r="CZ73" s="118">
        <v>2</v>
      </c>
      <c r="DA73" s="118" t="s">
        <v>411</v>
      </c>
      <c r="DB73" s="118" t="s">
        <v>410</v>
      </c>
      <c r="DC73" s="118" t="s">
        <v>6415</v>
      </c>
      <c r="DD73" s="118" t="s">
        <v>6300</v>
      </c>
      <c r="DE73" s="118" t="s">
        <v>6303</v>
      </c>
      <c r="DF73" s="118" t="s">
        <v>398</v>
      </c>
      <c r="DG73" s="14" t="s">
        <v>6415</v>
      </c>
      <c r="DH73" s="118">
        <v>35</v>
      </c>
      <c r="DI73" s="118" t="s">
        <v>399</v>
      </c>
      <c r="DJ73" s="118" t="s">
        <v>398</v>
      </c>
      <c r="DK73" s="118" t="s">
        <v>400</v>
      </c>
      <c r="DL73" s="118" t="s">
        <v>6415</v>
      </c>
      <c r="DM73" s="118" t="s">
        <v>6415</v>
      </c>
      <c r="DN73" s="118" t="s">
        <v>6415</v>
      </c>
      <c r="DO73" s="118" t="s">
        <v>6415</v>
      </c>
      <c r="DP73" s="118" t="s">
        <v>6415</v>
      </c>
      <c r="DQ73" s="118" t="s">
        <v>6415</v>
      </c>
      <c r="DR73" s="118">
        <v>30</v>
      </c>
      <c r="DS73" s="118" t="s">
        <v>1068</v>
      </c>
      <c r="DT73" s="118" t="s">
        <v>6341</v>
      </c>
      <c r="DU73" s="118" t="s">
        <v>6415</v>
      </c>
      <c r="DV73" s="118" t="s">
        <v>6415</v>
      </c>
      <c r="DW73" s="118" t="s">
        <v>6415</v>
      </c>
      <c r="DX73" s="118" t="s">
        <v>6415</v>
      </c>
      <c r="DY73" s="118" t="s">
        <v>6415</v>
      </c>
      <c r="DZ73" s="118" t="s">
        <v>6415</v>
      </c>
      <c r="EA73" s="118" t="s">
        <v>6415</v>
      </c>
      <c r="EB73" s="118" t="s">
        <v>6415</v>
      </c>
      <c r="EC73" s="118" t="s">
        <v>6415</v>
      </c>
      <c r="ED73" s="118" t="s">
        <v>6415</v>
      </c>
      <c r="EE73" s="118" t="s">
        <v>6415</v>
      </c>
      <c r="EF73" s="118" t="s">
        <v>6415</v>
      </c>
      <c r="EG73" s="118" t="s">
        <v>6986</v>
      </c>
      <c r="EH73" s="118" t="s">
        <v>7093</v>
      </c>
      <c r="EI73" s="118" t="s">
        <v>6415</v>
      </c>
      <c r="EJ73" s="118" t="s">
        <v>6415</v>
      </c>
      <c r="EK73" s="118" t="s">
        <v>6415</v>
      </c>
      <c r="EL73" s="118" t="s">
        <v>7467</v>
      </c>
      <c r="EM73" s="118" t="s">
        <v>7105</v>
      </c>
      <c r="EN73" s="118" t="s">
        <v>6415</v>
      </c>
      <c r="EO73" s="6" t="str">
        <f t="shared" si="10"/>
        <v>Pathweb</v>
      </c>
      <c r="EP73" s="6" t="str">
        <f t="shared" si="11"/>
        <v>Google Maps</v>
      </c>
      <c r="EQ73" s="6" t="str">
        <f t="shared" si="12"/>
        <v>Mashed Map</v>
      </c>
      <c r="ER73" s="118" t="s">
        <v>6727</v>
      </c>
      <c r="ES73" s="118" t="s">
        <v>71</v>
      </c>
      <c r="ET73" s="4">
        <v>0</v>
      </c>
      <c r="EU73" s="4"/>
      <c r="EV73" s="4"/>
    </row>
    <row r="74" spans="1:152" x14ac:dyDescent="0.15">
      <c r="A74" s="581" t="str">
        <f t="shared" si="9"/>
        <v>Crash Report</v>
      </c>
      <c r="B74" s="14">
        <v>20213168607</v>
      </c>
      <c r="C74" s="118">
        <v>2021</v>
      </c>
      <c r="D74" s="14">
        <v>21091127741645</v>
      </c>
      <c r="F74" s="118" t="s">
        <v>6440</v>
      </c>
      <c r="G74" s="118" t="s">
        <v>416</v>
      </c>
      <c r="H74" s="118">
        <v>2</v>
      </c>
      <c r="I74" s="118" t="s">
        <v>6055</v>
      </c>
      <c r="J74" s="118" t="s">
        <v>391</v>
      </c>
      <c r="K74" s="118" t="s">
        <v>6985</v>
      </c>
      <c r="L74" s="118">
        <v>0.21099999999999999</v>
      </c>
      <c r="M74" s="118">
        <v>0.21099999999999999</v>
      </c>
      <c r="N74" s="118" t="s">
        <v>7465</v>
      </c>
      <c r="O74" s="118" t="s">
        <v>7485</v>
      </c>
      <c r="P74" s="118">
        <v>41.649062000000001</v>
      </c>
      <c r="Q74" s="118">
        <v>-83.522549999999995</v>
      </c>
      <c r="R74" s="118">
        <v>77000</v>
      </c>
      <c r="S74" s="118" t="s">
        <v>6988</v>
      </c>
      <c r="T74" s="118">
        <v>1</v>
      </c>
      <c r="U74" s="118">
        <v>0</v>
      </c>
      <c r="V74" s="118">
        <v>0</v>
      </c>
      <c r="W74" s="118">
        <v>1</v>
      </c>
      <c r="X74" s="118">
        <v>0</v>
      </c>
      <c r="Y74" s="118">
        <v>0</v>
      </c>
      <c r="Z74" s="118">
        <v>0</v>
      </c>
      <c r="AA74" s="118">
        <v>1</v>
      </c>
      <c r="AB74" s="118" t="s">
        <v>1067</v>
      </c>
      <c r="AC74" s="118" t="s">
        <v>6989</v>
      </c>
      <c r="AD74" s="118" t="s">
        <v>1034</v>
      </c>
      <c r="AE74" s="118" t="s">
        <v>943</v>
      </c>
      <c r="AF74" s="118" t="s">
        <v>1041</v>
      </c>
      <c r="AG74" s="118" t="s">
        <v>6415</v>
      </c>
      <c r="AH74" s="118" t="s">
        <v>393</v>
      </c>
      <c r="AI74" s="118">
        <v>4</v>
      </c>
      <c r="AJ74" s="118" t="s">
        <v>6415</v>
      </c>
      <c r="AK74" s="118" t="s">
        <v>393</v>
      </c>
      <c r="AL74" s="118" t="s">
        <v>393</v>
      </c>
      <c r="AM74" s="118" t="s">
        <v>393</v>
      </c>
      <c r="AN74" s="402" t="s">
        <v>5975</v>
      </c>
      <c r="AO74" s="402">
        <v>44450</v>
      </c>
      <c r="AP74" s="118">
        <v>9</v>
      </c>
      <c r="AQ74" s="118">
        <v>16</v>
      </c>
      <c r="AR74" s="118" t="s">
        <v>6449</v>
      </c>
      <c r="AS74" s="118" t="s">
        <v>392</v>
      </c>
      <c r="AT74" s="118" t="s">
        <v>500</v>
      </c>
      <c r="AU74" s="118" t="s">
        <v>404</v>
      </c>
      <c r="AV74" s="118" t="s">
        <v>508</v>
      </c>
      <c r="AW74" s="118" t="s">
        <v>740</v>
      </c>
      <c r="AX74" s="118" t="s">
        <v>393</v>
      </c>
      <c r="AY74" s="118" t="s">
        <v>393</v>
      </c>
      <c r="AZ74" s="118" t="s">
        <v>393</v>
      </c>
      <c r="BA74" s="118" t="s">
        <v>393</v>
      </c>
      <c r="BB74" s="118" t="s">
        <v>393</v>
      </c>
      <c r="BC74" s="118" t="s">
        <v>393</v>
      </c>
      <c r="BD74" s="118" t="s">
        <v>393</v>
      </c>
      <c r="BE74" s="118" t="s">
        <v>393</v>
      </c>
      <c r="BF74" s="118" t="s">
        <v>393</v>
      </c>
      <c r="BG74" s="118" t="s">
        <v>393</v>
      </c>
      <c r="BH74" s="118" t="s">
        <v>394</v>
      </c>
      <c r="BI74" s="118" t="s">
        <v>394</v>
      </c>
      <c r="BJ74" s="118" t="s">
        <v>740</v>
      </c>
      <c r="BK74" s="118" t="s">
        <v>6988</v>
      </c>
      <c r="BL74" s="118" t="s">
        <v>6415</v>
      </c>
      <c r="BM74" s="118" t="s">
        <v>6990</v>
      </c>
      <c r="BN74" s="118" t="s">
        <v>6991</v>
      </c>
      <c r="BO74" s="118" t="s">
        <v>6415</v>
      </c>
      <c r="BP74" s="118" t="s">
        <v>6415</v>
      </c>
      <c r="BQ74" s="118" t="s">
        <v>6415</v>
      </c>
      <c r="BR74" s="118" t="s">
        <v>6415</v>
      </c>
      <c r="BS74" s="118" t="s">
        <v>6415</v>
      </c>
      <c r="BT74" s="118" t="s">
        <v>7108</v>
      </c>
      <c r="BU74" s="118" t="s">
        <v>6991</v>
      </c>
      <c r="BV74" s="118" t="s">
        <v>6415</v>
      </c>
      <c r="BW74" s="118" t="s">
        <v>6415</v>
      </c>
      <c r="BX74" s="118" t="s">
        <v>6415</v>
      </c>
      <c r="BY74" s="118" t="s">
        <v>6415</v>
      </c>
      <c r="BZ74" s="118" t="s">
        <v>6415</v>
      </c>
      <c r="CA74" s="118" t="s">
        <v>6415</v>
      </c>
      <c r="CB74" s="118" t="s">
        <v>221</v>
      </c>
      <c r="CC74" s="118" t="s">
        <v>740</v>
      </c>
      <c r="CD74" s="118">
        <v>1</v>
      </c>
      <c r="CE74" s="118" t="s">
        <v>405</v>
      </c>
      <c r="CF74" s="118" t="s">
        <v>406</v>
      </c>
      <c r="CG74" s="118" t="s">
        <v>924</v>
      </c>
      <c r="CH74" s="118" t="s">
        <v>6302</v>
      </c>
      <c r="CI74" s="118" t="s">
        <v>6303</v>
      </c>
      <c r="CJ74" s="118" t="s">
        <v>398</v>
      </c>
      <c r="CK74" s="118">
        <v>0</v>
      </c>
      <c r="CL74" s="118">
        <v>25</v>
      </c>
      <c r="CM74" s="118" t="s">
        <v>399</v>
      </c>
      <c r="CN74" s="118" t="s">
        <v>407</v>
      </c>
      <c r="CO74" s="118" t="s">
        <v>488</v>
      </c>
      <c r="CP74" s="118" t="s">
        <v>432</v>
      </c>
      <c r="CQ74" s="118" t="s">
        <v>488</v>
      </c>
      <c r="CR74" s="118" t="s">
        <v>6415</v>
      </c>
      <c r="CS74" s="118" t="s">
        <v>6415</v>
      </c>
      <c r="CT74" s="118" t="s">
        <v>6415</v>
      </c>
      <c r="CU74" s="118" t="s">
        <v>6415</v>
      </c>
      <c r="CV74" s="118" t="s">
        <v>6415</v>
      </c>
      <c r="CW74" s="118">
        <v>44</v>
      </c>
      <c r="CX74" s="118" t="s">
        <v>1066</v>
      </c>
      <c r="CY74" s="118" t="s">
        <v>6342</v>
      </c>
      <c r="CZ74" s="118" t="s">
        <v>6415</v>
      </c>
      <c r="DA74" s="118" t="s">
        <v>6415</v>
      </c>
      <c r="DB74" s="118" t="s">
        <v>6415</v>
      </c>
      <c r="DC74" s="118" t="s">
        <v>6415</v>
      </c>
      <c r="DD74" s="118" t="s">
        <v>6415</v>
      </c>
      <c r="DE74" s="118" t="s">
        <v>6415</v>
      </c>
      <c r="DF74" s="118" t="s">
        <v>6415</v>
      </c>
      <c r="DG74" s="118" t="s">
        <v>6415</v>
      </c>
      <c r="DH74" s="118" t="s">
        <v>6415</v>
      </c>
      <c r="DI74" s="118" t="s">
        <v>6415</v>
      </c>
      <c r="DJ74" s="118" t="s">
        <v>6415</v>
      </c>
      <c r="DK74" s="118" t="s">
        <v>6415</v>
      </c>
      <c r="DL74" s="118" t="s">
        <v>6415</v>
      </c>
      <c r="DM74" s="118" t="s">
        <v>6415</v>
      </c>
      <c r="DN74" s="118" t="s">
        <v>6415</v>
      </c>
      <c r="DO74" s="118" t="s">
        <v>6415</v>
      </c>
      <c r="DP74" s="118" t="s">
        <v>6415</v>
      </c>
      <c r="DQ74" s="118" t="s">
        <v>6415</v>
      </c>
      <c r="DR74" s="118">
        <v>0</v>
      </c>
      <c r="DS74" s="118" t="s">
        <v>6415</v>
      </c>
      <c r="DT74" s="118" t="s">
        <v>6415</v>
      </c>
      <c r="DU74" s="118" t="s">
        <v>6415</v>
      </c>
      <c r="DV74" s="118" t="s">
        <v>6415</v>
      </c>
      <c r="DW74" s="118" t="s">
        <v>6415</v>
      </c>
      <c r="DX74" s="118" t="s">
        <v>6415</v>
      </c>
      <c r="DY74" s="118" t="s">
        <v>6415</v>
      </c>
      <c r="DZ74" s="118" t="s">
        <v>6415</v>
      </c>
      <c r="EA74" s="118" t="s">
        <v>6415</v>
      </c>
      <c r="EB74" s="118" t="s">
        <v>6415</v>
      </c>
      <c r="EC74" s="118" t="s">
        <v>6415</v>
      </c>
      <c r="ED74" s="118" t="s">
        <v>6415</v>
      </c>
      <c r="EE74" s="118" t="s">
        <v>6415</v>
      </c>
      <c r="EF74" s="118" t="s">
        <v>6415</v>
      </c>
      <c r="EG74" s="118" t="s">
        <v>7081</v>
      </c>
      <c r="EH74" s="118" t="s">
        <v>7107</v>
      </c>
      <c r="EI74" s="118" t="s">
        <v>6415</v>
      </c>
      <c r="EJ74" s="118" t="s">
        <v>6415</v>
      </c>
      <c r="EK74" s="118" t="s">
        <v>6415</v>
      </c>
      <c r="EL74" s="118" t="s">
        <v>7467</v>
      </c>
      <c r="EM74" s="118" t="s">
        <v>7106</v>
      </c>
      <c r="EN74" s="118" t="s">
        <v>6415</v>
      </c>
      <c r="EO74" s="6" t="str">
        <f t="shared" si="10"/>
        <v>Pathweb</v>
      </c>
      <c r="EP74" s="6" t="str">
        <f t="shared" si="11"/>
        <v>Google Maps</v>
      </c>
      <c r="EQ74" s="6" t="str">
        <f t="shared" si="12"/>
        <v>Mashed Map</v>
      </c>
      <c r="ER74" s="118" t="s">
        <v>6726</v>
      </c>
      <c r="ES74" s="118" t="s">
        <v>6728</v>
      </c>
      <c r="ET74" s="4">
        <v>2E-3</v>
      </c>
      <c r="EU74" s="4"/>
      <c r="EV74" s="4"/>
    </row>
    <row r="75" spans="1:152" x14ac:dyDescent="0.15">
      <c r="A75" s="581" t="str">
        <f t="shared" si="9"/>
        <v>Crash Report</v>
      </c>
      <c r="B75" s="118">
        <v>20213173644</v>
      </c>
      <c r="C75" s="118">
        <v>2021</v>
      </c>
      <c r="D75" s="118">
        <v>21091727032100</v>
      </c>
      <c r="F75" s="118" t="s">
        <v>6442</v>
      </c>
      <c r="G75" s="118" t="s">
        <v>212</v>
      </c>
      <c r="H75" s="118">
        <v>2</v>
      </c>
      <c r="I75" s="118" t="s">
        <v>6055</v>
      </c>
      <c r="J75" s="118" t="s">
        <v>423</v>
      </c>
      <c r="K75" s="118" t="s">
        <v>6997</v>
      </c>
      <c r="L75" s="118">
        <v>0.88100000000000001</v>
      </c>
      <c r="M75" s="118">
        <v>0.88100000000000001</v>
      </c>
      <c r="N75" s="118" t="s">
        <v>7469</v>
      </c>
      <c r="O75" s="118" t="s">
        <v>7466</v>
      </c>
      <c r="P75" s="118">
        <v>41.650409000000003</v>
      </c>
      <c r="Q75" s="118">
        <v>-83.525486999999998</v>
      </c>
      <c r="R75" s="118">
        <v>77000</v>
      </c>
      <c r="S75" s="118" t="s">
        <v>6988</v>
      </c>
      <c r="T75" s="118">
        <v>1</v>
      </c>
      <c r="U75" s="118">
        <v>0</v>
      </c>
      <c r="V75" s="118">
        <v>0</v>
      </c>
      <c r="W75" s="118">
        <v>0</v>
      </c>
      <c r="X75" s="118">
        <v>0</v>
      </c>
      <c r="Y75" s="118">
        <v>2</v>
      </c>
      <c r="Z75" s="118">
        <v>0</v>
      </c>
      <c r="AA75" s="118">
        <v>2</v>
      </c>
      <c r="AB75" s="118" t="s">
        <v>1067</v>
      </c>
      <c r="AC75" s="118" t="s">
        <v>6989</v>
      </c>
      <c r="AD75" s="118" t="s">
        <v>1034</v>
      </c>
      <c r="AE75" s="118" t="s">
        <v>943</v>
      </c>
      <c r="AF75" s="118" t="s">
        <v>1041</v>
      </c>
      <c r="AG75" s="118" t="s">
        <v>6415</v>
      </c>
      <c r="AH75" s="118" t="s">
        <v>393</v>
      </c>
      <c r="AI75" s="118">
        <v>2</v>
      </c>
      <c r="AJ75" s="118" t="s">
        <v>6415</v>
      </c>
      <c r="AK75" s="118" t="s">
        <v>393</v>
      </c>
      <c r="AL75" s="118" t="s">
        <v>393</v>
      </c>
      <c r="AM75" s="118" t="s">
        <v>393</v>
      </c>
      <c r="AN75" s="402" t="s">
        <v>5975</v>
      </c>
      <c r="AO75" s="402">
        <v>44456</v>
      </c>
      <c r="AP75" s="118">
        <v>9</v>
      </c>
      <c r="AQ75" s="118">
        <v>21</v>
      </c>
      <c r="AR75" s="118" t="s">
        <v>6448</v>
      </c>
      <c r="AS75" s="118" t="s">
        <v>392</v>
      </c>
      <c r="AT75" s="118" t="s">
        <v>500</v>
      </c>
      <c r="AU75" s="118" t="s">
        <v>505</v>
      </c>
      <c r="AV75" s="118" t="s">
        <v>508</v>
      </c>
      <c r="AW75" s="118" t="s">
        <v>393</v>
      </c>
      <c r="AX75" s="118" t="s">
        <v>740</v>
      </c>
      <c r="AY75" s="118" t="s">
        <v>393</v>
      </c>
      <c r="AZ75" s="118" t="s">
        <v>393</v>
      </c>
      <c r="BA75" s="118" t="s">
        <v>393</v>
      </c>
      <c r="BB75" s="118" t="s">
        <v>393</v>
      </c>
      <c r="BC75" s="118" t="s">
        <v>393</v>
      </c>
      <c r="BD75" s="118" t="s">
        <v>393</v>
      </c>
      <c r="BE75" s="118" t="s">
        <v>740</v>
      </c>
      <c r="BF75" s="118" t="s">
        <v>393</v>
      </c>
      <c r="BG75" s="118" t="s">
        <v>393</v>
      </c>
      <c r="BH75" s="118" t="s">
        <v>394</v>
      </c>
      <c r="BI75" s="118" t="s">
        <v>394</v>
      </c>
      <c r="BJ75" s="118" t="s">
        <v>393</v>
      </c>
      <c r="BK75" s="118" t="s">
        <v>6988</v>
      </c>
      <c r="BL75" s="118" t="s">
        <v>6415</v>
      </c>
      <c r="BM75" s="118" t="s">
        <v>7110</v>
      </c>
      <c r="BN75" s="118" t="s">
        <v>1390</v>
      </c>
      <c r="BO75" s="118" t="s">
        <v>6415</v>
      </c>
      <c r="BP75" s="118" t="s">
        <v>6415</v>
      </c>
      <c r="BQ75" s="118" t="s">
        <v>6415</v>
      </c>
      <c r="BR75" s="118" t="s">
        <v>6415</v>
      </c>
      <c r="BS75" s="118" t="s">
        <v>6415</v>
      </c>
      <c r="BT75" s="118" t="s">
        <v>6992</v>
      </c>
      <c r="BU75" s="118" t="s">
        <v>6991</v>
      </c>
      <c r="BV75" s="118" t="s">
        <v>6415</v>
      </c>
      <c r="BW75" s="118" t="s">
        <v>6415</v>
      </c>
      <c r="BX75" s="118" t="s">
        <v>6415</v>
      </c>
      <c r="BY75" s="118" t="s">
        <v>6415</v>
      </c>
      <c r="BZ75" s="118" t="s">
        <v>6415</v>
      </c>
      <c r="CA75" s="118" t="s">
        <v>6415</v>
      </c>
      <c r="CB75" s="118" t="s">
        <v>221</v>
      </c>
      <c r="CC75" s="118" t="s">
        <v>740</v>
      </c>
      <c r="CD75" s="118">
        <v>2</v>
      </c>
      <c r="CE75" s="118" t="s">
        <v>405</v>
      </c>
      <c r="CF75" s="118" t="s">
        <v>406</v>
      </c>
      <c r="CG75" s="118" t="s">
        <v>924</v>
      </c>
      <c r="CH75" s="118" t="s">
        <v>6300</v>
      </c>
      <c r="CI75" s="118" t="s">
        <v>417</v>
      </c>
      <c r="CJ75" s="118" t="s">
        <v>398</v>
      </c>
      <c r="CK75" s="14">
        <v>0</v>
      </c>
      <c r="CL75" s="118">
        <v>25</v>
      </c>
      <c r="CM75" s="118" t="s">
        <v>212</v>
      </c>
      <c r="CN75" s="118" t="s">
        <v>441</v>
      </c>
      <c r="CO75" s="118" t="s">
        <v>1096</v>
      </c>
      <c r="CP75" s="118" t="s">
        <v>400</v>
      </c>
      <c r="CQ75" s="118" t="s">
        <v>6415</v>
      </c>
      <c r="CR75" s="118" t="s">
        <v>6415</v>
      </c>
      <c r="CS75" s="118" t="s">
        <v>6415</v>
      </c>
      <c r="CT75" s="118" t="s">
        <v>6415</v>
      </c>
      <c r="CU75" s="118" t="s">
        <v>6415</v>
      </c>
      <c r="CV75" s="118" t="s">
        <v>6415</v>
      </c>
      <c r="CW75" s="14">
        <v>0</v>
      </c>
      <c r="CX75" s="118" t="s">
        <v>401</v>
      </c>
      <c r="CY75" s="118" t="s">
        <v>6151</v>
      </c>
      <c r="CZ75" s="118">
        <v>1</v>
      </c>
      <c r="DA75" s="118" t="s">
        <v>405</v>
      </c>
      <c r="DB75" s="118" t="s">
        <v>406</v>
      </c>
      <c r="DC75" s="118" t="s">
        <v>6415</v>
      </c>
      <c r="DD75" s="118" t="s">
        <v>6300</v>
      </c>
      <c r="DE75" s="118" t="s">
        <v>6303</v>
      </c>
      <c r="DF75" s="118" t="s">
        <v>398</v>
      </c>
      <c r="DG75" s="14">
        <v>0</v>
      </c>
      <c r="DH75" s="118">
        <v>25</v>
      </c>
      <c r="DI75" s="118" t="s">
        <v>6355</v>
      </c>
      <c r="DJ75" s="118" t="s">
        <v>398</v>
      </c>
      <c r="DK75" s="118" t="s">
        <v>400</v>
      </c>
      <c r="DL75" s="118" t="s">
        <v>6415</v>
      </c>
      <c r="DM75" s="118" t="s">
        <v>6415</v>
      </c>
      <c r="DN75" s="118" t="s">
        <v>6415</v>
      </c>
      <c r="DO75" s="118" t="s">
        <v>6415</v>
      </c>
      <c r="DP75" s="118" t="s">
        <v>6415</v>
      </c>
      <c r="DQ75" s="118" t="s">
        <v>6415</v>
      </c>
      <c r="DR75" s="118">
        <v>68</v>
      </c>
      <c r="DS75" s="118" t="s">
        <v>1066</v>
      </c>
      <c r="DT75" s="118" t="s">
        <v>6341</v>
      </c>
      <c r="DU75" s="118" t="s">
        <v>6415</v>
      </c>
      <c r="DV75" s="118" t="s">
        <v>6415</v>
      </c>
      <c r="DW75" s="118" t="s">
        <v>6415</v>
      </c>
      <c r="DX75" s="118" t="s">
        <v>6415</v>
      </c>
      <c r="DY75" s="118" t="s">
        <v>6415</v>
      </c>
      <c r="DZ75" s="118" t="s">
        <v>6415</v>
      </c>
      <c r="EA75" s="118" t="s">
        <v>6415</v>
      </c>
      <c r="EB75" s="118" t="s">
        <v>6415</v>
      </c>
      <c r="EC75" s="118" t="s">
        <v>6415</v>
      </c>
      <c r="ED75" s="118" t="s">
        <v>6415</v>
      </c>
      <c r="EE75" s="118" t="s">
        <v>6415</v>
      </c>
      <c r="EF75" s="118" t="s">
        <v>6415</v>
      </c>
      <c r="EG75" s="118" t="s">
        <v>6998</v>
      </c>
      <c r="EH75" s="118" t="s">
        <v>7040</v>
      </c>
      <c r="EI75" s="118" t="s">
        <v>6415</v>
      </c>
      <c r="EJ75" s="118" t="s">
        <v>6415</v>
      </c>
      <c r="EK75" s="118" t="s">
        <v>6415</v>
      </c>
      <c r="EL75" s="118" t="s">
        <v>7467</v>
      </c>
      <c r="EM75" s="118" t="s">
        <v>7109</v>
      </c>
      <c r="EN75" s="118" t="s">
        <v>6415</v>
      </c>
      <c r="EO75" s="6" t="str">
        <f t="shared" si="10"/>
        <v>Pathweb</v>
      </c>
      <c r="EP75" s="6" t="str">
        <f t="shared" si="11"/>
        <v>Google Maps</v>
      </c>
      <c r="EQ75" s="6" t="str">
        <f t="shared" si="12"/>
        <v>Mashed Map</v>
      </c>
      <c r="ER75" s="118" t="s">
        <v>6727</v>
      </c>
      <c r="ES75" s="118" t="s">
        <v>71</v>
      </c>
      <c r="ET75" s="4">
        <v>0</v>
      </c>
      <c r="EU75" s="4"/>
      <c r="EV75" s="4"/>
    </row>
    <row r="76" spans="1:152" x14ac:dyDescent="0.15">
      <c r="A76" s="581" t="str">
        <f t="shared" si="9"/>
        <v>Crash Report</v>
      </c>
      <c r="B76" s="118">
        <v>20213174993</v>
      </c>
      <c r="C76" s="118">
        <v>2021</v>
      </c>
      <c r="D76" s="118">
        <v>21092025961751</v>
      </c>
      <c r="F76" s="118" t="s">
        <v>6442</v>
      </c>
      <c r="G76" s="118" t="s">
        <v>211</v>
      </c>
      <c r="H76" s="118">
        <v>2</v>
      </c>
      <c r="I76" s="118" t="s">
        <v>6055</v>
      </c>
      <c r="J76" s="118" t="s">
        <v>423</v>
      </c>
      <c r="K76" s="118" t="s">
        <v>6997</v>
      </c>
      <c r="L76" s="118">
        <v>0.88200000000000001</v>
      </c>
      <c r="M76" s="118">
        <v>0.88200000000000001</v>
      </c>
      <c r="N76" s="118" t="s">
        <v>7469</v>
      </c>
      <c r="O76" s="118" t="s">
        <v>7486</v>
      </c>
      <c r="P76" s="118">
        <v>41.650421000000001</v>
      </c>
      <c r="Q76" s="118">
        <v>-83.525498999999996</v>
      </c>
      <c r="R76" s="118">
        <v>77000</v>
      </c>
      <c r="S76" s="118" t="s">
        <v>6988</v>
      </c>
      <c r="T76" s="118">
        <v>1</v>
      </c>
      <c r="U76" s="118">
        <v>0</v>
      </c>
      <c r="V76" s="118">
        <v>0</v>
      </c>
      <c r="W76" s="118">
        <v>0</v>
      </c>
      <c r="X76" s="118">
        <v>0</v>
      </c>
      <c r="Y76" s="118">
        <v>2</v>
      </c>
      <c r="Z76" s="118">
        <v>0</v>
      </c>
      <c r="AA76" s="118">
        <v>2</v>
      </c>
      <c r="AB76" s="118" t="s">
        <v>1067</v>
      </c>
      <c r="AC76" s="118" t="s">
        <v>6989</v>
      </c>
      <c r="AD76" s="118" t="s">
        <v>1034</v>
      </c>
      <c r="AE76" s="118" t="s">
        <v>943</v>
      </c>
      <c r="AF76" s="118" t="s">
        <v>1041</v>
      </c>
      <c r="AG76" s="118" t="s">
        <v>6415</v>
      </c>
      <c r="AH76" s="118" t="s">
        <v>393</v>
      </c>
      <c r="AI76" s="118">
        <v>2</v>
      </c>
      <c r="AJ76" s="118" t="s">
        <v>6415</v>
      </c>
      <c r="AK76" s="118" t="s">
        <v>393</v>
      </c>
      <c r="AL76" s="118" t="s">
        <v>393</v>
      </c>
      <c r="AM76" s="118" t="s">
        <v>393</v>
      </c>
      <c r="AN76" s="402" t="s">
        <v>5975</v>
      </c>
      <c r="AO76" s="402">
        <v>44459</v>
      </c>
      <c r="AP76" s="118">
        <v>9</v>
      </c>
      <c r="AQ76" s="118">
        <v>17</v>
      </c>
      <c r="AR76" s="118" t="s">
        <v>6444</v>
      </c>
      <c r="AS76" s="118" t="s">
        <v>403</v>
      </c>
      <c r="AT76" s="118" t="s">
        <v>500</v>
      </c>
      <c r="AU76" s="118" t="s">
        <v>404</v>
      </c>
      <c r="AV76" s="118" t="s">
        <v>508</v>
      </c>
      <c r="AW76" s="118" t="s">
        <v>393</v>
      </c>
      <c r="AX76" s="118" t="s">
        <v>740</v>
      </c>
      <c r="AY76" s="118" t="s">
        <v>393</v>
      </c>
      <c r="AZ76" s="118" t="s">
        <v>393</v>
      </c>
      <c r="BA76" s="118" t="s">
        <v>393</v>
      </c>
      <c r="BB76" s="118" t="s">
        <v>393</v>
      </c>
      <c r="BC76" s="118" t="s">
        <v>393</v>
      </c>
      <c r="BD76" s="118" t="s">
        <v>393</v>
      </c>
      <c r="BE76" s="118" t="s">
        <v>393</v>
      </c>
      <c r="BF76" s="118" t="s">
        <v>393</v>
      </c>
      <c r="BG76" s="118" t="s">
        <v>393</v>
      </c>
      <c r="BH76" s="118" t="s">
        <v>394</v>
      </c>
      <c r="BI76" s="118" t="s">
        <v>394</v>
      </c>
      <c r="BJ76" s="118" t="s">
        <v>393</v>
      </c>
      <c r="BK76" s="118" t="s">
        <v>6988</v>
      </c>
      <c r="BL76" s="118" t="s">
        <v>6415</v>
      </c>
      <c r="BM76" s="118" t="s">
        <v>6992</v>
      </c>
      <c r="BN76" s="118" t="s">
        <v>6991</v>
      </c>
      <c r="BO76" s="118" t="s">
        <v>6415</v>
      </c>
      <c r="BP76" s="118" t="s">
        <v>6415</v>
      </c>
      <c r="BQ76" s="118" t="s">
        <v>6415</v>
      </c>
      <c r="BR76" s="118" t="s">
        <v>6415</v>
      </c>
      <c r="BS76" s="118" t="s">
        <v>6415</v>
      </c>
      <c r="BT76" s="118" t="s">
        <v>7110</v>
      </c>
      <c r="BU76" s="118" t="s">
        <v>1390</v>
      </c>
      <c r="BV76" s="118" t="s">
        <v>6415</v>
      </c>
      <c r="BW76" s="118" t="s">
        <v>6415</v>
      </c>
      <c r="BX76" s="118" t="s">
        <v>6415</v>
      </c>
      <c r="BY76" s="118" t="s">
        <v>6415</v>
      </c>
      <c r="BZ76" s="118" t="s">
        <v>6415</v>
      </c>
      <c r="CA76" s="118" t="s">
        <v>6415</v>
      </c>
      <c r="CB76" s="118" t="s">
        <v>221</v>
      </c>
      <c r="CC76" s="118" t="s">
        <v>740</v>
      </c>
      <c r="CD76" s="118">
        <v>2</v>
      </c>
      <c r="CE76" s="118" t="s">
        <v>445</v>
      </c>
      <c r="CF76" s="118" t="s">
        <v>446</v>
      </c>
      <c r="CG76" s="118" t="s">
        <v>924</v>
      </c>
      <c r="CH76" s="118" t="s">
        <v>6300</v>
      </c>
      <c r="CI76" s="118" t="s">
        <v>6303</v>
      </c>
      <c r="CJ76" s="118" t="s">
        <v>398</v>
      </c>
      <c r="CK76" s="14">
        <v>35</v>
      </c>
      <c r="CL76" s="118">
        <v>35</v>
      </c>
      <c r="CM76" s="118" t="s">
        <v>399</v>
      </c>
      <c r="CN76" s="118" t="s">
        <v>440</v>
      </c>
      <c r="CO76" s="118" t="s">
        <v>1096</v>
      </c>
      <c r="CP76" s="118" t="s">
        <v>400</v>
      </c>
      <c r="CQ76" s="118" t="s">
        <v>6415</v>
      </c>
      <c r="CR76" s="118" t="s">
        <v>6415</v>
      </c>
      <c r="CS76" s="118" t="s">
        <v>6415</v>
      </c>
      <c r="CT76" s="118" t="s">
        <v>6415</v>
      </c>
      <c r="CU76" s="118" t="s">
        <v>6415</v>
      </c>
      <c r="CV76" s="118" t="s">
        <v>6415</v>
      </c>
      <c r="CW76" s="14">
        <v>30</v>
      </c>
      <c r="CX76" s="118" t="s">
        <v>1068</v>
      </c>
      <c r="CY76" s="118" t="s">
        <v>6151</v>
      </c>
      <c r="CZ76" s="118">
        <v>1</v>
      </c>
      <c r="DA76" s="118" t="s">
        <v>446</v>
      </c>
      <c r="DB76" s="118" t="s">
        <v>396</v>
      </c>
      <c r="DC76" s="118" t="s">
        <v>6415</v>
      </c>
      <c r="DD76" s="118" t="s">
        <v>6300</v>
      </c>
      <c r="DE76" s="118" t="s">
        <v>417</v>
      </c>
      <c r="DF76" s="118" t="s">
        <v>398</v>
      </c>
      <c r="DG76" s="14">
        <v>10</v>
      </c>
      <c r="DH76" s="118">
        <v>35</v>
      </c>
      <c r="DI76" s="118" t="s">
        <v>436</v>
      </c>
      <c r="DJ76" s="118" t="s">
        <v>398</v>
      </c>
      <c r="DK76" s="118" t="s">
        <v>400</v>
      </c>
      <c r="DL76" s="118" t="s">
        <v>6415</v>
      </c>
      <c r="DM76" s="118" t="s">
        <v>6415</v>
      </c>
      <c r="DN76" s="118" t="s">
        <v>6415</v>
      </c>
      <c r="DO76" s="118" t="s">
        <v>6415</v>
      </c>
      <c r="DP76" s="118" t="s">
        <v>6415</v>
      </c>
      <c r="DQ76" s="118" t="s">
        <v>6415</v>
      </c>
      <c r="DR76" s="118">
        <v>46</v>
      </c>
      <c r="DS76" s="118" t="s">
        <v>1066</v>
      </c>
      <c r="DT76" s="118" t="s">
        <v>6341</v>
      </c>
      <c r="DU76" s="118" t="s">
        <v>6415</v>
      </c>
      <c r="DV76" s="118" t="s">
        <v>6415</v>
      </c>
      <c r="DW76" s="118" t="s">
        <v>6415</v>
      </c>
      <c r="DX76" s="118" t="s">
        <v>6415</v>
      </c>
      <c r="DY76" s="118" t="s">
        <v>6415</v>
      </c>
      <c r="DZ76" s="118" t="s">
        <v>6415</v>
      </c>
      <c r="EA76" s="118" t="s">
        <v>6415</v>
      </c>
      <c r="EB76" s="118" t="s">
        <v>6415</v>
      </c>
      <c r="EC76" s="118" t="s">
        <v>6415</v>
      </c>
      <c r="ED76" s="118" t="s">
        <v>6415</v>
      </c>
      <c r="EE76" s="118" t="s">
        <v>6415</v>
      </c>
      <c r="EF76" s="118" t="s">
        <v>6415</v>
      </c>
      <c r="EG76" s="118" t="s">
        <v>6998</v>
      </c>
      <c r="EH76" s="118" t="s">
        <v>7040</v>
      </c>
      <c r="EI76" s="118" t="s">
        <v>6415</v>
      </c>
      <c r="EJ76" s="118" t="s">
        <v>6415</v>
      </c>
      <c r="EK76" s="118" t="s">
        <v>6415</v>
      </c>
      <c r="EL76" s="118" t="s">
        <v>7467</v>
      </c>
      <c r="EM76" s="118" t="s">
        <v>7111</v>
      </c>
      <c r="EN76" s="118" t="s">
        <v>6415</v>
      </c>
      <c r="EO76" s="6" t="str">
        <f t="shared" si="10"/>
        <v>Pathweb</v>
      </c>
      <c r="EP76" s="6" t="str">
        <f t="shared" si="11"/>
        <v>Google Maps</v>
      </c>
      <c r="EQ76" s="6" t="str">
        <f t="shared" si="12"/>
        <v>Mashed Map</v>
      </c>
      <c r="ER76" s="118" t="s">
        <v>6727</v>
      </c>
      <c r="ES76" s="118" t="s">
        <v>71</v>
      </c>
      <c r="ET76" s="4">
        <v>0</v>
      </c>
      <c r="EU76" s="4"/>
      <c r="EV76" s="4"/>
    </row>
    <row r="77" spans="1:152" x14ac:dyDescent="0.15">
      <c r="A77" s="581" t="str">
        <f t="shared" si="9"/>
        <v>Crash Report</v>
      </c>
      <c r="B77" s="14">
        <v>20213176514</v>
      </c>
      <c r="C77" s="118">
        <v>2021</v>
      </c>
      <c r="D77" s="14">
        <v>21092223351230</v>
      </c>
      <c r="F77" s="118" t="s">
        <v>6440</v>
      </c>
      <c r="G77" s="118" t="s">
        <v>390</v>
      </c>
      <c r="H77" s="118">
        <v>2</v>
      </c>
      <c r="I77" s="118" t="s">
        <v>6055</v>
      </c>
      <c r="J77" s="118" t="s">
        <v>391</v>
      </c>
      <c r="K77" s="118" t="s">
        <v>6997</v>
      </c>
      <c r="L77" s="118">
        <v>0.88200000000000001</v>
      </c>
      <c r="M77" s="118">
        <v>0.88200000000000001</v>
      </c>
      <c r="N77" s="118" t="s">
        <v>7469</v>
      </c>
      <c r="O77" s="118" t="s">
        <v>7486</v>
      </c>
      <c r="P77" s="118">
        <v>41.650421000000001</v>
      </c>
      <c r="Q77" s="118">
        <v>-83.525498999999996</v>
      </c>
      <c r="R77" s="118">
        <v>77000</v>
      </c>
      <c r="S77" s="118" t="s">
        <v>6988</v>
      </c>
      <c r="T77" s="118">
        <v>1</v>
      </c>
      <c r="U77" s="118">
        <v>0</v>
      </c>
      <c r="V77" s="118">
        <v>0</v>
      </c>
      <c r="W77" s="118">
        <v>1</v>
      </c>
      <c r="X77" s="118">
        <v>0</v>
      </c>
      <c r="Y77" s="118">
        <v>1</v>
      </c>
      <c r="Z77" s="118">
        <v>0</v>
      </c>
      <c r="AA77" s="118">
        <v>2</v>
      </c>
      <c r="AB77" s="118" t="s">
        <v>1067</v>
      </c>
      <c r="AC77" s="118" t="s">
        <v>6989</v>
      </c>
      <c r="AD77" s="118" t="s">
        <v>1034</v>
      </c>
      <c r="AE77" s="118" t="s">
        <v>943</v>
      </c>
      <c r="AF77" s="118" t="s">
        <v>1041</v>
      </c>
      <c r="AG77" s="118" t="s">
        <v>6415</v>
      </c>
      <c r="AH77" s="118" t="s">
        <v>393</v>
      </c>
      <c r="AI77" s="118">
        <v>2</v>
      </c>
      <c r="AJ77" s="118" t="s">
        <v>6415</v>
      </c>
      <c r="AK77" s="118" t="s">
        <v>393</v>
      </c>
      <c r="AL77" s="118" t="s">
        <v>393</v>
      </c>
      <c r="AM77" s="118" t="s">
        <v>393</v>
      </c>
      <c r="AN77" s="402" t="s">
        <v>5975</v>
      </c>
      <c r="AO77" s="402">
        <v>44461</v>
      </c>
      <c r="AP77" s="118">
        <v>9</v>
      </c>
      <c r="AQ77" s="118">
        <v>12</v>
      </c>
      <c r="AR77" s="118" t="s">
        <v>6446</v>
      </c>
      <c r="AS77" s="118" t="s">
        <v>420</v>
      </c>
      <c r="AT77" s="118" t="s">
        <v>225</v>
      </c>
      <c r="AU77" s="118" t="s">
        <v>404</v>
      </c>
      <c r="AV77" s="118" t="s">
        <v>508</v>
      </c>
      <c r="AW77" s="118" t="s">
        <v>393</v>
      </c>
      <c r="AX77" s="118" t="s">
        <v>740</v>
      </c>
      <c r="AY77" s="118" t="s">
        <v>393</v>
      </c>
      <c r="AZ77" s="118" t="s">
        <v>393</v>
      </c>
      <c r="BA77" s="118" t="s">
        <v>393</v>
      </c>
      <c r="BB77" s="118" t="s">
        <v>393</v>
      </c>
      <c r="BC77" s="118" t="s">
        <v>393</v>
      </c>
      <c r="BD77" s="118" t="s">
        <v>393</v>
      </c>
      <c r="BE77" s="118" t="s">
        <v>393</v>
      </c>
      <c r="BF77" s="118" t="s">
        <v>393</v>
      </c>
      <c r="BG77" s="118" t="s">
        <v>393</v>
      </c>
      <c r="BH77" s="118" t="s">
        <v>394</v>
      </c>
      <c r="BI77" s="118" t="s">
        <v>394</v>
      </c>
      <c r="BJ77" s="118" t="s">
        <v>393</v>
      </c>
      <c r="BK77" s="118" t="s">
        <v>6988</v>
      </c>
      <c r="BL77" s="118" t="s">
        <v>6415</v>
      </c>
      <c r="BM77" s="118" t="s">
        <v>6992</v>
      </c>
      <c r="BN77" s="118" t="s">
        <v>6991</v>
      </c>
      <c r="BO77" s="118" t="s">
        <v>6415</v>
      </c>
      <c r="BP77" s="118" t="s">
        <v>6415</v>
      </c>
      <c r="BQ77" s="118" t="s">
        <v>6415</v>
      </c>
      <c r="BR77" s="118" t="s">
        <v>6415</v>
      </c>
      <c r="BS77" s="118" t="s">
        <v>6415</v>
      </c>
      <c r="BT77" s="118" t="s">
        <v>7110</v>
      </c>
      <c r="BU77" s="118" t="s">
        <v>1390</v>
      </c>
      <c r="BV77" s="118" t="s">
        <v>6415</v>
      </c>
      <c r="BW77" s="118" t="s">
        <v>6415</v>
      </c>
      <c r="BX77" s="118" t="s">
        <v>6415</v>
      </c>
      <c r="BY77" s="118" t="s">
        <v>6415</v>
      </c>
      <c r="BZ77" s="118" t="s">
        <v>6415</v>
      </c>
      <c r="CA77" s="118" t="s">
        <v>6415</v>
      </c>
      <c r="CB77" s="118" t="s">
        <v>221</v>
      </c>
      <c r="CC77" s="118" t="s">
        <v>740</v>
      </c>
      <c r="CD77" s="118">
        <v>1</v>
      </c>
      <c r="CE77" s="118" t="s">
        <v>410</v>
      </c>
      <c r="CF77" s="118" t="s">
        <v>411</v>
      </c>
      <c r="CG77" s="118" t="s">
        <v>924</v>
      </c>
      <c r="CH77" s="118" t="s">
        <v>6300</v>
      </c>
      <c r="CI77" s="118" t="s">
        <v>6303</v>
      </c>
      <c r="CJ77" s="118" t="s">
        <v>398</v>
      </c>
      <c r="CK77" s="118">
        <v>10</v>
      </c>
      <c r="CL77" s="118">
        <v>35</v>
      </c>
      <c r="CM77" s="118" t="s">
        <v>399</v>
      </c>
      <c r="CN77" s="118" t="s">
        <v>6512</v>
      </c>
      <c r="CO77" s="118" t="s">
        <v>1096</v>
      </c>
      <c r="CP77" s="118" t="s">
        <v>400</v>
      </c>
      <c r="CQ77" s="118" t="s">
        <v>6415</v>
      </c>
      <c r="CR77" s="118" t="s">
        <v>6415</v>
      </c>
      <c r="CS77" s="118" t="s">
        <v>6415</v>
      </c>
      <c r="CT77" s="118" t="s">
        <v>6415</v>
      </c>
      <c r="CU77" s="118" t="s">
        <v>6415</v>
      </c>
      <c r="CV77" s="118" t="s">
        <v>6415</v>
      </c>
      <c r="CW77" s="118">
        <v>49</v>
      </c>
      <c r="CX77" s="118" t="s">
        <v>1068</v>
      </c>
      <c r="CY77" s="118" t="s">
        <v>6341</v>
      </c>
      <c r="CZ77" s="118">
        <v>2</v>
      </c>
      <c r="DA77" s="118" t="s">
        <v>410</v>
      </c>
      <c r="DB77" s="118" t="s">
        <v>411</v>
      </c>
      <c r="DC77" s="118" t="s">
        <v>6415</v>
      </c>
      <c r="DD77" s="118" t="s">
        <v>6300</v>
      </c>
      <c r="DE77" s="118" t="s">
        <v>6306</v>
      </c>
      <c r="DF77" s="118" t="s">
        <v>398</v>
      </c>
      <c r="DG77" s="118">
        <v>5</v>
      </c>
      <c r="DH77" s="118">
        <v>35</v>
      </c>
      <c r="DI77" s="118" t="s">
        <v>6355</v>
      </c>
      <c r="DJ77" s="118" t="s">
        <v>398</v>
      </c>
      <c r="DK77" s="118" t="s">
        <v>400</v>
      </c>
      <c r="DL77" s="118" t="s">
        <v>6415</v>
      </c>
      <c r="DM77" s="118" t="s">
        <v>6415</v>
      </c>
      <c r="DN77" s="118" t="s">
        <v>6415</v>
      </c>
      <c r="DO77" s="118" t="s">
        <v>6415</v>
      </c>
      <c r="DP77" s="118" t="s">
        <v>6415</v>
      </c>
      <c r="DQ77" s="118" t="s">
        <v>6415</v>
      </c>
      <c r="DR77" s="118">
        <v>52</v>
      </c>
      <c r="DS77" s="118" t="s">
        <v>1068</v>
      </c>
      <c r="DT77" s="118" t="s">
        <v>6341</v>
      </c>
      <c r="DU77" s="118" t="s">
        <v>6415</v>
      </c>
      <c r="DV77" s="118" t="s">
        <v>6415</v>
      </c>
      <c r="DW77" s="118" t="s">
        <v>6415</v>
      </c>
      <c r="DX77" s="118" t="s">
        <v>6415</v>
      </c>
      <c r="DY77" s="118" t="s">
        <v>6415</v>
      </c>
      <c r="DZ77" s="118" t="s">
        <v>6415</v>
      </c>
      <c r="EA77" s="118" t="s">
        <v>6415</v>
      </c>
      <c r="EB77" s="118" t="s">
        <v>6415</v>
      </c>
      <c r="EC77" s="118" t="s">
        <v>6415</v>
      </c>
      <c r="ED77" s="118" t="s">
        <v>6415</v>
      </c>
      <c r="EE77" s="118" t="s">
        <v>6415</v>
      </c>
      <c r="EF77" s="118" t="s">
        <v>6415</v>
      </c>
      <c r="EG77" s="118" t="s">
        <v>6998</v>
      </c>
      <c r="EH77" s="118" t="s">
        <v>7040</v>
      </c>
      <c r="EI77" s="118" t="s">
        <v>6415</v>
      </c>
      <c r="EJ77" s="118" t="s">
        <v>6415</v>
      </c>
      <c r="EK77" s="118" t="s">
        <v>6415</v>
      </c>
      <c r="EL77" s="118" t="s">
        <v>7467</v>
      </c>
      <c r="EM77" s="118" t="s">
        <v>7112</v>
      </c>
      <c r="EN77" s="118" t="s">
        <v>6415</v>
      </c>
      <c r="EO77" s="6" t="str">
        <f t="shared" si="10"/>
        <v>Pathweb</v>
      </c>
      <c r="EP77" s="6" t="str">
        <f t="shared" si="11"/>
        <v>Google Maps</v>
      </c>
      <c r="EQ77" s="6" t="str">
        <f t="shared" si="12"/>
        <v>Mashed Map</v>
      </c>
      <c r="ER77" s="118" t="s">
        <v>6727</v>
      </c>
      <c r="ES77" s="118" t="s">
        <v>6728</v>
      </c>
      <c r="ET77" s="4">
        <v>0</v>
      </c>
      <c r="EU77" s="4"/>
      <c r="EV77" s="4"/>
    </row>
    <row r="78" spans="1:152" x14ac:dyDescent="0.15">
      <c r="A78" s="581" t="str">
        <f t="shared" si="9"/>
        <v>Crash Report</v>
      </c>
      <c r="B78" s="14">
        <v>20213181604</v>
      </c>
      <c r="C78" s="118">
        <v>2021</v>
      </c>
      <c r="D78" s="14">
        <v>21092828520847</v>
      </c>
      <c r="F78" s="118" t="s">
        <v>6440</v>
      </c>
      <c r="G78" s="118" t="s">
        <v>209</v>
      </c>
      <c r="H78" s="118">
        <v>2</v>
      </c>
      <c r="I78" s="118" t="s">
        <v>6055</v>
      </c>
      <c r="J78" s="118" t="s">
        <v>434</v>
      </c>
      <c r="K78" s="118" t="s">
        <v>6985</v>
      </c>
      <c r="L78" s="118">
        <v>0.51200000000000001</v>
      </c>
      <c r="M78" s="118">
        <v>0.51200000000000001</v>
      </c>
      <c r="N78" s="118" t="s">
        <v>7465</v>
      </c>
      <c r="O78" s="118" t="s">
        <v>7473</v>
      </c>
      <c r="P78" s="118">
        <v>41.651794000000002</v>
      </c>
      <c r="Q78" s="118">
        <v>-83.518069999999994</v>
      </c>
      <c r="R78" s="118">
        <v>77000</v>
      </c>
      <c r="S78" s="118" t="s">
        <v>6988</v>
      </c>
      <c r="T78" s="118">
        <v>1</v>
      </c>
      <c r="U78" s="118">
        <v>0</v>
      </c>
      <c r="V78" s="118">
        <v>0</v>
      </c>
      <c r="W78" s="118">
        <v>1</v>
      </c>
      <c r="X78" s="118">
        <v>0</v>
      </c>
      <c r="Y78" s="118">
        <v>4</v>
      </c>
      <c r="Z78" s="118">
        <v>0</v>
      </c>
      <c r="AA78" s="118">
        <v>2</v>
      </c>
      <c r="AB78" s="118" t="s">
        <v>1067</v>
      </c>
      <c r="AC78" s="118" t="s">
        <v>6989</v>
      </c>
      <c r="AD78" s="118" t="s">
        <v>1034</v>
      </c>
      <c r="AE78" s="118" t="s">
        <v>943</v>
      </c>
      <c r="AF78" s="118" t="s">
        <v>1041</v>
      </c>
      <c r="AG78" s="118" t="s">
        <v>6415</v>
      </c>
      <c r="AH78" s="118" t="s">
        <v>393</v>
      </c>
      <c r="AI78" s="118">
        <v>4</v>
      </c>
      <c r="AJ78" s="118" t="s">
        <v>6415</v>
      </c>
      <c r="AK78" s="118" t="s">
        <v>393</v>
      </c>
      <c r="AL78" s="118" t="s">
        <v>393</v>
      </c>
      <c r="AM78" s="118" t="s">
        <v>393</v>
      </c>
      <c r="AN78" s="402" t="s">
        <v>5975</v>
      </c>
      <c r="AO78" s="402">
        <v>44467</v>
      </c>
      <c r="AP78" s="118">
        <v>9</v>
      </c>
      <c r="AQ78" s="118">
        <v>8</v>
      </c>
      <c r="AR78" s="118" t="s">
        <v>6445</v>
      </c>
      <c r="AS78" s="118" t="s">
        <v>392</v>
      </c>
      <c r="AT78" s="118" t="s">
        <v>500</v>
      </c>
      <c r="AU78" s="118" t="s">
        <v>404</v>
      </c>
      <c r="AV78" s="118" t="s">
        <v>508</v>
      </c>
      <c r="AW78" s="118" t="s">
        <v>393</v>
      </c>
      <c r="AX78" s="118" t="s">
        <v>740</v>
      </c>
      <c r="AY78" s="118" t="s">
        <v>393</v>
      </c>
      <c r="AZ78" s="118" t="s">
        <v>393</v>
      </c>
      <c r="BA78" s="118" t="s">
        <v>393</v>
      </c>
      <c r="BB78" s="118" t="s">
        <v>393</v>
      </c>
      <c r="BC78" s="118" t="s">
        <v>393</v>
      </c>
      <c r="BD78" s="118" t="s">
        <v>393</v>
      </c>
      <c r="BE78" s="118" t="s">
        <v>393</v>
      </c>
      <c r="BF78" s="118" t="s">
        <v>393</v>
      </c>
      <c r="BG78" s="118" t="s">
        <v>393</v>
      </c>
      <c r="BH78" s="118" t="s">
        <v>394</v>
      </c>
      <c r="BI78" s="118" t="s">
        <v>394</v>
      </c>
      <c r="BJ78" s="118" t="s">
        <v>393</v>
      </c>
      <c r="BK78" s="118" t="s">
        <v>6988</v>
      </c>
      <c r="BL78" s="118" t="s">
        <v>261</v>
      </c>
      <c r="BM78" s="118" t="s">
        <v>1791</v>
      </c>
      <c r="BN78" s="118" t="s">
        <v>6991</v>
      </c>
      <c r="BO78" s="118" t="s">
        <v>6415</v>
      </c>
      <c r="BP78" s="118" t="s">
        <v>6415</v>
      </c>
      <c r="BQ78" s="118" t="s">
        <v>6415</v>
      </c>
      <c r="BR78" s="118" t="s">
        <v>6415</v>
      </c>
      <c r="BS78" s="118" t="s">
        <v>6415</v>
      </c>
      <c r="BT78" s="118" t="s">
        <v>6990</v>
      </c>
      <c r="BU78" s="118" t="s">
        <v>6991</v>
      </c>
      <c r="BV78" s="118" t="s">
        <v>6415</v>
      </c>
      <c r="BW78" s="118" t="s">
        <v>6415</v>
      </c>
      <c r="BX78" s="118" t="s">
        <v>6415</v>
      </c>
      <c r="BY78" s="118" t="s">
        <v>6415</v>
      </c>
      <c r="BZ78" s="118" t="s">
        <v>6415</v>
      </c>
      <c r="CA78" s="118" t="s">
        <v>6415</v>
      </c>
      <c r="CB78" s="118" t="s">
        <v>221</v>
      </c>
      <c r="CC78" s="118" t="s">
        <v>740</v>
      </c>
      <c r="CD78" s="118">
        <v>1</v>
      </c>
      <c r="CE78" s="118" t="s">
        <v>410</v>
      </c>
      <c r="CF78" s="118" t="s">
        <v>405</v>
      </c>
      <c r="CG78" s="118" t="s">
        <v>860</v>
      </c>
      <c r="CH78" s="118" t="s">
        <v>6300</v>
      </c>
      <c r="CI78" s="118" t="s">
        <v>417</v>
      </c>
      <c r="CJ78" s="118" t="s">
        <v>398</v>
      </c>
      <c r="CK78" s="14">
        <v>10</v>
      </c>
      <c r="CL78" s="118">
        <v>35</v>
      </c>
      <c r="CM78" s="118" t="s">
        <v>435</v>
      </c>
      <c r="CN78" s="118" t="s">
        <v>6327</v>
      </c>
      <c r="CO78" s="118" t="s">
        <v>1096</v>
      </c>
      <c r="CP78" s="118" t="s">
        <v>209</v>
      </c>
      <c r="CQ78" s="118" t="s">
        <v>6415</v>
      </c>
      <c r="CR78" s="118" t="s">
        <v>6415</v>
      </c>
      <c r="CS78" s="118" t="s">
        <v>6415</v>
      </c>
      <c r="CT78" s="118" t="s">
        <v>6415</v>
      </c>
      <c r="CU78" s="118" t="s">
        <v>6415</v>
      </c>
      <c r="CV78" s="118" t="s">
        <v>6415</v>
      </c>
      <c r="CW78" s="14">
        <v>36</v>
      </c>
      <c r="CX78" s="118" t="s">
        <v>1066</v>
      </c>
      <c r="CY78" s="118" t="s">
        <v>6151</v>
      </c>
      <c r="CZ78" s="118">
        <v>2</v>
      </c>
      <c r="DA78" s="118" t="s">
        <v>406</v>
      </c>
      <c r="DB78" s="118" t="s">
        <v>405</v>
      </c>
      <c r="DC78" s="118" t="s">
        <v>6415</v>
      </c>
      <c r="DD78" s="118" t="s">
        <v>6300</v>
      </c>
      <c r="DE78" s="118" t="s">
        <v>464</v>
      </c>
      <c r="DF78" s="118" t="s">
        <v>398</v>
      </c>
      <c r="DG78" s="14">
        <v>5</v>
      </c>
      <c r="DH78" s="118">
        <v>35</v>
      </c>
      <c r="DI78" s="118" t="s">
        <v>6357</v>
      </c>
      <c r="DJ78" s="118" t="s">
        <v>398</v>
      </c>
      <c r="DK78" s="118" t="s">
        <v>400</v>
      </c>
      <c r="DL78" s="118" t="s">
        <v>6415</v>
      </c>
      <c r="DM78" s="118" t="s">
        <v>6415</v>
      </c>
      <c r="DN78" s="118" t="s">
        <v>6415</v>
      </c>
      <c r="DO78" s="118" t="s">
        <v>6415</v>
      </c>
      <c r="DP78" s="118" t="s">
        <v>6415</v>
      </c>
      <c r="DQ78" s="118" t="s">
        <v>452</v>
      </c>
      <c r="DR78" s="118">
        <v>33</v>
      </c>
      <c r="DS78" s="118" t="s">
        <v>1068</v>
      </c>
      <c r="DT78" s="118" t="s">
        <v>6415</v>
      </c>
      <c r="DU78" s="118" t="s">
        <v>6415</v>
      </c>
      <c r="DV78" s="118" t="s">
        <v>6415</v>
      </c>
      <c r="DW78" s="118" t="s">
        <v>6415</v>
      </c>
      <c r="DX78" s="118" t="s">
        <v>6415</v>
      </c>
      <c r="DY78" s="118" t="s">
        <v>6415</v>
      </c>
      <c r="DZ78" s="118" t="s">
        <v>6415</v>
      </c>
      <c r="EA78" s="118" t="s">
        <v>6415</v>
      </c>
      <c r="EB78" s="118" t="s">
        <v>6415</v>
      </c>
      <c r="EC78" s="118" t="s">
        <v>6415</v>
      </c>
      <c r="ED78" s="118" t="s">
        <v>6415</v>
      </c>
      <c r="EE78" s="118" t="s">
        <v>6415</v>
      </c>
      <c r="EF78" s="118" t="s">
        <v>6415</v>
      </c>
      <c r="EG78" s="118" t="s">
        <v>6994</v>
      </c>
      <c r="EH78" s="118" t="s">
        <v>7088</v>
      </c>
      <c r="EI78" s="118" t="s">
        <v>6415</v>
      </c>
      <c r="EJ78" s="118" t="s">
        <v>6415</v>
      </c>
      <c r="EK78" s="118" t="s">
        <v>6415</v>
      </c>
      <c r="EL78" s="118" t="s">
        <v>7467</v>
      </c>
      <c r="EM78" s="118" t="s">
        <v>7113</v>
      </c>
      <c r="EN78" s="118" t="s">
        <v>6415</v>
      </c>
      <c r="EO78" s="6" t="str">
        <f t="shared" si="10"/>
        <v>Pathweb</v>
      </c>
      <c r="EP78" s="6" t="str">
        <f t="shared" si="11"/>
        <v>Google Maps</v>
      </c>
      <c r="EQ78" s="6" t="str">
        <f t="shared" si="12"/>
        <v>Mashed Map</v>
      </c>
      <c r="ER78" s="118" t="s">
        <v>6726</v>
      </c>
      <c r="ES78" s="118" t="s">
        <v>6728</v>
      </c>
      <c r="ET78" s="4">
        <v>0</v>
      </c>
      <c r="EU78" s="4"/>
      <c r="EV78" s="4"/>
    </row>
    <row r="79" spans="1:152" x14ac:dyDescent="0.15">
      <c r="A79" s="581" t="str">
        <f t="shared" si="9"/>
        <v>Crash Report</v>
      </c>
      <c r="B79" s="118">
        <v>20213193042</v>
      </c>
      <c r="C79" s="118">
        <v>2021</v>
      </c>
      <c r="D79" s="118">
        <v>21101126551523</v>
      </c>
      <c r="F79" s="118" t="s">
        <v>6442</v>
      </c>
      <c r="G79" s="118" t="s">
        <v>390</v>
      </c>
      <c r="H79" s="118">
        <v>2</v>
      </c>
      <c r="I79" s="118" t="s">
        <v>6055</v>
      </c>
      <c r="J79" s="118" t="s">
        <v>391</v>
      </c>
      <c r="K79" s="118" t="s">
        <v>6997</v>
      </c>
      <c r="L79" s="118">
        <v>0.875</v>
      </c>
      <c r="M79" s="118">
        <v>0.875</v>
      </c>
      <c r="N79" s="118" t="s">
        <v>7469</v>
      </c>
      <c r="O79" s="118" t="s">
        <v>7483</v>
      </c>
      <c r="P79" s="118">
        <v>41.650339000000002</v>
      </c>
      <c r="Q79" s="118">
        <v>-83.525418999999999</v>
      </c>
      <c r="R79" s="118">
        <v>77000</v>
      </c>
      <c r="S79" s="118" t="s">
        <v>6988</v>
      </c>
      <c r="T79" s="118">
        <v>1</v>
      </c>
      <c r="U79" s="118">
        <v>0</v>
      </c>
      <c r="V79" s="118">
        <v>0</v>
      </c>
      <c r="W79" s="118">
        <v>0</v>
      </c>
      <c r="X79" s="118">
        <v>0</v>
      </c>
      <c r="Y79" s="118">
        <v>4</v>
      </c>
      <c r="Z79" s="118">
        <v>0</v>
      </c>
      <c r="AA79" s="118">
        <v>2</v>
      </c>
      <c r="AB79" s="118" t="s">
        <v>1067</v>
      </c>
      <c r="AC79" s="118" t="s">
        <v>6989</v>
      </c>
      <c r="AD79" s="118" t="s">
        <v>1034</v>
      </c>
      <c r="AE79" s="118" t="s">
        <v>943</v>
      </c>
      <c r="AF79" s="118" t="s">
        <v>1041</v>
      </c>
      <c r="AG79" s="118" t="s">
        <v>6415</v>
      </c>
      <c r="AH79" s="118" t="s">
        <v>393</v>
      </c>
      <c r="AI79" s="118">
        <v>2</v>
      </c>
      <c r="AJ79" s="118" t="s">
        <v>6415</v>
      </c>
      <c r="AK79" s="118" t="s">
        <v>393</v>
      </c>
      <c r="AL79" s="118" t="s">
        <v>393</v>
      </c>
      <c r="AM79" s="118" t="s">
        <v>393</v>
      </c>
      <c r="AN79" s="402" t="s">
        <v>5975</v>
      </c>
      <c r="AO79" s="402">
        <v>44480</v>
      </c>
      <c r="AP79" s="118">
        <v>10</v>
      </c>
      <c r="AQ79" s="118">
        <v>15</v>
      </c>
      <c r="AR79" s="118" t="s">
        <v>6444</v>
      </c>
      <c r="AS79" s="118" t="s">
        <v>392</v>
      </c>
      <c r="AT79" s="118" t="s">
        <v>500</v>
      </c>
      <c r="AU79" s="118" t="s">
        <v>404</v>
      </c>
      <c r="AV79" s="118" t="s">
        <v>509</v>
      </c>
      <c r="AW79" s="118" t="s">
        <v>393</v>
      </c>
      <c r="AX79" s="118" t="s">
        <v>740</v>
      </c>
      <c r="AY79" s="118" t="s">
        <v>393</v>
      </c>
      <c r="AZ79" s="118" t="s">
        <v>393</v>
      </c>
      <c r="BA79" s="118" t="s">
        <v>393</v>
      </c>
      <c r="BB79" s="118" t="s">
        <v>393</v>
      </c>
      <c r="BC79" s="118" t="s">
        <v>393</v>
      </c>
      <c r="BD79" s="118" t="s">
        <v>393</v>
      </c>
      <c r="BE79" s="118" t="s">
        <v>740</v>
      </c>
      <c r="BF79" s="118" t="s">
        <v>393</v>
      </c>
      <c r="BG79" s="118" t="s">
        <v>393</v>
      </c>
      <c r="BH79" s="118" t="s">
        <v>394</v>
      </c>
      <c r="BI79" s="118" t="s">
        <v>394</v>
      </c>
      <c r="BJ79" s="118" t="s">
        <v>740</v>
      </c>
      <c r="BK79" s="118" t="s">
        <v>6988</v>
      </c>
      <c r="BL79" s="118" t="s">
        <v>6415</v>
      </c>
      <c r="BM79" s="118" t="s">
        <v>6992</v>
      </c>
      <c r="BN79" s="118" t="s">
        <v>6991</v>
      </c>
      <c r="BO79" s="118" t="s">
        <v>6415</v>
      </c>
      <c r="BP79" s="118" t="s">
        <v>6415</v>
      </c>
      <c r="BQ79" s="118" t="s">
        <v>6415</v>
      </c>
      <c r="BR79" s="118" t="s">
        <v>6415</v>
      </c>
      <c r="BS79" s="118" t="s">
        <v>6415</v>
      </c>
      <c r="BT79" s="118" t="s">
        <v>4748</v>
      </c>
      <c r="BU79" s="118" t="s">
        <v>7057</v>
      </c>
      <c r="BV79" s="118" t="s">
        <v>6415</v>
      </c>
      <c r="BW79" s="118" t="s">
        <v>6415</v>
      </c>
      <c r="BX79" s="118" t="s">
        <v>6415</v>
      </c>
      <c r="BY79" s="118" t="s">
        <v>6415</v>
      </c>
      <c r="BZ79" s="118" t="s">
        <v>6415</v>
      </c>
      <c r="CA79" s="118" t="s">
        <v>6415</v>
      </c>
      <c r="CB79" s="118" t="s">
        <v>221</v>
      </c>
      <c r="CC79" s="118" t="s">
        <v>740</v>
      </c>
      <c r="CD79" s="118">
        <v>2</v>
      </c>
      <c r="CE79" s="118" t="s">
        <v>411</v>
      </c>
      <c r="CF79" s="118" t="s">
        <v>410</v>
      </c>
      <c r="CG79" s="118" t="s">
        <v>924</v>
      </c>
      <c r="CH79" s="118" t="s">
        <v>6300</v>
      </c>
      <c r="CI79" s="118" t="s">
        <v>6303</v>
      </c>
      <c r="CJ79" s="118" t="s">
        <v>398</v>
      </c>
      <c r="CK79" s="14">
        <v>2</v>
      </c>
      <c r="CL79" s="118">
        <v>25</v>
      </c>
      <c r="CM79" s="118" t="s">
        <v>399</v>
      </c>
      <c r="CN79" s="118" t="s">
        <v>6512</v>
      </c>
      <c r="CO79" s="118" t="s">
        <v>1096</v>
      </c>
      <c r="CP79" s="118" t="s">
        <v>400</v>
      </c>
      <c r="CQ79" s="118" t="s">
        <v>6415</v>
      </c>
      <c r="CR79" s="118" t="s">
        <v>6415</v>
      </c>
      <c r="CS79" s="118" t="s">
        <v>6415</v>
      </c>
      <c r="CT79" s="118" t="s">
        <v>6415</v>
      </c>
      <c r="CU79" s="118" t="s">
        <v>6415</v>
      </c>
      <c r="CV79" s="118" t="s">
        <v>6415</v>
      </c>
      <c r="CW79" s="14">
        <v>59</v>
      </c>
      <c r="CX79" s="118" t="s">
        <v>1066</v>
      </c>
      <c r="CY79" s="118" t="s">
        <v>6346</v>
      </c>
      <c r="CZ79" s="118">
        <v>1</v>
      </c>
      <c r="DA79" s="118" t="s">
        <v>411</v>
      </c>
      <c r="DB79" s="118" t="s">
        <v>410</v>
      </c>
      <c r="DC79" s="118" t="s">
        <v>6415</v>
      </c>
      <c r="DD79" s="118" t="s">
        <v>6300</v>
      </c>
      <c r="DE79" s="118" t="s">
        <v>6303</v>
      </c>
      <c r="DF79" s="118" t="s">
        <v>398</v>
      </c>
      <c r="DG79" s="14">
        <v>0</v>
      </c>
      <c r="DH79" s="118">
        <v>25</v>
      </c>
      <c r="DI79" s="118" t="s">
        <v>6355</v>
      </c>
      <c r="DJ79" s="118" t="s">
        <v>398</v>
      </c>
      <c r="DK79" s="118" t="s">
        <v>400</v>
      </c>
      <c r="DL79" s="118" t="s">
        <v>6415</v>
      </c>
      <c r="DM79" s="118" t="s">
        <v>6415</v>
      </c>
      <c r="DN79" s="118" t="s">
        <v>6415</v>
      </c>
      <c r="DO79" s="118" t="s">
        <v>6415</v>
      </c>
      <c r="DP79" s="118" t="s">
        <v>6415</v>
      </c>
      <c r="DQ79" s="118" t="s">
        <v>6415</v>
      </c>
      <c r="DR79" s="118">
        <v>78</v>
      </c>
      <c r="DS79" s="118" t="s">
        <v>1066</v>
      </c>
      <c r="DT79" s="118" t="s">
        <v>6341</v>
      </c>
      <c r="DU79" s="118" t="s">
        <v>6415</v>
      </c>
      <c r="DV79" s="118" t="s">
        <v>6415</v>
      </c>
      <c r="DW79" s="118" t="s">
        <v>6415</v>
      </c>
      <c r="DX79" s="118" t="s">
        <v>6415</v>
      </c>
      <c r="DY79" s="118" t="s">
        <v>6415</v>
      </c>
      <c r="DZ79" s="118" t="s">
        <v>6415</v>
      </c>
      <c r="EA79" s="118" t="s">
        <v>6415</v>
      </c>
      <c r="EB79" s="118" t="s">
        <v>6415</v>
      </c>
      <c r="EC79" s="118" t="s">
        <v>6415</v>
      </c>
      <c r="ED79" s="118" t="s">
        <v>6415</v>
      </c>
      <c r="EE79" s="118" t="s">
        <v>6415</v>
      </c>
      <c r="EF79" s="118" t="s">
        <v>6415</v>
      </c>
      <c r="EG79" s="118" t="s">
        <v>7055</v>
      </c>
      <c r="EH79" s="118" t="s">
        <v>7040</v>
      </c>
      <c r="EI79" s="118" t="s">
        <v>6415</v>
      </c>
      <c r="EJ79" s="118" t="s">
        <v>6415</v>
      </c>
      <c r="EK79" s="118" t="s">
        <v>6415</v>
      </c>
      <c r="EL79" s="118" t="s">
        <v>7467</v>
      </c>
      <c r="EM79" s="118" t="s">
        <v>7114</v>
      </c>
      <c r="EN79" s="118" t="s">
        <v>6415</v>
      </c>
      <c r="EO79" s="6" t="str">
        <f t="shared" si="10"/>
        <v>Pathweb</v>
      </c>
      <c r="EP79" s="6" t="str">
        <f t="shared" si="11"/>
        <v>Google Maps</v>
      </c>
      <c r="EQ79" s="6" t="str">
        <f t="shared" si="12"/>
        <v>Mashed Map</v>
      </c>
      <c r="ER79" s="118" t="s">
        <v>6727</v>
      </c>
      <c r="ES79" s="118" t="s">
        <v>71</v>
      </c>
      <c r="ET79" s="4">
        <v>8.9999999999999993E-3</v>
      </c>
      <c r="EU79" s="4"/>
      <c r="EV79" s="4"/>
    </row>
    <row r="80" spans="1:152" x14ac:dyDescent="0.15">
      <c r="A80" s="581" t="str">
        <f t="shared" si="9"/>
        <v>Crash Report</v>
      </c>
      <c r="B80" s="118">
        <v>20213197491</v>
      </c>
      <c r="C80" s="118">
        <v>2021</v>
      </c>
      <c r="D80" s="118">
        <v>21101528452045</v>
      </c>
      <c r="F80" s="118" t="s">
        <v>6442</v>
      </c>
      <c r="G80" s="118" t="s">
        <v>211</v>
      </c>
      <c r="H80" s="118">
        <v>2</v>
      </c>
      <c r="I80" s="118" t="s">
        <v>6055</v>
      </c>
      <c r="J80" s="118" t="s">
        <v>423</v>
      </c>
      <c r="K80" s="118" t="s">
        <v>6985</v>
      </c>
      <c r="L80" s="118">
        <v>0.15</v>
      </c>
      <c r="M80" s="118">
        <v>0.15</v>
      </c>
      <c r="N80" s="118" t="s">
        <v>7465</v>
      </c>
      <c r="O80" s="118" t="s">
        <v>7466</v>
      </c>
      <c r="P80" s="118">
        <v>41.648516999999998</v>
      </c>
      <c r="Q80" s="118">
        <v>-83.523448000000002</v>
      </c>
      <c r="R80" s="118">
        <v>77000</v>
      </c>
      <c r="S80" s="118" t="s">
        <v>6988</v>
      </c>
      <c r="T80" s="118">
        <v>1</v>
      </c>
      <c r="U80" s="118">
        <v>0</v>
      </c>
      <c r="V80" s="118">
        <v>0</v>
      </c>
      <c r="W80" s="118">
        <v>0</v>
      </c>
      <c r="X80" s="118">
        <v>0</v>
      </c>
      <c r="Y80" s="118">
        <v>3</v>
      </c>
      <c r="Z80" s="118">
        <v>0</v>
      </c>
      <c r="AA80" s="118">
        <v>2</v>
      </c>
      <c r="AB80" s="118" t="s">
        <v>1067</v>
      </c>
      <c r="AC80" s="118" t="s">
        <v>6989</v>
      </c>
      <c r="AD80" s="118" t="s">
        <v>1034</v>
      </c>
      <c r="AE80" s="118" t="s">
        <v>943</v>
      </c>
      <c r="AF80" s="118" t="s">
        <v>1041</v>
      </c>
      <c r="AG80" s="118" t="s">
        <v>6415</v>
      </c>
      <c r="AH80" s="118" t="s">
        <v>393</v>
      </c>
      <c r="AI80" s="118">
        <v>4</v>
      </c>
      <c r="AJ80" s="118" t="s">
        <v>6415</v>
      </c>
      <c r="AK80" s="118" t="s">
        <v>393</v>
      </c>
      <c r="AL80" s="118" t="s">
        <v>393</v>
      </c>
      <c r="AM80" s="118" t="s">
        <v>393</v>
      </c>
      <c r="AN80" s="402" t="s">
        <v>5975</v>
      </c>
      <c r="AO80" s="402">
        <v>44484</v>
      </c>
      <c r="AP80" s="118">
        <v>10</v>
      </c>
      <c r="AQ80" s="118">
        <v>20</v>
      </c>
      <c r="AR80" s="118" t="s">
        <v>6448</v>
      </c>
      <c r="AS80" s="118" t="s">
        <v>420</v>
      </c>
      <c r="AT80" s="118" t="s">
        <v>225</v>
      </c>
      <c r="AU80" s="118" t="s">
        <v>505</v>
      </c>
      <c r="AV80" s="118" t="s">
        <v>508</v>
      </c>
      <c r="AW80" s="118" t="s">
        <v>393</v>
      </c>
      <c r="AX80" s="118" t="s">
        <v>740</v>
      </c>
      <c r="AY80" s="118" t="s">
        <v>393</v>
      </c>
      <c r="AZ80" s="118" t="s">
        <v>393</v>
      </c>
      <c r="BA80" s="118" t="s">
        <v>393</v>
      </c>
      <c r="BB80" s="118" t="s">
        <v>393</v>
      </c>
      <c r="BC80" s="118" t="s">
        <v>393</v>
      </c>
      <c r="BD80" s="118" t="s">
        <v>393</v>
      </c>
      <c r="BE80" s="118" t="s">
        <v>393</v>
      </c>
      <c r="BF80" s="118" t="s">
        <v>740</v>
      </c>
      <c r="BG80" s="118" t="s">
        <v>393</v>
      </c>
      <c r="BH80" s="118" t="s">
        <v>394</v>
      </c>
      <c r="BI80" s="118" t="s">
        <v>394</v>
      </c>
      <c r="BJ80" s="118" t="s">
        <v>393</v>
      </c>
      <c r="BK80" s="118" t="s">
        <v>6988</v>
      </c>
      <c r="BL80" s="118" t="s">
        <v>6415</v>
      </c>
      <c r="BM80" s="118" t="s">
        <v>6990</v>
      </c>
      <c r="BN80" s="118" t="s">
        <v>6991</v>
      </c>
      <c r="BO80" s="118" t="s">
        <v>6415</v>
      </c>
      <c r="BP80" s="118" t="s">
        <v>6415</v>
      </c>
      <c r="BQ80" s="118" t="s">
        <v>6415</v>
      </c>
      <c r="BR80" s="118" t="s">
        <v>6415</v>
      </c>
      <c r="BS80" s="118" t="s">
        <v>6415</v>
      </c>
      <c r="BT80" s="118" t="s">
        <v>6992</v>
      </c>
      <c r="BU80" s="118" t="s">
        <v>6991</v>
      </c>
      <c r="BV80" s="118" t="s">
        <v>6415</v>
      </c>
      <c r="BW80" s="118" t="s">
        <v>6415</v>
      </c>
      <c r="BX80" s="118" t="s">
        <v>6415</v>
      </c>
      <c r="BY80" s="118" t="s">
        <v>6415</v>
      </c>
      <c r="BZ80" s="118" t="s">
        <v>6415</v>
      </c>
      <c r="CA80" s="118" t="s">
        <v>6415</v>
      </c>
      <c r="CB80" s="118" t="s">
        <v>221</v>
      </c>
      <c r="CC80" s="118" t="s">
        <v>740</v>
      </c>
      <c r="CD80" s="118">
        <v>1</v>
      </c>
      <c r="CE80" s="118" t="s">
        <v>396</v>
      </c>
      <c r="CF80" s="118" t="s">
        <v>445</v>
      </c>
      <c r="CG80" s="118" t="s">
        <v>230</v>
      </c>
      <c r="CH80" s="118" t="s">
        <v>6300</v>
      </c>
      <c r="CI80" s="118" t="s">
        <v>6305</v>
      </c>
      <c r="CJ80" s="118" t="s">
        <v>398</v>
      </c>
      <c r="CK80" s="118">
        <v>0</v>
      </c>
      <c r="CL80" s="118">
        <v>35</v>
      </c>
      <c r="CM80" s="118" t="s">
        <v>436</v>
      </c>
      <c r="CN80" s="118" t="s">
        <v>6327</v>
      </c>
      <c r="CO80" s="118" t="s">
        <v>1096</v>
      </c>
      <c r="CP80" s="118" t="s">
        <v>400</v>
      </c>
      <c r="CQ80" s="118" t="s">
        <v>6415</v>
      </c>
      <c r="CR80" s="118" t="s">
        <v>6415</v>
      </c>
      <c r="CS80" s="118" t="s">
        <v>6415</v>
      </c>
      <c r="CT80" s="118" t="s">
        <v>6415</v>
      </c>
      <c r="CU80" s="118" t="s">
        <v>6415</v>
      </c>
      <c r="CV80" s="118" t="s">
        <v>6415</v>
      </c>
      <c r="CW80" s="118">
        <v>20</v>
      </c>
      <c r="CX80" s="118" t="s">
        <v>1068</v>
      </c>
      <c r="CY80" s="118" t="s">
        <v>6341</v>
      </c>
      <c r="CZ80" s="118">
        <v>2</v>
      </c>
      <c r="DA80" s="118" t="s">
        <v>446</v>
      </c>
      <c r="DB80" s="118" t="s">
        <v>445</v>
      </c>
      <c r="DC80" s="118" t="s">
        <v>6415</v>
      </c>
      <c r="DD80" s="118" t="s">
        <v>6300</v>
      </c>
      <c r="DE80" s="118" t="s">
        <v>6303</v>
      </c>
      <c r="DF80" s="118" t="s">
        <v>398</v>
      </c>
      <c r="DG80" s="118" t="s">
        <v>6415</v>
      </c>
      <c r="DH80" s="118">
        <v>35</v>
      </c>
      <c r="DI80" s="118" t="s">
        <v>399</v>
      </c>
      <c r="DJ80" s="118" t="s">
        <v>398</v>
      </c>
      <c r="DK80" s="118" t="s">
        <v>400</v>
      </c>
      <c r="DL80" s="118" t="s">
        <v>6415</v>
      </c>
      <c r="DM80" s="118" t="s">
        <v>6415</v>
      </c>
      <c r="DN80" s="118" t="s">
        <v>6415</v>
      </c>
      <c r="DO80" s="118" t="s">
        <v>6415</v>
      </c>
      <c r="DP80" s="118" t="s">
        <v>6415</v>
      </c>
      <c r="DQ80" s="118" t="s">
        <v>6415</v>
      </c>
      <c r="DR80" s="118">
        <v>32</v>
      </c>
      <c r="DS80" s="118" t="s">
        <v>1068</v>
      </c>
      <c r="DT80" s="118" t="s">
        <v>6341</v>
      </c>
      <c r="DU80" s="118" t="s">
        <v>6415</v>
      </c>
      <c r="DV80" s="118" t="s">
        <v>6415</v>
      </c>
      <c r="DW80" s="118" t="s">
        <v>6415</v>
      </c>
      <c r="DX80" s="118" t="s">
        <v>6415</v>
      </c>
      <c r="DY80" s="118" t="s">
        <v>6415</v>
      </c>
      <c r="DZ80" s="118" t="s">
        <v>6415</v>
      </c>
      <c r="EA80" s="118" t="s">
        <v>6415</v>
      </c>
      <c r="EB80" s="118" t="s">
        <v>6415</v>
      </c>
      <c r="EC80" s="118" t="s">
        <v>6415</v>
      </c>
      <c r="ED80" s="118" t="s">
        <v>6415</v>
      </c>
      <c r="EE80" s="118" t="s">
        <v>6415</v>
      </c>
      <c r="EF80" s="118" t="s">
        <v>6415</v>
      </c>
      <c r="EG80" s="118" t="s">
        <v>6986</v>
      </c>
      <c r="EH80" s="118" t="s">
        <v>7093</v>
      </c>
      <c r="EI80" s="118" t="s">
        <v>6415</v>
      </c>
      <c r="EJ80" s="118" t="s">
        <v>6415</v>
      </c>
      <c r="EK80" s="118" t="s">
        <v>6415</v>
      </c>
      <c r="EL80" s="118" t="s">
        <v>7467</v>
      </c>
      <c r="EM80" s="118" t="s">
        <v>7115</v>
      </c>
      <c r="EN80" s="118" t="s">
        <v>6415</v>
      </c>
      <c r="EO80" s="6" t="str">
        <f t="shared" si="10"/>
        <v>Pathweb</v>
      </c>
      <c r="EP80" s="6" t="str">
        <f t="shared" si="11"/>
        <v>Google Maps</v>
      </c>
      <c r="EQ80" s="6" t="str">
        <f t="shared" si="12"/>
        <v>Mashed Map</v>
      </c>
      <c r="ER80" s="118" t="s">
        <v>6727</v>
      </c>
      <c r="ES80" s="118" t="s">
        <v>71</v>
      </c>
      <c r="ET80" s="4">
        <v>1E-3</v>
      </c>
      <c r="EU80" s="4"/>
      <c r="EV80" s="4"/>
    </row>
    <row r="81" spans="1:152" x14ac:dyDescent="0.15">
      <c r="A81" s="581" t="str">
        <f t="shared" si="9"/>
        <v>Crash Report</v>
      </c>
      <c r="B81" s="14">
        <v>20213203952</v>
      </c>
      <c r="C81" s="118">
        <v>2021</v>
      </c>
      <c r="D81" s="14">
        <v>21102425820233</v>
      </c>
      <c r="F81" s="118" t="s">
        <v>6442</v>
      </c>
      <c r="G81" s="118" t="s">
        <v>416</v>
      </c>
      <c r="H81" s="118">
        <v>2</v>
      </c>
      <c r="I81" s="118" t="s">
        <v>6055</v>
      </c>
      <c r="J81" s="118" t="s">
        <v>391</v>
      </c>
      <c r="K81" s="118" t="s">
        <v>6985</v>
      </c>
      <c r="L81" s="118">
        <v>0.15</v>
      </c>
      <c r="M81" s="118">
        <v>0.15</v>
      </c>
      <c r="N81" s="118" t="s">
        <v>7465</v>
      </c>
      <c r="O81" s="118" t="s">
        <v>7466</v>
      </c>
      <c r="P81" s="118">
        <v>41.648516999999998</v>
      </c>
      <c r="Q81" s="118">
        <v>-83.523448000000002</v>
      </c>
      <c r="R81" s="118">
        <v>77000</v>
      </c>
      <c r="S81" s="118" t="s">
        <v>6988</v>
      </c>
      <c r="T81" s="118">
        <v>1</v>
      </c>
      <c r="U81" s="118">
        <v>0</v>
      </c>
      <c r="V81" s="118">
        <v>0</v>
      </c>
      <c r="W81" s="118">
        <v>0</v>
      </c>
      <c r="X81" s="118">
        <v>0</v>
      </c>
      <c r="Y81" s="118">
        <v>1</v>
      </c>
      <c r="Z81" s="118">
        <v>0</v>
      </c>
      <c r="AA81" s="118">
        <v>1</v>
      </c>
      <c r="AB81" s="118" t="s">
        <v>1067</v>
      </c>
      <c r="AC81" s="118" t="s">
        <v>6989</v>
      </c>
      <c r="AD81" s="118" t="s">
        <v>1034</v>
      </c>
      <c r="AE81" s="118" t="s">
        <v>943</v>
      </c>
      <c r="AF81" s="118" t="s">
        <v>1041</v>
      </c>
      <c r="AG81" s="118" t="s">
        <v>6415</v>
      </c>
      <c r="AH81" s="118" t="s">
        <v>393</v>
      </c>
      <c r="AI81" s="118">
        <v>4</v>
      </c>
      <c r="AJ81" s="118" t="s">
        <v>6415</v>
      </c>
      <c r="AK81" s="118" t="s">
        <v>393</v>
      </c>
      <c r="AL81" s="118" t="s">
        <v>393</v>
      </c>
      <c r="AM81" s="118" t="s">
        <v>393</v>
      </c>
      <c r="AN81" s="402" t="s">
        <v>5975</v>
      </c>
      <c r="AO81" s="402">
        <v>44493</v>
      </c>
      <c r="AP81" s="118">
        <v>10</v>
      </c>
      <c r="AQ81" s="118">
        <v>2</v>
      </c>
      <c r="AR81" s="118" t="s">
        <v>6443</v>
      </c>
      <c r="AS81" s="118" t="s">
        <v>392</v>
      </c>
      <c r="AT81" s="118" t="s">
        <v>500</v>
      </c>
      <c r="AU81" s="118" t="s">
        <v>505</v>
      </c>
      <c r="AV81" s="118" t="s">
        <v>508</v>
      </c>
      <c r="AW81" s="118" t="s">
        <v>740</v>
      </c>
      <c r="AX81" s="118" t="s">
        <v>740</v>
      </c>
      <c r="AY81" s="118" t="s">
        <v>393</v>
      </c>
      <c r="AZ81" s="118" t="s">
        <v>393</v>
      </c>
      <c r="BA81" s="118" t="s">
        <v>393</v>
      </c>
      <c r="BB81" s="118" t="s">
        <v>393</v>
      </c>
      <c r="BC81" s="118" t="s">
        <v>393</v>
      </c>
      <c r="BD81" s="118" t="s">
        <v>393</v>
      </c>
      <c r="BE81" s="118" t="s">
        <v>393</v>
      </c>
      <c r="BF81" s="118" t="s">
        <v>393</v>
      </c>
      <c r="BG81" s="118" t="s">
        <v>393</v>
      </c>
      <c r="BH81" s="118" t="s">
        <v>394</v>
      </c>
      <c r="BI81" s="118" t="s">
        <v>394</v>
      </c>
      <c r="BJ81" s="118" t="s">
        <v>393</v>
      </c>
      <c r="BK81" s="118" t="s">
        <v>6988</v>
      </c>
      <c r="BL81" s="118" t="s">
        <v>6415</v>
      </c>
      <c r="BM81" s="118" t="s">
        <v>6990</v>
      </c>
      <c r="BN81" s="118" t="s">
        <v>6991</v>
      </c>
      <c r="BO81" s="118" t="s">
        <v>6415</v>
      </c>
      <c r="BP81" s="118" t="s">
        <v>6415</v>
      </c>
      <c r="BQ81" s="118" t="s">
        <v>6415</v>
      </c>
      <c r="BR81" s="118" t="s">
        <v>6415</v>
      </c>
      <c r="BS81" s="118" t="s">
        <v>6415</v>
      </c>
      <c r="BT81" s="118" t="s">
        <v>6992</v>
      </c>
      <c r="BU81" s="118" t="s">
        <v>6991</v>
      </c>
      <c r="BV81" s="118" t="s">
        <v>6415</v>
      </c>
      <c r="BW81" s="118" t="s">
        <v>6415</v>
      </c>
      <c r="BX81" s="118" t="s">
        <v>6415</v>
      </c>
      <c r="BY81" s="118" t="s">
        <v>6415</v>
      </c>
      <c r="BZ81" s="118" t="s">
        <v>6415</v>
      </c>
      <c r="CA81" s="118" t="s">
        <v>6415</v>
      </c>
      <c r="CB81" s="118" t="s">
        <v>221</v>
      </c>
      <c r="CC81" s="118" t="s">
        <v>740</v>
      </c>
      <c r="CD81" s="118">
        <v>1</v>
      </c>
      <c r="CE81" s="118" t="s">
        <v>410</v>
      </c>
      <c r="CF81" s="118" t="s">
        <v>446</v>
      </c>
      <c r="CG81" s="118" t="s">
        <v>230</v>
      </c>
      <c r="CH81" s="118" t="s">
        <v>6300</v>
      </c>
      <c r="CI81" s="118" t="s">
        <v>6303</v>
      </c>
      <c r="CJ81" s="118" t="s">
        <v>398</v>
      </c>
      <c r="CK81" s="14">
        <v>35</v>
      </c>
      <c r="CL81" s="118">
        <v>35</v>
      </c>
      <c r="CM81" s="118" t="s">
        <v>436</v>
      </c>
      <c r="CN81" s="118" t="s">
        <v>6338</v>
      </c>
      <c r="CO81" s="118" t="s">
        <v>488</v>
      </c>
      <c r="CP81" s="118" t="s">
        <v>432</v>
      </c>
      <c r="CQ81" s="118" t="s">
        <v>460</v>
      </c>
      <c r="CR81" s="118" t="s">
        <v>488</v>
      </c>
      <c r="CS81" s="118" t="s">
        <v>6415</v>
      </c>
      <c r="CT81" s="118" t="s">
        <v>6415</v>
      </c>
      <c r="CU81" s="118" t="s">
        <v>6415</v>
      </c>
      <c r="CV81" s="118" t="s">
        <v>6415</v>
      </c>
      <c r="CW81" s="14">
        <v>27</v>
      </c>
      <c r="CX81" s="118" t="s">
        <v>1066</v>
      </c>
      <c r="CY81" s="118" t="s">
        <v>6151</v>
      </c>
      <c r="CZ81" s="118" t="s">
        <v>6415</v>
      </c>
      <c r="DA81" s="118" t="s">
        <v>6415</v>
      </c>
      <c r="DB81" s="118" t="s">
        <v>6415</v>
      </c>
      <c r="DC81" s="118" t="s">
        <v>6415</v>
      </c>
      <c r="DD81" s="118" t="s">
        <v>6415</v>
      </c>
      <c r="DE81" s="118" t="s">
        <v>6415</v>
      </c>
      <c r="DF81" s="118" t="s">
        <v>6415</v>
      </c>
      <c r="DG81" s="14" t="s">
        <v>6415</v>
      </c>
      <c r="DH81" s="118" t="s">
        <v>6415</v>
      </c>
      <c r="DI81" s="118" t="s">
        <v>6415</v>
      </c>
      <c r="DJ81" s="118" t="s">
        <v>6415</v>
      </c>
      <c r="DK81" s="118" t="s">
        <v>6415</v>
      </c>
      <c r="DL81" s="118" t="s">
        <v>6415</v>
      </c>
      <c r="DM81" s="118" t="s">
        <v>6415</v>
      </c>
      <c r="DN81" s="118" t="s">
        <v>6415</v>
      </c>
      <c r="DO81" s="118" t="s">
        <v>6415</v>
      </c>
      <c r="DP81" s="118" t="s">
        <v>6415</v>
      </c>
      <c r="DQ81" s="118" t="s">
        <v>6415</v>
      </c>
      <c r="DR81" s="118">
        <v>0</v>
      </c>
      <c r="DS81" s="118" t="s">
        <v>6415</v>
      </c>
      <c r="DT81" s="118" t="s">
        <v>6415</v>
      </c>
      <c r="DU81" s="118" t="s">
        <v>6415</v>
      </c>
      <c r="DV81" s="118" t="s">
        <v>6415</v>
      </c>
      <c r="DW81" s="118" t="s">
        <v>6415</v>
      </c>
      <c r="DX81" s="118" t="s">
        <v>6415</v>
      </c>
      <c r="DY81" s="118" t="s">
        <v>6415</v>
      </c>
      <c r="DZ81" s="118" t="s">
        <v>6415</v>
      </c>
      <c r="EA81" s="118" t="s">
        <v>6415</v>
      </c>
      <c r="EB81" s="118" t="s">
        <v>6415</v>
      </c>
      <c r="EC81" s="118" t="s">
        <v>6415</v>
      </c>
      <c r="ED81" s="118" t="s">
        <v>6415</v>
      </c>
      <c r="EE81" s="118" t="s">
        <v>6415</v>
      </c>
      <c r="EF81" s="118" t="s">
        <v>6415</v>
      </c>
      <c r="EG81" s="118" t="s">
        <v>6986</v>
      </c>
      <c r="EH81" s="118" t="s">
        <v>7093</v>
      </c>
      <c r="EI81" s="118" t="s">
        <v>6415</v>
      </c>
      <c r="EJ81" s="118" t="s">
        <v>6415</v>
      </c>
      <c r="EK81" s="118" t="s">
        <v>6415</v>
      </c>
      <c r="EL81" s="118" t="s">
        <v>7467</v>
      </c>
      <c r="EM81" s="118" t="s">
        <v>7116</v>
      </c>
      <c r="EN81" s="118" t="s">
        <v>6415</v>
      </c>
      <c r="EO81" s="6" t="str">
        <f t="shared" si="10"/>
        <v>Pathweb</v>
      </c>
      <c r="EP81" s="6" t="str">
        <f t="shared" si="11"/>
        <v>Google Maps</v>
      </c>
      <c r="EQ81" s="6" t="str">
        <f t="shared" si="12"/>
        <v>Mashed Map</v>
      </c>
      <c r="ER81" s="118" t="s">
        <v>6726</v>
      </c>
      <c r="ES81" s="118" t="s">
        <v>71</v>
      </c>
      <c r="ET81" s="4">
        <v>5.0000000000000001E-3</v>
      </c>
      <c r="EU81" s="4"/>
      <c r="EV81" s="4"/>
    </row>
    <row r="82" spans="1:152" x14ac:dyDescent="0.15">
      <c r="A82" s="581" t="str">
        <f t="shared" si="9"/>
        <v>Crash Report</v>
      </c>
      <c r="B82" s="14">
        <v>20213205417</v>
      </c>
      <c r="C82" s="118">
        <v>2021</v>
      </c>
      <c r="D82" s="14">
        <v>21251020571630</v>
      </c>
      <c r="F82" s="118" t="s">
        <v>6442</v>
      </c>
      <c r="G82" s="118" t="s">
        <v>230</v>
      </c>
      <c r="H82" s="118">
        <v>2</v>
      </c>
      <c r="I82" s="118" t="s">
        <v>6055</v>
      </c>
      <c r="J82" s="118" t="s">
        <v>391</v>
      </c>
      <c r="K82" s="118" t="s">
        <v>6985</v>
      </c>
      <c r="L82" s="118">
        <v>0.15</v>
      </c>
      <c r="M82" s="118">
        <v>0.15</v>
      </c>
      <c r="N82" s="118" t="s">
        <v>7465</v>
      </c>
      <c r="O82" s="118" t="s">
        <v>7466</v>
      </c>
      <c r="P82" s="118">
        <v>41.648516999999998</v>
      </c>
      <c r="Q82" s="118">
        <v>-83.523448000000002</v>
      </c>
      <c r="R82" s="118">
        <v>77000</v>
      </c>
      <c r="S82" s="118" t="s">
        <v>6988</v>
      </c>
      <c r="T82" s="118">
        <v>1</v>
      </c>
      <c r="U82" s="118">
        <v>0</v>
      </c>
      <c r="V82" s="118">
        <v>0</v>
      </c>
      <c r="W82" s="118">
        <v>0</v>
      </c>
      <c r="X82" s="118">
        <v>0</v>
      </c>
      <c r="Y82" s="118">
        <v>3</v>
      </c>
      <c r="Z82" s="118">
        <v>1</v>
      </c>
      <c r="AA82" s="118">
        <v>2</v>
      </c>
      <c r="AB82" s="118" t="s">
        <v>1067</v>
      </c>
      <c r="AC82" s="118" t="s">
        <v>6989</v>
      </c>
      <c r="AD82" s="118" t="s">
        <v>1034</v>
      </c>
      <c r="AE82" s="118" t="s">
        <v>943</v>
      </c>
      <c r="AF82" s="118" t="s">
        <v>1041</v>
      </c>
      <c r="AG82" s="118" t="s">
        <v>6415</v>
      </c>
      <c r="AH82" s="118" t="s">
        <v>393</v>
      </c>
      <c r="AI82" s="118">
        <v>4</v>
      </c>
      <c r="AJ82" s="118" t="s">
        <v>6415</v>
      </c>
      <c r="AK82" s="118" t="s">
        <v>393</v>
      </c>
      <c r="AL82" s="118" t="s">
        <v>393</v>
      </c>
      <c r="AM82" s="118" t="s">
        <v>393</v>
      </c>
      <c r="AN82" s="402" t="s">
        <v>5975</v>
      </c>
      <c r="AO82" s="402">
        <v>44494</v>
      </c>
      <c r="AP82" s="118">
        <v>10</v>
      </c>
      <c r="AQ82" s="118">
        <v>16</v>
      </c>
      <c r="AR82" s="118" t="s">
        <v>6444</v>
      </c>
      <c r="AS82" s="118" t="s">
        <v>447</v>
      </c>
      <c r="AT82" s="118" t="s">
        <v>225</v>
      </c>
      <c r="AU82" s="118" t="s">
        <v>404</v>
      </c>
      <c r="AV82" s="118" t="s">
        <v>508</v>
      </c>
      <c r="AW82" s="118" t="s">
        <v>393</v>
      </c>
      <c r="AX82" s="118" t="s">
        <v>393</v>
      </c>
      <c r="AY82" s="118" t="s">
        <v>393</v>
      </c>
      <c r="AZ82" s="118" t="s">
        <v>393</v>
      </c>
      <c r="BA82" s="118" t="s">
        <v>393</v>
      </c>
      <c r="BB82" s="118" t="s">
        <v>393</v>
      </c>
      <c r="BC82" s="118" t="s">
        <v>393</v>
      </c>
      <c r="BD82" s="118" t="s">
        <v>393</v>
      </c>
      <c r="BE82" s="118" t="s">
        <v>393</v>
      </c>
      <c r="BF82" s="118" t="s">
        <v>740</v>
      </c>
      <c r="BG82" s="118" t="s">
        <v>393</v>
      </c>
      <c r="BH82" s="118" t="s">
        <v>394</v>
      </c>
      <c r="BI82" s="118" t="s">
        <v>394</v>
      </c>
      <c r="BJ82" s="118" t="s">
        <v>393</v>
      </c>
      <c r="BK82" s="118" t="s">
        <v>6988</v>
      </c>
      <c r="BL82" s="118" t="s">
        <v>6415</v>
      </c>
      <c r="BM82" s="118" t="s">
        <v>6990</v>
      </c>
      <c r="BN82" s="118" t="s">
        <v>6991</v>
      </c>
      <c r="BO82" s="118" t="s">
        <v>6415</v>
      </c>
      <c r="BP82" s="118" t="s">
        <v>6415</v>
      </c>
      <c r="BQ82" s="118" t="s">
        <v>6415</v>
      </c>
      <c r="BR82" s="118" t="s">
        <v>6415</v>
      </c>
      <c r="BS82" s="118" t="s">
        <v>6415</v>
      </c>
      <c r="BT82" s="118" t="s">
        <v>6992</v>
      </c>
      <c r="BU82" s="118" t="s">
        <v>6991</v>
      </c>
      <c r="BV82" s="118" t="s">
        <v>6415</v>
      </c>
      <c r="BW82" s="118" t="s">
        <v>6415</v>
      </c>
      <c r="BX82" s="118" t="s">
        <v>6415</v>
      </c>
      <c r="BY82" s="118" t="s">
        <v>6415</v>
      </c>
      <c r="BZ82" s="118" t="s">
        <v>6415</v>
      </c>
      <c r="CA82" s="118" t="s">
        <v>6415</v>
      </c>
      <c r="CB82" s="118" t="s">
        <v>221</v>
      </c>
      <c r="CC82" s="118" t="s">
        <v>740</v>
      </c>
      <c r="CD82" s="118">
        <v>2</v>
      </c>
      <c r="CE82" s="118" t="s">
        <v>406</v>
      </c>
      <c r="CF82" s="118" t="s">
        <v>411</v>
      </c>
      <c r="CG82" s="118" t="s">
        <v>230</v>
      </c>
      <c r="CH82" s="118" t="s">
        <v>6302</v>
      </c>
      <c r="CI82" s="118" t="s">
        <v>417</v>
      </c>
      <c r="CJ82" s="118" t="s">
        <v>398</v>
      </c>
      <c r="CK82" s="14">
        <v>0</v>
      </c>
      <c r="CL82" s="118">
        <v>35</v>
      </c>
      <c r="CM82" s="118" t="s">
        <v>436</v>
      </c>
      <c r="CN82" s="118" t="s">
        <v>451</v>
      </c>
      <c r="CO82" s="118" t="s">
        <v>1096</v>
      </c>
      <c r="CP82" s="118" t="s">
        <v>400</v>
      </c>
      <c r="CQ82" s="118" t="s">
        <v>6415</v>
      </c>
      <c r="CR82" s="118" t="s">
        <v>6415</v>
      </c>
      <c r="CS82" s="118" t="s">
        <v>6415</v>
      </c>
      <c r="CT82" s="118" t="s">
        <v>6415</v>
      </c>
      <c r="CU82" s="118" t="s">
        <v>6415</v>
      </c>
      <c r="CV82" s="118" t="s">
        <v>6415</v>
      </c>
      <c r="CW82" s="14">
        <v>17</v>
      </c>
      <c r="CX82" s="118" t="s">
        <v>1066</v>
      </c>
      <c r="CY82" s="118" t="s">
        <v>6341</v>
      </c>
      <c r="CZ82" s="118">
        <v>1</v>
      </c>
      <c r="DA82" s="118" t="s">
        <v>405</v>
      </c>
      <c r="DB82" s="118" t="s">
        <v>406</v>
      </c>
      <c r="DC82" s="118" t="s">
        <v>6415</v>
      </c>
      <c r="DD82" s="118" t="s">
        <v>6302</v>
      </c>
      <c r="DE82" s="118" t="s">
        <v>417</v>
      </c>
      <c r="DF82" s="118" t="s">
        <v>398</v>
      </c>
      <c r="DG82" s="14">
        <v>30</v>
      </c>
      <c r="DH82" s="118">
        <v>35</v>
      </c>
      <c r="DI82" s="118" t="s">
        <v>399</v>
      </c>
      <c r="DJ82" s="118" t="s">
        <v>398</v>
      </c>
      <c r="DK82" s="118" t="s">
        <v>400</v>
      </c>
      <c r="DL82" s="118" t="s">
        <v>6415</v>
      </c>
      <c r="DM82" s="118" t="s">
        <v>6415</v>
      </c>
      <c r="DN82" s="118" t="s">
        <v>6415</v>
      </c>
      <c r="DO82" s="118" t="s">
        <v>6415</v>
      </c>
      <c r="DP82" s="118" t="s">
        <v>6415</v>
      </c>
      <c r="DQ82" s="118" t="s">
        <v>6415</v>
      </c>
      <c r="DR82" s="118">
        <v>39</v>
      </c>
      <c r="DS82" s="118" t="s">
        <v>1068</v>
      </c>
      <c r="DT82" s="118" t="s">
        <v>6341</v>
      </c>
      <c r="DU82" s="118" t="s">
        <v>6415</v>
      </c>
      <c r="DV82" s="118" t="s">
        <v>6415</v>
      </c>
      <c r="DW82" s="118" t="s">
        <v>6415</v>
      </c>
      <c r="DX82" s="118" t="s">
        <v>6415</v>
      </c>
      <c r="DY82" s="118" t="s">
        <v>6415</v>
      </c>
      <c r="DZ82" s="118" t="s">
        <v>6415</v>
      </c>
      <c r="EA82" s="118" t="s">
        <v>6415</v>
      </c>
      <c r="EB82" s="118" t="s">
        <v>6415</v>
      </c>
      <c r="EC82" s="118" t="s">
        <v>6415</v>
      </c>
      <c r="ED82" s="118" t="s">
        <v>6415</v>
      </c>
      <c r="EE82" s="118" t="s">
        <v>6415</v>
      </c>
      <c r="EF82" s="118" t="s">
        <v>6415</v>
      </c>
      <c r="EG82" s="118" t="s">
        <v>6986</v>
      </c>
      <c r="EH82" s="118" t="s">
        <v>7093</v>
      </c>
      <c r="EI82" s="118" t="s">
        <v>6415</v>
      </c>
      <c r="EJ82" s="118" t="s">
        <v>6415</v>
      </c>
      <c r="EK82" s="118" t="s">
        <v>6415</v>
      </c>
      <c r="EL82" s="118" t="s">
        <v>7467</v>
      </c>
      <c r="EM82" s="118" t="s">
        <v>7117</v>
      </c>
      <c r="EN82" s="118" t="s">
        <v>6415</v>
      </c>
      <c r="EO82" s="6" t="str">
        <f t="shared" si="10"/>
        <v>Pathweb</v>
      </c>
      <c r="EP82" s="6" t="str">
        <f t="shared" si="11"/>
        <v>Google Maps</v>
      </c>
      <c r="EQ82" s="6" t="str">
        <f t="shared" si="12"/>
        <v>Mashed Map</v>
      </c>
      <c r="ER82" s="118" t="s">
        <v>6727</v>
      </c>
      <c r="ES82" s="118" t="s">
        <v>71</v>
      </c>
      <c r="ET82" s="4">
        <v>0</v>
      </c>
      <c r="EU82" s="4"/>
      <c r="EV82" s="4"/>
    </row>
    <row r="83" spans="1:152" x14ac:dyDescent="0.15">
      <c r="A83" s="581" t="str">
        <f t="shared" si="9"/>
        <v>Crash Report</v>
      </c>
      <c r="B83" s="118">
        <v>20213209688</v>
      </c>
      <c r="C83" s="118">
        <v>2021</v>
      </c>
      <c r="D83" s="118">
        <v>21102828441030</v>
      </c>
      <c r="F83" s="118" t="s">
        <v>6442</v>
      </c>
      <c r="G83" s="118" t="s">
        <v>210</v>
      </c>
      <c r="H83" s="118">
        <v>2</v>
      </c>
      <c r="I83" s="118" t="s">
        <v>6055</v>
      </c>
      <c r="J83" s="118" t="s">
        <v>391</v>
      </c>
      <c r="K83" s="118" t="s">
        <v>6985</v>
      </c>
      <c r="L83" s="118">
        <v>0.72099999999999997</v>
      </c>
      <c r="M83" s="118">
        <v>0.72099999999999997</v>
      </c>
      <c r="N83" s="118" t="s">
        <v>7465</v>
      </c>
      <c r="O83" s="118" t="s">
        <v>7476</v>
      </c>
      <c r="P83" s="118">
        <v>41.653713000000003</v>
      </c>
      <c r="Q83" s="118">
        <v>-83.514940999999993</v>
      </c>
      <c r="R83" s="118">
        <v>77000</v>
      </c>
      <c r="S83" s="118" t="s">
        <v>6988</v>
      </c>
      <c r="T83" s="118">
        <v>1</v>
      </c>
      <c r="U83" s="118">
        <v>0</v>
      </c>
      <c r="V83" s="118">
        <v>0</v>
      </c>
      <c r="W83" s="118">
        <v>0</v>
      </c>
      <c r="X83" s="118">
        <v>0</v>
      </c>
      <c r="Y83" s="118">
        <v>2</v>
      </c>
      <c r="Z83" s="118">
        <v>0</v>
      </c>
      <c r="AA83" s="118">
        <v>3</v>
      </c>
      <c r="AB83" s="118" t="s">
        <v>1067</v>
      </c>
      <c r="AC83" s="118" t="s">
        <v>6989</v>
      </c>
      <c r="AD83" s="118" t="s">
        <v>1034</v>
      </c>
      <c r="AE83" s="118" t="s">
        <v>943</v>
      </c>
      <c r="AF83" s="118" t="s">
        <v>1041</v>
      </c>
      <c r="AG83" s="118" t="s">
        <v>6415</v>
      </c>
      <c r="AH83" s="118" t="s">
        <v>393</v>
      </c>
      <c r="AI83" s="118">
        <v>4</v>
      </c>
      <c r="AJ83" s="118" t="s">
        <v>6415</v>
      </c>
      <c r="AK83" s="118" t="s">
        <v>393</v>
      </c>
      <c r="AL83" s="118" t="s">
        <v>393</v>
      </c>
      <c r="AM83" s="118" t="s">
        <v>393</v>
      </c>
      <c r="AN83" s="402" t="s">
        <v>5975</v>
      </c>
      <c r="AO83" s="402">
        <v>44498</v>
      </c>
      <c r="AP83" s="118">
        <v>10</v>
      </c>
      <c r="AQ83" s="118">
        <v>10</v>
      </c>
      <c r="AR83" s="118" t="s">
        <v>6448</v>
      </c>
      <c r="AS83" s="118" t="s">
        <v>420</v>
      </c>
      <c r="AT83" s="118" t="s">
        <v>225</v>
      </c>
      <c r="AU83" s="118" t="s">
        <v>404</v>
      </c>
      <c r="AV83" s="118" t="s">
        <v>508</v>
      </c>
      <c r="AW83" s="118" t="s">
        <v>740</v>
      </c>
      <c r="AX83" s="118" t="s">
        <v>393</v>
      </c>
      <c r="AY83" s="118" t="s">
        <v>393</v>
      </c>
      <c r="AZ83" s="118" t="s">
        <v>393</v>
      </c>
      <c r="BA83" s="118" t="s">
        <v>393</v>
      </c>
      <c r="BB83" s="118" t="s">
        <v>393</v>
      </c>
      <c r="BC83" s="118" t="s">
        <v>393</v>
      </c>
      <c r="BD83" s="118" t="s">
        <v>393</v>
      </c>
      <c r="BE83" s="118" t="s">
        <v>393</v>
      </c>
      <c r="BF83" s="118" t="s">
        <v>393</v>
      </c>
      <c r="BG83" s="118" t="s">
        <v>393</v>
      </c>
      <c r="BH83" s="118" t="s">
        <v>394</v>
      </c>
      <c r="BI83" s="118" t="s">
        <v>394</v>
      </c>
      <c r="BJ83" s="118" t="s">
        <v>393</v>
      </c>
      <c r="BK83" s="118" t="s">
        <v>6988</v>
      </c>
      <c r="BL83" s="118" t="s">
        <v>6415</v>
      </c>
      <c r="BM83" s="118" t="s">
        <v>6990</v>
      </c>
      <c r="BN83" s="118" t="s">
        <v>6991</v>
      </c>
      <c r="BO83" s="118" t="s">
        <v>6415</v>
      </c>
      <c r="BP83" s="118" t="s">
        <v>6415</v>
      </c>
      <c r="BQ83" s="118" t="s">
        <v>6415</v>
      </c>
      <c r="BR83" s="118" t="s">
        <v>6415</v>
      </c>
      <c r="BS83" s="118" t="s">
        <v>6415</v>
      </c>
      <c r="BT83" s="118" t="s">
        <v>7033</v>
      </c>
      <c r="BU83" s="118" t="s">
        <v>6991</v>
      </c>
      <c r="BV83" s="118" t="s">
        <v>6415</v>
      </c>
      <c r="BW83" s="118" t="s">
        <v>6415</v>
      </c>
      <c r="BX83" s="118" t="s">
        <v>6415</v>
      </c>
      <c r="BY83" s="118" t="s">
        <v>6415</v>
      </c>
      <c r="BZ83" s="118" t="s">
        <v>6415</v>
      </c>
      <c r="CA83" s="118" t="s">
        <v>6415</v>
      </c>
      <c r="CB83" s="118" t="s">
        <v>221</v>
      </c>
      <c r="CC83" s="118" t="s">
        <v>740</v>
      </c>
      <c r="CD83" s="118">
        <v>1</v>
      </c>
      <c r="CE83" s="118" t="s">
        <v>411</v>
      </c>
      <c r="CF83" s="118" t="s">
        <v>410</v>
      </c>
      <c r="CG83" s="118" t="s">
        <v>924</v>
      </c>
      <c r="CH83" s="118" t="s">
        <v>6302</v>
      </c>
      <c r="CI83" s="118" t="s">
        <v>6303</v>
      </c>
      <c r="CJ83" s="118" t="s">
        <v>398</v>
      </c>
      <c r="CK83" s="118">
        <v>30</v>
      </c>
      <c r="CL83" s="118">
        <v>35</v>
      </c>
      <c r="CM83" s="118" t="s">
        <v>399</v>
      </c>
      <c r="CN83" s="118" t="s">
        <v>6334</v>
      </c>
      <c r="CO83" s="118" t="s">
        <v>1096</v>
      </c>
      <c r="CP83" s="118" t="s">
        <v>400</v>
      </c>
      <c r="CQ83" s="118" t="s">
        <v>6415</v>
      </c>
      <c r="CR83" s="118" t="s">
        <v>6415</v>
      </c>
      <c r="CS83" s="118" t="s">
        <v>6415</v>
      </c>
      <c r="CT83" s="118" t="s">
        <v>6415</v>
      </c>
      <c r="CU83" s="118" t="s">
        <v>6415</v>
      </c>
      <c r="CV83" s="118" t="s">
        <v>6415</v>
      </c>
      <c r="CW83" s="118">
        <v>31</v>
      </c>
      <c r="CX83" s="118" t="s">
        <v>1066</v>
      </c>
      <c r="CY83" s="118" t="s">
        <v>6341</v>
      </c>
      <c r="CZ83" s="118">
        <v>2</v>
      </c>
      <c r="DA83" s="118" t="s">
        <v>411</v>
      </c>
      <c r="DB83" s="118" t="s">
        <v>410</v>
      </c>
      <c r="DC83" s="118" t="s">
        <v>6415</v>
      </c>
      <c r="DD83" s="118" t="s">
        <v>6302</v>
      </c>
      <c r="DE83" s="118" t="s">
        <v>6303</v>
      </c>
      <c r="DF83" s="118" t="s">
        <v>398</v>
      </c>
      <c r="DG83" s="118">
        <v>0</v>
      </c>
      <c r="DH83" s="118">
        <v>35</v>
      </c>
      <c r="DI83" s="118" t="s">
        <v>429</v>
      </c>
      <c r="DJ83" s="118" t="s">
        <v>398</v>
      </c>
      <c r="DK83" s="118" t="s">
        <v>400</v>
      </c>
      <c r="DL83" s="118" t="s">
        <v>6415</v>
      </c>
      <c r="DM83" s="118" t="s">
        <v>6415</v>
      </c>
      <c r="DN83" s="118" t="s">
        <v>6415</v>
      </c>
      <c r="DO83" s="118" t="s">
        <v>6415</v>
      </c>
      <c r="DP83" s="118" t="s">
        <v>6415</v>
      </c>
      <c r="DQ83" s="118" t="s">
        <v>6415</v>
      </c>
      <c r="DR83" s="118">
        <v>0</v>
      </c>
      <c r="DS83" s="118" t="s">
        <v>6415</v>
      </c>
      <c r="DT83" s="118" t="s">
        <v>6415</v>
      </c>
      <c r="DU83" s="118">
        <v>3</v>
      </c>
      <c r="DV83" s="118" t="s">
        <v>6302</v>
      </c>
      <c r="DW83" s="118" t="s">
        <v>6303</v>
      </c>
      <c r="DX83" s="118" t="s">
        <v>398</v>
      </c>
      <c r="DY83" s="118" t="s">
        <v>473</v>
      </c>
      <c r="DZ83" s="118" t="s">
        <v>398</v>
      </c>
      <c r="EA83" s="118" t="s">
        <v>450</v>
      </c>
      <c r="EB83" s="118" t="s">
        <v>6415</v>
      </c>
      <c r="EC83" s="118" t="s">
        <v>6415</v>
      </c>
      <c r="ED83" s="118" t="s">
        <v>6415</v>
      </c>
      <c r="EE83" s="118" t="s">
        <v>6415</v>
      </c>
      <c r="EF83" s="118" t="s">
        <v>6415</v>
      </c>
      <c r="EG83" s="118" t="s">
        <v>7031</v>
      </c>
      <c r="EH83" s="118" t="s">
        <v>7119</v>
      </c>
      <c r="EI83" s="118" t="s">
        <v>6415</v>
      </c>
      <c r="EJ83" s="118" t="s">
        <v>6415</v>
      </c>
      <c r="EK83" s="118" t="s">
        <v>6415</v>
      </c>
      <c r="EL83" s="118" t="s">
        <v>7467</v>
      </c>
      <c r="EM83" s="118" t="s">
        <v>7118</v>
      </c>
      <c r="EN83" s="118" t="s">
        <v>6415</v>
      </c>
      <c r="EO83" s="6" t="str">
        <f t="shared" si="10"/>
        <v>Pathweb</v>
      </c>
      <c r="EP83" s="6" t="str">
        <f t="shared" si="11"/>
        <v>Google Maps</v>
      </c>
      <c r="EQ83" s="6" t="str">
        <f t="shared" si="12"/>
        <v>Mashed Map</v>
      </c>
      <c r="ER83" s="118" t="s">
        <v>6726</v>
      </c>
      <c r="ES83" s="118" t="s">
        <v>71</v>
      </c>
      <c r="ET83" s="4">
        <v>8.9999999999999993E-3</v>
      </c>
      <c r="EU83" s="4"/>
      <c r="EV83" s="4"/>
    </row>
    <row r="84" spans="1:152" x14ac:dyDescent="0.15">
      <c r="A84" s="581" t="str">
        <f t="shared" si="9"/>
        <v>Crash Report</v>
      </c>
      <c r="B84" s="118">
        <v>20213212541</v>
      </c>
      <c r="C84" s="118">
        <v>2021</v>
      </c>
      <c r="D84" s="118">
        <v>21110321940720</v>
      </c>
      <c r="F84" s="118" t="s">
        <v>6442</v>
      </c>
      <c r="G84" s="118" t="s">
        <v>402</v>
      </c>
      <c r="H84" s="118">
        <v>2</v>
      </c>
      <c r="I84" s="118" t="s">
        <v>6055</v>
      </c>
      <c r="J84" s="118" t="s">
        <v>434</v>
      </c>
      <c r="K84" s="118" t="s">
        <v>6985</v>
      </c>
      <c r="L84" s="118">
        <v>0.33300000000000002</v>
      </c>
      <c r="M84" s="118">
        <v>0.33300000000000002</v>
      </c>
      <c r="N84" s="118" t="s">
        <v>7465</v>
      </c>
      <c r="O84" s="118" t="s">
        <v>7487</v>
      </c>
      <c r="P84" s="118">
        <v>41.650154000000001</v>
      </c>
      <c r="Q84" s="118">
        <v>-83.520757000000003</v>
      </c>
      <c r="R84" s="118">
        <v>77000</v>
      </c>
      <c r="S84" s="118" t="s">
        <v>6988</v>
      </c>
      <c r="T84" s="118">
        <v>1</v>
      </c>
      <c r="U84" s="118">
        <v>0</v>
      </c>
      <c r="V84" s="118">
        <v>0</v>
      </c>
      <c r="W84" s="118">
        <v>0</v>
      </c>
      <c r="X84" s="118">
        <v>0</v>
      </c>
      <c r="Y84" s="118">
        <v>2</v>
      </c>
      <c r="Z84" s="118">
        <v>0</v>
      </c>
      <c r="AA84" s="118">
        <v>2</v>
      </c>
      <c r="AB84" s="118" t="s">
        <v>1067</v>
      </c>
      <c r="AC84" s="118" t="s">
        <v>6989</v>
      </c>
      <c r="AD84" s="118" t="s">
        <v>1034</v>
      </c>
      <c r="AE84" s="118" t="s">
        <v>943</v>
      </c>
      <c r="AF84" s="118" t="s">
        <v>1041</v>
      </c>
      <c r="AG84" s="118" t="s">
        <v>6415</v>
      </c>
      <c r="AH84" s="118" t="s">
        <v>393</v>
      </c>
      <c r="AI84" s="118">
        <v>4</v>
      </c>
      <c r="AJ84" s="118" t="s">
        <v>6415</v>
      </c>
      <c r="AK84" s="118" t="s">
        <v>393</v>
      </c>
      <c r="AL84" s="118" t="s">
        <v>393</v>
      </c>
      <c r="AM84" s="118" t="s">
        <v>393</v>
      </c>
      <c r="AN84" s="402" t="s">
        <v>5975</v>
      </c>
      <c r="AO84" s="402">
        <v>44503</v>
      </c>
      <c r="AP84" s="118">
        <v>11</v>
      </c>
      <c r="AQ84" s="118">
        <v>7</v>
      </c>
      <c r="AR84" s="118" t="s">
        <v>6446</v>
      </c>
      <c r="AS84" s="118" t="s">
        <v>392</v>
      </c>
      <c r="AT84" s="118" t="s">
        <v>500</v>
      </c>
      <c r="AU84" s="118" t="s">
        <v>505</v>
      </c>
      <c r="AV84" s="118" t="s">
        <v>508</v>
      </c>
      <c r="AW84" s="118" t="s">
        <v>393</v>
      </c>
      <c r="AX84" s="118" t="s">
        <v>740</v>
      </c>
      <c r="AY84" s="118" t="s">
        <v>393</v>
      </c>
      <c r="AZ84" s="118" t="s">
        <v>393</v>
      </c>
      <c r="BA84" s="118" t="s">
        <v>393</v>
      </c>
      <c r="BB84" s="118" t="s">
        <v>393</v>
      </c>
      <c r="BC84" s="118" t="s">
        <v>393</v>
      </c>
      <c r="BD84" s="118" t="s">
        <v>393</v>
      </c>
      <c r="BE84" s="118" t="s">
        <v>393</v>
      </c>
      <c r="BF84" s="118" t="s">
        <v>393</v>
      </c>
      <c r="BG84" s="118" t="s">
        <v>393</v>
      </c>
      <c r="BH84" s="118" t="s">
        <v>394</v>
      </c>
      <c r="BI84" s="118" t="s">
        <v>394</v>
      </c>
      <c r="BJ84" s="118" t="s">
        <v>393</v>
      </c>
      <c r="BK84" s="118" t="s">
        <v>6988</v>
      </c>
      <c r="BL84" s="118" t="s">
        <v>6415</v>
      </c>
      <c r="BM84" s="118" t="s">
        <v>6990</v>
      </c>
      <c r="BN84" s="118" t="s">
        <v>6991</v>
      </c>
      <c r="BO84" s="118" t="s">
        <v>6415</v>
      </c>
      <c r="BP84" s="118" t="s">
        <v>6415</v>
      </c>
      <c r="BQ84" s="118" t="s">
        <v>6415</v>
      </c>
      <c r="BR84" s="118" t="s">
        <v>6415</v>
      </c>
      <c r="BS84" s="118" t="s">
        <v>6415</v>
      </c>
      <c r="BT84" s="118" t="s">
        <v>7123</v>
      </c>
      <c r="BU84" s="118" t="s">
        <v>7057</v>
      </c>
      <c r="BV84" s="118" t="s">
        <v>6415</v>
      </c>
      <c r="BW84" s="118" t="s">
        <v>6415</v>
      </c>
      <c r="BX84" s="118" t="s">
        <v>6415</v>
      </c>
      <c r="BY84" s="118" t="s">
        <v>6415</v>
      </c>
      <c r="BZ84" s="118" t="s">
        <v>6415</v>
      </c>
      <c r="CA84" s="118" t="s">
        <v>6415</v>
      </c>
      <c r="CB84" s="118" t="s">
        <v>221</v>
      </c>
      <c r="CC84" s="118" t="s">
        <v>393</v>
      </c>
      <c r="CD84" s="118">
        <v>1</v>
      </c>
      <c r="CE84" s="118" t="s">
        <v>397</v>
      </c>
      <c r="CF84" s="118" t="s">
        <v>396</v>
      </c>
      <c r="CG84" s="118" t="s">
        <v>924</v>
      </c>
      <c r="CH84" s="118" t="s">
        <v>6302</v>
      </c>
      <c r="CI84" s="118" t="s">
        <v>417</v>
      </c>
      <c r="CJ84" s="118" t="s">
        <v>398</v>
      </c>
      <c r="CK84" s="14">
        <v>35</v>
      </c>
      <c r="CL84" s="118">
        <v>35</v>
      </c>
      <c r="CM84" s="118" t="s">
        <v>399</v>
      </c>
      <c r="CN84" s="118" t="s">
        <v>6338</v>
      </c>
      <c r="CO84" s="118" t="s">
        <v>461</v>
      </c>
      <c r="CP84" s="118" t="s">
        <v>400</v>
      </c>
      <c r="CQ84" s="118" t="s">
        <v>432</v>
      </c>
      <c r="CR84" s="118" t="s">
        <v>461</v>
      </c>
      <c r="CS84" s="118" t="s">
        <v>6415</v>
      </c>
      <c r="CT84" s="118" t="s">
        <v>6415</v>
      </c>
      <c r="CU84" s="118" t="s">
        <v>6415</v>
      </c>
      <c r="CV84" s="118" t="s">
        <v>6415</v>
      </c>
      <c r="CW84" s="14">
        <v>31</v>
      </c>
      <c r="CX84" s="118" t="s">
        <v>1066</v>
      </c>
      <c r="CY84" s="118" t="s">
        <v>6341</v>
      </c>
      <c r="CZ84" s="118">
        <v>2</v>
      </c>
      <c r="DA84" s="118" t="s">
        <v>397</v>
      </c>
      <c r="DB84" s="118" t="s">
        <v>396</v>
      </c>
      <c r="DC84" s="118" t="s">
        <v>6415</v>
      </c>
      <c r="DD84" s="118" t="s">
        <v>6302</v>
      </c>
      <c r="DE84" s="118" t="s">
        <v>6314</v>
      </c>
      <c r="DF84" s="118" t="s">
        <v>398</v>
      </c>
      <c r="DG84" s="14">
        <v>35</v>
      </c>
      <c r="DH84" s="118">
        <v>35</v>
      </c>
      <c r="DI84" s="118" t="s">
        <v>399</v>
      </c>
      <c r="DJ84" s="118" t="s">
        <v>6338</v>
      </c>
      <c r="DK84" s="118" t="s">
        <v>400</v>
      </c>
      <c r="DL84" s="118" t="s">
        <v>6415</v>
      </c>
      <c r="DM84" s="118" t="s">
        <v>6415</v>
      </c>
      <c r="DN84" s="118" t="s">
        <v>6415</v>
      </c>
      <c r="DO84" s="118" t="s">
        <v>6415</v>
      </c>
      <c r="DP84" s="118" t="s">
        <v>6415</v>
      </c>
      <c r="DQ84" s="118" t="s">
        <v>6415</v>
      </c>
      <c r="DR84" s="118">
        <v>55</v>
      </c>
      <c r="DS84" s="118" t="s">
        <v>1068</v>
      </c>
      <c r="DT84" s="118" t="s">
        <v>6341</v>
      </c>
      <c r="DU84" s="118" t="s">
        <v>6415</v>
      </c>
      <c r="DV84" s="118" t="s">
        <v>6415</v>
      </c>
      <c r="DW84" s="118" t="s">
        <v>6415</v>
      </c>
      <c r="DX84" s="118" t="s">
        <v>6415</v>
      </c>
      <c r="DY84" s="118" t="s">
        <v>6415</v>
      </c>
      <c r="DZ84" s="118" t="s">
        <v>6415</v>
      </c>
      <c r="EA84" s="118" t="s">
        <v>6415</v>
      </c>
      <c r="EB84" s="118" t="s">
        <v>6415</v>
      </c>
      <c r="EC84" s="118" t="s">
        <v>6415</v>
      </c>
      <c r="ED84" s="118" t="s">
        <v>6415</v>
      </c>
      <c r="EE84" s="118" t="s">
        <v>6415</v>
      </c>
      <c r="EF84" s="118" t="s">
        <v>6415</v>
      </c>
      <c r="EG84" s="118" t="s">
        <v>7121</v>
      </c>
      <c r="EH84" s="118" t="s">
        <v>7122</v>
      </c>
      <c r="EI84" s="118" t="s">
        <v>6415</v>
      </c>
      <c r="EJ84" s="118" t="s">
        <v>6415</v>
      </c>
      <c r="EK84" s="118" t="s">
        <v>6415</v>
      </c>
      <c r="EL84" s="118" t="s">
        <v>7467</v>
      </c>
      <c r="EM84" s="118" t="s">
        <v>7120</v>
      </c>
      <c r="EN84" s="118" t="s">
        <v>6415</v>
      </c>
      <c r="EO84" s="6" t="str">
        <f t="shared" si="10"/>
        <v>Pathweb</v>
      </c>
      <c r="EP84" s="6" t="str">
        <f t="shared" si="11"/>
        <v>Google Maps</v>
      </c>
      <c r="EQ84" s="6" t="str">
        <f t="shared" si="12"/>
        <v>Mashed Map</v>
      </c>
      <c r="ER84" s="118" t="s">
        <v>6727</v>
      </c>
      <c r="ES84" s="118" t="s">
        <v>71</v>
      </c>
      <c r="ET84" s="4">
        <v>8.9999999999999993E-3</v>
      </c>
      <c r="EU84" s="4"/>
      <c r="EV84" s="4"/>
    </row>
    <row r="85" spans="1:152" x14ac:dyDescent="0.15">
      <c r="A85" s="581" t="str">
        <f t="shared" ref="A85:A148" si="13">IF(C85*1&gt;2010,HYPERLINK(EM85,"Crash Report"),IF(EM85="","","Restricted Access"))</f>
        <v>Crash Report</v>
      </c>
      <c r="B85" s="14">
        <v>20213215220</v>
      </c>
      <c r="C85" s="118">
        <v>2021</v>
      </c>
      <c r="D85" s="14">
        <v>21110520212277</v>
      </c>
      <c r="F85" s="118" t="s">
        <v>6442</v>
      </c>
      <c r="G85" s="118" t="s">
        <v>211</v>
      </c>
      <c r="H85" s="118">
        <v>2</v>
      </c>
      <c r="I85" s="118" t="s">
        <v>6055</v>
      </c>
      <c r="J85" s="118" t="s">
        <v>391</v>
      </c>
      <c r="K85" s="118" t="s">
        <v>6985</v>
      </c>
      <c r="L85" s="118">
        <v>1.075</v>
      </c>
      <c r="M85" s="118">
        <v>1.075</v>
      </c>
      <c r="N85" s="118" t="s">
        <v>7465</v>
      </c>
      <c r="O85" s="118" t="s">
        <v>7488</v>
      </c>
      <c r="P85" s="118">
        <v>41.656908999999999</v>
      </c>
      <c r="Q85" s="118">
        <v>-83.509556000000003</v>
      </c>
      <c r="R85" s="118">
        <v>77000</v>
      </c>
      <c r="S85" s="118" t="s">
        <v>6988</v>
      </c>
      <c r="T85" s="118">
        <v>1</v>
      </c>
      <c r="U85" s="118">
        <v>0</v>
      </c>
      <c r="V85" s="118">
        <v>0</v>
      </c>
      <c r="W85" s="118">
        <v>0</v>
      </c>
      <c r="X85" s="118">
        <v>0</v>
      </c>
      <c r="Y85" s="118">
        <v>2</v>
      </c>
      <c r="Z85" s="118">
        <v>0</v>
      </c>
      <c r="AA85" s="118">
        <v>2</v>
      </c>
      <c r="AB85" s="118" t="s">
        <v>1067</v>
      </c>
      <c r="AC85" s="118" t="s">
        <v>6989</v>
      </c>
      <c r="AD85" s="118" t="s">
        <v>1034</v>
      </c>
      <c r="AE85" s="118" t="s">
        <v>943</v>
      </c>
      <c r="AF85" s="118" t="s">
        <v>1041</v>
      </c>
      <c r="AG85" s="118" t="s">
        <v>6415</v>
      </c>
      <c r="AH85" s="118" t="s">
        <v>393</v>
      </c>
      <c r="AI85" s="118">
        <v>4</v>
      </c>
      <c r="AJ85" s="118" t="s">
        <v>6415</v>
      </c>
      <c r="AK85" s="118" t="s">
        <v>393</v>
      </c>
      <c r="AL85" s="118" t="s">
        <v>393</v>
      </c>
      <c r="AM85" s="118" t="s">
        <v>393</v>
      </c>
      <c r="AN85" s="402" t="s">
        <v>5975</v>
      </c>
      <c r="AO85" s="402">
        <v>44505</v>
      </c>
      <c r="AP85" s="118">
        <v>11</v>
      </c>
      <c r="AQ85" s="118">
        <v>6</v>
      </c>
      <c r="AR85" s="118" t="s">
        <v>6448</v>
      </c>
      <c r="AS85" s="118" t="s">
        <v>392</v>
      </c>
      <c r="AT85" s="118" t="s">
        <v>500</v>
      </c>
      <c r="AU85" s="118" t="s">
        <v>505</v>
      </c>
      <c r="AV85" s="118" t="s">
        <v>508</v>
      </c>
      <c r="AW85" s="118" t="s">
        <v>393</v>
      </c>
      <c r="AX85" s="118" t="s">
        <v>740</v>
      </c>
      <c r="AY85" s="118" t="s">
        <v>393</v>
      </c>
      <c r="AZ85" s="118" t="s">
        <v>393</v>
      </c>
      <c r="BA85" s="118" t="s">
        <v>393</v>
      </c>
      <c r="BB85" s="118" t="s">
        <v>393</v>
      </c>
      <c r="BC85" s="118" t="s">
        <v>393</v>
      </c>
      <c r="BD85" s="118" t="s">
        <v>393</v>
      </c>
      <c r="BE85" s="118" t="s">
        <v>393</v>
      </c>
      <c r="BF85" s="118" t="s">
        <v>740</v>
      </c>
      <c r="BG85" s="118" t="s">
        <v>393</v>
      </c>
      <c r="BH85" s="118" t="s">
        <v>394</v>
      </c>
      <c r="BI85" s="118" t="s">
        <v>394</v>
      </c>
      <c r="BJ85" s="118" t="s">
        <v>393</v>
      </c>
      <c r="BK85" s="118" t="s">
        <v>6988</v>
      </c>
      <c r="BL85" s="118" t="s">
        <v>6415</v>
      </c>
      <c r="BM85" s="118" t="s">
        <v>6990</v>
      </c>
      <c r="BN85" s="118" t="s">
        <v>6991</v>
      </c>
      <c r="BO85" s="118" t="s">
        <v>6415</v>
      </c>
      <c r="BP85" s="118" t="s">
        <v>6415</v>
      </c>
      <c r="BQ85" s="118" t="s">
        <v>6415</v>
      </c>
      <c r="BR85" s="118" t="s">
        <v>6415</v>
      </c>
      <c r="BS85" s="118" t="s">
        <v>6415</v>
      </c>
      <c r="BT85" s="118" t="s">
        <v>7125</v>
      </c>
      <c r="BU85" s="118" t="s">
        <v>6415</v>
      </c>
      <c r="BV85" s="118" t="s">
        <v>6415</v>
      </c>
      <c r="BW85" s="118" t="s">
        <v>7126</v>
      </c>
      <c r="BX85" s="118">
        <v>280</v>
      </c>
      <c r="BY85" s="118" t="s">
        <v>6415</v>
      </c>
      <c r="BZ85" s="118" t="s">
        <v>6415</v>
      </c>
      <c r="CA85" s="118" t="s">
        <v>6415</v>
      </c>
      <c r="CB85" s="118" t="s">
        <v>221</v>
      </c>
      <c r="CC85" s="118" t="s">
        <v>740</v>
      </c>
      <c r="CD85" s="118">
        <v>2</v>
      </c>
      <c r="CE85" s="118" t="s">
        <v>411</v>
      </c>
      <c r="CF85" s="118" t="s">
        <v>411</v>
      </c>
      <c r="CG85" s="118" t="s">
        <v>927</v>
      </c>
      <c r="CH85" s="118" t="s">
        <v>6300</v>
      </c>
      <c r="CI85" s="118" t="s">
        <v>6303</v>
      </c>
      <c r="CJ85" s="118" t="s">
        <v>398</v>
      </c>
      <c r="CK85" s="14">
        <v>0</v>
      </c>
      <c r="CL85" s="118">
        <v>35</v>
      </c>
      <c r="CM85" s="118" t="s">
        <v>486</v>
      </c>
      <c r="CN85" s="118" t="s">
        <v>6327</v>
      </c>
      <c r="CO85" s="118" t="s">
        <v>1096</v>
      </c>
      <c r="CP85" s="118" t="s">
        <v>400</v>
      </c>
      <c r="CQ85" s="118" t="s">
        <v>6415</v>
      </c>
      <c r="CR85" s="118" t="s">
        <v>6415</v>
      </c>
      <c r="CS85" s="118" t="s">
        <v>6415</v>
      </c>
      <c r="CT85" s="118" t="s">
        <v>6415</v>
      </c>
      <c r="CU85" s="118" t="s">
        <v>6415</v>
      </c>
      <c r="CV85" s="118" t="s">
        <v>6415</v>
      </c>
      <c r="CW85" s="14">
        <v>19</v>
      </c>
      <c r="CX85" s="118" t="s">
        <v>1068</v>
      </c>
      <c r="CY85" s="118" t="s">
        <v>6151</v>
      </c>
      <c r="CZ85" s="118">
        <v>1</v>
      </c>
      <c r="DA85" s="118" t="s">
        <v>397</v>
      </c>
      <c r="DB85" s="118" t="s">
        <v>445</v>
      </c>
      <c r="DC85" s="118" t="s">
        <v>6415</v>
      </c>
      <c r="DD85" s="118" t="s">
        <v>6300</v>
      </c>
      <c r="DE85" s="118" t="s">
        <v>6303</v>
      </c>
      <c r="DF85" s="118" t="s">
        <v>398</v>
      </c>
      <c r="DG85" s="14" t="s">
        <v>6415</v>
      </c>
      <c r="DH85" s="118">
        <v>35</v>
      </c>
      <c r="DI85" s="118" t="s">
        <v>435</v>
      </c>
      <c r="DJ85" s="118" t="s">
        <v>398</v>
      </c>
      <c r="DK85" s="118" t="s">
        <v>400</v>
      </c>
      <c r="DL85" s="118" t="s">
        <v>6415</v>
      </c>
      <c r="DM85" s="118" t="s">
        <v>6415</v>
      </c>
      <c r="DN85" s="118" t="s">
        <v>6415</v>
      </c>
      <c r="DO85" s="118" t="s">
        <v>6415</v>
      </c>
      <c r="DP85" s="118" t="s">
        <v>6415</v>
      </c>
      <c r="DQ85" s="118" t="s">
        <v>6415</v>
      </c>
      <c r="DR85" s="118">
        <v>36</v>
      </c>
      <c r="DS85" s="118" t="s">
        <v>1066</v>
      </c>
      <c r="DT85" s="118" t="s">
        <v>6151</v>
      </c>
      <c r="DU85" s="118" t="s">
        <v>6415</v>
      </c>
      <c r="DV85" s="118" t="s">
        <v>6415</v>
      </c>
      <c r="DW85" s="118" t="s">
        <v>6415</v>
      </c>
      <c r="DX85" s="118" t="s">
        <v>6415</v>
      </c>
      <c r="DY85" s="118" t="s">
        <v>6415</v>
      </c>
      <c r="DZ85" s="118" t="s">
        <v>6415</v>
      </c>
      <c r="EA85" s="118" t="s">
        <v>6415</v>
      </c>
      <c r="EB85" s="118" t="s">
        <v>6415</v>
      </c>
      <c r="EC85" s="118" t="s">
        <v>6415</v>
      </c>
      <c r="ED85" s="118" t="s">
        <v>6415</v>
      </c>
      <c r="EE85" s="118" t="s">
        <v>6415</v>
      </c>
      <c r="EF85" s="118" t="s">
        <v>6415</v>
      </c>
      <c r="EG85" s="118" t="s">
        <v>7006</v>
      </c>
      <c r="EH85" s="118" t="s">
        <v>7007</v>
      </c>
      <c r="EI85" s="118" t="s">
        <v>6415</v>
      </c>
      <c r="EJ85" s="118" t="s">
        <v>6415</v>
      </c>
      <c r="EK85" s="118" t="s">
        <v>6415</v>
      </c>
      <c r="EL85" s="118" t="s">
        <v>7467</v>
      </c>
      <c r="EM85" s="118" t="s">
        <v>7124</v>
      </c>
      <c r="EN85" s="118" t="s">
        <v>6415</v>
      </c>
      <c r="EO85" s="6" t="str">
        <f t="shared" ref="EO85:EO148" si="14">+HYPERLINK(CONCATENATE("http://pathweb.pathwayservices.com/ohiopublic/?nlfid='",+K85,"'&amp;logpoint=",+L85),"Pathweb")</f>
        <v>Pathweb</v>
      </c>
      <c r="EP85" s="6" t="str">
        <f t="shared" ref="EP85:EP148" si="15">HYPERLINK(CONCATENATE("http://maps.google.com/maps?q=",+P85,",+",+Q85,"+(Crash+Location)&amp;iwloc=A&amp;hl=en"),"Google Maps")</f>
        <v>Google Maps</v>
      </c>
      <c r="EQ85" s="6" t="str">
        <f t="shared" ref="EQ85:EQ148" si="16">HYPERLINK(CONCATENATE("http://data.mashedworld.com/dualmaps/map.htm?x=",Q85,"&amp;y=",P85,"&amp;z=15&amp;gm=0&amp;ve=5&amp;gc=0&amp;bz=1&amp;bd=0&amp;mw=1&amp;sv=1&amp;svb=0&amp;svp=0&amp;svz=0&amp;svm=2&amp;svf=0"),"Mashed Map")</f>
        <v>Mashed Map</v>
      </c>
      <c r="ER85" s="118" t="s">
        <v>6727</v>
      </c>
      <c r="ES85" s="118" t="s">
        <v>71</v>
      </c>
      <c r="ET85" s="4">
        <v>0</v>
      </c>
      <c r="EU85" s="4"/>
      <c r="EV85" s="4"/>
    </row>
    <row r="86" spans="1:152" x14ac:dyDescent="0.15">
      <c r="A86" s="581" t="str">
        <f t="shared" si="13"/>
        <v>Crash Report</v>
      </c>
      <c r="B86" s="14">
        <v>20213227362</v>
      </c>
      <c r="C86" s="118">
        <v>2021</v>
      </c>
      <c r="D86" s="14">
        <v>21111821941324</v>
      </c>
      <c r="F86" s="118" t="s">
        <v>6441</v>
      </c>
      <c r="G86" s="118" t="s">
        <v>390</v>
      </c>
      <c r="H86" s="118">
        <v>2</v>
      </c>
      <c r="I86" s="118" t="s">
        <v>6055</v>
      </c>
      <c r="J86" s="118" t="s">
        <v>423</v>
      </c>
      <c r="K86" s="118" t="s">
        <v>6985</v>
      </c>
      <c r="L86" s="118">
        <v>0.15</v>
      </c>
      <c r="M86" s="118">
        <v>0.15</v>
      </c>
      <c r="N86" s="118" t="s">
        <v>7465</v>
      </c>
      <c r="O86" s="118" t="s">
        <v>7473</v>
      </c>
      <c r="P86" s="118">
        <v>41.648516999999998</v>
      </c>
      <c r="Q86" s="118">
        <v>-83.523448000000002</v>
      </c>
      <c r="R86" s="118">
        <v>77000</v>
      </c>
      <c r="S86" s="118" t="s">
        <v>6988</v>
      </c>
      <c r="T86" s="118">
        <v>1</v>
      </c>
      <c r="U86" s="118">
        <v>0</v>
      </c>
      <c r="V86" s="118">
        <v>0</v>
      </c>
      <c r="W86" s="118">
        <v>0</v>
      </c>
      <c r="X86" s="118">
        <v>1</v>
      </c>
      <c r="Y86" s="118">
        <v>1</v>
      </c>
      <c r="Z86" s="118">
        <v>0</v>
      </c>
      <c r="AA86" s="118">
        <v>2</v>
      </c>
      <c r="AB86" s="118" t="s">
        <v>1067</v>
      </c>
      <c r="AC86" s="118" t="s">
        <v>6989</v>
      </c>
      <c r="AD86" s="118" t="s">
        <v>1034</v>
      </c>
      <c r="AE86" s="118" t="s">
        <v>943</v>
      </c>
      <c r="AF86" s="118" t="s">
        <v>1041</v>
      </c>
      <c r="AG86" s="118" t="s">
        <v>6415</v>
      </c>
      <c r="AH86" s="118" t="s">
        <v>393</v>
      </c>
      <c r="AI86" s="118">
        <v>4</v>
      </c>
      <c r="AJ86" s="118" t="s">
        <v>6415</v>
      </c>
      <c r="AK86" s="118" t="s">
        <v>393</v>
      </c>
      <c r="AL86" s="118" t="s">
        <v>393</v>
      </c>
      <c r="AM86" s="118" t="s">
        <v>393</v>
      </c>
      <c r="AN86" s="402" t="s">
        <v>5975</v>
      </c>
      <c r="AO86" s="402">
        <v>44518</v>
      </c>
      <c r="AP86" s="118">
        <v>11</v>
      </c>
      <c r="AQ86" s="118">
        <v>13</v>
      </c>
      <c r="AR86" s="118" t="s">
        <v>6447</v>
      </c>
      <c r="AS86" s="118" t="s">
        <v>403</v>
      </c>
      <c r="AT86" s="118" t="s">
        <v>500</v>
      </c>
      <c r="AU86" s="118" t="s">
        <v>404</v>
      </c>
      <c r="AV86" s="118" t="s">
        <v>508</v>
      </c>
      <c r="AW86" s="118" t="s">
        <v>393</v>
      </c>
      <c r="AX86" s="118" t="s">
        <v>740</v>
      </c>
      <c r="AY86" s="118" t="s">
        <v>393</v>
      </c>
      <c r="AZ86" s="118" t="s">
        <v>393</v>
      </c>
      <c r="BA86" s="118" t="s">
        <v>393</v>
      </c>
      <c r="BB86" s="118" t="s">
        <v>393</v>
      </c>
      <c r="BC86" s="118" t="s">
        <v>393</v>
      </c>
      <c r="BD86" s="118" t="s">
        <v>393</v>
      </c>
      <c r="BE86" s="118" t="s">
        <v>393</v>
      </c>
      <c r="BF86" s="118" t="s">
        <v>393</v>
      </c>
      <c r="BG86" s="118" t="s">
        <v>393</v>
      </c>
      <c r="BH86" s="118" t="s">
        <v>394</v>
      </c>
      <c r="BI86" s="118" t="s">
        <v>394</v>
      </c>
      <c r="BJ86" s="118" t="s">
        <v>393</v>
      </c>
      <c r="BK86" s="118" t="s">
        <v>6988</v>
      </c>
      <c r="BL86" s="118" t="s">
        <v>6415</v>
      </c>
      <c r="BM86" s="118" t="s">
        <v>6992</v>
      </c>
      <c r="BN86" s="118" t="s">
        <v>6991</v>
      </c>
      <c r="BO86" s="118" t="s">
        <v>6415</v>
      </c>
      <c r="BP86" s="118" t="s">
        <v>6415</v>
      </c>
      <c r="BQ86" s="118" t="s">
        <v>6415</v>
      </c>
      <c r="BR86" s="118" t="s">
        <v>6415</v>
      </c>
      <c r="BS86" s="118" t="s">
        <v>6415</v>
      </c>
      <c r="BT86" s="118" t="s">
        <v>6990</v>
      </c>
      <c r="BU86" s="118" t="s">
        <v>6991</v>
      </c>
      <c r="BV86" s="118" t="s">
        <v>6415</v>
      </c>
      <c r="BW86" s="118" t="s">
        <v>6415</v>
      </c>
      <c r="BX86" s="118" t="s">
        <v>6415</v>
      </c>
      <c r="BY86" s="118" t="s">
        <v>6415</v>
      </c>
      <c r="BZ86" s="118" t="s">
        <v>6415</v>
      </c>
      <c r="CA86" s="118" t="s">
        <v>6415</v>
      </c>
      <c r="CB86" s="118" t="s">
        <v>221</v>
      </c>
      <c r="CC86" s="118" t="s">
        <v>740</v>
      </c>
      <c r="CD86" s="118">
        <v>2</v>
      </c>
      <c r="CE86" s="118" t="s">
        <v>446</v>
      </c>
      <c r="CF86" s="118" t="s">
        <v>445</v>
      </c>
      <c r="CG86" s="118" t="s">
        <v>924</v>
      </c>
      <c r="CH86" s="118" t="s">
        <v>6300</v>
      </c>
      <c r="CI86" s="118" t="s">
        <v>6303</v>
      </c>
      <c r="CJ86" s="118" t="s">
        <v>398</v>
      </c>
      <c r="CK86" s="118">
        <v>30</v>
      </c>
      <c r="CL86" s="118">
        <v>35</v>
      </c>
      <c r="CM86" s="118" t="s">
        <v>399</v>
      </c>
      <c r="CN86" s="118" t="s">
        <v>6512</v>
      </c>
      <c r="CO86" s="118" t="s">
        <v>1096</v>
      </c>
      <c r="CP86" s="118" t="s">
        <v>400</v>
      </c>
      <c r="CQ86" s="118" t="s">
        <v>6415</v>
      </c>
      <c r="CR86" s="118" t="s">
        <v>6415</v>
      </c>
      <c r="CS86" s="118" t="s">
        <v>6415</v>
      </c>
      <c r="CT86" s="118" t="s">
        <v>6415</v>
      </c>
      <c r="CU86" s="118" t="s">
        <v>6415</v>
      </c>
      <c r="CV86" s="118" t="s">
        <v>6415</v>
      </c>
      <c r="CW86" s="118">
        <v>0</v>
      </c>
      <c r="CX86" s="118" t="s">
        <v>401</v>
      </c>
      <c r="CY86" s="118" t="s">
        <v>6151</v>
      </c>
      <c r="CZ86" s="118">
        <v>1</v>
      </c>
      <c r="DA86" s="118" t="s">
        <v>446</v>
      </c>
      <c r="DB86" s="118" t="s">
        <v>445</v>
      </c>
      <c r="DC86" s="118" t="s">
        <v>6415</v>
      </c>
      <c r="DD86" s="118" t="s">
        <v>6300</v>
      </c>
      <c r="DE86" s="118" t="s">
        <v>417</v>
      </c>
      <c r="DF86" s="118" t="s">
        <v>398</v>
      </c>
      <c r="DG86" s="118">
        <v>0</v>
      </c>
      <c r="DH86" s="118">
        <v>35</v>
      </c>
      <c r="DI86" s="118" t="s">
        <v>6355</v>
      </c>
      <c r="DJ86" s="118" t="s">
        <v>398</v>
      </c>
      <c r="DK86" s="118" t="s">
        <v>400</v>
      </c>
      <c r="DL86" s="118" t="s">
        <v>6415</v>
      </c>
      <c r="DM86" s="118" t="s">
        <v>6415</v>
      </c>
      <c r="DN86" s="118" t="s">
        <v>6415</v>
      </c>
      <c r="DO86" s="118" t="s">
        <v>6415</v>
      </c>
      <c r="DP86" s="118" t="s">
        <v>6415</v>
      </c>
      <c r="DQ86" s="118" t="s">
        <v>6415</v>
      </c>
      <c r="DR86" s="118">
        <v>53</v>
      </c>
      <c r="DS86" s="118" t="s">
        <v>1066</v>
      </c>
      <c r="DT86" s="118" t="s">
        <v>6341</v>
      </c>
      <c r="DU86" s="118" t="s">
        <v>6415</v>
      </c>
      <c r="DV86" s="118" t="s">
        <v>6415</v>
      </c>
      <c r="DW86" s="118" t="s">
        <v>6415</v>
      </c>
      <c r="DX86" s="118" t="s">
        <v>6415</v>
      </c>
      <c r="DY86" s="118" t="s">
        <v>6415</v>
      </c>
      <c r="DZ86" s="118" t="s">
        <v>6415</v>
      </c>
      <c r="EA86" s="118" t="s">
        <v>6415</v>
      </c>
      <c r="EB86" s="118" t="s">
        <v>6415</v>
      </c>
      <c r="EC86" s="118" t="s">
        <v>6415</v>
      </c>
      <c r="ED86" s="118" t="s">
        <v>6415</v>
      </c>
      <c r="EE86" s="118" t="s">
        <v>6415</v>
      </c>
      <c r="EF86" s="118" t="s">
        <v>6415</v>
      </c>
      <c r="EG86" s="118" t="s">
        <v>6986</v>
      </c>
      <c r="EH86" s="118" t="s">
        <v>7093</v>
      </c>
      <c r="EI86" s="118" t="s">
        <v>6415</v>
      </c>
      <c r="EJ86" s="118" t="s">
        <v>6415</v>
      </c>
      <c r="EK86" s="118" t="s">
        <v>6415</v>
      </c>
      <c r="EL86" s="118" t="s">
        <v>7467</v>
      </c>
      <c r="EM86" s="118" t="s">
        <v>7127</v>
      </c>
      <c r="EN86" s="118" t="s">
        <v>6415</v>
      </c>
      <c r="EO86" s="6" t="str">
        <f t="shared" si="14"/>
        <v>Pathweb</v>
      </c>
      <c r="EP86" s="6" t="str">
        <f t="shared" si="15"/>
        <v>Google Maps</v>
      </c>
      <c r="EQ86" s="6" t="str">
        <f t="shared" si="16"/>
        <v>Mashed Map</v>
      </c>
      <c r="ER86" s="118" t="s">
        <v>6727</v>
      </c>
      <c r="ES86" s="118" t="s">
        <v>6728</v>
      </c>
      <c r="ET86" s="4">
        <v>0</v>
      </c>
      <c r="EU86" s="4"/>
      <c r="EV86" s="4"/>
    </row>
    <row r="87" spans="1:152" x14ac:dyDescent="0.15">
      <c r="A87" s="581" t="str">
        <f t="shared" si="13"/>
        <v>Crash Report</v>
      </c>
      <c r="B87" s="118">
        <v>20213227463</v>
      </c>
      <c r="C87" s="118">
        <v>2021</v>
      </c>
      <c r="D87" s="118">
        <v>21111827071721</v>
      </c>
      <c r="F87" s="118" t="s">
        <v>6442</v>
      </c>
      <c r="G87" s="118" t="s">
        <v>860</v>
      </c>
      <c r="H87" s="118">
        <v>2</v>
      </c>
      <c r="I87" s="118" t="s">
        <v>6055</v>
      </c>
      <c r="J87" s="118" t="s">
        <v>423</v>
      </c>
      <c r="K87" s="118" t="s">
        <v>6985</v>
      </c>
      <c r="L87" s="118">
        <v>0.15</v>
      </c>
      <c r="M87" s="118">
        <v>0.15</v>
      </c>
      <c r="N87" s="118" t="s">
        <v>7465</v>
      </c>
      <c r="O87" s="118" t="s">
        <v>7466</v>
      </c>
      <c r="P87" s="118">
        <v>41.648516999999998</v>
      </c>
      <c r="Q87" s="118">
        <v>-83.523448000000002</v>
      </c>
      <c r="R87" s="118">
        <v>77000</v>
      </c>
      <c r="S87" s="118" t="s">
        <v>6988</v>
      </c>
      <c r="T87" s="118">
        <v>1</v>
      </c>
      <c r="U87" s="118">
        <v>0</v>
      </c>
      <c r="V87" s="118">
        <v>0</v>
      </c>
      <c r="W87" s="118">
        <v>0</v>
      </c>
      <c r="X87" s="118">
        <v>0</v>
      </c>
      <c r="Y87" s="118">
        <v>2</v>
      </c>
      <c r="Z87" s="118">
        <v>0</v>
      </c>
      <c r="AA87" s="118">
        <v>2</v>
      </c>
      <c r="AB87" s="118" t="s">
        <v>1067</v>
      </c>
      <c r="AC87" s="118" t="s">
        <v>6989</v>
      </c>
      <c r="AD87" s="118" t="s">
        <v>1034</v>
      </c>
      <c r="AE87" s="118" t="s">
        <v>943</v>
      </c>
      <c r="AF87" s="118" t="s">
        <v>1041</v>
      </c>
      <c r="AG87" s="118" t="s">
        <v>6415</v>
      </c>
      <c r="AH87" s="118" t="s">
        <v>393</v>
      </c>
      <c r="AI87" s="118">
        <v>4</v>
      </c>
      <c r="AJ87" s="118" t="s">
        <v>6415</v>
      </c>
      <c r="AK87" s="118" t="s">
        <v>393</v>
      </c>
      <c r="AL87" s="118" t="s">
        <v>393</v>
      </c>
      <c r="AM87" s="118" t="s">
        <v>393</v>
      </c>
      <c r="AN87" s="402" t="s">
        <v>5975</v>
      </c>
      <c r="AO87" s="402">
        <v>44518</v>
      </c>
      <c r="AP87" s="118">
        <v>11</v>
      </c>
      <c r="AQ87" s="118">
        <v>17</v>
      </c>
      <c r="AR87" s="118" t="s">
        <v>6447</v>
      </c>
      <c r="AS87" s="118" t="s">
        <v>392</v>
      </c>
      <c r="AT87" s="118" t="s">
        <v>500</v>
      </c>
      <c r="AU87" s="118" t="s">
        <v>505</v>
      </c>
      <c r="AV87" s="118" t="s">
        <v>508</v>
      </c>
      <c r="AW87" s="118" t="s">
        <v>393</v>
      </c>
      <c r="AX87" s="118" t="s">
        <v>740</v>
      </c>
      <c r="AY87" s="118" t="s">
        <v>740</v>
      </c>
      <c r="AZ87" s="118" t="s">
        <v>393</v>
      </c>
      <c r="BA87" s="118" t="s">
        <v>393</v>
      </c>
      <c r="BB87" s="118" t="s">
        <v>393</v>
      </c>
      <c r="BC87" s="118" t="s">
        <v>393</v>
      </c>
      <c r="BD87" s="118" t="s">
        <v>393</v>
      </c>
      <c r="BE87" s="118" t="s">
        <v>393</v>
      </c>
      <c r="BF87" s="118" t="s">
        <v>393</v>
      </c>
      <c r="BG87" s="118" t="s">
        <v>393</v>
      </c>
      <c r="BH87" s="118" t="s">
        <v>394</v>
      </c>
      <c r="BI87" s="118" t="s">
        <v>394</v>
      </c>
      <c r="BJ87" s="118" t="s">
        <v>393</v>
      </c>
      <c r="BK87" s="118" t="s">
        <v>6988</v>
      </c>
      <c r="BL87" s="118" t="s">
        <v>6415</v>
      </c>
      <c r="BM87" s="118" t="s">
        <v>6990</v>
      </c>
      <c r="BN87" s="118" t="s">
        <v>6991</v>
      </c>
      <c r="BO87" s="118" t="s">
        <v>6415</v>
      </c>
      <c r="BP87" s="118" t="s">
        <v>6415</v>
      </c>
      <c r="BQ87" s="118" t="s">
        <v>6415</v>
      </c>
      <c r="BR87" s="118" t="s">
        <v>6415</v>
      </c>
      <c r="BS87" s="118" t="s">
        <v>6415</v>
      </c>
      <c r="BT87" s="118" t="s">
        <v>6992</v>
      </c>
      <c r="BU87" s="118" t="s">
        <v>6991</v>
      </c>
      <c r="BV87" s="118" t="s">
        <v>6415</v>
      </c>
      <c r="BW87" s="118" t="s">
        <v>6415</v>
      </c>
      <c r="BX87" s="118" t="s">
        <v>6415</v>
      </c>
      <c r="BY87" s="118" t="s">
        <v>6415</v>
      </c>
      <c r="BZ87" s="118" t="s">
        <v>6415</v>
      </c>
      <c r="CA87" s="118" t="s">
        <v>6415</v>
      </c>
      <c r="CB87" s="118" t="s">
        <v>221</v>
      </c>
      <c r="CC87" s="118" t="s">
        <v>740</v>
      </c>
      <c r="CD87" s="118">
        <v>2</v>
      </c>
      <c r="CE87" s="118" t="s">
        <v>406</v>
      </c>
      <c r="CF87" s="118" t="s">
        <v>410</v>
      </c>
      <c r="CG87" s="118" t="s">
        <v>860</v>
      </c>
      <c r="CH87" s="118" t="s">
        <v>6300</v>
      </c>
      <c r="CI87" s="118" t="s">
        <v>417</v>
      </c>
      <c r="CJ87" s="118" t="s">
        <v>398</v>
      </c>
      <c r="CK87" s="14">
        <v>15</v>
      </c>
      <c r="CL87" s="118">
        <v>35</v>
      </c>
      <c r="CM87" s="118" t="s">
        <v>435</v>
      </c>
      <c r="CN87" s="118" t="s">
        <v>6327</v>
      </c>
      <c r="CO87" s="118" t="s">
        <v>1096</v>
      </c>
      <c r="CP87" s="118" t="s">
        <v>400</v>
      </c>
      <c r="CQ87" s="118" t="s">
        <v>6415</v>
      </c>
      <c r="CR87" s="118" t="s">
        <v>6415</v>
      </c>
      <c r="CS87" s="118" t="s">
        <v>6415</v>
      </c>
      <c r="CT87" s="118" t="s">
        <v>6415</v>
      </c>
      <c r="CU87" s="118" t="s">
        <v>6415</v>
      </c>
      <c r="CV87" s="118" t="s">
        <v>6415</v>
      </c>
      <c r="CW87" s="14">
        <v>46</v>
      </c>
      <c r="CX87" s="118" t="s">
        <v>1068</v>
      </c>
      <c r="CY87" s="118" t="s">
        <v>6341</v>
      </c>
      <c r="CZ87" s="118">
        <v>1</v>
      </c>
      <c r="DA87" s="118" t="s">
        <v>405</v>
      </c>
      <c r="DB87" s="118" t="s">
        <v>410</v>
      </c>
      <c r="DC87" s="118" t="s">
        <v>6415</v>
      </c>
      <c r="DD87" s="118" t="s">
        <v>6300</v>
      </c>
      <c r="DE87" s="118" t="s">
        <v>417</v>
      </c>
      <c r="DF87" s="118" t="s">
        <v>398</v>
      </c>
      <c r="DG87" s="14">
        <v>15</v>
      </c>
      <c r="DH87" s="118">
        <v>35</v>
      </c>
      <c r="DI87" s="118" t="s">
        <v>436</v>
      </c>
      <c r="DJ87" s="118" t="s">
        <v>398</v>
      </c>
      <c r="DK87" s="118" t="s">
        <v>400</v>
      </c>
      <c r="DL87" s="118" t="s">
        <v>6415</v>
      </c>
      <c r="DM87" s="118" t="s">
        <v>6415</v>
      </c>
      <c r="DN87" s="118" t="s">
        <v>6415</v>
      </c>
      <c r="DO87" s="118" t="s">
        <v>6415</v>
      </c>
      <c r="DP87" s="118" t="s">
        <v>6415</v>
      </c>
      <c r="DQ87" s="118" t="s">
        <v>6415</v>
      </c>
      <c r="DR87" s="118">
        <v>59</v>
      </c>
      <c r="DS87" s="118" t="s">
        <v>1066</v>
      </c>
      <c r="DT87" s="118" t="s">
        <v>6341</v>
      </c>
      <c r="DU87" s="118" t="s">
        <v>6415</v>
      </c>
      <c r="DV87" s="118" t="s">
        <v>6415</v>
      </c>
      <c r="DW87" s="118" t="s">
        <v>6415</v>
      </c>
      <c r="DX87" s="118" t="s">
        <v>6415</v>
      </c>
      <c r="DY87" s="118" t="s">
        <v>6415</v>
      </c>
      <c r="DZ87" s="118" t="s">
        <v>6415</v>
      </c>
      <c r="EA87" s="118" t="s">
        <v>6415</v>
      </c>
      <c r="EB87" s="118" t="s">
        <v>6415</v>
      </c>
      <c r="EC87" s="118" t="s">
        <v>6415</v>
      </c>
      <c r="ED87" s="118" t="s">
        <v>6415</v>
      </c>
      <c r="EE87" s="118" t="s">
        <v>6415</v>
      </c>
      <c r="EF87" s="118" t="s">
        <v>6415</v>
      </c>
      <c r="EG87" s="118" t="s">
        <v>6986</v>
      </c>
      <c r="EH87" s="118" t="s">
        <v>7093</v>
      </c>
      <c r="EI87" s="118" t="s">
        <v>6415</v>
      </c>
      <c r="EJ87" s="118" t="s">
        <v>6415</v>
      </c>
      <c r="EK87" s="118" t="s">
        <v>6415</v>
      </c>
      <c r="EL87" s="118" t="s">
        <v>7467</v>
      </c>
      <c r="EM87" s="118" t="s">
        <v>7128</v>
      </c>
      <c r="EN87" s="118" t="s">
        <v>6415</v>
      </c>
      <c r="EO87" s="6" t="str">
        <f t="shared" si="14"/>
        <v>Pathweb</v>
      </c>
      <c r="EP87" s="6" t="str">
        <f t="shared" si="15"/>
        <v>Google Maps</v>
      </c>
      <c r="EQ87" s="6" t="str">
        <f t="shared" si="16"/>
        <v>Mashed Map</v>
      </c>
      <c r="ER87" s="118" t="s">
        <v>6727</v>
      </c>
      <c r="ES87" s="118" t="s">
        <v>71</v>
      </c>
      <c r="ET87" s="4">
        <v>0</v>
      </c>
      <c r="EU87" s="4"/>
      <c r="EV87" s="4"/>
    </row>
    <row r="88" spans="1:152" x14ac:dyDescent="0.15">
      <c r="A88" s="581" t="str">
        <f t="shared" si="13"/>
        <v>Crash Report</v>
      </c>
      <c r="B88" s="118">
        <v>20213233164</v>
      </c>
      <c r="C88" s="118">
        <v>2021</v>
      </c>
      <c r="D88" s="118">
        <v>21112628112057</v>
      </c>
      <c r="F88" s="118" t="s">
        <v>6440</v>
      </c>
      <c r="G88" s="118" t="s">
        <v>211</v>
      </c>
      <c r="H88" s="118">
        <v>2</v>
      </c>
      <c r="I88" s="118" t="s">
        <v>6055</v>
      </c>
      <c r="J88" s="118" t="s">
        <v>391</v>
      </c>
      <c r="K88" s="118" t="s">
        <v>6997</v>
      </c>
      <c r="L88" s="118">
        <v>0.39600000000000002</v>
      </c>
      <c r="M88" s="118">
        <v>0.39600000000000002</v>
      </c>
      <c r="N88" s="118" t="s">
        <v>7469</v>
      </c>
      <c r="O88" s="118">
        <v>596</v>
      </c>
      <c r="P88" s="118">
        <v>41.644961000000002</v>
      </c>
      <c r="Q88" s="118">
        <v>-83.519582</v>
      </c>
      <c r="R88" s="118">
        <v>77000</v>
      </c>
      <c r="S88" s="118" t="s">
        <v>6988</v>
      </c>
      <c r="T88" s="118">
        <v>1</v>
      </c>
      <c r="U88" s="118">
        <v>0</v>
      </c>
      <c r="V88" s="118">
        <v>0</v>
      </c>
      <c r="W88" s="118">
        <v>1</v>
      </c>
      <c r="X88" s="118">
        <v>0</v>
      </c>
      <c r="Y88" s="118">
        <v>3</v>
      </c>
      <c r="Z88" s="118">
        <v>0</v>
      </c>
      <c r="AA88" s="118">
        <v>2</v>
      </c>
      <c r="AB88" s="118" t="s">
        <v>1067</v>
      </c>
      <c r="AC88" s="118" t="s">
        <v>6989</v>
      </c>
      <c r="AD88" s="118" t="s">
        <v>1034</v>
      </c>
      <c r="AE88" s="118" t="s">
        <v>943</v>
      </c>
      <c r="AF88" s="118" t="s">
        <v>1042</v>
      </c>
      <c r="AG88" s="118" t="s">
        <v>6415</v>
      </c>
      <c r="AH88" s="118" t="s">
        <v>393</v>
      </c>
      <c r="AI88" s="118">
        <v>2</v>
      </c>
      <c r="AJ88" s="118" t="s">
        <v>6415</v>
      </c>
      <c r="AK88" s="118" t="s">
        <v>393</v>
      </c>
      <c r="AL88" s="118" t="s">
        <v>393</v>
      </c>
      <c r="AM88" s="118" t="s">
        <v>393</v>
      </c>
      <c r="AN88" s="402" t="s">
        <v>5975</v>
      </c>
      <c r="AO88" s="402">
        <v>44526</v>
      </c>
      <c r="AP88" s="118">
        <v>11</v>
      </c>
      <c r="AQ88" s="118">
        <v>20</v>
      </c>
      <c r="AR88" s="118" t="s">
        <v>6448</v>
      </c>
      <c r="AS88" s="118" t="s">
        <v>392</v>
      </c>
      <c r="AT88" s="118" t="s">
        <v>500</v>
      </c>
      <c r="AU88" s="118" t="s">
        <v>505</v>
      </c>
      <c r="AV88" s="118" t="s">
        <v>508</v>
      </c>
      <c r="AW88" s="118" t="s">
        <v>393</v>
      </c>
      <c r="AX88" s="118" t="s">
        <v>740</v>
      </c>
      <c r="AY88" s="118" t="s">
        <v>393</v>
      </c>
      <c r="AZ88" s="118" t="s">
        <v>393</v>
      </c>
      <c r="BA88" s="118" t="s">
        <v>393</v>
      </c>
      <c r="BB88" s="118" t="s">
        <v>393</v>
      </c>
      <c r="BC88" s="118" t="s">
        <v>393</v>
      </c>
      <c r="BD88" s="118" t="s">
        <v>393</v>
      </c>
      <c r="BE88" s="118" t="s">
        <v>393</v>
      </c>
      <c r="BF88" s="118" t="s">
        <v>740</v>
      </c>
      <c r="BG88" s="118" t="s">
        <v>393</v>
      </c>
      <c r="BH88" s="118" t="s">
        <v>394</v>
      </c>
      <c r="BI88" s="118" t="s">
        <v>394</v>
      </c>
      <c r="BJ88" s="118" t="s">
        <v>393</v>
      </c>
      <c r="BK88" s="118" t="s">
        <v>6988</v>
      </c>
      <c r="BL88" s="118" t="s">
        <v>6415</v>
      </c>
      <c r="BM88" s="118" t="s">
        <v>6992</v>
      </c>
      <c r="BN88" s="118" t="s">
        <v>6991</v>
      </c>
      <c r="BO88" s="118" t="s">
        <v>6415</v>
      </c>
      <c r="BP88" s="118" t="s">
        <v>6415</v>
      </c>
      <c r="BQ88" s="118" t="s">
        <v>6415</v>
      </c>
      <c r="BR88" s="118" t="s">
        <v>6415</v>
      </c>
      <c r="BS88" s="118" t="s">
        <v>6415</v>
      </c>
      <c r="BT88" s="118" t="s">
        <v>7130</v>
      </c>
      <c r="BU88" s="118" t="s">
        <v>6415</v>
      </c>
      <c r="BV88" s="118" t="s">
        <v>6415</v>
      </c>
      <c r="BW88" s="118" t="s">
        <v>6415</v>
      </c>
      <c r="BX88" s="118" t="s">
        <v>6415</v>
      </c>
      <c r="BY88" s="118" t="s">
        <v>6415</v>
      </c>
      <c r="BZ88" s="118">
        <v>596</v>
      </c>
      <c r="CA88" s="118" t="s">
        <v>6415</v>
      </c>
      <c r="CB88" s="118" t="s">
        <v>422</v>
      </c>
      <c r="CC88" s="118" t="s">
        <v>740</v>
      </c>
      <c r="CD88" s="118">
        <v>1</v>
      </c>
      <c r="CE88" s="118" t="s">
        <v>411</v>
      </c>
      <c r="CF88" s="118" t="s">
        <v>410</v>
      </c>
      <c r="CG88" s="118" t="s">
        <v>924</v>
      </c>
      <c r="CH88" s="118" t="s">
        <v>6300</v>
      </c>
      <c r="CI88" s="118" t="s">
        <v>6305</v>
      </c>
      <c r="CJ88" s="118" t="s">
        <v>398</v>
      </c>
      <c r="CK88" s="14">
        <v>35</v>
      </c>
      <c r="CL88" s="118">
        <v>35</v>
      </c>
      <c r="CM88" s="118" t="s">
        <v>399</v>
      </c>
      <c r="CN88" s="118" t="s">
        <v>440</v>
      </c>
      <c r="CO88" s="118" t="s">
        <v>1096</v>
      </c>
      <c r="CP88" s="118" t="s">
        <v>400</v>
      </c>
      <c r="CQ88" s="118" t="s">
        <v>6415</v>
      </c>
      <c r="CR88" s="118" t="s">
        <v>6415</v>
      </c>
      <c r="CS88" s="118" t="s">
        <v>6415</v>
      </c>
      <c r="CT88" s="118" t="s">
        <v>6415</v>
      </c>
      <c r="CU88" s="118" t="s">
        <v>6415</v>
      </c>
      <c r="CV88" s="118" t="s">
        <v>6415</v>
      </c>
      <c r="CW88" s="14">
        <v>24</v>
      </c>
      <c r="CX88" s="118" t="s">
        <v>1068</v>
      </c>
      <c r="CY88" s="118" t="s">
        <v>6341</v>
      </c>
      <c r="CZ88" s="118">
        <v>2</v>
      </c>
      <c r="DA88" s="118" t="s">
        <v>405</v>
      </c>
      <c r="DB88" s="118" t="s">
        <v>406</v>
      </c>
      <c r="DC88" s="118" t="s">
        <v>6415</v>
      </c>
      <c r="DD88" s="118" t="s">
        <v>6300</v>
      </c>
      <c r="DE88" s="118" t="s">
        <v>417</v>
      </c>
      <c r="DF88" s="118" t="s">
        <v>398</v>
      </c>
      <c r="DG88" s="14">
        <v>15</v>
      </c>
      <c r="DH88" s="118">
        <v>25</v>
      </c>
      <c r="DI88" s="118" t="s">
        <v>399</v>
      </c>
      <c r="DJ88" s="118" t="s">
        <v>398</v>
      </c>
      <c r="DK88" s="118" t="s">
        <v>400</v>
      </c>
      <c r="DL88" s="118" t="s">
        <v>6415</v>
      </c>
      <c r="DM88" s="118" t="s">
        <v>6415</v>
      </c>
      <c r="DN88" s="118" t="s">
        <v>6415</v>
      </c>
      <c r="DO88" s="118" t="s">
        <v>6415</v>
      </c>
      <c r="DP88" s="118" t="s">
        <v>6415</v>
      </c>
      <c r="DQ88" s="118" t="s">
        <v>6415</v>
      </c>
      <c r="DR88" s="118">
        <v>28</v>
      </c>
      <c r="DS88" s="118" t="s">
        <v>1066</v>
      </c>
      <c r="DT88" s="118" t="s">
        <v>6341</v>
      </c>
      <c r="DU88" s="118" t="s">
        <v>6415</v>
      </c>
      <c r="DV88" s="118" t="s">
        <v>6415</v>
      </c>
      <c r="DW88" s="118" t="s">
        <v>6415</v>
      </c>
      <c r="DX88" s="118" t="s">
        <v>6415</v>
      </c>
      <c r="DY88" s="118" t="s">
        <v>6415</v>
      </c>
      <c r="DZ88" s="118" t="s">
        <v>6415</v>
      </c>
      <c r="EA88" s="118" t="s">
        <v>6415</v>
      </c>
      <c r="EB88" s="118" t="s">
        <v>6415</v>
      </c>
      <c r="EC88" s="118" t="s">
        <v>6415</v>
      </c>
      <c r="ED88" s="118" t="s">
        <v>6415</v>
      </c>
      <c r="EE88" s="118" t="s">
        <v>6415</v>
      </c>
      <c r="EF88" s="118" t="s">
        <v>6415</v>
      </c>
      <c r="EG88" s="118" t="s">
        <v>7051</v>
      </c>
      <c r="EH88" s="118" t="s">
        <v>7052</v>
      </c>
      <c r="EI88" s="118" t="s">
        <v>6415</v>
      </c>
      <c r="EJ88" s="118" t="s">
        <v>6415</v>
      </c>
      <c r="EK88" s="118" t="s">
        <v>6415</v>
      </c>
      <c r="EL88" s="118" t="s">
        <v>7467</v>
      </c>
      <c r="EM88" s="118" t="s">
        <v>7129</v>
      </c>
      <c r="EN88" s="118" t="s">
        <v>6415</v>
      </c>
      <c r="EO88" s="6" t="str">
        <f t="shared" si="14"/>
        <v>Pathweb</v>
      </c>
      <c r="EP88" s="6" t="str">
        <f t="shared" si="15"/>
        <v>Google Maps</v>
      </c>
      <c r="EQ88" s="6" t="str">
        <f t="shared" si="16"/>
        <v>Mashed Map</v>
      </c>
      <c r="ER88" s="118" t="s">
        <v>6727</v>
      </c>
      <c r="ES88" s="118" t="s">
        <v>6728</v>
      </c>
      <c r="ET88" s="4">
        <v>0</v>
      </c>
      <c r="EU88" s="4"/>
      <c r="EV88" s="4"/>
    </row>
    <row r="89" spans="1:152" x14ac:dyDescent="0.15">
      <c r="A89" s="581" t="str">
        <f t="shared" si="13"/>
        <v>Crash Report</v>
      </c>
      <c r="B89" s="14">
        <v>20213234135</v>
      </c>
      <c r="C89" s="118">
        <v>2021</v>
      </c>
      <c r="D89" s="14">
        <v>21111020281615</v>
      </c>
      <c r="F89" s="118" t="s">
        <v>6442</v>
      </c>
      <c r="G89" s="118" t="s">
        <v>211</v>
      </c>
      <c r="H89" s="118">
        <v>2</v>
      </c>
      <c r="I89" s="118" t="s">
        <v>6055</v>
      </c>
      <c r="J89" s="118" t="s">
        <v>391</v>
      </c>
      <c r="K89" s="118" t="s">
        <v>6985</v>
      </c>
      <c r="L89" s="118">
        <v>0.15</v>
      </c>
      <c r="M89" s="118">
        <v>0.15</v>
      </c>
      <c r="N89" s="118" t="s">
        <v>7465</v>
      </c>
      <c r="O89" s="118" t="s">
        <v>7466</v>
      </c>
      <c r="P89" s="118">
        <v>41.648516999999998</v>
      </c>
      <c r="Q89" s="118">
        <v>-83.523448000000002</v>
      </c>
      <c r="R89" s="118">
        <v>77000</v>
      </c>
      <c r="S89" s="118" t="s">
        <v>6988</v>
      </c>
      <c r="T89" s="118">
        <v>1</v>
      </c>
      <c r="U89" s="118">
        <v>0</v>
      </c>
      <c r="V89" s="118">
        <v>0</v>
      </c>
      <c r="W89" s="118">
        <v>0</v>
      </c>
      <c r="X89" s="118">
        <v>0</v>
      </c>
      <c r="Y89" s="118">
        <v>2</v>
      </c>
      <c r="Z89" s="118">
        <v>0</v>
      </c>
      <c r="AA89" s="118">
        <v>2</v>
      </c>
      <c r="AB89" s="118" t="s">
        <v>1067</v>
      </c>
      <c r="AC89" s="118" t="s">
        <v>6989</v>
      </c>
      <c r="AD89" s="118" t="s">
        <v>1034</v>
      </c>
      <c r="AE89" s="118" t="s">
        <v>943</v>
      </c>
      <c r="AF89" s="118" t="s">
        <v>1041</v>
      </c>
      <c r="AG89" s="118" t="s">
        <v>6415</v>
      </c>
      <c r="AH89" s="118" t="s">
        <v>393</v>
      </c>
      <c r="AI89" s="118">
        <v>4</v>
      </c>
      <c r="AJ89" s="118" t="s">
        <v>6415</v>
      </c>
      <c r="AK89" s="118" t="s">
        <v>393</v>
      </c>
      <c r="AL89" s="118" t="s">
        <v>393</v>
      </c>
      <c r="AM89" s="118" t="s">
        <v>393</v>
      </c>
      <c r="AN89" s="402" t="s">
        <v>5975</v>
      </c>
      <c r="AO89" s="402">
        <v>44510</v>
      </c>
      <c r="AP89" s="118">
        <v>11</v>
      </c>
      <c r="AQ89" s="118">
        <v>16</v>
      </c>
      <c r="AR89" s="118" t="s">
        <v>6446</v>
      </c>
      <c r="AS89" s="118" t="s">
        <v>392</v>
      </c>
      <c r="AT89" s="118" t="s">
        <v>500</v>
      </c>
      <c r="AU89" s="118" t="s">
        <v>404</v>
      </c>
      <c r="AV89" s="118" t="s">
        <v>508</v>
      </c>
      <c r="AW89" s="118" t="s">
        <v>393</v>
      </c>
      <c r="AX89" s="118" t="s">
        <v>393</v>
      </c>
      <c r="AY89" s="118" t="s">
        <v>393</v>
      </c>
      <c r="AZ89" s="118" t="s">
        <v>393</v>
      </c>
      <c r="BA89" s="118" t="s">
        <v>393</v>
      </c>
      <c r="BB89" s="118" t="s">
        <v>393</v>
      </c>
      <c r="BC89" s="118" t="s">
        <v>393</v>
      </c>
      <c r="BD89" s="118" t="s">
        <v>393</v>
      </c>
      <c r="BE89" s="118" t="s">
        <v>393</v>
      </c>
      <c r="BF89" s="118" t="s">
        <v>393</v>
      </c>
      <c r="BG89" s="118" t="s">
        <v>393</v>
      </c>
      <c r="BH89" s="118" t="s">
        <v>394</v>
      </c>
      <c r="BI89" s="118" t="s">
        <v>394</v>
      </c>
      <c r="BJ89" s="118" t="s">
        <v>393</v>
      </c>
      <c r="BK89" s="118" t="s">
        <v>6988</v>
      </c>
      <c r="BL89" s="118" t="s">
        <v>6415</v>
      </c>
      <c r="BM89" s="118" t="s">
        <v>6990</v>
      </c>
      <c r="BN89" s="118" t="s">
        <v>6991</v>
      </c>
      <c r="BO89" s="118" t="s">
        <v>6415</v>
      </c>
      <c r="BP89" s="118" t="s">
        <v>6415</v>
      </c>
      <c r="BQ89" s="118" t="s">
        <v>6415</v>
      </c>
      <c r="BR89" s="118" t="s">
        <v>6415</v>
      </c>
      <c r="BS89" s="118" t="s">
        <v>6415</v>
      </c>
      <c r="BT89" s="118" t="s">
        <v>6992</v>
      </c>
      <c r="BU89" s="118" t="s">
        <v>6991</v>
      </c>
      <c r="BV89" s="118" t="s">
        <v>6415</v>
      </c>
      <c r="BW89" s="118" t="s">
        <v>6415</v>
      </c>
      <c r="BX89" s="118" t="s">
        <v>6415</v>
      </c>
      <c r="BY89" s="118" t="s">
        <v>6415</v>
      </c>
      <c r="BZ89" s="118" t="s">
        <v>6415</v>
      </c>
      <c r="CA89" s="118" t="s">
        <v>6415</v>
      </c>
      <c r="CB89" s="118" t="s">
        <v>221</v>
      </c>
      <c r="CC89" s="118" t="s">
        <v>740</v>
      </c>
      <c r="CD89" s="118">
        <v>2</v>
      </c>
      <c r="CE89" s="118" t="s">
        <v>401</v>
      </c>
      <c r="CF89" s="118" t="s">
        <v>401</v>
      </c>
      <c r="CG89" s="118" t="s">
        <v>924</v>
      </c>
      <c r="CH89" s="118" t="s">
        <v>6302</v>
      </c>
      <c r="CI89" s="118" t="s">
        <v>417</v>
      </c>
      <c r="CJ89" s="118" t="s">
        <v>398</v>
      </c>
      <c r="CK89" s="118">
        <v>20</v>
      </c>
      <c r="CL89" s="118">
        <v>35</v>
      </c>
      <c r="CM89" s="118" t="s">
        <v>399</v>
      </c>
      <c r="CN89" s="118" t="s">
        <v>407</v>
      </c>
      <c r="CO89" s="118" t="s">
        <v>1096</v>
      </c>
      <c r="CP89" s="118" t="s">
        <v>400</v>
      </c>
      <c r="CQ89" s="118" t="s">
        <v>6415</v>
      </c>
      <c r="CR89" s="118" t="s">
        <v>6415</v>
      </c>
      <c r="CS89" s="118" t="s">
        <v>6415</v>
      </c>
      <c r="CT89" s="118" t="s">
        <v>6415</v>
      </c>
      <c r="CU89" s="118" t="s">
        <v>6415</v>
      </c>
      <c r="CV89" s="118" t="s">
        <v>6415</v>
      </c>
      <c r="CW89" s="118">
        <v>0</v>
      </c>
      <c r="CX89" s="118" t="s">
        <v>401</v>
      </c>
      <c r="CY89" s="118" t="s">
        <v>6341</v>
      </c>
      <c r="CZ89" s="118">
        <v>1</v>
      </c>
      <c r="DA89" s="118" t="s">
        <v>401</v>
      </c>
      <c r="DB89" s="118" t="s">
        <v>401</v>
      </c>
      <c r="DC89" s="118" t="s">
        <v>6415</v>
      </c>
      <c r="DD89" s="118" t="s">
        <v>6302</v>
      </c>
      <c r="DE89" s="118" t="s">
        <v>6303</v>
      </c>
      <c r="DF89" s="118" t="s">
        <v>398</v>
      </c>
      <c r="DG89" s="118">
        <v>16</v>
      </c>
      <c r="DH89" s="118">
        <v>35</v>
      </c>
      <c r="DI89" s="118" t="s">
        <v>439</v>
      </c>
      <c r="DJ89" s="118" t="s">
        <v>398</v>
      </c>
      <c r="DK89" s="118" t="s">
        <v>400</v>
      </c>
      <c r="DL89" s="118" t="s">
        <v>6415</v>
      </c>
      <c r="DM89" s="118" t="s">
        <v>6415</v>
      </c>
      <c r="DN89" s="118" t="s">
        <v>6415</v>
      </c>
      <c r="DO89" s="118" t="s">
        <v>6415</v>
      </c>
      <c r="DP89" s="118" t="s">
        <v>6415</v>
      </c>
      <c r="DQ89" s="118" t="s">
        <v>6415</v>
      </c>
      <c r="DR89" s="118">
        <v>61</v>
      </c>
      <c r="DS89" s="118" t="s">
        <v>1068</v>
      </c>
      <c r="DT89" s="118" t="s">
        <v>6341</v>
      </c>
      <c r="DU89" s="118" t="s">
        <v>6415</v>
      </c>
      <c r="DV89" s="118" t="s">
        <v>6415</v>
      </c>
      <c r="DW89" s="118" t="s">
        <v>6415</v>
      </c>
      <c r="DX89" s="118" t="s">
        <v>6415</v>
      </c>
      <c r="DY89" s="118" t="s">
        <v>6415</v>
      </c>
      <c r="DZ89" s="118" t="s">
        <v>6415</v>
      </c>
      <c r="EA89" s="118" t="s">
        <v>6415</v>
      </c>
      <c r="EB89" s="118" t="s">
        <v>6415</v>
      </c>
      <c r="EC89" s="118" t="s">
        <v>6415</v>
      </c>
      <c r="ED89" s="118" t="s">
        <v>6415</v>
      </c>
      <c r="EE89" s="118" t="s">
        <v>6415</v>
      </c>
      <c r="EF89" s="118" t="s">
        <v>6415</v>
      </c>
      <c r="EG89" s="118" t="s">
        <v>6986</v>
      </c>
      <c r="EH89" s="118" t="s">
        <v>7093</v>
      </c>
      <c r="EI89" s="118" t="s">
        <v>6415</v>
      </c>
      <c r="EJ89" s="118" t="s">
        <v>6415</v>
      </c>
      <c r="EK89" s="118" t="s">
        <v>6415</v>
      </c>
      <c r="EL89" s="118" t="s">
        <v>7467</v>
      </c>
      <c r="EM89" s="118" t="s">
        <v>7131</v>
      </c>
      <c r="EN89" s="118" t="s">
        <v>6415</v>
      </c>
      <c r="EO89" s="6" t="str">
        <f t="shared" si="14"/>
        <v>Pathweb</v>
      </c>
      <c r="EP89" s="6" t="str">
        <f t="shared" si="15"/>
        <v>Google Maps</v>
      </c>
      <c r="EQ89" s="6" t="str">
        <f t="shared" si="16"/>
        <v>Mashed Map</v>
      </c>
      <c r="ER89" s="118" t="s">
        <v>6727</v>
      </c>
      <c r="ES89" s="118" t="s">
        <v>71</v>
      </c>
      <c r="ET89" s="4">
        <v>0</v>
      </c>
      <c r="EU89" s="4"/>
      <c r="EV89" s="4"/>
    </row>
    <row r="90" spans="1:152" x14ac:dyDescent="0.15">
      <c r="A90" s="581" t="str">
        <f t="shared" si="13"/>
        <v>Crash Report</v>
      </c>
      <c r="B90" s="14">
        <v>20213234148</v>
      </c>
      <c r="C90" s="118">
        <v>2021</v>
      </c>
      <c r="D90" s="14">
        <v>21112020281300</v>
      </c>
      <c r="F90" s="118" t="s">
        <v>6442</v>
      </c>
      <c r="G90" s="118" t="s">
        <v>401</v>
      </c>
      <c r="H90" s="118">
        <v>2</v>
      </c>
      <c r="I90" s="118" t="s">
        <v>6055</v>
      </c>
      <c r="J90" s="118" t="s">
        <v>391</v>
      </c>
      <c r="K90" s="118" t="s">
        <v>6985</v>
      </c>
      <c r="L90" s="118">
        <v>0.222</v>
      </c>
      <c r="M90" s="118">
        <v>0.222</v>
      </c>
      <c r="N90" s="118" t="s">
        <v>7465</v>
      </c>
      <c r="O90" s="118">
        <v>704</v>
      </c>
      <c r="P90" s="118">
        <v>41.649194999999999</v>
      </c>
      <c r="Q90" s="118">
        <v>-83.522381999999993</v>
      </c>
      <c r="R90" s="118">
        <v>77000</v>
      </c>
      <c r="S90" s="118" t="s">
        <v>6988</v>
      </c>
      <c r="T90" s="118">
        <v>1</v>
      </c>
      <c r="U90" s="118">
        <v>0</v>
      </c>
      <c r="V90" s="118">
        <v>0</v>
      </c>
      <c r="W90" s="118">
        <v>0</v>
      </c>
      <c r="X90" s="118">
        <v>0</v>
      </c>
      <c r="Y90" s="118">
        <v>2</v>
      </c>
      <c r="Z90" s="118">
        <v>0</v>
      </c>
      <c r="AA90" s="118">
        <v>2</v>
      </c>
      <c r="AB90" s="118" t="s">
        <v>1067</v>
      </c>
      <c r="AC90" s="118" t="s">
        <v>6989</v>
      </c>
      <c r="AD90" s="118" t="s">
        <v>1034</v>
      </c>
      <c r="AE90" s="118" t="s">
        <v>943</v>
      </c>
      <c r="AF90" s="118" t="s">
        <v>1041</v>
      </c>
      <c r="AG90" s="118" t="s">
        <v>6415</v>
      </c>
      <c r="AH90" s="118" t="s">
        <v>393</v>
      </c>
      <c r="AI90" s="118">
        <v>4</v>
      </c>
      <c r="AJ90" s="118" t="s">
        <v>6415</v>
      </c>
      <c r="AK90" s="118" t="s">
        <v>393</v>
      </c>
      <c r="AL90" s="118" t="s">
        <v>393</v>
      </c>
      <c r="AM90" s="118" t="s">
        <v>393</v>
      </c>
      <c r="AN90" s="402" t="s">
        <v>5975</v>
      </c>
      <c r="AO90" s="402">
        <v>44520</v>
      </c>
      <c r="AP90" s="118">
        <v>11</v>
      </c>
      <c r="AQ90" s="118">
        <v>13</v>
      </c>
      <c r="AR90" s="118" t="s">
        <v>6449</v>
      </c>
      <c r="AS90" s="118" t="s">
        <v>392</v>
      </c>
      <c r="AT90" s="118" t="s">
        <v>500</v>
      </c>
      <c r="AU90" s="118" t="s">
        <v>404</v>
      </c>
      <c r="AV90" s="118" t="s">
        <v>508</v>
      </c>
      <c r="AW90" s="118" t="s">
        <v>393</v>
      </c>
      <c r="AX90" s="118" t="s">
        <v>393</v>
      </c>
      <c r="AY90" s="118" t="s">
        <v>393</v>
      </c>
      <c r="AZ90" s="118" t="s">
        <v>393</v>
      </c>
      <c r="BA90" s="118" t="s">
        <v>393</v>
      </c>
      <c r="BB90" s="118" t="s">
        <v>393</v>
      </c>
      <c r="BC90" s="118" t="s">
        <v>393</v>
      </c>
      <c r="BD90" s="118" t="s">
        <v>393</v>
      </c>
      <c r="BE90" s="118" t="s">
        <v>393</v>
      </c>
      <c r="BF90" s="118" t="s">
        <v>393</v>
      </c>
      <c r="BG90" s="118" t="s">
        <v>393</v>
      </c>
      <c r="BH90" s="118" t="s">
        <v>394</v>
      </c>
      <c r="BI90" s="118" t="s">
        <v>394</v>
      </c>
      <c r="BJ90" s="118" t="s">
        <v>393</v>
      </c>
      <c r="BK90" s="118" t="s">
        <v>6988</v>
      </c>
      <c r="BL90" s="118" t="s">
        <v>6415</v>
      </c>
      <c r="BM90" s="118" t="s">
        <v>6990</v>
      </c>
      <c r="BN90" s="118" t="s">
        <v>6991</v>
      </c>
      <c r="BO90" s="118" t="s">
        <v>6415</v>
      </c>
      <c r="BP90" s="118" t="s">
        <v>6415</v>
      </c>
      <c r="BQ90" s="118" t="s">
        <v>6415</v>
      </c>
      <c r="BR90" s="118" t="s">
        <v>6415</v>
      </c>
      <c r="BS90" s="118" t="s">
        <v>6415</v>
      </c>
      <c r="BT90" s="118" t="s">
        <v>7134</v>
      </c>
      <c r="BU90" s="118" t="s">
        <v>6415</v>
      </c>
      <c r="BV90" s="118" t="s">
        <v>6415</v>
      </c>
      <c r="BW90" s="118" t="s">
        <v>6415</v>
      </c>
      <c r="BX90" s="118" t="s">
        <v>6415</v>
      </c>
      <c r="BY90" s="118" t="s">
        <v>6415</v>
      </c>
      <c r="BZ90" s="118">
        <v>704</v>
      </c>
      <c r="CA90" s="118" t="s">
        <v>6415</v>
      </c>
      <c r="CB90" s="118" t="s">
        <v>422</v>
      </c>
      <c r="CC90" s="118" t="s">
        <v>740</v>
      </c>
      <c r="CD90" s="118">
        <v>2</v>
      </c>
      <c r="CE90" s="118" t="s">
        <v>401</v>
      </c>
      <c r="CF90" s="118" t="s">
        <v>401</v>
      </c>
      <c r="CG90" s="118" t="s">
        <v>924</v>
      </c>
      <c r="CH90" s="118" t="s">
        <v>6302</v>
      </c>
      <c r="CI90" s="118" t="s">
        <v>6323</v>
      </c>
      <c r="CJ90" s="118" t="s">
        <v>398</v>
      </c>
      <c r="CK90" s="14">
        <v>33</v>
      </c>
      <c r="CL90" s="118">
        <v>35</v>
      </c>
      <c r="CM90" s="118" t="s">
        <v>399</v>
      </c>
      <c r="CN90" s="118" t="s">
        <v>6329</v>
      </c>
      <c r="CO90" s="118" t="s">
        <v>1096</v>
      </c>
      <c r="CP90" s="118" t="s">
        <v>400</v>
      </c>
      <c r="CQ90" s="118" t="s">
        <v>6415</v>
      </c>
      <c r="CR90" s="118" t="s">
        <v>6415</v>
      </c>
      <c r="CS90" s="118" t="s">
        <v>6415</v>
      </c>
      <c r="CT90" s="118" t="s">
        <v>6415</v>
      </c>
      <c r="CU90" s="118" t="s">
        <v>6415</v>
      </c>
      <c r="CV90" s="118" t="s">
        <v>6415</v>
      </c>
      <c r="CW90" s="14">
        <v>0</v>
      </c>
      <c r="CX90" s="118" t="s">
        <v>401</v>
      </c>
      <c r="CY90" s="118" t="s">
        <v>6341</v>
      </c>
      <c r="CZ90" s="118">
        <v>1</v>
      </c>
      <c r="DA90" s="118" t="s">
        <v>401</v>
      </c>
      <c r="DB90" s="118" t="s">
        <v>401</v>
      </c>
      <c r="DC90" s="118" t="s">
        <v>6415</v>
      </c>
      <c r="DD90" s="118" t="s">
        <v>6302</v>
      </c>
      <c r="DE90" s="118" t="s">
        <v>6303</v>
      </c>
      <c r="DF90" s="118" t="s">
        <v>398</v>
      </c>
      <c r="DG90" s="14">
        <v>33</v>
      </c>
      <c r="DH90" s="118">
        <v>35</v>
      </c>
      <c r="DI90" s="118" t="s">
        <v>399</v>
      </c>
      <c r="DJ90" s="118" t="s">
        <v>398</v>
      </c>
      <c r="DK90" s="118" t="s">
        <v>400</v>
      </c>
      <c r="DL90" s="118" t="s">
        <v>6415</v>
      </c>
      <c r="DM90" s="118" t="s">
        <v>6415</v>
      </c>
      <c r="DN90" s="118" t="s">
        <v>6415</v>
      </c>
      <c r="DO90" s="118" t="s">
        <v>6415</v>
      </c>
      <c r="DP90" s="118" t="s">
        <v>6415</v>
      </c>
      <c r="DQ90" s="118" t="s">
        <v>6415</v>
      </c>
      <c r="DR90" s="118">
        <v>53</v>
      </c>
      <c r="DS90" s="118" t="s">
        <v>1066</v>
      </c>
      <c r="DT90" s="118" t="s">
        <v>6341</v>
      </c>
      <c r="DU90" s="118" t="s">
        <v>6415</v>
      </c>
      <c r="DV90" s="118" t="s">
        <v>6415</v>
      </c>
      <c r="DW90" s="118" t="s">
        <v>6415</v>
      </c>
      <c r="DX90" s="118" t="s">
        <v>6415</v>
      </c>
      <c r="DY90" s="118" t="s">
        <v>6415</v>
      </c>
      <c r="DZ90" s="118" t="s">
        <v>6415</v>
      </c>
      <c r="EA90" s="118" t="s">
        <v>6415</v>
      </c>
      <c r="EB90" s="118" t="s">
        <v>6415</v>
      </c>
      <c r="EC90" s="118" t="s">
        <v>6415</v>
      </c>
      <c r="ED90" s="118" t="s">
        <v>6415</v>
      </c>
      <c r="EE90" s="118" t="s">
        <v>6415</v>
      </c>
      <c r="EF90" s="118" t="s">
        <v>6415</v>
      </c>
      <c r="EG90" s="118" t="s">
        <v>7081</v>
      </c>
      <c r="EH90" s="118" t="s">
        <v>7133</v>
      </c>
      <c r="EI90" s="118" t="s">
        <v>6415</v>
      </c>
      <c r="EJ90" s="118" t="s">
        <v>6415</v>
      </c>
      <c r="EK90" s="118" t="s">
        <v>6415</v>
      </c>
      <c r="EL90" s="118" t="s">
        <v>7467</v>
      </c>
      <c r="EM90" s="118" t="s">
        <v>7132</v>
      </c>
      <c r="EN90" s="118" t="s">
        <v>6415</v>
      </c>
      <c r="EO90" s="6" t="str">
        <f t="shared" si="14"/>
        <v>Pathweb</v>
      </c>
      <c r="EP90" s="6" t="str">
        <f t="shared" si="15"/>
        <v>Google Maps</v>
      </c>
      <c r="EQ90" s="6" t="str">
        <f t="shared" si="16"/>
        <v>Mashed Map</v>
      </c>
      <c r="ER90" s="118" t="s">
        <v>6726</v>
      </c>
      <c r="ES90" s="118" t="s">
        <v>71</v>
      </c>
      <c r="ET90" s="4">
        <v>0</v>
      </c>
      <c r="EU90" s="4"/>
      <c r="EV90" s="4"/>
    </row>
    <row r="91" spans="1:152" x14ac:dyDescent="0.15">
      <c r="A91" s="581" t="str">
        <f t="shared" si="13"/>
        <v>Crash Report</v>
      </c>
      <c r="B91" s="118">
        <v>20213241744</v>
      </c>
      <c r="C91" s="118">
        <v>2021</v>
      </c>
      <c r="D91" s="118">
        <v>21112326451615</v>
      </c>
      <c r="F91" s="118" t="s">
        <v>6442</v>
      </c>
      <c r="G91" s="118" t="s">
        <v>390</v>
      </c>
      <c r="H91" s="118">
        <v>2</v>
      </c>
      <c r="I91" s="118" t="s">
        <v>6055</v>
      </c>
      <c r="J91" s="118" t="s">
        <v>391</v>
      </c>
      <c r="K91" s="118" t="s">
        <v>6985</v>
      </c>
      <c r="L91" s="118">
        <v>0.15</v>
      </c>
      <c r="M91" s="118">
        <v>0.15</v>
      </c>
      <c r="N91" s="118" t="s">
        <v>7465</v>
      </c>
      <c r="O91" s="118" t="s">
        <v>7473</v>
      </c>
      <c r="P91" s="118">
        <v>41.648516999999998</v>
      </c>
      <c r="Q91" s="118">
        <v>-83.523448000000002</v>
      </c>
      <c r="R91" s="118">
        <v>77000</v>
      </c>
      <c r="S91" s="118" t="s">
        <v>6988</v>
      </c>
      <c r="T91" s="118">
        <v>1</v>
      </c>
      <c r="U91" s="118">
        <v>0</v>
      </c>
      <c r="V91" s="118">
        <v>0</v>
      </c>
      <c r="W91" s="118">
        <v>0</v>
      </c>
      <c r="X91" s="118">
        <v>0</v>
      </c>
      <c r="Y91" s="118">
        <v>4</v>
      </c>
      <c r="Z91" s="118">
        <v>0</v>
      </c>
      <c r="AA91" s="118">
        <v>2</v>
      </c>
      <c r="AB91" s="118" t="s">
        <v>1067</v>
      </c>
      <c r="AC91" s="118" t="s">
        <v>6989</v>
      </c>
      <c r="AD91" s="118" t="s">
        <v>1034</v>
      </c>
      <c r="AE91" s="118" t="s">
        <v>943</v>
      </c>
      <c r="AF91" s="118" t="s">
        <v>1041</v>
      </c>
      <c r="AG91" s="118" t="s">
        <v>6415</v>
      </c>
      <c r="AH91" s="118" t="s">
        <v>393</v>
      </c>
      <c r="AI91" s="118">
        <v>4</v>
      </c>
      <c r="AJ91" s="118" t="s">
        <v>6415</v>
      </c>
      <c r="AK91" s="118" t="s">
        <v>393</v>
      </c>
      <c r="AL91" s="118" t="s">
        <v>393</v>
      </c>
      <c r="AM91" s="118" t="s">
        <v>393</v>
      </c>
      <c r="AN91" s="402" t="s">
        <v>5975</v>
      </c>
      <c r="AO91" s="402">
        <v>44523</v>
      </c>
      <c r="AP91" s="118">
        <v>11</v>
      </c>
      <c r="AQ91" s="118">
        <v>16</v>
      </c>
      <c r="AR91" s="118" t="s">
        <v>6445</v>
      </c>
      <c r="AS91" s="118" t="s">
        <v>392</v>
      </c>
      <c r="AT91" s="118" t="s">
        <v>500</v>
      </c>
      <c r="AU91" s="118" t="s">
        <v>404</v>
      </c>
      <c r="AV91" s="118" t="s">
        <v>508</v>
      </c>
      <c r="AW91" s="118" t="s">
        <v>393</v>
      </c>
      <c r="AX91" s="118" t="s">
        <v>740</v>
      </c>
      <c r="AY91" s="118" t="s">
        <v>393</v>
      </c>
      <c r="AZ91" s="118" t="s">
        <v>393</v>
      </c>
      <c r="BA91" s="118" t="s">
        <v>393</v>
      </c>
      <c r="BB91" s="118" t="s">
        <v>393</v>
      </c>
      <c r="BC91" s="118" t="s">
        <v>393</v>
      </c>
      <c r="BD91" s="118" t="s">
        <v>393</v>
      </c>
      <c r="BE91" s="118" t="s">
        <v>393</v>
      </c>
      <c r="BF91" s="118" t="s">
        <v>393</v>
      </c>
      <c r="BG91" s="118" t="s">
        <v>393</v>
      </c>
      <c r="BH91" s="118" t="s">
        <v>394</v>
      </c>
      <c r="BI91" s="118" t="s">
        <v>394</v>
      </c>
      <c r="BJ91" s="118" t="s">
        <v>393</v>
      </c>
      <c r="BK91" s="118" t="s">
        <v>6988</v>
      </c>
      <c r="BL91" s="118" t="s">
        <v>6415</v>
      </c>
      <c r="BM91" s="118" t="s">
        <v>6992</v>
      </c>
      <c r="BN91" s="118" t="s">
        <v>6991</v>
      </c>
      <c r="BO91" s="118" t="s">
        <v>6415</v>
      </c>
      <c r="BP91" s="118" t="s">
        <v>6415</v>
      </c>
      <c r="BQ91" s="118" t="s">
        <v>6415</v>
      </c>
      <c r="BR91" s="118" t="s">
        <v>6415</v>
      </c>
      <c r="BS91" s="118" t="s">
        <v>6415</v>
      </c>
      <c r="BT91" s="118" t="s">
        <v>6990</v>
      </c>
      <c r="BU91" s="118" t="s">
        <v>6991</v>
      </c>
      <c r="BV91" s="118" t="s">
        <v>6415</v>
      </c>
      <c r="BW91" s="118" t="s">
        <v>6415</v>
      </c>
      <c r="BX91" s="118" t="s">
        <v>6415</v>
      </c>
      <c r="BY91" s="118" t="s">
        <v>6415</v>
      </c>
      <c r="BZ91" s="118" t="s">
        <v>6415</v>
      </c>
      <c r="CA91" s="118" t="s">
        <v>6415</v>
      </c>
      <c r="CB91" s="118" t="s">
        <v>221</v>
      </c>
      <c r="CC91" s="118" t="s">
        <v>740</v>
      </c>
      <c r="CD91" s="118">
        <v>1</v>
      </c>
      <c r="CE91" s="118" t="s">
        <v>410</v>
      </c>
      <c r="CF91" s="118" t="s">
        <v>411</v>
      </c>
      <c r="CG91" s="118" t="s">
        <v>924</v>
      </c>
      <c r="CH91" s="118" t="s">
        <v>6300</v>
      </c>
      <c r="CI91" s="118" t="s">
        <v>417</v>
      </c>
      <c r="CJ91" s="118" t="s">
        <v>398</v>
      </c>
      <c r="CK91" s="14">
        <v>0</v>
      </c>
      <c r="CL91" s="118">
        <v>35</v>
      </c>
      <c r="CM91" s="118" t="s">
        <v>399</v>
      </c>
      <c r="CN91" s="118" t="s">
        <v>6512</v>
      </c>
      <c r="CO91" s="118" t="s">
        <v>1096</v>
      </c>
      <c r="CP91" s="118" t="s">
        <v>400</v>
      </c>
      <c r="CQ91" s="118" t="s">
        <v>6415</v>
      </c>
      <c r="CR91" s="118" t="s">
        <v>6415</v>
      </c>
      <c r="CS91" s="118" t="s">
        <v>6415</v>
      </c>
      <c r="CT91" s="118" t="s">
        <v>6415</v>
      </c>
      <c r="CU91" s="118" t="s">
        <v>6415</v>
      </c>
      <c r="CV91" s="118" t="s">
        <v>6415</v>
      </c>
      <c r="CW91" s="14">
        <v>38</v>
      </c>
      <c r="CX91" s="118" t="s">
        <v>1068</v>
      </c>
      <c r="CY91" s="118" t="s">
        <v>6151</v>
      </c>
      <c r="CZ91" s="118">
        <v>2</v>
      </c>
      <c r="DA91" s="118" t="s">
        <v>410</v>
      </c>
      <c r="DB91" s="118" t="s">
        <v>411</v>
      </c>
      <c r="DC91" s="118" t="s">
        <v>6415</v>
      </c>
      <c r="DD91" s="118" t="s">
        <v>6300</v>
      </c>
      <c r="DE91" s="118" t="s">
        <v>6303</v>
      </c>
      <c r="DF91" s="118" t="s">
        <v>398</v>
      </c>
      <c r="DG91" s="14">
        <v>0</v>
      </c>
      <c r="DH91" s="118">
        <v>35</v>
      </c>
      <c r="DI91" s="118" t="s">
        <v>399</v>
      </c>
      <c r="DJ91" s="118" t="s">
        <v>398</v>
      </c>
      <c r="DK91" s="118" t="s">
        <v>400</v>
      </c>
      <c r="DL91" s="118" t="s">
        <v>6415</v>
      </c>
      <c r="DM91" s="118" t="s">
        <v>6415</v>
      </c>
      <c r="DN91" s="118" t="s">
        <v>6415</v>
      </c>
      <c r="DO91" s="118" t="s">
        <v>6415</v>
      </c>
      <c r="DP91" s="118" t="s">
        <v>6415</v>
      </c>
      <c r="DQ91" s="118" t="s">
        <v>6415</v>
      </c>
      <c r="DR91" s="118">
        <v>37</v>
      </c>
      <c r="DS91" s="118" t="s">
        <v>1068</v>
      </c>
      <c r="DT91" s="118" t="s">
        <v>6341</v>
      </c>
      <c r="DU91" s="118" t="s">
        <v>6415</v>
      </c>
      <c r="DV91" s="118" t="s">
        <v>6415</v>
      </c>
      <c r="DW91" s="118" t="s">
        <v>6415</v>
      </c>
      <c r="DX91" s="118" t="s">
        <v>6415</v>
      </c>
      <c r="DY91" s="118" t="s">
        <v>6415</v>
      </c>
      <c r="DZ91" s="118" t="s">
        <v>6415</v>
      </c>
      <c r="EA91" s="118" t="s">
        <v>6415</v>
      </c>
      <c r="EB91" s="118" t="s">
        <v>6415</v>
      </c>
      <c r="EC91" s="118" t="s">
        <v>6415</v>
      </c>
      <c r="ED91" s="118" t="s">
        <v>6415</v>
      </c>
      <c r="EE91" s="118" t="s">
        <v>6415</v>
      </c>
      <c r="EF91" s="118" t="s">
        <v>6415</v>
      </c>
      <c r="EG91" s="118" t="s">
        <v>6986</v>
      </c>
      <c r="EH91" s="118" t="s">
        <v>7093</v>
      </c>
      <c r="EI91" s="118" t="s">
        <v>6415</v>
      </c>
      <c r="EJ91" s="118" t="s">
        <v>6415</v>
      </c>
      <c r="EK91" s="118" t="s">
        <v>6415</v>
      </c>
      <c r="EL91" s="118" t="s">
        <v>7467</v>
      </c>
      <c r="EM91" s="118" t="s">
        <v>7135</v>
      </c>
      <c r="EN91" s="118" t="s">
        <v>6415</v>
      </c>
      <c r="EO91" s="6" t="str">
        <f t="shared" si="14"/>
        <v>Pathweb</v>
      </c>
      <c r="EP91" s="6" t="str">
        <f t="shared" si="15"/>
        <v>Google Maps</v>
      </c>
      <c r="EQ91" s="6" t="str">
        <f t="shared" si="16"/>
        <v>Mashed Map</v>
      </c>
      <c r="ER91" s="118" t="s">
        <v>6727</v>
      </c>
      <c r="ES91" s="118" t="s">
        <v>71</v>
      </c>
      <c r="ET91" s="4">
        <v>0</v>
      </c>
      <c r="EU91" s="4"/>
      <c r="EV91" s="4"/>
    </row>
    <row r="92" spans="1:152" x14ac:dyDescent="0.15">
      <c r="A92" s="581" t="str">
        <f t="shared" si="13"/>
        <v>Crash Report</v>
      </c>
      <c r="B92" s="118">
        <v>20213242681</v>
      </c>
      <c r="C92" s="118">
        <v>2021</v>
      </c>
      <c r="D92" s="118">
        <v>21120822700902</v>
      </c>
      <c r="F92" s="118" t="s">
        <v>6442</v>
      </c>
      <c r="G92" s="118" t="s">
        <v>402</v>
      </c>
      <c r="H92" s="118">
        <v>2</v>
      </c>
      <c r="I92" s="118" t="s">
        <v>6055</v>
      </c>
      <c r="J92" s="118" t="s">
        <v>423</v>
      </c>
      <c r="K92" s="118" t="s">
        <v>6985</v>
      </c>
      <c r="L92" s="118">
        <v>0.15</v>
      </c>
      <c r="M92" s="118">
        <v>0.15</v>
      </c>
      <c r="N92" s="118" t="s">
        <v>7465</v>
      </c>
      <c r="O92" s="118" t="s">
        <v>7466</v>
      </c>
      <c r="P92" s="118">
        <v>41.648516999999998</v>
      </c>
      <c r="Q92" s="118">
        <v>-83.523448000000002</v>
      </c>
      <c r="R92" s="118">
        <v>77000</v>
      </c>
      <c r="S92" s="118" t="s">
        <v>6988</v>
      </c>
      <c r="T92" s="118">
        <v>1</v>
      </c>
      <c r="U92" s="118">
        <v>0</v>
      </c>
      <c r="V92" s="118">
        <v>0</v>
      </c>
      <c r="W92" s="118">
        <v>0</v>
      </c>
      <c r="X92" s="118">
        <v>0</v>
      </c>
      <c r="Y92" s="118">
        <v>2</v>
      </c>
      <c r="Z92" s="118">
        <v>0</v>
      </c>
      <c r="AA92" s="118">
        <v>2</v>
      </c>
      <c r="AB92" s="118" t="s">
        <v>1067</v>
      </c>
      <c r="AC92" s="118" t="s">
        <v>6989</v>
      </c>
      <c r="AD92" s="118" t="s">
        <v>1034</v>
      </c>
      <c r="AE92" s="118" t="s">
        <v>943</v>
      </c>
      <c r="AF92" s="118" t="s">
        <v>1041</v>
      </c>
      <c r="AG92" s="118" t="s">
        <v>6415</v>
      </c>
      <c r="AH92" s="118" t="s">
        <v>393</v>
      </c>
      <c r="AI92" s="118">
        <v>4</v>
      </c>
      <c r="AJ92" s="118" t="s">
        <v>6415</v>
      </c>
      <c r="AK92" s="118" t="s">
        <v>393</v>
      </c>
      <c r="AL92" s="118" t="s">
        <v>393</v>
      </c>
      <c r="AM92" s="118" t="s">
        <v>393</v>
      </c>
      <c r="AN92" s="402" t="s">
        <v>5975</v>
      </c>
      <c r="AO92" s="402">
        <v>44538</v>
      </c>
      <c r="AP92" s="118">
        <v>12</v>
      </c>
      <c r="AQ92" s="118">
        <v>9</v>
      </c>
      <c r="AR92" s="118" t="s">
        <v>6446</v>
      </c>
      <c r="AS92" s="118" t="s">
        <v>403</v>
      </c>
      <c r="AT92" s="118" t="s">
        <v>500</v>
      </c>
      <c r="AU92" s="118" t="s">
        <v>404</v>
      </c>
      <c r="AV92" s="118" t="s">
        <v>508</v>
      </c>
      <c r="AW92" s="118" t="s">
        <v>393</v>
      </c>
      <c r="AX92" s="118" t="s">
        <v>740</v>
      </c>
      <c r="AY92" s="118" t="s">
        <v>393</v>
      </c>
      <c r="AZ92" s="118" t="s">
        <v>393</v>
      </c>
      <c r="BA92" s="118" t="s">
        <v>393</v>
      </c>
      <c r="BB92" s="118" t="s">
        <v>393</v>
      </c>
      <c r="BC92" s="118" t="s">
        <v>393</v>
      </c>
      <c r="BD92" s="118" t="s">
        <v>393</v>
      </c>
      <c r="BE92" s="118" t="s">
        <v>393</v>
      </c>
      <c r="BF92" s="118" t="s">
        <v>393</v>
      </c>
      <c r="BG92" s="118" t="s">
        <v>393</v>
      </c>
      <c r="BH92" s="118" t="s">
        <v>394</v>
      </c>
      <c r="BI92" s="118" t="s">
        <v>394</v>
      </c>
      <c r="BJ92" s="118" t="s">
        <v>393</v>
      </c>
      <c r="BK92" s="118" t="s">
        <v>6988</v>
      </c>
      <c r="BL92" s="118" t="s">
        <v>6415</v>
      </c>
      <c r="BM92" s="118" t="s">
        <v>6990</v>
      </c>
      <c r="BN92" s="118" t="s">
        <v>6991</v>
      </c>
      <c r="BO92" s="118" t="s">
        <v>6415</v>
      </c>
      <c r="BP92" s="118" t="s">
        <v>6415</v>
      </c>
      <c r="BQ92" s="118" t="s">
        <v>6415</v>
      </c>
      <c r="BR92" s="118" t="s">
        <v>6415</v>
      </c>
      <c r="BS92" s="118" t="s">
        <v>6415</v>
      </c>
      <c r="BT92" s="118" t="s">
        <v>6992</v>
      </c>
      <c r="BU92" s="118" t="s">
        <v>6991</v>
      </c>
      <c r="BV92" s="118" t="s">
        <v>6415</v>
      </c>
      <c r="BW92" s="118" t="s">
        <v>6415</v>
      </c>
      <c r="BX92" s="118" t="s">
        <v>6415</v>
      </c>
      <c r="BY92" s="118" t="s">
        <v>6415</v>
      </c>
      <c r="BZ92" s="118" t="s">
        <v>6415</v>
      </c>
      <c r="CA92" s="118" t="s">
        <v>6415</v>
      </c>
      <c r="CB92" s="118" t="s">
        <v>221</v>
      </c>
      <c r="CC92" s="118" t="s">
        <v>740</v>
      </c>
      <c r="CD92" s="118">
        <v>1</v>
      </c>
      <c r="CE92" s="118" t="s">
        <v>410</v>
      </c>
      <c r="CF92" s="118" t="s">
        <v>411</v>
      </c>
      <c r="CG92" s="118" t="s">
        <v>924</v>
      </c>
      <c r="CH92" s="118" t="s">
        <v>6300</v>
      </c>
      <c r="CI92" s="118" t="s">
        <v>6303</v>
      </c>
      <c r="CJ92" s="118" t="s">
        <v>398</v>
      </c>
      <c r="CK92" s="118">
        <v>10</v>
      </c>
      <c r="CL92" s="118">
        <v>35</v>
      </c>
      <c r="CM92" s="118" t="s">
        <v>399</v>
      </c>
      <c r="CN92" s="118" t="s">
        <v>6329</v>
      </c>
      <c r="CO92" s="118" t="s">
        <v>1096</v>
      </c>
      <c r="CP92" s="118" t="s">
        <v>400</v>
      </c>
      <c r="CQ92" s="118" t="s">
        <v>6415</v>
      </c>
      <c r="CR92" s="118" t="s">
        <v>6415</v>
      </c>
      <c r="CS92" s="118" t="s">
        <v>6415</v>
      </c>
      <c r="CT92" s="118" t="s">
        <v>6415</v>
      </c>
      <c r="CU92" s="118" t="s">
        <v>6415</v>
      </c>
      <c r="CV92" s="118" t="s">
        <v>6415</v>
      </c>
      <c r="CW92" s="118">
        <v>46</v>
      </c>
      <c r="CX92" s="118" t="s">
        <v>1066</v>
      </c>
      <c r="CY92" s="118" t="s">
        <v>6341</v>
      </c>
      <c r="CZ92" s="118">
        <v>2</v>
      </c>
      <c r="DA92" s="118" t="s">
        <v>410</v>
      </c>
      <c r="DB92" s="118" t="s">
        <v>411</v>
      </c>
      <c r="DC92" s="118" t="s">
        <v>6415</v>
      </c>
      <c r="DD92" s="118" t="s">
        <v>6300</v>
      </c>
      <c r="DE92" s="118" t="s">
        <v>6303</v>
      </c>
      <c r="DF92" s="118" t="s">
        <v>398</v>
      </c>
      <c r="DG92" s="118">
        <v>15</v>
      </c>
      <c r="DH92" s="118">
        <v>35</v>
      </c>
      <c r="DI92" s="118" t="s">
        <v>399</v>
      </c>
      <c r="DJ92" s="118" t="s">
        <v>398</v>
      </c>
      <c r="DK92" s="118" t="s">
        <v>400</v>
      </c>
      <c r="DL92" s="118" t="s">
        <v>6415</v>
      </c>
      <c r="DM92" s="118" t="s">
        <v>6415</v>
      </c>
      <c r="DN92" s="118" t="s">
        <v>6415</v>
      </c>
      <c r="DO92" s="118" t="s">
        <v>6415</v>
      </c>
      <c r="DP92" s="118" t="s">
        <v>6415</v>
      </c>
      <c r="DQ92" s="118" t="s">
        <v>6415</v>
      </c>
      <c r="DR92" s="118">
        <v>31</v>
      </c>
      <c r="DS92" s="118" t="s">
        <v>1066</v>
      </c>
      <c r="DT92" s="118" t="s">
        <v>6341</v>
      </c>
      <c r="DU92" s="118" t="s">
        <v>6415</v>
      </c>
      <c r="DV92" s="118" t="s">
        <v>6415</v>
      </c>
      <c r="DW92" s="118" t="s">
        <v>6415</v>
      </c>
      <c r="DX92" s="118" t="s">
        <v>6415</v>
      </c>
      <c r="DY92" s="118" t="s">
        <v>6415</v>
      </c>
      <c r="DZ92" s="118" t="s">
        <v>6415</v>
      </c>
      <c r="EA92" s="118" t="s">
        <v>6415</v>
      </c>
      <c r="EB92" s="118" t="s">
        <v>6415</v>
      </c>
      <c r="EC92" s="118" t="s">
        <v>6415</v>
      </c>
      <c r="ED92" s="118" t="s">
        <v>6415</v>
      </c>
      <c r="EE92" s="118" t="s">
        <v>6415</v>
      </c>
      <c r="EF92" s="118" t="s">
        <v>6415</v>
      </c>
      <c r="EG92" s="118" t="s">
        <v>6986</v>
      </c>
      <c r="EH92" s="118" t="s">
        <v>7093</v>
      </c>
      <c r="EI92" s="118" t="s">
        <v>6415</v>
      </c>
      <c r="EJ92" s="118" t="s">
        <v>6415</v>
      </c>
      <c r="EK92" s="118" t="s">
        <v>6415</v>
      </c>
      <c r="EL92" s="118" t="s">
        <v>7467</v>
      </c>
      <c r="EM92" s="118" t="s">
        <v>7136</v>
      </c>
      <c r="EN92" s="118" t="s">
        <v>6415</v>
      </c>
      <c r="EO92" s="6" t="str">
        <f t="shared" si="14"/>
        <v>Pathweb</v>
      </c>
      <c r="EP92" s="6" t="str">
        <f t="shared" si="15"/>
        <v>Google Maps</v>
      </c>
      <c r="EQ92" s="6" t="str">
        <f t="shared" si="16"/>
        <v>Mashed Map</v>
      </c>
      <c r="ER92" s="118" t="s">
        <v>6727</v>
      </c>
      <c r="ES92" s="118" t="s">
        <v>71</v>
      </c>
      <c r="ET92" s="4">
        <v>0</v>
      </c>
      <c r="EU92" s="4"/>
      <c r="EV92" s="4"/>
    </row>
    <row r="93" spans="1:152" x14ac:dyDescent="0.15">
      <c r="A93" s="581" t="str">
        <f t="shared" si="13"/>
        <v>Crash Report</v>
      </c>
      <c r="B93" s="14">
        <v>20213244692</v>
      </c>
      <c r="C93" s="118">
        <v>2021</v>
      </c>
      <c r="D93" s="14">
        <v>21121027940146</v>
      </c>
      <c r="F93" s="118" t="s">
        <v>6439</v>
      </c>
      <c r="G93" s="118" t="s">
        <v>416</v>
      </c>
      <c r="H93" s="118">
        <v>2</v>
      </c>
      <c r="I93" s="118" t="s">
        <v>6055</v>
      </c>
      <c r="J93" s="118" t="s">
        <v>423</v>
      </c>
      <c r="K93" s="118" t="s">
        <v>6997</v>
      </c>
      <c r="L93" s="118">
        <v>0.49199999999999999</v>
      </c>
      <c r="M93" s="118">
        <v>0.49199999999999999</v>
      </c>
      <c r="N93" s="118" t="s">
        <v>7469</v>
      </c>
      <c r="O93" s="118" t="s">
        <v>7478</v>
      </c>
      <c r="P93" s="118">
        <v>41.646034</v>
      </c>
      <c r="Q93" s="118">
        <v>-83.520781999999997</v>
      </c>
      <c r="R93" s="118">
        <v>77000</v>
      </c>
      <c r="S93" s="118" t="s">
        <v>6988</v>
      </c>
      <c r="T93" s="118">
        <v>1</v>
      </c>
      <c r="U93" s="118">
        <v>0</v>
      </c>
      <c r="V93" s="118">
        <v>1</v>
      </c>
      <c r="W93" s="118">
        <v>2</v>
      </c>
      <c r="X93" s="118">
        <v>1</v>
      </c>
      <c r="Y93" s="118">
        <v>0</v>
      </c>
      <c r="Z93" s="118">
        <v>3</v>
      </c>
      <c r="AA93" s="118">
        <v>1</v>
      </c>
      <c r="AB93" s="118" t="s">
        <v>1067</v>
      </c>
      <c r="AC93" s="118" t="s">
        <v>6989</v>
      </c>
      <c r="AD93" s="118" t="s">
        <v>1034</v>
      </c>
      <c r="AE93" s="118" t="s">
        <v>943</v>
      </c>
      <c r="AF93" s="118" t="s">
        <v>1042</v>
      </c>
      <c r="AG93" s="118" t="s">
        <v>6415</v>
      </c>
      <c r="AH93" s="118" t="s">
        <v>393</v>
      </c>
      <c r="AI93" s="118">
        <v>2</v>
      </c>
      <c r="AJ93" s="118" t="s">
        <v>6415</v>
      </c>
      <c r="AK93" s="118" t="s">
        <v>393</v>
      </c>
      <c r="AL93" s="118" t="s">
        <v>393</v>
      </c>
      <c r="AM93" s="118" t="s">
        <v>393</v>
      </c>
      <c r="AN93" s="402" t="s">
        <v>5975</v>
      </c>
      <c r="AO93" s="402">
        <v>44540</v>
      </c>
      <c r="AP93" s="118">
        <v>12</v>
      </c>
      <c r="AQ93" s="118">
        <v>1</v>
      </c>
      <c r="AR93" s="118" t="s">
        <v>6448</v>
      </c>
      <c r="AS93" s="118" t="s">
        <v>392</v>
      </c>
      <c r="AT93" s="118" t="s">
        <v>500</v>
      </c>
      <c r="AU93" s="118" t="s">
        <v>505</v>
      </c>
      <c r="AV93" s="118" t="s">
        <v>508</v>
      </c>
      <c r="AW93" s="118" t="s">
        <v>740</v>
      </c>
      <c r="AX93" s="118" t="s">
        <v>740</v>
      </c>
      <c r="AY93" s="118" t="s">
        <v>393</v>
      </c>
      <c r="AZ93" s="118" t="s">
        <v>393</v>
      </c>
      <c r="BA93" s="118" t="s">
        <v>393</v>
      </c>
      <c r="BB93" s="118" t="s">
        <v>393</v>
      </c>
      <c r="BC93" s="118" t="s">
        <v>393</v>
      </c>
      <c r="BD93" s="118" t="s">
        <v>740</v>
      </c>
      <c r="BE93" s="118" t="s">
        <v>393</v>
      </c>
      <c r="BF93" s="118" t="s">
        <v>740</v>
      </c>
      <c r="BG93" s="118" t="s">
        <v>393</v>
      </c>
      <c r="BH93" s="118" t="s">
        <v>394</v>
      </c>
      <c r="BI93" s="118" t="s">
        <v>394</v>
      </c>
      <c r="BJ93" s="118" t="s">
        <v>393</v>
      </c>
      <c r="BK93" s="118" t="s">
        <v>6988</v>
      </c>
      <c r="BL93" s="118" t="s">
        <v>6415</v>
      </c>
      <c r="BM93" s="118" t="s">
        <v>6992</v>
      </c>
      <c r="BN93" s="118" t="s">
        <v>6991</v>
      </c>
      <c r="BO93" s="118" t="s">
        <v>6415</v>
      </c>
      <c r="BP93" s="118" t="s">
        <v>6415</v>
      </c>
      <c r="BQ93" s="118" t="s">
        <v>6415</v>
      </c>
      <c r="BR93" s="118" t="s">
        <v>6415</v>
      </c>
      <c r="BS93" s="118" t="s">
        <v>6415</v>
      </c>
      <c r="BT93" s="118" t="s">
        <v>7045</v>
      </c>
      <c r="BU93" s="118" t="s">
        <v>6991</v>
      </c>
      <c r="BV93" s="118" t="s">
        <v>6415</v>
      </c>
      <c r="BW93" s="118" t="s">
        <v>6415</v>
      </c>
      <c r="BX93" s="118" t="s">
        <v>6415</v>
      </c>
      <c r="BY93" s="118" t="s">
        <v>6415</v>
      </c>
      <c r="BZ93" s="118" t="s">
        <v>6415</v>
      </c>
      <c r="CA93" s="118" t="s">
        <v>6415</v>
      </c>
      <c r="CB93" s="118" t="s">
        <v>221</v>
      </c>
      <c r="CC93" s="118" t="s">
        <v>740</v>
      </c>
      <c r="CD93" s="118">
        <v>1</v>
      </c>
      <c r="CE93" s="118" t="s">
        <v>396</v>
      </c>
      <c r="CF93" s="118" t="s">
        <v>405</v>
      </c>
      <c r="CG93" s="118" t="s">
        <v>230</v>
      </c>
      <c r="CH93" s="118" t="s">
        <v>6300</v>
      </c>
      <c r="CI93" s="118" t="s">
        <v>6303</v>
      </c>
      <c r="CJ93" s="118" t="s">
        <v>398</v>
      </c>
      <c r="CK93" s="14">
        <v>80</v>
      </c>
      <c r="CL93" s="118">
        <v>35</v>
      </c>
      <c r="CM93" s="118" t="s">
        <v>436</v>
      </c>
      <c r="CN93" s="118" t="s">
        <v>425</v>
      </c>
      <c r="CO93" s="118" t="s">
        <v>475</v>
      </c>
      <c r="CP93" s="118" t="s">
        <v>432</v>
      </c>
      <c r="CQ93" s="118" t="s">
        <v>475</v>
      </c>
      <c r="CR93" s="118" t="s">
        <v>6415</v>
      </c>
      <c r="CS93" s="118" t="s">
        <v>6415</v>
      </c>
      <c r="CT93" s="118" t="s">
        <v>6415</v>
      </c>
      <c r="CU93" s="118" t="s">
        <v>6415</v>
      </c>
      <c r="CV93" s="118" t="s">
        <v>6415</v>
      </c>
      <c r="CW93" s="14">
        <v>18</v>
      </c>
      <c r="CX93" s="118" t="s">
        <v>1068</v>
      </c>
      <c r="CY93" s="118" t="s">
        <v>6151</v>
      </c>
      <c r="CZ93" s="118" t="s">
        <v>6415</v>
      </c>
      <c r="DA93" s="118" t="s">
        <v>6415</v>
      </c>
      <c r="DB93" s="118" t="s">
        <v>6415</v>
      </c>
      <c r="DC93" s="118" t="s">
        <v>6415</v>
      </c>
      <c r="DD93" s="118" t="s">
        <v>6415</v>
      </c>
      <c r="DE93" s="118" t="s">
        <v>6415</v>
      </c>
      <c r="DF93" s="118" t="s">
        <v>6415</v>
      </c>
      <c r="DG93" s="14" t="s">
        <v>6415</v>
      </c>
      <c r="DH93" s="118" t="s">
        <v>6415</v>
      </c>
      <c r="DI93" s="118" t="s">
        <v>6415</v>
      </c>
      <c r="DJ93" s="118" t="s">
        <v>6415</v>
      </c>
      <c r="DK93" s="118" t="s">
        <v>6415</v>
      </c>
      <c r="DL93" s="118" t="s">
        <v>6415</v>
      </c>
      <c r="DM93" s="118" t="s">
        <v>6415</v>
      </c>
      <c r="DN93" s="118" t="s">
        <v>6415</v>
      </c>
      <c r="DO93" s="118" t="s">
        <v>6415</v>
      </c>
      <c r="DP93" s="118" t="s">
        <v>6415</v>
      </c>
      <c r="DQ93" s="118" t="s">
        <v>6415</v>
      </c>
      <c r="DR93" s="118">
        <v>0</v>
      </c>
      <c r="DS93" s="118" t="s">
        <v>6415</v>
      </c>
      <c r="DT93" s="118" t="s">
        <v>6415</v>
      </c>
      <c r="DU93" s="118" t="s">
        <v>6415</v>
      </c>
      <c r="DV93" s="118" t="s">
        <v>6415</v>
      </c>
      <c r="DW93" s="118" t="s">
        <v>6415</v>
      </c>
      <c r="DX93" s="118" t="s">
        <v>6415</v>
      </c>
      <c r="DY93" s="118" t="s">
        <v>6415</v>
      </c>
      <c r="DZ93" s="118" t="s">
        <v>6415</v>
      </c>
      <c r="EA93" s="118" t="s">
        <v>6415</v>
      </c>
      <c r="EB93" s="118" t="s">
        <v>6415</v>
      </c>
      <c r="EC93" s="118" t="s">
        <v>6415</v>
      </c>
      <c r="ED93" s="118" t="s">
        <v>6415</v>
      </c>
      <c r="EE93" s="118" t="s">
        <v>6415</v>
      </c>
      <c r="EF93" s="118" t="s">
        <v>6415</v>
      </c>
      <c r="EG93" s="118" t="s">
        <v>7043</v>
      </c>
      <c r="EH93" s="118" t="s">
        <v>7138</v>
      </c>
      <c r="EI93" s="118" t="s">
        <v>6415</v>
      </c>
      <c r="EJ93" s="118" t="s">
        <v>6415</v>
      </c>
      <c r="EK93" s="118" t="s">
        <v>6415</v>
      </c>
      <c r="EL93" s="118" t="s">
        <v>7467</v>
      </c>
      <c r="EM93" s="118" t="s">
        <v>7137</v>
      </c>
      <c r="EN93" s="118" t="s">
        <v>6415</v>
      </c>
      <c r="EO93" s="6" t="str">
        <f t="shared" si="14"/>
        <v>Pathweb</v>
      </c>
      <c r="EP93" s="6" t="str">
        <f t="shared" si="15"/>
        <v>Google Maps</v>
      </c>
      <c r="EQ93" s="6" t="str">
        <f t="shared" si="16"/>
        <v>Mashed Map</v>
      </c>
      <c r="ER93" s="118" t="s">
        <v>6726</v>
      </c>
      <c r="ES93" s="118" t="s">
        <v>6728</v>
      </c>
      <c r="ET93" s="4">
        <v>2E-3</v>
      </c>
      <c r="EU93" s="4"/>
      <c r="EV93" s="4"/>
    </row>
    <row r="94" spans="1:152" x14ac:dyDescent="0.15">
      <c r="A94" s="581" t="str">
        <f t="shared" si="13"/>
        <v>Crash Report</v>
      </c>
      <c r="B94" s="14">
        <v>20213251588</v>
      </c>
      <c r="C94" s="118">
        <v>2021</v>
      </c>
      <c r="D94" s="14">
        <v>21121723291831</v>
      </c>
      <c r="F94" s="118" t="s">
        <v>6442</v>
      </c>
      <c r="G94" s="118" t="s">
        <v>390</v>
      </c>
      <c r="H94" s="118">
        <v>2</v>
      </c>
      <c r="I94" s="118" t="s">
        <v>6055</v>
      </c>
      <c r="J94" s="118" t="s">
        <v>391</v>
      </c>
      <c r="K94" s="118" t="s">
        <v>6985</v>
      </c>
      <c r="L94" s="118">
        <v>1.05</v>
      </c>
      <c r="M94" s="118">
        <v>1.05</v>
      </c>
      <c r="N94" s="118" t="s">
        <v>7465</v>
      </c>
      <c r="O94" s="118" t="s">
        <v>7488</v>
      </c>
      <c r="P94" s="118">
        <v>41.656733000000003</v>
      </c>
      <c r="Q94" s="118">
        <v>-83.509969999999996</v>
      </c>
      <c r="R94" s="118">
        <v>77000</v>
      </c>
      <c r="S94" s="118" t="s">
        <v>6988</v>
      </c>
      <c r="T94" s="118">
        <v>1</v>
      </c>
      <c r="U94" s="118">
        <v>0</v>
      </c>
      <c r="V94" s="118">
        <v>0</v>
      </c>
      <c r="W94" s="118">
        <v>0</v>
      </c>
      <c r="X94" s="118">
        <v>0</v>
      </c>
      <c r="Y94" s="118">
        <v>2</v>
      </c>
      <c r="Z94" s="118">
        <v>0</v>
      </c>
      <c r="AA94" s="118">
        <v>2</v>
      </c>
      <c r="AB94" s="118" t="s">
        <v>1067</v>
      </c>
      <c r="AC94" s="118" t="s">
        <v>6989</v>
      </c>
      <c r="AD94" s="118" t="s">
        <v>1034</v>
      </c>
      <c r="AE94" s="118" t="s">
        <v>943</v>
      </c>
      <c r="AF94" s="118" t="s">
        <v>1041</v>
      </c>
      <c r="AG94" s="118" t="s">
        <v>6415</v>
      </c>
      <c r="AH94" s="118" t="s">
        <v>393</v>
      </c>
      <c r="AI94" s="118">
        <v>4</v>
      </c>
      <c r="AJ94" s="118" t="s">
        <v>6415</v>
      </c>
      <c r="AK94" s="118" t="s">
        <v>393</v>
      </c>
      <c r="AL94" s="118" t="s">
        <v>393</v>
      </c>
      <c r="AM94" s="118" t="s">
        <v>393</v>
      </c>
      <c r="AN94" s="402" t="s">
        <v>5975</v>
      </c>
      <c r="AO94" s="402">
        <v>44547</v>
      </c>
      <c r="AP94" s="118">
        <v>12</v>
      </c>
      <c r="AQ94" s="118">
        <v>16</v>
      </c>
      <c r="AR94" s="118" t="s">
        <v>6448</v>
      </c>
      <c r="AS94" s="118" t="s">
        <v>392</v>
      </c>
      <c r="AT94" s="118" t="s">
        <v>500</v>
      </c>
      <c r="AU94" s="118" t="s">
        <v>404</v>
      </c>
      <c r="AV94" s="118" t="s">
        <v>508</v>
      </c>
      <c r="AW94" s="118" t="s">
        <v>393</v>
      </c>
      <c r="AX94" s="118" t="s">
        <v>740</v>
      </c>
      <c r="AY94" s="118" t="s">
        <v>393</v>
      </c>
      <c r="AZ94" s="118" t="s">
        <v>393</v>
      </c>
      <c r="BA94" s="118" t="s">
        <v>393</v>
      </c>
      <c r="BB94" s="118" t="s">
        <v>393</v>
      </c>
      <c r="BC94" s="118" t="s">
        <v>393</v>
      </c>
      <c r="BD94" s="118" t="s">
        <v>393</v>
      </c>
      <c r="BE94" s="118" t="s">
        <v>393</v>
      </c>
      <c r="BF94" s="118" t="s">
        <v>393</v>
      </c>
      <c r="BG94" s="118" t="s">
        <v>393</v>
      </c>
      <c r="BH94" s="118" t="s">
        <v>394</v>
      </c>
      <c r="BI94" s="118" t="s">
        <v>394</v>
      </c>
      <c r="BJ94" s="118" t="s">
        <v>393</v>
      </c>
      <c r="BK94" s="118" t="s">
        <v>6988</v>
      </c>
      <c r="BL94" s="118" t="s">
        <v>6415</v>
      </c>
      <c r="BM94" s="118" t="s">
        <v>6990</v>
      </c>
      <c r="BN94" s="118" t="s">
        <v>6991</v>
      </c>
      <c r="BO94" s="118" t="s">
        <v>6415</v>
      </c>
      <c r="BP94" s="118" t="s">
        <v>6415</v>
      </c>
      <c r="BQ94" s="118" t="s">
        <v>6415</v>
      </c>
      <c r="BR94" s="118" t="s">
        <v>6415</v>
      </c>
      <c r="BS94" s="118" t="s">
        <v>6415</v>
      </c>
      <c r="BT94" s="118" t="s">
        <v>7125</v>
      </c>
      <c r="BU94" s="118" t="s">
        <v>6415</v>
      </c>
      <c r="BV94" s="118" t="s">
        <v>6415</v>
      </c>
      <c r="BW94" s="118" t="s">
        <v>7126</v>
      </c>
      <c r="BX94" s="118">
        <v>280</v>
      </c>
      <c r="BY94" s="118" t="s">
        <v>6415</v>
      </c>
      <c r="BZ94" s="118" t="s">
        <v>6415</v>
      </c>
      <c r="CA94" s="118" t="s">
        <v>6415</v>
      </c>
      <c r="CB94" s="118" t="s">
        <v>221</v>
      </c>
      <c r="CC94" s="118" t="s">
        <v>740</v>
      </c>
      <c r="CD94" s="118">
        <v>2</v>
      </c>
      <c r="CE94" s="118" t="s">
        <v>405</v>
      </c>
      <c r="CF94" s="118" t="s">
        <v>406</v>
      </c>
      <c r="CG94" s="118" t="s">
        <v>924</v>
      </c>
      <c r="CH94" s="118" t="s">
        <v>6300</v>
      </c>
      <c r="CI94" s="118" t="s">
        <v>6303</v>
      </c>
      <c r="CJ94" s="118" t="s">
        <v>398</v>
      </c>
      <c r="CK94" s="14">
        <v>5</v>
      </c>
      <c r="CL94" s="118">
        <v>35</v>
      </c>
      <c r="CM94" s="118" t="s">
        <v>399</v>
      </c>
      <c r="CN94" s="118" t="s">
        <v>6512</v>
      </c>
      <c r="CO94" s="118" t="s">
        <v>1096</v>
      </c>
      <c r="CP94" s="118" t="s">
        <v>400</v>
      </c>
      <c r="CQ94" s="118" t="s">
        <v>6415</v>
      </c>
      <c r="CR94" s="118" t="s">
        <v>6415</v>
      </c>
      <c r="CS94" s="118" t="s">
        <v>6415</v>
      </c>
      <c r="CT94" s="118" t="s">
        <v>6415</v>
      </c>
      <c r="CU94" s="118" t="s">
        <v>6415</v>
      </c>
      <c r="CV94" s="118" t="s">
        <v>6415</v>
      </c>
      <c r="CW94" s="14">
        <v>61</v>
      </c>
      <c r="CX94" s="118" t="s">
        <v>1068</v>
      </c>
      <c r="CY94" s="118" t="s">
        <v>6341</v>
      </c>
      <c r="CZ94" s="118">
        <v>1</v>
      </c>
      <c r="DA94" s="118" t="s">
        <v>405</v>
      </c>
      <c r="DB94" s="118" t="s">
        <v>406</v>
      </c>
      <c r="DC94" s="118" t="s">
        <v>6415</v>
      </c>
      <c r="DD94" s="118" t="s">
        <v>6300</v>
      </c>
      <c r="DE94" s="118" t="s">
        <v>6305</v>
      </c>
      <c r="DF94" s="118" t="s">
        <v>398</v>
      </c>
      <c r="DG94" s="14">
        <v>0</v>
      </c>
      <c r="DH94" s="118">
        <v>35</v>
      </c>
      <c r="DI94" s="118" t="s">
        <v>6355</v>
      </c>
      <c r="DJ94" s="118" t="s">
        <v>398</v>
      </c>
      <c r="DK94" s="118" t="s">
        <v>400</v>
      </c>
      <c r="DL94" s="118" t="s">
        <v>6415</v>
      </c>
      <c r="DM94" s="118" t="s">
        <v>6415</v>
      </c>
      <c r="DN94" s="118" t="s">
        <v>6415</v>
      </c>
      <c r="DO94" s="118" t="s">
        <v>6415</v>
      </c>
      <c r="DP94" s="118" t="s">
        <v>6415</v>
      </c>
      <c r="DQ94" s="118" t="s">
        <v>6415</v>
      </c>
      <c r="DR94" s="118">
        <v>35</v>
      </c>
      <c r="DS94" s="118" t="s">
        <v>1068</v>
      </c>
      <c r="DT94" s="118" t="s">
        <v>6341</v>
      </c>
      <c r="DU94" s="118" t="s">
        <v>6415</v>
      </c>
      <c r="DV94" s="118" t="s">
        <v>6415</v>
      </c>
      <c r="DW94" s="118" t="s">
        <v>6415</v>
      </c>
      <c r="DX94" s="118" t="s">
        <v>6415</v>
      </c>
      <c r="DY94" s="118" t="s">
        <v>6415</v>
      </c>
      <c r="DZ94" s="118" t="s">
        <v>6415</v>
      </c>
      <c r="EA94" s="118" t="s">
        <v>6415</v>
      </c>
      <c r="EB94" s="118" t="s">
        <v>6415</v>
      </c>
      <c r="EC94" s="118" t="s">
        <v>6415</v>
      </c>
      <c r="ED94" s="118" t="s">
        <v>6415</v>
      </c>
      <c r="EE94" s="118" t="s">
        <v>6415</v>
      </c>
      <c r="EF94" s="118" t="s">
        <v>6415</v>
      </c>
      <c r="EG94" s="118" t="s">
        <v>7006</v>
      </c>
      <c r="EH94" s="118" t="s">
        <v>7007</v>
      </c>
      <c r="EI94" s="118" t="s">
        <v>6415</v>
      </c>
      <c r="EJ94" s="118" t="s">
        <v>6415</v>
      </c>
      <c r="EK94" s="118" t="s">
        <v>6415</v>
      </c>
      <c r="EL94" s="118" t="s">
        <v>7467</v>
      </c>
      <c r="EM94" s="118" t="s">
        <v>7139</v>
      </c>
      <c r="EN94" s="118" t="s">
        <v>6415</v>
      </c>
      <c r="EO94" s="6" t="str">
        <f t="shared" si="14"/>
        <v>Pathweb</v>
      </c>
      <c r="EP94" s="6" t="str">
        <f t="shared" si="15"/>
        <v>Google Maps</v>
      </c>
      <c r="EQ94" s="6" t="str">
        <f t="shared" si="16"/>
        <v>Mashed Map</v>
      </c>
      <c r="ER94" s="118" t="s">
        <v>6727</v>
      </c>
      <c r="ES94" s="118" t="s">
        <v>71</v>
      </c>
      <c r="ET94" s="4">
        <v>1.9E-2</v>
      </c>
      <c r="EU94" s="4"/>
      <c r="EV94" s="4"/>
    </row>
    <row r="95" spans="1:152" x14ac:dyDescent="0.15">
      <c r="A95" s="581" t="str">
        <f t="shared" si="13"/>
        <v>Crash Report</v>
      </c>
      <c r="B95" s="118">
        <v>20213253934</v>
      </c>
      <c r="C95" s="118">
        <v>2021</v>
      </c>
      <c r="D95" s="118">
        <v>21122027391700</v>
      </c>
      <c r="F95" s="118" t="s">
        <v>6442</v>
      </c>
      <c r="G95" s="118" t="s">
        <v>211</v>
      </c>
      <c r="H95" s="118">
        <v>2</v>
      </c>
      <c r="I95" s="118" t="s">
        <v>6055</v>
      </c>
      <c r="J95" s="118" t="s">
        <v>391</v>
      </c>
      <c r="K95" s="118" t="s">
        <v>6997</v>
      </c>
      <c r="L95" s="118">
        <v>0.31</v>
      </c>
      <c r="M95" s="118">
        <v>0.31</v>
      </c>
      <c r="N95" s="118" t="s">
        <v>7469</v>
      </c>
      <c r="O95" s="118">
        <v>635</v>
      </c>
      <c r="P95" s="118">
        <v>41.643991</v>
      </c>
      <c r="Q95" s="118">
        <v>-83.518542999999994</v>
      </c>
      <c r="R95" s="118">
        <v>77000</v>
      </c>
      <c r="S95" s="118" t="s">
        <v>6988</v>
      </c>
      <c r="T95" s="118">
        <v>1</v>
      </c>
      <c r="U95" s="118">
        <v>0</v>
      </c>
      <c r="V95" s="118">
        <v>0</v>
      </c>
      <c r="W95" s="118">
        <v>0</v>
      </c>
      <c r="X95" s="118">
        <v>0</v>
      </c>
      <c r="Y95" s="118">
        <v>2</v>
      </c>
      <c r="Z95" s="118">
        <v>0</v>
      </c>
      <c r="AA95" s="118">
        <v>2</v>
      </c>
      <c r="AB95" s="118" t="s">
        <v>1067</v>
      </c>
      <c r="AC95" s="118" t="s">
        <v>6989</v>
      </c>
      <c r="AD95" s="118" t="s">
        <v>1034</v>
      </c>
      <c r="AE95" s="118" t="s">
        <v>943</v>
      </c>
      <c r="AF95" s="118" t="s">
        <v>1042</v>
      </c>
      <c r="AG95" s="118" t="s">
        <v>6415</v>
      </c>
      <c r="AH95" s="118" t="s">
        <v>393</v>
      </c>
      <c r="AI95" s="118">
        <v>2</v>
      </c>
      <c r="AJ95" s="118" t="s">
        <v>6415</v>
      </c>
      <c r="AK95" s="118" t="s">
        <v>393</v>
      </c>
      <c r="AL95" s="118" t="s">
        <v>393</v>
      </c>
      <c r="AM95" s="118" t="s">
        <v>393</v>
      </c>
      <c r="AN95" s="402" t="s">
        <v>5975</v>
      </c>
      <c r="AO95" s="402">
        <v>44550</v>
      </c>
      <c r="AP95" s="118">
        <v>12</v>
      </c>
      <c r="AQ95" s="118">
        <v>17</v>
      </c>
      <c r="AR95" s="118" t="s">
        <v>6444</v>
      </c>
      <c r="AS95" s="118" t="s">
        <v>392</v>
      </c>
      <c r="AT95" s="118" t="s">
        <v>500</v>
      </c>
      <c r="AU95" s="118" t="s">
        <v>404</v>
      </c>
      <c r="AV95" s="118" t="s">
        <v>508</v>
      </c>
      <c r="AW95" s="118" t="s">
        <v>393</v>
      </c>
      <c r="AX95" s="118" t="s">
        <v>393</v>
      </c>
      <c r="AY95" s="118" t="s">
        <v>393</v>
      </c>
      <c r="AZ95" s="118" t="s">
        <v>393</v>
      </c>
      <c r="BA95" s="118" t="s">
        <v>393</v>
      </c>
      <c r="BB95" s="118" t="s">
        <v>393</v>
      </c>
      <c r="BC95" s="118" t="s">
        <v>393</v>
      </c>
      <c r="BD95" s="118" t="s">
        <v>393</v>
      </c>
      <c r="BE95" s="118" t="s">
        <v>740</v>
      </c>
      <c r="BF95" s="118" t="s">
        <v>393</v>
      </c>
      <c r="BG95" s="118" t="s">
        <v>393</v>
      </c>
      <c r="BH95" s="118" t="s">
        <v>394</v>
      </c>
      <c r="BI95" s="118" t="s">
        <v>394</v>
      </c>
      <c r="BJ95" s="118" t="s">
        <v>393</v>
      </c>
      <c r="BK95" s="118" t="s">
        <v>6988</v>
      </c>
      <c r="BL95" s="118" t="s">
        <v>6415</v>
      </c>
      <c r="BM95" s="118" t="s">
        <v>6992</v>
      </c>
      <c r="BN95" s="118" t="s">
        <v>6991</v>
      </c>
      <c r="BO95" s="118" t="s">
        <v>6415</v>
      </c>
      <c r="BP95" s="118" t="s">
        <v>6415</v>
      </c>
      <c r="BQ95" s="118" t="s">
        <v>6415</v>
      </c>
      <c r="BR95" s="118" t="s">
        <v>6415</v>
      </c>
      <c r="BS95" s="118" t="s">
        <v>6415</v>
      </c>
      <c r="BT95" s="118" t="s">
        <v>7143</v>
      </c>
      <c r="BU95" s="118" t="s">
        <v>6415</v>
      </c>
      <c r="BV95" s="118" t="s">
        <v>6415</v>
      </c>
      <c r="BW95" s="118" t="s">
        <v>6415</v>
      </c>
      <c r="BX95" s="118" t="s">
        <v>6415</v>
      </c>
      <c r="BY95" s="118" t="s">
        <v>6415</v>
      </c>
      <c r="BZ95" s="118">
        <v>635</v>
      </c>
      <c r="CA95" s="118" t="s">
        <v>6415</v>
      </c>
      <c r="CB95" s="118" t="s">
        <v>422</v>
      </c>
      <c r="CC95" s="118" t="s">
        <v>393</v>
      </c>
      <c r="CD95" s="118">
        <v>1</v>
      </c>
      <c r="CE95" s="118" t="s">
        <v>406</v>
      </c>
      <c r="CF95" s="118" t="s">
        <v>405</v>
      </c>
      <c r="CG95" s="118" t="s">
        <v>924</v>
      </c>
      <c r="CH95" s="118" t="s">
        <v>6302</v>
      </c>
      <c r="CI95" s="118" t="s">
        <v>6303</v>
      </c>
      <c r="CJ95" s="118" t="s">
        <v>520</v>
      </c>
      <c r="CK95" s="118">
        <v>0</v>
      </c>
      <c r="CL95" s="118">
        <v>35</v>
      </c>
      <c r="CM95" s="118" t="s">
        <v>399</v>
      </c>
      <c r="CN95" s="118" t="s">
        <v>398</v>
      </c>
      <c r="CO95" s="118" t="s">
        <v>1096</v>
      </c>
      <c r="CP95" s="118" t="s">
        <v>400</v>
      </c>
      <c r="CQ95" s="118" t="s">
        <v>6415</v>
      </c>
      <c r="CR95" s="118" t="s">
        <v>6415</v>
      </c>
      <c r="CS95" s="118" t="s">
        <v>6415</v>
      </c>
      <c r="CT95" s="118" t="s">
        <v>6415</v>
      </c>
      <c r="CU95" s="118" t="s">
        <v>6415</v>
      </c>
      <c r="CV95" s="118" t="s">
        <v>6415</v>
      </c>
      <c r="CW95" s="118">
        <v>61</v>
      </c>
      <c r="CX95" s="118" t="s">
        <v>1068</v>
      </c>
      <c r="CY95" s="118" t="s">
        <v>6341</v>
      </c>
      <c r="CZ95" s="118">
        <v>2</v>
      </c>
      <c r="DA95" s="118" t="s">
        <v>411</v>
      </c>
      <c r="DB95" s="118" t="s">
        <v>396</v>
      </c>
      <c r="DC95" s="118" t="s">
        <v>6415</v>
      </c>
      <c r="DD95" s="118" t="s">
        <v>6302</v>
      </c>
      <c r="DE95" s="118" t="s">
        <v>6305</v>
      </c>
      <c r="DF95" s="118" t="s">
        <v>398</v>
      </c>
      <c r="DG95" s="118" t="s">
        <v>6415</v>
      </c>
      <c r="DH95" s="118">
        <v>35</v>
      </c>
      <c r="DI95" s="118" t="s">
        <v>436</v>
      </c>
      <c r="DJ95" s="118" t="s">
        <v>6327</v>
      </c>
      <c r="DK95" s="118" t="s">
        <v>400</v>
      </c>
      <c r="DL95" s="118" t="s">
        <v>6415</v>
      </c>
      <c r="DM95" s="118" t="s">
        <v>6415</v>
      </c>
      <c r="DN95" s="118" t="s">
        <v>6415</v>
      </c>
      <c r="DO95" s="118" t="s">
        <v>6415</v>
      </c>
      <c r="DP95" s="118" t="s">
        <v>6415</v>
      </c>
      <c r="DQ95" s="118" t="s">
        <v>6415</v>
      </c>
      <c r="DR95" s="118">
        <v>67</v>
      </c>
      <c r="DS95" s="118" t="s">
        <v>1068</v>
      </c>
      <c r="DT95" s="118" t="s">
        <v>6151</v>
      </c>
      <c r="DU95" s="118" t="s">
        <v>6415</v>
      </c>
      <c r="DV95" s="118" t="s">
        <v>6415</v>
      </c>
      <c r="DW95" s="118" t="s">
        <v>6415</v>
      </c>
      <c r="DX95" s="118" t="s">
        <v>6415</v>
      </c>
      <c r="DY95" s="118" t="s">
        <v>6415</v>
      </c>
      <c r="DZ95" s="118" t="s">
        <v>6415</v>
      </c>
      <c r="EA95" s="118" t="s">
        <v>6415</v>
      </c>
      <c r="EB95" s="118" t="s">
        <v>6415</v>
      </c>
      <c r="EC95" s="118" t="s">
        <v>6415</v>
      </c>
      <c r="ED95" s="118" t="s">
        <v>6415</v>
      </c>
      <c r="EE95" s="118" t="s">
        <v>6415</v>
      </c>
      <c r="EF95" s="118" t="s">
        <v>6415</v>
      </c>
      <c r="EG95" s="118" t="s">
        <v>7141</v>
      </c>
      <c r="EH95" s="118" t="s">
        <v>7142</v>
      </c>
      <c r="EI95" s="118" t="s">
        <v>6415</v>
      </c>
      <c r="EJ95" s="118" t="s">
        <v>6415</v>
      </c>
      <c r="EK95" s="118" t="s">
        <v>6415</v>
      </c>
      <c r="EL95" s="118" t="s">
        <v>7467</v>
      </c>
      <c r="EM95" s="118" t="s">
        <v>7140</v>
      </c>
      <c r="EN95" s="118" t="s">
        <v>6415</v>
      </c>
      <c r="EO95" s="6" t="str">
        <f t="shared" si="14"/>
        <v>Pathweb</v>
      </c>
      <c r="EP95" s="6" t="str">
        <f t="shared" si="15"/>
        <v>Google Maps</v>
      </c>
      <c r="EQ95" s="6" t="str">
        <f t="shared" si="16"/>
        <v>Mashed Map</v>
      </c>
      <c r="ER95" s="118" t="s">
        <v>6727</v>
      </c>
      <c r="ES95" s="118" t="s">
        <v>71</v>
      </c>
      <c r="ET95" s="4">
        <v>0</v>
      </c>
      <c r="EU95" s="4"/>
      <c r="EV95" s="4"/>
    </row>
    <row r="96" spans="1:152" x14ac:dyDescent="0.15">
      <c r="A96" s="581" t="str">
        <f t="shared" si="13"/>
        <v>Crash Report</v>
      </c>
      <c r="B96" s="118">
        <v>20213254491</v>
      </c>
      <c r="C96" s="118">
        <v>2021</v>
      </c>
      <c r="D96" s="118">
        <v>21122225220940</v>
      </c>
      <c r="F96" s="118" t="s">
        <v>6440</v>
      </c>
      <c r="G96" s="118" t="s">
        <v>438</v>
      </c>
      <c r="H96" s="118">
        <v>2</v>
      </c>
      <c r="I96" s="118" t="s">
        <v>6055</v>
      </c>
      <c r="J96" s="118" t="s">
        <v>391</v>
      </c>
      <c r="K96" s="118" t="s">
        <v>6997</v>
      </c>
      <c r="L96" s="118">
        <v>0.72099999999999997</v>
      </c>
      <c r="M96" s="118">
        <v>0.72099999999999997</v>
      </c>
      <c r="N96" s="118" t="s">
        <v>7469</v>
      </c>
      <c r="O96" s="118">
        <v>106</v>
      </c>
      <c r="P96" s="118">
        <v>41.648609</v>
      </c>
      <c r="Q96" s="118">
        <v>-83.523544000000001</v>
      </c>
      <c r="R96" s="118">
        <v>77000</v>
      </c>
      <c r="S96" s="118" t="s">
        <v>6988</v>
      </c>
      <c r="T96" s="118">
        <v>1</v>
      </c>
      <c r="U96" s="118">
        <v>0</v>
      </c>
      <c r="V96" s="118">
        <v>0</v>
      </c>
      <c r="W96" s="118">
        <v>1</v>
      </c>
      <c r="X96" s="118">
        <v>1</v>
      </c>
      <c r="Y96" s="118">
        <v>0</v>
      </c>
      <c r="Z96" s="118">
        <v>0</v>
      </c>
      <c r="AA96" s="118">
        <v>2</v>
      </c>
      <c r="AB96" s="118" t="s">
        <v>1067</v>
      </c>
      <c r="AC96" s="118" t="s">
        <v>6989</v>
      </c>
      <c r="AD96" s="118" t="s">
        <v>1034</v>
      </c>
      <c r="AE96" s="118" t="s">
        <v>943</v>
      </c>
      <c r="AF96" s="118" t="s">
        <v>1041</v>
      </c>
      <c r="AG96" s="118" t="s">
        <v>6415</v>
      </c>
      <c r="AH96" s="118" t="s">
        <v>393</v>
      </c>
      <c r="AI96" s="118">
        <v>2</v>
      </c>
      <c r="AJ96" s="118" t="s">
        <v>6415</v>
      </c>
      <c r="AK96" s="118" t="s">
        <v>393</v>
      </c>
      <c r="AL96" s="118" t="s">
        <v>393</v>
      </c>
      <c r="AM96" s="118" t="s">
        <v>393</v>
      </c>
      <c r="AN96" s="402" t="s">
        <v>5975</v>
      </c>
      <c r="AO96" s="402">
        <v>44552</v>
      </c>
      <c r="AP96" s="118">
        <v>12</v>
      </c>
      <c r="AQ96" s="118">
        <v>9</v>
      </c>
      <c r="AR96" s="118" t="s">
        <v>6446</v>
      </c>
      <c r="AS96" s="118" t="s">
        <v>392</v>
      </c>
      <c r="AT96" s="118" t="s">
        <v>500</v>
      </c>
      <c r="AU96" s="118" t="s">
        <v>404</v>
      </c>
      <c r="AV96" s="118" t="s">
        <v>508</v>
      </c>
      <c r="AW96" s="118" t="s">
        <v>393</v>
      </c>
      <c r="AX96" s="118" t="s">
        <v>393</v>
      </c>
      <c r="AY96" s="118" t="s">
        <v>393</v>
      </c>
      <c r="AZ96" s="118" t="s">
        <v>393</v>
      </c>
      <c r="BA96" s="118" t="s">
        <v>393</v>
      </c>
      <c r="BB96" s="118" t="s">
        <v>393</v>
      </c>
      <c r="BC96" s="118" t="s">
        <v>393</v>
      </c>
      <c r="BD96" s="118" t="s">
        <v>393</v>
      </c>
      <c r="BE96" s="118" t="s">
        <v>393</v>
      </c>
      <c r="BF96" s="118" t="s">
        <v>393</v>
      </c>
      <c r="BG96" s="118" t="s">
        <v>393</v>
      </c>
      <c r="BH96" s="118" t="s">
        <v>394</v>
      </c>
      <c r="BI96" s="118" t="s">
        <v>394</v>
      </c>
      <c r="BJ96" s="118" t="s">
        <v>740</v>
      </c>
      <c r="BK96" s="118" t="s">
        <v>6988</v>
      </c>
      <c r="BL96" s="118" t="s">
        <v>6415</v>
      </c>
      <c r="BM96" s="118" t="s">
        <v>6992</v>
      </c>
      <c r="BN96" s="118" t="s">
        <v>6991</v>
      </c>
      <c r="BO96" s="118" t="s">
        <v>6415</v>
      </c>
      <c r="BP96" s="118" t="s">
        <v>6415</v>
      </c>
      <c r="BQ96" s="118" t="s">
        <v>6415</v>
      </c>
      <c r="BR96" s="118" t="s">
        <v>6415</v>
      </c>
      <c r="BS96" s="118" t="s">
        <v>6415</v>
      </c>
      <c r="BT96" s="118" t="s">
        <v>7146</v>
      </c>
      <c r="BU96" s="118" t="s">
        <v>6415</v>
      </c>
      <c r="BV96" s="118" t="s">
        <v>6415</v>
      </c>
      <c r="BW96" s="118" t="s">
        <v>6415</v>
      </c>
      <c r="BX96" s="118" t="s">
        <v>6415</v>
      </c>
      <c r="BY96" s="118" t="s">
        <v>6415</v>
      </c>
      <c r="BZ96" s="118">
        <v>106</v>
      </c>
      <c r="CA96" s="118" t="s">
        <v>6415</v>
      </c>
      <c r="CB96" s="118" t="s">
        <v>422</v>
      </c>
      <c r="CC96" s="118" t="s">
        <v>740</v>
      </c>
      <c r="CD96" s="118">
        <v>2</v>
      </c>
      <c r="CE96" s="118" t="s">
        <v>397</v>
      </c>
      <c r="CF96" s="118" t="s">
        <v>396</v>
      </c>
      <c r="CG96" s="118" t="s">
        <v>924</v>
      </c>
      <c r="CH96" s="118" t="s">
        <v>6302</v>
      </c>
      <c r="CI96" s="118" t="s">
        <v>417</v>
      </c>
      <c r="CJ96" s="118" t="s">
        <v>521</v>
      </c>
      <c r="CK96" s="14">
        <v>40</v>
      </c>
      <c r="CL96" s="118">
        <v>40</v>
      </c>
      <c r="CM96" s="118" t="s">
        <v>399</v>
      </c>
      <c r="CN96" s="118" t="s">
        <v>6328</v>
      </c>
      <c r="CO96" s="118" t="s">
        <v>1096</v>
      </c>
      <c r="CP96" s="118" t="s">
        <v>400</v>
      </c>
      <c r="CQ96" s="118" t="s">
        <v>6415</v>
      </c>
      <c r="CR96" s="118" t="s">
        <v>6415</v>
      </c>
      <c r="CS96" s="118" t="s">
        <v>6415</v>
      </c>
      <c r="CT96" s="118" t="s">
        <v>6415</v>
      </c>
      <c r="CU96" s="118" t="s">
        <v>6415</v>
      </c>
      <c r="CV96" s="118" t="s">
        <v>6415</v>
      </c>
      <c r="CW96" s="14">
        <v>64</v>
      </c>
      <c r="CX96" s="118" t="s">
        <v>1068</v>
      </c>
      <c r="CY96" s="118" t="s">
        <v>6345</v>
      </c>
      <c r="CZ96" s="118">
        <v>1</v>
      </c>
      <c r="DA96" s="118" t="s">
        <v>396</v>
      </c>
      <c r="DB96" s="118" t="s">
        <v>397</v>
      </c>
      <c r="DC96" s="118" t="s">
        <v>6415</v>
      </c>
      <c r="DD96" s="118" t="s">
        <v>6302</v>
      </c>
      <c r="DE96" s="118" t="s">
        <v>6303</v>
      </c>
      <c r="DF96" s="118" t="s">
        <v>398</v>
      </c>
      <c r="DG96" s="14">
        <v>40</v>
      </c>
      <c r="DH96" s="118">
        <v>40</v>
      </c>
      <c r="DI96" s="118" t="s">
        <v>399</v>
      </c>
      <c r="DJ96" s="118" t="s">
        <v>398</v>
      </c>
      <c r="DK96" s="118" t="s">
        <v>400</v>
      </c>
      <c r="DL96" s="118" t="s">
        <v>6415</v>
      </c>
      <c r="DM96" s="118" t="s">
        <v>6415</v>
      </c>
      <c r="DN96" s="118" t="s">
        <v>6415</v>
      </c>
      <c r="DO96" s="118" t="s">
        <v>6415</v>
      </c>
      <c r="DP96" s="118" t="s">
        <v>6415</v>
      </c>
      <c r="DQ96" s="118" t="s">
        <v>6415</v>
      </c>
      <c r="DR96" s="118">
        <v>54</v>
      </c>
      <c r="DS96" s="118" t="s">
        <v>1066</v>
      </c>
      <c r="DT96" s="118" t="s">
        <v>6341</v>
      </c>
      <c r="DU96" s="118" t="s">
        <v>6415</v>
      </c>
      <c r="DV96" s="118" t="s">
        <v>6415</v>
      </c>
      <c r="DW96" s="118" t="s">
        <v>6415</v>
      </c>
      <c r="DX96" s="118" t="s">
        <v>6415</v>
      </c>
      <c r="DY96" s="118" t="s">
        <v>6415</v>
      </c>
      <c r="DZ96" s="118" t="s">
        <v>6415</v>
      </c>
      <c r="EA96" s="118" t="s">
        <v>6415</v>
      </c>
      <c r="EB96" s="118" t="s">
        <v>6415</v>
      </c>
      <c r="EC96" s="118" t="s">
        <v>6415</v>
      </c>
      <c r="ED96" s="118" t="s">
        <v>6415</v>
      </c>
      <c r="EE96" s="118" t="s">
        <v>6415</v>
      </c>
      <c r="EF96" s="118" t="s">
        <v>6415</v>
      </c>
      <c r="EG96" s="118" t="s">
        <v>6986</v>
      </c>
      <c r="EH96" s="118" t="s">
        <v>7145</v>
      </c>
      <c r="EI96" s="118" t="s">
        <v>6415</v>
      </c>
      <c r="EJ96" s="118" t="s">
        <v>6415</v>
      </c>
      <c r="EK96" s="118" t="s">
        <v>6415</v>
      </c>
      <c r="EL96" s="118" t="s">
        <v>7467</v>
      </c>
      <c r="EM96" s="118" t="s">
        <v>7144</v>
      </c>
      <c r="EN96" s="118" t="s">
        <v>6415</v>
      </c>
      <c r="EO96" s="6" t="str">
        <f t="shared" si="14"/>
        <v>Pathweb</v>
      </c>
      <c r="EP96" s="6" t="str">
        <f t="shared" si="15"/>
        <v>Google Maps</v>
      </c>
      <c r="EQ96" s="6" t="str">
        <f t="shared" si="16"/>
        <v>Mashed Map</v>
      </c>
      <c r="ER96" s="118" t="s">
        <v>6727</v>
      </c>
      <c r="ES96" s="118" t="s">
        <v>6728</v>
      </c>
      <c r="ET96" s="4">
        <v>0</v>
      </c>
      <c r="EU96" s="4"/>
      <c r="EV96" s="4"/>
    </row>
    <row r="97" spans="1:152" x14ac:dyDescent="0.15">
      <c r="A97" s="581" t="str">
        <f t="shared" si="13"/>
        <v>Crash Report</v>
      </c>
      <c r="B97" s="14">
        <v>20213254846</v>
      </c>
      <c r="C97" s="118">
        <v>2021</v>
      </c>
      <c r="D97" s="14">
        <v>21122228011430</v>
      </c>
      <c r="F97" s="118" t="s">
        <v>6442</v>
      </c>
      <c r="G97" s="118" t="s">
        <v>390</v>
      </c>
      <c r="H97" s="118">
        <v>2</v>
      </c>
      <c r="I97" s="118" t="s">
        <v>6055</v>
      </c>
      <c r="J97" s="118" t="s">
        <v>423</v>
      </c>
      <c r="K97" s="118" t="s">
        <v>6997</v>
      </c>
      <c r="L97" s="118">
        <v>0.60799999999999998</v>
      </c>
      <c r="M97" s="118">
        <v>0.60799999999999998</v>
      </c>
      <c r="N97" s="118" t="s">
        <v>7469</v>
      </c>
      <c r="O97" s="118" t="s">
        <v>7477</v>
      </c>
      <c r="P97" s="118">
        <v>41.647339000000002</v>
      </c>
      <c r="Q97" s="118">
        <v>-83.522180000000006</v>
      </c>
      <c r="R97" s="118">
        <v>77000</v>
      </c>
      <c r="S97" s="118" t="s">
        <v>6988</v>
      </c>
      <c r="T97" s="118">
        <v>1</v>
      </c>
      <c r="U97" s="118">
        <v>0</v>
      </c>
      <c r="V97" s="118">
        <v>0</v>
      </c>
      <c r="W97" s="118">
        <v>0</v>
      </c>
      <c r="X97" s="118">
        <v>0</v>
      </c>
      <c r="Y97" s="118">
        <v>3</v>
      </c>
      <c r="Z97" s="118">
        <v>1</v>
      </c>
      <c r="AA97" s="118">
        <v>2</v>
      </c>
      <c r="AB97" s="118" t="s">
        <v>1067</v>
      </c>
      <c r="AC97" s="118" t="s">
        <v>6989</v>
      </c>
      <c r="AD97" s="118" t="s">
        <v>1034</v>
      </c>
      <c r="AE97" s="118" t="s">
        <v>943</v>
      </c>
      <c r="AF97" s="118" t="s">
        <v>1042</v>
      </c>
      <c r="AG97" s="118" t="s">
        <v>6415</v>
      </c>
      <c r="AH97" s="118" t="s">
        <v>393</v>
      </c>
      <c r="AI97" s="118">
        <v>2</v>
      </c>
      <c r="AJ97" s="118" t="s">
        <v>6415</v>
      </c>
      <c r="AK97" s="118" t="s">
        <v>393</v>
      </c>
      <c r="AL97" s="118" t="s">
        <v>393</v>
      </c>
      <c r="AM97" s="118" t="s">
        <v>393</v>
      </c>
      <c r="AN97" s="402" t="s">
        <v>5975</v>
      </c>
      <c r="AO97" s="402">
        <v>44552</v>
      </c>
      <c r="AP97" s="118">
        <v>12</v>
      </c>
      <c r="AQ97" s="118">
        <v>14</v>
      </c>
      <c r="AR97" s="118" t="s">
        <v>6446</v>
      </c>
      <c r="AS97" s="118" t="s">
        <v>403</v>
      </c>
      <c r="AT97" s="118" t="s">
        <v>500</v>
      </c>
      <c r="AU97" s="118" t="s">
        <v>404</v>
      </c>
      <c r="AV97" s="118" t="s">
        <v>508</v>
      </c>
      <c r="AW97" s="118" t="s">
        <v>393</v>
      </c>
      <c r="AX97" s="118" t="s">
        <v>740</v>
      </c>
      <c r="AY97" s="118" t="s">
        <v>393</v>
      </c>
      <c r="AZ97" s="118" t="s">
        <v>393</v>
      </c>
      <c r="BA97" s="118" t="s">
        <v>393</v>
      </c>
      <c r="BB97" s="118" t="s">
        <v>393</v>
      </c>
      <c r="BC97" s="118" t="s">
        <v>393</v>
      </c>
      <c r="BD97" s="118" t="s">
        <v>393</v>
      </c>
      <c r="BE97" s="118" t="s">
        <v>740</v>
      </c>
      <c r="BF97" s="118" t="s">
        <v>393</v>
      </c>
      <c r="BG97" s="118" t="s">
        <v>393</v>
      </c>
      <c r="BH97" s="118" t="s">
        <v>394</v>
      </c>
      <c r="BI97" s="118" t="s">
        <v>394</v>
      </c>
      <c r="BJ97" s="118" t="s">
        <v>393</v>
      </c>
      <c r="BK97" s="118" t="s">
        <v>6988</v>
      </c>
      <c r="BL97" s="118" t="s">
        <v>6415</v>
      </c>
      <c r="BM97" s="118" t="s">
        <v>6992</v>
      </c>
      <c r="BN97" s="118" t="s">
        <v>6991</v>
      </c>
      <c r="BO97" s="118" t="s">
        <v>6415</v>
      </c>
      <c r="BP97" s="118" t="s">
        <v>6415</v>
      </c>
      <c r="BQ97" s="118" t="s">
        <v>6415</v>
      </c>
      <c r="BR97" s="118" t="s">
        <v>6415</v>
      </c>
      <c r="BS97" s="118" t="s">
        <v>6415</v>
      </c>
      <c r="BT97" s="118" t="s">
        <v>7000</v>
      </c>
      <c r="BU97" s="118" t="s">
        <v>6991</v>
      </c>
      <c r="BV97" s="118" t="s">
        <v>6415</v>
      </c>
      <c r="BW97" s="118" t="s">
        <v>6415</v>
      </c>
      <c r="BX97" s="118" t="s">
        <v>6415</v>
      </c>
      <c r="BY97" s="118" t="s">
        <v>6415</v>
      </c>
      <c r="BZ97" s="118" t="s">
        <v>6415</v>
      </c>
      <c r="CA97" s="118" t="s">
        <v>6415</v>
      </c>
      <c r="CB97" s="118" t="s">
        <v>221</v>
      </c>
      <c r="CC97" s="118" t="s">
        <v>740</v>
      </c>
      <c r="CD97" s="118">
        <v>2</v>
      </c>
      <c r="CE97" s="118" t="s">
        <v>446</v>
      </c>
      <c r="CF97" s="118" t="s">
        <v>445</v>
      </c>
      <c r="CG97" s="118" t="s">
        <v>924</v>
      </c>
      <c r="CH97" s="118" t="s">
        <v>6300</v>
      </c>
      <c r="CI97" s="118" t="s">
        <v>417</v>
      </c>
      <c r="CJ97" s="118" t="s">
        <v>398</v>
      </c>
      <c r="CK97" s="14">
        <v>10</v>
      </c>
      <c r="CL97" s="118">
        <v>25</v>
      </c>
      <c r="CM97" s="118" t="s">
        <v>399</v>
      </c>
      <c r="CN97" s="118" t="s">
        <v>6512</v>
      </c>
      <c r="CO97" s="118" t="s">
        <v>1096</v>
      </c>
      <c r="CP97" s="118" t="s">
        <v>400</v>
      </c>
      <c r="CQ97" s="118" t="s">
        <v>6415</v>
      </c>
      <c r="CR97" s="118" t="s">
        <v>6415</v>
      </c>
      <c r="CS97" s="118" t="s">
        <v>6415</v>
      </c>
      <c r="CT97" s="118" t="s">
        <v>6415</v>
      </c>
      <c r="CU97" s="118" t="s">
        <v>6415</v>
      </c>
      <c r="CV97" s="118" t="s">
        <v>6415</v>
      </c>
      <c r="CW97" s="14">
        <v>0</v>
      </c>
      <c r="CX97" s="118" t="s">
        <v>401</v>
      </c>
      <c r="CY97" s="118" t="s">
        <v>6341</v>
      </c>
      <c r="CZ97" s="118">
        <v>1</v>
      </c>
      <c r="DA97" s="118" t="s">
        <v>396</v>
      </c>
      <c r="DB97" s="118" t="s">
        <v>445</v>
      </c>
      <c r="DC97" s="118" t="s">
        <v>6415</v>
      </c>
      <c r="DD97" s="118" t="s">
        <v>6300</v>
      </c>
      <c r="DE97" s="118" t="s">
        <v>417</v>
      </c>
      <c r="DF97" s="118" t="s">
        <v>398</v>
      </c>
      <c r="DG97" s="14">
        <v>0</v>
      </c>
      <c r="DH97" s="118">
        <v>25</v>
      </c>
      <c r="DI97" s="118" t="s">
        <v>6355</v>
      </c>
      <c r="DJ97" s="118" t="s">
        <v>398</v>
      </c>
      <c r="DK97" s="118" t="s">
        <v>400</v>
      </c>
      <c r="DL97" s="118" t="s">
        <v>6415</v>
      </c>
      <c r="DM97" s="118" t="s">
        <v>6415</v>
      </c>
      <c r="DN97" s="118" t="s">
        <v>6415</v>
      </c>
      <c r="DO97" s="118" t="s">
        <v>6415</v>
      </c>
      <c r="DP97" s="118" t="s">
        <v>6415</v>
      </c>
      <c r="DQ97" s="118" t="s">
        <v>6415</v>
      </c>
      <c r="DR97" s="118">
        <v>69</v>
      </c>
      <c r="DS97" s="118" t="s">
        <v>1068</v>
      </c>
      <c r="DT97" s="118" t="s">
        <v>6341</v>
      </c>
      <c r="DU97" s="118" t="s">
        <v>6415</v>
      </c>
      <c r="DV97" s="118" t="s">
        <v>6415</v>
      </c>
      <c r="DW97" s="118" t="s">
        <v>6415</v>
      </c>
      <c r="DX97" s="118" t="s">
        <v>6415</v>
      </c>
      <c r="DY97" s="118" t="s">
        <v>6415</v>
      </c>
      <c r="DZ97" s="118" t="s">
        <v>6415</v>
      </c>
      <c r="EA97" s="118" t="s">
        <v>6415</v>
      </c>
      <c r="EB97" s="118" t="s">
        <v>6415</v>
      </c>
      <c r="EC97" s="118" t="s">
        <v>6415</v>
      </c>
      <c r="ED97" s="118" t="s">
        <v>6415</v>
      </c>
      <c r="EE97" s="118" t="s">
        <v>6415</v>
      </c>
      <c r="EF97" s="118" t="s">
        <v>6415</v>
      </c>
      <c r="EG97" s="118" t="s">
        <v>7035</v>
      </c>
      <c r="EH97" s="118" t="s">
        <v>7148</v>
      </c>
      <c r="EI97" s="118" t="s">
        <v>6415</v>
      </c>
      <c r="EJ97" s="118" t="s">
        <v>6415</v>
      </c>
      <c r="EK97" s="118" t="s">
        <v>6415</v>
      </c>
      <c r="EL97" s="118" t="s">
        <v>7467</v>
      </c>
      <c r="EM97" s="118" t="s">
        <v>7147</v>
      </c>
      <c r="EN97" s="118" t="s">
        <v>6415</v>
      </c>
      <c r="EO97" s="6" t="str">
        <f t="shared" si="14"/>
        <v>Pathweb</v>
      </c>
      <c r="EP97" s="6" t="str">
        <f t="shared" si="15"/>
        <v>Google Maps</v>
      </c>
      <c r="EQ97" s="6" t="str">
        <f t="shared" si="16"/>
        <v>Mashed Map</v>
      </c>
      <c r="ER97" s="118" t="s">
        <v>6727</v>
      </c>
      <c r="ES97" s="118" t="s">
        <v>71</v>
      </c>
      <c r="ET97" s="4">
        <v>0</v>
      </c>
      <c r="EU97" s="4"/>
      <c r="EV97" s="4"/>
    </row>
    <row r="98" spans="1:152" x14ac:dyDescent="0.15">
      <c r="A98" s="581" t="str">
        <f t="shared" si="13"/>
        <v>Crash Report</v>
      </c>
      <c r="B98" s="14">
        <v>20213255550</v>
      </c>
      <c r="C98" s="118">
        <v>2021</v>
      </c>
      <c r="D98" s="14">
        <v>21122328471418</v>
      </c>
      <c r="F98" s="118" t="s">
        <v>6441</v>
      </c>
      <c r="G98" s="118" t="s">
        <v>211</v>
      </c>
      <c r="H98" s="118">
        <v>2</v>
      </c>
      <c r="I98" s="118" t="s">
        <v>6055</v>
      </c>
      <c r="J98" s="118" t="s">
        <v>423</v>
      </c>
      <c r="K98" s="118" t="s">
        <v>6997</v>
      </c>
      <c r="L98" s="118">
        <v>0.60799999999999998</v>
      </c>
      <c r="M98" s="118">
        <v>0.60799999999999998</v>
      </c>
      <c r="N98" s="118" t="s">
        <v>7469</v>
      </c>
      <c r="O98" s="118" t="s">
        <v>7477</v>
      </c>
      <c r="P98" s="118">
        <v>41.647339000000002</v>
      </c>
      <c r="Q98" s="118">
        <v>-83.522180000000006</v>
      </c>
      <c r="R98" s="118">
        <v>77000</v>
      </c>
      <c r="S98" s="118" t="s">
        <v>6988</v>
      </c>
      <c r="T98" s="118">
        <v>1</v>
      </c>
      <c r="U98" s="118">
        <v>0</v>
      </c>
      <c r="V98" s="118">
        <v>0</v>
      </c>
      <c r="W98" s="118">
        <v>0</v>
      </c>
      <c r="X98" s="118">
        <v>2</v>
      </c>
      <c r="Y98" s="118">
        <v>1</v>
      </c>
      <c r="Z98" s="118">
        <v>1</v>
      </c>
      <c r="AA98" s="118">
        <v>2</v>
      </c>
      <c r="AB98" s="118" t="s">
        <v>1067</v>
      </c>
      <c r="AC98" s="118" t="s">
        <v>6989</v>
      </c>
      <c r="AD98" s="118" t="s">
        <v>1034</v>
      </c>
      <c r="AE98" s="118" t="s">
        <v>943</v>
      </c>
      <c r="AF98" s="118" t="s">
        <v>1042</v>
      </c>
      <c r="AG98" s="118" t="s">
        <v>6415</v>
      </c>
      <c r="AH98" s="118" t="s">
        <v>393</v>
      </c>
      <c r="AI98" s="118">
        <v>2</v>
      </c>
      <c r="AJ98" s="118" t="s">
        <v>6415</v>
      </c>
      <c r="AK98" s="118" t="s">
        <v>393</v>
      </c>
      <c r="AL98" s="118" t="s">
        <v>393</v>
      </c>
      <c r="AM98" s="118" t="s">
        <v>393</v>
      </c>
      <c r="AN98" s="402" t="s">
        <v>5975</v>
      </c>
      <c r="AO98" s="402">
        <v>44553</v>
      </c>
      <c r="AP98" s="118">
        <v>12</v>
      </c>
      <c r="AQ98" s="118">
        <v>14</v>
      </c>
      <c r="AR98" s="118" t="s">
        <v>6447</v>
      </c>
      <c r="AS98" s="118" t="s">
        <v>392</v>
      </c>
      <c r="AT98" s="118" t="s">
        <v>500</v>
      </c>
      <c r="AU98" s="118" t="s">
        <v>404</v>
      </c>
      <c r="AV98" s="118" t="s">
        <v>508</v>
      </c>
      <c r="AW98" s="118" t="s">
        <v>393</v>
      </c>
      <c r="AX98" s="118" t="s">
        <v>740</v>
      </c>
      <c r="AY98" s="118" t="s">
        <v>393</v>
      </c>
      <c r="AZ98" s="118" t="s">
        <v>393</v>
      </c>
      <c r="BA98" s="118" t="s">
        <v>393</v>
      </c>
      <c r="BB98" s="118" t="s">
        <v>393</v>
      </c>
      <c r="BC98" s="118" t="s">
        <v>393</v>
      </c>
      <c r="BD98" s="118" t="s">
        <v>393</v>
      </c>
      <c r="BE98" s="118" t="s">
        <v>393</v>
      </c>
      <c r="BF98" s="118" t="s">
        <v>740</v>
      </c>
      <c r="BG98" s="118" t="s">
        <v>393</v>
      </c>
      <c r="BH98" s="118" t="s">
        <v>394</v>
      </c>
      <c r="BI98" s="118" t="s">
        <v>394</v>
      </c>
      <c r="BJ98" s="118" t="s">
        <v>393</v>
      </c>
      <c r="BK98" s="118" t="s">
        <v>6988</v>
      </c>
      <c r="BL98" s="118" t="s">
        <v>6415</v>
      </c>
      <c r="BM98" s="118" t="s">
        <v>6992</v>
      </c>
      <c r="BN98" s="118" t="s">
        <v>6991</v>
      </c>
      <c r="BO98" s="118" t="s">
        <v>6415</v>
      </c>
      <c r="BP98" s="118" t="s">
        <v>6415</v>
      </c>
      <c r="BQ98" s="118" t="s">
        <v>6415</v>
      </c>
      <c r="BR98" s="118" t="s">
        <v>6415</v>
      </c>
      <c r="BS98" s="118" t="s">
        <v>6415</v>
      </c>
      <c r="BT98" s="118" t="s">
        <v>7000</v>
      </c>
      <c r="BU98" s="118" t="s">
        <v>6991</v>
      </c>
      <c r="BV98" s="118" t="s">
        <v>6415</v>
      </c>
      <c r="BW98" s="118" t="s">
        <v>6415</v>
      </c>
      <c r="BX98" s="118" t="s">
        <v>6415</v>
      </c>
      <c r="BY98" s="118" t="s">
        <v>6415</v>
      </c>
      <c r="BZ98" s="118" t="s">
        <v>6415</v>
      </c>
      <c r="CA98" s="118" t="s">
        <v>6415</v>
      </c>
      <c r="CB98" s="118" t="s">
        <v>221</v>
      </c>
      <c r="CC98" s="118" t="s">
        <v>393</v>
      </c>
      <c r="CD98" s="118">
        <v>1</v>
      </c>
      <c r="CE98" s="118" t="s">
        <v>405</v>
      </c>
      <c r="CF98" s="118" t="s">
        <v>406</v>
      </c>
      <c r="CG98" s="118" t="s">
        <v>924</v>
      </c>
      <c r="CH98" s="118" t="s">
        <v>6300</v>
      </c>
      <c r="CI98" s="118" t="s">
        <v>6305</v>
      </c>
      <c r="CJ98" s="118" t="s">
        <v>398</v>
      </c>
      <c r="CK98" s="118">
        <v>0</v>
      </c>
      <c r="CL98" s="118">
        <v>0</v>
      </c>
      <c r="CM98" s="118" t="s">
        <v>399</v>
      </c>
      <c r="CN98" s="118" t="s">
        <v>407</v>
      </c>
      <c r="CO98" s="118" t="s">
        <v>1096</v>
      </c>
      <c r="CP98" s="118" t="s">
        <v>400</v>
      </c>
      <c r="CQ98" s="118" t="s">
        <v>6415</v>
      </c>
      <c r="CR98" s="118" t="s">
        <v>6415</v>
      </c>
      <c r="CS98" s="118" t="s">
        <v>6415</v>
      </c>
      <c r="CT98" s="118" t="s">
        <v>6415</v>
      </c>
      <c r="CU98" s="118" t="s">
        <v>6415</v>
      </c>
      <c r="CV98" s="118" t="s">
        <v>6415</v>
      </c>
      <c r="CW98" s="118">
        <v>52</v>
      </c>
      <c r="CX98" s="118" t="s">
        <v>1066</v>
      </c>
      <c r="CY98" s="118" t="s">
        <v>6341</v>
      </c>
      <c r="CZ98" s="118">
        <v>2</v>
      </c>
      <c r="DA98" s="118" t="s">
        <v>410</v>
      </c>
      <c r="DB98" s="118" t="s">
        <v>411</v>
      </c>
      <c r="DC98" s="118" t="s">
        <v>6415</v>
      </c>
      <c r="DD98" s="118" t="s">
        <v>6300</v>
      </c>
      <c r="DE98" s="118" t="s">
        <v>6307</v>
      </c>
      <c r="DF98" s="118" t="s">
        <v>398</v>
      </c>
      <c r="DG98" s="118" t="s">
        <v>6415</v>
      </c>
      <c r="DH98" s="118" t="s">
        <v>6415</v>
      </c>
      <c r="DI98" s="118" t="s">
        <v>399</v>
      </c>
      <c r="DJ98" s="118" t="s">
        <v>407</v>
      </c>
      <c r="DK98" s="118" t="s">
        <v>400</v>
      </c>
      <c r="DL98" s="118" t="s">
        <v>6415</v>
      </c>
      <c r="DM98" s="118" t="s">
        <v>6415</v>
      </c>
      <c r="DN98" s="118" t="s">
        <v>6415</v>
      </c>
      <c r="DO98" s="118" t="s">
        <v>6415</v>
      </c>
      <c r="DP98" s="118" t="s">
        <v>6415</v>
      </c>
      <c r="DQ98" s="118" t="s">
        <v>6415</v>
      </c>
      <c r="DR98" s="118">
        <v>24</v>
      </c>
      <c r="DS98" s="118" t="s">
        <v>1066</v>
      </c>
      <c r="DT98" s="118" t="s">
        <v>6341</v>
      </c>
      <c r="DU98" s="118" t="s">
        <v>6415</v>
      </c>
      <c r="DV98" s="118" t="s">
        <v>6415</v>
      </c>
      <c r="DW98" s="118" t="s">
        <v>6415</v>
      </c>
      <c r="DX98" s="118" t="s">
        <v>6415</v>
      </c>
      <c r="DY98" s="118" t="s">
        <v>6415</v>
      </c>
      <c r="DZ98" s="118" t="s">
        <v>6415</v>
      </c>
      <c r="EA98" s="118" t="s">
        <v>6415</v>
      </c>
      <c r="EB98" s="118" t="s">
        <v>6415</v>
      </c>
      <c r="EC98" s="118" t="s">
        <v>6415</v>
      </c>
      <c r="ED98" s="118" t="s">
        <v>6415</v>
      </c>
      <c r="EE98" s="118" t="s">
        <v>6415</v>
      </c>
      <c r="EF98" s="118" t="s">
        <v>6415</v>
      </c>
      <c r="EG98" s="118" t="s">
        <v>7035</v>
      </c>
      <c r="EH98" s="118" t="s">
        <v>7148</v>
      </c>
      <c r="EI98" s="118" t="s">
        <v>6415</v>
      </c>
      <c r="EJ98" s="118" t="s">
        <v>6415</v>
      </c>
      <c r="EK98" s="118" t="s">
        <v>6415</v>
      </c>
      <c r="EL98" s="118" t="s">
        <v>7467</v>
      </c>
      <c r="EM98" s="118" t="s">
        <v>7149</v>
      </c>
      <c r="EN98" s="118" t="s">
        <v>6415</v>
      </c>
      <c r="EO98" s="6" t="str">
        <f t="shared" si="14"/>
        <v>Pathweb</v>
      </c>
      <c r="EP98" s="6" t="str">
        <f t="shared" si="15"/>
        <v>Google Maps</v>
      </c>
      <c r="EQ98" s="6" t="str">
        <f t="shared" si="16"/>
        <v>Mashed Map</v>
      </c>
      <c r="ER98" s="118" t="s">
        <v>6727</v>
      </c>
      <c r="ES98" s="118" t="s">
        <v>6728</v>
      </c>
      <c r="ET98" s="4">
        <v>0</v>
      </c>
      <c r="EU98" s="4"/>
      <c r="EV98" s="4"/>
    </row>
    <row r="99" spans="1:152" x14ac:dyDescent="0.15">
      <c r="A99" s="581" t="str">
        <f t="shared" si="13"/>
        <v>Crash Report</v>
      </c>
      <c r="B99" s="118">
        <v>20214037493</v>
      </c>
      <c r="C99" s="118">
        <v>2021</v>
      </c>
      <c r="D99" s="118">
        <v>20210000000001</v>
      </c>
      <c r="F99" s="118" t="s">
        <v>6442</v>
      </c>
      <c r="G99" s="118" t="s">
        <v>416</v>
      </c>
      <c r="H99" s="118">
        <v>2</v>
      </c>
      <c r="I99" s="118" t="s">
        <v>6055</v>
      </c>
      <c r="J99" s="118" t="s">
        <v>391</v>
      </c>
      <c r="K99" s="118" t="s">
        <v>6985</v>
      </c>
      <c r="L99" s="118">
        <v>0.52300000000000002</v>
      </c>
      <c r="M99" s="118">
        <v>0.52300000000000002</v>
      </c>
      <c r="N99" s="118" t="s">
        <v>7465</v>
      </c>
      <c r="O99" s="118" t="s">
        <v>7473</v>
      </c>
      <c r="P99" s="118">
        <v>41.651891999999997</v>
      </c>
      <c r="Q99" s="118">
        <v>-83.517908000000006</v>
      </c>
      <c r="R99" s="118">
        <v>77000</v>
      </c>
      <c r="S99" s="118" t="s">
        <v>6988</v>
      </c>
      <c r="T99" s="118">
        <v>1</v>
      </c>
      <c r="U99" s="118">
        <v>0</v>
      </c>
      <c r="V99" s="118">
        <v>0</v>
      </c>
      <c r="W99" s="118">
        <v>0</v>
      </c>
      <c r="X99" s="118">
        <v>0</v>
      </c>
      <c r="Y99" s="118">
        <v>1</v>
      </c>
      <c r="Z99" s="118">
        <v>0</v>
      </c>
      <c r="AA99" s="118">
        <v>1</v>
      </c>
      <c r="AB99" s="118" t="s">
        <v>1067</v>
      </c>
      <c r="AC99" s="118" t="s">
        <v>6989</v>
      </c>
      <c r="AD99" s="118" t="s">
        <v>1034</v>
      </c>
      <c r="AE99" s="118" t="s">
        <v>943</v>
      </c>
      <c r="AF99" s="118" t="s">
        <v>1041</v>
      </c>
      <c r="AG99" s="118" t="s">
        <v>6415</v>
      </c>
      <c r="AH99" s="118" t="s">
        <v>393</v>
      </c>
      <c r="AI99" s="118">
        <v>4</v>
      </c>
      <c r="AJ99" s="118" t="s">
        <v>6415</v>
      </c>
      <c r="AK99" s="118" t="s">
        <v>393</v>
      </c>
      <c r="AL99" s="118" t="s">
        <v>393</v>
      </c>
      <c r="AM99" s="118" t="s">
        <v>393</v>
      </c>
      <c r="AN99" s="402" t="s">
        <v>5975</v>
      </c>
      <c r="AO99" s="402">
        <v>44201</v>
      </c>
      <c r="AP99" s="118">
        <v>1</v>
      </c>
      <c r="AQ99" s="118">
        <v>14</v>
      </c>
      <c r="AR99" s="118" t="s">
        <v>6445</v>
      </c>
      <c r="AS99" s="118" t="s">
        <v>403</v>
      </c>
      <c r="AT99" s="118" t="s">
        <v>225</v>
      </c>
      <c r="AU99" s="118" t="s">
        <v>404</v>
      </c>
      <c r="AV99" s="118" t="s">
        <v>508</v>
      </c>
      <c r="AW99" s="118" t="s">
        <v>740</v>
      </c>
      <c r="AX99" s="118" t="s">
        <v>393</v>
      </c>
      <c r="AY99" s="118" t="s">
        <v>393</v>
      </c>
      <c r="AZ99" s="118" t="s">
        <v>393</v>
      </c>
      <c r="BA99" s="118" t="s">
        <v>393</v>
      </c>
      <c r="BB99" s="118" t="s">
        <v>393</v>
      </c>
      <c r="BC99" s="118" t="s">
        <v>393</v>
      </c>
      <c r="BD99" s="118" t="s">
        <v>393</v>
      </c>
      <c r="BE99" s="118" t="s">
        <v>393</v>
      </c>
      <c r="BF99" s="118" t="s">
        <v>393</v>
      </c>
      <c r="BG99" s="118" t="s">
        <v>393</v>
      </c>
      <c r="BH99" s="118" t="s">
        <v>394</v>
      </c>
      <c r="BI99" s="118" t="s">
        <v>394</v>
      </c>
      <c r="BJ99" s="118" t="s">
        <v>393</v>
      </c>
      <c r="BK99" s="118" t="s">
        <v>6988</v>
      </c>
      <c r="BL99" s="118" t="s">
        <v>6415</v>
      </c>
      <c r="BM99" s="118" t="s">
        <v>7151</v>
      </c>
      <c r="BN99" s="118" t="s">
        <v>7152</v>
      </c>
      <c r="BO99" s="118" t="s">
        <v>6415</v>
      </c>
      <c r="BP99" s="118" t="s">
        <v>6415</v>
      </c>
      <c r="BQ99" s="118" t="s">
        <v>6415</v>
      </c>
      <c r="BR99" s="118" t="s">
        <v>6415</v>
      </c>
      <c r="BS99" s="118" t="s">
        <v>6415</v>
      </c>
      <c r="BT99" s="118" t="s">
        <v>6990</v>
      </c>
      <c r="BU99" s="118" t="s">
        <v>6991</v>
      </c>
      <c r="BV99" s="118" t="s">
        <v>6415</v>
      </c>
      <c r="BW99" s="118" t="s">
        <v>6415</v>
      </c>
      <c r="BX99" s="118" t="s">
        <v>6415</v>
      </c>
      <c r="BY99" s="118" t="s">
        <v>6415</v>
      </c>
      <c r="BZ99" s="118" t="s">
        <v>6415</v>
      </c>
      <c r="CA99" s="118" t="s">
        <v>6415</v>
      </c>
      <c r="CB99" s="118" t="s">
        <v>221</v>
      </c>
      <c r="CC99" s="118" t="s">
        <v>740</v>
      </c>
      <c r="CD99" s="118">
        <v>1</v>
      </c>
      <c r="CE99" s="118" t="s">
        <v>405</v>
      </c>
      <c r="CF99" s="118" t="s">
        <v>411</v>
      </c>
      <c r="CG99" s="118" t="s">
        <v>860</v>
      </c>
      <c r="CH99" s="118" t="s">
        <v>6302</v>
      </c>
      <c r="CI99" s="118" t="s">
        <v>6315</v>
      </c>
      <c r="CJ99" s="118" t="s">
        <v>398</v>
      </c>
      <c r="CK99" s="14">
        <v>0</v>
      </c>
      <c r="CL99" s="118">
        <v>0</v>
      </c>
      <c r="CM99" s="118" t="s">
        <v>435</v>
      </c>
      <c r="CN99" s="118" t="s">
        <v>451</v>
      </c>
      <c r="CO99" s="118" t="s">
        <v>491</v>
      </c>
      <c r="CP99" s="118" t="s">
        <v>432</v>
      </c>
      <c r="CQ99" s="118" t="s">
        <v>491</v>
      </c>
      <c r="CR99" s="118" t="s">
        <v>6415</v>
      </c>
      <c r="CS99" s="118" t="s">
        <v>6415</v>
      </c>
      <c r="CT99" s="118" t="s">
        <v>6415</v>
      </c>
      <c r="CU99" s="118" t="s">
        <v>6415</v>
      </c>
      <c r="CV99" s="118" t="s">
        <v>6415</v>
      </c>
      <c r="CW99" s="14">
        <v>57</v>
      </c>
      <c r="CX99" s="118" t="s">
        <v>1068</v>
      </c>
      <c r="CY99" s="118" t="s">
        <v>6341</v>
      </c>
      <c r="CZ99" s="118" t="s">
        <v>6415</v>
      </c>
      <c r="DA99" s="118" t="s">
        <v>6415</v>
      </c>
      <c r="DB99" s="118" t="s">
        <v>6415</v>
      </c>
      <c r="DC99" s="118" t="s">
        <v>6415</v>
      </c>
      <c r="DD99" s="118" t="s">
        <v>6415</v>
      </c>
      <c r="DE99" s="118" t="s">
        <v>6415</v>
      </c>
      <c r="DF99" s="118" t="s">
        <v>6415</v>
      </c>
      <c r="DG99" s="14" t="s">
        <v>6415</v>
      </c>
      <c r="DH99" s="118" t="s">
        <v>6415</v>
      </c>
      <c r="DI99" s="118" t="s">
        <v>6415</v>
      </c>
      <c r="DJ99" s="118" t="s">
        <v>6415</v>
      </c>
      <c r="DK99" s="118" t="s">
        <v>6415</v>
      </c>
      <c r="DL99" s="118" t="s">
        <v>6415</v>
      </c>
      <c r="DM99" s="118" t="s">
        <v>6415</v>
      </c>
      <c r="DN99" s="118" t="s">
        <v>6415</v>
      </c>
      <c r="DO99" s="118" t="s">
        <v>6415</v>
      </c>
      <c r="DP99" s="118" t="s">
        <v>6415</v>
      </c>
      <c r="DQ99" s="118" t="s">
        <v>6415</v>
      </c>
      <c r="DR99" s="118">
        <v>0</v>
      </c>
      <c r="DS99" s="118" t="s">
        <v>6415</v>
      </c>
      <c r="DT99" s="118" t="s">
        <v>6415</v>
      </c>
      <c r="DU99" s="118" t="s">
        <v>6415</v>
      </c>
      <c r="DV99" s="118" t="s">
        <v>6415</v>
      </c>
      <c r="DW99" s="118" t="s">
        <v>6415</v>
      </c>
      <c r="DX99" s="118" t="s">
        <v>6415</v>
      </c>
      <c r="DY99" s="118" t="s">
        <v>6415</v>
      </c>
      <c r="DZ99" s="118" t="s">
        <v>6415</v>
      </c>
      <c r="EA99" s="118" t="s">
        <v>6415</v>
      </c>
      <c r="EB99" s="118" t="s">
        <v>6415</v>
      </c>
      <c r="EC99" s="118" t="s">
        <v>6415</v>
      </c>
      <c r="ED99" s="118" t="s">
        <v>6415</v>
      </c>
      <c r="EE99" s="118" t="s">
        <v>6415</v>
      </c>
      <c r="EF99" s="118" t="s">
        <v>6415</v>
      </c>
      <c r="EG99" s="118" t="s">
        <v>6994</v>
      </c>
      <c r="EH99" s="118" t="s">
        <v>6995</v>
      </c>
      <c r="EI99" s="118" t="s">
        <v>6415</v>
      </c>
      <c r="EJ99" s="118" t="s">
        <v>6415</v>
      </c>
      <c r="EK99" s="118" t="s">
        <v>6415</v>
      </c>
      <c r="EL99" s="118" t="s">
        <v>7467</v>
      </c>
      <c r="EM99" s="118" t="s">
        <v>7150</v>
      </c>
      <c r="EN99" s="118" t="s">
        <v>6415</v>
      </c>
      <c r="EO99" s="6" t="str">
        <f t="shared" si="14"/>
        <v>Pathweb</v>
      </c>
      <c r="EP99" s="6" t="str">
        <f t="shared" si="15"/>
        <v>Google Maps</v>
      </c>
      <c r="EQ99" s="6" t="str">
        <f t="shared" si="16"/>
        <v>Mashed Map</v>
      </c>
      <c r="ER99" s="118" t="s">
        <v>6726</v>
      </c>
      <c r="ES99" s="118" t="s">
        <v>71</v>
      </c>
      <c r="ET99" s="4">
        <v>1.9E-2</v>
      </c>
      <c r="EU99" s="4"/>
      <c r="EV99" s="4"/>
    </row>
    <row r="100" spans="1:152" x14ac:dyDescent="0.15">
      <c r="A100" s="581" t="str">
        <f t="shared" si="13"/>
        <v>Crash Report</v>
      </c>
      <c r="B100" s="118">
        <v>20223001047</v>
      </c>
      <c r="C100" s="118">
        <v>2022</v>
      </c>
      <c r="D100" s="118">
        <v>22010427501419</v>
      </c>
      <c r="F100" s="118" t="s">
        <v>6440</v>
      </c>
      <c r="G100" s="118" t="s">
        <v>230</v>
      </c>
      <c r="H100" s="118">
        <v>2</v>
      </c>
      <c r="I100" s="118" t="s">
        <v>6055</v>
      </c>
      <c r="J100" s="118" t="s">
        <v>391</v>
      </c>
      <c r="K100" s="118" t="s">
        <v>6997</v>
      </c>
      <c r="L100" s="118">
        <v>0.38600000000000001</v>
      </c>
      <c r="M100" s="118">
        <v>0.38600000000000001</v>
      </c>
      <c r="N100" s="118" t="s">
        <v>7469</v>
      </c>
      <c r="O100" s="118" t="s">
        <v>7489</v>
      </c>
      <c r="P100" s="118">
        <v>41.644756000000001</v>
      </c>
      <c r="Q100" s="118">
        <v>-83.519401999999999</v>
      </c>
      <c r="R100" s="118">
        <v>77000</v>
      </c>
      <c r="S100" s="118" t="s">
        <v>6988</v>
      </c>
      <c r="T100" s="118">
        <v>1</v>
      </c>
      <c r="U100" s="118">
        <v>0</v>
      </c>
      <c r="V100" s="118">
        <v>0</v>
      </c>
      <c r="W100" s="118">
        <v>2</v>
      </c>
      <c r="X100" s="118">
        <v>0</v>
      </c>
      <c r="Y100" s="118">
        <v>2</v>
      </c>
      <c r="Z100" s="118">
        <v>0</v>
      </c>
      <c r="AA100" s="118">
        <v>2</v>
      </c>
      <c r="AB100" s="118" t="s">
        <v>1067</v>
      </c>
      <c r="AC100" s="118" t="s">
        <v>6989</v>
      </c>
      <c r="AD100" s="118" t="s">
        <v>1034</v>
      </c>
      <c r="AE100" s="118" t="s">
        <v>943</v>
      </c>
      <c r="AF100" s="118" t="s">
        <v>1042</v>
      </c>
      <c r="AG100" s="118" t="s">
        <v>6415</v>
      </c>
      <c r="AH100" s="118" t="s">
        <v>393</v>
      </c>
      <c r="AI100" s="118">
        <v>2</v>
      </c>
      <c r="AJ100" s="118" t="s">
        <v>6415</v>
      </c>
      <c r="AK100" s="118" t="s">
        <v>393</v>
      </c>
      <c r="AL100" s="118" t="s">
        <v>393</v>
      </c>
      <c r="AM100" s="118" t="s">
        <v>393</v>
      </c>
      <c r="AN100" s="402" t="s">
        <v>5975</v>
      </c>
      <c r="AO100" s="402">
        <v>44565</v>
      </c>
      <c r="AP100" s="118">
        <v>1</v>
      </c>
      <c r="AQ100" s="118">
        <v>14</v>
      </c>
      <c r="AR100" s="118" t="s">
        <v>6445</v>
      </c>
      <c r="AS100" s="118" t="s">
        <v>392</v>
      </c>
      <c r="AT100" s="118" t="s">
        <v>500</v>
      </c>
      <c r="AU100" s="118" t="s">
        <v>404</v>
      </c>
      <c r="AV100" s="118" t="s">
        <v>508</v>
      </c>
      <c r="AW100" s="118" t="s">
        <v>393</v>
      </c>
      <c r="AX100" s="118" t="s">
        <v>393</v>
      </c>
      <c r="AY100" s="118" t="s">
        <v>393</v>
      </c>
      <c r="AZ100" s="118" t="s">
        <v>393</v>
      </c>
      <c r="BA100" s="118" t="s">
        <v>393</v>
      </c>
      <c r="BB100" s="118" t="s">
        <v>393</v>
      </c>
      <c r="BC100" s="118" t="s">
        <v>393</v>
      </c>
      <c r="BD100" s="118" t="s">
        <v>393</v>
      </c>
      <c r="BE100" s="118" t="s">
        <v>393</v>
      </c>
      <c r="BF100" s="118" t="s">
        <v>740</v>
      </c>
      <c r="BG100" s="118" t="s">
        <v>393</v>
      </c>
      <c r="BH100" s="118" t="s">
        <v>394</v>
      </c>
      <c r="BI100" s="118" t="s">
        <v>394</v>
      </c>
      <c r="BJ100" s="118" t="s">
        <v>393</v>
      </c>
      <c r="BK100" s="118" t="s">
        <v>6988</v>
      </c>
      <c r="BL100" s="118" t="s">
        <v>6415</v>
      </c>
      <c r="BM100" s="118" t="s">
        <v>6992</v>
      </c>
      <c r="BN100" s="118" t="s">
        <v>6991</v>
      </c>
      <c r="BO100" s="118" t="s">
        <v>6415</v>
      </c>
      <c r="BP100" s="118" t="s">
        <v>6415</v>
      </c>
      <c r="BQ100" s="118" t="s">
        <v>6415</v>
      </c>
      <c r="BR100" s="118" t="s">
        <v>6415</v>
      </c>
      <c r="BS100" s="118" t="s">
        <v>6415</v>
      </c>
      <c r="BT100" s="118" t="s">
        <v>7154</v>
      </c>
      <c r="BU100" s="118" t="s">
        <v>6991</v>
      </c>
      <c r="BV100" s="118" t="s">
        <v>6415</v>
      </c>
      <c r="BW100" s="118" t="s">
        <v>6415</v>
      </c>
      <c r="BX100" s="118" t="s">
        <v>6415</v>
      </c>
      <c r="BY100" s="118" t="s">
        <v>6415</v>
      </c>
      <c r="BZ100" s="118" t="s">
        <v>6415</v>
      </c>
      <c r="CA100" s="118" t="s">
        <v>6415</v>
      </c>
      <c r="CB100" s="118" t="s">
        <v>221</v>
      </c>
      <c r="CC100" s="118" t="s">
        <v>740</v>
      </c>
      <c r="CD100" s="118">
        <v>2</v>
      </c>
      <c r="CE100" s="118" t="s">
        <v>411</v>
      </c>
      <c r="CF100" s="118" t="s">
        <v>405</v>
      </c>
      <c r="CG100" s="118" t="s">
        <v>230</v>
      </c>
      <c r="CH100" s="118" t="s">
        <v>6302</v>
      </c>
      <c r="CI100" s="118" t="s">
        <v>6303</v>
      </c>
      <c r="CJ100" s="118" t="s">
        <v>398</v>
      </c>
      <c r="CK100" s="14">
        <v>0</v>
      </c>
      <c r="CL100" s="118">
        <v>30</v>
      </c>
      <c r="CM100" s="118" t="s">
        <v>436</v>
      </c>
      <c r="CN100" s="118" t="s">
        <v>6327</v>
      </c>
      <c r="CO100" s="118" t="s">
        <v>1096</v>
      </c>
      <c r="CP100" s="118" t="s">
        <v>400</v>
      </c>
      <c r="CQ100" s="118" t="s">
        <v>6415</v>
      </c>
      <c r="CR100" s="118" t="s">
        <v>6415</v>
      </c>
      <c r="CS100" s="118" t="s">
        <v>6415</v>
      </c>
      <c r="CT100" s="118" t="s">
        <v>6415</v>
      </c>
      <c r="CU100" s="118" t="s">
        <v>6415</v>
      </c>
      <c r="CV100" s="118" t="s">
        <v>6415</v>
      </c>
      <c r="CW100" s="14">
        <v>34</v>
      </c>
      <c r="CX100" s="118" t="s">
        <v>1068</v>
      </c>
      <c r="CY100" s="118" t="s">
        <v>6341</v>
      </c>
      <c r="CZ100" s="118">
        <v>1</v>
      </c>
      <c r="DA100" s="118" t="s">
        <v>410</v>
      </c>
      <c r="DB100" s="118" t="s">
        <v>411</v>
      </c>
      <c r="DC100" s="118" t="s">
        <v>6415</v>
      </c>
      <c r="DD100" s="118" t="s">
        <v>6302</v>
      </c>
      <c r="DE100" s="118" t="s">
        <v>6303</v>
      </c>
      <c r="DF100" s="118" t="s">
        <v>398</v>
      </c>
      <c r="DG100" s="14" t="s">
        <v>6415</v>
      </c>
      <c r="DH100" s="118">
        <v>30</v>
      </c>
      <c r="DI100" s="118" t="s">
        <v>399</v>
      </c>
      <c r="DJ100" s="118" t="s">
        <v>398</v>
      </c>
      <c r="DK100" s="118" t="s">
        <v>400</v>
      </c>
      <c r="DL100" s="118" t="s">
        <v>6415</v>
      </c>
      <c r="DM100" s="118" t="s">
        <v>6415</v>
      </c>
      <c r="DN100" s="118" t="s">
        <v>6415</v>
      </c>
      <c r="DO100" s="118" t="s">
        <v>6415</v>
      </c>
      <c r="DP100" s="118" t="s">
        <v>6415</v>
      </c>
      <c r="DQ100" s="118" t="s">
        <v>6415</v>
      </c>
      <c r="DR100" s="118">
        <v>22</v>
      </c>
      <c r="DS100" s="118" t="s">
        <v>1068</v>
      </c>
      <c r="DT100" s="118" t="s">
        <v>6341</v>
      </c>
      <c r="DU100" s="118" t="s">
        <v>6415</v>
      </c>
      <c r="DV100" s="118" t="s">
        <v>6415</v>
      </c>
      <c r="DW100" s="118" t="s">
        <v>6415</v>
      </c>
      <c r="DX100" s="118" t="s">
        <v>6415</v>
      </c>
      <c r="DY100" s="118" t="s">
        <v>6415</v>
      </c>
      <c r="DZ100" s="118" t="s">
        <v>6415</v>
      </c>
      <c r="EA100" s="118" t="s">
        <v>6415</v>
      </c>
      <c r="EB100" s="118" t="s">
        <v>6415</v>
      </c>
      <c r="EC100" s="118" t="s">
        <v>6415</v>
      </c>
      <c r="ED100" s="118" t="s">
        <v>6415</v>
      </c>
      <c r="EE100" s="118" t="s">
        <v>6415</v>
      </c>
      <c r="EF100" s="118" t="s">
        <v>6415</v>
      </c>
      <c r="EG100" s="118" t="s">
        <v>7051</v>
      </c>
      <c r="EH100" s="118" t="s">
        <v>7052</v>
      </c>
      <c r="EI100" s="118" t="s">
        <v>6415</v>
      </c>
      <c r="EJ100" s="118" t="s">
        <v>6415</v>
      </c>
      <c r="EK100" s="118" t="s">
        <v>6415</v>
      </c>
      <c r="EL100" s="118" t="s">
        <v>7467</v>
      </c>
      <c r="EM100" s="118" t="s">
        <v>7153</v>
      </c>
      <c r="EN100" s="118" t="s">
        <v>6415</v>
      </c>
      <c r="EO100" s="6" t="str">
        <f t="shared" si="14"/>
        <v>Pathweb</v>
      </c>
      <c r="EP100" s="6" t="str">
        <f t="shared" si="15"/>
        <v>Google Maps</v>
      </c>
      <c r="EQ100" s="6" t="str">
        <f t="shared" si="16"/>
        <v>Mashed Map</v>
      </c>
      <c r="ER100" s="118" t="s">
        <v>6727</v>
      </c>
      <c r="ES100" s="118" t="s">
        <v>6728</v>
      </c>
      <c r="ET100" s="4">
        <v>1.0999999999999999E-2</v>
      </c>
      <c r="EU100" s="4"/>
      <c r="EV100" s="4"/>
    </row>
    <row r="101" spans="1:152" x14ac:dyDescent="0.15">
      <c r="A101" s="581" t="str">
        <f t="shared" si="13"/>
        <v>Crash Report</v>
      </c>
      <c r="B101" s="14">
        <v>20223002651</v>
      </c>
      <c r="C101" s="118">
        <v>2022</v>
      </c>
      <c r="D101" s="14">
        <v>22010827031708</v>
      </c>
      <c r="F101" s="118" t="s">
        <v>6442</v>
      </c>
      <c r="G101" s="118" t="s">
        <v>230</v>
      </c>
      <c r="H101" s="118">
        <v>2</v>
      </c>
      <c r="I101" s="118" t="s">
        <v>6055</v>
      </c>
      <c r="J101" s="118" t="s">
        <v>434</v>
      </c>
      <c r="K101" s="118" t="s">
        <v>6985</v>
      </c>
      <c r="L101" s="118">
        <v>0.33300000000000002</v>
      </c>
      <c r="M101" s="118">
        <v>0.33300000000000002</v>
      </c>
      <c r="N101" s="118" t="s">
        <v>7465</v>
      </c>
      <c r="O101" s="118" t="s">
        <v>7487</v>
      </c>
      <c r="P101" s="118">
        <v>41.650154000000001</v>
      </c>
      <c r="Q101" s="118">
        <v>-83.520757000000003</v>
      </c>
      <c r="R101" s="118">
        <v>77000</v>
      </c>
      <c r="S101" s="118" t="s">
        <v>6988</v>
      </c>
      <c r="T101" s="118">
        <v>1</v>
      </c>
      <c r="U101" s="118">
        <v>0</v>
      </c>
      <c r="V101" s="118">
        <v>0</v>
      </c>
      <c r="W101" s="118">
        <v>0</v>
      </c>
      <c r="X101" s="118">
        <v>0</v>
      </c>
      <c r="Y101" s="118">
        <v>5</v>
      </c>
      <c r="Z101" s="118">
        <v>0</v>
      </c>
      <c r="AA101" s="118">
        <v>2</v>
      </c>
      <c r="AB101" s="118" t="s">
        <v>1067</v>
      </c>
      <c r="AC101" s="118" t="s">
        <v>6989</v>
      </c>
      <c r="AD101" s="118" t="s">
        <v>1034</v>
      </c>
      <c r="AE101" s="118" t="s">
        <v>943</v>
      </c>
      <c r="AF101" s="118" t="s">
        <v>1041</v>
      </c>
      <c r="AG101" s="118" t="s">
        <v>6415</v>
      </c>
      <c r="AH101" s="118" t="s">
        <v>393</v>
      </c>
      <c r="AI101" s="118">
        <v>4</v>
      </c>
      <c r="AJ101" s="118" t="s">
        <v>6415</v>
      </c>
      <c r="AK101" s="118" t="s">
        <v>393</v>
      </c>
      <c r="AL101" s="118" t="s">
        <v>393</v>
      </c>
      <c r="AM101" s="118" t="s">
        <v>393</v>
      </c>
      <c r="AN101" s="402" t="s">
        <v>5975</v>
      </c>
      <c r="AO101" s="402">
        <v>44569</v>
      </c>
      <c r="AP101" s="118">
        <v>1</v>
      </c>
      <c r="AQ101" s="118">
        <v>17</v>
      </c>
      <c r="AR101" s="118" t="s">
        <v>6449</v>
      </c>
      <c r="AS101" s="118" t="s">
        <v>403</v>
      </c>
      <c r="AT101" s="118" t="s">
        <v>500</v>
      </c>
      <c r="AU101" s="118" t="s">
        <v>404</v>
      </c>
      <c r="AV101" s="118" t="s">
        <v>508</v>
      </c>
      <c r="AW101" s="118" t="s">
        <v>393</v>
      </c>
      <c r="AX101" s="118" t="s">
        <v>740</v>
      </c>
      <c r="AY101" s="118" t="s">
        <v>393</v>
      </c>
      <c r="AZ101" s="118" t="s">
        <v>393</v>
      </c>
      <c r="BA101" s="118" t="s">
        <v>393</v>
      </c>
      <c r="BB101" s="118" t="s">
        <v>393</v>
      </c>
      <c r="BC101" s="118" t="s">
        <v>393</v>
      </c>
      <c r="BD101" s="118" t="s">
        <v>393</v>
      </c>
      <c r="BE101" s="118" t="s">
        <v>393</v>
      </c>
      <c r="BF101" s="118" t="s">
        <v>393</v>
      </c>
      <c r="BG101" s="118" t="s">
        <v>393</v>
      </c>
      <c r="BH101" s="118" t="s">
        <v>394</v>
      </c>
      <c r="BI101" s="118" t="s">
        <v>394</v>
      </c>
      <c r="BJ101" s="118" t="s">
        <v>393</v>
      </c>
      <c r="BK101" s="118" t="s">
        <v>6988</v>
      </c>
      <c r="BL101" s="118" t="s">
        <v>6415</v>
      </c>
      <c r="BM101" s="118" t="s">
        <v>6990</v>
      </c>
      <c r="BN101" s="118" t="s">
        <v>6991</v>
      </c>
      <c r="BO101" s="118" t="s">
        <v>6415</v>
      </c>
      <c r="BP101" s="118" t="s">
        <v>6415</v>
      </c>
      <c r="BQ101" s="118" t="s">
        <v>6415</v>
      </c>
      <c r="BR101" s="118" t="s">
        <v>6415</v>
      </c>
      <c r="BS101" s="118" t="s">
        <v>6415</v>
      </c>
      <c r="BT101" s="118" t="s">
        <v>7123</v>
      </c>
      <c r="BU101" s="118" t="s">
        <v>7057</v>
      </c>
      <c r="BV101" s="118" t="s">
        <v>6415</v>
      </c>
      <c r="BW101" s="118" t="s">
        <v>6415</v>
      </c>
      <c r="BX101" s="118" t="s">
        <v>6415</v>
      </c>
      <c r="BY101" s="118" t="s">
        <v>6415</v>
      </c>
      <c r="BZ101" s="118" t="s">
        <v>6415</v>
      </c>
      <c r="CA101" s="118" t="s">
        <v>6415</v>
      </c>
      <c r="CB101" s="118" t="s">
        <v>221</v>
      </c>
      <c r="CC101" s="118" t="s">
        <v>740</v>
      </c>
      <c r="CD101" s="118">
        <v>2</v>
      </c>
      <c r="CE101" s="118" t="s">
        <v>405</v>
      </c>
      <c r="CF101" s="118" t="s">
        <v>410</v>
      </c>
      <c r="CG101" s="118" t="s">
        <v>230</v>
      </c>
      <c r="CH101" s="118" t="s">
        <v>6302</v>
      </c>
      <c r="CI101" s="118" t="s">
        <v>417</v>
      </c>
      <c r="CJ101" s="118" t="s">
        <v>398</v>
      </c>
      <c r="CK101" s="118">
        <v>0</v>
      </c>
      <c r="CL101" s="118">
        <v>35</v>
      </c>
      <c r="CM101" s="118" t="s">
        <v>436</v>
      </c>
      <c r="CN101" s="118" t="s">
        <v>6327</v>
      </c>
      <c r="CO101" s="118" t="s">
        <v>1096</v>
      </c>
      <c r="CP101" s="118" t="s">
        <v>400</v>
      </c>
      <c r="CQ101" s="118" t="s">
        <v>6415</v>
      </c>
      <c r="CR101" s="118" t="s">
        <v>6415</v>
      </c>
      <c r="CS101" s="118" t="s">
        <v>6415</v>
      </c>
      <c r="CT101" s="118" t="s">
        <v>6415</v>
      </c>
      <c r="CU101" s="118" t="s">
        <v>6415</v>
      </c>
      <c r="CV101" s="118" t="s">
        <v>6415</v>
      </c>
      <c r="CW101" s="118">
        <v>27</v>
      </c>
      <c r="CX101" s="118" t="s">
        <v>1066</v>
      </c>
      <c r="CY101" s="118" t="s">
        <v>6341</v>
      </c>
      <c r="CZ101" s="118">
        <v>1</v>
      </c>
      <c r="DA101" s="118" t="s">
        <v>406</v>
      </c>
      <c r="DB101" s="118" t="s">
        <v>405</v>
      </c>
      <c r="DC101" s="118" t="s">
        <v>6415</v>
      </c>
      <c r="DD101" s="118" t="s">
        <v>6302</v>
      </c>
      <c r="DE101" s="118" t="s">
        <v>417</v>
      </c>
      <c r="DF101" s="118" t="s">
        <v>398</v>
      </c>
      <c r="DG101" s="118" t="s">
        <v>6415</v>
      </c>
      <c r="DH101" s="118">
        <v>35</v>
      </c>
      <c r="DI101" s="118" t="s">
        <v>399</v>
      </c>
      <c r="DJ101" s="118" t="s">
        <v>398</v>
      </c>
      <c r="DK101" s="118" t="s">
        <v>400</v>
      </c>
      <c r="DL101" s="118" t="s">
        <v>6415</v>
      </c>
      <c r="DM101" s="118" t="s">
        <v>6415</v>
      </c>
      <c r="DN101" s="118" t="s">
        <v>6415</v>
      </c>
      <c r="DO101" s="118" t="s">
        <v>6415</v>
      </c>
      <c r="DP101" s="118" t="s">
        <v>6415</v>
      </c>
      <c r="DQ101" s="118" t="s">
        <v>6415</v>
      </c>
      <c r="DR101" s="118">
        <v>29</v>
      </c>
      <c r="DS101" s="118" t="s">
        <v>1068</v>
      </c>
      <c r="DT101" s="118" t="s">
        <v>6341</v>
      </c>
      <c r="DU101" s="118" t="s">
        <v>6415</v>
      </c>
      <c r="DV101" s="118" t="s">
        <v>6415</v>
      </c>
      <c r="DW101" s="118" t="s">
        <v>6415</v>
      </c>
      <c r="DX101" s="118" t="s">
        <v>6415</v>
      </c>
      <c r="DY101" s="118" t="s">
        <v>6415</v>
      </c>
      <c r="DZ101" s="118" t="s">
        <v>6415</v>
      </c>
      <c r="EA101" s="118" t="s">
        <v>6415</v>
      </c>
      <c r="EB101" s="118" t="s">
        <v>6415</v>
      </c>
      <c r="EC101" s="118" t="s">
        <v>6415</v>
      </c>
      <c r="ED101" s="118" t="s">
        <v>6415</v>
      </c>
      <c r="EE101" s="118" t="s">
        <v>6415</v>
      </c>
      <c r="EF101" s="118" t="s">
        <v>6415</v>
      </c>
      <c r="EG101" s="118" t="s">
        <v>7121</v>
      </c>
      <c r="EH101" s="118" t="s">
        <v>7122</v>
      </c>
      <c r="EI101" s="118" t="s">
        <v>6415</v>
      </c>
      <c r="EJ101" s="118" t="s">
        <v>6415</v>
      </c>
      <c r="EK101" s="118" t="s">
        <v>6415</v>
      </c>
      <c r="EL101" s="118" t="s">
        <v>7467</v>
      </c>
      <c r="EM101" s="118" t="s">
        <v>7155</v>
      </c>
      <c r="EN101" s="118" t="s">
        <v>6415</v>
      </c>
      <c r="EO101" s="6" t="str">
        <f t="shared" si="14"/>
        <v>Pathweb</v>
      </c>
      <c r="EP101" s="6" t="str">
        <f t="shared" si="15"/>
        <v>Google Maps</v>
      </c>
      <c r="EQ101" s="6" t="str">
        <f t="shared" si="16"/>
        <v>Mashed Map</v>
      </c>
      <c r="ER101" s="118" t="s">
        <v>6727</v>
      </c>
      <c r="ES101" s="118" t="s">
        <v>71</v>
      </c>
      <c r="ET101" s="4">
        <v>0</v>
      </c>
      <c r="EU101" s="4"/>
      <c r="EV101" s="4"/>
    </row>
    <row r="102" spans="1:152" x14ac:dyDescent="0.15">
      <c r="A102" s="581" t="str">
        <f t="shared" si="13"/>
        <v>Crash Report</v>
      </c>
      <c r="B102" s="14">
        <v>20223003751</v>
      </c>
      <c r="C102" s="118">
        <v>2022</v>
      </c>
      <c r="D102" s="14">
        <v>22011028020547</v>
      </c>
      <c r="F102" s="118" t="s">
        <v>6442</v>
      </c>
      <c r="G102" s="118" t="s">
        <v>211</v>
      </c>
      <c r="H102" s="118">
        <v>2</v>
      </c>
      <c r="I102" s="118" t="s">
        <v>6055</v>
      </c>
      <c r="J102" s="118" t="s">
        <v>423</v>
      </c>
      <c r="K102" s="118" t="s">
        <v>6997</v>
      </c>
      <c r="L102" s="118">
        <v>0.60799999999999998</v>
      </c>
      <c r="M102" s="118">
        <v>0.60799999999999998</v>
      </c>
      <c r="N102" s="118" t="s">
        <v>7469</v>
      </c>
      <c r="O102" s="118" t="s">
        <v>7477</v>
      </c>
      <c r="P102" s="118">
        <v>41.647339000000002</v>
      </c>
      <c r="Q102" s="118">
        <v>-83.522180000000006</v>
      </c>
      <c r="R102" s="118">
        <v>77000</v>
      </c>
      <c r="S102" s="118" t="s">
        <v>6988</v>
      </c>
      <c r="T102" s="118">
        <v>1</v>
      </c>
      <c r="U102" s="118">
        <v>0</v>
      </c>
      <c r="V102" s="118">
        <v>0</v>
      </c>
      <c r="W102" s="118">
        <v>0</v>
      </c>
      <c r="X102" s="118">
        <v>0</v>
      </c>
      <c r="Y102" s="118">
        <v>2</v>
      </c>
      <c r="Z102" s="118">
        <v>0</v>
      </c>
      <c r="AA102" s="118">
        <v>2</v>
      </c>
      <c r="AB102" s="118" t="s">
        <v>1067</v>
      </c>
      <c r="AC102" s="118" t="s">
        <v>6989</v>
      </c>
      <c r="AD102" s="118" t="s">
        <v>1034</v>
      </c>
      <c r="AE102" s="118" t="s">
        <v>943</v>
      </c>
      <c r="AF102" s="118" t="s">
        <v>1042</v>
      </c>
      <c r="AG102" s="118" t="s">
        <v>6415</v>
      </c>
      <c r="AH102" s="118" t="s">
        <v>393</v>
      </c>
      <c r="AI102" s="118">
        <v>2</v>
      </c>
      <c r="AJ102" s="118" t="s">
        <v>6415</v>
      </c>
      <c r="AK102" s="118" t="s">
        <v>393</v>
      </c>
      <c r="AL102" s="118" t="s">
        <v>393</v>
      </c>
      <c r="AM102" s="118" t="s">
        <v>393</v>
      </c>
      <c r="AN102" s="402" t="s">
        <v>5975</v>
      </c>
      <c r="AO102" s="402">
        <v>44571</v>
      </c>
      <c r="AP102" s="118">
        <v>1</v>
      </c>
      <c r="AQ102" s="118">
        <v>5</v>
      </c>
      <c r="AR102" s="118" t="s">
        <v>6444</v>
      </c>
      <c r="AS102" s="118" t="s">
        <v>392</v>
      </c>
      <c r="AT102" s="118" t="s">
        <v>500</v>
      </c>
      <c r="AU102" s="118" t="s">
        <v>505</v>
      </c>
      <c r="AV102" s="118" t="s">
        <v>508</v>
      </c>
      <c r="AW102" s="118" t="s">
        <v>393</v>
      </c>
      <c r="AX102" s="118" t="s">
        <v>740</v>
      </c>
      <c r="AY102" s="118" t="s">
        <v>393</v>
      </c>
      <c r="AZ102" s="118" t="s">
        <v>393</v>
      </c>
      <c r="BA102" s="118" t="s">
        <v>393</v>
      </c>
      <c r="BB102" s="118" t="s">
        <v>393</v>
      </c>
      <c r="BC102" s="118" t="s">
        <v>393</v>
      </c>
      <c r="BD102" s="118" t="s">
        <v>393</v>
      </c>
      <c r="BE102" s="118" t="s">
        <v>740</v>
      </c>
      <c r="BF102" s="118" t="s">
        <v>740</v>
      </c>
      <c r="BG102" s="118" t="s">
        <v>393</v>
      </c>
      <c r="BH102" s="118" t="s">
        <v>394</v>
      </c>
      <c r="BI102" s="118" t="s">
        <v>394</v>
      </c>
      <c r="BJ102" s="118" t="s">
        <v>393</v>
      </c>
      <c r="BK102" s="118" t="s">
        <v>6988</v>
      </c>
      <c r="BL102" s="118" t="s">
        <v>6415</v>
      </c>
      <c r="BM102" s="118" t="s">
        <v>6992</v>
      </c>
      <c r="BN102" s="118" t="s">
        <v>6991</v>
      </c>
      <c r="BO102" s="118" t="s">
        <v>6415</v>
      </c>
      <c r="BP102" s="118" t="s">
        <v>6415</v>
      </c>
      <c r="BQ102" s="118" t="s">
        <v>6415</v>
      </c>
      <c r="BR102" s="118" t="s">
        <v>6415</v>
      </c>
      <c r="BS102" s="118" t="s">
        <v>6415</v>
      </c>
      <c r="BT102" s="118" t="s">
        <v>7000</v>
      </c>
      <c r="BU102" s="118" t="s">
        <v>6991</v>
      </c>
      <c r="BV102" s="118" t="s">
        <v>6415</v>
      </c>
      <c r="BW102" s="118" t="s">
        <v>6415</v>
      </c>
      <c r="BX102" s="118" t="s">
        <v>6415</v>
      </c>
      <c r="BY102" s="118" t="s">
        <v>6415</v>
      </c>
      <c r="BZ102" s="118" t="s">
        <v>6415</v>
      </c>
      <c r="CA102" s="118" t="s">
        <v>6415</v>
      </c>
      <c r="CB102" s="118" t="s">
        <v>221</v>
      </c>
      <c r="CC102" s="118" t="s">
        <v>740</v>
      </c>
      <c r="CD102" s="118">
        <v>2</v>
      </c>
      <c r="CE102" s="118" t="s">
        <v>396</v>
      </c>
      <c r="CF102" s="118" t="s">
        <v>397</v>
      </c>
      <c r="CG102" s="118" t="s">
        <v>924</v>
      </c>
      <c r="CH102" s="118" t="s">
        <v>6301</v>
      </c>
      <c r="CI102" s="118" t="s">
        <v>417</v>
      </c>
      <c r="CJ102" s="118" t="s">
        <v>398</v>
      </c>
      <c r="CK102" s="14">
        <v>35</v>
      </c>
      <c r="CL102" s="118">
        <v>35</v>
      </c>
      <c r="CM102" s="118" t="s">
        <v>399</v>
      </c>
      <c r="CN102" s="118" t="s">
        <v>440</v>
      </c>
      <c r="CO102" s="118" t="s">
        <v>1096</v>
      </c>
      <c r="CP102" s="118" t="s">
        <v>400</v>
      </c>
      <c r="CQ102" s="118" t="s">
        <v>6415</v>
      </c>
      <c r="CR102" s="118" t="s">
        <v>6415</v>
      </c>
      <c r="CS102" s="118" t="s">
        <v>6415</v>
      </c>
      <c r="CT102" s="118" t="s">
        <v>6415</v>
      </c>
      <c r="CU102" s="118" t="s">
        <v>6415</v>
      </c>
      <c r="CV102" s="118" t="s">
        <v>6415</v>
      </c>
      <c r="CW102" s="14">
        <v>19</v>
      </c>
      <c r="CX102" s="118" t="s">
        <v>1068</v>
      </c>
      <c r="CY102" s="118" t="s">
        <v>6341</v>
      </c>
      <c r="CZ102" s="118">
        <v>1</v>
      </c>
      <c r="DA102" s="118" t="s">
        <v>445</v>
      </c>
      <c r="DB102" s="118" t="s">
        <v>446</v>
      </c>
      <c r="DC102" s="118" t="s">
        <v>6415</v>
      </c>
      <c r="DD102" s="118" t="s">
        <v>6301</v>
      </c>
      <c r="DE102" s="118" t="s">
        <v>6303</v>
      </c>
      <c r="DF102" s="118" t="s">
        <v>398</v>
      </c>
      <c r="DG102" s="14">
        <v>35</v>
      </c>
      <c r="DH102" s="118">
        <v>35</v>
      </c>
      <c r="DI102" s="118" t="s">
        <v>399</v>
      </c>
      <c r="DJ102" s="118" t="s">
        <v>398</v>
      </c>
      <c r="DK102" s="118" t="s">
        <v>400</v>
      </c>
      <c r="DL102" s="118" t="s">
        <v>418</v>
      </c>
      <c r="DM102" s="118" t="s">
        <v>542</v>
      </c>
      <c r="DN102" s="118" t="s">
        <v>6415</v>
      </c>
      <c r="DO102" s="118" t="s">
        <v>6415</v>
      </c>
      <c r="DP102" s="118" t="s">
        <v>6415</v>
      </c>
      <c r="DQ102" s="118" t="s">
        <v>6415</v>
      </c>
      <c r="DR102" s="118">
        <v>68</v>
      </c>
      <c r="DS102" s="118" t="s">
        <v>1068</v>
      </c>
      <c r="DT102" s="118" t="s">
        <v>6341</v>
      </c>
      <c r="DU102" s="118" t="s">
        <v>6415</v>
      </c>
      <c r="DV102" s="118" t="s">
        <v>6415</v>
      </c>
      <c r="DW102" s="118" t="s">
        <v>6415</v>
      </c>
      <c r="DX102" s="118" t="s">
        <v>6415</v>
      </c>
      <c r="DY102" s="118" t="s">
        <v>6415</v>
      </c>
      <c r="DZ102" s="118" t="s">
        <v>6415</v>
      </c>
      <c r="EA102" s="118" t="s">
        <v>6415</v>
      </c>
      <c r="EB102" s="118" t="s">
        <v>6415</v>
      </c>
      <c r="EC102" s="118" t="s">
        <v>6415</v>
      </c>
      <c r="ED102" s="118" t="s">
        <v>6415</v>
      </c>
      <c r="EE102" s="118" t="s">
        <v>6415</v>
      </c>
      <c r="EF102" s="118" t="s">
        <v>6415</v>
      </c>
      <c r="EG102" s="118" t="s">
        <v>7035</v>
      </c>
      <c r="EH102" s="118" t="s">
        <v>7148</v>
      </c>
      <c r="EI102" s="118" t="s">
        <v>6415</v>
      </c>
      <c r="EJ102" s="118" t="s">
        <v>6415</v>
      </c>
      <c r="EK102" s="118" t="s">
        <v>6415</v>
      </c>
      <c r="EL102" s="118" t="s">
        <v>7467</v>
      </c>
      <c r="EM102" s="118" t="s">
        <v>7156</v>
      </c>
      <c r="EN102" s="118" t="s">
        <v>6415</v>
      </c>
      <c r="EO102" s="6" t="str">
        <f t="shared" si="14"/>
        <v>Pathweb</v>
      </c>
      <c r="EP102" s="6" t="str">
        <f t="shared" si="15"/>
        <v>Google Maps</v>
      </c>
      <c r="EQ102" s="6" t="str">
        <f t="shared" si="16"/>
        <v>Mashed Map</v>
      </c>
      <c r="ER102" s="118" t="s">
        <v>6727</v>
      </c>
      <c r="ES102" s="118" t="s">
        <v>71</v>
      </c>
      <c r="ET102" s="4">
        <v>1E-3</v>
      </c>
      <c r="EU102" s="4"/>
      <c r="EV102" s="4"/>
    </row>
    <row r="103" spans="1:152" x14ac:dyDescent="0.15">
      <c r="A103" s="581" t="str">
        <f t="shared" si="13"/>
        <v>Crash Report</v>
      </c>
      <c r="B103" s="118">
        <v>20223004317</v>
      </c>
      <c r="C103" s="118">
        <v>2022</v>
      </c>
      <c r="D103" s="118">
        <v>22011128301532</v>
      </c>
      <c r="F103" s="118" t="s">
        <v>6442</v>
      </c>
      <c r="G103" s="118" t="s">
        <v>212</v>
      </c>
      <c r="H103" s="118">
        <v>2</v>
      </c>
      <c r="I103" s="118" t="s">
        <v>6055</v>
      </c>
      <c r="J103" s="118" t="s">
        <v>423</v>
      </c>
      <c r="K103" s="118" t="s">
        <v>6997</v>
      </c>
      <c r="L103" s="118">
        <v>0.125</v>
      </c>
      <c r="M103" s="118">
        <v>0.125</v>
      </c>
      <c r="N103" s="118" t="s">
        <v>7469</v>
      </c>
      <c r="O103" s="118" t="s">
        <v>7466</v>
      </c>
      <c r="P103" s="118">
        <v>41.641804</v>
      </c>
      <c r="Q103" s="118">
        <v>-83.518221999999994</v>
      </c>
      <c r="R103" s="118">
        <v>77000</v>
      </c>
      <c r="S103" s="118" t="s">
        <v>6988</v>
      </c>
      <c r="T103" s="118">
        <v>1</v>
      </c>
      <c r="U103" s="118">
        <v>0</v>
      </c>
      <c r="V103" s="118">
        <v>0</v>
      </c>
      <c r="W103" s="118">
        <v>0</v>
      </c>
      <c r="X103" s="118">
        <v>0</v>
      </c>
      <c r="Y103" s="118">
        <v>2</v>
      </c>
      <c r="Z103" s="118">
        <v>0</v>
      </c>
      <c r="AA103" s="118">
        <v>2</v>
      </c>
      <c r="AB103" s="118" t="s">
        <v>1067</v>
      </c>
      <c r="AC103" s="118" t="s">
        <v>6989</v>
      </c>
      <c r="AD103" s="118" t="s">
        <v>1034</v>
      </c>
      <c r="AE103" s="118" t="s">
        <v>943</v>
      </c>
      <c r="AF103" s="118" t="s">
        <v>1045</v>
      </c>
      <c r="AG103" s="118" t="s">
        <v>6415</v>
      </c>
      <c r="AH103" s="118" t="s">
        <v>393</v>
      </c>
      <c r="AI103" s="118">
        <v>4</v>
      </c>
      <c r="AJ103" s="118" t="s">
        <v>6415</v>
      </c>
      <c r="AK103" s="118" t="s">
        <v>393</v>
      </c>
      <c r="AL103" s="118" t="s">
        <v>393</v>
      </c>
      <c r="AM103" s="118" t="s">
        <v>393</v>
      </c>
      <c r="AN103" s="402" t="s">
        <v>5975</v>
      </c>
      <c r="AO103" s="402">
        <v>44572</v>
      </c>
      <c r="AP103" s="118">
        <v>1</v>
      </c>
      <c r="AQ103" s="118">
        <v>15</v>
      </c>
      <c r="AR103" s="118" t="s">
        <v>6445</v>
      </c>
      <c r="AS103" s="118" t="s">
        <v>392</v>
      </c>
      <c r="AT103" s="118" t="s">
        <v>500</v>
      </c>
      <c r="AU103" s="118" t="s">
        <v>404</v>
      </c>
      <c r="AV103" s="118" t="s">
        <v>508</v>
      </c>
      <c r="AW103" s="118" t="s">
        <v>393</v>
      </c>
      <c r="AX103" s="118" t="s">
        <v>740</v>
      </c>
      <c r="AY103" s="118" t="s">
        <v>393</v>
      </c>
      <c r="AZ103" s="118" t="s">
        <v>393</v>
      </c>
      <c r="BA103" s="118" t="s">
        <v>393</v>
      </c>
      <c r="BB103" s="118" t="s">
        <v>393</v>
      </c>
      <c r="BC103" s="118" t="s">
        <v>393</v>
      </c>
      <c r="BD103" s="118" t="s">
        <v>393</v>
      </c>
      <c r="BE103" s="118" t="s">
        <v>393</v>
      </c>
      <c r="BF103" s="118" t="s">
        <v>393</v>
      </c>
      <c r="BG103" s="118" t="s">
        <v>393</v>
      </c>
      <c r="BH103" s="118" t="s">
        <v>394</v>
      </c>
      <c r="BI103" s="118" t="s">
        <v>394</v>
      </c>
      <c r="BJ103" s="118" t="s">
        <v>393</v>
      </c>
      <c r="BK103" s="118" t="s">
        <v>6988</v>
      </c>
      <c r="BL103" s="118" t="s">
        <v>6415</v>
      </c>
      <c r="BM103" s="118" t="s">
        <v>2930</v>
      </c>
      <c r="BN103" s="118" t="s">
        <v>7017</v>
      </c>
      <c r="BO103" s="118" t="s">
        <v>6415</v>
      </c>
      <c r="BP103" s="118" t="s">
        <v>6415</v>
      </c>
      <c r="BQ103" s="118" t="s">
        <v>6415</v>
      </c>
      <c r="BR103" s="118" t="s">
        <v>6415</v>
      </c>
      <c r="BS103" s="118" t="s">
        <v>6415</v>
      </c>
      <c r="BT103" s="118" t="s">
        <v>6992</v>
      </c>
      <c r="BU103" s="118" t="s">
        <v>6991</v>
      </c>
      <c r="BV103" s="118" t="s">
        <v>6415</v>
      </c>
      <c r="BW103" s="118" t="s">
        <v>6415</v>
      </c>
      <c r="BX103" s="118" t="s">
        <v>6415</v>
      </c>
      <c r="BY103" s="118" t="s">
        <v>6415</v>
      </c>
      <c r="BZ103" s="118" t="s">
        <v>6415</v>
      </c>
      <c r="CA103" s="118" t="s">
        <v>6415</v>
      </c>
      <c r="CB103" s="118" t="s">
        <v>221</v>
      </c>
      <c r="CC103" s="118" t="s">
        <v>740</v>
      </c>
      <c r="CD103" s="118">
        <v>2</v>
      </c>
      <c r="CE103" s="118" t="s">
        <v>411</v>
      </c>
      <c r="CF103" s="118" t="s">
        <v>410</v>
      </c>
      <c r="CG103" s="118" t="s">
        <v>924</v>
      </c>
      <c r="CH103" s="118" t="s">
        <v>6302</v>
      </c>
      <c r="CI103" s="118" t="s">
        <v>417</v>
      </c>
      <c r="CJ103" s="118" t="s">
        <v>398</v>
      </c>
      <c r="CK103" s="14">
        <v>0</v>
      </c>
      <c r="CL103" s="118">
        <v>25</v>
      </c>
      <c r="CM103" s="118" t="s">
        <v>212</v>
      </c>
      <c r="CN103" s="118" t="s">
        <v>6327</v>
      </c>
      <c r="CO103" s="118" t="s">
        <v>1096</v>
      </c>
      <c r="CP103" s="118" t="s">
        <v>400</v>
      </c>
      <c r="CQ103" s="118" t="s">
        <v>6415</v>
      </c>
      <c r="CR103" s="118" t="s">
        <v>6415</v>
      </c>
      <c r="CS103" s="118" t="s">
        <v>6415</v>
      </c>
      <c r="CT103" s="118" t="s">
        <v>6415</v>
      </c>
      <c r="CU103" s="118" t="s">
        <v>6415</v>
      </c>
      <c r="CV103" s="118" t="s">
        <v>6415</v>
      </c>
      <c r="CW103" s="14">
        <v>0</v>
      </c>
      <c r="CX103" s="118" t="s">
        <v>401</v>
      </c>
      <c r="CY103" s="118" t="s">
        <v>6151</v>
      </c>
      <c r="CZ103" s="118">
        <v>1</v>
      </c>
      <c r="DA103" s="118" t="s">
        <v>405</v>
      </c>
      <c r="DB103" s="118" t="s">
        <v>406</v>
      </c>
      <c r="DC103" s="118" t="s">
        <v>6415</v>
      </c>
      <c r="DD103" s="118" t="s">
        <v>433</v>
      </c>
      <c r="DE103" s="118" t="s">
        <v>6305</v>
      </c>
      <c r="DF103" s="118" t="s">
        <v>398</v>
      </c>
      <c r="DG103" s="14">
        <v>5</v>
      </c>
      <c r="DH103" s="118">
        <v>25</v>
      </c>
      <c r="DI103" s="118" t="s">
        <v>399</v>
      </c>
      <c r="DJ103" s="118" t="s">
        <v>398</v>
      </c>
      <c r="DK103" s="118" t="s">
        <v>400</v>
      </c>
      <c r="DL103" s="118" t="s">
        <v>6415</v>
      </c>
      <c r="DM103" s="118" t="s">
        <v>6415</v>
      </c>
      <c r="DN103" s="118" t="s">
        <v>6415</v>
      </c>
      <c r="DO103" s="118" t="s">
        <v>6415</v>
      </c>
      <c r="DP103" s="118" t="s">
        <v>6415</v>
      </c>
      <c r="DQ103" s="118" t="s">
        <v>6415</v>
      </c>
      <c r="DR103" s="118">
        <v>37</v>
      </c>
      <c r="DS103" s="118" t="s">
        <v>1068</v>
      </c>
      <c r="DT103" s="118" t="s">
        <v>6341</v>
      </c>
      <c r="DU103" s="118" t="s">
        <v>6415</v>
      </c>
      <c r="DV103" s="118" t="s">
        <v>6415</v>
      </c>
      <c r="DW103" s="118" t="s">
        <v>6415</v>
      </c>
      <c r="DX103" s="118" t="s">
        <v>6415</v>
      </c>
      <c r="DY103" s="118" t="s">
        <v>6415</v>
      </c>
      <c r="DZ103" s="118" t="s">
        <v>6415</v>
      </c>
      <c r="EA103" s="118" t="s">
        <v>6415</v>
      </c>
      <c r="EB103" s="118" t="s">
        <v>6415</v>
      </c>
      <c r="EC103" s="118" t="s">
        <v>6415</v>
      </c>
      <c r="ED103" s="118" t="s">
        <v>6415</v>
      </c>
      <c r="EE103" s="118" t="s">
        <v>6415</v>
      </c>
      <c r="EF103" s="118" t="s">
        <v>6415</v>
      </c>
      <c r="EG103" s="118" t="s">
        <v>7062</v>
      </c>
      <c r="EH103" s="118" t="s">
        <v>7158</v>
      </c>
      <c r="EI103" s="118" t="s">
        <v>6415</v>
      </c>
      <c r="EJ103" s="118" t="s">
        <v>6415</v>
      </c>
      <c r="EK103" s="118" t="s">
        <v>6415</v>
      </c>
      <c r="EL103" s="118" t="s">
        <v>7467</v>
      </c>
      <c r="EM103" s="118" t="s">
        <v>7157</v>
      </c>
      <c r="EN103" s="118" t="s">
        <v>6415</v>
      </c>
      <c r="EO103" s="6" t="str">
        <f t="shared" si="14"/>
        <v>Pathweb</v>
      </c>
      <c r="EP103" s="6" t="str">
        <f t="shared" si="15"/>
        <v>Google Maps</v>
      </c>
      <c r="EQ103" s="6" t="str">
        <f t="shared" si="16"/>
        <v>Mashed Map</v>
      </c>
      <c r="ER103" s="118" t="s">
        <v>6727</v>
      </c>
      <c r="ES103" s="118" t="s">
        <v>71</v>
      </c>
      <c r="ET103" s="4">
        <v>0</v>
      </c>
      <c r="EU103" s="4"/>
      <c r="EV103" s="4"/>
    </row>
    <row r="104" spans="1:152" x14ac:dyDescent="0.15">
      <c r="A104" s="581" t="str">
        <f t="shared" si="13"/>
        <v>Crash Report</v>
      </c>
      <c r="B104" s="118">
        <v>20223024485</v>
      </c>
      <c r="C104" s="118">
        <v>2022</v>
      </c>
      <c r="D104" s="118">
        <v>22021224051147</v>
      </c>
      <c r="F104" s="118" t="s">
        <v>6442</v>
      </c>
      <c r="G104" s="118" t="s">
        <v>402</v>
      </c>
      <c r="H104" s="118">
        <v>2</v>
      </c>
      <c r="I104" s="118" t="s">
        <v>6055</v>
      </c>
      <c r="J104" s="118" t="s">
        <v>391</v>
      </c>
      <c r="K104" s="118" t="s">
        <v>6985</v>
      </c>
      <c r="L104" s="118">
        <v>0.45100000000000001</v>
      </c>
      <c r="M104" s="118">
        <v>0.45100000000000001</v>
      </c>
      <c r="N104" s="118" t="s">
        <v>7465</v>
      </c>
      <c r="O104" s="118" t="s">
        <v>7490</v>
      </c>
      <c r="P104" s="118">
        <v>41.651237000000002</v>
      </c>
      <c r="Q104" s="118">
        <v>-83.518979000000002</v>
      </c>
      <c r="R104" s="118">
        <v>77000</v>
      </c>
      <c r="S104" s="118" t="s">
        <v>6988</v>
      </c>
      <c r="T104" s="118">
        <v>1</v>
      </c>
      <c r="U104" s="118">
        <v>0</v>
      </c>
      <c r="V104" s="118">
        <v>0</v>
      </c>
      <c r="W104" s="118">
        <v>0</v>
      </c>
      <c r="X104" s="118">
        <v>0</v>
      </c>
      <c r="Y104" s="118">
        <v>4</v>
      </c>
      <c r="Z104" s="118">
        <v>0</v>
      </c>
      <c r="AA104" s="118">
        <v>2</v>
      </c>
      <c r="AB104" s="118" t="s">
        <v>1067</v>
      </c>
      <c r="AC104" s="118" t="s">
        <v>6989</v>
      </c>
      <c r="AD104" s="118" t="s">
        <v>1034</v>
      </c>
      <c r="AE104" s="118" t="s">
        <v>943</v>
      </c>
      <c r="AF104" s="118" t="s">
        <v>1041</v>
      </c>
      <c r="AG104" s="118" t="s">
        <v>6415</v>
      </c>
      <c r="AH104" s="118" t="s">
        <v>393</v>
      </c>
      <c r="AI104" s="118">
        <v>4</v>
      </c>
      <c r="AJ104" s="118" t="s">
        <v>6415</v>
      </c>
      <c r="AK104" s="118" t="s">
        <v>393</v>
      </c>
      <c r="AL104" s="118" t="s">
        <v>393</v>
      </c>
      <c r="AM104" s="118" t="s">
        <v>393</v>
      </c>
      <c r="AN104" s="402" t="s">
        <v>5975</v>
      </c>
      <c r="AO104" s="402">
        <v>44604</v>
      </c>
      <c r="AP104" s="118">
        <v>2</v>
      </c>
      <c r="AQ104" s="118">
        <v>11</v>
      </c>
      <c r="AR104" s="118" t="s">
        <v>6449</v>
      </c>
      <c r="AS104" s="118" t="s">
        <v>403</v>
      </c>
      <c r="AT104" s="118" t="s">
        <v>500</v>
      </c>
      <c r="AU104" s="118" t="s">
        <v>404</v>
      </c>
      <c r="AV104" s="118" t="s">
        <v>508</v>
      </c>
      <c r="AW104" s="118" t="s">
        <v>393</v>
      </c>
      <c r="AX104" s="118" t="s">
        <v>393</v>
      </c>
      <c r="AY104" s="118" t="s">
        <v>393</v>
      </c>
      <c r="AZ104" s="118" t="s">
        <v>393</v>
      </c>
      <c r="BA104" s="118" t="s">
        <v>393</v>
      </c>
      <c r="BB104" s="118" t="s">
        <v>393</v>
      </c>
      <c r="BC104" s="118" t="s">
        <v>393</v>
      </c>
      <c r="BD104" s="118" t="s">
        <v>393</v>
      </c>
      <c r="BE104" s="118" t="s">
        <v>393</v>
      </c>
      <c r="BF104" s="118" t="s">
        <v>393</v>
      </c>
      <c r="BG104" s="118" t="s">
        <v>393</v>
      </c>
      <c r="BH104" s="118" t="s">
        <v>394</v>
      </c>
      <c r="BI104" s="118" t="s">
        <v>394</v>
      </c>
      <c r="BJ104" s="118" t="s">
        <v>393</v>
      </c>
      <c r="BK104" s="118" t="s">
        <v>6988</v>
      </c>
      <c r="BL104" s="118" t="s">
        <v>6415</v>
      </c>
      <c r="BM104" s="118" t="s">
        <v>6990</v>
      </c>
      <c r="BN104" s="118" t="s">
        <v>6991</v>
      </c>
      <c r="BO104" s="118" t="s">
        <v>6415</v>
      </c>
      <c r="BP104" s="118" t="s">
        <v>6415</v>
      </c>
      <c r="BQ104" s="118" t="s">
        <v>6415</v>
      </c>
      <c r="BR104" s="118" t="s">
        <v>6415</v>
      </c>
      <c r="BS104" s="118" t="s">
        <v>6415</v>
      </c>
      <c r="BT104" s="118" t="s">
        <v>2579</v>
      </c>
      <c r="BU104" s="118" t="s">
        <v>6991</v>
      </c>
      <c r="BV104" s="118" t="s">
        <v>6415</v>
      </c>
      <c r="BW104" s="118" t="s">
        <v>6415</v>
      </c>
      <c r="BX104" s="118" t="s">
        <v>6415</v>
      </c>
      <c r="BY104" s="118" t="s">
        <v>6415</v>
      </c>
      <c r="BZ104" s="118" t="s">
        <v>6415</v>
      </c>
      <c r="CA104" s="118" t="s">
        <v>6415</v>
      </c>
      <c r="CB104" s="118" t="s">
        <v>221</v>
      </c>
      <c r="CC104" s="118" t="s">
        <v>740</v>
      </c>
      <c r="CD104" s="118">
        <v>1</v>
      </c>
      <c r="CE104" s="118" t="s">
        <v>406</v>
      </c>
      <c r="CF104" s="118" t="s">
        <v>405</v>
      </c>
      <c r="CG104" s="118" t="s">
        <v>924</v>
      </c>
      <c r="CH104" s="118" t="s">
        <v>6302</v>
      </c>
      <c r="CI104" s="118" t="s">
        <v>417</v>
      </c>
      <c r="CJ104" s="118" t="s">
        <v>398</v>
      </c>
      <c r="CK104" s="118">
        <v>40</v>
      </c>
      <c r="CL104" s="118">
        <v>40</v>
      </c>
      <c r="CM104" s="118" t="s">
        <v>399</v>
      </c>
      <c r="CN104" s="118" t="s">
        <v>6334</v>
      </c>
      <c r="CO104" s="118" t="s">
        <v>1096</v>
      </c>
      <c r="CP104" s="118" t="s">
        <v>400</v>
      </c>
      <c r="CQ104" s="118" t="s">
        <v>6415</v>
      </c>
      <c r="CR104" s="118" t="s">
        <v>6415</v>
      </c>
      <c r="CS104" s="118" t="s">
        <v>6415</v>
      </c>
      <c r="CT104" s="118" t="s">
        <v>6415</v>
      </c>
      <c r="CU104" s="118" t="s">
        <v>6415</v>
      </c>
      <c r="CV104" s="118" t="s">
        <v>6415</v>
      </c>
      <c r="CW104" s="118">
        <v>39</v>
      </c>
      <c r="CX104" s="118" t="s">
        <v>1068</v>
      </c>
      <c r="CY104" s="118" t="s">
        <v>6341</v>
      </c>
      <c r="CZ104" s="118">
        <v>2</v>
      </c>
      <c r="DA104" s="118" t="s">
        <v>406</v>
      </c>
      <c r="DB104" s="118" t="s">
        <v>405</v>
      </c>
      <c r="DC104" s="118" t="s">
        <v>6415</v>
      </c>
      <c r="DD104" s="118" t="s">
        <v>6302</v>
      </c>
      <c r="DE104" s="118" t="s">
        <v>6305</v>
      </c>
      <c r="DF104" s="118" t="s">
        <v>398</v>
      </c>
      <c r="DG104" s="118">
        <v>40</v>
      </c>
      <c r="DH104" s="118">
        <v>40</v>
      </c>
      <c r="DI104" s="118" t="s">
        <v>399</v>
      </c>
      <c r="DJ104" s="118" t="s">
        <v>398</v>
      </c>
      <c r="DK104" s="118" t="s">
        <v>400</v>
      </c>
      <c r="DL104" s="118" t="s">
        <v>6415</v>
      </c>
      <c r="DM104" s="118" t="s">
        <v>6415</v>
      </c>
      <c r="DN104" s="118" t="s">
        <v>6415</v>
      </c>
      <c r="DO104" s="118" t="s">
        <v>6415</v>
      </c>
      <c r="DP104" s="118" t="s">
        <v>6415</v>
      </c>
      <c r="DQ104" s="118" t="s">
        <v>6415</v>
      </c>
      <c r="DR104" s="118">
        <v>41</v>
      </c>
      <c r="DS104" s="118" t="s">
        <v>1068</v>
      </c>
      <c r="DT104" s="118" t="s">
        <v>6341</v>
      </c>
      <c r="DU104" s="118" t="s">
        <v>6415</v>
      </c>
      <c r="DV104" s="118" t="s">
        <v>6415</v>
      </c>
      <c r="DW104" s="118" t="s">
        <v>6415</v>
      </c>
      <c r="DX104" s="118" t="s">
        <v>6415</v>
      </c>
      <c r="DY104" s="118" t="s">
        <v>6415</v>
      </c>
      <c r="DZ104" s="118" t="s">
        <v>6415</v>
      </c>
      <c r="EA104" s="118" t="s">
        <v>6415</v>
      </c>
      <c r="EB104" s="118" t="s">
        <v>6415</v>
      </c>
      <c r="EC104" s="118" t="s">
        <v>6415</v>
      </c>
      <c r="ED104" s="118" t="s">
        <v>6415</v>
      </c>
      <c r="EE104" s="118" t="s">
        <v>6415</v>
      </c>
      <c r="EF104" s="118" t="s">
        <v>6415</v>
      </c>
      <c r="EG104" s="118" t="s">
        <v>7160</v>
      </c>
      <c r="EH104" s="118" t="s">
        <v>7161</v>
      </c>
      <c r="EI104" s="118" t="s">
        <v>6415</v>
      </c>
      <c r="EJ104" s="118" t="s">
        <v>6415</v>
      </c>
      <c r="EK104" s="118" t="s">
        <v>6415</v>
      </c>
      <c r="EL104" s="118" t="s">
        <v>7467</v>
      </c>
      <c r="EM104" s="118" t="s">
        <v>7159</v>
      </c>
      <c r="EN104" s="118" t="s">
        <v>6415</v>
      </c>
      <c r="EO104" s="6" t="str">
        <f t="shared" si="14"/>
        <v>Pathweb</v>
      </c>
      <c r="EP104" s="6" t="str">
        <f t="shared" si="15"/>
        <v>Google Maps</v>
      </c>
      <c r="EQ104" s="6" t="str">
        <f t="shared" si="16"/>
        <v>Mashed Map</v>
      </c>
      <c r="ER104" s="118" t="s">
        <v>6727</v>
      </c>
      <c r="ES104" s="118" t="s">
        <v>71</v>
      </c>
      <c r="ET104" s="4">
        <v>0</v>
      </c>
      <c r="EU104" s="4"/>
      <c r="EV104" s="4"/>
    </row>
    <row r="105" spans="1:152" x14ac:dyDescent="0.15">
      <c r="A105" s="581" t="str">
        <f t="shared" si="13"/>
        <v>Crash Report</v>
      </c>
      <c r="B105" s="14">
        <v>20223028793</v>
      </c>
      <c r="C105" s="118">
        <v>2022</v>
      </c>
      <c r="D105" s="14">
        <v>22021923291304</v>
      </c>
      <c r="F105" s="118" t="s">
        <v>6442</v>
      </c>
      <c r="G105" s="118" t="s">
        <v>211</v>
      </c>
      <c r="H105" s="118">
        <v>2</v>
      </c>
      <c r="I105" s="118" t="s">
        <v>6055</v>
      </c>
      <c r="J105" s="118" t="s">
        <v>434</v>
      </c>
      <c r="K105" s="118" t="s">
        <v>6997</v>
      </c>
      <c r="L105" s="118">
        <v>0.125</v>
      </c>
      <c r="M105" s="118">
        <v>0.125</v>
      </c>
      <c r="N105" s="118" t="s">
        <v>7469</v>
      </c>
      <c r="O105" s="118" t="s">
        <v>7480</v>
      </c>
      <c r="P105" s="118">
        <v>41.641804</v>
      </c>
      <c r="Q105" s="118">
        <v>-83.518221999999994</v>
      </c>
      <c r="R105" s="118">
        <v>77000</v>
      </c>
      <c r="S105" s="118" t="s">
        <v>6988</v>
      </c>
      <c r="T105" s="118">
        <v>1</v>
      </c>
      <c r="U105" s="118">
        <v>0</v>
      </c>
      <c r="V105" s="118">
        <v>0</v>
      </c>
      <c r="W105" s="118">
        <v>0</v>
      </c>
      <c r="X105" s="118">
        <v>0</v>
      </c>
      <c r="Y105" s="118">
        <v>2</v>
      </c>
      <c r="Z105" s="118">
        <v>0</v>
      </c>
      <c r="AA105" s="118">
        <v>2</v>
      </c>
      <c r="AB105" s="118" t="s">
        <v>1067</v>
      </c>
      <c r="AC105" s="118" t="s">
        <v>6989</v>
      </c>
      <c r="AD105" s="118" t="s">
        <v>1034</v>
      </c>
      <c r="AE105" s="118" t="s">
        <v>943</v>
      </c>
      <c r="AF105" s="118" t="s">
        <v>1045</v>
      </c>
      <c r="AG105" s="118" t="s">
        <v>6415</v>
      </c>
      <c r="AH105" s="118" t="s">
        <v>393</v>
      </c>
      <c r="AI105" s="118">
        <v>4</v>
      </c>
      <c r="AJ105" s="118" t="s">
        <v>6415</v>
      </c>
      <c r="AK105" s="118" t="s">
        <v>393</v>
      </c>
      <c r="AL105" s="118" t="s">
        <v>393</v>
      </c>
      <c r="AM105" s="118" t="s">
        <v>393</v>
      </c>
      <c r="AN105" s="402" t="s">
        <v>5975</v>
      </c>
      <c r="AO105" s="402">
        <v>44611</v>
      </c>
      <c r="AP105" s="118">
        <v>2</v>
      </c>
      <c r="AQ105" s="118">
        <v>13</v>
      </c>
      <c r="AR105" s="118" t="s">
        <v>6449</v>
      </c>
      <c r="AS105" s="118" t="s">
        <v>392</v>
      </c>
      <c r="AT105" s="118" t="s">
        <v>430</v>
      </c>
      <c r="AU105" s="118" t="s">
        <v>404</v>
      </c>
      <c r="AV105" s="118" t="s">
        <v>508</v>
      </c>
      <c r="AW105" s="118" t="s">
        <v>393</v>
      </c>
      <c r="AX105" s="118" t="s">
        <v>740</v>
      </c>
      <c r="AY105" s="118" t="s">
        <v>393</v>
      </c>
      <c r="AZ105" s="118" t="s">
        <v>393</v>
      </c>
      <c r="BA105" s="118" t="s">
        <v>393</v>
      </c>
      <c r="BB105" s="118" t="s">
        <v>393</v>
      </c>
      <c r="BC105" s="118" t="s">
        <v>393</v>
      </c>
      <c r="BD105" s="118" t="s">
        <v>393</v>
      </c>
      <c r="BE105" s="118" t="s">
        <v>393</v>
      </c>
      <c r="BF105" s="118" t="s">
        <v>393</v>
      </c>
      <c r="BG105" s="118" t="s">
        <v>393</v>
      </c>
      <c r="BH105" s="118" t="s">
        <v>394</v>
      </c>
      <c r="BI105" s="118" t="s">
        <v>394</v>
      </c>
      <c r="BJ105" s="118" t="s">
        <v>393</v>
      </c>
      <c r="BK105" s="118" t="s">
        <v>6988</v>
      </c>
      <c r="BL105" s="118" t="s">
        <v>6415</v>
      </c>
      <c r="BM105" s="118" t="s">
        <v>6992</v>
      </c>
      <c r="BN105" s="118" t="s">
        <v>6991</v>
      </c>
      <c r="BO105" s="118" t="s">
        <v>6415</v>
      </c>
      <c r="BP105" s="118" t="s">
        <v>6415</v>
      </c>
      <c r="BQ105" s="118" t="s">
        <v>6415</v>
      </c>
      <c r="BR105" s="118" t="s">
        <v>6415</v>
      </c>
      <c r="BS105" s="118" t="s">
        <v>6415</v>
      </c>
      <c r="BT105" s="118" t="s">
        <v>2930</v>
      </c>
      <c r="BU105" s="118" t="s">
        <v>7017</v>
      </c>
      <c r="BV105" s="118" t="s">
        <v>6415</v>
      </c>
      <c r="BW105" s="118" t="s">
        <v>6415</v>
      </c>
      <c r="BX105" s="118" t="s">
        <v>6415</v>
      </c>
      <c r="BY105" s="118" t="s">
        <v>6415</v>
      </c>
      <c r="BZ105" s="118" t="s">
        <v>6415</v>
      </c>
      <c r="CA105" s="118" t="s">
        <v>6415</v>
      </c>
      <c r="CB105" s="118" t="s">
        <v>221</v>
      </c>
      <c r="CC105" s="118" t="s">
        <v>740</v>
      </c>
      <c r="CD105" s="118">
        <v>2</v>
      </c>
      <c r="CE105" s="118" t="s">
        <v>406</v>
      </c>
      <c r="CF105" s="118" t="s">
        <v>405</v>
      </c>
      <c r="CG105" s="118" t="s">
        <v>924</v>
      </c>
      <c r="CH105" s="118" t="s">
        <v>433</v>
      </c>
      <c r="CI105" s="118" t="s">
        <v>417</v>
      </c>
      <c r="CJ105" s="118" t="s">
        <v>398</v>
      </c>
      <c r="CK105" s="14">
        <v>0</v>
      </c>
      <c r="CL105" s="118">
        <v>25</v>
      </c>
      <c r="CM105" s="118" t="s">
        <v>399</v>
      </c>
      <c r="CN105" s="118" t="s">
        <v>457</v>
      </c>
      <c r="CO105" s="118" t="s">
        <v>1096</v>
      </c>
      <c r="CP105" s="118" t="s">
        <v>400</v>
      </c>
      <c r="CQ105" s="118" t="s">
        <v>6415</v>
      </c>
      <c r="CR105" s="118" t="s">
        <v>6415</v>
      </c>
      <c r="CS105" s="118" t="s">
        <v>6415</v>
      </c>
      <c r="CT105" s="118" t="s">
        <v>6415</v>
      </c>
      <c r="CU105" s="118" t="s">
        <v>6415</v>
      </c>
      <c r="CV105" s="118" t="s">
        <v>6415</v>
      </c>
      <c r="CW105" s="14">
        <v>0</v>
      </c>
      <c r="CX105" s="118" t="s">
        <v>401</v>
      </c>
      <c r="CY105" s="118" t="s">
        <v>6151</v>
      </c>
      <c r="CZ105" s="118">
        <v>1</v>
      </c>
      <c r="DA105" s="118" t="s">
        <v>410</v>
      </c>
      <c r="DB105" s="118" t="s">
        <v>411</v>
      </c>
      <c r="DC105" s="118" t="s">
        <v>6415</v>
      </c>
      <c r="DD105" s="118" t="s">
        <v>6302</v>
      </c>
      <c r="DE105" s="118" t="s">
        <v>6303</v>
      </c>
      <c r="DF105" s="118" t="s">
        <v>398</v>
      </c>
      <c r="DG105" s="14">
        <v>25</v>
      </c>
      <c r="DH105" s="118">
        <v>25</v>
      </c>
      <c r="DI105" s="118" t="s">
        <v>399</v>
      </c>
      <c r="DJ105" s="118" t="s">
        <v>398</v>
      </c>
      <c r="DK105" s="118" t="s">
        <v>400</v>
      </c>
      <c r="DL105" s="118" t="s">
        <v>6415</v>
      </c>
      <c r="DM105" s="118" t="s">
        <v>6415</v>
      </c>
      <c r="DN105" s="118" t="s">
        <v>6415</v>
      </c>
      <c r="DO105" s="118" t="s">
        <v>6415</v>
      </c>
      <c r="DP105" s="118" t="s">
        <v>6415</v>
      </c>
      <c r="DQ105" s="118" t="s">
        <v>6415</v>
      </c>
      <c r="DR105" s="118">
        <v>28</v>
      </c>
      <c r="DS105" s="118" t="s">
        <v>1066</v>
      </c>
      <c r="DT105" s="118" t="s">
        <v>6341</v>
      </c>
      <c r="DU105" s="118" t="s">
        <v>6415</v>
      </c>
      <c r="DV105" s="118" t="s">
        <v>6415</v>
      </c>
      <c r="DW105" s="118" t="s">
        <v>6415</v>
      </c>
      <c r="DX105" s="118" t="s">
        <v>6415</v>
      </c>
      <c r="DY105" s="118" t="s">
        <v>6415</v>
      </c>
      <c r="DZ105" s="118" t="s">
        <v>6415</v>
      </c>
      <c r="EA105" s="118" t="s">
        <v>6415</v>
      </c>
      <c r="EB105" s="118" t="s">
        <v>6415</v>
      </c>
      <c r="EC105" s="118" t="s">
        <v>6415</v>
      </c>
      <c r="ED105" s="118" t="s">
        <v>6415</v>
      </c>
      <c r="EE105" s="118" t="s">
        <v>6415</v>
      </c>
      <c r="EF105" s="118" t="s">
        <v>6415</v>
      </c>
      <c r="EG105" s="118" t="s">
        <v>7062</v>
      </c>
      <c r="EH105" s="118" t="s">
        <v>7158</v>
      </c>
      <c r="EI105" s="118" t="s">
        <v>6415</v>
      </c>
      <c r="EJ105" s="118" t="s">
        <v>6415</v>
      </c>
      <c r="EK105" s="118" t="s">
        <v>6415</v>
      </c>
      <c r="EL105" s="118" t="s">
        <v>7467</v>
      </c>
      <c r="EM105" s="118" t="s">
        <v>7162</v>
      </c>
      <c r="EN105" s="118" t="s">
        <v>6415</v>
      </c>
      <c r="EO105" s="6" t="str">
        <f t="shared" si="14"/>
        <v>Pathweb</v>
      </c>
      <c r="EP105" s="6" t="str">
        <f t="shared" si="15"/>
        <v>Google Maps</v>
      </c>
      <c r="EQ105" s="6" t="str">
        <f t="shared" si="16"/>
        <v>Mashed Map</v>
      </c>
      <c r="ER105" s="118" t="s">
        <v>6727</v>
      </c>
      <c r="ES105" s="118" t="s">
        <v>71</v>
      </c>
      <c r="ET105" s="4">
        <v>0</v>
      </c>
      <c r="EU105" s="4"/>
      <c r="EV105" s="4"/>
    </row>
    <row r="106" spans="1:152" x14ac:dyDescent="0.15">
      <c r="A106" s="581" t="str">
        <f t="shared" si="13"/>
        <v>Crash Report</v>
      </c>
      <c r="B106" s="14">
        <v>20223034168</v>
      </c>
      <c r="C106" s="118">
        <v>2022</v>
      </c>
      <c r="D106" s="14">
        <v>22022828381114</v>
      </c>
      <c r="F106" s="118" t="s">
        <v>6442</v>
      </c>
      <c r="G106" s="118" t="s">
        <v>390</v>
      </c>
      <c r="H106" s="118">
        <v>2</v>
      </c>
      <c r="I106" s="118" t="s">
        <v>6055</v>
      </c>
      <c r="J106" s="118" t="s">
        <v>391</v>
      </c>
      <c r="K106" s="118" t="s">
        <v>6985</v>
      </c>
      <c r="L106" s="118">
        <v>0.746</v>
      </c>
      <c r="M106" s="118">
        <v>0.746</v>
      </c>
      <c r="N106" s="118" t="s">
        <v>7465</v>
      </c>
      <c r="O106" s="118">
        <v>1512</v>
      </c>
      <c r="P106" s="118">
        <v>41.653973000000001</v>
      </c>
      <c r="Q106" s="118">
        <v>-83.514549000000002</v>
      </c>
      <c r="R106" s="118">
        <v>77000</v>
      </c>
      <c r="S106" s="118" t="s">
        <v>6988</v>
      </c>
      <c r="T106" s="118">
        <v>1</v>
      </c>
      <c r="U106" s="118">
        <v>0</v>
      </c>
      <c r="V106" s="118">
        <v>0</v>
      </c>
      <c r="W106" s="118">
        <v>0</v>
      </c>
      <c r="X106" s="118">
        <v>0</v>
      </c>
      <c r="Y106" s="118">
        <v>2</v>
      </c>
      <c r="Z106" s="118">
        <v>0</v>
      </c>
      <c r="AA106" s="118">
        <v>2</v>
      </c>
      <c r="AB106" s="118" t="s">
        <v>1067</v>
      </c>
      <c r="AC106" s="118" t="s">
        <v>6989</v>
      </c>
      <c r="AD106" s="118" t="s">
        <v>1034</v>
      </c>
      <c r="AE106" s="118" t="s">
        <v>943</v>
      </c>
      <c r="AF106" s="118" t="s">
        <v>1041</v>
      </c>
      <c r="AG106" s="118" t="s">
        <v>6415</v>
      </c>
      <c r="AH106" s="118" t="s">
        <v>393</v>
      </c>
      <c r="AI106" s="118">
        <v>4</v>
      </c>
      <c r="AJ106" s="118" t="s">
        <v>6415</v>
      </c>
      <c r="AK106" s="118" t="s">
        <v>393</v>
      </c>
      <c r="AL106" s="118" t="s">
        <v>393</v>
      </c>
      <c r="AM106" s="118" t="s">
        <v>393</v>
      </c>
      <c r="AN106" s="402" t="s">
        <v>5975</v>
      </c>
      <c r="AO106" s="402">
        <v>44620</v>
      </c>
      <c r="AP106" s="118">
        <v>2</v>
      </c>
      <c r="AQ106" s="118">
        <v>11</v>
      </c>
      <c r="AR106" s="118" t="s">
        <v>6444</v>
      </c>
      <c r="AS106" s="118" t="s">
        <v>392</v>
      </c>
      <c r="AT106" s="118" t="s">
        <v>500</v>
      </c>
      <c r="AU106" s="118" t="s">
        <v>404</v>
      </c>
      <c r="AV106" s="118" t="s">
        <v>508</v>
      </c>
      <c r="AW106" s="118" t="s">
        <v>393</v>
      </c>
      <c r="AX106" s="118" t="s">
        <v>393</v>
      </c>
      <c r="AY106" s="118" t="s">
        <v>393</v>
      </c>
      <c r="AZ106" s="118" t="s">
        <v>393</v>
      </c>
      <c r="BA106" s="118" t="s">
        <v>393</v>
      </c>
      <c r="BB106" s="118" t="s">
        <v>393</v>
      </c>
      <c r="BC106" s="118" t="s">
        <v>393</v>
      </c>
      <c r="BD106" s="118" t="s">
        <v>393</v>
      </c>
      <c r="BE106" s="118" t="s">
        <v>740</v>
      </c>
      <c r="BF106" s="118" t="s">
        <v>740</v>
      </c>
      <c r="BG106" s="118" t="s">
        <v>393</v>
      </c>
      <c r="BH106" s="118" t="s">
        <v>394</v>
      </c>
      <c r="BI106" s="118" t="s">
        <v>394</v>
      </c>
      <c r="BJ106" s="118" t="s">
        <v>393</v>
      </c>
      <c r="BK106" s="118" t="s">
        <v>6988</v>
      </c>
      <c r="BL106" s="118" t="s">
        <v>6415</v>
      </c>
      <c r="BM106" s="118" t="s">
        <v>6990</v>
      </c>
      <c r="BN106" s="118" t="s">
        <v>6991</v>
      </c>
      <c r="BO106" s="118" t="s">
        <v>6415</v>
      </c>
      <c r="BP106" s="118" t="s">
        <v>6415</v>
      </c>
      <c r="BQ106" s="118" t="s">
        <v>6415</v>
      </c>
      <c r="BR106" s="118" t="s">
        <v>6415</v>
      </c>
      <c r="BS106" s="118" t="s">
        <v>6415</v>
      </c>
      <c r="BT106" s="118" t="s">
        <v>7166</v>
      </c>
      <c r="BU106" s="118" t="s">
        <v>6415</v>
      </c>
      <c r="BV106" s="118" t="s">
        <v>6415</v>
      </c>
      <c r="BW106" s="118" t="s">
        <v>6415</v>
      </c>
      <c r="BX106" s="118" t="s">
        <v>6415</v>
      </c>
      <c r="BY106" s="118" t="s">
        <v>6415</v>
      </c>
      <c r="BZ106" s="118">
        <v>1512</v>
      </c>
      <c r="CA106" s="118" t="s">
        <v>6415</v>
      </c>
      <c r="CB106" s="118" t="s">
        <v>422</v>
      </c>
      <c r="CC106" s="118" t="s">
        <v>740</v>
      </c>
      <c r="CD106" s="118">
        <v>1</v>
      </c>
      <c r="CE106" s="118" t="s">
        <v>405</v>
      </c>
      <c r="CF106" s="118" t="s">
        <v>406</v>
      </c>
      <c r="CG106" s="118" t="s">
        <v>924</v>
      </c>
      <c r="CH106" s="118" t="s">
        <v>6302</v>
      </c>
      <c r="CI106" s="118" t="s">
        <v>6303</v>
      </c>
      <c r="CJ106" s="118" t="s">
        <v>398</v>
      </c>
      <c r="CK106" s="14">
        <v>35</v>
      </c>
      <c r="CL106" s="118">
        <v>35</v>
      </c>
      <c r="CM106" s="118" t="s">
        <v>399</v>
      </c>
      <c r="CN106" s="118" t="s">
        <v>6512</v>
      </c>
      <c r="CO106" s="118" t="s">
        <v>1096</v>
      </c>
      <c r="CP106" s="118" t="s">
        <v>400</v>
      </c>
      <c r="CQ106" s="118" t="s">
        <v>6415</v>
      </c>
      <c r="CR106" s="118" t="s">
        <v>6415</v>
      </c>
      <c r="CS106" s="118" t="s">
        <v>6415</v>
      </c>
      <c r="CT106" s="118" t="s">
        <v>6415</v>
      </c>
      <c r="CU106" s="118" t="s">
        <v>6415</v>
      </c>
      <c r="CV106" s="118" t="s">
        <v>6415</v>
      </c>
      <c r="CW106" s="14">
        <v>21</v>
      </c>
      <c r="CX106" s="118" t="s">
        <v>1066</v>
      </c>
      <c r="CY106" s="118" t="s">
        <v>6341</v>
      </c>
      <c r="CZ106" s="118">
        <v>2</v>
      </c>
      <c r="DA106" s="118" t="s">
        <v>405</v>
      </c>
      <c r="DB106" s="118" t="s">
        <v>406</v>
      </c>
      <c r="DC106" s="118" t="s">
        <v>6415</v>
      </c>
      <c r="DD106" s="118" t="s">
        <v>6302</v>
      </c>
      <c r="DE106" s="118" t="s">
        <v>6303</v>
      </c>
      <c r="DF106" s="118" t="s">
        <v>398</v>
      </c>
      <c r="DG106" s="14">
        <v>0</v>
      </c>
      <c r="DH106" s="118">
        <v>35</v>
      </c>
      <c r="DI106" s="118" t="s">
        <v>6355</v>
      </c>
      <c r="DJ106" s="118" t="s">
        <v>398</v>
      </c>
      <c r="DK106" s="118" t="s">
        <v>400</v>
      </c>
      <c r="DL106" s="118" t="s">
        <v>6415</v>
      </c>
      <c r="DM106" s="118" t="s">
        <v>6415</v>
      </c>
      <c r="DN106" s="118" t="s">
        <v>6415</v>
      </c>
      <c r="DO106" s="118" t="s">
        <v>6415</v>
      </c>
      <c r="DP106" s="118" t="s">
        <v>6415</v>
      </c>
      <c r="DQ106" s="118" t="s">
        <v>6415</v>
      </c>
      <c r="DR106" s="118">
        <v>80</v>
      </c>
      <c r="DS106" s="118" t="s">
        <v>1068</v>
      </c>
      <c r="DT106" s="118" t="s">
        <v>6341</v>
      </c>
      <c r="DU106" s="118" t="s">
        <v>6415</v>
      </c>
      <c r="DV106" s="118" t="s">
        <v>6415</v>
      </c>
      <c r="DW106" s="118" t="s">
        <v>6415</v>
      </c>
      <c r="DX106" s="118" t="s">
        <v>6415</v>
      </c>
      <c r="DY106" s="118" t="s">
        <v>6415</v>
      </c>
      <c r="DZ106" s="118" t="s">
        <v>6415</v>
      </c>
      <c r="EA106" s="118" t="s">
        <v>6415</v>
      </c>
      <c r="EB106" s="118" t="s">
        <v>6415</v>
      </c>
      <c r="EC106" s="118" t="s">
        <v>6415</v>
      </c>
      <c r="ED106" s="118" t="s">
        <v>6415</v>
      </c>
      <c r="EE106" s="118" t="s">
        <v>6415</v>
      </c>
      <c r="EF106" s="118" t="s">
        <v>6415</v>
      </c>
      <c r="EG106" s="118" t="s">
        <v>7164</v>
      </c>
      <c r="EH106" s="118" t="s">
        <v>7165</v>
      </c>
      <c r="EI106" s="118" t="s">
        <v>6415</v>
      </c>
      <c r="EJ106" s="118" t="s">
        <v>6415</v>
      </c>
      <c r="EK106" s="118" t="s">
        <v>6415</v>
      </c>
      <c r="EL106" s="118" t="s">
        <v>7467</v>
      </c>
      <c r="EM106" s="118" t="s">
        <v>7163</v>
      </c>
      <c r="EN106" s="118" t="s">
        <v>6415</v>
      </c>
      <c r="EO106" s="6" t="str">
        <f t="shared" si="14"/>
        <v>Pathweb</v>
      </c>
      <c r="EP106" s="6" t="str">
        <f t="shared" si="15"/>
        <v>Google Maps</v>
      </c>
      <c r="EQ106" s="6" t="str">
        <f t="shared" si="16"/>
        <v>Mashed Map</v>
      </c>
      <c r="ER106" s="118" t="s">
        <v>6727</v>
      </c>
      <c r="ES106" s="118" t="s">
        <v>71</v>
      </c>
      <c r="ET106" s="4">
        <v>0</v>
      </c>
      <c r="EU106" s="4"/>
      <c r="EV106" s="4"/>
    </row>
    <row r="107" spans="1:152" x14ac:dyDescent="0.15">
      <c r="A107" s="581" t="str">
        <f t="shared" si="13"/>
        <v>Crash Report</v>
      </c>
      <c r="B107" s="118">
        <v>20223046428</v>
      </c>
      <c r="C107" s="118">
        <v>2022</v>
      </c>
      <c r="D107" s="118">
        <v>22031820151500</v>
      </c>
      <c r="F107" s="118" t="s">
        <v>6442</v>
      </c>
      <c r="G107" s="118" t="s">
        <v>402</v>
      </c>
      <c r="H107" s="118">
        <v>2</v>
      </c>
      <c r="I107" s="118" t="s">
        <v>6055</v>
      </c>
      <c r="J107" s="118" t="s">
        <v>391</v>
      </c>
      <c r="K107" s="118" t="s">
        <v>6997</v>
      </c>
      <c r="L107" s="118">
        <v>0.71299999999999997</v>
      </c>
      <c r="M107" s="118">
        <v>0.71299999999999997</v>
      </c>
      <c r="N107" s="118" t="s">
        <v>7469</v>
      </c>
      <c r="O107" s="118" t="s">
        <v>7473</v>
      </c>
      <c r="P107" s="118">
        <v>41.648513000000001</v>
      </c>
      <c r="Q107" s="118">
        <v>-83.523441000000005</v>
      </c>
      <c r="R107" s="118">
        <v>77000</v>
      </c>
      <c r="S107" s="118" t="s">
        <v>6988</v>
      </c>
      <c r="T107" s="118">
        <v>1</v>
      </c>
      <c r="U107" s="118">
        <v>0</v>
      </c>
      <c r="V107" s="118">
        <v>0</v>
      </c>
      <c r="W107" s="118">
        <v>0</v>
      </c>
      <c r="X107" s="118">
        <v>0</v>
      </c>
      <c r="Y107" s="118">
        <v>2</v>
      </c>
      <c r="Z107" s="118">
        <v>0</v>
      </c>
      <c r="AA107" s="118">
        <v>2</v>
      </c>
      <c r="AB107" s="118" t="s">
        <v>1067</v>
      </c>
      <c r="AC107" s="118" t="s">
        <v>6989</v>
      </c>
      <c r="AD107" s="118" t="s">
        <v>1034</v>
      </c>
      <c r="AE107" s="118" t="s">
        <v>943</v>
      </c>
      <c r="AF107" s="118" t="s">
        <v>1042</v>
      </c>
      <c r="AG107" s="118" t="s">
        <v>6415</v>
      </c>
      <c r="AH107" s="118" t="s">
        <v>393</v>
      </c>
      <c r="AI107" s="118">
        <v>2</v>
      </c>
      <c r="AJ107" s="118" t="s">
        <v>6415</v>
      </c>
      <c r="AK107" s="118" t="s">
        <v>393</v>
      </c>
      <c r="AL107" s="118" t="s">
        <v>393</v>
      </c>
      <c r="AM107" s="118" t="s">
        <v>393</v>
      </c>
      <c r="AN107" s="402" t="s">
        <v>5975</v>
      </c>
      <c r="AO107" s="402">
        <v>44638</v>
      </c>
      <c r="AP107" s="118">
        <v>3</v>
      </c>
      <c r="AQ107" s="118">
        <v>15</v>
      </c>
      <c r="AR107" s="118" t="s">
        <v>6448</v>
      </c>
      <c r="AS107" s="118" t="s">
        <v>403</v>
      </c>
      <c r="AT107" s="118" t="s">
        <v>500</v>
      </c>
      <c r="AU107" s="118" t="s">
        <v>404</v>
      </c>
      <c r="AV107" s="118" t="s">
        <v>508</v>
      </c>
      <c r="AW107" s="118" t="s">
        <v>393</v>
      </c>
      <c r="AX107" s="118" t="s">
        <v>740</v>
      </c>
      <c r="AY107" s="118" t="s">
        <v>393</v>
      </c>
      <c r="AZ107" s="118" t="s">
        <v>393</v>
      </c>
      <c r="BA107" s="118" t="s">
        <v>393</v>
      </c>
      <c r="BB107" s="118" t="s">
        <v>393</v>
      </c>
      <c r="BC107" s="118" t="s">
        <v>393</v>
      </c>
      <c r="BD107" s="118" t="s">
        <v>393</v>
      </c>
      <c r="BE107" s="118" t="s">
        <v>393</v>
      </c>
      <c r="BF107" s="118" t="s">
        <v>393</v>
      </c>
      <c r="BG107" s="118" t="s">
        <v>393</v>
      </c>
      <c r="BH107" s="118" t="s">
        <v>394</v>
      </c>
      <c r="BI107" s="118" t="s">
        <v>394</v>
      </c>
      <c r="BJ107" s="118" t="s">
        <v>393</v>
      </c>
      <c r="BK107" s="118" t="s">
        <v>6988</v>
      </c>
      <c r="BL107" s="118" t="s">
        <v>6415</v>
      </c>
      <c r="BM107" s="118" t="s">
        <v>6992</v>
      </c>
      <c r="BN107" s="118" t="s">
        <v>6991</v>
      </c>
      <c r="BO107" s="118" t="s">
        <v>6415</v>
      </c>
      <c r="BP107" s="118" t="s">
        <v>6415</v>
      </c>
      <c r="BQ107" s="118" t="s">
        <v>6415</v>
      </c>
      <c r="BR107" s="118" t="s">
        <v>6415</v>
      </c>
      <c r="BS107" s="118" t="s">
        <v>6415</v>
      </c>
      <c r="BT107" s="118" t="s">
        <v>6990</v>
      </c>
      <c r="BU107" s="118" t="s">
        <v>6991</v>
      </c>
      <c r="BV107" s="118" t="s">
        <v>6415</v>
      </c>
      <c r="BW107" s="118" t="s">
        <v>6415</v>
      </c>
      <c r="BX107" s="118" t="s">
        <v>6415</v>
      </c>
      <c r="BY107" s="118" t="s">
        <v>6415</v>
      </c>
      <c r="BZ107" s="118" t="s">
        <v>6415</v>
      </c>
      <c r="CA107" s="118" t="s">
        <v>6415</v>
      </c>
      <c r="CB107" s="118" t="s">
        <v>221</v>
      </c>
      <c r="CC107" s="118" t="s">
        <v>740</v>
      </c>
      <c r="CD107" s="118">
        <v>2</v>
      </c>
      <c r="CE107" s="118" t="s">
        <v>410</v>
      </c>
      <c r="CF107" s="118" t="s">
        <v>411</v>
      </c>
      <c r="CG107" s="118" t="s">
        <v>924</v>
      </c>
      <c r="CH107" s="118" t="s">
        <v>6300</v>
      </c>
      <c r="CI107" s="118" t="s">
        <v>6306</v>
      </c>
      <c r="CJ107" s="118" t="s">
        <v>398</v>
      </c>
      <c r="CK107" s="118">
        <v>15</v>
      </c>
      <c r="CL107" s="118">
        <v>35</v>
      </c>
      <c r="CM107" s="118" t="s">
        <v>439</v>
      </c>
      <c r="CN107" s="118" t="s">
        <v>6329</v>
      </c>
      <c r="CO107" s="118" t="s">
        <v>1096</v>
      </c>
      <c r="CP107" s="118" t="s">
        <v>400</v>
      </c>
      <c r="CQ107" s="118" t="s">
        <v>6415</v>
      </c>
      <c r="CR107" s="118" t="s">
        <v>6415</v>
      </c>
      <c r="CS107" s="118" t="s">
        <v>6415</v>
      </c>
      <c r="CT107" s="118" t="s">
        <v>6415</v>
      </c>
      <c r="CU107" s="118" t="s">
        <v>6415</v>
      </c>
      <c r="CV107" s="118" t="s">
        <v>6415</v>
      </c>
      <c r="CW107" s="118">
        <v>44</v>
      </c>
      <c r="CX107" s="118" t="s">
        <v>1068</v>
      </c>
      <c r="CY107" s="118" t="s">
        <v>6341</v>
      </c>
      <c r="CZ107" s="118">
        <v>1</v>
      </c>
      <c r="DA107" s="118" t="s">
        <v>410</v>
      </c>
      <c r="DB107" s="118" t="s">
        <v>411</v>
      </c>
      <c r="DC107" s="118" t="s">
        <v>6415</v>
      </c>
      <c r="DD107" s="118" t="s">
        <v>6300</v>
      </c>
      <c r="DE107" s="118" t="s">
        <v>6303</v>
      </c>
      <c r="DF107" s="118" t="s">
        <v>398</v>
      </c>
      <c r="DG107" s="118">
        <v>0</v>
      </c>
      <c r="DH107" s="118">
        <v>35</v>
      </c>
      <c r="DI107" s="118" t="s">
        <v>6355</v>
      </c>
      <c r="DJ107" s="118" t="s">
        <v>398</v>
      </c>
      <c r="DK107" s="118" t="s">
        <v>400</v>
      </c>
      <c r="DL107" s="118" t="s">
        <v>6415</v>
      </c>
      <c r="DM107" s="118" t="s">
        <v>6415</v>
      </c>
      <c r="DN107" s="118" t="s">
        <v>6415</v>
      </c>
      <c r="DO107" s="118" t="s">
        <v>6415</v>
      </c>
      <c r="DP107" s="118" t="s">
        <v>6415</v>
      </c>
      <c r="DQ107" s="118" t="s">
        <v>6415</v>
      </c>
      <c r="DR107" s="118">
        <v>40</v>
      </c>
      <c r="DS107" s="118" t="s">
        <v>1068</v>
      </c>
      <c r="DT107" s="118" t="s">
        <v>6341</v>
      </c>
      <c r="DU107" s="118" t="s">
        <v>6415</v>
      </c>
      <c r="DV107" s="118" t="s">
        <v>6415</v>
      </c>
      <c r="DW107" s="118" t="s">
        <v>6415</v>
      </c>
      <c r="DX107" s="118" t="s">
        <v>6415</v>
      </c>
      <c r="DY107" s="118" t="s">
        <v>6415</v>
      </c>
      <c r="DZ107" s="118" t="s">
        <v>6415</v>
      </c>
      <c r="EA107" s="118" t="s">
        <v>6415</v>
      </c>
      <c r="EB107" s="118" t="s">
        <v>6415</v>
      </c>
      <c r="EC107" s="118" t="s">
        <v>6415</v>
      </c>
      <c r="ED107" s="118" t="s">
        <v>6415</v>
      </c>
      <c r="EE107" s="118" t="s">
        <v>6415</v>
      </c>
      <c r="EF107" s="118" t="s">
        <v>6415</v>
      </c>
      <c r="EG107" s="118" t="s">
        <v>6986</v>
      </c>
      <c r="EH107" s="118" t="s">
        <v>7168</v>
      </c>
      <c r="EI107" s="118" t="s">
        <v>6415</v>
      </c>
      <c r="EJ107" s="118" t="s">
        <v>6415</v>
      </c>
      <c r="EK107" s="118" t="s">
        <v>6415</v>
      </c>
      <c r="EL107" s="118" t="s">
        <v>7467</v>
      </c>
      <c r="EM107" s="118" t="s">
        <v>7167</v>
      </c>
      <c r="EN107" s="118" t="s">
        <v>6415</v>
      </c>
      <c r="EO107" s="6" t="str">
        <f t="shared" si="14"/>
        <v>Pathweb</v>
      </c>
      <c r="EP107" s="6" t="str">
        <f t="shared" si="15"/>
        <v>Google Maps</v>
      </c>
      <c r="EQ107" s="6" t="str">
        <f t="shared" si="16"/>
        <v>Mashed Map</v>
      </c>
      <c r="ER107" s="118" t="s">
        <v>6727</v>
      </c>
      <c r="ES107" s="118" t="s">
        <v>71</v>
      </c>
      <c r="ET107" s="4">
        <v>8.9999999999999993E-3</v>
      </c>
      <c r="EU107" s="4"/>
      <c r="EV107" s="4"/>
    </row>
    <row r="108" spans="1:152" x14ac:dyDescent="0.15">
      <c r="A108" s="581" t="str">
        <f t="shared" si="13"/>
        <v>Crash Report</v>
      </c>
      <c r="B108" s="118">
        <v>20223046868</v>
      </c>
      <c r="C108" s="118">
        <v>2022</v>
      </c>
      <c r="D108" s="118">
        <v>22031925122330</v>
      </c>
      <c r="F108" s="118" t="s">
        <v>6442</v>
      </c>
      <c r="G108" s="118" t="s">
        <v>212</v>
      </c>
      <c r="H108" s="118">
        <v>2</v>
      </c>
      <c r="I108" s="118" t="s">
        <v>6055</v>
      </c>
      <c r="J108" s="118" t="s">
        <v>391</v>
      </c>
      <c r="K108" s="118" t="s">
        <v>6985</v>
      </c>
      <c r="L108" s="118">
        <v>0.09</v>
      </c>
      <c r="M108" s="118">
        <v>0.09</v>
      </c>
      <c r="N108" s="118" t="s">
        <v>7465</v>
      </c>
      <c r="O108" s="118" t="s">
        <v>7475</v>
      </c>
      <c r="P108" s="118">
        <v>41.647990999999998</v>
      </c>
      <c r="Q108" s="118">
        <v>-83.524353000000005</v>
      </c>
      <c r="R108" s="118">
        <v>77000</v>
      </c>
      <c r="S108" s="118" t="s">
        <v>6988</v>
      </c>
      <c r="T108" s="118">
        <v>1</v>
      </c>
      <c r="U108" s="118">
        <v>0</v>
      </c>
      <c r="V108" s="118">
        <v>0</v>
      </c>
      <c r="W108" s="118">
        <v>0</v>
      </c>
      <c r="X108" s="118">
        <v>0</v>
      </c>
      <c r="Y108" s="118">
        <v>2</v>
      </c>
      <c r="Z108" s="118">
        <v>0</v>
      </c>
      <c r="AA108" s="118">
        <v>2</v>
      </c>
      <c r="AB108" s="118" t="s">
        <v>1067</v>
      </c>
      <c r="AC108" s="118" t="s">
        <v>6989</v>
      </c>
      <c r="AD108" s="118" t="s">
        <v>1034</v>
      </c>
      <c r="AE108" s="118" t="s">
        <v>943</v>
      </c>
      <c r="AF108" s="118" t="s">
        <v>1042</v>
      </c>
      <c r="AG108" s="118" t="s">
        <v>6415</v>
      </c>
      <c r="AH108" s="118" t="s">
        <v>393</v>
      </c>
      <c r="AI108" s="118">
        <v>4</v>
      </c>
      <c r="AJ108" s="118" t="s">
        <v>6415</v>
      </c>
      <c r="AK108" s="118" t="s">
        <v>393</v>
      </c>
      <c r="AL108" s="118" t="s">
        <v>393</v>
      </c>
      <c r="AM108" s="118" t="s">
        <v>393</v>
      </c>
      <c r="AN108" s="402" t="s">
        <v>5975</v>
      </c>
      <c r="AO108" s="402">
        <v>44639</v>
      </c>
      <c r="AP108" s="118">
        <v>3</v>
      </c>
      <c r="AQ108" s="118">
        <v>23</v>
      </c>
      <c r="AR108" s="118" t="s">
        <v>6449</v>
      </c>
      <c r="AS108" s="118" t="s">
        <v>392</v>
      </c>
      <c r="AT108" s="118" t="s">
        <v>225</v>
      </c>
      <c r="AU108" s="118" t="s">
        <v>505</v>
      </c>
      <c r="AV108" s="118" t="s">
        <v>508</v>
      </c>
      <c r="AW108" s="118" t="s">
        <v>393</v>
      </c>
      <c r="AX108" s="118" t="s">
        <v>393</v>
      </c>
      <c r="AY108" s="118" t="s">
        <v>393</v>
      </c>
      <c r="AZ108" s="118" t="s">
        <v>393</v>
      </c>
      <c r="BA108" s="118" t="s">
        <v>393</v>
      </c>
      <c r="BB108" s="118" t="s">
        <v>393</v>
      </c>
      <c r="BC108" s="118" t="s">
        <v>393</v>
      </c>
      <c r="BD108" s="118" t="s">
        <v>393</v>
      </c>
      <c r="BE108" s="118" t="s">
        <v>393</v>
      </c>
      <c r="BF108" s="118" t="s">
        <v>393</v>
      </c>
      <c r="BG108" s="118" t="s">
        <v>393</v>
      </c>
      <c r="BH108" s="118" t="s">
        <v>394</v>
      </c>
      <c r="BI108" s="118" t="s">
        <v>394</v>
      </c>
      <c r="BJ108" s="118" t="s">
        <v>393</v>
      </c>
      <c r="BK108" s="118" t="s">
        <v>6988</v>
      </c>
      <c r="BL108" s="118" t="s">
        <v>6415</v>
      </c>
      <c r="BM108" s="118" t="s">
        <v>6990</v>
      </c>
      <c r="BN108" s="118" t="s">
        <v>6991</v>
      </c>
      <c r="BO108" s="118" t="s">
        <v>6415</v>
      </c>
      <c r="BP108" s="118" t="s">
        <v>6415</v>
      </c>
      <c r="BQ108" s="118" t="s">
        <v>6415</v>
      </c>
      <c r="BR108" s="118" t="s">
        <v>6415</v>
      </c>
      <c r="BS108" s="118" t="s">
        <v>6415</v>
      </c>
      <c r="BT108" s="118" t="s">
        <v>2583</v>
      </c>
      <c r="BU108" s="118" t="s">
        <v>7017</v>
      </c>
      <c r="BV108" s="118" t="s">
        <v>6415</v>
      </c>
      <c r="BW108" s="118" t="s">
        <v>6415</v>
      </c>
      <c r="BX108" s="118" t="s">
        <v>6415</v>
      </c>
      <c r="BY108" s="118" t="s">
        <v>6415</v>
      </c>
      <c r="BZ108" s="118" t="s">
        <v>6415</v>
      </c>
      <c r="CA108" s="118" t="s">
        <v>6415</v>
      </c>
      <c r="CB108" s="118" t="s">
        <v>221</v>
      </c>
      <c r="CC108" s="118" t="s">
        <v>740</v>
      </c>
      <c r="CD108" s="118">
        <v>2</v>
      </c>
      <c r="CE108" s="118" t="s">
        <v>406</v>
      </c>
      <c r="CF108" s="118" t="s">
        <v>405</v>
      </c>
      <c r="CG108" s="118" t="s">
        <v>924</v>
      </c>
      <c r="CH108" s="118" t="s">
        <v>6302</v>
      </c>
      <c r="CI108" s="118" t="s">
        <v>6303</v>
      </c>
      <c r="CJ108" s="118" t="s">
        <v>398</v>
      </c>
      <c r="CK108" s="14">
        <v>15</v>
      </c>
      <c r="CL108" s="118">
        <v>35</v>
      </c>
      <c r="CM108" s="118" t="s">
        <v>212</v>
      </c>
      <c r="CN108" s="118" t="s">
        <v>441</v>
      </c>
      <c r="CO108" s="118" t="s">
        <v>1096</v>
      </c>
      <c r="CP108" s="118" t="s">
        <v>400</v>
      </c>
      <c r="CQ108" s="118" t="s">
        <v>6415</v>
      </c>
      <c r="CR108" s="118" t="s">
        <v>6415</v>
      </c>
      <c r="CS108" s="118" t="s">
        <v>6415</v>
      </c>
      <c r="CT108" s="118" t="s">
        <v>6415</v>
      </c>
      <c r="CU108" s="118" t="s">
        <v>6415</v>
      </c>
      <c r="CV108" s="118" t="s">
        <v>6415</v>
      </c>
      <c r="CW108" s="14">
        <v>43</v>
      </c>
      <c r="CX108" s="118" t="s">
        <v>1068</v>
      </c>
      <c r="CY108" s="118" t="s">
        <v>6341</v>
      </c>
      <c r="CZ108" s="118">
        <v>1</v>
      </c>
      <c r="DA108" s="118" t="s">
        <v>406</v>
      </c>
      <c r="DB108" s="118" t="s">
        <v>397</v>
      </c>
      <c r="DC108" s="118" t="s">
        <v>6415</v>
      </c>
      <c r="DD108" s="118" t="s">
        <v>6302</v>
      </c>
      <c r="DE108" s="118" t="s">
        <v>6305</v>
      </c>
      <c r="DF108" s="118" t="s">
        <v>398</v>
      </c>
      <c r="DG108" s="14">
        <v>15</v>
      </c>
      <c r="DH108" s="118">
        <v>35</v>
      </c>
      <c r="DI108" s="118" t="s">
        <v>463</v>
      </c>
      <c r="DJ108" s="118" t="s">
        <v>398</v>
      </c>
      <c r="DK108" s="118" t="s">
        <v>400</v>
      </c>
      <c r="DL108" s="118" t="s">
        <v>6415</v>
      </c>
      <c r="DM108" s="118" t="s">
        <v>6415</v>
      </c>
      <c r="DN108" s="118" t="s">
        <v>6415</v>
      </c>
      <c r="DO108" s="118" t="s">
        <v>6415</v>
      </c>
      <c r="DP108" s="118" t="s">
        <v>6415</v>
      </c>
      <c r="DQ108" s="118" t="s">
        <v>6415</v>
      </c>
      <c r="DR108" s="118">
        <v>38</v>
      </c>
      <c r="DS108" s="118" t="s">
        <v>1068</v>
      </c>
      <c r="DT108" s="118" t="s">
        <v>6341</v>
      </c>
      <c r="DU108" s="118" t="s">
        <v>6415</v>
      </c>
      <c r="DV108" s="118" t="s">
        <v>6415</v>
      </c>
      <c r="DW108" s="118" t="s">
        <v>6415</v>
      </c>
      <c r="DX108" s="118" t="s">
        <v>6415</v>
      </c>
      <c r="DY108" s="118" t="s">
        <v>6415</v>
      </c>
      <c r="DZ108" s="118" t="s">
        <v>6415</v>
      </c>
      <c r="EA108" s="118" t="s">
        <v>6415</v>
      </c>
      <c r="EB108" s="118" t="s">
        <v>6415</v>
      </c>
      <c r="EC108" s="118" t="s">
        <v>6415</v>
      </c>
      <c r="ED108" s="118" t="s">
        <v>6415</v>
      </c>
      <c r="EE108" s="118" t="s">
        <v>6415</v>
      </c>
      <c r="EF108" s="118" t="s">
        <v>6415</v>
      </c>
      <c r="EG108" s="118" t="s">
        <v>7028</v>
      </c>
      <c r="EH108" s="118" t="s">
        <v>7029</v>
      </c>
      <c r="EI108" s="118" t="s">
        <v>6415</v>
      </c>
      <c r="EJ108" s="118" t="s">
        <v>6415</v>
      </c>
      <c r="EK108" s="118" t="s">
        <v>6415</v>
      </c>
      <c r="EL108" s="118" t="s">
        <v>7467</v>
      </c>
      <c r="EM108" s="118" t="s">
        <v>7169</v>
      </c>
      <c r="EN108" s="118" t="s">
        <v>6415</v>
      </c>
      <c r="EO108" s="6" t="str">
        <f t="shared" si="14"/>
        <v>Pathweb</v>
      </c>
      <c r="EP108" s="6" t="str">
        <f t="shared" si="15"/>
        <v>Google Maps</v>
      </c>
      <c r="EQ108" s="6" t="str">
        <f t="shared" si="16"/>
        <v>Mashed Map</v>
      </c>
      <c r="ER108" s="118" t="s">
        <v>6727</v>
      </c>
      <c r="ES108" s="118" t="s">
        <v>71</v>
      </c>
      <c r="ET108" s="4">
        <v>0</v>
      </c>
      <c r="EU108" s="4"/>
      <c r="EV108" s="4"/>
    </row>
    <row r="109" spans="1:152" x14ac:dyDescent="0.15">
      <c r="A109" s="581" t="str">
        <f t="shared" si="13"/>
        <v>Crash Report</v>
      </c>
      <c r="B109" s="14">
        <v>20223047488</v>
      </c>
      <c r="C109" s="118">
        <v>2022</v>
      </c>
      <c r="D109" s="14">
        <v>22032121941305</v>
      </c>
      <c r="F109" s="118" t="s">
        <v>6442</v>
      </c>
      <c r="G109" s="118" t="s">
        <v>211</v>
      </c>
      <c r="H109" s="118">
        <v>2</v>
      </c>
      <c r="I109" s="118" t="s">
        <v>6055</v>
      </c>
      <c r="J109" s="118" t="s">
        <v>437</v>
      </c>
      <c r="K109" s="118" t="s">
        <v>6985</v>
      </c>
      <c r="L109" s="118">
        <v>0.54500000000000004</v>
      </c>
      <c r="M109" s="118">
        <v>0.54500000000000004</v>
      </c>
      <c r="N109" s="118" t="s">
        <v>7465</v>
      </c>
      <c r="O109" s="118">
        <v>1014</v>
      </c>
      <c r="P109" s="118">
        <v>41.652141999999998</v>
      </c>
      <c r="Q109" s="118">
        <v>-83.517555999999999</v>
      </c>
      <c r="R109" s="118">
        <v>77000</v>
      </c>
      <c r="S109" s="118" t="s">
        <v>6988</v>
      </c>
      <c r="T109" s="118">
        <v>1</v>
      </c>
      <c r="U109" s="118">
        <v>0</v>
      </c>
      <c r="V109" s="118">
        <v>0</v>
      </c>
      <c r="W109" s="118">
        <v>0</v>
      </c>
      <c r="X109" s="118">
        <v>0</v>
      </c>
      <c r="Y109" s="118">
        <v>2</v>
      </c>
      <c r="Z109" s="118">
        <v>0</v>
      </c>
      <c r="AA109" s="118">
        <v>2</v>
      </c>
      <c r="AB109" s="118" t="s">
        <v>1067</v>
      </c>
      <c r="AC109" s="118" t="s">
        <v>6989</v>
      </c>
      <c r="AD109" s="118" t="s">
        <v>1034</v>
      </c>
      <c r="AE109" s="118" t="s">
        <v>943</v>
      </c>
      <c r="AF109" s="118" t="s">
        <v>1041</v>
      </c>
      <c r="AG109" s="118" t="s">
        <v>6415</v>
      </c>
      <c r="AH109" s="118" t="s">
        <v>393</v>
      </c>
      <c r="AI109" s="118">
        <v>4</v>
      </c>
      <c r="AJ109" s="118" t="s">
        <v>6415</v>
      </c>
      <c r="AK109" s="118" t="s">
        <v>393</v>
      </c>
      <c r="AL109" s="118" t="s">
        <v>393</v>
      </c>
      <c r="AM109" s="118" t="s">
        <v>393</v>
      </c>
      <c r="AN109" s="402" t="s">
        <v>5975</v>
      </c>
      <c r="AO109" s="402">
        <v>44641</v>
      </c>
      <c r="AP109" s="118">
        <v>3</v>
      </c>
      <c r="AQ109" s="118">
        <v>13</v>
      </c>
      <c r="AR109" s="118" t="s">
        <v>6444</v>
      </c>
      <c r="AS109" s="118" t="s">
        <v>403</v>
      </c>
      <c r="AT109" s="118" t="s">
        <v>500</v>
      </c>
      <c r="AU109" s="118" t="s">
        <v>404</v>
      </c>
      <c r="AV109" s="118" t="s">
        <v>508</v>
      </c>
      <c r="AW109" s="118" t="s">
        <v>393</v>
      </c>
      <c r="AX109" s="118" t="s">
        <v>393</v>
      </c>
      <c r="AY109" s="118" t="s">
        <v>393</v>
      </c>
      <c r="AZ109" s="118" t="s">
        <v>393</v>
      </c>
      <c r="BA109" s="118" t="s">
        <v>393</v>
      </c>
      <c r="BB109" s="118" t="s">
        <v>393</v>
      </c>
      <c r="BC109" s="118" t="s">
        <v>393</v>
      </c>
      <c r="BD109" s="118" t="s">
        <v>393</v>
      </c>
      <c r="BE109" s="118" t="s">
        <v>393</v>
      </c>
      <c r="BF109" s="118" t="s">
        <v>393</v>
      </c>
      <c r="BG109" s="118" t="s">
        <v>393</v>
      </c>
      <c r="BH109" s="118" t="s">
        <v>394</v>
      </c>
      <c r="BI109" s="118" t="s">
        <v>394</v>
      </c>
      <c r="BJ109" s="118" t="s">
        <v>393</v>
      </c>
      <c r="BK109" s="118" t="s">
        <v>6988</v>
      </c>
      <c r="BL109" s="118" t="s">
        <v>6415</v>
      </c>
      <c r="BM109" s="118" t="s">
        <v>6990</v>
      </c>
      <c r="BN109" s="118" t="s">
        <v>6991</v>
      </c>
      <c r="BO109" s="118" t="s">
        <v>6415</v>
      </c>
      <c r="BP109" s="118" t="s">
        <v>6415</v>
      </c>
      <c r="BQ109" s="118" t="s">
        <v>6415</v>
      </c>
      <c r="BR109" s="118" t="s">
        <v>6415</v>
      </c>
      <c r="BS109" s="118" t="s">
        <v>6415</v>
      </c>
      <c r="BT109" s="118" t="s">
        <v>7172</v>
      </c>
      <c r="BU109" s="118" t="s">
        <v>6415</v>
      </c>
      <c r="BV109" s="118" t="s">
        <v>6415</v>
      </c>
      <c r="BW109" s="118" t="s">
        <v>6415</v>
      </c>
      <c r="BX109" s="118" t="s">
        <v>6415</v>
      </c>
      <c r="BY109" s="118" t="s">
        <v>6415</v>
      </c>
      <c r="BZ109" s="118">
        <v>1014</v>
      </c>
      <c r="CA109" s="118" t="s">
        <v>6415</v>
      </c>
      <c r="CB109" s="118" t="s">
        <v>422</v>
      </c>
      <c r="CC109" s="118" t="s">
        <v>740</v>
      </c>
      <c r="CD109" s="118">
        <v>2</v>
      </c>
      <c r="CE109" s="118" t="s">
        <v>397</v>
      </c>
      <c r="CF109" s="118" t="s">
        <v>396</v>
      </c>
      <c r="CG109" s="118" t="s">
        <v>924</v>
      </c>
      <c r="CH109" s="118" t="s">
        <v>6302</v>
      </c>
      <c r="CI109" s="118" t="s">
        <v>6303</v>
      </c>
      <c r="CJ109" s="118" t="s">
        <v>398</v>
      </c>
      <c r="CK109" s="14">
        <v>0</v>
      </c>
      <c r="CL109" s="118">
        <v>15</v>
      </c>
      <c r="CM109" s="118" t="s">
        <v>399</v>
      </c>
      <c r="CN109" s="118" t="s">
        <v>407</v>
      </c>
      <c r="CO109" s="118" t="s">
        <v>1096</v>
      </c>
      <c r="CP109" s="118" t="s">
        <v>400</v>
      </c>
      <c r="CQ109" s="118" t="s">
        <v>6415</v>
      </c>
      <c r="CR109" s="118" t="s">
        <v>6415</v>
      </c>
      <c r="CS109" s="118" t="s">
        <v>6415</v>
      </c>
      <c r="CT109" s="118" t="s">
        <v>6415</v>
      </c>
      <c r="CU109" s="118" t="s">
        <v>6415</v>
      </c>
      <c r="CV109" s="118" t="s">
        <v>6415</v>
      </c>
      <c r="CW109" s="14">
        <v>0</v>
      </c>
      <c r="CX109" s="118" t="s">
        <v>1068</v>
      </c>
      <c r="CY109" s="118" t="s">
        <v>6151</v>
      </c>
      <c r="CZ109" s="118">
        <v>1</v>
      </c>
      <c r="DA109" s="118" t="s">
        <v>445</v>
      </c>
      <c r="DB109" s="118" t="s">
        <v>446</v>
      </c>
      <c r="DC109" s="118" t="s">
        <v>6415</v>
      </c>
      <c r="DD109" s="118" t="s">
        <v>6302</v>
      </c>
      <c r="DE109" s="118" t="s">
        <v>417</v>
      </c>
      <c r="DF109" s="118" t="s">
        <v>398</v>
      </c>
      <c r="DG109" s="14">
        <v>5</v>
      </c>
      <c r="DH109" s="118">
        <v>15</v>
      </c>
      <c r="DI109" s="118" t="s">
        <v>444</v>
      </c>
      <c r="DJ109" s="118" t="s">
        <v>6327</v>
      </c>
      <c r="DK109" s="118" t="s">
        <v>400</v>
      </c>
      <c r="DL109" s="118" t="s">
        <v>6415</v>
      </c>
      <c r="DM109" s="118" t="s">
        <v>6415</v>
      </c>
      <c r="DN109" s="118" t="s">
        <v>6415</v>
      </c>
      <c r="DO109" s="118" t="s">
        <v>6415</v>
      </c>
      <c r="DP109" s="118" t="s">
        <v>6415</v>
      </c>
      <c r="DQ109" s="118" t="s">
        <v>6415</v>
      </c>
      <c r="DR109" s="118">
        <v>43</v>
      </c>
      <c r="DS109" s="118" t="s">
        <v>1068</v>
      </c>
      <c r="DT109" s="118" t="s">
        <v>6341</v>
      </c>
      <c r="DU109" s="118" t="s">
        <v>6415</v>
      </c>
      <c r="DV109" s="118" t="s">
        <v>6415</v>
      </c>
      <c r="DW109" s="118" t="s">
        <v>6415</v>
      </c>
      <c r="DX109" s="118" t="s">
        <v>6415</v>
      </c>
      <c r="DY109" s="118" t="s">
        <v>6415</v>
      </c>
      <c r="DZ109" s="118" t="s">
        <v>6415</v>
      </c>
      <c r="EA109" s="118" t="s">
        <v>6415</v>
      </c>
      <c r="EB109" s="118" t="s">
        <v>6415</v>
      </c>
      <c r="EC109" s="118" t="s">
        <v>6415</v>
      </c>
      <c r="ED109" s="118" t="s">
        <v>6415</v>
      </c>
      <c r="EE109" s="118" t="s">
        <v>6415</v>
      </c>
      <c r="EF109" s="118" t="s">
        <v>6415</v>
      </c>
      <c r="EG109" s="118" t="s">
        <v>6994</v>
      </c>
      <c r="EH109" s="118" t="s">
        <v>7171</v>
      </c>
      <c r="EI109" s="118" t="s">
        <v>6415</v>
      </c>
      <c r="EJ109" s="118" t="s">
        <v>6415</v>
      </c>
      <c r="EK109" s="118" t="s">
        <v>6415</v>
      </c>
      <c r="EL109" s="118" t="s">
        <v>7467</v>
      </c>
      <c r="EM109" s="118" t="s">
        <v>7170</v>
      </c>
      <c r="EN109" s="118" t="s">
        <v>6415</v>
      </c>
      <c r="EO109" s="6" t="str">
        <f t="shared" si="14"/>
        <v>Pathweb</v>
      </c>
      <c r="EP109" s="6" t="str">
        <f t="shared" si="15"/>
        <v>Google Maps</v>
      </c>
      <c r="EQ109" s="6" t="str">
        <f t="shared" si="16"/>
        <v>Mashed Map</v>
      </c>
      <c r="ER109" s="118" t="s">
        <v>6727</v>
      </c>
      <c r="ES109" s="118" t="s">
        <v>71</v>
      </c>
      <c r="ET109" s="4">
        <v>0</v>
      </c>
      <c r="EU109" s="4"/>
      <c r="EV109" s="4"/>
    </row>
    <row r="110" spans="1:152" x14ac:dyDescent="0.15">
      <c r="A110" s="581" t="str">
        <f t="shared" si="13"/>
        <v>Crash Report</v>
      </c>
      <c r="B110" s="14">
        <v>20223052352</v>
      </c>
      <c r="C110" s="118">
        <v>2022</v>
      </c>
      <c r="D110" s="14">
        <v>22032924071020</v>
      </c>
      <c r="F110" s="118" t="s">
        <v>6442</v>
      </c>
      <c r="G110" s="118" t="s">
        <v>402</v>
      </c>
      <c r="H110" s="118">
        <v>2</v>
      </c>
      <c r="I110" s="118" t="s">
        <v>6055</v>
      </c>
      <c r="J110" s="118" t="s">
        <v>391</v>
      </c>
      <c r="K110" s="118" t="s">
        <v>6985</v>
      </c>
      <c r="L110" s="118">
        <v>0.65</v>
      </c>
      <c r="M110" s="118">
        <v>0.65</v>
      </c>
      <c r="N110" s="118" t="s">
        <v>7465</v>
      </c>
      <c r="O110" s="118">
        <v>1316</v>
      </c>
      <c r="P110" s="118">
        <v>41.653098</v>
      </c>
      <c r="Q110" s="118">
        <v>-83.515985000000001</v>
      </c>
      <c r="R110" s="118">
        <v>77000</v>
      </c>
      <c r="S110" s="118" t="s">
        <v>6988</v>
      </c>
      <c r="T110" s="118">
        <v>1</v>
      </c>
      <c r="U110" s="118">
        <v>0</v>
      </c>
      <c r="V110" s="118">
        <v>0</v>
      </c>
      <c r="W110" s="118">
        <v>0</v>
      </c>
      <c r="X110" s="118">
        <v>0</v>
      </c>
      <c r="Y110" s="118">
        <v>2</v>
      </c>
      <c r="Z110" s="118">
        <v>0</v>
      </c>
      <c r="AA110" s="118">
        <v>2</v>
      </c>
      <c r="AB110" s="118" t="s">
        <v>1067</v>
      </c>
      <c r="AC110" s="118" t="s">
        <v>6989</v>
      </c>
      <c r="AD110" s="118" t="s">
        <v>1034</v>
      </c>
      <c r="AE110" s="118" t="s">
        <v>943</v>
      </c>
      <c r="AF110" s="118" t="s">
        <v>1041</v>
      </c>
      <c r="AG110" s="118" t="s">
        <v>6415</v>
      </c>
      <c r="AH110" s="118" t="s">
        <v>393</v>
      </c>
      <c r="AI110" s="118">
        <v>4</v>
      </c>
      <c r="AJ110" s="118" t="s">
        <v>6415</v>
      </c>
      <c r="AK110" s="118" t="s">
        <v>393</v>
      </c>
      <c r="AL110" s="118" t="s">
        <v>393</v>
      </c>
      <c r="AM110" s="118" t="s">
        <v>393</v>
      </c>
      <c r="AN110" s="402" t="s">
        <v>5975</v>
      </c>
      <c r="AO110" s="402">
        <v>44649</v>
      </c>
      <c r="AP110" s="118">
        <v>3</v>
      </c>
      <c r="AQ110" s="118">
        <v>10</v>
      </c>
      <c r="AR110" s="118" t="s">
        <v>6445</v>
      </c>
      <c r="AS110" s="118" t="s">
        <v>392</v>
      </c>
      <c r="AT110" s="118" t="s">
        <v>500</v>
      </c>
      <c r="AU110" s="118" t="s">
        <v>404</v>
      </c>
      <c r="AV110" s="118" t="s">
        <v>508</v>
      </c>
      <c r="AW110" s="118" t="s">
        <v>393</v>
      </c>
      <c r="AX110" s="118" t="s">
        <v>393</v>
      </c>
      <c r="AY110" s="118" t="s">
        <v>393</v>
      </c>
      <c r="AZ110" s="118" t="s">
        <v>393</v>
      </c>
      <c r="BA110" s="118" t="s">
        <v>393</v>
      </c>
      <c r="BB110" s="118" t="s">
        <v>393</v>
      </c>
      <c r="BC110" s="118" t="s">
        <v>393</v>
      </c>
      <c r="BD110" s="118" t="s">
        <v>393</v>
      </c>
      <c r="BE110" s="118" t="s">
        <v>393</v>
      </c>
      <c r="BF110" s="118" t="s">
        <v>740</v>
      </c>
      <c r="BG110" s="118" t="s">
        <v>393</v>
      </c>
      <c r="BH110" s="118" t="s">
        <v>394</v>
      </c>
      <c r="BI110" s="118" t="s">
        <v>394</v>
      </c>
      <c r="BJ110" s="118" t="s">
        <v>393</v>
      </c>
      <c r="BK110" s="118" t="s">
        <v>6988</v>
      </c>
      <c r="BL110" s="118" t="s">
        <v>6415</v>
      </c>
      <c r="BM110" s="118" t="s">
        <v>6990</v>
      </c>
      <c r="BN110" s="118" t="s">
        <v>6991</v>
      </c>
      <c r="BO110" s="118" t="s">
        <v>6415</v>
      </c>
      <c r="BP110" s="118" t="s">
        <v>6415</v>
      </c>
      <c r="BQ110" s="118" t="s">
        <v>6415</v>
      </c>
      <c r="BR110" s="118" t="s">
        <v>6415</v>
      </c>
      <c r="BS110" s="118" t="s">
        <v>6415</v>
      </c>
      <c r="BT110" s="118" t="s">
        <v>7100</v>
      </c>
      <c r="BU110" s="118" t="s">
        <v>6415</v>
      </c>
      <c r="BV110" s="118" t="s">
        <v>6415</v>
      </c>
      <c r="BW110" s="118" t="s">
        <v>6415</v>
      </c>
      <c r="BX110" s="118" t="s">
        <v>6415</v>
      </c>
      <c r="BY110" s="118" t="s">
        <v>6415</v>
      </c>
      <c r="BZ110" s="118">
        <v>1316</v>
      </c>
      <c r="CA110" s="118" t="s">
        <v>6415</v>
      </c>
      <c r="CB110" s="118" t="s">
        <v>422</v>
      </c>
      <c r="CC110" s="118" t="s">
        <v>740</v>
      </c>
      <c r="CD110" s="118">
        <v>1</v>
      </c>
      <c r="CE110" s="118" t="s">
        <v>397</v>
      </c>
      <c r="CF110" s="118" t="s">
        <v>396</v>
      </c>
      <c r="CG110" s="118" t="s">
        <v>924</v>
      </c>
      <c r="CH110" s="118" t="s">
        <v>6302</v>
      </c>
      <c r="CI110" s="118" t="s">
        <v>6303</v>
      </c>
      <c r="CJ110" s="118" t="s">
        <v>398</v>
      </c>
      <c r="CK110" s="118">
        <v>0</v>
      </c>
      <c r="CL110" s="118">
        <v>35</v>
      </c>
      <c r="CM110" s="118" t="s">
        <v>439</v>
      </c>
      <c r="CN110" s="118" t="s">
        <v>6329</v>
      </c>
      <c r="CO110" s="118" t="s">
        <v>1096</v>
      </c>
      <c r="CP110" s="118" t="s">
        <v>400</v>
      </c>
      <c r="CQ110" s="118" t="s">
        <v>6415</v>
      </c>
      <c r="CR110" s="118" t="s">
        <v>6415</v>
      </c>
      <c r="CS110" s="118" t="s">
        <v>6415</v>
      </c>
      <c r="CT110" s="118" t="s">
        <v>6415</v>
      </c>
      <c r="CU110" s="118" t="s">
        <v>6415</v>
      </c>
      <c r="CV110" s="118" t="s">
        <v>6415</v>
      </c>
      <c r="CW110" s="118">
        <v>20</v>
      </c>
      <c r="CX110" s="118" t="s">
        <v>1066</v>
      </c>
      <c r="CY110" s="118" t="s">
        <v>6341</v>
      </c>
      <c r="CZ110" s="118">
        <v>2</v>
      </c>
      <c r="DA110" s="118" t="s">
        <v>397</v>
      </c>
      <c r="DB110" s="118" t="s">
        <v>396</v>
      </c>
      <c r="DC110" s="118" t="s">
        <v>6415</v>
      </c>
      <c r="DD110" s="118" t="s">
        <v>6302</v>
      </c>
      <c r="DE110" s="118" t="s">
        <v>6314</v>
      </c>
      <c r="DF110" s="118" t="s">
        <v>523</v>
      </c>
      <c r="DG110" s="118" t="s">
        <v>6415</v>
      </c>
      <c r="DH110" s="118">
        <v>35</v>
      </c>
      <c r="DI110" s="118" t="s">
        <v>399</v>
      </c>
      <c r="DJ110" s="118" t="s">
        <v>398</v>
      </c>
      <c r="DK110" s="118" t="s">
        <v>400</v>
      </c>
      <c r="DL110" s="118" t="s">
        <v>432</v>
      </c>
      <c r="DM110" s="118" t="s">
        <v>6415</v>
      </c>
      <c r="DN110" s="118" t="s">
        <v>6415</v>
      </c>
      <c r="DO110" s="118" t="s">
        <v>6415</v>
      </c>
      <c r="DP110" s="118" t="s">
        <v>6415</v>
      </c>
      <c r="DQ110" s="118" t="s">
        <v>6415</v>
      </c>
      <c r="DR110" s="118">
        <v>60</v>
      </c>
      <c r="DS110" s="118" t="s">
        <v>1068</v>
      </c>
      <c r="DT110" s="118" t="s">
        <v>6341</v>
      </c>
      <c r="DU110" s="118" t="s">
        <v>6415</v>
      </c>
      <c r="DV110" s="118" t="s">
        <v>6415</v>
      </c>
      <c r="DW110" s="118" t="s">
        <v>6415</v>
      </c>
      <c r="DX110" s="118" t="s">
        <v>6415</v>
      </c>
      <c r="DY110" s="118" t="s">
        <v>6415</v>
      </c>
      <c r="DZ110" s="118" t="s">
        <v>6415</v>
      </c>
      <c r="EA110" s="118" t="s">
        <v>6415</v>
      </c>
      <c r="EB110" s="118" t="s">
        <v>6415</v>
      </c>
      <c r="EC110" s="118" t="s">
        <v>6415</v>
      </c>
      <c r="ED110" s="118" t="s">
        <v>6415</v>
      </c>
      <c r="EE110" s="118" t="s">
        <v>6415</v>
      </c>
      <c r="EF110" s="118" t="s">
        <v>6415</v>
      </c>
      <c r="EG110" s="118" t="s">
        <v>7014</v>
      </c>
      <c r="EH110" s="118" t="s">
        <v>7099</v>
      </c>
      <c r="EI110" s="118" t="s">
        <v>6415</v>
      </c>
      <c r="EJ110" s="118" t="s">
        <v>6415</v>
      </c>
      <c r="EK110" s="118" t="s">
        <v>6415</v>
      </c>
      <c r="EL110" s="118" t="s">
        <v>7467</v>
      </c>
      <c r="EM110" s="118" t="s">
        <v>7173</v>
      </c>
      <c r="EN110" s="118" t="s">
        <v>6415</v>
      </c>
      <c r="EO110" s="6" t="str">
        <f t="shared" si="14"/>
        <v>Pathweb</v>
      </c>
      <c r="EP110" s="6" t="str">
        <f t="shared" si="15"/>
        <v>Google Maps</v>
      </c>
      <c r="EQ110" s="6" t="str">
        <f t="shared" si="16"/>
        <v>Mashed Map</v>
      </c>
      <c r="ER110" s="118" t="s">
        <v>6727</v>
      </c>
      <c r="ES110" s="118" t="s">
        <v>71</v>
      </c>
      <c r="ET110" s="4">
        <v>0</v>
      </c>
      <c r="EU110" s="4"/>
      <c r="EV110" s="4"/>
    </row>
    <row r="111" spans="1:152" x14ac:dyDescent="0.15">
      <c r="A111" s="581" t="str">
        <f t="shared" si="13"/>
        <v>Crash Report</v>
      </c>
      <c r="B111" s="118">
        <v>20223055135</v>
      </c>
      <c r="C111" s="118">
        <v>2022</v>
      </c>
      <c r="D111" s="118">
        <v>22032927541730</v>
      </c>
      <c r="F111" s="118" t="s">
        <v>6440</v>
      </c>
      <c r="G111" s="118" t="s">
        <v>438</v>
      </c>
      <c r="H111" s="118">
        <v>2</v>
      </c>
      <c r="I111" s="118" t="s">
        <v>6055</v>
      </c>
      <c r="J111" s="118" t="s">
        <v>423</v>
      </c>
      <c r="K111" s="118" t="s">
        <v>6985</v>
      </c>
      <c r="L111" s="118">
        <v>0.51</v>
      </c>
      <c r="M111" s="118">
        <v>0.51</v>
      </c>
      <c r="N111" s="118" t="s">
        <v>7465</v>
      </c>
      <c r="O111" s="118" t="s">
        <v>7468</v>
      </c>
      <c r="P111" s="118">
        <v>41.651820999999998</v>
      </c>
      <c r="Q111" s="118">
        <v>-83.518082000000007</v>
      </c>
      <c r="R111" s="118">
        <v>77000</v>
      </c>
      <c r="S111" s="118" t="s">
        <v>6988</v>
      </c>
      <c r="T111" s="118">
        <v>1</v>
      </c>
      <c r="U111" s="118">
        <v>0</v>
      </c>
      <c r="V111" s="118">
        <v>0</v>
      </c>
      <c r="W111" s="118">
        <v>2</v>
      </c>
      <c r="X111" s="118">
        <v>0</v>
      </c>
      <c r="Y111" s="118">
        <v>1</v>
      </c>
      <c r="Z111" s="118">
        <v>0</v>
      </c>
      <c r="AA111" s="118">
        <v>2</v>
      </c>
      <c r="AB111" s="118" t="s">
        <v>1067</v>
      </c>
      <c r="AC111" s="118" t="s">
        <v>6989</v>
      </c>
      <c r="AD111" s="118" t="s">
        <v>1034</v>
      </c>
      <c r="AE111" s="118" t="s">
        <v>943</v>
      </c>
      <c r="AF111" s="118" t="s">
        <v>1041</v>
      </c>
      <c r="AG111" s="118" t="s">
        <v>6415</v>
      </c>
      <c r="AH111" s="118" t="s">
        <v>393</v>
      </c>
      <c r="AI111" s="118">
        <v>4</v>
      </c>
      <c r="AJ111" s="118" t="s">
        <v>6415</v>
      </c>
      <c r="AK111" s="118" t="s">
        <v>393</v>
      </c>
      <c r="AL111" s="118" t="s">
        <v>393</v>
      </c>
      <c r="AM111" s="118" t="s">
        <v>393</v>
      </c>
      <c r="AN111" s="402" t="s">
        <v>5975</v>
      </c>
      <c r="AO111" s="402">
        <v>44649</v>
      </c>
      <c r="AP111" s="118">
        <v>3</v>
      </c>
      <c r="AQ111" s="118">
        <v>15</v>
      </c>
      <c r="AR111" s="118" t="s">
        <v>6445</v>
      </c>
      <c r="AS111" s="118" t="s">
        <v>392</v>
      </c>
      <c r="AT111" s="118" t="s">
        <v>500</v>
      </c>
      <c r="AU111" s="118" t="s">
        <v>404</v>
      </c>
      <c r="AV111" s="118" t="s">
        <v>508</v>
      </c>
      <c r="AW111" s="118" t="s">
        <v>740</v>
      </c>
      <c r="AX111" s="118" t="s">
        <v>740</v>
      </c>
      <c r="AY111" s="118" t="s">
        <v>393</v>
      </c>
      <c r="AZ111" s="118" t="s">
        <v>393</v>
      </c>
      <c r="BA111" s="118" t="s">
        <v>393</v>
      </c>
      <c r="BB111" s="118" t="s">
        <v>393</v>
      </c>
      <c r="BC111" s="118" t="s">
        <v>393</v>
      </c>
      <c r="BD111" s="118" t="s">
        <v>393</v>
      </c>
      <c r="BE111" s="118" t="s">
        <v>393</v>
      </c>
      <c r="BF111" s="118" t="s">
        <v>393</v>
      </c>
      <c r="BG111" s="118" t="s">
        <v>393</v>
      </c>
      <c r="BH111" s="118" t="s">
        <v>394</v>
      </c>
      <c r="BI111" s="118" t="s">
        <v>394</v>
      </c>
      <c r="BJ111" s="118" t="s">
        <v>393</v>
      </c>
      <c r="BK111" s="118" t="s">
        <v>6988</v>
      </c>
      <c r="BL111" s="118" t="s">
        <v>6415</v>
      </c>
      <c r="BM111" s="118" t="s">
        <v>6990</v>
      </c>
      <c r="BN111" s="118" t="s">
        <v>6991</v>
      </c>
      <c r="BO111" s="118" t="s">
        <v>6415</v>
      </c>
      <c r="BP111" s="118" t="s">
        <v>6415</v>
      </c>
      <c r="BQ111" s="118" t="s">
        <v>6415</v>
      </c>
      <c r="BR111" s="118" t="s">
        <v>6415</v>
      </c>
      <c r="BS111" s="118" t="s">
        <v>261</v>
      </c>
      <c r="BT111" s="118" t="s">
        <v>1791</v>
      </c>
      <c r="BU111" s="118" t="s">
        <v>6991</v>
      </c>
      <c r="BV111" s="118" t="s">
        <v>6415</v>
      </c>
      <c r="BW111" s="118" t="s">
        <v>6415</v>
      </c>
      <c r="BX111" s="118" t="s">
        <v>6415</v>
      </c>
      <c r="BY111" s="118" t="s">
        <v>6415</v>
      </c>
      <c r="BZ111" s="118" t="s">
        <v>6415</v>
      </c>
      <c r="CA111" s="118" t="s">
        <v>6415</v>
      </c>
      <c r="CB111" s="118" t="s">
        <v>221</v>
      </c>
      <c r="CC111" s="118" t="s">
        <v>740</v>
      </c>
      <c r="CD111" s="118">
        <v>2</v>
      </c>
      <c r="CE111" s="118" t="s">
        <v>410</v>
      </c>
      <c r="CF111" s="118" t="s">
        <v>411</v>
      </c>
      <c r="CG111" s="118" t="s">
        <v>924</v>
      </c>
      <c r="CH111" s="118" t="s">
        <v>6300</v>
      </c>
      <c r="CI111" s="118" t="s">
        <v>6303</v>
      </c>
      <c r="CJ111" s="118" t="s">
        <v>398</v>
      </c>
      <c r="CK111" s="14">
        <v>0</v>
      </c>
      <c r="CL111" s="118">
        <v>35</v>
      </c>
      <c r="CM111" s="118" t="s">
        <v>408</v>
      </c>
      <c r="CN111" s="118" t="s">
        <v>6328</v>
      </c>
      <c r="CO111" s="118" t="s">
        <v>488</v>
      </c>
      <c r="CP111" s="118" t="s">
        <v>6363</v>
      </c>
      <c r="CQ111" s="118" t="s">
        <v>400</v>
      </c>
      <c r="CR111" s="118" t="s">
        <v>418</v>
      </c>
      <c r="CS111" s="118" t="s">
        <v>488</v>
      </c>
      <c r="CT111" s="118" t="s">
        <v>6415</v>
      </c>
      <c r="CU111" s="118" t="s">
        <v>6415</v>
      </c>
      <c r="CV111" s="118" t="s">
        <v>6415</v>
      </c>
      <c r="CW111" s="14">
        <v>37</v>
      </c>
      <c r="CX111" s="118" t="s">
        <v>1066</v>
      </c>
      <c r="CY111" s="118" t="s">
        <v>6341</v>
      </c>
      <c r="CZ111" s="118">
        <v>1</v>
      </c>
      <c r="DA111" s="118" t="s">
        <v>411</v>
      </c>
      <c r="DB111" s="118" t="s">
        <v>410</v>
      </c>
      <c r="DC111" s="118" t="s">
        <v>6415</v>
      </c>
      <c r="DD111" s="118" t="s">
        <v>6300</v>
      </c>
      <c r="DE111" s="118" t="s">
        <v>6303</v>
      </c>
      <c r="DF111" s="118" t="s">
        <v>398</v>
      </c>
      <c r="DG111" s="14">
        <v>0</v>
      </c>
      <c r="DH111" s="118">
        <v>35</v>
      </c>
      <c r="DI111" s="118" t="s">
        <v>399</v>
      </c>
      <c r="DJ111" s="118" t="s">
        <v>398</v>
      </c>
      <c r="DK111" s="118" t="s">
        <v>400</v>
      </c>
      <c r="DL111" s="118" t="s">
        <v>6415</v>
      </c>
      <c r="DM111" s="118" t="s">
        <v>6415</v>
      </c>
      <c r="DN111" s="118" t="s">
        <v>6415</v>
      </c>
      <c r="DO111" s="118" t="s">
        <v>6415</v>
      </c>
      <c r="DP111" s="118" t="s">
        <v>6415</v>
      </c>
      <c r="DQ111" s="118" t="s">
        <v>6415</v>
      </c>
      <c r="DR111" s="118">
        <v>59</v>
      </c>
      <c r="DS111" s="118" t="s">
        <v>1068</v>
      </c>
      <c r="DT111" s="118" t="s">
        <v>6341</v>
      </c>
      <c r="DU111" s="118" t="s">
        <v>6415</v>
      </c>
      <c r="DV111" s="118" t="s">
        <v>6415</v>
      </c>
      <c r="DW111" s="118" t="s">
        <v>6415</v>
      </c>
      <c r="DX111" s="118" t="s">
        <v>6415</v>
      </c>
      <c r="DY111" s="118" t="s">
        <v>6415</v>
      </c>
      <c r="DZ111" s="118" t="s">
        <v>6415</v>
      </c>
      <c r="EA111" s="118" t="s">
        <v>6415</v>
      </c>
      <c r="EB111" s="118" t="s">
        <v>6415</v>
      </c>
      <c r="EC111" s="118" t="s">
        <v>6415</v>
      </c>
      <c r="ED111" s="118" t="s">
        <v>6415</v>
      </c>
      <c r="EE111" s="118" t="s">
        <v>6415</v>
      </c>
      <c r="EF111" s="118" t="s">
        <v>6415</v>
      </c>
      <c r="EG111" s="118" t="s">
        <v>6994</v>
      </c>
      <c r="EH111" s="118" t="s">
        <v>7175</v>
      </c>
      <c r="EI111" s="118" t="s">
        <v>6415</v>
      </c>
      <c r="EJ111" s="118" t="s">
        <v>6415</v>
      </c>
      <c r="EK111" s="118" t="s">
        <v>6415</v>
      </c>
      <c r="EL111" s="118" t="s">
        <v>7467</v>
      </c>
      <c r="EM111" s="118" t="s">
        <v>7174</v>
      </c>
      <c r="EN111" s="118" t="s">
        <v>6415</v>
      </c>
      <c r="EO111" s="6" t="str">
        <f t="shared" si="14"/>
        <v>Pathweb</v>
      </c>
      <c r="EP111" s="6" t="str">
        <f t="shared" si="15"/>
        <v>Google Maps</v>
      </c>
      <c r="EQ111" s="6" t="str">
        <f t="shared" si="16"/>
        <v>Mashed Map</v>
      </c>
      <c r="ER111" s="118" t="s">
        <v>6727</v>
      </c>
      <c r="ES111" s="118" t="s">
        <v>6728</v>
      </c>
      <c r="ET111" s="4">
        <v>0</v>
      </c>
      <c r="EU111" s="4"/>
      <c r="EV111" s="4"/>
    </row>
    <row r="112" spans="1:152" x14ac:dyDescent="0.15">
      <c r="A112" s="581" t="str">
        <f t="shared" si="13"/>
        <v>Crash Report</v>
      </c>
      <c r="B112" s="118">
        <v>20223058731</v>
      </c>
      <c r="C112" s="118">
        <v>2022</v>
      </c>
      <c r="D112" s="118">
        <v>22040723000930</v>
      </c>
      <c r="F112" s="118" t="s">
        <v>6442</v>
      </c>
      <c r="G112" s="118" t="s">
        <v>212</v>
      </c>
      <c r="H112" s="118">
        <v>2</v>
      </c>
      <c r="I112" s="118" t="s">
        <v>6055</v>
      </c>
      <c r="J112" s="118" t="s">
        <v>391</v>
      </c>
      <c r="K112" s="118" t="s">
        <v>6997</v>
      </c>
      <c r="L112" s="118">
        <v>0.188</v>
      </c>
      <c r="M112" s="118">
        <v>0.188</v>
      </c>
      <c r="N112" s="118" t="s">
        <v>7469</v>
      </c>
      <c r="O112" s="118" t="s">
        <v>7491</v>
      </c>
      <c r="P112" s="118">
        <v>41.642558000000001</v>
      </c>
      <c r="Q112" s="118">
        <v>-83.518231999999998</v>
      </c>
      <c r="R112" s="118">
        <v>77000</v>
      </c>
      <c r="S112" s="118" t="s">
        <v>6988</v>
      </c>
      <c r="T112" s="118">
        <v>1</v>
      </c>
      <c r="U112" s="118">
        <v>0</v>
      </c>
      <c r="V112" s="118">
        <v>0</v>
      </c>
      <c r="W112" s="118">
        <v>0</v>
      </c>
      <c r="X112" s="118">
        <v>0</v>
      </c>
      <c r="Y112" s="118">
        <v>1</v>
      </c>
      <c r="Z112" s="118">
        <v>0</v>
      </c>
      <c r="AA112" s="118">
        <v>2</v>
      </c>
      <c r="AB112" s="118" t="s">
        <v>1067</v>
      </c>
      <c r="AC112" s="118" t="s">
        <v>6989</v>
      </c>
      <c r="AD112" s="118" t="s">
        <v>1034</v>
      </c>
      <c r="AE112" s="118" t="s">
        <v>943</v>
      </c>
      <c r="AF112" s="118" t="s">
        <v>1045</v>
      </c>
      <c r="AG112" s="118" t="s">
        <v>6415</v>
      </c>
      <c r="AH112" s="118" t="s">
        <v>393</v>
      </c>
      <c r="AI112" s="118">
        <v>4</v>
      </c>
      <c r="AJ112" s="118" t="s">
        <v>6415</v>
      </c>
      <c r="AK112" s="118" t="s">
        <v>393</v>
      </c>
      <c r="AL112" s="118" t="s">
        <v>393</v>
      </c>
      <c r="AM112" s="118" t="s">
        <v>393</v>
      </c>
      <c r="AN112" s="402" t="s">
        <v>5975</v>
      </c>
      <c r="AO112" s="402">
        <v>44658</v>
      </c>
      <c r="AP112" s="118">
        <v>4</v>
      </c>
      <c r="AQ112" s="118">
        <v>9</v>
      </c>
      <c r="AR112" s="118" t="s">
        <v>6447</v>
      </c>
      <c r="AS112" s="118" t="s">
        <v>392</v>
      </c>
      <c r="AT112" s="118" t="s">
        <v>500</v>
      </c>
      <c r="AU112" s="118" t="s">
        <v>404</v>
      </c>
      <c r="AV112" s="118" t="s">
        <v>508</v>
      </c>
      <c r="AW112" s="118" t="s">
        <v>393</v>
      </c>
      <c r="AX112" s="118" t="s">
        <v>740</v>
      </c>
      <c r="AY112" s="118" t="s">
        <v>393</v>
      </c>
      <c r="AZ112" s="118" t="s">
        <v>393</v>
      </c>
      <c r="BA112" s="118" t="s">
        <v>393</v>
      </c>
      <c r="BB112" s="118" t="s">
        <v>393</v>
      </c>
      <c r="BC112" s="118" t="s">
        <v>393</v>
      </c>
      <c r="BD112" s="118" t="s">
        <v>740</v>
      </c>
      <c r="BE112" s="118" t="s">
        <v>393</v>
      </c>
      <c r="BF112" s="118" t="s">
        <v>393</v>
      </c>
      <c r="BG112" s="118" t="s">
        <v>393</v>
      </c>
      <c r="BH112" s="118" t="s">
        <v>394</v>
      </c>
      <c r="BI112" s="118" t="s">
        <v>394</v>
      </c>
      <c r="BJ112" s="118" t="s">
        <v>393</v>
      </c>
      <c r="BK112" s="118" t="s">
        <v>6988</v>
      </c>
      <c r="BL112" s="118" t="s">
        <v>6415</v>
      </c>
      <c r="BM112" s="118" t="s">
        <v>6992</v>
      </c>
      <c r="BN112" s="118" t="s">
        <v>6991</v>
      </c>
      <c r="BO112" s="118" t="s">
        <v>6415</v>
      </c>
      <c r="BP112" s="118" t="s">
        <v>6415</v>
      </c>
      <c r="BQ112" s="118" t="s">
        <v>6415</v>
      </c>
      <c r="BR112" s="118" t="s">
        <v>6415</v>
      </c>
      <c r="BS112" s="118" t="s">
        <v>6415</v>
      </c>
      <c r="BT112" s="118" t="s">
        <v>3788</v>
      </c>
      <c r="BU112" s="118" t="s">
        <v>6991</v>
      </c>
      <c r="BV112" s="118" t="s">
        <v>6415</v>
      </c>
      <c r="BW112" s="118" t="s">
        <v>6415</v>
      </c>
      <c r="BX112" s="118" t="s">
        <v>6415</v>
      </c>
      <c r="BY112" s="118" t="s">
        <v>6415</v>
      </c>
      <c r="BZ112" s="118" t="s">
        <v>6415</v>
      </c>
      <c r="CA112" s="118" t="s">
        <v>6415</v>
      </c>
      <c r="CB112" s="118" t="s">
        <v>221</v>
      </c>
      <c r="CC112" s="118" t="s">
        <v>740</v>
      </c>
      <c r="CD112" s="118">
        <v>2</v>
      </c>
      <c r="CE112" s="118" t="s">
        <v>411</v>
      </c>
      <c r="CF112" s="118" t="s">
        <v>410</v>
      </c>
      <c r="CG112" s="118" t="s">
        <v>924</v>
      </c>
      <c r="CH112" s="118" t="s">
        <v>6302</v>
      </c>
      <c r="CI112" s="118" t="s">
        <v>417</v>
      </c>
      <c r="CJ112" s="118" t="s">
        <v>398</v>
      </c>
      <c r="CK112" s="14">
        <v>40</v>
      </c>
      <c r="CL112" s="118">
        <v>25</v>
      </c>
      <c r="CM112" s="118" t="s">
        <v>212</v>
      </c>
      <c r="CN112" s="118" t="s">
        <v>441</v>
      </c>
      <c r="CO112" s="118" t="s">
        <v>1096</v>
      </c>
      <c r="CP112" s="118" t="s">
        <v>400</v>
      </c>
      <c r="CQ112" s="118" t="s">
        <v>6415</v>
      </c>
      <c r="CR112" s="118" t="s">
        <v>6415</v>
      </c>
      <c r="CS112" s="118" t="s">
        <v>6415</v>
      </c>
      <c r="CT112" s="118" t="s">
        <v>6415</v>
      </c>
      <c r="CU112" s="118" t="s">
        <v>6415</v>
      </c>
      <c r="CV112" s="118" t="s">
        <v>6415</v>
      </c>
      <c r="CW112" s="14">
        <v>32</v>
      </c>
      <c r="CX112" s="118" t="s">
        <v>1068</v>
      </c>
      <c r="CY112" s="118" t="s">
        <v>6341</v>
      </c>
      <c r="CZ112" s="118">
        <v>1</v>
      </c>
      <c r="DA112" s="118" t="s">
        <v>410</v>
      </c>
      <c r="DB112" s="118" t="s">
        <v>411</v>
      </c>
      <c r="DC112" s="118" t="s">
        <v>6415</v>
      </c>
      <c r="DD112" s="118" t="s">
        <v>6302</v>
      </c>
      <c r="DE112" s="118" t="s">
        <v>417</v>
      </c>
      <c r="DF112" s="118" t="s">
        <v>398</v>
      </c>
      <c r="DG112" s="14">
        <v>0</v>
      </c>
      <c r="DH112" s="118">
        <v>25</v>
      </c>
      <c r="DI112" s="118" t="s">
        <v>429</v>
      </c>
      <c r="DJ112" s="118" t="s">
        <v>398</v>
      </c>
      <c r="DK112" s="118" t="s">
        <v>400</v>
      </c>
      <c r="DL112" s="118" t="s">
        <v>6415</v>
      </c>
      <c r="DM112" s="118" t="s">
        <v>6415</v>
      </c>
      <c r="DN112" s="118" t="s">
        <v>6415</v>
      </c>
      <c r="DO112" s="118" t="s">
        <v>6415</v>
      </c>
      <c r="DP112" s="118" t="s">
        <v>6415</v>
      </c>
      <c r="DQ112" s="118" t="s">
        <v>6415</v>
      </c>
      <c r="DR112" s="118">
        <v>0</v>
      </c>
      <c r="DS112" s="118" t="s">
        <v>6415</v>
      </c>
      <c r="DT112" s="118" t="s">
        <v>6415</v>
      </c>
      <c r="DU112" s="118" t="s">
        <v>6415</v>
      </c>
      <c r="DV112" s="118" t="s">
        <v>6415</v>
      </c>
      <c r="DW112" s="118" t="s">
        <v>6415</v>
      </c>
      <c r="DX112" s="118" t="s">
        <v>6415</v>
      </c>
      <c r="DY112" s="118" t="s">
        <v>6415</v>
      </c>
      <c r="DZ112" s="118" t="s">
        <v>6415</v>
      </c>
      <c r="EA112" s="118" t="s">
        <v>6415</v>
      </c>
      <c r="EB112" s="118" t="s">
        <v>6415</v>
      </c>
      <c r="EC112" s="118" t="s">
        <v>6415</v>
      </c>
      <c r="ED112" s="118" t="s">
        <v>6415</v>
      </c>
      <c r="EE112" s="118" t="s">
        <v>6415</v>
      </c>
      <c r="EF112" s="118" t="s">
        <v>6415</v>
      </c>
      <c r="EG112" s="118" t="s">
        <v>7177</v>
      </c>
      <c r="EH112" s="118" t="s">
        <v>7178</v>
      </c>
      <c r="EI112" s="118" t="s">
        <v>6415</v>
      </c>
      <c r="EJ112" s="118" t="s">
        <v>6415</v>
      </c>
      <c r="EK112" s="118" t="s">
        <v>6415</v>
      </c>
      <c r="EL112" s="118" t="s">
        <v>7467</v>
      </c>
      <c r="EM112" s="118" t="s">
        <v>7176</v>
      </c>
      <c r="EN112" s="118" t="s">
        <v>6415</v>
      </c>
      <c r="EO112" s="6" t="str">
        <f t="shared" si="14"/>
        <v>Pathweb</v>
      </c>
      <c r="EP112" s="6" t="str">
        <f t="shared" si="15"/>
        <v>Google Maps</v>
      </c>
      <c r="EQ112" s="6" t="str">
        <f t="shared" si="16"/>
        <v>Mashed Map</v>
      </c>
      <c r="ER112" s="118" t="s">
        <v>6727</v>
      </c>
      <c r="ES112" s="118" t="s">
        <v>71</v>
      </c>
      <c r="ET112" s="4">
        <v>0</v>
      </c>
      <c r="EU112" s="4"/>
      <c r="EV112" s="4"/>
    </row>
    <row r="113" spans="1:152" x14ac:dyDescent="0.15">
      <c r="A113" s="581" t="str">
        <f t="shared" si="13"/>
        <v>Crash Report</v>
      </c>
      <c r="B113" s="14">
        <v>20223060229</v>
      </c>
      <c r="C113" s="118">
        <v>2022</v>
      </c>
      <c r="D113" s="14">
        <v>22040927841723</v>
      </c>
      <c r="F113" s="118" t="s">
        <v>6440</v>
      </c>
      <c r="G113" s="118" t="s">
        <v>390</v>
      </c>
      <c r="H113" s="118">
        <v>2</v>
      </c>
      <c r="I113" s="118" t="s">
        <v>6055</v>
      </c>
      <c r="J113" s="118" t="s">
        <v>391</v>
      </c>
      <c r="K113" s="118" t="s">
        <v>6985</v>
      </c>
      <c r="L113" s="118">
        <v>0.21</v>
      </c>
      <c r="M113" s="118">
        <v>0.21</v>
      </c>
      <c r="N113" s="118" t="s">
        <v>7465</v>
      </c>
      <c r="O113" s="118" t="s">
        <v>7485</v>
      </c>
      <c r="P113" s="118">
        <v>41.649082</v>
      </c>
      <c r="Q113" s="118">
        <v>-83.522566999999995</v>
      </c>
      <c r="R113" s="118">
        <v>77000</v>
      </c>
      <c r="S113" s="118" t="s">
        <v>6988</v>
      </c>
      <c r="T113" s="118">
        <v>1</v>
      </c>
      <c r="U113" s="118">
        <v>0</v>
      </c>
      <c r="V113" s="118">
        <v>0</v>
      </c>
      <c r="W113" s="118">
        <v>1</v>
      </c>
      <c r="X113" s="118">
        <v>0</v>
      </c>
      <c r="Y113" s="118">
        <v>2</v>
      </c>
      <c r="Z113" s="118">
        <v>0</v>
      </c>
      <c r="AA113" s="118">
        <v>2</v>
      </c>
      <c r="AB113" s="118" t="s">
        <v>1067</v>
      </c>
      <c r="AC113" s="118" t="s">
        <v>6989</v>
      </c>
      <c r="AD113" s="118" t="s">
        <v>1034</v>
      </c>
      <c r="AE113" s="118" t="s">
        <v>943</v>
      </c>
      <c r="AF113" s="118" t="s">
        <v>1041</v>
      </c>
      <c r="AG113" s="118" t="s">
        <v>6415</v>
      </c>
      <c r="AH113" s="118" t="s">
        <v>393</v>
      </c>
      <c r="AI113" s="118">
        <v>4</v>
      </c>
      <c r="AJ113" s="118" t="s">
        <v>6415</v>
      </c>
      <c r="AK113" s="118" t="s">
        <v>393</v>
      </c>
      <c r="AL113" s="118" t="s">
        <v>393</v>
      </c>
      <c r="AM113" s="118" t="s">
        <v>393</v>
      </c>
      <c r="AN113" s="402" t="s">
        <v>5975</v>
      </c>
      <c r="AO113" s="402">
        <v>44660</v>
      </c>
      <c r="AP113" s="118">
        <v>4</v>
      </c>
      <c r="AQ113" s="118">
        <v>17</v>
      </c>
      <c r="AR113" s="118" t="s">
        <v>6449</v>
      </c>
      <c r="AS113" s="118" t="s">
        <v>403</v>
      </c>
      <c r="AT113" s="118" t="s">
        <v>500</v>
      </c>
      <c r="AU113" s="118" t="s">
        <v>404</v>
      </c>
      <c r="AV113" s="118" t="s">
        <v>508</v>
      </c>
      <c r="AW113" s="118" t="s">
        <v>393</v>
      </c>
      <c r="AX113" s="118" t="s">
        <v>393</v>
      </c>
      <c r="AY113" s="118" t="s">
        <v>393</v>
      </c>
      <c r="AZ113" s="118" t="s">
        <v>393</v>
      </c>
      <c r="BA113" s="118" t="s">
        <v>393</v>
      </c>
      <c r="BB113" s="118" t="s">
        <v>393</v>
      </c>
      <c r="BC113" s="118" t="s">
        <v>393</v>
      </c>
      <c r="BD113" s="118" t="s">
        <v>393</v>
      </c>
      <c r="BE113" s="118" t="s">
        <v>393</v>
      </c>
      <c r="BF113" s="118" t="s">
        <v>393</v>
      </c>
      <c r="BG113" s="118" t="s">
        <v>393</v>
      </c>
      <c r="BH113" s="118" t="s">
        <v>394</v>
      </c>
      <c r="BI113" s="118" t="s">
        <v>394</v>
      </c>
      <c r="BJ113" s="118" t="s">
        <v>393</v>
      </c>
      <c r="BK113" s="118" t="s">
        <v>6988</v>
      </c>
      <c r="BL113" s="118" t="s">
        <v>6415</v>
      </c>
      <c r="BM113" s="118" t="s">
        <v>6990</v>
      </c>
      <c r="BN113" s="118" t="s">
        <v>6991</v>
      </c>
      <c r="BO113" s="118" t="s">
        <v>6415</v>
      </c>
      <c r="BP113" s="118" t="s">
        <v>6415</v>
      </c>
      <c r="BQ113" s="118" t="s">
        <v>6415</v>
      </c>
      <c r="BR113" s="118" t="s">
        <v>6415</v>
      </c>
      <c r="BS113" s="118" t="s">
        <v>6415</v>
      </c>
      <c r="BT113" s="118" t="s">
        <v>7108</v>
      </c>
      <c r="BU113" s="118" t="s">
        <v>6991</v>
      </c>
      <c r="BV113" s="118" t="s">
        <v>6415</v>
      </c>
      <c r="BW113" s="118" t="s">
        <v>6415</v>
      </c>
      <c r="BX113" s="118" t="s">
        <v>6415</v>
      </c>
      <c r="BY113" s="118" t="s">
        <v>6415</v>
      </c>
      <c r="BZ113" s="118" t="s">
        <v>6415</v>
      </c>
      <c r="CA113" s="118" t="s">
        <v>6415</v>
      </c>
      <c r="CB113" s="118" t="s">
        <v>221</v>
      </c>
      <c r="CC113" s="118" t="s">
        <v>740</v>
      </c>
      <c r="CD113" s="118">
        <v>1</v>
      </c>
      <c r="CE113" s="118" t="s">
        <v>410</v>
      </c>
      <c r="CF113" s="118" t="s">
        <v>411</v>
      </c>
      <c r="CG113" s="118" t="s">
        <v>924</v>
      </c>
      <c r="CH113" s="118" t="s">
        <v>6302</v>
      </c>
      <c r="CI113" s="118" t="s">
        <v>6303</v>
      </c>
      <c r="CJ113" s="118" t="s">
        <v>398</v>
      </c>
      <c r="CK113" s="118">
        <v>0</v>
      </c>
      <c r="CL113" s="118">
        <v>0</v>
      </c>
      <c r="CM113" s="118" t="s">
        <v>399</v>
      </c>
      <c r="CN113" s="118" t="s">
        <v>6512</v>
      </c>
      <c r="CO113" s="118" t="s">
        <v>1096</v>
      </c>
      <c r="CP113" s="118" t="s">
        <v>400</v>
      </c>
      <c r="CQ113" s="118" t="s">
        <v>6415</v>
      </c>
      <c r="CR113" s="118" t="s">
        <v>6415</v>
      </c>
      <c r="CS113" s="118" t="s">
        <v>6415</v>
      </c>
      <c r="CT113" s="118" t="s">
        <v>6415</v>
      </c>
      <c r="CU113" s="118" t="s">
        <v>6415</v>
      </c>
      <c r="CV113" s="118" t="s">
        <v>6415</v>
      </c>
      <c r="CW113" s="118">
        <v>29</v>
      </c>
      <c r="CX113" s="118" t="s">
        <v>1066</v>
      </c>
      <c r="CY113" s="118" t="s">
        <v>6341</v>
      </c>
      <c r="CZ113" s="118">
        <v>2</v>
      </c>
      <c r="DA113" s="118" t="s">
        <v>410</v>
      </c>
      <c r="DB113" s="118" t="s">
        <v>411</v>
      </c>
      <c r="DC113" s="118" t="s">
        <v>6415</v>
      </c>
      <c r="DD113" s="118" t="s">
        <v>6302</v>
      </c>
      <c r="DE113" s="118" t="s">
        <v>417</v>
      </c>
      <c r="DF113" s="118" t="s">
        <v>398</v>
      </c>
      <c r="DG113" s="118" t="s">
        <v>6415</v>
      </c>
      <c r="DH113" s="118" t="s">
        <v>6415</v>
      </c>
      <c r="DI113" s="118" t="s">
        <v>399</v>
      </c>
      <c r="DJ113" s="118" t="s">
        <v>398</v>
      </c>
      <c r="DK113" s="118" t="s">
        <v>400</v>
      </c>
      <c r="DL113" s="118" t="s">
        <v>6415</v>
      </c>
      <c r="DM113" s="118" t="s">
        <v>6415</v>
      </c>
      <c r="DN113" s="118" t="s">
        <v>6415</v>
      </c>
      <c r="DO113" s="118" t="s">
        <v>6415</v>
      </c>
      <c r="DP113" s="118" t="s">
        <v>6415</v>
      </c>
      <c r="DQ113" s="118" t="s">
        <v>6415</v>
      </c>
      <c r="DR113" s="118">
        <v>46</v>
      </c>
      <c r="DS113" s="118" t="s">
        <v>1068</v>
      </c>
      <c r="DT113" s="118" t="s">
        <v>6341</v>
      </c>
      <c r="DU113" s="118" t="s">
        <v>6415</v>
      </c>
      <c r="DV113" s="118" t="s">
        <v>6415</v>
      </c>
      <c r="DW113" s="118" t="s">
        <v>6415</v>
      </c>
      <c r="DX113" s="118" t="s">
        <v>6415</v>
      </c>
      <c r="DY113" s="118" t="s">
        <v>6415</v>
      </c>
      <c r="DZ113" s="118" t="s">
        <v>6415</v>
      </c>
      <c r="EA113" s="118" t="s">
        <v>6415</v>
      </c>
      <c r="EB113" s="118" t="s">
        <v>6415</v>
      </c>
      <c r="EC113" s="118" t="s">
        <v>6415</v>
      </c>
      <c r="ED113" s="118" t="s">
        <v>6415</v>
      </c>
      <c r="EE113" s="118" t="s">
        <v>6415</v>
      </c>
      <c r="EF113" s="118" t="s">
        <v>6415</v>
      </c>
      <c r="EG113" s="118" t="s">
        <v>7081</v>
      </c>
      <c r="EH113" s="118" t="s">
        <v>7180</v>
      </c>
      <c r="EI113" s="118" t="s">
        <v>6415</v>
      </c>
      <c r="EJ113" s="118" t="s">
        <v>6415</v>
      </c>
      <c r="EK113" s="118" t="s">
        <v>6415</v>
      </c>
      <c r="EL113" s="118" t="s">
        <v>7467</v>
      </c>
      <c r="EM113" s="118" t="s">
        <v>7179</v>
      </c>
      <c r="EN113" s="118" t="s">
        <v>6415</v>
      </c>
      <c r="EO113" s="6" t="str">
        <f t="shared" si="14"/>
        <v>Pathweb</v>
      </c>
      <c r="EP113" s="6" t="str">
        <f t="shared" si="15"/>
        <v>Google Maps</v>
      </c>
      <c r="EQ113" s="6" t="str">
        <f t="shared" si="16"/>
        <v>Mashed Map</v>
      </c>
      <c r="ER113" s="118" t="s">
        <v>6727</v>
      </c>
      <c r="ES113" s="118" t="s">
        <v>6728</v>
      </c>
      <c r="ET113" s="4">
        <v>0.04</v>
      </c>
      <c r="EU113" s="4"/>
      <c r="EV113" s="4"/>
    </row>
    <row r="114" spans="1:152" x14ac:dyDescent="0.15">
      <c r="A114" s="581" t="str">
        <f t="shared" si="13"/>
        <v>Crash Report</v>
      </c>
      <c r="B114" s="14">
        <v>20223060247</v>
      </c>
      <c r="C114" s="118">
        <v>2022</v>
      </c>
      <c r="D114" s="14">
        <v>22041127990455</v>
      </c>
      <c r="F114" s="118" t="s">
        <v>6442</v>
      </c>
      <c r="G114" s="118" t="s">
        <v>438</v>
      </c>
      <c r="H114" s="118">
        <v>2</v>
      </c>
      <c r="I114" s="118" t="s">
        <v>6055</v>
      </c>
      <c r="J114" s="118" t="s">
        <v>391</v>
      </c>
      <c r="K114" s="118" t="s">
        <v>6997</v>
      </c>
      <c r="L114" s="118">
        <v>0.88400000000000001</v>
      </c>
      <c r="M114" s="118">
        <v>0.88400000000000001</v>
      </c>
      <c r="N114" s="118" t="s">
        <v>7469</v>
      </c>
      <c r="O114" s="118" t="s">
        <v>7483</v>
      </c>
      <c r="P114" s="118">
        <v>41.650444</v>
      </c>
      <c r="Q114" s="118">
        <v>-83.525520999999998</v>
      </c>
      <c r="R114" s="118">
        <v>77000</v>
      </c>
      <c r="S114" s="118" t="s">
        <v>6988</v>
      </c>
      <c r="T114" s="118">
        <v>1</v>
      </c>
      <c r="U114" s="118">
        <v>0</v>
      </c>
      <c r="V114" s="118">
        <v>0</v>
      </c>
      <c r="W114" s="118">
        <v>0</v>
      </c>
      <c r="X114" s="118">
        <v>0</v>
      </c>
      <c r="Y114" s="118">
        <v>2</v>
      </c>
      <c r="Z114" s="118">
        <v>0</v>
      </c>
      <c r="AA114" s="118">
        <v>2</v>
      </c>
      <c r="AB114" s="118" t="s">
        <v>1067</v>
      </c>
      <c r="AC114" s="118" t="s">
        <v>6989</v>
      </c>
      <c r="AD114" s="118" t="s">
        <v>1034</v>
      </c>
      <c r="AE114" s="118" t="s">
        <v>943</v>
      </c>
      <c r="AF114" s="118" t="s">
        <v>1041</v>
      </c>
      <c r="AG114" s="118" t="s">
        <v>6415</v>
      </c>
      <c r="AH114" s="118" t="s">
        <v>393</v>
      </c>
      <c r="AI114" s="118">
        <v>2</v>
      </c>
      <c r="AJ114" s="118" t="s">
        <v>6415</v>
      </c>
      <c r="AK114" s="118" t="s">
        <v>393</v>
      </c>
      <c r="AL114" s="118" t="s">
        <v>393</v>
      </c>
      <c r="AM114" s="118" t="s">
        <v>393</v>
      </c>
      <c r="AN114" s="402" t="s">
        <v>5975</v>
      </c>
      <c r="AO114" s="402">
        <v>44662</v>
      </c>
      <c r="AP114" s="118">
        <v>4</v>
      </c>
      <c r="AQ114" s="118">
        <v>4</v>
      </c>
      <c r="AR114" s="118" t="s">
        <v>6444</v>
      </c>
      <c r="AS114" s="118" t="s">
        <v>392</v>
      </c>
      <c r="AT114" s="118" t="s">
        <v>500</v>
      </c>
      <c r="AU114" s="118" t="s">
        <v>505</v>
      </c>
      <c r="AV114" s="118" t="s">
        <v>509</v>
      </c>
      <c r="AW114" s="118" t="s">
        <v>393</v>
      </c>
      <c r="AX114" s="118" t="s">
        <v>393</v>
      </c>
      <c r="AY114" s="118" t="s">
        <v>393</v>
      </c>
      <c r="AZ114" s="118" t="s">
        <v>393</v>
      </c>
      <c r="BA114" s="118" t="s">
        <v>393</v>
      </c>
      <c r="BB114" s="118" t="s">
        <v>393</v>
      </c>
      <c r="BC114" s="118" t="s">
        <v>393</v>
      </c>
      <c r="BD114" s="118" t="s">
        <v>393</v>
      </c>
      <c r="BE114" s="118" t="s">
        <v>393</v>
      </c>
      <c r="BF114" s="118" t="s">
        <v>393</v>
      </c>
      <c r="BG114" s="118" t="s">
        <v>393</v>
      </c>
      <c r="BH114" s="118" t="s">
        <v>394</v>
      </c>
      <c r="BI114" s="118" t="s">
        <v>394</v>
      </c>
      <c r="BJ114" s="118" t="s">
        <v>393</v>
      </c>
      <c r="BK114" s="118" t="s">
        <v>6988</v>
      </c>
      <c r="BL114" s="118" t="s">
        <v>6415</v>
      </c>
      <c r="BM114" s="118" t="s">
        <v>6992</v>
      </c>
      <c r="BN114" s="118" t="s">
        <v>6991</v>
      </c>
      <c r="BO114" s="118" t="s">
        <v>6415</v>
      </c>
      <c r="BP114" s="118" t="s">
        <v>6415</v>
      </c>
      <c r="BQ114" s="118" t="s">
        <v>6415</v>
      </c>
      <c r="BR114" s="118" t="s">
        <v>6415</v>
      </c>
      <c r="BS114" s="118" t="s">
        <v>6415</v>
      </c>
      <c r="BT114" s="118" t="s">
        <v>4748</v>
      </c>
      <c r="BU114" s="118" t="s">
        <v>7057</v>
      </c>
      <c r="BV114" s="118" t="s">
        <v>6415</v>
      </c>
      <c r="BW114" s="118" t="s">
        <v>6415</v>
      </c>
      <c r="BX114" s="118" t="s">
        <v>6415</v>
      </c>
      <c r="BY114" s="118" t="s">
        <v>6415</v>
      </c>
      <c r="BZ114" s="118" t="s">
        <v>6415</v>
      </c>
      <c r="CA114" s="118" t="s">
        <v>6415</v>
      </c>
      <c r="CB114" s="118" t="s">
        <v>221</v>
      </c>
      <c r="CC114" s="118" t="s">
        <v>740</v>
      </c>
      <c r="CD114" s="118">
        <v>2</v>
      </c>
      <c r="CE114" s="118" t="s">
        <v>410</v>
      </c>
      <c r="CF114" s="118" t="s">
        <v>411</v>
      </c>
      <c r="CG114" s="118" t="s">
        <v>924</v>
      </c>
      <c r="CH114" s="118" t="s">
        <v>6302</v>
      </c>
      <c r="CI114" s="118" t="s">
        <v>417</v>
      </c>
      <c r="CJ114" s="118" t="s">
        <v>6151</v>
      </c>
      <c r="CK114" s="14">
        <v>0</v>
      </c>
      <c r="CL114" s="118">
        <v>0</v>
      </c>
      <c r="CM114" s="118" t="s">
        <v>6151</v>
      </c>
      <c r="CN114" s="118" t="s">
        <v>407</v>
      </c>
      <c r="CO114" s="118" t="s">
        <v>1096</v>
      </c>
      <c r="CP114" s="118" t="s">
        <v>400</v>
      </c>
      <c r="CQ114" s="118" t="s">
        <v>6415</v>
      </c>
      <c r="CR114" s="118" t="s">
        <v>6415</v>
      </c>
      <c r="CS114" s="118" t="s">
        <v>6415</v>
      </c>
      <c r="CT114" s="118" t="s">
        <v>6415</v>
      </c>
      <c r="CU114" s="118" t="s">
        <v>6415</v>
      </c>
      <c r="CV114" s="118" t="s">
        <v>6415</v>
      </c>
      <c r="CW114" s="14">
        <v>0</v>
      </c>
      <c r="CX114" s="118" t="s">
        <v>401</v>
      </c>
      <c r="CY114" s="118" t="s">
        <v>6151</v>
      </c>
      <c r="CZ114" s="118">
        <v>1</v>
      </c>
      <c r="DA114" s="118" t="s">
        <v>411</v>
      </c>
      <c r="DB114" s="118" t="s">
        <v>410</v>
      </c>
      <c r="DC114" s="118" t="s">
        <v>6415</v>
      </c>
      <c r="DD114" s="118" t="s">
        <v>6302</v>
      </c>
      <c r="DE114" s="118" t="s">
        <v>6303</v>
      </c>
      <c r="DF114" s="118" t="s">
        <v>398</v>
      </c>
      <c r="DG114" s="14" t="s">
        <v>6415</v>
      </c>
      <c r="DH114" s="118" t="s">
        <v>6415</v>
      </c>
      <c r="DI114" s="118" t="s">
        <v>399</v>
      </c>
      <c r="DJ114" s="118" t="s">
        <v>398</v>
      </c>
      <c r="DK114" s="118" t="s">
        <v>400</v>
      </c>
      <c r="DL114" s="118" t="s">
        <v>461</v>
      </c>
      <c r="DM114" s="118" t="s">
        <v>6151</v>
      </c>
      <c r="DN114" s="118" t="s">
        <v>6415</v>
      </c>
      <c r="DO114" s="118" t="s">
        <v>6415</v>
      </c>
      <c r="DP114" s="118" t="s">
        <v>6415</v>
      </c>
      <c r="DQ114" s="118" t="s">
        <v>6415</v>
      </c>
      <c r="DR114" s="118">
        <v>29</v>
      </c>
      <c r="DS114" s="118" t="s">
        <v>1066</v>
      </c>
      <c r="DT114" s="118" t="s">
        <v>6341</v>
      </c>
      <c r="DU114" s="118" t="s">
        <v>6415</v>
      </c>
      <c r="DV114" s="118" t="s">
        <v>6415</v>
      </c>
      <c r="DW114" s="118" t="s">
        <v>6415</v>
      </c>
      <c r="DX114" s="118" t="s">
        <v>6415</v>
      </c>
      <c r="DY114" s="118" t="s">
        <v>6415</v>
      </c>
      <c r="DZ114" s="118" t="s">
        <v>6415</v>
      </c>
      <c r="EA114" s="118" t="s">
        <v>6415</v>
      </c>
      <c r="EB114" s="118" t="s">
        <v>6415</v>
      </c>
      <c r="EC114" s="118" t="s">
        <v>6415</v>
      </c>
      <c r="ED114" s="118" t="s">
        <v>6415</v>
      </c>
      <c r="EE114" s="118" t="s">
        <v>6415</v>
      </c>
      <c r="EF114" s="118" t="s">
        <v>6415</v>
      </c>
      <c r="EG114" s="118" t="s">
        <v>7055</v>
      </c>
      <c r="EH114" s="118" t="s">
        <v>7056</v>
      </c>
      <c r="EI114" s="118" t="s">
        <v>6415</v>
      </c>
      <c r="EJ114" s="118" t="s">
        <v>6415</v>
      </c>
      <c r="EK114" s="118" t="s">
        <v>6415</v>
      </c>
      <c r="EL114" s="118" t="s">
        <v>7467</v>
      </c>
      <c r="EM114" s="118" t="s">
        <v>7181</v>
      </c>
      <c r="EN114" s="118" t="s">
        <v>6415</v>
      </c>
      <c r="EO114" s="6" t="str">
        <f t="shared" si="14"/>
        <v>Pathweb</v>
      </c>
      <c r="EP114" s="6" t="str">
        <f t="shared" si="15"/>
        <v>Google Maps</v>
      </c>
      <c r="EQ114" s="6" t="str">
        <f t="shared" si="16"/>
        <v>Mashed Map</v>
      </c>
      <c r="ER114" s="118" t="s">
        <v>6727</v>
      </c>
      <c r="ES114" s="118" t="s">
        <v>71</v>
      </c>
      <c r="ET114" s="4">
        <v>0</v>
      </c>
      <c r="EU114" s="4"/>
      <c r="EV114" s="4"/>
    </row>
    <row r="115" spans="1:152" x14ac:dyDescent="0.15">
      <c r="A115" s="581" t="str">
        <f t="shared" si="13"/>
        <v>Crash Report</v>
      </c>
      <c r="B115" s="118">
        <v>20223067291</v>
      </c>
      <c r="C115" s="118">
        <v>2022</v>
      </c>
      <c r="D115" s="118">
        <v>22041927541800</v>
      </c>
      <c r="F115" s="118" t="s">
        <v>6442</v>
      </c>
      <c r="G115" s="118" t="s">
        <v>402</v>
      </c>
      <c r="H115" s="118">
        <v>2</v>
      </c>
      <c r="I115" s="118" t="s">
        <v>6055</v>
      </c>
      <c r="J115" s="118" t="s">
        <v>423</v>
      </c>
      <c r="K115" s="118" t="s">
        <v>6985</v>
      </c>
      <c r="L115" s="118">
        <v>0.14899999999999999</v>
      </c>
      <c r="M115" s="118">
        <v>0.14899999999999999</v>
      </c>
      <c r="N115" s="118" t="s">
        <v>7465</v>
      </c>
      <c r="O115" s="118" t="s">
        <v>7466</v>
      </c>
      <c r="P115" s="118">
        <v>41.648522999999997</v>
      </c>
      <c r="Q115" s="118">
        <v>-83.523471000000001</v>
      </c>
      <c r="R115" s="118">
        <v>77000</v>
      </c>
      <c r="S115" s="118" t="s">
        <v>6988</v>
      </c>
      <c r="T115" s="118">
        <v>1</v>
      </c>
      <c r="U115" s="118">
        <v>0</v>
      </c>
      <c r="V115" s="118">
        <v>0</v>
      </c>
      <c r="W115" s="118">
        <v>0</v>
      </c>
      <c r="X115" s="118">
        <v>0</v>
      </c>
      <c r="Y115" s="118">
        <v>3</v>
      </c>
      <c r="Z115" s="118">
        <v>0</v>
      </c>
      <c r="AA115" s="118">
        <v>2</v>
      </c>
      <c r="AB115" s="118" t="s">
        <v>1067</v>
      </c>
      <c r="AC115" s="118" t="s">
        <v>6989</v>
      </c>
      <c r="AD115" s="118" t="s">
        <v>1034</v>
      </c>
      <c r="AE115" s="118" t="s">
        <v>943</v>
      </c>
      <c r="AF115" s="118" t="s">
        <v>1042</v>
      </c>
      <c r="AG115" s="118" t="s">
        <v>6415</v>
      </c>
      <c r="AH115" s="118" t="s">
        <v>393</v>
      </c>
      <c r="AI115" s="118">
        <v>4</v>
      </c>
      <c r="AJ115" s="118" t="s">
        <v>6415</v>
      </c>
      <c r="AK115" s="118" t="s">
        <v>393</v>
      </c>
      <c r="AL115" s="118" t="s">
        <v>393</v>
      </c>
      <c r="AM115" s="118" t="s">
        <v>393</v>
      </c>
      <c r="AN115" s="402" t="s">
        <v>5975</v>
      </c>
      <c r="AO115" s="402">
        <v>44670</v>
      </c>
      <c r="AP115" s="118">
        <v>4</v>
      </c>
      <c r="AQ115" s="118">
        <v>18</v>
      </c>
      <c r="AR115" s="118" t="s">
        <v>6445</v>
      </c>
      <c r="AS115" s="118" t="s">
        <v>392</v>
      </c>
      <c r="AT115" s="118" t="s">
        <v>500</v>
      </c>
      <c r="AU115" s="118" t="s">
        <v>404</v>
      </c>
      <c r="AV115" s="118" t="s">
        <v>508</v>
      </c>
      <c r="AW115" s="118" t="s">
        <v>393</v>
      </c>
      <c r="AX115" s="118" t="s">
        <v>740</v>
      </c>
      <c r="AY115" s="118" t="s">
        <v>393</v>
      </c>
      <c r="AZ115" s="118" t="s">
        <v>393</v>
      </c>
      <c r="BA115" s="118" t="s">
        <v>393</v>
      </c>
      <c r="BB115" s="118" t="s">
        <v>393</v>
      </c>
      <c r="BC115" s="118" t="s">
        <v>393</v>
      </c>
      <c r="BD115" s="118" t="s">
        <v>393</v>
      </c>
      <c r="BE115" s="118" t="s">
        <v>393</v>
      </c>
      <c r="BF115" s="118" t="s">
        <v>393</v>
      </c>
      <c r="BG115" s="118" t="s">
        <v>393</v>
      </c>
      <c r="BH115" s="118" t="s">
        <v>394</v>
      </c>
      <c r="BI115" s="118" t="s">
        <v>394</v>
      </c>
      <c r="BJ115" s="118" t="s">
        <v>393</v>
      </c>
      <c r="BK115" s="118" t="s">
        <v>6988</v>
      </c>
      <c r="BL115" s="118" t="s">
        <v>6415</v>
      </c>
      <c r="BM115" s="118" t="s">
        <v>6990</v>
      </c>
      <c r="BN115" s="118" t="s">
        <v>6991</v>
      </c>
      <c r="BO115" s="118" t="s">
        <v>6415</v>
      </c>
      <c r="BP115" s="118" t="s">
        <v>6415</v>
      </c>
      <c r="BQ115" s="118" t="s">
        <v>6415</v>
      </c>
      <c r="BR115" s="118" t="s">
        <v>6415</v>
      </c>
      <c r="BS115" s="118" t="s">
        <v>6415</v>
      </c>
      <c r="BT115" s="118" t="s">
        <v>6992</v>
      </c>
      <c r="BU115" s="118" t="s">
        <v>6991</v>
      </c>
      <c r="BV115" s="118" t="s">
        <v>6415</v>
      </c>
      <c r="BW115" s="118" t="s">
        <v>6415</v>
      </c>
      <c r="BX115" s="118" t="s">
        <v>6415</v>
      </c>
      <c r="BY115" s="118" t="s">
        <v>6415</v>
      </c>
      <c r="BZ115" s="118" t="s">
        <v>6415</v>
      </c>
      <c r="CA115" s="118" t="s">
        <v>6415</v>
      </c>
      <c r="CB115" s="118" t="s">
        <v>221</v>
      </c>
      <c r="CC115" s="118" t="s">
        <v>740</v>
      </c>
      <c r="CD115" s="118">
        <v>1</v>
      </c>
      <c r="CE115" s="118" t="s">
        <v>410</v>
      </c>
      <c r="CF115" s="118" t="s">
        <v>411</v>
      </c>
      <c r="CG115" s="118" t="s">
        <v>924</v>
      </c>
      <c r="CH115" s="118" t="s">
        <v>6300</v>
      </c>
      <c r="CI115" s="118" t="s">
        <v>6303</v>
      </c>
      <c r="CJ115" s="118" t="s">
        <v>398</v>
      </c>
      <c r="CK115" s="14">
        <v>35</v>
      </c>
      <c r="CL115" s="118">
        <v>35</v>
      </c>
      <c r="CM115" s="118" t="s">
        <v>399</v>
      </c>
      <c r="CN115" s="118" t="s">
        <v>440</v>
      </c>
      <c r="CO115" s="118" t="s">
        <v>1096</v>
      </c>
      <c r="CP115" s="118" t="s">
        <v>400</v>
      </c>
      <c r="CQ115" s="118" t="s">
        <v>6415</v>
      </c>
      <c r="CR115" s="118" t="s">
        <v>6415</v>
      </c>
      <c r="CS115" s="118" t="s">
        <v>6415</v>
      </c>
      <c r="CT115" s="118" t="s">
        <v>6415</v>
      </c>
      <c r="CU115" s="118" t="s">
        <v>6415</v>
      </c>
      <c r="CV115" s="118" t="s">
        <v>6415</v>
      </c>
      <c r="CW115" s="14">
        <v>31</v>
      </c>
      <c r="CX115" s="118" t="s">
        <v>1066</v>
      </c>
      <c r="CY115" s="118" t="s">
        <v>6341</v>
      </c>
      <c r="CZ115" s="118">
        <v>2</v>
      </c>
      <c r="DA115" s="118" t="s">
        <v>405</v>
      </c>
      <c r="DB115" s="118" t="s">
        <v>411</v>
      </c>
      <c r="DC115" s="118" t="s">
        <v>6415</v>
      </c>
      <c r="DD115" s="118" t="s">
        <v>6300</v>
      </c>
      <c r="DE115" s="118" t="s">
        <v>6303</v>
      </c>
      <c r="DF115" s="118" t="s">
        <v>398</v>
      </c>
      <c r="DG115" s="14">
        <v>10</v>
      </c>
      <c r="DH115" s="118">
        <v>35</v>
      </c>
      <c r="DI115" s="118" t="s">
        <v>435</v>
      </c>
      <c r="DJ115" s="118" t="s">
        <v>398</v>
      </c>
      <c r="DK115" s="118" t="s">
        <v>400</v>
      </c>
      <c r="DL115" s="118" t="s">
        <v>6415</v>
      </c>
      <c r="DM115" s="118" t="s">
        <v>6415</v>
      </c>
      <c r="DN115" s="118" t="s">
        <v>6415</v>
      </c>
      <c r="DO115" s="118" t="s">
        <v>6415</v>
      </c>
      <c r="DP115" s="118" t="s">
        <v>6415</v>
      </c>
      <c r="DQ115" s="118" t="s">
        <v>6415</v>
      </c>
      <c r="DR115" s="118">
        <v>36</v>
      </c>
      <c r="DS115" s="118" t="s">
        <v>1068</v>
      </c>
      <c r="DT115" s="118" t="s">
        <v>6341</v>
      </c>
      <c r="DU115" s="118" t="s">
        <v>6415</v>
      </c>
      <c r="DV115" s="118" t="s">
        <v>6415</v>
      </c>
      <c r="DW115" s="118" t="s">
        <v>6415</v>
      </c>
      <c r="DX115" s="118" t="s">
        <v>6415</v>
      </c>
      <c r="DY115" s="118" t="s">
        <v>6415</v>
      </c>
      <c r="DZ115" s="118" t="s">
        <v>6415</v>
      </c>
      <c r="EA115" s="118" t="s">
        <v>6415</v>
      </c>
      <c r="EB115" s="118" t="s">
        <v>6415</v>
      </c>
      <c r="EC115" s="118" t="s">
        <v>6415</v>
      </c>
      <c r="ED115" s="118" t="s">
        <v>6415</v>
      </c>
      <c r="EE115" s="118" t="s">
        <v>6415</v>
      </c>
      <c r="EF115" s="118" t="s">
        <v>6415</v>
      </c>
      <c r="EG115" s="118" t="s">
        <v>6986</v>
      </c>
      <c r="EH115" s="118" t="s">
        <v>6987</v>
      </c>
      <c r="EI115" s="118" t="s">
        <v>6415</v>
      </c>
      <c r="EJ115" s="118" t="s">
        <v>6415</v>
      </c>
      <c r="EK115" s="118" t="s">
        <v>6415</v>
      </c>
      <c r="EL115" s="118" t="s">
        <v>7467</v>
      </c>
      <c r="EM115" s="118" t="s">
        <v>7182</v>
      </c>
      <c r="EN115" s="118" t="s">
        <v>6415</v>
      </c>
      <c r="EO115" s="6" t="str">
        <f t="shared" si="14"/>
        <v>Pathweb</v>
      </c>
      <c r="EP115" s="6" t="str">
        <f t="shared" si="15"/>
        <v>Google Maps</v>
      </c>
      <c r="EQ115" s="6" t="str">
        <f t="shared" si="16"/>
        <v>Mashed Map</v>
      </c>
      <c r="ER115" s="118" t="s">
        <v>6727</v>
      </c>
      <c r="ES115" s="118" t="s">
        <v>71</v>
      </c>
      <c r="ET115" s="4">
        <v>0</v>
      </c>
      <c r="EU115" s="4"/>
      <c r="EV115" s="4"/>
    </row>
    <row r="116" spans="1:152" x14ac:dyDescent="0.15">
      <c r="A116" s="581" t="str">
        <f t="shared" si="13"/>
        <v>Crash Report</v>
      </c>
      <c r="B116" s="118">
        <v>20223069125</v>
      </c>
      <c r="C116" s="118">
        <v>2022</v>
      </c>
      <c r="D116" s="118">
        <v>22042128141645</v>
      </c>
      <c r="F116" s="118" t="s">
        <v>6442</v>
      </c>
      <c r="G116" s="118" t="s">
        <v>212</v>
      </c>
      <c r="H116" s="118">
        <v>2</v>
      </c>
      <c r="I116" s="118" t="s">
        <v>6055</v>
      </c>
      <c r="J116" s="118" t="s">
        <v>434</v>
      </c>
      <c r="K116" s="118" t="s">
        <v>6985</v>
      </c>
      <c r="L116" s="118">
        <v>0.72</v>
      </c>
      <c r="M116" s="118">
        <v>0.72</v>
      </c>
      <c r="N116" s="118" t="s">
        <v>7465</v>
      </c>
      <c r="O116" s="118" t="s">
        <v>7476</v>
      </c>
      <c r="P116" s="118">
        <v>41.653737999999997</v>
      </c>
      <c r="Q116" s="118">
        <v>-83.514933999999997</v>
      </c>
      <c r="R116" s="118">
        <v>77000</v>
      </c>
      <c r="S116" s="118" t="s">
        <v>6988</v>
      </c>
      <c r="T116" s="118">
        <v>1</v>
      </c>
      <c r="U116" s="118">
        <v>0</v>
      </c>
      <c r="V116" s="118">
        <v>0</v>
      </c>
      <c r="W116" s="118">
        <v>0</v>
      </c>
      <c r="X116" s="118">
        <v>0</v>
      </c>
      <c r="Y116" s="118">
        <v>2</v>
      </c>
      <c r="Z116" s="118">
        <v>0</v>
      </c>
      <c r="AA116" s="118">
        <v>2</v>
      </c>
      <c r="AB116" s="118" t="s">
        <v>1067</v>
      </c>
      <c r="AC116" s="118" t="s">
        <v>6989</v>
      </c>
      <c r="AD116" s="118" t="s">
        <v>1034</v>
      </c>
      <c r="AE116" s="118" t="s">
        <v>943</v>
      </c>
      <c r="AF116" s="118" t="s">
        <v>1041</v>
      </c>
      <c r="AG116" s="118" t="s">
        <v>6415</v>
      </c>
      <c r="AH116" s="118" t="s">
        <v>393</v>
      </c>
      <c r="AI116" s="118">
        <v>4</v>
      </c>
      <c r="AJ116" s="118" t="s">
        <v>6415</v>
      </c>
      <c r="AK116" s="118" t="s">
        <v>393</v>
      </c>
      <c r="AL116" s="118" t="s">
        <v>393</v>
      </c>
      <c r="AM116" s="118" t="s">
        <v>393</v>
      </c>
      <c r="AN116" s="402" t="s">
        <v>5975</v>
      </c>
      <c r="AO116" s="402">
        <v>44672</v>
      </c>
      <c r="AP116" s="118">
        <v>4</v>
      </c>
      <c r="AQ116" s="118">
        <v>16</v>
      </c>
      <c r="AR116" s="118" t="s">
        <v>6447</v>
      </c>
      <c r="AS116" s="118" t="s">
        <v>392</v>
      </c>
      <c r="AT116" s="118" t="s">
        <v>500</v>
      </c>
      <c r="AU116" s="118" t="s">
        <v>6324</v>
      </c>
      <c r="AV116" s="118" t="s">
        <v>508</v>
      </c>
      <c r="AW116" s="118" t="s">
        <v>393</v>
      </c>
      <c r="AX116" s="118" t="s">
        <v>740</v>
      </c>
      <c r="AY116" s="118" t="s">
        <v>393</v>
      </c>
      <c r="AZ116" s="118" t="s">
        <v>393</v>
      </c>
      <c r="BA116" s="118" t="s">
        <v>393</v>
      </c>
      <c r="BB116" s="118" t="s">
        <v>393</v>
      </c>
      <c r="BC116" s="118" t="s">
        <v>393</v>
      </c>
      <c r="BD116" s="118" t="s">
        <v>393</v>
      </c>
      <c r="BE116" s="118" t="s">
        <v>393</v>
      </c>
      <c r="BF116" s="118" t="s">
        <v>393</v>
      </c>
      <c r="BG116" s="118" t="s">
        <v>393</v>
      </c>
      <c r="BH116" s="118" t="s">
        <v>394</v>
      </c>
      <c r="BI116" s="118" t="s">
        <v>394</v>
      </c>
      <c r="BJ116" s="118" t="s">
        <v>393</v>
      </c>
      <c r="BK116" s="118" t="s">
        <v>6988</v>
      </c>
      <c r="BL116" s="118" t="s">
        <v>6415</v>
      </c>
      <c r="BM116" s="118" t="s">
        <v>6990</v>
      </c>
      <c r="BN116" s="118" t="s">
        <v>6991</v>
      </c>
      <c r="BO116" s="118" t="s">
        <v>6415</v>
      </c>
      <c r="BP116" s="118" t="s">
        <v>6415</v>
      </c>
      <c r="BQ116" s="118" t="s">
        <v>6415</v>
      </c>
      <c r="BR116" s="118" t="s">
        <v>6415</v>
      </c>
      <c r="BS116" s="118" t="s">
        <v>6415</v>
      </c>
      <c r="BT116" s="118" t="s">
        <v>7033</v>
      </c>
      <c r="BU116" s="118" t="s">
        <v>6991</v>
      </c>
      <c r="BV116" s="118" t="s">
        <v>6415</v>
      </c>
      <c r="BW116" s="118" t="s">
        <v>6415</v>
      </c>
      <c r="BX116" s="118" t="s">
        <v>6415</v>
      </c>
      <c r="BY116" s="118" t="s">
        <v>6415</v>
      </c>
      <c r="BZ116" s="118" t="s">
        <v>6415</v>
      </c>
      <c r="CA116" s="118" t="s">
        <v>6415</v>
      </c>
      <c r="CB116" s="118" t="s">
        <v>221</v>
      </c>
      <c r="CC116" s="118" t="s">
        <v>740</v>
      </c>
      <c r="CD116" s="118">
        <v>1</v>
      </c>
      <c r="CE116" s="118" t="s">
        <v>411</v>
      </c>
      <c r="CF116" s="118" t="s">
        <v>410</v>
      </c>
      <c r="CG116" s="118" t="s">
        <v>924</v>
      </c>
      <c r="CH116" s="118" t="s">
        <v>433</v>
      </c>
      <c r="CI116" s="118" t="s">
        <v>6305</v>
      </c>
      <c r="CJ116" s="118" t="s">
        <v>398</v>
      </c>
      <c r="CK116" s="118">
        <v>0</v>
      </c>
      <c r="CL116" s="118">
        <v>25</v>
      </c>
      <c r="CM116" s="118" t="s">
        <v>212</v>
      </c>
      <c r="CN116" s="118" t="s">
        <v>441</v>
      </c>
      <c r="CO116" s="118" t="s">
        <v>1096</v>
      </c>
      <c r="CP116" s="118" t="s">
        <v>400</v>
      </c>
      <c r="CQ116" s="118" t="s">
        <v>6415</v>
      </c>
      <c r="CR116" s="118" t="s">
        <v>6415</v>
      </c>
      <c r="CS116" s="118" t="s">
        <v>6415</v>
      </c>
      <c r="CT116" s="118" t="s">
        <v>6415</v>
      </c>
      <c r="CU116" s="118" t="s">
        <v>6415</v>
      </c>
      <c r="CV116" s="118" t="s">
        <v>6415</v>
      </c>
      <c r="CW116" s="118">
        <v>34</v>
      </c>
      <c r="CX116" s="118" t="s">
        <v>1068</v>
      </c>
      <c r="CY116" s="118" t="s">
        <v>6151</v>
      </c>
      <c r="CZ116" s="118">
        <v>2</v>
      </c>
      <c r="DA116" s="118" t="s">
        <v>411</v>
      </c>
      <c r="DB116" s="118" t="s">
        <v>410</v>
      </c>
      <c r="DC116" s="118" t="s">
        <v>6415</v>
      </c>
      <c r="DD116" s="118" t="s">
        <v>433</v>
      </c>
      <c r="DE116" s="118" t="s">
        <v>6303</v>
      </c>
      <c r="DF116" s="118" t="s">
        <v>398</v>
      </c>
      <c r="DG116" s="118" t="s">
        <v>6415</v>
      </c>
      <c r="DH116" s="118">
        <v>25</v>
      </c>
      <c r="DI116" s="118" t="s">
        <v>6355</v>
      </c>
      <c r="DJ116" s="118" t="s">
        <v>398</v>
      </c>
      <c r="DK116" s="118" t="s">
        <v>400</v>
      </c>
      <c r="DL116" s="118" t="s">
        <v>6415</v>
      </c>
      <c r="DM116" s="118" t="s">
        <v>6415</v>
      </c>
      <c r="DN116" s="118" t="s">
        <v>6415</v>
      </c>
      <c r="DO116" s="118" t="s">
        <v>6415</v>
      </c>
      <c r="DP116" s="118" t="s">
        <v>6415</v>
      </c>
      <c r="DQ116" s="118" t="s">
        <v>6415</v>
      </c>
      <c r="DR116" s="118">
        <v>62</v>
      </c>
      <c r="DS116" s="118" t="s">
        <v>1066</v>
      </c>
      <c r="DT116" s="118" t="s">
        <v>6151</v>
      </c>
      <c r="DU116" s="118" t="s">
        <v>6415</v>
      </c>
      <c r="DV116" s="118" t="s">
        <v>6415</v>
      </c>
      <c r="DW116" s="118" t="s">
        <v>6415</v>
      </c>
      <c r="DX116" s="118" t="s">
        <v>6415</v>
      </c>
      <c r="DY116" s="118" t="s">
        <v>6415</v>
      </c>
      <c r="DZ116" s="118" t="s">
        <v>6415</v>
      </c>
      <c r="EA116" s="118" t="s">
        <v>6415</v>
      </c>
      <c r="EB116" s="118" t="s">
        <v>6415</v>
      </c>
      <c r="EC116" s="118" t="s">
        <v>6415</v>
      </c>
      <c r="ED116" s="118" t="s">
        <v>6415</v>
      </c>
      <c r="EE116" s="118" t="s">
        <v>6415</v>
      </c>
      <c r="EF116" s="118" t="s">
        <v>6415</v>
      </c>
      <c r="EG116" s="118" t="s">
        <v>7031</v>
      </c>
      <c r="EH116" s="118" t="s">
        <v>7184</v>
      </c>
      <c r="EI116" s="118" t="s">
        <v>6415</v>
      </c>
      <c r="EJ116" s="118" t="s">
        <v>6415</v>
      </c>
      <c r="EK116" s="118" t="s">
        <v>6415</v>
      </c>
      <c r="EL116" s="118" t="s">
        <v>7467</v>
      </c>
      <c r="EM116" s="118" t="s">
        <v>7183</v>
      </c>
      <c r="EN116" s="118" t="s">
        <v>6415</v>
      </c>
      <c r="EO116" s="6" t="str">
        <f t="shared" si="14"/>
        <v>Pathweb</v>
      </c>
      <c r="EP116" s="6" t="str">
        <f t="shared" si="15"/>
        <v>Google Maps</v>
      </c>
      <c r="EQ116" s="6" t="str">
        <f t="shared" si="16"/>
        <v>Mashed Map</v>
      </c>
      <c r="ER116" s="118" t="s">
        <v>6727</v>
      </c>
      <c r="ES116" s="118" t="s">
        <v>71</v>
      </c>
      <c r="ET116" s="4">
        <v>0</v>
      </c>
      <c r="EU116" s="4"/>
      <c r="EV116" s="4"/>
    </row>
    <row r="117" spans="1:152" x14ac:dyDescent="0.15">
      <c r="A117" s="581" t="str">
        <f t="shared" si="13"/>
        <v>Crash Report</v>
      </c>
      <c r="B117" s="14">
        <v>20223074645</v>
      </c>
      <c r="C117" s="118">
        <v>2022</v>
      </c>
      <c r="D117" s="14">
        <v>22043027941654</v>
      </c>
      <c r="F117" s="118" t="s">
        <v>6442</v>
      </c>
      <c r="G117" s="118" t="s">
        <v>230</v>
      </c>
      <c r="H117" s="118">
        <v>2</v>
      </c>
      <c r="I117" s="118" t="s">
        <v>6055</v>
      </c>
      <c r="J117" s="118" t="s">
        <v>434</v>
      </c>
      <c r="K117" s="118" t="s">
        <v>6985</v>
      </c>
      <c r="L117" s="118">
        <v>0.82</v>
      </c>
      <c r="M117" s="118">
        <v>0.82</v>
      </c>
      <c r="N117" s="118" t="s">
        <v>7465</v>
      </c>
      <c r="O117" s="118" t="s">
        <v>7482</v>
      </c>
      <c r="P117" s="118">
        <v>41.654646999999997</v>
      </c>
      <c r="Q117" s="118">
        <v>-83.513445000000004</v>
      </c>
      <c r="R117" s="118">
        <v>77000</v>
      </c>
      <c r="S117" s="118" t="s">
        <v>6988</v>
      </c>
      <c r="T117" s="118">
        <v>1</v>
      </c>
      <c r="U117" s="118">
        <v>0</v>
      </c>
      <c r="V117" s="118">
        <v>0</v>
      </c>
      <c r="W117" s="118">
        <v>0</v>
      </c>
      <c r="X117" s="118">
        <v>0</v>
      </c>
      <c r="Y117" s="118">
        <v>5</v>
      </c>
      <c r="Z117" s="118">
        <v>0</v>
      </c>
      <c r="AA117" s="118">
        <v>2</v>
      </c>
      <c r="AB117" s="118" t="s">
        <v>1067</v>
      </c>
      <c r="AC117" s="118" t="s">
        <v>6989</v>
      </c>
      <c r="AD117" s="118" t="s">
        <v>1034</v>
      </c>
      <c r="AE117" s="118" t="s">
        <v>943</v>
      </c>
      <c r="AF117" s="118" t="s">
        <v>1041</v>
      </c>
      <c r="AG117" s="118" t="s">
        <v>6415</v>
      </c>
      <c r="AH117" s="118" t="s">
        <v>393</v>
      </c>
      <c r="AI117" s="118">
        <v>4</v>
      </c>
      <c r="AJ117" s="118" t="s">
        <v>6415</v>
      </c>
      <c r="AK117" s="118" t="s">
        <v>393</v>
      </c>
      <c r="AL117" s="118" t="s">
        <v>393</v>
      </c>
      <c r="AM117" s="118" t="s">
        <v>393</v>
      </c>
      <c r="AN117" s="402" t="s">
        <v>5975</v>
      </c>
      <c r="AO117" s="402">
        <v>44681</v>
      </c>
      <c r="AP117" s="118">
        <v>4</v>
      </c>
      <c r="AQ117" s="118">
        <v>16</v>
      </c>
      <c r="AR117" s="118" t="s">
        <v>6449</v>
      </c>
      <c r="AS117" s="118" t="s">
        <v>392</v>
      </c>
      <c r="AT117" s="118" t="s">
        <v>225</v>
      </c>
      <c r="AU117" s="118" t="s">
        <v>404</v>
      </c>
      <c r="AV117" s="118" t="s">
        <v>508</v>
      </c>
      <c r="AW117" s="118" t="s">
        <v>393</v>
      </c>
      <c r="AX117" s="118" t="s">
        <v>740</v>
      </c>
      <c r="AY117" s="118" t="s">
        <v>393</v>
      </c>
      <c r="AZ117" s="118" t="s">
        <v>393</v>
      </c>
      <c r="BA117" s="118" t="s">
        <v>393</v>
      </c>
      <c r="BB117" s="118" t="s">
        <v>393</v>
      </c>
      <c r="BC117" s="118" t="s">
        <v>393</v>
      </c>
      <c r="BD117" s="118" t="s">
        <v>393</v>
      </c>
      <c r="BE117" s="118" t="s">
        <v>393</v>
      </c>
      <c r="BF117" s="118" t="s">
        <v>393</v>
      </c>
      <c r="BG117" s="118" t="s">
        <v>393</v>
      </c>
      <c r="BH117" s="118" t="s">
        <v>394</v>
      </c>
      <c r="BI117" s="118" t="s">
        <v>394</v>
      </c>
      <c r="BJ117" s="118" t="s">
        <v>393</v>
      </c>
      <c r="BK117" s="118" t="s">
        <v>6988</v>
      </c>
      <c r="BL117" s="118" t="s">
        <v>6415</v>
      </c>
      <c r="BM117" s="118" t="s">
        <v>6990</v>
      </c>
      <c r="BN117" s="118" t="s">
        <v>6991</v>
      </c>
      <c r="BO117" s="118" t="s">
        <v>6415</v>
      </c>
      <c r="BP117" s="118" t="s">
        <v>6415</v>
      </c>
      <c r="BQ117" s="118" t="s">
        <v>6415</v>
      </c>
      <c r="BR117" s="118" t="s">
        <v>6415</v>
      </c>
      <c r="BS117" s="118" t="s">
        <v>6415</v>
      </c>
      <c r="BT117" s="118" t="s">
        <v>7073</v>
      </c>
      <c r="BU117" s="118" t="s">
        <v>6991</v>
      </c>
      <c r="BV117" s="118" t="s">
        <v>6415</v>
      </c>
      <c r="BW117" s="118" t="s">
        <v>6415</v>
      </c>
      <c r="BX117" s="118" t="s">
        <v>6415</v>
      </c>
      <c r="BY117" s="118" t="s">
        <v>6415</v>
      </c>
      <c r="BZ117" s="118" t="s">
        <v>6415</v>
      </c>
      <c r="CA117" s="118" t="s">
        <v>6415</v>
      </c>
      <c r="CB117" s="118" t="s">
        <v>221</v>
      </c>
      <c r="CC117" s="118" t="s">
        <v>740</v>
      </c>
      <c r="CD117" s="118">
        <v>1</v>
      </c>
      <c r="CE117" s="118" t="s">
        <v>397</v>
      </c>
      <c r="CF117" s="118" t="s">
        <v>411</v>
      </c>
      <c r="CG117" s="118" t="s">
        <v>230</v>
      </c>
      <c r="CH117" s="118" t="s">
        <v>6302</v>
      </c>
      <c r="CI117" s="118" t="s">
        <v>6305</v>
      </c>
      <c r="CJ117" s="118" t="s">
        <v>6151</v>
      </c>
      <c r="CK117" s="14">
        <v>30</v>
      </c>
      <c r="CL117" s="118">
        <v>35</v>
      </c>
      <c r="CM117" s="118" t="s">
        <v>436</v>
      </c>
      <c r="CN117" s="118" t="s">
        <v>6327</v>
      </c>
      <c r="CO117" s="118" t="s">
        <v>1096</v>
      </c>
      <c r="CP117" s="118" t="s">
        <v>400</v>
      </c>
      <c r="CQ117" s="118" t="s">
        <v>6415</v>
      </c>
      <c r="CR117" s="118" t="s">
        <v>6415</v>
      </c>
      <c r="CS117" s="118" t="s">
        <v>6415</v>
      </c>
      <c r="CT117" s="118" t="s">
        <v>6415</v>
      </c>
      <c r="CU117" s="118" t="s">
        <v>6415</v>
      </c>
      <c r="CV117" s="118" t="s">
        <v>6415</v>
      </c>
      <c r="CW117" s="14">
        <v>27</v>
      </c>
      <c r="CX117" s="118" t="s">
        <v>1068</v>
      </c>
      <c r="CY117" s="118" t="s">
        <v>6348</v>
      </c>
      <c r="CZ117" s="118">
        <v>2</v>
      </c>
      <c r="DA117" s="118" t="s">
        <v>405</v>
      </c>
      <c r="DB117" s="118" t="s">
        <v>406</v>
      </c>
      <c r="DC117" s="118" t="s">
        <v>6415</v>
      </c>
      <c r="DD117" s="118" t="s">
        <v>6302</v>
      </c>
      <c r="DE117" s="118" t="s">
        <v>6307</v>
      </c>
      <c r="DF117" s="118" t="s">
        <v>398</v>
      </c>
      <c r="DG117" s="14">
        <v>35</v>
      </c>
      <c r="DH117" s="118">
        <v>35</v>
      </c>
      <c r="DI117" s="118" t="s">
        <v>399</v>
      </c>
      <c r="DJ117" s="118" t="s">
        <v>398</v>
      </c>
      <c r="DK117" s="118" t="s">
        <v>400</v>
      </c>
      <c r="DL117" s="118" t="s">
        <v>6415</v>
      </c>
      <c r="DM117" s="118" t="s">
        <v>6415</v>
      </c>
      <c r="DN117" s="118" t="s">
        <v>6415</v>
      </c>
      <c r="DO117" s="118" t="s">
        <v>6415</v>
      </c>
      <c r="DP117" s="118" t="s">
        <v>6415</v>
      </c>
      <c r="DQ117" s="118" t="s">
        <v>6415</v>
      </c>
      <c r="DR117" s="118">
        <v>41</v>
      </c>
      <c r="DS117" s="118" t="s">
        <v>1068</v>
      </c>
      <c r="DT117" s="118" t="s">
        <v>6341</v>
      </c>
      <c r="DU117" s="118" t="s">
        <v>6415</v>
      </c>
      <c r="DV117" s="118" t="s">
        <v>6415</v>
      </c>
      <c r="DW117" s="118" t="s">
        <v>6415</v>
      </c>
      <c r="DX117" s="118" t="s">
        <v>6415</v>
      </c>
      <c r="DY117" s="118" t="s">
        <v>6415</v>
      </c>
      <c r="DZ117" s="118" t="s">
        <v>6415</v>
      </c>
      <c r="EA117" s="118" t="s">
        <v>6415</v>
      </c>
      <c r="EB117" s="118" t="s">
        <v>6415</v>
      </c>
      <c r="EC117" s="118" t="s">
        <v>6415</v>
      </c>
      <c r="ED117" s="118" t="s">
        <v>6415</v>
      </c>
      <c r="EE117" s="118" t="s">
        <v>6415</v>
      </c>
      <c r="EF117" s="118" t="s">
        <v>6415</v>
      </c>
      <c r="EG117" s="118" t="s">
        <v>7071</v>
      </c>
      <c r="EH117" s="118" t="s">
        <v>7186</v>
      </c>
      <c r="EI117" s="118" t="s">
        <v>6415</v>
      </c>
      <c r="EJ117" s="118" t="s">
        <v>6415</v>
      </c>
      <c r="EK117" s="118" t="s">
        <v>6415</v>
      </c>
      <c r="EL117" s="118" t="s">
        <v>7467</v>
      </c>
      <c r="EM117" s="118" t="s">
        <v>7185</v>
      </c>
      <c r="EN117" s="118" t="s">
        <v>6415</v>
      </c>
      <c r="EO117" s="6" t="str">
        <f t="shared" si="14"/>
        <v>Pathweb</v>
      </c>
      <c r="EP117" s="6" t="str">
        <f t="shared" si="15"/>
        <v>Google Maps</v>
      </c>
      <c r="EQ117" s="6" t="str">
        <f t="shared" si="16"/>
        <v>Mashed Map</v>
      </c>
      <c r="ER117" s="118" t="s">
        <v>6727</v>
      </c>
      <c r="ES117" s="118" t="s">
        <v>71</v>
      </c>
      <c r="ET117" s="4">
        <v>0</v>
      </c>
      <c r="EU117" s="4"/>
      <c r="EV117" s="4"/>
    </row>
    <row r="118" spans="1:152" x14ac:dyDescent="0.15">
      <c r="A118" s="581" t="str">
        <f t="shared" si="13"/>
        <v>Crash Report</v>
      </c>
      <c r="B118" s="14">
        <v>20223075345</v>
      </c>
      <c r="C118" s="118">
        <v>2022</v>
      </c>
      <c r="D118" s="14">
        <v>22043025030006</v>
      </c>
      <c r="F118" s="118" t="s">
        <v>6440</v>
      </c>
      <c r="G118" s="118" t="s">
        <v>209</v>
      </c>
      <c r="H118" s="118">
        <v>2</v>
      </c>
      <c r="I118" s="118" t="s">
        <v>6055</v>
      </c>
      <c r="J118" s="118" t="s">
        <v>391</v>
      </c>
      <c r="K118" s="118" t="s">
        <v>6997</v>
      </c>
      <c r="L118" s="118">
        <v>0.63700000000000001</v>
      </c>
      <c r="M118" s="118">
        <v>0.63700000000000001</v>
      </c>
      <c r="N118" s="118" t="s">
        <v>7469</v>
      </c>
      <c r="O118" s="118">
        <v>141</v>
      </c>
      <c r="P118" s="118">
        <v>41.647668000000003</v>
      </c>
      <c r="Q118" s="118">
        <v>-83.522516999999993</v>
      </c>
      <c r="R118" s="118">
        <v>77000</v>
      </c>
      <c r="S118" s="118" t="s">
        <v>6988</v>
      </c>
      <c r="T118" s="118">
        <v>1</v>
      </c>
      <c r="U118" s="118">
        <v>0</v>
      </c>
      <c r="V118" s="118">
        <v>0</v>
      </c>
      <c r="W118" s="118">
        <v>1</v>
      </c>
      <c r="X118" s="118">
        <v>0</v>
      </c>
      <c r="Y118" s="118">
        <v>1</v>
      </c>
      <c r="Z118" s="118">
        <v>0</v>
      </c>
      <c r="AA118" s="118">
        <v>2</v>
      </c>
      <c r="AB118" s="118" t="s">
        <v>1067</v>
      </c>
      <c r="AC118" s="118" t="s">
        <v>6989</v>
      </c>
      <c r="AD118" s="118" t="s">
        <v>1034</v>
      </c>
      <c r="AE118" s="118" t="s">
        <v>943</v>
      </c>
      <c r="AF118" s="118" t="s">
        <v>1042</v>
      </c>
      <c r="AG118" s="118" t="s">
        <v>6415</v>
      </c>
      <c r="AH118" s="118" t="s">
        <v>393</v>
      </c>
      <c r="AI118" s="118">
        <v>2</v>
      </c>
      <c r="AJ118" s="118" t="s">
        <v>6415</v>
      </c>
      <c r="AK118" s="118" t="s">
        <v>393</v>
      </c>
      <c r="AL118" s="118" t="s">
        <v>393</v>
      </c>
      <c r="AM118" s="118" t="s">
        <v>393</v>
      </c>
      <c r="AN118" s="402" t="s">
        <v>5975</v>
      </c>
      <c r="AO118" s="402">
        <v>44681</v>
      </c>
      <c r="AP118" s="118">
        <v>4</v>
      </c>
      <c r="AQ118" s="118">
        <v>0</v>
      </c>
      <c r="AR118" s="118" t="s">
        <v>6449</v>
      </c>
      <c r="AS118" s="118" t="s">
        <v>392</v>
      </c>
      <c r="AT118" s="118" t="s">
        <v>500</v>
      </c>
      <c r="AU118" s="118" t="s">
        <v>505</v>
      </c>
      <c r="AV118" s="118" t="s">
        <v>508</v>
      </c>
      <c r="AW118" s="118" t="s">
        <v>393</v>
      </c>
      <c r="AX118" s="118" t="s">
        <v>393</v>
      </c>
      <c r="AY118" s="118" t="s">
        <v>740</v>
      </c>
      <c r="AZ118" s="118" t="s">
        <v>393</v>
      </c>
      <c r="BA118" s="118" t="s">
        <v>393</v>
      </c>
      <c r="BB118" s="118" t="s">
        <v>393</v>
      </c>
      <c r="BC118" s="118" t="s">
        <v>393</v>
      </c>
      <c r="BD118" s="118" t="s">
        <v>393</v>
      </c>
      <c r="BE118" s="118" t="s">
        <v>393</v>
      </c>
      <c r="BF118" s="118" t="s">
        <v>393</v>
      </c>
      <c r="BG118" s="118" t="s">
        <v>393</v>
      </c>
      <c r="BH118" s="118" t="s">
        <v>394</v>
      </c>
      <c r="BI118" s="118" t="s">
        <v>394</v>
      </c>
      <c r="BJ118" s="118" t="s">
        <v>393</v>
      </c>
      <c r="BK118" s="118" t="s">
        <v>6988</v>
      </c>
      <c r="BL118" s="118" t="s">
        <v>6415</v>
      </c>
      <c r="BM118" s="118" t="s">
        <v>6992</v>
      </c>
      <c r="BN118" s="118" t="s">
        <v>6991</v>
      </c>
      <c r="BO118" s="118" t="s">
        <v>6415</v>
      </c>
      <c r="BP118" s="118" t="s">
        <v>6415</v>
      </c>
      <c r="BQ118" s="118" t="s">
        <v>6415</v>
      </c>
      <c r="BR118" s="118" t="s">
        <v>6415</v>
      </c>
      <c r="BS118" s="118" t="s">
        <v>6415</v>
      </c>
      <c r="BT118" s="118" t="s">
        <v>7189</v>
      </c>
      <c r="BU118" s="118" t="s">
        <v>6415</v>
      </c>
      <c r="BV118" s="118" t="s">
        <v>6415</v>
      </c>
      <c r="BW118" s="118" t="s">
        <v>6415</v>
      </c>
      <c r="BX118" s="118" t="s">
        <v>6415</v>
      </c>
      <c r="BY118" s="118" t="s">
        <v>6415</v>
      </c>
      <c r="BZ118" s="118">
        <v>141</v>
      </c>
      <c r="CA118" s="118" t="s">
        <v>6415</v>
      </c>
      <c r="CB118" s="118" t="s">
        <v>422</v>
      </c>
      <c r="CC118" s="118" t="s">
        <v>740</v>
      </c>
      <c r="CD118" s="118">
        <v>2</v>
      </c>
      <c r="CE118" s="118" t="s">
        <v>410</v>
      </c>
      <c r="CF118" s="118" t="s">
        <v>411</v>
      </c>
      <c r="CG118" s="118" t="s">
        <v>924</v>
      </c>
      <c r="CH118" s="118" t="s">
        <v>6302</v>
      </c>
      <c r="CI118" s="118" t="s">
        <v>464</v>
      </c>
      <c r="CJ118" s="118" t="s">
        <v>398</v>
      </c>
      <c r="CK118" s="14">
        <v>0</v>
      </c>
      <c r="CL118" s="118">
        <v>25</v>
      </c>
      <c r="CM118" s="118" t="s">
        <v>465</v>
      </c>
      <c r="CN118" s="118" t="s">
        <v>6327</v>
      </c>
      <c r="CO118" s="118" t="s">
        <v>1096</v>
      </c>
      <c r="CP118" s="118" t="s">
        <v>400</v>
      </c>
      <c r="CQ118" s="118" t="s">
        <v>6415</v>
      </c>
      <c r="CR118" s="118" t="s">
        <v>6415</v>
      </c>
      <c r="CS118" s="118" t="s">
        <v>6415</v>
      </c>
      <c r="CT118" s="118" t="s">
        <v>6415</v>
      </c>
      <c r="CU118" s="118" t="s">
        <v>6415</v>
      </c>
      <c r="CV118" s="118" t="s">
        <v>6353</v>
      </c>
      <c r="CW118" s="14">
        <v>25</v>
      </c>
      <c r="CX118" s="118" t="s">
        <v>1068</v>
      </c>
      <c r="CY118" s="118" t="s">
        <v>6151</v>
      </c>
      <c r="CZ118" s="118">
        <v>1</v>
      </c>
      <c r="DA118" s="118" t="s">
        <v>405</v>
      </c>
      <c r="DB118" s="118" t="s">
        <v>406</v>
      </c>
      <c r="DC118" s="118" t="s">
        <v>6415</v>
      </c>
      <c r="DD118" s="118" t="s">
        <v>6302</v>
      </c>
      <c r="DE118" s="118" t="s">
        <v>6305</v>
      </c>
      <c r="DF118" s="118" t="s">
        <v>6151</v>
      </c>
      <c r="DG118" s="14" t="s">
        <v>6415</v>
      </c>
      <c r="DH118" s="118">
        <v>25</v>
      </c>
      <c r="DI118" s="118" t="s">
        <v>399</v>
      </c>
      <c r="DJ118" s="118" t="s">
        <v>398</v>
      </c>
      <c r="DK118" s="118" t="s">
        <v>209</v>
      </c>
      <c r="DL118" s="118" t="s">
        <v>6415</v>
      </c>
      <c r="DM118" s="118" t="s">
        <v>6415</v>
      </c>
      <c r="DN118" s="118" t="s">
        <v>6415</v>
      </c>
      <c r="DO118" s="118" t="s">
        <v>6415</v>
      </c>
      <c r="DP118" s="118" t="s">
        <v>6415</v>
      </c>
      <c r="DQ118" s="118" t="s">
        <v>6415</v>
      </c>
      <c r="DR118" s="118">
        <v>0</v>
      </c>
      <c r="DS118" s="118" t="s">
        <v>1068</v>
      </c>
      <c r="DT118" s="118" t="s">
        <v>6151</v>
      </c>
      <c r="DU118" s="118" t="s">
        <v>6415</v>
      </c>
      <c r="DV118" s="118" t="s">
        <v>6415</v>
      </c>
      <c r="DW118" s="118" t="s">
        <v>6415</v>
      </c>
      <c r="DX118" s="118" t="s">
        <v>6415</v>
      </c>
      <c r="DY118" s="118" t="s">
        <v>6415</v>
      </c>
      <c r="DZ118" s="118" t="s">
        <v>6415</v>
      </c>
      <c r="EA118" s="118" t="s">
        <v>6415</v>
      </c>
      <c r="EB118" s="118" t="s">
        <v>6415</v>
      </c>
      <c r="EC118" s="118" t="s">
        <v>6415</v>
      </c>
      <c r="ED118" s="118" t="s">
        <v>6415</v>
      </c>
      <c r="EE118" s="118" t="s">
        <v>6415</v>
      </c>
      <c r="EF118" s="118" t="s">
        <v>6415</v>
      </c>
      <c r="EG118" s="118" t="s">
        <v>7035</v>
      </c>
      <c r="EH118" s="118" t="s">
        <v>7188</v>
      </c>
      <c r="EI118" s="118" t="s">
        <v>6415</v>
      </c>
      <c r="EJ118" s="118" t="s">
        <v>6415</v>
      </c>
      <c r="EK118" s="118" t="s">
        <v>6415</v>
      </c>
      <c r="EL118" s="118" t="s">
        <v>7467</v>
      </c>
      <c r="EM118" s="118" t="s">
        <v>7187</v>
      </c>
      <c r="EN118" s="118" t="s">
        <v>6415</v>
      </c>
      <c r="EO118" s="6" t="str">
        <f t="shared" si="14"/>
        <v>Pathweb</v>
      </c>
      <c r="EP118" s="6" t="str">
        <f t="shared" si="15"/>
        <v>Google Maps</v>
      </c>
      <c r="EQ118" s="6" t="str">
        <f t="shared" si="16"/>
        <v>Mashed Map</v>
      </c>
      <c r="ER118" s="118" t="s">
        <v>6726</v>
      </c>
      <c r="ES118" s="118" t="s">
        <v>6728</v>
      </c>
      <c r="ET118" s="4">
        <v>0</v>
      </c>
      <c r="EU118" s="4"/>
      <c r="EV118" s="4"/>
    </row>
    <row r="119" spans="1:152" x14ac:dyDescent="0.15">
      <c r="A119" s="581" t="str">
        <f t="shared" si="13"/>
        <v>Crash Report</v>
      </c>
      <c r="B119" s="118">
        <v>20223083430</v>
      </c>
      <c r="C119" s="118">
        <v>2022</v>
      </c>
      <c r="D119" s="118">
        <v>22050928331230</v>
      </c>
      <c r="F119" s="118" t="s">
        <v>6442</v>
      </c>
      <c r="G119" s="118" t="s">
        <v>402</v>
      </c>
      <c r="H119" s="118">
        <v>2</v>
      </c>
      <c r="I119" s="118" t="s">
        <v>6055</v>
      </c>
      <c r="J119" s="118" t="s">
        <v>391</v>
      </c>
      <c r="K119" s="118" t="s">
        <v>6985</v>
      </c>
      <c r="L119" s="118">
        <v>7.0999999999999994E-2</v>
      </c>
      <c r="M119" s="118">
        <v>7.0999999999999994E-2</v>
      </c>
      <c r="N119" s="118" t="s">
        <v>7465</v>
      </c>
      <c r="O119" s="118">
        <v>435</v>
      </c>
      <c r="P119" s="118">
        <v>41.647817000000003</v>
      </c>
      <c r="Q119" s="118">
        <v>-83.524637999999996</v>
      </c>
      <c r="R119" s="118">
        <v>77000</v>
      </c>
      <c r="S119" s="118" t="s">
        <v>6988</v>
      </c>
      <c r="T119" s="118">
        <v>1</v>
      </c>
      <c r="U119" s="118">
        <v>0</v>
      </c>
      <c r="V119" s="118">
        <v>0</v>
      </c>
      <c r="W119" s="118">
        <v>0</v>
      </c>
      <c r="X119" s="118">
        <v>0</v>
      </c>
      <c r="Y119" s="118">
        <v>2</v>
      </c>
      <c r="Z119" s="118">
        <v>0</v>
      </c>
      <c r="AA119" s="118">
        <v>2</v>
      </c>
      <c r="AB119" s="118" t="s">
        <v>1067</v>
      </c>
      <c r="AC119" s="118" t="s">
        <v>6989</v>
      </c>
      <c r="AD119" s="118" t="s">
        <v>1034</v>
      </c>
      <c r="AE119" s="118" t="s">
        <v>943</v>
      </c>
      <c r="AF119" s="118" t="s">
        <v>1042</v>
      </c>
      <c r="AG119" s="118" t="s">
        <v>6415</v>
      </c>
      <c r="AH119" s="118" t="s">
        <v>393</v>
      </c>
      <c r="AI119" s="118">
        <v>4</v>
      </c>
      <c r="AJ119" s="118" t="s">
        <v>6415</v>
      </c>
      <c r="AK119" s="118" t="s">
        <v>393</v>
      </c>
      <c r="AL119" s="118" t="s">
        <v>393</v>
      </c>
      <c r="AM119" s="118" t="s">
        <v>393</v>
      </c>
      <c r="AN119" s="402" t="s">
        <v>5975</v>
      </c>
      <c r="AO119" s="402">
        <v>44690</v>
      </c>
      <c r="AP119" s="118">
        <v>5</v>
      </c>
      <c r="AQ119" s="118">
        <v>12</v>
      </c>
      <c r="AR119" s="118" t="s">
        <v>6444</v>
      </c>
      <c r="AS119" s="118" t="s">
        <v>392</v>
      </c>
      <c r="AT119" s="118" t="s">
        <v>500</v>
      </c>
      <c r="AU119" s="118" t="s">
        <v>404</v>
      </c>
      <c r="AV119" s="118" t="s">
        <v>508</v>
      </c>
      <c r="AW119" s="118" t="s">
        <v>393</v>
      </c>
      <c r="AX119" s="118" t="s">
        <v>393</v>
      </c>
      <c r="AY119" s="118" t="s">
        <v>393</v>
      </c>
      <c r="AZ119" s="118" t="s">
        <v>393</v>
      </c>
      <c r="BA119" s="118" t="s">
        <v>393</v>
      </c>
      <c r="BB119" s="118" t="s">
        <v>393</v>
      </c>
      <c r="BC119" s="118" t="s">
        <v>393</v>
      </c>
      <c r="BD119" s="118" t="s">
        <v>393</v>
      </c>
      <c r="BE119" s="118" t="s">
        <v>740</v>
      </c>
      <c r="BF119" s="118" t="s">
        <v>393</v>
      </c>
      <c r="BG119" s="118" t="s">
        <v>393</v>
      </c>
      <c r="BH119" s="118" t="s">
        <v>394</v>
      </c>
      <c r="BI119" s="118" t="s">
        <v>394</v>
      </c>
      <c r="BJ119" s="118" t="s">
        <v>393</v>
      </c>
      <c r="BK119" s="118" t="s">
        <v>6988</v>
      </c>
      <c r="BL119" s="118" t="s">
        <v>6415</v>
      </c>
      <c r="BM119" s="118" t="s">
        <v>6990</v>
      </c>
      <c r="BN119" s="118" t="s">
        <v>6991</v>
      </c>
      <c r="BO119" s="118" t="s">
        <v>6415</v>
      </c>
      <c r="BP119" s="118" t="s">
        <v>6415</v>
      </c>
      <c r="BQ119" s="118" t="s">
        <v>6415</v>
      </c>
      <c r="BR119" s="118" t="s">
        <v>6415</v>
      </c>
      <c r="BS119" s="118" t="s">
        <v>6415</v>
      </c>
      <c r="BT119" s="118" t="s">
        <v>7191</v>
      </c>
      <c r="BU119" s="118" t="s">
        <v>6415</v>
      </c>
      <c r="BV119" s="118" t="s">
        <v>6415</v>
      </c>
      <c r="BW119" s="118" t="s">
        <v>6415</v>
      </c>
      <c r="BX119" s="118" t="s">
        <v>6415</v>
      </c>
      <c r="BY119" s="118" t="s">
        <v>6415</v>
      </c>
      <c r="BZ119" s="118">
        <v>435</v>
      </c>
      <c r="CA119" s="118" t="s">
        <v>6415</v>
      </c>
      <c r="CB119" s="118" t="s">
        <v>422</v>
      </c>
      <c r="CC119" s="118" t="s">
        <v>740</v>
      </c>
      <c r="CD119" s="118">
        <v>2</v>
      </c>
      <c r="CE119" s="118" t="s">
        <v>405</v>
      </c>
      <c r="CF119" s="118" t="s">
        <v>406</v>
      </c>
      <c r="CG119" s="118" t="s">
        <v>924</v>
      </c>
      <c r="CH119" s="118" t="s">
        <v>6302</v>
      </c>
      <c r="CI119" s="118" t="s">
        <v>6303</v>
      </c>
      <c r="CJ119" s="118" t="s">
        <v>398</v>
      </c>
      <c r="CK119" s="118">
        <v>5</v>
      </c>
      <c r="CL119" s="118">
        <v>35</v>
      </c>
      <c r="CM119" s="118" t="s">
        <v>444</v>
      </c>
      <c r="CN119" s="118" t="s">
        <v>398</v>
      </c>
      <c r="CO119" s="118" t="s">
        <v>1096</v>
      </c>
      <c r="CP119" s="118" t="s">
        <v>400</v>
      </c>
      <c r="CQ119" s="118" t="s">
        <v>6415</v>
      </c>
      <c r="CR119" s="118" t="s">
        <v>6415</v>
      </c>
      <c r="CS119" s="118" t="s">
        <v>6415</v>
      </c>
      <c r="CT119" s="118" t="s">
        <v>6415</v>
      </c>
      <c r="CU119" s="118" t="s">
        <v>6415</v>
      </c>
      <c r="CV119" s="118" t="s">
        <v>6415</v>
      </c>
      <c r="CW119" s="118">
        <v>52</v>
      </c>
      <c r="CX119" s="118" t="s">
        <v>1068</v>
      </c>
      <c r="CY119" s="118" t="s">
        <v>6341</v>
      </c>
      <c r="CZ119" s="118">
        <v>1</v>
      </c>
      <c r="DA119" s="118" t="s">
        <v>405</v>
      </c>
      <c r="DB119" s="118" t="s">
        <v>406</v>
      </c>
      <c r="DC119" s="118" t="s">
        <v>6415</v>
      </c>
      <c r="DD119" s="118" t="s">
        <v>6302</v>
      </c>
      <c r="DE119" s="118" t="s">
        <v>6303</v>
      </c>
      <c r="DF119" s="118" t="s">
        <v>398</v>
      </c>
      <c r="DG119" s="118">
        <v>15</v>
      </c>
      <c r="DH119" s="118">
        <v>35</v>
      </c>
      <c r="DI119" s="118" t="s">
        <v>399</v>
      </c>
      <c r="DJ119" s="118" t="s">
        <v>398</v>
      </c>
      <c r="DK119" s="118" t="s">
        <v>400</v>
      </c>
      <c r="DL119" s="118" t="s">
        <v>6415</v>
      </c>
      <c r="DM119" s="118" t="s">
        <v>6415</v>
      </c>
      <c r="DN119" s="118" t="s">
        <v>6415</v>
      </c>
      <c r="DO119" s="118" t="s">
        <v>6415</v>
      </c>
      <c r="DP119" s="118" t="s">
        <v>6415</v>
      </c>
      <c r="DQ119" s="118" t="s">
        <v>6415</v>
      </c>
      <c r="DR119" s="118">
        <v>69</v>
      </c>
      <c r="DS119" s="118" t="s">
        <v>1068</v>
      </c>
      <c r="DT119" s="118" t="s">
        <v>6341</v>
      </c>
      <c r="DU119" s="118" t="s">
        <v>6415</v>
      </c>
      <c r="DV119" s="118" t="s">
        <v>6415</v>
      </c>
      <c r="DW119" s="118" t="s">
        <v>6415</v>
      </c>
      <c r="DX119" s="118" t="s">
        <v>6415</v>
      </c>
      <c r="DY119" s="118" t="s">
        <v>6415</v>
      </c>
      <c r="DZ119" s="118" t="s">
        <v>6415</v>
      </c>
      <c r="EA119" s="118" t="s">
        <v>6415</v>
      </c>
      <c r="EB119" s="118" t="s">
        <v>6415</v>
      </c>
      <c r="EC119" s="118" t="s">
        <v>6415</v>
      </c>
      <c r="ED119" s="118" t="s">
        <v>6415</v>
      </c>
      <c r="EE119" s="118" t="s">
        <v>6415</v>
      </c>
      <c r="EF119" s="118" t="s">
        <v>6415</v>
      </c>
      <c r="EG119" s="118" t="s">
        <v>7028</v>
      </c>
      <c r="EH119" s="118" t="s">
        <v>7029</v>
      </c>
      <c r="EI119" s="118" t="s">
        <v>6415</v>
      </c>
      <c r="EJ119" s="118" t="s">
        <v>6415</v>
      </c>
      <c r="EK119" s="118" t="s">
        <v>6415</v>
      </c>
      <c r="EL119" s="118" t="s">
        <v>7467</v>
      </c>
      <c r="EM119" s="118" t="s">
        <v>7190</v>
      </c>
      <c r="EN119" s="118" t="s">
        <v>6415</v>
      </c>
      <c r="EO119" s="6" t="str">
        <f t="shared" si="14"/>
        <v>Pathweb</v>
      </c>
      <c r="EP119" s="6" t="str">
        <f t="shared" si="15"/>
        <v>Google Maps</v>
      </c>
      <c r="EQ119" s="6" t="str">
        <f t="shared" si="16"/>
        <v>Mashed Map</v>
      </c>
      <c r="ER119" s="118" t="s">
        <v>6727</v>
      </c>
      <c r="ES119" s="118" t="s">
        <v>71</v>
      </c>
      <c r="ET119" s="4">
        <v>0</v>
      </c>
      <c r="EU119" s="4"/>
      <c r="EV119" s="4"/>
    </row>
    <row r="120" spans="1:152" x14ac:dyDescent="0.15">
      <c r="A120" s="581" t="str">
        <f t="shared" si="13"/>
        <v>Crash Report</v>
      </c>
      <c r="B120" s="118">
        <v>20223085366</v>
      </c>
      <c r="C120" s="118">
        <v>2022</v>
      </c>
      <c r="D120" s="118">
        <v>22051528450040</v>
      </c>
      <c r="F120" s="118" t="s">
        <v>6442</v>
      </c>
      <c r="G120" s="118" t="s">
        <v>416</v>
      </c>
      <c r="H120" s="118">
        <v>2</v>
      </c>
      <c r="I120" s="118" t="s">
        <v>6055</v>
      </c>
      <c r="J120" s="118" t="s">
        <v>391</v>
      </c>
      <c r="K120" s="118" t="s">
        <v>6997</v>
      </c>
      <c r="L120" s="118">
        <v>0.66700000000000004</v>
      </c>
      <c r="M120" s="118">
        <v>0.66700000000000004</v>
      </c>
      <c r="N120" s="118" t="s">
        <v>7469</v>
      </c>
      <c r="O120" s="118">
        <v>117</v>
      </c>
      <c r="P120" s="118">
        <v>41.648004</v>
      </c>
      <c r="Q120" s="118">
        <v>-83.522884000000005</v>
      </c>
      <c r="R120" s="118">
        <v>77000</v>
      </c>
      <c r="S120" s="118" t="s">
        <v>6988</v>
      </c>
      <c r="T120" s="118">
        <v>1</v>
      </c>
      <c r="U120" s="118">
        <v>0</v>
      </c>
      <c r="V120" s="118">
        <v>0</v>
      </c>
      <c r="W120" s="118">
        <v>0</v>
      </c>
      <c r="X120" s="118">
        <v>0</v>
      </c>
      <c r="Y120" s="118">
        <v>1</v>
      </c>
      <c r="Z120" s="118">
        <v>0</v>
      </c>
      <c r="AA120" s="118">
        <v>1</v>
      </c>
      <c r="AB120" s="118" t="s">
        <v>1067</v>
      </c>
      <c r="AC120" s="118" t="s">
        <v>6989</v>
      </c>
      <c r="AD120" s="118" t="s">
        <v>1034</v>
      </c>
      <c r="AE120" s="118" t="s">
        <v>943</v>
      </c>
      <c r="AF120" s="118" t="s">
        <v>1042</v>
      </c>
      <c r="AG120" s="118" t="s">
        <v>6415</v>
      </c>
      <c r="AH120" s="118" t="s">
        <v>393</v>
      </c>
      <c r="AI120" s="118">
        <v>2</v>
      </c>
      <c r="AJ120" s="118" t="s">
        <v>6415</v>
      </c>
      <c r="AK120" s="118" t="s">
        <v>393</v>
      </c>
      <c r="AL120" s="118" t="s">
        <v>393</v>
      </c>
      <c r="AM120" s="118" t="s">
        <v>393</v>
      </c>
      <c r="AN120" s="402" t="s">
        <v>5975</v>
      </c>
      <c r="AO120" s="402">
        <v>44696</v>
      </c>
      <c r="AP120" s="118">
        <v>5</v>
      </c>
      <c r="AQ120" s="118">
        <v>0</v>
      </c>
      <c r="AR120" s="118" t="s">
        <v>6443</v>
      </c>
      <c r="AS120" s="118" t="s">
        <v>392</v>
      </c>
      <c r="AT120" s="118" t="s">
        <v>500</v>
      </c>
      <c r="AU120" s="118" t="s">
        <v>506</v>
      </c>
      <c r="AV120" s="118" t="s">
        <v>6151</v>
      </c>
      <c r="AW120" s="118" t="s">
        <v>740</v>
      </c>
      <c r="AX120" s="118" t="s">
        <v>393</v>
      </c>
      <c r="AY120" s="118" t="s">
        <v>393</v>
      </c>
      <c r="AZ120" s="118" t="s">
        <v>393</v>
      </c>
      <c r="BA120" s="118" t="s">
        <v>393</v>
      </c>
      <c r="BB120" s="118" t="s">
        <v>393</v>
      </c>
      <c r="BC120" s="118" t="s">
        <v>393</v>
      </c>
      <c r="BD120" s="118" t="s">
        <v>393</v>
      </c>
      <c r="BE120" s="118" t="s">
        <v>393</v>
      </c>
      <c r="BF120" s="118" t="s">
        <v>393</v>
      </c>
      <c r="BG120" s="118" t="s">
        <v>393</v>
      </c>
      <c r="BH120" s="118" t="s">
        <v>394</v>
      </c>
      <c r="BI120" s="118" t="s">
        <v>394</v>
      </c>
      <c r="BJ120" s="118" t="s">
        <v>393</v>
      </c>
      <c r="BK120" s="118" t="s">
        <v>6988</v>
      </c>
      <c r="BL120" s="118" t="s">
        <v>6415</v>
      </c>
      <c r="BM120" s="118" t="s">
        <v>6992</v>
      </c>
      <c r="BN120" s="118" t="s">
        <v>6991</v>
      </c>
      <c r="BO120" s="118" t="s">
        <v>6415</v>
      </c>
      <c r="BP120" s="118" t="s">
        <v>6415</v>
      </c>
      <c r="BQ120" s="118" t="s">
        <v>6415</v>
      </c>
      <c r="BR120" s="118" t="s">
        <v>6415</v>
      </c>
      <c r="BS120" s="118" t="s">
        <v>6415</v>
      </c>
      <c r="BT120" s="118" t="s">
        <v>7195</v>
      </c>
      <c r="BU120" s="118" t="s">
        <v>6415</v>
      </c>
      <c r="BV120" s="118" t="s">
        <v>6415</v>
      </c>
      <c r="BW120" s="118" t="s">
        <v>6415</v>
      </c>
      <c r="BX120" s="118" t="s">
        <v>6415</v>
      </c>
      <c r="BY120" s="118" t="s">
        <v>6415</v>
      </c>
      <c r="BZ120" s="118">
        <v>117</v>
      </c>
      <c r="CA120" s="118" t="s">
        <v>6415</v>
      </c>
      <c r="CB120" s="118" t="s">
        <v>422</v>
      </c>
      <c r="CC120" s="118" t="s">
        <v>740</v>
      </c>
      <c r="CD120" s="118">
        <v>1</v>
      </c>
      <c r="CE120" s="118" t="s">
        <v>445</v>
      </c>
      <c r="CF120" s="118" t="s">
        <v>446</v>
      </c>
      <c r="CG120" s="118" t="s">
        <v>924</v>
      </c>
      <c r="CH120" s="118" t="s">
        <v>6302</v>
      </c>
      <c r="CI120" s="118" t="s">
        <v>6303</v>
      </c>
      <c r="CJ120" s="118" t="s">
        <v>398</v>
      </c>
      <c r="CK120" s="14">
        <v>0</v>
      </c>
      <c r="CL120" s="118">
        <v>25</v>
      </c>
      <c r="CM120" s="118" t="s">
        <v>399</v>
      </c>
      <c r="CN120" s="118" t="s">
        <v>407</v>
      </c>
      <c r="CO120" s="118" t="s">
        <v>488</v>
      </c>
      <c r="CP120" s="118" t="s">
        <v>418</v>
      </c>
      <c r="CQ120" s="118" t="s">
        <v>488</v>
      </c>
      <c r="CR120" s="118" t="s">
        <v>6415</v>
      </c>
      <c r="CS120" s="118" t="s">
        <v>6415</v>
      </c>
      <c r="CT120" s="118" t="s">
        <v>6415</v>
      </c>
      <c r="CU120" s="118" t="s">
        <v>6415</v>
      </c>
      <c r="CV120" s="118" t="s">
        <v>6415</v>
      </c>
      <c r="CW120" s="14">
        <v>0</v>
      </c>
      <c r="CX120" s="118" t="s">
        <v>401</v>
      </c>
      <c r="CY120" s="118" t="s">
        <v>6151</v>
      </c>
      <c r="CZ120" s="118" t="s">
        <v>6415</v>
      </c>
      <c r="DA120" s="118" t="s">
        <v>6415</v>
      </c>
      <c r="DB120" s="118" t="s">
        <v>6415</v>
      </c>
      <c r="DC120" s="118" t="s">
        <v>6415</v>
      </c>
      <c r="DD120" s="118" t="s">
        <v>6415</v>
      </c>
      <c r="DE120" s="118" t="s">
        <v>6415</v>
      </c>
      <c r="DF120" s="118" t="s">
        <v>6415</v>
      </c>
      <c r="DG120" s="14" t="s">
        <v>6415</v>
      </c>
      <c r="DH120" s="118" t="s">
        <v>6415</v>
      </c>
      <c r="DI120" s="118" t="s">
        <v>6415</v>
      </c>
      <c r="DJ120" s="118" t="s">
        <v>6415</v>
      </c>
      <c r="DK120" s="118" t="s">
        <v>6415</v>
      </c>
      <c r="DL120" s="118" t="s">
        <v>6415</v>
      </c>
      <c r="DM120" s="118" t="s">
        <v>6415</v>
      </c>
      <c r="DN120" s="118" t="s">
        <v>6415</v>
      </c>
      <c r="DO120" s="118" t="s">
        <v>6415</v>
      </c>
      <c r="DP120" s="118" t="s">
        <v>6415</v>
      </c>
      <c r="DQ120" s="118" t="s">
        <v>6415</v>
      </c>
      <c r="DR120" s="118">
        <v>0</v>
      </c>
      <c r="DS120" s="118" t="s">
        <v>6415</v>
      </c>
      <c r="DT120" s="118" t="s">
        <v>6415</v>
      </c>
      <c r="DU120" s="118" t="s">
        <v>6415</v>
      </c>
      <c r="DV120" s="118" t="s">
        <v>6415</v>
      </c>
      <c r="DW120" s="118" t="s">
        <v>6415</v>
      </c>
      <c r="DX120" s="118" t="s">
        <v>6415</v>
      </c>
      <c r="DY120" s="118" t="s">
        <v>6415</v>
      </c>
      <c r="DZ120" s="118" t="s">
        <v>6415</v>
      </c>
      <c r="EA120" s="118" t="s">
        <v>6415</v>
      </c>
      <c r="EB120" s="118" t="s">
        <v>6415</v>
      </c>
      <c r="EC120" s="118" t="s">
        <v>6415</v>
      </c>
      <c r="ED120" s="118" t="s">
        <v>6415</v>
      </c>
      <c r="EE120" s="118" t="s">
        <v>6415</v>
      </c>
      <c r="EF120" s="118" t="s">
        <v>6415</v>
      </c>
      <c r="EG120" s="118" t="s">
        <v>7193</v>
      </c>
      <c r="EH120" s="118" t="s">
        <v>7194</v>
      </c>
      <c r="EI120" s="118" t="s">
        <v>6415</v>
      </c>
      <c r="EJ120" s="118" t="s">
        <v>6415</v>
      </c>
      <c r="EK120" s="118" t="s">
        <v>6415</v>
      </c>
      <c r="EL120" s="118" t="s">
        <v>7467</v>
      </c>
      <c r="EM120" s="118" t="s">
        <v>7192</v>
      </c>
      <c r="EN120" s="118" t="s">
        <v>6415</v>
      </c>
      <c r="EO120" s="6" t="str">
        <f t="shared" si="14"/>
        <v>Pathweb</v>
      </c>
      <c r="EP120" s="6" t="str">
        <f t="shared" si="15"/>
        <v>Google Maps</v>
      </c>
      <c r="EQ120" s="6" t="str">
        <f t="shared" si="16"/>
        <v>Mashed Map</v>
      </c>
      <c r="ER120" s="118" t="s">
        <v>6726</v>
      </c>
      <c r="ES120" s="118" t="s">
        <v>71</v>
      </c>
      <c r="ET120" s="4">
        <v>4.0000000000000001E-3</v>
      </c>
      <c r="EU120" s="4"/>
      <c r="EV120" s="4"/>
    </row>
    <row r="121" spans="1:152" x14ac:dyDescent="0.15">
      <c r="A121" s="581" t="str">
        <f t="shared" si="13"/>
        <v>Crash Report</v>
      </c>
      <c r="B121" s="14">
        <v>20223088244</v>
      </c>
      <c r="C121" s="118">
        <v>2022</v>
      </c>
      <c r="D121" s="14">
        <v>22051726861800</v>
      </c>
      <c r="F121" s="118" t="s">
        <v>6440</v>
      </c>
      <c r="G121" s="118" t="s">
        <v>230</v>
      </c>
      <c r="H121" s="118">
        <v>2</v>
      </c>
      <c r="I121" s="118" t="s">
        <v>6055</v>
      </c>
      <c r="J121" s="118" t="s">
        <v>391</v>
      </c>
      <c r="K121" s="118" t="s">
        <v>6985</v>
      </c>
      <c r="L121" s="118">
        <v>0.09</v>
      </c>
      <c r="M121" s="118">
        <v>0.09</v>
      </c>
      <c r="N121" s="118" t="s">
        <v>7465</v>
      </c>
      <c r="O121" s="118" t="s">
        <v>7475</v>
      </c>
      <c r="P121" s="118">
        <v>41.647990999999998</v>
      </c>
      <c r="Q121" s="118">
        <v>-83.524353000000005</v>
      </c>
      <c r="R121" s="118">
        <v>77000</v>
      </c>
      <c r="S121" s="118" t="s">
        <v>6988</v>
      </c>
      <c r="T121" s="118">
        <v>1</v>
      </c>
      <c r="U121" s="118">
        <v>0</v>
      </c>
      <c r="V121" s="118">
        <v>0</v>
      </c>
      <c r="W121" s="118">
        <v>2</v>
      </c>
      <c r="X121" s="118">
        <v>1</v>
      </c>
      <c r="Y121" s="118">
        <v>0</v>
      </c>
      <c r="Z121" s="118">
        <v>0</v>
      </c>
      <c r="AA121" s="118">
        <v>2</v>
      </c>
      <c r="AB121" s="118" t="s">
        <v>1067</v>
      </c>
      <c r="AC121" s="118" t="s">
        <v>6989</v>
      </c>
      <c r="AD121" s="118" t="s">
        <v>1034</v>
      </c>
      <c r="AE121" s="118" t="s">
        <v>943</v>
      </c>
      <c r="AF121" s="118" t="s">
        <v>1042</v>
      </c>
      <c r="AG121" s="118" t="s">
        <v>6415</v>
      </c>
      <c r="AH121" s="118" t="s">
        <v>393</v>
      </c>
      <c r="AI121" s="118">
        <v>4</v>
      </c>
      <c r="AJ121" s="118" t="s">
        <v>6415</v>
      </c>
      <c r="AK121" s="118" t="s">
        <v>393</v>
      </c>
      <c r="AL121" s="118" t="s">
        <v>393</v>
      </c>
      <c r="AM121" s="118" t="s">
        <v>393</v>
      </c>
      <c r="AN121" s="402" t="s">
        <v>5975</v>
      </c>
      <c r="AO121" s="402">
        <v>44698</v>
      </c>
      <c r="AP121" s="118">
        <v>5</v>
      </c>
      <c r="AQ121" s="118">
        <v>18</v>
      </c>
      <c r="AR121" s="118" t="s">
        <v>6445</v>
      </c>
      <c r="AS121" s="118" t="s">
        <v>392</v>
      </c>
      <c r="AT121" s="118" t="s">
        <v>500</v>
      </c>
      <c r="AU121" s="118" t="s">
        <v>404</v>
      </c>
      <c r="AV121" s="118" t="s">
        <v>508</v>
      </c>
      <c r="AW121" s="118" t="s">
        <v>393</v>
      </c>
      <c r="AX121" s="118" t="s">
        <v>393</v>
      </c>
      <c r="AY121" s="118" t="s">
        <v>393</v>
      </c>
      <c r="AZ121" s="118" t="s">
        <v>393</v>
      </c>
      <c r="BA121" s="118" t="s">
        <v>393</v>
      </c>
      <c r="BB121" s="118" t="s">
        <v>393</v>
      </c>
      <c r="BC121" s="118" t="s">
        <v>393</v>
      </c>
      <c r="BD121" s="118" t="s">
        <v>393</v>
      </c>
      <c r="BE121" s="118" t="s">
        <v>393</v>
      </c>
      <c r="BF121" s="118" t="s">
        <v>740</v>
      </c>
      <c r="BG121" s="118" t="s">
        <v>393</v>
      </c>
      <c r="BH121" s="118" t="s">
        <v>394</v>
      </c>
      <c r="BI121" s="118" t="s">
        <v>394</v>
      </c>
      <c r="BJ121" s="118" t="s">
        <v>393</v>
      </c>
      <c r="BK121" s="118" t="s">
        <v>6988</v>
      </c>
      <c r="BL121" s="118" t="s">
        <v>6415</v>
      </c>
      <c r="BM121" s="118" t="s">
        <v>6990</v>
      </c>
      <c r="BN121" s="118" t="s">
        <v>6991</v>
      </c>
      <c r="BO121" s="118" t="s">
        <v>6415</v>
      </c>
      <c r="BP121" s="118" t="s">
        <v>6415</v>
      </c>
      <c r="BQ121" s="118" t="s">
        <v>6415</v>
      </c>
      <c r="BR121" s="118" t="s">
        <v>6415</v>
      </c>
      <c r="BS121" s="118" t="s">
        <v>6415</v>
      </c>
      <c r="BT121" s="118" t="s">
        <v>2583</v>
      </c>
      <c r="BU121" s="118" t="s">
        <v>7017</v>
      </c>
      <c r="BV121" s="118" t="s">
        <v>6415</v>
      </c>
      <c r="BW121" s="118" t="s">
        <v>6415</v>
      </c>
      <c r="BX121" s="118" t="s">
        <v>6415</v>
      </c>
      <c r="BY121" s="118" t="s">
        <v>6415</v>
      </c>
      <c r="BZ121" s="118" t="s">
        <v>6415</v>
      </c>
      <c r="CA121" s="118" t="s">
        <v>6415</v>
      </c>
      <c r="CB121" s="118" t="s">
        <v>221</v>
      </c>
      <c r="CC121" s="118" t="s">
        <v>740</v>
      </c>
      <c r="CD121" s="118">
        <v>2</v>
      </c>
      <c r="CE121" s="118" t="s">
        <v>405</v>
      </c>
      <c r="CF121" s="118" t="s">
        <v>410</v>
      </c>
      <c r="CG121" s="118" t="s">
        <v>230</v>
      </c>
      <c r="CH121" s="118" t="s">
        <v>6302</v>
      </c>
      <c r="CI121" s="118" t="s">
        <v>6303</v>
      </c>
      <c r="CJ121" s="118" t="s">
        <v>398</v>
      </c>
      <c r="CK121" s="14">
        <v>0</v>
      </c>
      <c r="CL121" s="118">
        <v>40</v>
      </c>
      <c r="CM121" s="118" t="s">
        <v>436</v>
      </c>
      <c r="CN121" s="118" t="s">
        <v>6327</v>
      </c>
      <c r="CO121" s="118" t="s">
        <v>1096</v>
      </c>
      <c r="CP121" s="118" t="s">
        <v>400</v>
      </c>
      <c r="CQ121" s="118" t="s">
        <v>6415</v>
      </c>
      <c r="CR121" s="118" t="s">
        <v>6415</v>
      </c>
      <c r="CS121" s="118" t="s">
        <v>6415</v>
      </c>
      <c r="CT121" s="118" t="s">
        <v>6415</v>
      </c>
      <c r="CU121" s="118" t="s">
        <v>6415</v>
      </c>
      <c r="CV121" s="118" t="s">
        <v>6415</v>
      </c>
      <c r="CW121" s="14">
        <v>18</v>
      </c>
      <c r="CX121" s="118" t="s">
        <v>1068</v>
      </c>
      <c r="CY121" s="118" t="s">
        <v>6341</v>
      </c>
      <c r="CZ121" s="118">
        <v>1</v>
      </c>
      <c r="DA121" s="118" t="s">
        <v>406</v>
      </c>
      <c r="DB121" s="118" t="s">
        <v>405</v>
      </c>
      <c r="DC121" s="118" t="s">
        <v>6415</v>
      </c>
      <c r="DD121" s="118" t="s">
        <v>6302</v>
      </c>
      <c r="DE121" s="118" t="s">
        <v>6305</v>
      </c>
      <c r="DF121" s="118" t="s">
        <v>398</v>
      </c>
      <c r="DG121" s="14">
        <v>35</v>
      </c>
      <c r="DH121" s="118">
        <v>35</v>
      </c>
      <c r="DI121" s="118" t="s">
        <v>399</v>
      </c>
      <c r="DJ121" s="118" t="s">
        <v>398</v>
      </c>
      <c r="DK121" s="118" t="s">
        <v>400</v>
      </c>
      <c r="DL121" s="118" t="s">
        <v>6415</v>
      </c>
      <c r="DM121" s="118" t="s">
        <v>6415</v>
      </c>
      <c r="DN121" s="118" t="s">
        <v>6415</v>
      </c>
      <c r="DO121" s="118" t="s">
        <v>6415</v>
      </c>
      <c r="DP121" s="118" t="s">
        <v>6415</v>
      </c>
      <c r="DQ121" s="118" t="s">
        <v>6415</v>
      </c>
      <c r="DR121" s="118">
        <v>40</v>
      </c>
      <c r="DS121" s="118" t="s">
        <v>1068</v>
      </c>
      <c r="DT121" s="118" t="s">
        <v>6341</v>
      </c>
      <c r="DU121" s="118" t="s">
        <v>6415</v>
      </c>
      <c r="DV121" s="118" t="s">
        <v>6415</v>
      </c>
      <c r="DW121" s="118" t="s">
        <v>6415</v>
      </c>
      <c r="DX121" s="118" t="s">
        <v>6415</v>
      </c>
      <c r="DY121" s="118" t="s">
        <v>6415</v>
      </c>
      <c r="DZ121" s="118" t="s">
        <v>6415</v>
      </c>
      <c r="EA121" s="118" t="s">
        <v>6415</v>
      </c>
      <c r="EB121" s="118" t="s">
        <v>6415</v>
      </c>
      <c r="EC121" s="118" t="s">
        <v>6415</v>
      </c>
      <c r="ED121" s="118" t="s">
        <v>6415</v>
      </c>
      <c r="EE121" s="118" t="s">
        <v>6415</v>
      </c>
      <c r="EF121" s="118" t="s">
        <v>6415</v>
      </c>
      <c r="EG121" s="118" t="s">
        <v>7028</v>
      </c>
      <c r="EH121" s="118" t="s">
        <v>7029</v>
      </c>
      <c r="EI121" s="118" t="s">
        <v>6415</v>
      </c>
      <c r="EJ121" s="118" t="s">
        <v>6415</v>
      </c>
      <c r="EK121" s="118" t="s">
        <v>6415</v>
      </c>
      <c r="EL121" s="118" t="s">
        <v>7467</v>
      </c>
      <c r="EM121" s="118" t="s">
        <v>7196</v>
      </c>
      <c r="EN121" s="118" t="s">
        <v>6415</v>
      </c>
      <c r="EO121" s="6" t="str">
        <f t="shared" si="14"/>
        <v>Pathweb</v>
      </c>
      <c r="EP121" s="6" t="str">
        <f t="shared" si="15"/>
        <v>Google Maps</v>
      </c>
      <c r="EQ121" s="6" t="str">
        <f t="shared" si="16"/>
        <v>Mashed Map</v>
      </c>
      <c r="ER121" s="118" t="s">
        <v>6727</v>
      </c>
      <c r="ES121" s="118" t="s">
        <v>6728</v>
      </c>
      <c r="ET121" s="4">
        <v>5.0000000000000001E-3</v>
      </c>
      <c r="EU121" s="4"/>
      <c r="EV121" s="4"/>
    </row>
    <row r="122" spans="1:152" x14ac:dyDescent="0.15">
      <c r="A122" s="581" t="str">
        <f t="shared" si="13"/>
        <v>Crash Report</v>
      </c>
      <c r="B122" s="14">
        <v>20223088523</v>
      </c>
      <c r="C122" s="118">
        <v>2022</v>
      </c>
      <c r="D122" s="14">
        <v>22051128591407</v>
      </c>
      <c r="F122" s="118" t="s">
        <v>6442</v>
      </c>
      <c r="G122" s="118" t="s">
        <v>211</v>
      </c>
      <c r="H122" s="118">
        <v>2</v>
      </c>
      <c r="I122" s="118" t="s">
        <v>6055</v>
      </c>
      <c r="J122" s="118" t="s">
        <v>434</v>
      </c>
      <c r="K122" s="118" t="s">
        <v>6985</v>
      </c>
      <c r="L122" s="118">
        <v>0.82</v>
      </c>
      <c r="M122" s="118">
        <v>0.82</v>
      </c>
      <c r="N122" s="118" t="s">
        <v>7465</v>
      </c>
      <c r="O122" s="118" t="s">
        <v>7482</v>
      </c>
      <c r="P122" s="118">
        <v>41.654646999999997</v>
      </c>
      <c r="Q122" s="118">
        <v>-83.513445000000004</v>
      </c>
      <c r="R122" s="118">
        <v>77000</v>
      </c>
      <c r="S122" s="118" t="s">
        <v>6988</v>
      </c>
      <c r="T122" s="118">
        <v>1</v>
      </c>
      <c r="U122" s="118">
        <v>0</v>
      </c>
      <c r="V122" s="118">
        <v>0</v>
      </c>
      <c r="W122" s="118">
        <v>0</v>
      </c>
      <c r="X122" s="118">
        <v>0</v>
      </c>
      <c r="Y122" s="118">
        <v>2</v>
      </c>
      <c r="Z122" s="118">
        <v>0</v>
      </c>
      <c r="AA122" s="118">
        <v>2</v>
      </c>
      <c r="AB122" s="118" t="s">
        <v>1067</v>
      </c>
      <c r="AC122" s="118" t="s">
        <v>6989</v>
      </c>
      <c r="AD122" s="118" t="s">
        <v>1034</v>
      </c>
      <c r="AE122" s="118" t="s">
        <v>943</v>
      </c>
      <c r="AF122" s="118" t="s">
        <v>1041</v>
      </c>
      <c r="AG122" s="118" t="s">
        <v>6415</v>
      </c>
      <c r="AH122" s="118" t="s">
        <v>393</v>
      </c>
      <c r="AI122" s="118">
        <v>4</v>
      </c>
      <c r="AJ122" s="118" t="s">
        <v>6415</v>
      </c>
      <c r="AK122" s="118" t="s">
        <v>393</v>
      </c>
      <c r="AL122" s="118" t="s">
        <v>393</v>
      </c>
      <c r="AM122" s="118" t="s">
        <v>393</v>
      </c>
      <c r="AN122" s="402" t="s">
        <v>5975</v>
      </c>
      <c r="AO122" s="402">
        <v>44692</v>
      </c>
      <c r="AP122" s="118">
        <v>5</v>
      </c>
      <c r="AQ122" s="118">
        <v>14</v>
      </c>
      <c r="AR122" s="118" t="s">
        <v>6446</v>
      </c>
      <c r="AS122" s="118" t="s">
        <v>392</v>
      </c>
      <c r="AT122" s="118" t="s">
        <v>500</v>
      </c>
      <c r="AU122" s="118" t="s">
        <v>404</v>
      </c>
      <c r="AV122" s="118" t="s">
        <v>508</v>
      </c>
      <c r="AW122" s="118" t="s">
        <v>393</v>
      </c>
      <c r="AX122" s="118" t="s">
        <v>740</v>
      </c>
      <c r="AY122" s="118" t="s">
        <v>393</v>
      </c>
      <c r="AZ122" s="118" t="s">
        <v>393</v>
      </c>
      <c r="BA122" s="118" t="s">
        <v>393</v>
      </c>
      <c r="BB122" s="118" t="s">
        <v>393</v>
      </c>
      <c r="BC122" s="118" t="s">
        <v>393</v>
      </c>
      <c r="BD122" s="118" t="s">
        <v>393</v>
      </c>
      <c r="BE122" s="118" t="s">
        <v>740</v>
      </c>
      <c r="BF122" s="118" t="s">
        <v>393</v>
      </c>
      <c r="BG122" s="118" t="s">
        <v>393</v>
      </c>
      <c r="BH122" s="118" t="s">
        <v>394</v>
      </c>
      <c r="BI122" s="118" t="s">
        <v>394</v>
      </c>
      <c r="BJ122" s="118" t="s">
        <v>393</v>
      </c>
      <c r="BK122" s="118" t="s">
        <v>6988</v>
      </c>
      <c r="BL122" s="118" t="s">
        <v>6415</v>
      </c>
      <c r="BM122" s="118" t="s">
        <v>6990</v>
      </c>
      <c r="BN122" s="118" t="s">
        <v>6991</v>
      </c>
      <c r="BO122" s="118" t="s">
        <v>6415</v>
      </c>
      <c r="BP122" s="118" t="s">
        <v>6415</v>
      </c>
      <c r="BQ122" s="118" t="s">
        <v>6415</v>
      </c>
      <c r="BR122" s="118" t="s">
        <v>6415</v>
      </c>
      <c r="BS122" s="118" t="s">
        <v>6415</v>
      </c>
      <c r="BT122" s="118" t="s">
        <v>7073</v>
      </c>
      <c r="BU122" s="118" t="s">
        <v>6991</v>
      </c>
      <c r="BV122" s="118" t="s">
        <v>6415</v>
      </c>
      <c r="BW122" s="118" t="s">
        <v>6415</v>
      </c>
      <c r="BX122" s="118" t="s">
        <v>6415</v>
      </c>
      <c r="BY122" s="118" t="s">
        <v>6415</v>
      </c>
      <c r="BZ122" s="118" t="s">
        <v>6415</v>
      </c>
      <c r="CA122" s="118" t="s">
        <v>6415</v>
      </c>
      <c r="CB122" s="118" t="s">
        <v>221</v>
      </c>
      <c r="CC122" s="118" t="s">
        <v>740</v>
      </c>
      <c r="CD122" s="118">
        <v>1</v>
      </c>
      <c r="CE122" s="118" t="s">
        <v>406</v>
      </c>
      <c r="CF122" s="118" t="s">
        <v>411</v>
      </c>
      <c r="CG122" s="118" t="s">
        <v>230</v>
      </c>
      <c r="CH122" s="118" t="s">
        <v>433</v>
      </c>
      <c r="CI122" s="118" t="s">
        <v>6303</v>
      </c>
      <c r="CJ122" s="118" t="s">
        <v>398</v>
      </c>
      <c r="CK122" s="118">
        <v>0</v>
      </c>
      <c r="CL122" s="118">
        <v>35</v>
      </c>
      <c r="CM122" s="118" t="s">
        <v>444</v>
      </c>
      <c r="CN122" s="118" t="s">
        <v>6327</v>
      </c>
      <c r="CO122" s="118" t="s">
        <v>1096</v>
      </c>
      <c r="CP122" s="118" t="s">
        <v>400</v>
      </c>
      <c r="CQ122" s="118" t="s">
        <v>6415</v>
      </c>
      <c r="CR122" s="118" t="s">
        <v>6415</v>
      </c>
      <c r="CS122" s="118" t="s">
        <v>6415</v>
      </c>
      <c r="CT122" s="118" t="s">
        <v>6415</v>
      </c>
      <c r="CU122" s="118" t="s">
        <v>6415</v>
      </c>
      <c r="CV122" s="118" t="s">
        <v>6415</v>
      </c>
      <c r="CW122" s="118">
        <v>69</v>
      </c>
      <c r="CX122" s="118" t="s">
        <v>1066</v>
      </c>
      <c r="CY122" s="118" t="s">
        <v>6341</v>
      </c>
      <c r="CZ122" s="118">
        <v>2</v>
      </c>
      <c r="DA122" s="118" t="s">
        <v>411</v>
      </c>
      <c r="DB122" s="118" t="s">
        <v>410</v>
      </c>
      <c r="DC122" s="118" t="s">
        <v>6415</v>
      </c>
      <c r="DD122" s="118" t="s">
        <v>433</v>
      </c>
      <c r="DE122" s="118" t="s">
        <v>6303</v>
      </c>
      <c r="DF122" s="118" t="s">
        <v>398</v>
      </c>
      <c r="DG122" s="118" t="s">
        <v>6415</v>
      </c>
      <c r="DH122" s="118">
        <v>35</v>
      </c>
      <c r="DI122" s="118" t="s">
        <v>399</v>
      </c>
      <c r="DJ122" s="118" t="s">
        <v>398</v>
      </c>
      <c r="DK122" s="118" t="s">
        <v>400</v>
      </c>
      <c r="DL122" s="118" t="s">
        <v>6415</v>
      </c>
      <c r="DM122" s="118" t="s">
        <v>6415</v>
      </c>
      <c r="DN122" s="118" t="s">
        <v>6415</v>
      </c>
      <c r="DO122" s="118" t="s">
        <v>6415</v>
      </c>
      <c r="DP122" s="118" t="s">
        <v>6415</v>
      </c>
      <c r="DQ122" s="118" t="s">
        <v>6415</v>
      </c>
      <c r="DR122" s="118">
        <v>66</v>
      </c>
      <c r="DS122" s="118" t="s">
        <v>1068</v>
      </c>
      <c r="DT122" s="118" t="s">
        <v>6341</v>
      </c>
      <c r="DU122" s="118" t="s">
        <v>6415</v>
      </c>
      <c r="DV122" s="118" t="s">
        <v>6415</v>
      </c>
      <c r="DW122" s="118" t="s">
        <v>6415</v>
      </c>
      <c r="DX122" s="118" t="s">
        <v>6415</v>
      </c>
      <c r="DY122" s="118" t="s">
        <v>6415</v>
      </c>
      <c r="DZ122" s="118" t="s">
        <v>6415</v>
      </c>
      <c r="EA122" s="118" t="s">
        <v>6415</v>
      </c>
      <c r="EB122" s="118" t="s">
        <v>6415</v>
      </c>
      <c r="EC122" s="118" t="s">
        <v>6415</v>
      </c>
      <c r="ED122" s="118" t="s">
        <v>6415</v>
      </c>
      <c r="EE122" s="118" t="s">
        <v>6415</v>
      </c>
      <c r="EF122" s="118" t="s">
        <v>6415</v>
      </c>
      <c r="EG122" s="118" t="s">
        <v>7071</v>
      </c>
      <c r="EH122" s="118" t="s">
        <v>7186</v>
      </c>
      <c r="EI122" s="118" t="s">
        <v>6415</v>
      </c>
      <c r="EJ122" s="118" t="s">
        <v>6415</v>
      </c>
      <c r="EK122" s="118" t="s">
        <v>6415</v>
      </c>
      <c r="EL122" s="118" t="s">
        <v>7467</v>
      </c>
      <c r="EM122" s="118" t="s">
        <v>7197</v>
      </c>
      <c r="EN122" s="118" t="s">
        <v>6415</v>
      </c>
      <c r="EO122" s="6" t="str">
        <f t="shared" si="14"/>
        <v>Pathweb</v>
      </c>
      <c r="EP122" s="6" t="str">
        <f t="shared" si="15"/>
        <v>Google Maps</v>
      </c>
      <c r="EQ122" s="6" t="str">
        <f t="shared" si="16"/>
        <v>Mashed Map</v>
      </c>
      <c r="ER122" s="118" t="s">
        <v>6727</v>
      </c>
      <c r="ES122" s="118" t="s">
        <v>71</v>
      </c>
      <c r="ET122" s="4">
        <v>2E-3</v>
      </c>
      <c r="EU122" s="4"/>
      <c r="EV122" s="4"/>
    </row>
    <row r="123" spans="1:152" x14ac:dyDescent="0.15">
      <c r="A123" s="581" t="str">
        <f t="shared" si="13"/>
        <v>Crash Report</v>
      </c>
      <c r="B123" s="118">
        <v>20223088527</v>
      </c>
      <c r="C123" s="118">
        <v>2022</v>
      </c>
      <c r="D123" s="118">
        <v>22051723291700</v>
      </c>
      <c r="F123" s="118" t="s">
        <v>6442</v>
      </c>
      <c r="G123" s="118" t="s">
        <v>390</v>
      </c>
      <c r="H123" s="118">
        <v>2</v>
      </c>
      <c r="I123" s="118" t="s">
        <v>6055</v>
      </c>
      <c r="J123" s="118" t="s">
        <v>391</v>
      </c>
      <c r="K123" s="118" t="s">
        <v>6985</v>
      </c>
      <c r="L123" s="118">
        <v>0.35099999999999998</v>
      </c>
      <c r="M123" s="118">
        <v>0.35099999999999998</v>
      </c>
      <c r="N123" s="118" t="s">
        <v>7465</v>
      </c>
      <c r="O123" s="118">
        <v>903</v>
      </c>
      <c r="P123" s="118">
        <v>41.650371</v>
      </c>
      <c r="Q123" s="118">
        <v>-83.520453000000003</v>
      </c>
      <c r="R123" s="118">
        <v>77000</v>
      </c>
      <c r="S123" s="118" t="s">
        <v>6988</v>
      </c>
      <c r="T123" s="118">
        <v>1</v>
      </c>
      <c r="U123" s="118">
        <v>0</v>
      </c>
      <c r="V123" s="118">
        <v>0</v>
      </c>
      <c r="W123" s="118">
        <v>0</v>
      </c>
      <c r="X123" s="118">
        <v>0</v>
      </c>
      <c r="Y123" s="118">
        <v>2</v>
      </c>
      <c r="Z123" s="118">
        <v>0</v>
      </c>
      <c r="AA123" s="118">
        <v>2</v>
      </c>
      <c r="AB123" s="118" t="s">
        <v>1067</v>
      </c>
      <c r="AC123" s="118" t="s">
        <v>6989</v>
      </c>
      <c r="AD123" s="118" t="s">
        <v>1034</v>
      </c>
      <c r="AE123" s="118" t="s">
        <v>943</v>
      </c>
      <c r="AF123" s="118" t="s">
        <v>1041</v>
      </c>
      <c r="AG123" s="118" t="s">
        <v>6415</v>
      </c>
      <c r="AH123" s="118" t="s">
        <v>393</v>
      </c>
      <c r="AI123" s="118">
        <v>4</v>
      </c>
      <c r="AJ123" s="118" t="s">
        <v>6415</v>
      </c>
      <c r="AK123" s="118" t="s">
        <v>393</v>
      </c>
      <c r="AL123" s="118" t="s">
        <v>393</v>
      </c>
      <c r="AM123" s="118" t="s">
        <v>393</v>
      </c>
      <c r="AN123" s="402" t="s">
        <v>5975</v>
      </c>
      <c r="AO123" s="402">
        <v>44698</v>
      </c>
      <c r="AP123" s="118">
        <v>5</v>
      </c>
      <c r="AQ123" s="118">
        <v>17</v>
      </c>
      <c r="AR123" s="118" t="s">
        <v>6445</v>
      </c>
      <c r="AS123" s="118" t="s">
        <v>392</v>
      </c>
      <c r="AT123" s="118" t="s">
        <v>500</v>
      </c>
      <c r="AU123" s="118" t="s">
        <v>404</v>
      </c>
      <c r="AV123" s="118" t="s">
        <v>508</v>
      </c>
      <c r="AW123" s="118" t="s">
        <v>393</v>
      </c>
      <c r="AX123" s="118" t="s">
        <v>393</v>
      </c>
      <c r="AY123" s="118" t="s">
        <v>393</v>
      </c>
      <c r="AZ123" s="118" t="s">
        <v>393</v>
      </c>
      <c r="BA123" s="118" t="s">
        <v>393</v>
      </c>
      <c r="BB123" s="118" t="s">
        <v>393</v>
      </c>
      <c r="BC123" s="118" t="s">
        <v>393</v>
      </c>
      <c r="BD123" s="118" t="s">
        <v>393</v>
      </c>
      <c r="BE123" s="118" t="s">
        <v>393</v>
      </c>
      <c r="BF123" s="118" t="s">
        <v>393</v>
      </c>
      <c r="BG123" s="118" t="s">
        <v>393</v>
      </c>
      <c r="BH123" s="118" t="s">
        <v>394</v>
      </c>
      <c r="BI123" s="118" t="s">
        <v>394</v>
      </c>
      <c r="BJ123" s="118" t="s">
        <v>393</v>
      </c>
      <c r="BK123" s="118" t="s">
        <v>6988</v>
      </c>
      <c r="BL123" s="118" t="s">
        <v>6415</v>
      </c>
      <c r="BM123" s="118" t="s">
        <v>6990</v>
      </c>
      <c r="BN123" s="118" t="s">
        <v>6991</v>
      </c>
      <c r="BO123" s="118" t="s">
        <v>6415</v>
      </c>
      <c r="BP123" s="118" t="s">
        <v>6415</v>
      </c>
      <c r="BQ123" s="118" t="s">
        <v>6415</v>
      </c>
      <c r="BR123" s="118" t="s">
        <v>6415</v>
      </c>
      <c r="BS123" s="118" t="s">
        <v>6415</v>
      </c>
      <c r="BT123" s="118" t="s">
        <v>7200</v>
      </c>
      <c r="BU123" s="118" t="s">
        <v>6415</v>
      </c>
      <c r="BV123" s="118" t="s">
        <v>6415</v>
      </c>
      <c r="BW123" s="118" t="s">
        <v>6415</v>
      </c>
      <c r="BX123" s="118" t="s">
        <v>6415</v>
      </c>
      <c r="BY123" s="118" t="s">
        <v>6415</v>
      </c>
      <c r="BZ123" s="118">
        <v>903</v>
      </c>
      <c r="CA123" s="118" t="s">
        <v>6415</v>
      </c>
      <c r="CB123" s="118" t="s">
        <v>422</v>
      </c>
      <c r="CC123" s="118" t="s">
        <v>740</v>
      </c>
      <c r="CD123" s="118">
        <v>2</v>
      </c>
      <c r="CE123" s="118" t="s">
        <v>397</v>
      </c>
      <c r="CF123" s="118" t="s">
        <v>396</v>
      </c>
      <c r="CG123" s="118" t="s">
        <v>924</v>
      </c>
      <c r="CH123" s="118" t="s">
        <v>6302</v>
      </c>
      <c r="CI123" s="118" t="s">
        <v>6305</v>
      </c>
      <c r="CJ123" s="118" t="s">
        <v>398</v>
      </c>
      <c r="CK123" s="14">
        <v>0</v>
      </c>
      <c r="CL123" s="118">
        <v>35</v>
      </c>
      <c r="CM123" s="118" t="s">
        <v>399</v>
      </c>
      <c r="CN123" s="118" t="s">
        <v>6512</v>
      </c>
      <c r="CO123" s="118" t="s">
        <v>1096</v>
      </c>
      <c r="CP123" s="118" t="s">
        <v>400</v>
      </c>
      <c r="CQ123" s="118" t="s">
        <v>6415</v>
      </c>
      <c r="CR123" s="118" t="s">
        <v>6415</v>
      </c>
      <c r="CS123" s="118" t="s">
        <v>6415</v>
      </c>
      <c r="CT123" s="118" t="s">
        <v>6415</v>
      </c>
      <c r="CU123" s="118" t="s">
        <v>6415</v>
      </c>
      <c r="CV123" s="118" t="s">
        <v>6415</v>
      </c>
      <c r="CW123" s="14">
        <v>34</v>
      </c>
      <c r="CX123" s="118" t="s">
        <v>1068</v>
      </c>
      <c r="CY123" s="118" t="s">
        <v>6151</v>
      </c>
      <c r="CZ123" s="118">
        <v>1</v>
      </c>
      <c r="DA123" s="118" t="s">
        <v>397</v>
      </c>
      <c r="DB123" s="118" t="s">
        <v>396</v>
      </c>
      <c r="DC123" s="118" t="s">
        <v>6415</v>
      </c>
      <c r="DD123" s="118" t="s">
        <v>6302</v>
      </c>
      <c r="DE123" s="118" t="s">
        <v>417</v>
      </c>
      <c r="DF123" s="118" t="s">
        <v>398</v>
      </c>
      <c r="DG123" s="14">
        <v>0</v>
      </c>
      <c r="DH123" s="118">
        <v>35</v>
      </c>
      <c r="DI123" s="118" t="s">
        <v>6355</v>
      </c>
      <c r="DJ123" s="118" t="s">
        <v>398</v>
      </c>
      <c r="DK123" s="118" t="s">
        <v>400</v>
      </c>
      <c r="DL123" s="118" t="s">
        <v>6415</v>
      </c>
      <c r="DM123" s="118" t="s">
        <v>6415</v>
      </c>
      <c r="DN123" s="118" t="s">
        <v>6415</v>
      </c>
      <c r="DO123" s="118" t="s">
        <v>6415</v>
      </c>
      <c r="DP123" s="118" t="s">
        <v>6415</v>
      </c>
      <c r="DQ123" s="118" t="s">
        <v>6415</v>
      </c>
      <c r="DR123" s="118">
        <v>40</v>
      </c>
      <c r="DS123" s="118" t="s">
        <v>1066</v>
      </c>
      <c r="DT123" s="118" t="s">
        <v>6341</v>
      </c>
      <c r="DU123" s="118" t="s">
        <v>6415</v>
      </c>
      <c r="DV123" s="118" t="s">
        <v>6415</v>
      </c>
      <c r="DW123" s="118" t="s">
        <v>6415</v>
      </c>
      <c r="DX123" s="118" t="s">
        <v>6415</v>
      </c>
      <c r="DY123" s="118" t="s">
        <v>6415</v>
      </c>
      <c r="DZ123" s="118" t="s">
        <v>6415</v>
      </c>
      <c r="EA123" s="118" t="s">
        <v>6415</v>
      </c>
      <c r="EB123" s="118" t="s">
        <v>6415</v>
      </c>
      <c r="EC123" s="118" t="s">
        <v>6415</v>
      </c>
      <c r="ED123" s="118" t="s">
        <v>6415</v>
      </c>
      <c r="EE123" s="118" t="s">
        <v>6415</v>
      </c>
      <c r="EF123" s="118" t="s">
        <v>6415</v>
      </c>
      <c r="EG123" s="118" t="s">
        <v>7121</v>
      </c>
      <c r="EH123" s="118" t="s">
        <v>7199</v>
      </c>
      <c r="EI123" s="118" t="s">
        <v>6415</v>
      </c>
      <c r="EJ123" s="118" t="s">
        <v>6415</v>
      </c>
      <c r="EK123" s="118" t="s">
        <v>6415</v>
      </c>
      <c r="EL123" s="118" t="s">
        <v>7467</v>
      </c>
      <c r="EM123" s="118" t="s">
        <v>7198</v>
      </c>
      <c r="EN123" s="118" t="s">
        <v>6415</v>
      </c>
      <c r="EO123" s="6" t="str">
        <f t="shared" si="14"/>
        <v>Pathweb</v>
      </c>
      <c r="EP123" s="6" t="str">
        <f t="shared" si="15"/>
        <v>Google Maps</v>
      </c>
      <c r="EQ123" s="6" t="str">
        <f t="shared" si="16"/>
        <v>Mashed Map</v>
      </c>
      <c r="ER123" s="118" t="s">
        <v>6727</v>
      </c>
      <c r="ES123" s="118" t="s">
        <v>71</v>
      </c>
      <c r="ET123" s="4">
        <v>0</v>
      </c>
      <c r="EU123" s="4"/>
      <c r="EV123" s="4"/>
    </row>
    <row r="124" spans="1:152" x14ac:dyDescent="0.15">
      <c r="A124" s="581" t="str">
        <f t="shared" si="13"/>
        <v>Crash Report</v>
      </c>
      <c r="B124" s="118">
        <v>20223101391</v>
      </c>
      <c r="C124" s="118">
        <v>2022</v>
      </c>
      <c r="D124" s="118">
        <v>22053122800837</v>
      </c>
      <c r="F124" s="118" t="s">
        <v>6441</v>
      </c>
      <c r="G124" s="118" t="s">
        <v>860</v>
      </c>
      <c r="H124" s="118">
        <v>2</v>
      </c>
      <c r="I124" s="118" t="s">
        <v>6055</v>
      </c>
      <c r="J124" s="118" t="s">
        <v>391</v>
      </c>
      <c r="K124" s="118" t="s">
        <v>6997</v>
      </c>
      <c r="L124" s="118">
        <v>0.71</v>
      </c>
      <c r="M124" s="118">
        <v>0.71</v>
      </c>
      <c r="N124" s="118" t="s">
        <v>7469</v>
      </c>
      <c r="O124" s="118" t="s">
        <v>7466</v>
      </c>
      <c r="P124" s="118">
        <v>41.648485000000001</v>
      </c>
      <c r="Q124" s="118">
        <v>-83.523410999999996</v>
      </c>
      <c r="R124" s="118">
        <v>77000</v>
      </c>
      <c r="S124" s="118" t="s">
        <v>6988</v>
      </c>
      <c r="T124" s="118">
        <v>1</v>
      </c>
      <c r="U124" s="118">
        <v>0</v>
      </c>
      <c r="V124" s="118">
        <v>0</v>
      </c>
      <c r="W124" s="118">
        <v>0</v>
      </c>
      <c r="X124" s="118">
        <v>1</v>
      </c>
      <c r="Y124" s="118">
        <v>4</v>
      </c>
      <c r="Z124" s="118">
        <v>0</v>
      </c>
      <c r="AA124" s="118">
        <v>3</v>
      </c>
      <c r="AB124" s="118" t="s">
        <v>1067</v>
      </c>
      <c r="AC124" s="118" t="s">
        <v>6989</v>
      </c>
      <c r="AD124" s="118" t="s">
        <v>1034</v>
      </c>
      <c r="AE124" s="118" t="s">
        <v>943</v>
      </c>
      <c r="AF124" s="118" t="s">
        <v>1042</v>
      </c>
      <c r="AG124" s="118" t="s">
        <v>6415</v>
      </c>
      <c r="AH124" s="118" t="s">
        <v>393</v>
      </c>
      <c r="AI124" s="118">
        <v>2</v>
      </c>
      <c r="AJ124" s="118" t="s">
        <v>6415</v>
      </c>
      <c r="AK124" s="118" t="s">
        <v>393</v>
      </c>
      <c r="AL124" s="118" t="s">
        <v>393</v>
      </c>
      <c r="AM124" s="118" t="s">
        <v>393</v>
      </c>
      <c r="AN124" s="402" t="s">
        <v>5975</v>
      </c>
      <c r="AO124" s="402">
        <v>44712</v>
      </c>
      <c r="AP124" s="118">
        <v>5</v>
      </c>
      <c r="AQ124" s="118">
        <v>8</v>
      </c>
      <c r="AR124" s="118" t="s">
        <v>6445</v>
      </c>
      <c r="AS124" s="118" t="s">
        <v>392</v>
      </c>
      <c r="AT124" s="118" t="s">
        <v>500</v>
      </c>
      <c r="AU124" s="118" t="s">
        <v>404</v>
      </c>
      <c r="AV124" s="118" t="s">
        <v>508</v>
      </c>
      <c r="AW124" s="118" t="s">
        <v>393</v>
      </c>
      <c r="AX124" s="118" t="s">
        <v>393</v>
      </c>
      <c r="AY124" s="118" t="s">
        <v>393</v>
      </c>
      <c r="AZ124" s="118" t="s">
        <v>393</v>
      </c>
      <c r="BA124" s="118" t="s">
        <v>393</v>
      </c>
      <c r="BB124" s="118" t="s">
        <v>393</v>
      </c>
      <c r="BC124" s="118" t="s">
        <v>393</v>
      </c>
      <c r="BD124" s="118" t="s">
        <v>393</v>
      </c>
      <c r="BE124" s="118" t="s">
        <v>393</v>
      </c>
      <c r="BF124" s="118" t="s">
        <v>393</v>
      </c>
      <c r="BG124" s="118" t="s">
        <v>393</v>
      </c>
      <c r="BH124" s="118" t="s">
        <v>394</v>
      </c>
      <c r="BI124" s="118" t="s">
        <v>394</v>
      </c>
      <c r="BJ124" s="118" t="s">
        <v>393</v>
      </c>
      <c r="BK124" s="118" t="s">
        <v>6988</v>
      </c>
      <c r="BL124" s="118" t="s">
        <v>6415</v>
      </c>
      <c r="BM124" s="118" t="s">
        <v>6990</v>
      </c>
      <c r="BN124" s="118" t="s">
        <v>6991</v>
      </c>
      <c r="BO124" s="118" t="s">
        <v>6415</v>
      </c>
      <c r="BP124" s="118" t="s">
        <v>6415</v>
      </c>
      <c r="BQ124" s="118" t="s">
        <v>6415</v>
      </c>
      <c r="BR124" s="118" t="s">
        <v>6415</v>
      </c>
      <c r="BS124" s="118" t="s">
        <v>6415</v>
      </c>
      <c r="BT124" s="118" t="s">
        <v>6992</v>
      </c>
      <c r="BU124" s="118" t="s">
        <v>6991</v>
      </c>
      <c r="BV124" s="118" t="s">
        <v>6415</v>
      </c>
      <c r="BW124" s="118" t="s">
        <v>6415</v>
      </c>
      <c r="BX124" s="118" t="s">
        <v>6415</v>
      </c>
      <c r="BY124" s="118" t="s">
        <v>6415</v>
      </c>
      <c r="BZ124" s="118" t="s">
        <v>6415</v>
      </c>
      <c r="CA124" s="118" t="s">
        <v>6415</v>
      </c>
      <c r="CB124" s="118" t="s">
        <v>221</v>
      </c>
      <c r="CC124" s="118" t="s">
        <v>740</v>
      </c>
      <c r="CD124" s="118">
        <v>3</v>
      </c>
      <c r="CE124" s="118" t="s">
        <v>406</v>
      </c>
      <c r="CF124" s="118" t="s">
        <v>410</v>
      </c>
      <c r="CG124" s="118" t="s">
        <v>860</v>
      </c>
      <c r="CH124" s="118" t="s">
        <v>6302</v>
      </c>
      <c r="CI124" s="118" t="s">
        <v>6303</v>
      </c>
      <c r="CJ124" s="118" t="s">
        <v>398</v>
      </c>
      <c r="CK124" s="14">
        <v>15</v>
      </c>
      <c r="CL124" s="118">
        <v>25</v>
      </c>
      <c r="CM124" s="118" t="s">
        <v>435</v>
      </c>
      <c r="CN124" s="118" t="s">
        <v>451</v>
      </c>
      <c r="CO124" s="118" t="s">
        <v>1096</v>
      </c>
      <c r="CP124" s="118" t="s">
        <v>400</v>
      </c>
      <c r="CQ124" s="118" t="s">
        <v>6415</v>
      </c>
      <c r="CR124" s="118" t="s">
        <v>6415</v>
      </c>
      <c r="CS124" s="118" t="s">
        <v>6415</v>
      </c>
      <c r="CT124" s="118" t="s">
        <v>6415</v>
      </c>
      <c r="CU124" s="118" t="s">
        <v>6415</v>
      </c>
      <c r="CV124" s="118" t="s">
        <v>6415</v>
      </c>
      <c r="CW124" s="14">
        <v>0</v>
      </c>
      <c r="CX124" s="118" t="s">
        <v>1068</v>
      </c>
      <c r="CY124" s="118" t="s">
        <v>6151</v>
      </c>
      <c r="CZ124" s="118">
        <v>2</v>
      </c>
      <c r="DA124" s="118" t="s">
        <v>406</v>
      </c>
      <c r="DB124" s="118" t="s">
        <v>405</v>
      </c>
      <c r="DC124" s="118" t="s">
        <v>6415</v>
      </c>
      <c r="DD124" s="118" t="s">
        <v>6302</v>
      </c>
      <c r="DE124" s="118" t="s">
        <v>6314</v>
      </c>
      <c r="DF124" s="118" t="s">
        <v>398</v>
      </c>
      <c r="DG124" s="14">
        <v>25</v>
      </c>
      <c r="DH124" s="118">
        <v>25</v>
      </c>
      <c r="DI124" s="118" t="s">
        <v>399</v>
      </c>
      <c r="DJ124" s="118" t="s">
        <v>398</v>
      </c>
      <c r="DK124" s="118" t="s">
        <v>400</v>
      </c>
      <c r="DL124" s="118" t="s">
        <v>6415</v>
      </c>
      <c r="DM124" s="118" t="s">
        <v>6415</v>
      </c>
      <c r="DN124" s="118" t="s">
        <v>6415</v>
      </c>
      <c r="DO124" s="118" t="s">
        <v>6415</v>
      </c>
      <c r="DP124" s="118" t="s">
        <v>6415</v>
      </c>
      <c r="DQ124" s="118" t="s">
        <v>6415</v>
      </c>
      <c r="DR124" s="118">
        <v>60</v>
      </c>
      <c r="DS124" s="118" t="s">
        <v>1068</v>
      </c>
      <c r="DT124" s="118" t="s">
        <v>6341</v>
      </c>
      <c r="DU124" s="118">
        <v>1</v>
      </c>
      <c r="DV124" s="118" t="s">
        <v>6302</v>
      </c>
      <c r="DW124" s="118" t="s">
        <v>6303</v>
      </c>
      <c r="DX124" s="118" t="s">
        <v>398</v>
      </c>
      <c r="DY124" s="118" t="s">
        <v>399</v>
      </c>
      <c r="DZ124" s="118" t="s">
        <v>398</v>
      </c>
      <c r="EA124" s="118" t="s">
        <v>400</v>
      </c>
      <c r="EB124" s="118" t="s">
        <v>6415</v>
      </c>
      <c r="EC124" s="118" t="s">
        <v>6415</v>
      </c>
      <c r="ED124" s="118" t="s">
        <v>6415</v>
      </c>
      <c r="EE124" s="118" t="s">
        <v>6415</v>
      </c>
      <c r="EF124" s="118" t="s">
        <v>6415</v>
      </c>
      <c r="EG124" s="118" t="s">
        <v>6986</v>
      </c>
      <c r="EH124" s="118" t="s">
        <v>7194</v>
      </c>
      <c r="EI124" s="118" t="s">
        <v>6415</v>
      </c>
      <c r="EJ124" s="118" t="s">
        <v>6415</v>
      </c>
      <c r="EK124" s="118" t="s">
        <v>6415</v>
      </c>
      <c r="EL124" s="118" t="s">
        <v>7467</v>
      </c>
      <c r="EM124" s="118" t="s">
        <v>7201</v>
      </c>
      <c r="EN124" s="118" t="s">
        <v>6415</v>
      </c>
      <c r="EO124" s="6" t="str">
        <f t="shared" si="14"/>
        <v>Pathweb</v>
      </c>
      <c r="EP124" s="6" t="str">
        <f t="shared" si="15"/>
        <v>Google Maps</v>
      </c>
      <c r="EQ124" s="6" t="str">
        <f t="shared" si="16"/>
        <v>Mashed Map</v>
      </c>
      <c r="ER124" s="118" t="s">
        <v>6727</v>
      </c>
      <c r="ES124" s="118" t="s">
        <v>6728</v>
      </c>
      <c r="ET124" s="4">
        <v>5.0000000000000001E-3</v>
      </c>
      <c r="EU124" s="4"/>
      <c r="EV124" s="4"/>
    </row>
    <row r="125" spans="1:152" x14ac:dyDescent="0.15">
      <c r="A125" s="581" t="str">
        <f t="shared" si="13"/>
        <v>Crash Report</v>
      </c>
      <c r="B125" s="14">
        <v>20223111370</v>
      </c>
      <c r="C125" s="118">
        <v>2022</v>
      </c>
      <c r="D125" s="14">
        <v>22062028701703</v>
      </c>
      <c r="F125" s="118" t="s">
        <v>6440</v>
      </c>
      <c r="G125" s="118" t="s">
        <v>211</v>
      </c>
      <c r="H125" s="118">
        <v>2</v>
      </c>
      <c r="I125" s="118" t="s">
        <v>6055</v>
      </c>
      <c r="J125" s="118" t="s">
        <v>391</v>
      </c>
      <c r="K125" s="118" t="s">
        <v>6985</v>
      </c>
      <c r="L125" s="118">
        <v>0.01</v>
      </c>
      <c r="M125" s="118">
        <v>0.01</v>
      </c>
      <c r="N125" s="118" t="s">
        <v>7465</v>
      </c>
      <c r="O125" s="118" t="s">
        <v>7492</v>
      </c>
      <c r="P125" s="118">
        <v>41.647247999999998</v>
      </c>
      <c r="Q125" s="118">
        <v>-83.525533999999993</v>
      </c>
      <c r="R125" s="118">
        <v>77000</v>
      </c>
      <c r="S125" s="118" t="s">
        <v>6988</v>
      </c>
      <c r="T125" s="118">
        <v>1</v>
      </c>
      <c r="U125" s="118">
        <v>0</v>
      </c>
      <c r="V125" s="118">
        <v>0</v>
      </c>
      <c r="W125" s="118">
        <v>1</v>
      </c>
      <c r="X125" s="118">
        <v>1</v>
      </c>
      <c r="Y125" s="118">
        <v>0</v>
      </c>
      <c r="Z125" s="118">
        <v>0</v>
      </c>
      <c r="AA125" s="118">
        <v>2</v>
      </c>
      <c r="AB125" s="118" t="s">
        <v>1067</v>
      </c>
      <c r="AC125" s="118" t="s">
        <v>6989</v>
      </c>
      <c r="AD125" s="118" t="s">
        <v>1034</v>
      </c>
      <c r="AE125" s="118" t="s">
        <v>943</v>
      </c>
      <c r="AF125" s="118" t="s">
        <v>1042</v>
      </c>
      <c r="AG125" s="118" t="s">
        <v>6415</v>
      </c>
      <c r="AH125" s="118" t="s">
        <v>393</v>
      </c>
      <c r="AI125" s="118">
        <v>4</v>
      </c>
      <c r="AJ125" s="118" t="s">
        <v>6415</v>
      </c>
      <c r="AK125" s="118" t="s">
        <v>393</v>
      </c>
      <c r="AL125" s="118" t="s">
        <v>393</v>
      </c>
      <c r="AM125" s="118" t="s">
        <v>393</v>
      </c>
      <c r="AN125" s="402" t="s">
        <v>5975</v>
      </c>
      <c r="AO125" s="402">
        <v>44732</v>
      </c>
      <c r="AP125" s="118">
        <v>6</v>
      </c>
      <c r="AQ125" s="118">
        <v>17</v>
      </c>
      <c r="AR125" s="118" t="s">
        <v>6444</v>
      </c>
      <c r="AS125" s="118" t="s">
        <v>392</v>
      </c>
      <c r="AT125" s="118" t="s">
        <v>500</v>
      </c>
      <c r="AU125" s="118" t="s">
        <v>404</v>
      </c>
      <c r="AV125" s="118" t="s">
        <v>510</v>
      </c>
      <c r="AW125" s="118" t="s">
        <v>740</v>
      </c>
      <c r="AX125" s="118" t="s">
        <v>393</v>
      </c>
      <c r="AY125" s="118" t="s">
        <v>393</v>
      </c>
      <c r="AZ125" s="118" t="s">
        <v>393</v>
      </c>
      <c r="BA125" s="118" t="s">
        <v>393</v>
      </c>
      <c r="BB125" s="118" t="s">
        <v>393</v>
      </c>
      <c r="BC125" s="118" t="s">
        <v>393</v>
      </c>
      <c r="BD125" s="118" t="s">
        <v>393</v>
      </c>
      <c r="BE125" s="118" t="s">
        <v>393</v>
      </c>
      <c r="BF125" s="118" t="s">
        <v>740</v>
      </c>
      <c r="BG125" s="118" t="s">
        <v>393</v>
      </c>
      <c r="BH125" s="118" t="s">
        <v>394</v>
      </c>
      <c r="BI125" s="118" t="s">
        <v>394</v>
      </c>
      <c r="BJ125" s="118" t="s">
        <v>393</v>
      </c>
      <c r="BK125" s="118" t="s">
        <v>6988</v>
      </c>
      <c r="BL125" s="118" t="s">
        <v>6415</v>
      </c>
      <c r="BM125" s="118" t="s">
        <v>6990</v>
      </c>
      <c r="BN125" s="118" t="s">
        <v>6991</v>
      </c>
      <c r="BO125" s="118" t="s">
        <v>6415</v>
      </c>
      <c r="BP125" s="118" t="s">
        <v>6415</v>
      </c>
      <c r="BQ125" s="118" t="s">
        <v>6415</v>
      </c>
      <c r="BR125" s="118" t="s">
        <v>6415</v>
      </c>
      <c r="BS125" s="118" t="s">
        <v>6415</v>
      </c>
      <c r="BT125" s="118" t="s">
        <v>1127</v>
      </c>
      <c r="BU125" s="118" t="s">
        <v>6991</v>
      </c>
      <c r="BV125" s="118" t="s">
        <v>6415</v>
      </c>
      <c r="BW125" s="118" t="s">
        <v>6415</v>
      </c>
      <c r="BX125" s="118" t="s">
        <v>6415</v>
      </c>
      <c r="BY125" s="118" t="s">
        <v>6415</v>
      </c>
      <c r="BZ125" s="118" t="s">
        <v>6415</v>
      </c>
      <c r="CA125" s="118" t="s">
        <v>6415</v>
      </c>
      <c r="CB125" s="118" t="s">
        <v>221</v>
      </c>
      <c r="CC125" s="118" t="s">
        <v>740</v>
      </c>
      <c r="CD125" s="118">
        <v>1</v>
      </c>
      <c r="CE125" s="118" t="s">
        <v>411</v>
      </c>
      <c r="CF125" s="118" t="s">
        <v>410</v>
      </c>
      <c r="CG125" s="118" t="s">
        <v>924</v>
      </c>
      <c r="CH125" s="118" t="s">
        <v>6302</v>
      </c>
      <c r="CI125" s="118" t="s">
        <v>6303</v>
      </c>
      <c r="CJ125" s="118" t="s">
        <v>398</v>
      </c>
      <c r="CK125" s="118">
        <v>0</v>
      </c>
      <c r="CL125" s="118">
        <v>35</v>
      </c>
      <c r="CM125" s="118" t="s">
        <v>399</v>
      </c>
      <c r="CN125" s="118" t="s">
        <v>6328</v>
      </c>
      <c r="CO125" s="118" t="s">
        <v>1096</v>
      </c>
      <c r="CP125" s="118" t="s">
        <v>6363</v>
      </c>
      <c r="CQ125" s="118" t="s">
        <v>400</v>
      </c>
      <c r="CR125" s="118" t="s">
        <v>489</v>
      </c>
      <c r="CS125" s="118" t="s">
        <v>418</v>
      </c>
      <c r="CT125" s="118" t="s">
        <v>6415</v>
      </c>
      <c r="CU125" s="118" t="s">
        <v>6415</v>
      </c>
      <c r="CV125" s="118" t="s">
        <v>6415</v>
      </c>
      <c r="CW125" s="118">
        <v>25</v>
      </c>
      <c r="CX125" s="118" t="s">
        <v>1066</v>
      </c>
      <c r="CY125" s="118" t="s">
        <v>6341</v>
      </c>
      <c r="CZ125" s="118">
        <v>2</v>
      </c>
      <c r="DA125" s="118" t="s">
        <v>406</v>
      </c>
      <c r="DB125" s="118" t="s">
        <v>405</v>
      </c>
      <c r="DC125" s="118" t="s">
        <v>6415</v>
      </c>
      <c r="DD125" s="118" t="s">
        <v>6302</v>
      </c>
      <c r="DE125" s="118" t="s">
        <v>6303</v>
      </c>
      <c r="DF125" s="118" t="s">
        <v>398</v>
      </c>
      <c r="DG125" s="118" t="s">
        <v>6415</v>
      </c>
      <c r="DH125" s="118">
        <v>35</v>
      </c>
      <c r="DI125" s="118" t="s">
        <v>399</v>
      </c>
      <c r="DJ125" s="118" t="s">
        <v>398</v>
      </c>
      <c r="DK125" s="118" t="s">
        <v>400</v>
      </c>
      <c r="DL125" s="118" t="s">
        <v>489</v>
      </c>
      <c r="DM125" s="118" t="s">
        <v>6415</v>
      </c>
      <c r="DN125" s="118" t="s">
        <v>6415</v>
      </c>
      <c r="DO125" s="118" t="s">
        <v>6415</v>
      </c>
      <c r="DP125" s="118" t="s">
        <v>6415</v>
      </c>
      <c r="DQ125" s="118" t="s">
        <v>6415</v>
      </c>
      <c r="DR125" s="118">
        <v>52</v>
      </c>
      <c r="DS125" s="118" t="s">
        <v>1068</v>
      </c>
      <c r="DT125" s="118" t="s">
        <v>6341</v>
      </c>
      <c r="DU125" s="118" t="s">
        <v>6415</v>
      </c>
      <c r="DV125" s="118" t="s">
        <v>6415</v>
      </c>
      <c r="DW125" s="118" t="s">
        <v>6415</v>
      </c>
      <c r="DX125" s="118" t="s">
        <v>6415</v>
      </c>
      <c r="DY125" s="118" t="s">
        <v>6415</v>
      </c>
      <c r="DZ125" s="118" t="s">
        <v>6415</v>
      </c>
      <c r="EA125" s="118" t="s">
        <v>6415</v>
      </c>
      <c r="EB125" s="118" t="s">
        <v>6415</v>
      </c>
      <c r="EC125" s="118" t="s">
        <v>6415</v>
      </c>
      <c r="ED125" s="118" t="s">
        <v>6415</v>
      </c>
      <c r="EE125" s="118" t="s">
        <v>6415</v>
      </c>
      <c r="EF125" s="118" t="s">
        <v>6415</v>
      </c>
      <c r="EG125" s="118" t="s">
        <v>6415</v>
      </c>
      <c r="EH125" s="118" t="s">
        <v>6415</v>
      </c>
      <c r="EI125" s="118" t="s">
        <v>6415</v>
      </c>
      <c r="EJ125" s="118" t="s">
        <v>6415</v>
      </c>
      <c r="EK125" s="118" t="s">
        <v>6415</v>
      </c>
      <c r="EL125" s="118" t="s">
        <v>7467</v>
      </c>
      <c r="EM125" s="118" t="s">
        <v>7202</v>
      </c>
      <c r="EN125" s="118" t="s">
        <v>6415</v>
      </c>
      <c r="EO125" s="6" t="str">
        <f t="shared" si="14"/>
        <v>Pathweb</v>
      </c>
      <c r="EP125" s="6" t="str">
        <f t="shared" si="15"/>
        <v>Google Maps</v>
      </c>
      <c r="EQ125" s="6" t="str">
        <f t="shared" si="16"/>
        <v>Mashed Map</v>
      </c>
      <c r="ER125" s="118" t="s">
        <v>6727</v>
      </c>
      <c r="ES125" s="118" t="s">
        <v>6728</v>
      </c>
      <c r="ET125" s="4">
        <v>0</v>
      </c>
      <c r="EU125" s="4"/>
      <c r="EV125" s="4"/>
    </row>
    <row r="126" spans="1:152" x14ac:dyDescent="0.15">
      <c r="A126" s="581" t="str">
        <f t="shared" si="13"/>
        <v>Crash Report</v>
      </c>
      <c r="B126" s="14">
        <v>20223119886</v>
      </c>
      <c r="C126" s="118">
        <v>2022</v>
      </c>
      <c r="D126" s="14">
        <v>22070225120230</v>
      </c>
      <c r="F126" s="118" t="s">
        <v>6442</v>
      </c>
      <c r="G126" s="118" t="s">
        <v>402</v>
      </c>
      <c r="H126" s="118">
        <v>2</v>
      </c>
      <c r="I126" s="118" t="s">
        <v>6055</v>
      </c>
      <c r="J126" s="118" t="s">
        <v>391</v>
      </c>
      <c r="K126" s="118" t="s">
        <v>6997</v>
      </c>
      <c r="L126" s="118">
        <v>0.41499999999999998</v>
      </c>
      <c r="M126" s="118">
        <v>0.41499999999999998</v>
      </c>
      <c r="N126" s="118" t="s">
        <v>7469</v>
      </c>
      <c r="O126" s="118">
        <v>503</v>
      </c>
      <c r="P126" s="118">
        <v>41.645173999999997</v>
      </c>
      <c r="Q126" s="118">
        <v>-83.519814999999994</v>
      </c>
      <c r="R126" s="118">
        <v>77000</v>
      </c>
      <c r="S126" s="118" t="s">
        <v>6988</v>
      </c>
      <c r="T126" s="118">
        <v>1</v>
      </c>
      <c r="U126" s="118">
        <v>0</v>
      </c>
      <c r="V126" s="118">
        <v>0</v>
      </c>
      <c r="W126" s="118">
        <v>0</v>
      </c>
      <c r="X126" s="118">
        <v>0</v>
      </c>
      <c r="Y126" s="118">
        <v>1</v>
      </c>
      <c r="Z126" s="118">
        <v>0</v>
      </c>
      <c r="AA126" s="118">
        <v>2</v>
      </c>
      <c r="AB126" s="118" t="s">
        <v>1067</v>
      </c>
      <c r="AC126" s="118" t="s">
        <v>6989</v>
      </c>
      <c r="AD126" s="118" t="s">
        <v>1034</v>
      </c>
      <c r="AE126" s="118" t="s">
        <v>943</v>
      </c>
      <c r="AF126" s="118" t="s">
        <v>1042</v>
      </c>
      <c r="AG126" s="118" t="s">
        <v>6415</v>
      </c>
      <c r="AH126" s="118" t="s">
        <v>393</v>
      </c>
      <c r="AI126" s="118">
        <v>2</v>
      </c>
      <c r="AJ126" s="118" t="s">
        <v>6415</v>
      </c>
      <c r="AK126" s="118" t="s">
        <v>393</v>
      </c>
      <c r="AL126" s="118" t="s">
        <v>393</v>
      </c>
      <c r="AM126" s="118" t="s">
        <v>393</v>
      </c>
      <c r="AN126" s="402" t="s">
        <v>5975</v>
      </c>
      <c r="AO126" s="402">
        <v>44744</v>
      </c>
      <c r="AP126" s="118">
        <v>7</v>
      </c>
      <c r="AQ126" s="118">
        <v>2</v>
      </c>
      <c r="AR126" s="118" t="s">
        <v>6449</v>
      </c>
      <c r="AS126" s="118" t="s">
        <v>392</v>
      </c>
      <c r="AT126" s="118" t="s">
        <v>500</v>
      </c>
      <c r="AU126" s="118" t="s">
        <v>505</v>
      </c>
      <c r="AV126" s="118" t="s">
        <v>508</v>
      </c>
      <c r="AW126" s="118" t="s">
        <v>393</v>
      </c>
      <c r="AX126" s="118" t="s">
        <v>393</v>
      </c>
      <c r="AY126" s="118" t="s">
        <v>393</v>
      </c>
      <c r="AZ126" s="118" t="s">
        <v>393</v>
      </c>
      <c r="BA126" s="118" t="s">
        <v>393</v>
      </c>
      <c r="BB126" s="118" t="s">
        <v>393</v>
      </c>
      <c r="BC126" s="118" t="s">
        <v>393</v>
      </c>
      <c r="BD126" s="118" t="s">
        <v>393</v>
      </c>
      <c r="BE126" s="118" t="s">
        <v>393</v>
      </c>
      <c r="BF126" s="118" t="s">
        <v>393</v>
      </c>
      <c r="BG126" s="118" t="s">
        <v>393</v>
      </c>
      <c r="BH126" s="118" t="s">
        <v>394</v>
      </c>
      <c r="BI126" s="118" t="s">
        <v>394</v>
      </c>
      <c r="BJ126" s="118" t="s">
        <v>740</v>
      </c>
      <c r="BK126" s="118" t="s">
        <v>6988</v>
      </c>
      <c r="BL126" s="118" t="s">
        <v>6415</v>
      </c>
      <c r="BM126" s="118" t="s">
        <v>6992</v>
      </c>
      <c r="BN126" s="118" t="s">
        <v>6991</v>
      </c>
      <c r="BO126" s="118" t="s">
        <v>6415</v>
      </c>
      <c r="BP126" s="118" t="s">
        <v>6415</v>
      </c>
      <c r="BQ126" s="118" t="s">
        <v>6415</v>
      </c>
      <c r="BR126" s="118" t="s">
        <v>6415</v>
      </c>
      <c r="BS126" s="118" t="s">
        <v>6415</v>
      </c>
      <c r="BT126" s="118" t="s">
        <v>7204</v>
      </c>
      <c r="BU126" s="118" t="s">
        <v>6415</v>
      </c>
      <c r="BV126" s="118" t="s">
        <v>6415</v>
      </c>
      <c r="BW126" s="118" t="s">
        <v>6415</v>
      </c>
      <c r="BX126" s="118" t="s">
        <v>6415</v>
      </c>
      <c r="BY126" s="118" t="s">
        <v>6415</v>
      </c>
      <c r="BZ126" s="118">
        <v>503</v>
      </c>
      <c r="CA126" s="118" t="s">
        <v>6415</v>
      </c>
      <c r="CB126" s="118" t="s">
        <v>422</v>
      </c>
      <c r="CC126" s="118" t="s">
        <v>740</v>
      </c>
      <c r="CD126" s="118">
        <v>2</v>
      </c>
      <c r="CE126" s="118" t="s">
        <v>446</v>
      </c>
      <c r="CF126" s="118" t="s">
        <v>445</v>
      </c>
      <c r="CG126" s="118" t="s">
        <v>924</v>
      </c>
      <c r="CH126" s="118" t="s">
        <v>6302</v>
      </c>
      <c r="CI126" s="118" t="s">
        <v>417</v>
      </c>
      <c r="CJ126" s="118" t="s">
        <v>398</v>
      </c>
      <c r="CK126" s="14">
        <v>0</v>
      </c>
      <c r="CL126" s="118">
        <v>35</v>
      </c>
      <c r="CM126" s="118" t="s">
        <v>399</v>
      </c>
      <c r="CN126" s="118" t="s">
        <v>407</v>
      </c>
      <c r="CO126" s="118" t="s">
        <v>1096</v>
      </c>
      <c r="CP126" s="118" t="s">
        <v>450</v>
      </c>
      <c r="CQ126" s="118" t="s">
        <v>6415</v>
      </c>
      <c r="CR126" s="118" t="s">
        <v>6415</v>
      </c>
      <c r="CS126" s="118" t="s">
        <v>6415</v>
      </c>
      <c r="CT126" s="118" t="s">
        <v>6415</v>
      </c>
      <c r="CU126" s="118" t="s">
        <v>6415</v>
      </c>
      <c r="CV126" s="118" t="s">
        <v>6415</v>
      </c>
      <c r="CW126" s="14">
        <v>35</v>
      </c>
      <c r="CX126" s="118" t="s">
        <v>1068</v>
      </c>
      <c r="CY126" s="118" t="s">
        <v>6345</v>
      </c>
      <c r="CZ126" s="118">
        <v>1</v>
      </c>
      <c r="DA126" s="118" t="s">
        <v>446</v>
      </c>
      <c r="DB126" s="118" t="s">
        <v>445</v>
      </c>
      <c r="DC126" s="118" t="s">
        <v>6415</v>
      </c>
      <c r="DD126" s="118" t="s">
        <v>6302</v>
      </c>
      <c r="DE126" s="118" t="s">
        <v>417</v>
      </c>
      <c r="DF126" s="118" t="s">
        <v>398</v>
      </c>
      <c r="DG126" s="14">
        <v>30</v>
      </c>
      <c r="DH126" s="118">
        <v>35</v>
      </c>
      <c r="DI126" s="118" t="s">
        <v>429</v>
      </c>
      <c r="DJ126" s="118" t="s">
        <v>398</v>
      </c>
      <c r="DK126" s="118" t="s">
        <v>400</v>
      </c>
      <c r="DL126" s="118" t="s">
        <v>6415</v>
      </c>
      <c r="DM126" s="118" t="s">
        <v>6415</v>
      </c>
      <c r="DN126" s="118" t="s">
        <v>6415</v>
      </c>
      <c r="DO126" s="118" t="s">
        <v>6415</v>
      </c>
      <c r="DP126" s="118" t="s">
        <v>6415</v>
      </c>
      <c r="DQ126" s="118" t="s">
        <v>6415</v>
      </c>
      <c r="DR126" s="118">
        <v>0</v>
      </c>
      <c r="DS126" s="118" t="s">
        <v>6415</v>
      </c>
      <c r="DT126" s="118" t="s">
        <v>6415</v>
      </c>
      <c r="DU126" s="118" t="s">
        <v>6415</v>
      </c>
      <c r="DV126" s="118" t="s">
        <v>6415</v>
      </c>
      <c r="DW126" s="118" t="s">
        <v>6415</v>
      </c>
      <c r="DX126" s="118" t="s">
        <v>6415</v>
      </c>
      <c r="DY126" s="118" t="s">
        <v>6415</v>
      </c>
      <c r="DZ126" s="118" t="s">
        <v>6415</v>
      </c>
      <c r="EA126" s="118" t="s">
        <v>6415</v>
      </c>
      <c r="EB126" s="118" t="s">
        <v>6415</v>
      </c>
      <c r="EC126" s="118" t="s">
        <v>6415</v>
      </c>
      <c r="ED126" s="118" t="s">
        <v>6415</v>
      </c>
      <c r="EE126" s="118" t="s">
        <v>6415</v>
      </c>
      <c r="EF126" s="118" t="s">
        <v>6415</v>
      </c>
      <c r="EG126" s="118" t="s">
        <v>7051</v>
      </c>
      <c r="EH126" s="118" t="s">
        <v>7052</v>
      </c>
      <c r="EI126" s="118" t="s">
        <v>6415</v>
      </c>
      <c r="EJ126" s="118" t="s">
        <v>6415</v>
      </c>
      <c r="EK126" s="118" t="s">
        <v>6415</v>
      </c>
      <c r="EL126" s="118" t="s">
        <v>7467</v>
      </c>
      <c r="EM126" s="118" t="s">
        <v>7203</v>
      </c>
      <c r="EN126" s="118" t="s">
        <v>6415</v>
      </c>
      <c r="EO126" s="6" t="str">
        <f t="shared" si="14"/>
        <v>Pathweb</v>
      </c>
      <c r="EP126" s="6" t="str">
        <f t="shared" si="15"/>
        <v>Google Maps</v>
      </c>
      <c r="EQ126" s="6" t="str">
        <f t="shared" si="16"/>
        <v>Mashed Map</v>
      </c>
      <c r="ER126" s="118" t="s">
        <v>6727</v>
      </c>
      <c r="ES126" s="118" t="s">
        <v>71</v>
      </c>
      <c r="ET126" s="4">
        <v>0</v>
      </c>
      <c r="EU126" s="4"/>
      <c r="EV126" s="4"/>
    </row>
    <row r="127" spans="1:152" x14ac:dyDescent="0.15">
      <c r="A127" s="581" t="str">
        <f t="shared" si="13"/>
        <v>Crash Report</v>
      </c>
      <c r="B127" s="118">
        <v>20223133420</v>
      </c>
      <c r="C127" s="118">
        <v>2022</v>
      </c>
      <c r="D127" s="118">
        <v>22072126081300</v>
      </c>
      <c r="F127" s="118" t="s">
        <v>6440</v>
      </c>
      <c r="G127" s="118" t="s">
        <v>230</v>
      </c>
      <c r="H127" s="118">
        <v>2</v>
      </c>
      <c r="I127" s="118" t="s">
        <v>6055</v>
      </c>
      <c r="J127" s="118" t="s">
        <v>391</v>
      </c>
      <c r="K127" s="118" t="s">
        <v>6985</v>
      </c>
      <c r="L127" s="118">
        <v>0.77</v>
      </c>
      <c r="M127" s="118">
        <v>0.77</v>
      </c>
      <c r="N127" s="118" t="s">
        <v>7465</v>
      </c>
      <c r="O127" s="118" t="s">
        <v>7473</v>
      </c>
      <c r="P127" s="118">
        <v>41.654192000000002</v>
      </c>
      <c r="Q127" s="118">
        <v>-83.514189999999999</v>
      </c>
      <c r="R127" s="118">
        <v>77000</v>
      </c>
      <c r="S127" s="118" t="s">
        <v>6988</v>
      </c>
      <c r="T127" s="118">
        <v>1</v>
      </c>
      <c r="U127" s="118">
        <v>0</v>
      </c>
      <c r="V127" s="118">
        <v>0</v>
      </c>
      <c r="W127" s="118">
        <v>1</v>
      </c>
      <c r="X127" s="118">
        <v>1</v>
      </c>
      <c r="Y127" s="118">
        <v>0</v>
      </c>
      <c r="Z127" s="118">
        <v>0</v>
      </c>
      <c r="AA127" s="118">
        <v>2</v>
      </c>
      <c r="AB127" s="118" t="s">
        <v>1067</v>
      </c>
      <c r="AC127" s="118" t="s">
        <v>6989</v>
      </c>
      <c r="AD127" s="118" t="s">
        <v>1034</v>
      </c>
      <c r="AE127" s="118" t="s">
        <v>943</v>
      </c>
      <c r="AF127" s="118" t="s">
        <v>1041</v>
      </c>
      <c r="AG127" s="118" t="s">
        <v>6415</v>
      </c>
      <c r="AH127" s="118" t="s">
        <v>393</v>
      </c>
      <c r="AI127" s="118">
        <v>4</v>
      </c>
      <c r="AJ127" s="118" t="s">
        <v>6415</v>
      </c>
      <c r="AK127" s="118" t="s">
        <v>393</v>
      </c>
      <c r="AL127" s="118" t="s">
        <v>393</v>
      </c>
      <c r="AM127" s="118" t="s">
        <v>393</v>
      </c>
      <c r="AN127" s="402" t="s">
        <v>5975</v>
      </c>
      <c r="AO127" s="402">
        <v>44763</v>
      </c>
      <c r="AP127" s="118">
        <v>7</v>
      </c>
      <c r="AQ127" s="118">
        <v>13</v>
      </c>
      <c r="AR127" s="118" t="s">
        <v>6447</v>
      </c>
      <c r="AS127" s="118" t="s">
        <v>392</v>
      </c>
      <c r="AT127" s="118" t="s">
        <v>500</v>
      </c>
      <c r="AU127" s="118" t="s">
        <v>404</v>
      </c>
      <c r="AV127" s="118" t="s">
        <v>508</v>
      </c>
      <c r="AW127" s="118" t="s">
        <v>393</v>
      </c>
      <c r="AX127" s="118" t="s">
        <v>740</v>
      </c>
      <c r="AY127" s="118" t="s">
        <v>393</v>
      </c>
      <c r="AZ127" s="118" t="s">
        <v>393</v>
      </c>
      <c r="BA127" s="118" t="s">
        <v>393</v>
      </c>
      <c r="BB127" s="118" t="s">
        <v>393</v>
      </c>
      <c r="BC127" s="118" t="s">
        <v>393</v>
      </c>
      <c r="BD127" s="118" t="s">
        <v>393</v>
      </c>
      <c r="BE127" s="118" t="s">
        <v>393</v>
      </c>
      <c r="BF127" s="118" t="s">
        <v>740</v>
      </c>
      <c r="BG127" s="118" t="s">
        <v>393</v>
      </c>
      <c r="BH127" s="118" t="s">
        <v>394</v>
      </c>
      <c r="BI127" s="118" t="s">
        <v>394</v>
      </c>
      <c r="BJ127" s="118" t="s">
        <v>393</v>
      </c>
      <c r="BK127" s="118" t="s">
        <v>6988</v>
      </c>
      <c r="BL127" s="118" t="s">
        <v>260</v>
      </c>
      <c r="BM127" s="118" t="s">
        <v>7207</v>
      </c>
      <c r="BN127" s="118" t="s">
        <v>7057</v>
      </c>
      <c r="BO127" s="118" t="s">
        <v>6415</v>
      </c>
      <c r="BP127" s="118" t="s">
        <v>6415</v>
      </c>
      <c r="BQ127" s="118" t="s">
        <v>6415</v>
      </c>
      <c r="BR127" s="118" t="s">
        <v>6415</v>
      </c>
      <c r="BS127" s="118" t="s">
        <v>6415</v>
      </c>
      <c r="BT127" s="118" t="s">
        <v>6990</v>
      </c>
      <c r="BU127" s="118" t="s">
        <v>6991</v>
      </c>
      <c r="BV127" s="118" t="s">
        <v>6415</v>
      </c>
      <c r="BW127" s="118" t="s">
        <v>6415</v>
      </c>
      <c r="BX127" s="118" t="s">
        <v>6415</v>
      </c>
      <c r="BY127" s="118" t="s">
        <v>6415</v>
      </c>
      <c r="BZ127" s="118" t="s">
        <v>6415</v>
      </c>
      <c r="CA127" s="118" t="s">
        <v>6415</v>
      </c>
      <c r="CB127" s="118" t="s">
        <v>221</v>
      </c>
      <c r="CC127" s="118" t="s">
        <v>740</v>
      </c>
      <c r="CD127" s="118">
        <v>2</v>
      </c>
      <c r="CE127" s="118" t="s">
        <v>411</v>
      </c>
      <c r="CF127" s="118" t="s">
        <v>405</v>
      </c>
      <c r="CG127" s="118" t="s">
        <v>230</v>
      </c>
      <c r="CH127" s="118" t="s">
        <v>6302</v>
      </c>
      <c r="CI127" s="118" t="s">
        <v>6303</v>
      </c>
      <c r="CJ127" s="118" t="s">
        <v>398</v>
      </c>
      <c r="CK127" s="14">
        <v>20</v>
      </c>
      <c r="CL127" s="118">
        <v>45</v>
      </c>
      <c r="CM127" s="118" t="s">
        <v>436</v>
      </c>
      <c r="CN127" s="118" t="s">
        <v>451</v>
      </c>
      <c r="CO127" s="118" t="s">
        <v>1096</v>
      </c>
      <c r="CP127" s="118" t="s">
        <v>400</v>
      </c>
      <c r="CQ127" s="118" t="s">
        <v>6415</v>
      </c>
      <c r="CR127" s="118" t="s">
        <v>6415</v>
      </c>
      <c r="CS127" s="118" t="s">
        <v>6415</v>
      </c>
      <c r="CT127" s="118" t="s">
        <v>6415</v>
      </c>
      <c r="CU127" s="118" t="s">
        <v>6415</v>
      </c>
      <c r="CV127" s="118" t="s">
        <v>6415</v>
      </c>
      <c r="CW127" s="14">
        <v>25</v>
      </c>
      <c r="CX127" s="118" t="s">
        <v>1068</v>
      </c>
      <c r="CY127" s="118" t="s">
        <v>6341</v>
      </c>
      <c r="CZ127" s="118">
        <v>1</v>
      </c>
      <c r="DA127" s="118" t="s">
        <v>410</v>
      </c>
      <c r="DB127" s="118" t="s">
        <v>411</v>
      </c>
      <c r="DC127" s="118" t="s">
        <v>6415</v>
      </c>
      <c r="DD127" s="118" t="s">
        <v>6302</v>
      </c>
      <c r="DE127" s="118" t="s">
        <v>417</v>
      </c>
      <c r="DF127" s="118" t="s">
        <v>398</v>
      </c>
      <c r="DG127" s="14">
        <v>45</v>
      </c>
      <c r="DH127" s="118">
        <v>45</v>
      </c>
      <c r="DI127" s="118" t="s">
        <v>399</v>
      </c>
      <c r="DJ127" s="118" t="s">
        <v>398</v>
      </c>
      <c r="DK127" s="118" t="s">
        <v>400</v>
      </c>
      <c r="DL127" s="118" t="s">
        <v>6415</v>
      </c>
      <c r="DM127" s="118" t="s">
        <v>6415</v>
      </c>
      <c r="DN127" s="118" t="s">
        <v>6415</v>
      </c>
      <c r="DO127" s="118" t="s">
        <v>6415</v>
      </c>
      <c r="DP127" s="118" t="s">
        <v>6415</v>
      </c>
      <c r="DQ127" s="118" t="s">
        <v>6415</v>
      </c>
      <c r="DR127" s="118">
        <v>30</v>
      </c>
      <c r="DS127" s="118" t="s">
        <v>1066</v>
      </c>
      <c r="DT127" s="118" t="s">
        <v>6341</v>
      </c>
      <c r="DU127" s="118" t="s">
        <v>6415</v>
      </c>
      <c r="DV127" s="118" t="s">
        <v>6415</v>
      </c>
      <c r="DW127" s="118" t="s">
        <v>6415</v>
      </c>
      <c r="DX127" s="118" t="s">
        <v>6415</v>
      </c>
      <c r="DY127" s="118" t="s">
        <v>6415</v>
      </c>
      <c r="DZ127" s="118" t="s">
        <v>6415</v>
      </c>
      <c r="EA127" s="118" t="s">
        <v>6415</v>
      </c>
      <c r="EB127" s="118" t="s">
        <v>6415</v>
      </c>
      <c r="EC127" s="118" t="s">
        <v>6415</v>
      </c>
      <c r="ED127" s="118" t="s">
        <v>6415</v>
      </c>
      <c r="EE127" s="118" t="s">
        <v>6415</v>
      </c>
      <c r="EF127" s="118" t="s">
        <v>6415</v>
      </c>
      <c r="EG127" s="118" t="s">
        <v>7164</v>
      </c>
      <c r="EH127" s="118" t="s">
        <v>7206</v>
      </c>
      <c r="EI127" s="118" t="s">
        <v>6415</v>
      </c>
      <c r="EJ127" s="118" t="s">
        <v>6415</v>
      </c>
      <c r="EK127" s="118" t="s">
        <v>6415</v>
      </c>
      <c r="EL127" s="118" t="s">
        <v>7467</v>
      </c>
      <c r="EM127" s="118" t="s">
        <v>7205</v>
      </c>
      <c r="EN127" s="118" t="s">
        <v>6415</v>
      </c>
      <c r="EO127" s="6" t="str">
        <f t="shared" si="14"/>
        <v>Pathweb</v>
      </c>
      <c r="EP127" s="6" t="str">
        <f t="shared" si="15"/>
        <v>Google Maps</v>
      </c>
      <c r="EQ127" s="6" t="str">
        <f t="shared" si="16"/>
        <v>Mashed Map</v>
      </c>
      <c r="ER127" s="118" t="s">
        <v>6727</v>
      </c>
      <c r="ES127" s="118" t="s">
        <v>6728</v>
      </c>
      <c r="ET127" s="4">
        <v>2E-3</v>
      </c>
      <c r="EU127" s="4"/>
      <c r="EV127" s="4"/>
    </row>
    <row r="128" spans="1:152" x14ac:dyDescent="0.15">
      <c r="A128" s="581" t="str">
        <f t="shared" si="13"/>
        <v>Crash Report</v>
      </c>
      <c r="B128" s="118">
        <v>20223139603</v>
      </c>
      <c r="C128" s="118">
        <v>2022</v>
      </c>
      <c r="D128" s="118">
        <v>22072923000930</v>
      </c>
      <c r="F128" s="118" t="s">
        <v>6442</v>
      </c>
      <c r="G128" s="118" t="s">
        <v>409</v>
      </c>
      <c r="H128" s="118">
        <v>2</v>
      </c>
      <c r="I128" s="118" t="s">
        <v>6055</v>
      </c>
      <c r="J128" s="118" t="s">
        <v>391</v>
      </c>
      <c r="K128" s="118" t="s">
        <v>6997</v>
      </c>
      <c r="L128" s="118">
        <v>0.71</v>
      </c>
      <c r="M128" s="118">
        <v>0.71</v>
      </c>
      <c r="N128" s="118" t="s">
        <v>7469</v>
      </c>
      <c r="O128" s="118" t="s">
        <v>7466</v>
      </c>
      <c r="P128" s="118">
        <v>41.648485000000001</v>
      </c>
      <c r="Q128" s="118">
        <v>-83.523410999999996</v>
      </c>
      <c r="R128" s="118">
        <v>77000</v>
      </c>
      <c r="S128" s="118" t="s">
        <v>6988</v>
      </c>
      <c r="T128" s="118">
        <v>1</v>
      </c>
      <c r="U128" s="118">
        <v>0</v>
      </c>
      <c r="V128" s="118">
        <v>0</v>
      </c>
      <c r="W128" s="118">
        <v>0</v>
      </c>
      <c r="X128" s="118">
        <v>0</v>
      </c>
      <c r="Y128" s="118">
        <v>2</v>
      </c>
      <c r="Z128" s="118">
        <v>0</v>
      </c>
      <c r="AA128" s="118">
        <v>1</v>
      </c>
      <c r="AB128" s="118" t="s">
        <v>1067</v>
      </c>
      <c r="AC128" s="118" t="s">
        <v>6989</v>
      </c>
      <c r="AD128" s="118" t="s">
        <v>1034</v>
      </c>
      <c r="AE128" s="118" t="s">
        <v>943</v>
      </c>
      <c r="AF128" s="118" t="s">
        <v>1042</v>
      </c>
      <c r="AG128" s="118" t="s">
        <v>6415</v>
      </c>
      <c r="AH128" s="118" t="s">
        <v>393</v>
      </c>
      <c r="AI128" s="118">
        <v>2</v>
      </c>
      <c r="AJ128" s="118" t="s">
        <v>6415</v>
      </c>
      <c r="AK128" s="118" t="s">
        <v>393</v>
      </c>
      <c r="AL128" s="118" t="s">
        <v>393</v>
      </c>
      <c r="AM128" s="118" t="s">
        <v>393</v>
      </c>
      <c r="AN128" s="402" t="s">
        <v>5975</v>
      </c>
      <c r="AO128" s="402">
        <v>44771</v>
      </c>
      <c r="AP128" s="118">
        <v>7</v>
      </c>
      <c r="AQ128" s="118">
        <v>9</v>
      </c>
      <c r="AR128" s="118" t="s">
        <v>6448</v>
      </c>
      <c r="AS128" s="118" t="s">
        <v>392</v>
      </c>
      <c r="AT128" s="118" t="s">
        <v>500</v>
      </c>
      <c r="AU128" s="118" t="s">
        <v>404</v>
      </c>
      <c r="AV128" s="118" t="s">
        <v>508</v>
      </c>
      <c r="AW128" s="118" t="s">
        <v>740</v>
      </c>
      <c r="AX128" s="118" t="s">
        <v>393</v>
      </c>
      <c r="AY128" s="118" t="s">
        <v>393</v>
      </c>
      <c r="AZ128" s="118" t="s">
        <v>393</v>
      </c>
      <c r="BA128" s="118" t="s">
        <v>393</v>
      </c>
      <c r="BB128" s="118" t="s">
        <v>393</v>
      </c>
      <c r="BC128" s="118" t="s">
        <v>393</v>
      </c>
      <c r="BD128" s="118" t="s">
        <v>393</v>
      </c>
      <c r="BE128" s="118" t="s">
        <v>393</v>
      </c>
      <c r="BF128" s="118" t="s">
        <v>393</v>
      </c>
      <c r="BG128" s="118" t="s">
        <v>393</v>
      </c>
      <c r="BH128" s="118" t="s">
        <v>394</v>
      </c>
      <c r="BI128" s="118" t="s">
        <v>394</v>
      </c>
      <c r="BJ128" s="118" t="s">
        <v>393</v>
      </c>
      <c r="BK128" s="118" t="s">
        <v>6988</v>
      </c>
      <c r="BL128" s="118" t="s">
        <v>6415</v>
      </c>
      <c r="BM128" s="118" t="s">
        <v>6990</v>
      </c>
      <c r="BN128" s="118" t="s">
        <v>6991</v>
      </c>
      <c r="BO128" s="118" t="s">
        <v>6415</v>
      </c>
      <c r="BP128" s="118" t="s">
        <v>6415</v>
      </c>
      <c r="BQ128" s="118" t="s">
        <v>6415</v>
      </c>
      <c r="BR128" s="118" t="s">
        <v>6415</v>
      </c>
      <c r="BS128" s="118" t="s">
        <v>6415</v>
      </c>
      <c r="BT128" s="118" t="s">
        <v>6992</v>
      </c>
      <c r="BU128" s="118" t="s">
        <v>6991</v>
      </c>
      <c r="BV128" s="118" t="s">
        <v>6415</v>
      </c>
      <c r="BW128" s="118" t="s">
        <v>6415</v>
      </c>
      <c r="BX128" s="118" t="s">
        <v>6415</v>
      </c>
      <c r="BY128" s="118" t="s">
        <v>6415</v>
      </c>
      <c r="BZ128" s="118" t="s">
        <v>6415</v>
      </c>
      <c r="CA128" s="118" t="s">
        <v>6415</v>
      </c>
      <c r="CB128" s="118" t="s">
        <v>221</v>
      </c>
      <c r="CC128" s="118" t="s">
        <v>393</v>
      </c>
      <c r="CD128" s="118">
        <v>1</v>
      </c>
      <c r="CE128" s="118" t="s">
        <v>396</v>
      </c>
      <c r="CF128" s="118" t="s">
        <v>397</v>
      </c>
      <c r="CG128" s="118" t="s">
        <v>924</v>
      </c>
      <c r="CH128" s="118" t="s">
        <v>6302</v>
      </c>
      <c r="CI128" s="118" t="s">
        <v>417</v>
      </c>
      <c r="CJ128" s="118" t="s">
        <v>398</v>
      </c>
      <c r="CK128" s="118">
        <v>30</v>
      </c>
      <c r="CL128" s="118">
        <v>35</v>
      </c>
      <c r="CM128" s="118" t="s">
        <v>399</v>
      </c>
      <c r="CN128" s="118" t="s">
        <v>458</v>
      </c>
      <c r="CO128" s="118" t="s">
        <v>1096</v>
      </c>
      <c r="CP128" s="118" t="s">
        <v>432</v>
      </c>
      <c r="CQ128" s="118" t="s">
        <v>6415</v>
      </c>
      <c r="CR128" s="118" t="s">
        <v>6415</v>
      </c>
      <c r="CS128" s="118" t="s">
        <v>6415</v>
      </c>
      <c r="CT128" s="118" t="s">
        <v>6415</v>
      </c>
      <c r="CU128" s="118" t="s">
        <v>6415</v>
      </c>
      <c r="CV128" s="118" t="s">
        <v>6415</v>
      </c>
      <c r="CW128" s="118">
        <v>31</v>
      </c>
      <c r="CX128" s="118" t="s">
        <v>1066</v>
      </c>
      <c r="CY128" s="118" t="s">
        <v>6341</v>
      </c>
      <c r="CZ128" s="118" t="s">
        <v>6415</v>
      </c>
      <c r="DA128" s="118" t="s">
        <v>6415</v>
      </c>
      <c r="DB128" s="118" t="s">
        <v>6415</v>
      </c>
      <c r="DC128" s="118" t="s">
        <v>6415</v>
      </c>
      <c r="DD128" s="118" t="s">
        <v>6415</v>
      </c>
      <c r="DE128" s="118" t="s">
        <v>6415</v>
      </c>
      <c r="DF128" s="118" t="s">
        <v>6415</v>
      </c>
      <c r="DG128" s="118" t="s">
        <v>6415</v>
      </c>
      <c r="DH128" s="118" t="s">
        <v>6415</v>
      </c>
      <c r="DI128" s="118" t="s">
        <v>6415</v>
      </c>
      <c r="DJ128" s="118" t="s">
        <v>6415</v>
      </c>
      <c r="DK128" s="118" t="s">
        <v>6415</v>
      </c>
      <c r="DL128" s="118" t="s">
        <v>6415</v>
      </c>
      <c r="DM128" s="118" t="s">
        <v>6415</v>
      </c>
      <c r="DN128" s="118" t="s">
        <v>6415</v>
      </c>
      <c r="DO128" s="118" t="s">
        <v>6415</v>
      </c>
      <c r="DP128" s="118" t="s">
        <v>6415</v>
      </c>
      <c r="DQ128" s="118" t="s">
        <v>6415</v>
      </c>
      <c r="DR128" s="118">
        <v>0</v>
      </c>
      <c r="DS128" s="118" t="s">
        <v>6415</v>
      </c>
      <c r="DT128" s="118" t="s">
        <v>6415</v>
      </c>
      <c r="DU128" s="118" t="s">
        <v>6415</v>
      </c>
      <c r="DV128" s="118" t="s">
        <v>6415</v>
      </c>
      <c r="DW128" s="118" t="s">
        <v>6415</v>
      </c>
      <c r="DX128" s="118" t="s">
        <v>6415</v>
      </c>
      <c r="DY128" s="118" t="s">
        <v>6415</v>
      </c>
      <c r="DZ128" s="118" t="s">
        <v>6415</v>
      </c>
      <c r="EA128" s="118" t="s">
        <v>6415</v>
      </c>
      <c r="EB128" s="118" t="s">
        <v>6415</v>
      </c>
      <c r="EC128" s="118" t="s">
        <v>6415</v>
      </c>
      <c r="ED128" s="118" t="s">
        <v>6415</v>
      </c>
      <c r="EE128" s="118" t="s">
        <v>6415</v>
      </c>
      <c r="EF128" s="118" t="s">
        <v>6415</v>
      </c>
      <c r="EG128" s="118" t="s">
        <v>6986</v>
      </c>
      <c r="EH128" s="118" t="s">
        <v>7194</v>
      </c>
      <c r="EI128" s="118" t="s">
        <v>6415</v>
      </c>
      <c r="EJ128" s="118" t="s">
        <v>6415</v>
      </c>
      <c r="EK128" s="118" t="s">
        <v>6415</v>
      </c>
      <c r="EL128" s="118" t="s">
        <v>7467</v>
      </c>
      <c r="EM128" s="118" t="s">
        <v>7208</v>
      </c>
      <c r="EN128" s="118" t="s">
        <v>6415</v>
      </c>
      <c r="EO128" s="6" t="str">
        <f t="shared" si="14"/>
        <v>Pathweb</v>
      </c>
      <c r="EP128" s="6" t="str">
        <f t="shared" si="15"/>
        <v>Google Maps</v>
      </c>
      <c r="EQ128" s="6" t="str">
        <f t="shared" si="16"/>
        <v>Mashed Map</v>
      </c>
      <c r="ER128" s="118" t="s">
        <v>6726</v>
      </c>
      <c r="ES128" s="118" t="s">
        <v>71</v>
      </c>
      <c r="ET128" s="4">
        <v>1.4E-2</v>
      </c>
      <c r="EU128" s="4"/>
      <c r="EV128" s="4"/>
    </row>
    <row r="129" spans="1:152" x14ac:dyDescent="0.15">
      <c r="A129" s="581" t="str">
        <f t="shared" si="13"/>
        <v>Crash Report</v>
      </c>
      <c r="B129" s="14">
        <v>20223145878</v>
      </c>
      <c r="C129" s="118">
        <v>2022</v>
      </c>
      <c r="D129" s="14">
        <v>22080822031235</v>
      </c>
      <c r="F129" s="118" t="s">
        <v>6442</v>
      </c>
      <c r="G129" s="118" t="s">
        <v>212</v>
      </c>
      <c r="H129" s="118">
        <v>2</v>
      </c>
      <c r="I129" s="118" t="s">
        <v>6055</v>
      </c>
      <c r="J129" s="118" t="s">
        <v>391</v>
      </c>
      <c r="K129" s="118" t="s">
        <v>6985</v>
      </c>
      <c r="L129" s="118">
        <v>0.56999999999999995</v>
      </c>
      <c r="M129" s="118">
        <v>0.56999999999999995</v>
      </c>
      <c r="N129" s="118" t="s">
        <v>7465</v>
      </c>
      <c r="O129" s="118" t="s">
        <v>7473</v>
      </c>
      <c r="P129" s="118">
        <v>41.652369999999998</v>
      </c>
      <c r="Q129" s="118">
        <v>-83.517182000000005</v>
      </c>
      <c r="R129" s="118">
        <v>77000</v>
      </c>
      <c r="S129" s="118" t="s">
        <v>6988</v>
      </c>
      <c r="T129" s="118">
        <v>1</v>
      </c>
      <c r="U129" s="118">
        <v>0</v>
      </c>
      <c r="V129" s="118">
        <v>0</v>
      </c>
      <c r="W129" s="118">
        <v>0</v>
      </c>
      <c r="X129" s="118">
        <v>0</v>
      </c>
      <c r="Y129" s="118">
        <v>1</v>
      </c>
      <c r="Z129" s="118">
        <v>0</v>
      </c>
      <c r="AA129" s="118">
        <v>2</v>
      </c>
      <c r="AB129" s="118" t="s">
        <v>1067</v>
      </c>
      <c r="AC129" s="118" t="s">
        <v>6989</v>
      </c>
      <c r="AD129" s="118" t="s">
        <v>1034</v>
      </c>
      <c r="AE129" s="118" t="s">
        <v>943</v>
      </c>
      <c r="AF129" s="118" t="s">
        <v>1041</v>
      </c>
      <c r="AG129" s="118" t="s">
        <v>6415</v>
      </c>
      <c r="AH129" s="118" t="s">
        <v>393</v>
      </c>
      <c r="AI129" s="118">
        <v>4</v>
      </c>
      <c r="AJ129" s="118" t="s">
        <v>6415</v>
      </c>
      <c r="AK129" s="118" t="s">
        <v>393</v>
      </c>
      <c r="AL129" s="118" t="s">
        <v>393</v>
      </c>
      <c r="AM129" s="118" t="s">
        <v>393</v>
      </c>
      <c r="AN129" s="402" t="s">
        <v>5975</v>
      </c>
      <c r="AO129" s="402">
        <v>44781</v>
      </c>
      <c r="AP129" s="118">
        <v>8</v>
      </c>
      <c r="AQ129" s="118">
        <v>12</v>
      </c>
      <c r="AR129" s="118" t="s">
        <v>6444</v>
      </c>
      <c r="AS129" s="118" t="s">
        <v>392</v>
      </c>
      <c r="AT129" s="118" t="s">
        <v>500</v>
      </c>
      <c r="AU129" s="118" t="s">
        <v>404</v>
      </c>
      <c r="AV129" s="118" t="s">
        <v>508</v>
      </c>
      <c r="AW129" s="118" t="s">
        <v>393</v>
      </c>
      <c r="AX129" s="118" t="s">
        <v>393</v>
      </c>
      <c r="AY129" s="118" t="s">
        <v>740</v>
      </c>
      <c r="AZ129" s="118" t="s">
        <v>393</v>
      </c>
      <c r="BA129" s="118" t="s">
        <v>393</v>
      </c>
      <c r="BB129" s="118" t="s">
        <v>393</v>
      </c>
      <c r="BC129" s="118" t="s">
        <v>393</v>
      </c>
      <c r="BD129" s="118" t="s">
        <v>393</v>
      </c>
      <c r="BE129" s="118" t="s">
        <v>393</v>
      </c>
      <c r="BF129" s="118" t="s">
        <v>393</v>
      </c>
      <c r="BG129" s="118" t="s">
        <v>393</v>
      </c>
      <c r="BH129" s="118" t="s">
        <v>394</v>
      </c>
      <c r="BI129" s="118" t="s">
        <v>394</v>
      </c>
      <c r="BJ129" s="118" t="s">
        <v>393</v>
      </c>
      <c r="BK129" s="118" t="s">
        <v>6988</v>
      </c>
      <c r="BL129" s="118" t="s">
        <v>6415</v>
      </c>
      <c r="BM129" s="118" t="s">
        <v>5832</v>
      </c>
      <c r="BN129" s="118" t="s">
        <v>6991</v>
      </c>
      <c r="BO129" s="118" t="s">
        <v>6415</v>
      </c>
      <c r="BP129" s="118" t="s">
        <v>6415</v>
      </c>
      <c r="BQ129" s="118" t="s">
        <v>6415</v>
      </c>
      <c r="BR129" s="118" t="s">
        <v>6415</v>
      </c>
      <c r="BS129" s="118" t="s">
        <v>6415</v>
      </c>
      <c r="BT129" s="118" t="s">
        <v>6990</v>
      </c>
      <c r="BU129" s="118" t="s">
        <v>6991</v>
      </c>
      <c r="BV129" s="118" t="s">
        <v>6415</v>
      </c>
      <c r="BW129" s="118" t="s">
        <v>6415</v>
      </c>
      <c r="BX129" s="118" t="s">
        <v>6415</v>
      </c>
      <c r="BY129" s="118" t="s">
        <v>6415</v>
      </c>
      <c r="BZ129" s="118" t="s">
        <v>6415</v>
      </c>
      <c r="CA129" s="118" t="s">
        <v>6415</v>
      </c>
      <c r="CB129" s="118" t="s">
        <v>221</v>
      </c>
      <c r="CC129" s="118" t="s">
        <v>740</v>
      </c>
      <c r="CD129" s="118">
        <v>1</v>
      </c>
      <c r="CE129" s="118" t="s">
        <v>397</v>
      </c>
      <c r="CF129" s="118" t="s">
        <v>396</v>
      </c>
      <c r="CG129" s="118" t="s">
        <v>924</v>
      </c>
      <c r="CH129" s="118" t="s">
        <v>6302</v>
      </c>
      <c r="CI129" s="118" t="s">
        <v>6305</v>
      </c>
      <c r="CJ129" s="118" t="s">
        <v>398</v>
      </c>
      <c r="CK129" s="14">
        <v>10</v>
      </c>
      <c r="CL129" s="118">
        <v>25</v>
      </c>
      <c r="CM129" s="118" t="s">
        <v>212</v>
      </c>
      <c r="CN129" s="118" t="s">
        <v>441</v>
      </c>
      <c r="CO129" s="118" t="s">
        <v>1096</v>
      </c>
      <c r="CP129" s="118" t="s">
        <v>450</v>
      </c>
      <c r="CQ129" s="118" t="s">
        <v>6415</v>
      </c>
      <c r="CR129" s="118" t="s">
        <v>6415</v>
      </c>
      <c r="CS129" s="118" t="s">
        <v>6415</v>
      </c>
      <c r="CT129" s="118" t="s">
        <v>6415</v>
      </c>
      <c r="CU129" s="118" t="s">
        <v>6415</v>
      </c>
      <c r="CV129" s="118" t="s">
        <v>6415</v>
      </c>
      <c r="CW129" s="14">
        <v>57</v>
      </c>
      <c r="CX129" s="118" t="s">
        <v>1068</v>
      </c>
      <c r="CY129" s="118" t="s">
        <v>6341</v>
      </c>
      <c r="CZ129" s="118">
        <v>2</v>
      </c>
      <c r="DA129" s="118" t="s">
        <v>445</v>
      </c>
      <c r="DB129" s="118" t="s">
        <v>446</v>
      </c>
      <c r="DC129" s="118" t="s">
        <v>6415</v>
      </c>
      <c r="DD129" s="118" t="s">
        <v>6302</v>
      </c>
      <c r="DE129" s="118" t="s">
        <v>6305</v>
      </c>
      <c r="DF129" s="118" t="s">
        <v>398</v>
      </c>
      <c r="DG129" s="14">
        <v>0</v>
      </c>
      <c r="DH129" s="118">
        <v>25</v>
      </c>
      <c r="DI129" s="118" t="s">
        <v>429</v>
      </c>
      <c r="DJ129" s="118" t="s">
        <v>398</v>
      </c>
      <c r="DK129" s="118" t="s">
        <v>400</v>
      </c>
      <c r="DL129" s="118" t="s">
        <v>6415</v>
      </c>
      <c r="DM129" s="118" t="s">
        <v>6415</v>
      </c>
      <c r="DN129" s="118" t="s">
        <v>6415</v>
      </c>
      <c r="DO129" s="118" t="s">
        <v>6415</v>
      </c>
      <c r="DP129" s="118" t="s">
        <v>6415</v>
      </c>
      <c r="DQ129" s="118" t="s">
        <v>6415</v>
      </c>
      <c r="DR129" s="118">
        <v>0</v>
      </c>
      <c r="DS129" s="118" t="s">
        <v>6415</v>
      </c>
      <c r="DT129" s="118" t="s">
        <v>6415</v>
      </c>
      <c r="DU129" s="118" t="s">
        <v>6415</v>
      </c>
      <c r="DV129" s="118" t="s">
        <v>6415</v>
      </c>
      <c r="DW129" s="118" t="s">
        <v>6415</v>
      </c>
      <c r="DX129" s="118" t="s">
        <v>6415</v>
      </c>
      <c r="DY129" s="118" t="s">
        <v>6415</v>
      </c>
      <c r="DZ129" s="118" t="s">
        <v>6415</v>
      </c>
      <c r="EA129" s="118" t="s">
        <v>6415</v>
      </c>
      <c r="EB129" s="118" t="s">
        <v>6415</v>
      </c>
      <c r="EC129" s="118" t="s">
        <v>6415</v>
      </c>
      <c r="ED129" s="118" t="s">
        <v>6415</v>
      </c>
      <c r="EE129" s="118" t="s">
        <v>6415</v>
      </c>
      <c r="EF129" s="118" t="s">
        <v>6415</v>
      </c>
      <c r="EG129" s="118" t="s">
        <v>7210</v>
      </c>
      <c r="EH129" s="118" t="s">
        <v>7211</v>
      </c>
      <c r="EI129" s="118" t="s">
        <v>6415</v>
      </c>
      <c r="EJ129" s="118" t="s">
        <v>6415</v>
      </c>
      <c r="EK129" s="118" t="s">
        <v>6415</v>
      </c>
      <c r="EL129" s="118" t="s">
        <v>7467</v>
      </c>
      <c r="EM129" s="118" t="s">
        <v>7209</v>
      </c>
      <c r="EN129" s="118" t="s">
        <v>6415</v>
      </c>
      <c r="EO129" s="6" t="str">
        <f t="shared" si="14"/>
        <v>Pathweb</v>
      </c>
      <c r="EP129" s="6" t="str">
        <f t="shared" si="15"/>
        <v>Google Maps</v>
      </c>
      <c r="EQ129" s="6" t="str">
        <f t="shared" si="16"/>
        <v>Mashed Map</v>
      </c>
      <c r="ER129" s="118" t="s">
        <v>6727</v>
      </c>
      <c r="ES129" s="118" t="s">
        <v>71</v>
      </c>
      <c r="ET129" s="4">
        <v>1.9E-2</v>
      </c>
      <c r="EU129" s="4"/>
      <c r="EV129" s="4"/>
    </row>
    <row r="130" spans="1:152" x14ac:dyDescent="0.15">
      <c r="A130" s="581" t="str">
        <f t="shared" si="13"/>
        <v>Crash Report</v>
      </c>
      <c r="B130" s="14">
        <v>20223147139</v>
      </c>
      <c r="C130" s="118">
        <v>2022</v>
      </c>
      <c r="D130" s="14">
        <v>22080527700036</v>
      </c>
      <c r="F130" s="118" t="s">
        <v>6442</v>
      </c>
      <c r="G130" s="118" t="s">
        <v>211</v>
      </c>
      <c r="H130" s="118">
        <v>2</v>
      </c>
      <c r="I130" s="118" t="s">
        <v>6055</v>
      </c>
      <c r="J130" s="118" t="s">
        <v>391</v>
      </c>
      <c r="K130" s="118" t="s">
        <v>6997</v>
      </c>
      <c r="L130" s="118">
        <v>0.71</v>
      </c>
      <c r="M130" s="118">
        <v>0.71</v>
      </c>
      <c r="N130" s="118" t="s">
        <v>7469</v>
      </c>
      <c r="O130" s="118" t="s">
        <v>7473</v>
      </c>
      <c r="P130" s="118">
        <v>41.648485000000001</v>
      </c>
      <c r="Q130" s="118">
        <v>-83.523410999999996</v>
      </c>
      <c r="R130" s="118">
        <v>77000</v>
      </c>
      <c r="S130" s="118" t="s">
        <v>6988</v>
      </c>
      <c r="T130" s="118">
        <v>1</v>
      </c>
      <c r="U130" s="118">
        <v>0</v>
      </c>
      <c r="V130" s="118">
        <v>0</v>
      </c>
      <c r="W130" s="118">
        <v>0</v>
      </c>
      <c r="X130" s="118">
        <v>0</v>
      </c>
      <c r="Y130" s="118">
        <v>4</v>
      </c>
      <c r="Z130" s="118">
        <v>0</v>
      </c>
      <c r="AA130" s="118">
        <v>2</v>
      </c>
      <c r="AB130" s="118" t="s">
        <v>1067</v>
      </c>
      <c r="AC130" s="118" t="s">
        <v>6989</v>
      </c>
      <c r="AD130" s="118" t="s">
        <v>1034</v>
      </c>
      <c r="AE130" s="118" t="s">
        <v>943</v>
      </c>
      <c r="AF130" s="118" t="s">
        <v>1042</v>
      </c>
      <c r="AG130" s="118" t="s">
        <v>6415</v>
      </c>
      <c r="AH130" s="118" t="s">
        <v>393</v>
      </c>
      <c r="AI130" s="118">
        <v>2</v>
      </c>
      <c r="AJ130" s="118" t="s">
        <v>6415</v>
      </c>
      <c r="AK130" s="118" t="s">
        <v>393</v>
      </c>
      <c r="AL130" s="118" t="s">
        <v>393</v>
      </c>
      <c r="AM130" s="118" t="s">
        <v>393</v>
      </c>
      <c r="AN130" s="402" t="s">
        <v>5975</v>
      </c>
      <c r="AO130" s="402">
        <v>44778</v>
      </c>
      <c r="AP130" s="118">
        <v>8</v>
      </c>
      <c r="AQ130" s="118">
        <v>0</v>
      </c>
      <c r="AR130" s="118" t="s">
        <v>6448</v>
      </c>
      <c r="AS130" s="118" t="s">
        <v>392</v>
      </c>
      <c r="AT130" s="118" t="s">
        <v>500</v>
      </c>
      <c r="AU130" s="118" t="s">
        <v>404</v>
      </c>
      <c r="AV130" s="118" t="s">
        <v>508</v>
      </c>
      <c r="AW130" s="118" t="s">
        <v>393</v>
      </c>
      <c r="AX130" s="118" t="s">
        <v>740</v>
      </c>
      <c r="AY130" s="118" t="s">
        <v>393</v>
      </c>
      <c r="AZ130" s="118" t="s">
        <v>393</v>
      </c>
      <c r="BA130" s="118" t="s">
        <v>393</v>
      </c>
      <c r="BB130" s="118" t="s">
        <v>393</v>
      </c>
      <c r="BC130" s="118" t="s">
        <v>393</v>
      </c>
      <c r="BD130" s="118" t="s">
        <v>393</v>
      </c>
      <c r="BE130" s="118" t="s">
        <v>393</v>
      </c>
      <c r="BF130" s="118" t="s">
        <v>740</v>
      </c>
      <c r="BG130" s="118" t="s">
        <v>393</v>
      </c>
      <c r="BH130" s="118" t="s">
        <v>394</v>
      </c>
      <c r="BI130" s="118" t="s">
        <v>394</v>
      </c>
      <c r="BJ130" s="118" t="s">
        <v>393</v>
      </c>
      <c r="BK130" s="118" t="s">
        <v>6988</v>
      </c>
      <c r="BL130" s="118" t="s">
        <v>6415</v>
      </c>
      <c r="BM130" s="118" t="s">
        <v>6992</v>
      </c>
      <c r="BN130" s="118" t="s">
        <v>6991</v>
      </c>
      <c r="BO130" s="118" t="s">
        <v>6415</v>
      </c>
      <c r="BP130" s="118" t="s">
        <v>6415</v>
      </c>
      <c r="BQ130" s="118" t="s">
        <v>6415</v>
      </c>
      <c r="BR130" s="118" t="s">
        <v>6415</v>
      </c>
      <c r="BS130" s="118" t="s">
        <v>6415</v>
      </c>
      <c r="BT130" s="118" t="s">
        <v>6990</v>
      </c>
      <c r="BU130" s="118" t="s">
        <v>6991</v>
      </c>
      <c r="BV130" s="118" t="s">
        <v>6415</v>
      </c>
      <c r="BW130" s="118" t="s">
        <v>6415</v>
      </c>
      <c r="BX130" s="118" t="s">
        <v>6415</v>
      </c>
      <c r="BY130" s="118" t="s">
        <v>6415</v>
      </c>
      <c r="BZ130" s="118" t="s">
        <v>6415</v>
      </c>
      <c r="CA130" s="118" t="s">
        <v>6415</v>
      </c>
      <c r="CB130" s="118" t="s">
        <v>221</v>
      </c>
      <c r="CC130" s="118" t="s">
        <v>740</v>
      </c>
      <c r="CD130" s="118">
        <v>1</v>
      </c>
      <c r="CE130" s="118" t="s">
        <v>411</v>
      </c>
      <c r="CF130" s="118" t="s">
        <v>410</v>
      </c>
      <c r="CG130" s="118" t="s">
        <v>924</v>
      </c>
      <c r="CH130" s="118" t="s">
        <v>6302</v>
      </c>
      <c r="CI130" s="118" t="s">
        <v>6303</v>
      </c>
      <c r="CJ130" s="118" t="s">
        <v>398</v>
      </c>
      <c r="CK130" s="14">
        <v>35</v>
      </c>
      <c r="CL130" s="118">
        <v>35</v>
      </c>
      <c r="CM130" s="118" t="s">
        <v>399</v>
      </c>
      <c r="CN130" s="118" t="s">
        <v>440</v>
      </c>
      <c r="CO130" s="118" t="s">
        <v>1096</v>
      </c>
      <c r="CP130" s="118" t="s">
        <v>400</v>
      </c>
      <c r="CQ130" s="118" t="s">
        <v>6415</v>
      </c>
      <c r="CR130" s="118" t="s">
        <v>6415</v>
      </c>
      <c r="CS130" s="118" t="s">
        <v>6415</v>
      </c>
      <c r="CT130" s="118" t="s">
        <v>6415</v>
      </c>
      <c r="CU130" s="118" t="s">
        <v>6415</v>
      </c>
      <c r="CV130" s="118" t="s">
        <v>6415</v>
      </c>
      <c r="CW130" s="14">
        <v>24</v>
      </c>
      <c r="CX130" s="118" t="s">
        <v>1068</v>
      </c>
      <c r="CY130" s="118" t="s">
        <v>6341</v>
      </c>
      <c r="CZ130" s="118">
        <v>2</v>
      </c>
      <c r="DA130" s="118" t="s">
        <v>406</v>
      </c>
      <c r="DB130" s="118" t="s">
        <v>405</v>
      </c>
      <c r="DC130" s="118" t="s">
        <v>6415</v>
      </c>
      <c r="DD130" s="118" t="s">
        <v>6302</v>
      </c>
      <c r="DE130" s="118" t="s">
        <v>6303</v>
      </c>
      <c r="DF130" s="118" t="s">
        <v>398</v>
      </c>
      <c r="DG130" s="14">
        <v>35</v>
      </c>
      <c r="DH130" s="118">
        <v>35</v>
      </c>
      <c r="DI130" s="118" t="s">
        <v>399</v>
      </c>
      <c r="DJ130" s="118" t="s">
        <v>398</v>
      </c>
      <c r="DK130" s="118" t="s">
        <v>400</v>
      </c>
      <c r="DL130" s="118" t="s">
        <v>6415</v>
      </c>
      <c r="DM130" s="118" t="s">
        <v>6415</v>
      </c>
      <c r="DN130" s="118" t="s">
        <v>6415</v>
      </c>
      <c r="DO130" s="118" t="s">
        <v>6415</v>
      </c>
      <c r="DP130" s="118" t="s">
        <v>6415</v>
      </c>
      <c r="DQ130" s="118" t="s">
        <v>6415</v>
      </c>
      <c r="DR130" s="118">
        <v>32</v>
      </c>
      <c r="DS130" s="118" t="s">
        <v>1068</v>
      </c>
      <c r="DT130" s="118" t="s">
        <v>6341</v>
      </c>
      <c r="DU130" s="118" t="s">
        <v>6415</v>
      </c>
      <c r="DV130" s="118" t="s">
        <v>6415</v>
      </c>
      <c r="DW130" s="118" t="s">
        <v>6415</v>
      </c>
      <c r="DX130" s="118" t="s">
        <v>6415</v>
      </c>
      <c r="DY130" s="118" t="s">
        <v>6415</v>
      </c>
      <c r="DZ130" s="118" t="s">
        <v>6415</v>
      </c>
      <c r="EA130" s="118" t="s">
        <v>6415</v>
      </c>
      <c r="EB130" s="118" t="s">
        <v>6415</v>
      </c>
      <c r="EC130" s="118" t="s">
        <v>6415</v>
      </c>
      <c r="ED130" s="118" t="s">
        <v>6415</v>
      </c>
      <c r="EE130" s="118" t="s">
        <v>6415</v>
      </c>
      <c r="EF130" s="118" t="s">
        <v>6415</v>
      </c>
      <c r="EG130" s="118" t="s">
        <v>6986</v>
      </c>
      <c r="EH130" s="118" t="s">
        <v>7194</v>
      </c>
      <c r="EI130" s="118" t="s">
        <v>6415</v>
      </c>
      <c r="EJ130" s="118" t="s">
        <v>6415</v>
      </c>
      <c r="EK130" s="118" t="s">
        <v>6415</v>
      </c>
      <c r="EL130" s="118" t="s">
        <v>7467</v>
      </c>
      <c r="EM130" s="118" t="s">
        <v>7212</v>
      </c>
      <c r="EN130" s="118" t="s">
        <v>6415</v>
      </c>
      <c r="EO130" s="6" t="str">
        <f t="shared" si="14"/>
        <v>Pathweb</v>
      </c>
      <c r="EP130" s="6" t="str">
        <f t="shared" si="15"/>
        <v>Google Maps</v>
      </c>
      <c r="EQ130" s="6" t="str">
        <f t="shared" si="16"/>
        <v>Mashed Map</v>
      </c>
      <c r="ER130" s="118" t="s">
        <v>6727</v>
      </c>
      <c r="ES130" s="118" t="s">
        <v>71</v>
      </c>
      <c r="ET130" s="4">
        <v>0</v>
      </c>
      <c r="EU130" s="4"/>
      <c r="EV130" s="4"/>
    </row>
    <row r="131" spans="1:152" x14ac:dyDescent="0.15">
      <c r="A131" s="581" t="str">
        <f t="shared" si="13"/>
        <v>Crash Report</v>
      </c>
      <c r="B131" s="118">
        <v>20223148176</v>
      </c>
      <c r="C131" s="118">
        <v>2022</v>
      </c>
      <c r="D131" s="118">
        <v>22081029071117</v>
      </c>
      <c r="F131" s="118" t="s">
        <v>6439</v>
      </c>
      <c r="G131" s="118" t="s">
        <v>230</v>
      </c>
      <c r="H131" s="118">
        <v>2</v>
      </c>
      <c r="I131" s="118" t="s">
        <v>6055</v>
      </c>
      <c r="J131" s="118" t="s">
        <v>423</v>
      </c>
      <c r="K131" s="118" t="s">
        <v>6985</v>
      </c>
      <c r="L131" s="118">
        <v>0.77</v>
      </c>
      <c r="M131" s="118">
        <v>0.77</v>
      </c>
      <c r="N131" s="118" t="s">
        <v>7465</v>
      </c>
      <c r="O131" s="118" t="s">
        <v>7493</v>
      </c>
      <c r="P131" s="118">
        <v>41.654192000000002</v>
      </c>
      <c r="Q131" s="118">
        <v>-83.514189999999999</v>
      </c>
      <c r="R131" s="118">
        <v>77000</v>
      </c>
      <c r="S131" s="118" t="s">
        <v>6988</v>
      </c>
      <c r="T131" s="118">
        <v>1</v>
      </c>
      <c r="U131" s="118">
        <v>0</v>
      </c>
      <c r="V131" s="118">
        <v>1</v>
      </c>
      <c r="W131" s="118">
        <v>2</v>
      </c>
      <c r="X131" s="118">
        <v>0</v>
      </c>
      <c r="Y131" s="118">
        <v>0</v>
      </c>
      <c r="Z131" s="118">
        <v>0</v>
      </c>
      <c r="AA131" s="118">
        <v>2</v>
      </c>
      <c r="AB131" s="118" t="s">
        <v>1067</v>
      </c>
      <c r="AC131" s="118" t="s">
        <v>6989</v>
      </c>
      <c r="AD131" s="118" t="s">
        <v>1034</v>
      </c>
      <c r="AE131" s="118" t="s">
        <v>943</v>
      </c>
      <c r="AF131" s="118" t="s">
        <v>1041</v>
      </c>
      <c r="AG131" s="118" t="s">
        <v>6415</v>
      </c>
      <c r="AH131" s="118" t="s">
        <v>393</v>
      </c>
      <c r="AI131" s="118">
        <v>4</v>
      </c>
      <c r="AJ131" s="118" t="s">
        <v>6415</v>
      </c>
      <c r="AK131" s="118" t="s">
        <v>393</v>
      </c>
      <c r="AL131" s="118" t="s">
        <v>393</v>
      </c>
      <c r="AM131" s="118" t="s">
        <v>393</v>
      </c>
      <c r="AN131" s="402" t="s">
        <v>5975</v>
      </c>
      <c r="AO131" s="402">
        <v>44783</v>
      </c>
      <c r="AP131" s="118">
        <v>8</v>
      </c>
      <c r="AQ131" s="118">
        <v>11</v>
      </c>
      <c r="AR131" s="118" t="s">
        <v>6446</v>
      </c>
      <c r="AS131" s="118" t="s">
        <v>392</v>
      </c>
      <c r="AT131" s="118" t="s">
        <v>500</v>
      </c>
      <c r="AU131" s="118" t="s">
        <v>404</v>
      </c>
      <c r="AV131" s="118" t="s">
        <v>508</v>
      </c>
      <c r="AW131" s="118" t="s">
        <v>393</v>
      </c>
      <c r="AX131" s="118" t="s">
        <v>740</v>
      </c>
      <c r="AY131" s="118" t="s">
        <v>393</v>
      </c>
      <c r="AZ131" s="118" t="s">
        <v>393</v>
      </c>
      <c r="BA131" s="118" t="s">
        <v>393</v>
      </c>
      <c r="BB131" s="118" t="s">
        <v>393</v>
      </c>
      <c r="BC131" s="118" t="s">
        <v>393</v>
      </c>
      <c r="BD131" s="118" t="s">
        <v>393</v>
      </c>
      <c r="BE131" s="118" t="s">
        <v>740</v>
      </c>
      <c r="BF131" s="118" t="s">
        <v>393</v>
      </c>
      <c r="BG131" s="118" t="s">
        <v>393</v>
      </c>
      <c r="BH131" s="118" t="s">
        <v>394</v>
      </c>
      <c r="BI131" s="118" t="s">
        <v>394</v>
      </c>
      <c r="BJ131" s="118" t="s">
        <v>393</v>
      </c>
      <c r="BK131" s="118" t="s">
        <v>6988</v>
      </c>
      <c r="BL131" s="118" t="s">
        <v>6415</v>
      </c>
      <c r="BM131" s="118" t="s">
        <v>6990</v>
      </c>
      <c r="BN131" s="118" t="s">
        <v>6991</v>
      </c>
      <c r="BO131" s="118" t="s">
        <v>6415</v>
      </c>
      <c r="BP131" s="118" t="s">
        <v>6415</v>
      </c>
      <c r="BQ131" s="118" t="s">
        <v>6415</v>
      </c>
      <c r="BR131" s="118" t="s">
        <v>6415</v>
      </c>
      <c r="BS131" s="118" t="s">
        <v>6415</v>
      </c>
      <c r="BT131" s="118" t="s">
        <v>7214</v>
      </c>
      <c r="BU131" s="118" t="s">
        <v>6991</v>
      </c>
      <c r="BV131" s="118" t="s">
        <v>6415</v>
      </c>
      <c r="BW131" s="118" t="s">
        <v>6415</v>
      </c>
      <c r="BX131" s="118" t="s">
        <v>6415</v>
      </c>
      <c r="BY131" s="118" t="s">
        <v>6415</v>
      </c>
      <c r="BZ131" s="118" t="s">
        <v>6415</v>
      </c>
      <c r="CA131" s="118" t="s">
        <v>6415</v>
      </c>
      <c r="CB131" s="118" t="s">
        <v>221</v>
      </c>
      <c r="CC131" s="118" t="s">
        <v>740</v>
      </c>
      <c r="CD131" s="118">
        <v>1</v>
      </c>
      <c r="CE131" s="118" t="s">
        <v>397</v>
      </c>
      <c r="CF131" s="118" t="s">
        <v>411</v>
      </c>
      <c r="CG131" s="118" t="s">
        <v>230</v>
      </c>
      <c r="CH131" s="118" t="s">
        <v>6302</v>
      </c>
      <c r="CI131" s="118" t="s">
        <v>6303</v>
      </c>
      <c r="CJ131" s="118" t="s">
        <v>398</v>
      </c>
      <c r="CK131" s="118">
        <v>10</v>
      </c>
      <c r="CL131" s="118">
        <v>35</v>
      </c>
      <c r="CM131" s="118" t="s">
        <v>436</v>
      </c>
      <c r="CN131" s="118" t="s">
        <v>6327</v>
      </c>
      <c r="CO131" s="118" t="s">
        <v>1096</v>
      </c>
      <c r="CP131" s="118" t="s">
        <v>400</v>
      </c>
      <c r="CQ131" s="118" t="s">
        <v>6415</v>
      </c>
      <c r="CR131" s="118" t="s">
        <v>6415</v>
      </c>
      <c r="CS131" s="118" t="s">
        <v>6415</v>
      </c>
      <c r="CT131" s="118" t="s">
        <v>6415</v>
      </c>
      <c r="CU131" s="118" t="s">
        <v>6415</v>
      </c>
      <c r="CV131" s="118" t="s">
        <v>6415</v>
      </c>
      <c r="CW131" s="118">
        <v>78</v>
      </c>
      <c r="CX131" s="118" t="s">
        <v>1066</v>
      </c>
      <c r="CY131" s="118" t="s">
        <v>6341</v>
      </c>
      <c r="CZ131" s="118">
        <v>2</v>
      </c>
      <c r="DA131" s="118" t="s">
        <v>411</v>
      </c>
      <c r="DB131" s="118" t="s">
        <v>410</v>
      </c>
      <c r="DC131" s="118" t="s">
        <v>6415</v>
      </c>
      <c r="DD131" s="118" t="s">
        <v>6302</v>
      </c>
      <c r="DE131" s="118" t="s">
        <v>6303</v>
      </c>
      <c r="DF131" s="118" t="s">
        <v>398</v>
      </c>
      <c r="DG131" s="118">
        <v>35</v>
      </c>
      <c r="DH131" s="118">
        <v>35</v>
      </c>
      <c r="DI131" s="118" t="s">
        <v>399</v>
      </c>
      <c r="DJ131" s="118" t="s">
        <v>398</v>
      </c>
      <c r="DK131" s="118" t="s">
        <v>400</v>
      </c>
      <c r="DL131" s="118" t="s">
        <v>6415</v>
      </c>
      <c r="DM131" s="118" t="s">
        <v>6415</v>
      </c>
      <c r="DN131" s="118" t="s">
        <v>6415</v>
      </c>
      <c r="DO131" s="118" t="s">
        <v>6415</v>
      </c>
      <c r="DP131" s="118" t="s">
        <v>6415</v>
      </c>
      <c r="DQ131" s="118" t="s">
        <v>6415</v>
      </c>
      <c r="DR131" s="118">
        <v>47</v>
      </c>
      <c r="DS131" s="118" t="s">
        <v>1066</v>
      </c>
      <c r="DT131" s="118" t="s">
        <v>6341</v>
      </c>
      <c r="DU131" s="118" t="s">
        <v>6415</v>
      </c>
      <c r="DV131" s="118" t="s">
        <v>6415</v>
      </c>
      <c r="DW131" s="118" t="s">
        <v>6415</v>
      </c>
      <c r="DX131" s="118" t="s">
        <v>6415</v>
      </c>
      <c r="DY131" s="118" t="s">
        <v>6415</v>
      </c>
      <c r="DZ131" s="118" t="s">
        <v>6415</v>
      </c>
      <c r="EA131" s="118" t="s">
        <v>6415</v>
      </c>
      <c r="EB131" s="118" t="s">
        <v>6415</v>
      </c>
      <c r="EC131" s="118" t="s">
        <v>6415</v>
      </c>
      <c r="ED131" s="118" t="s">
        <v>6415</v>
      </c>
      <c r="EE131" s="118" t="s">
        <v>6415</v>
      </c>
      <c r="EF131" s="118" t="s">
        <v>6415</v>
      </c>
      <c r="EG131" s="118" t="s">
        <v>7164</v>
      </c>
      <c r="EH131" s="118" t="s">
        <v>7206</v>
      </c>
      <c r="EI131" s="118" t="s">
        <v>6415</v>
      </c>
      <c r="EJ131" s="118" t="s">
        <v>6415</v>
      </c>
      <c r="EK131" s="118" t="s">
        <v>6415</v>
      </c>
      <c r="EL131" s="118" t="s">
        <v>7467</v>
      </c>
      <c r="EM131" s="118" t="s">
        <v>7213</v>
      </c>
      <c r="EN131" s="118" t="s">
        <v>6415</v>
      </c>
      <c r="EO131" s="6" t="str">
        <f t="shared" si="14"/>
        <v>Pathweb</v>
      </c>
      <c r="EP131" s="6" t="str">
        <f t="shared" si="15"/>
        <v>Google Maps</v>
      </c>
      <c r="EQ131" s="6" t="str">
        <f t="shared" si="16"/>
        <v>Mashed Map</v>
      </c>
      <c r="ER131" s="118" t="s">
        <v>6727</v>
      </c>
      <c r="ES131" s="118" t="s">
        <v>6728</v>
      </c>
      <c r="ET131" s="4">
        <v>0</v>
      </c>
      <c r="EU131" s="4"/>
      <c r="EV131" s="4"/>
    </row>
    <row r="132" spans="1:152" x14ac:dyDescent="0.15">
      <c r="A132" s="581" t="str">
        <f t="shared" si="13"/>
        <v>Crash Report</v>
      </c>
      <c r="B132" s="118">
        <v>20223152409</v>
      </c>
      <c r="C132" s="118">
        <v>2022</v>
      </c>
      <c r="D132" s="118">
        <v>22081928450333</v>
      </c>
      <c r="F132" s="118" t="s">
        <v>6441</v>
      </c>
      <c r="G132" s="118" t="s">
        <v>438</v>
      </c>
      <c r="H132" s="118">
        <v>2</v>
      </c>
      <c r="I132" s="118" t="s">
        <v>6055</v>
      </c>
      <c r="J132" s="118" t="s">
        <v>391</v>
      </c>
      <c r="K132" s="118" t="s">
        <v>6985</v>
      </c>
      <c r="L132" s="118">
        <v>3.7999999999999999E-2</v>
      </c>
      <c r="M132" s="118">
        <v>3.7999999999999999E-2</v>
      </c>
      <c r="N132" s="118" t="s">
        <v>7465</v>
      </c>
      <c r="O132" s="118">
        <v>418</v>
      </c>
      <c r="P132" s="118">
        <v>41.647514999999999</v>
      </c>
      <c r="Q132" s="118">
        <v>-83.525130000000004</v>
      </c>
      <c r="R132" s="118">
        <v>77000</v>
      </c>
      <c r="S132" s="118" t="s">
        <v>6988</v>
      </c>
      <c r="T132" s="118">
        <v>1</v>
      </c>
      <c r="U132" s="118">
        <v>0</v>
      </c>
      <c r="V132" s="118">
        <v>0</v>
      </c>
      <c r="W132" s="118">
        <v>0</v>
      </c>
      <c r="X132" s="118">
        <v>1</v>
      </c>
      <c r="Y132" s="118">
        <v>1</v>
      </c>
      <c r="Z132" s="118">
        <v>0</v>
      </c>
      <c r="AA132" s="118">
        <v>2</v>
      </c>
      <c r="AB132" s="118" t="s">
        <v>1067</v>
      </c>
      <c r="AC132" s="118" t="s">
        <v>6989</v>
      </c>
      <c r="AD132" s="118" t="s">
        <v>1034</v>
      </c>
      <c r="AE132" s="118" t="s">
        <v>943</v>
      </c>
      <c r="AF132" s="118" t="s">
        <v>1042</v>
      </c>
      <c r="AG132" s="118" t="s">
        <v>6415</v>
      </c>
      <c r="AH132" s="118" t="s">
        <v>393</v>
      </c>
      <c r="AI132" s="118">
        <v>4</v>
      </c>
      <c r="AJ132" s="118" t="s">
        <v>6415</v>
      </c>
      <c r="AK132" s="118" t="s">
        <v>393</v>
      </c>
      <c r="AL132" s="118" t="s">
        <v>393</v>
      </c>
      <c r="AM132" s="118" t="s">
        <v>393</v>
      </c>
      <c r="AN132" s="402" t="s">
        <v>5975</v>
      </c>
      <c r="AO132" s="402">
        <v>44792</v>
      </c>
      <c r="AP132" s="118">
        <v>8</v>
      </c>
      <c r="AQ132" s="118">
        <v>3</v>
      </c>
      <c r="AR132" s="118" t="s">
        <v>6448</v>
      </c>
      <c r="AS132" s="118" t="s">
        <v>392</v>
      </c>
      <c r="AT132" s="118" t="s">
        <v>500</v>
      </c>
      <c r="AU132" s="118" t="s">
        <v>505</v>
      </c>
      <c r="AV132" s="118" t="s">
        <v>508</v>
      </c>
      <c r="AW132" s="118" t="s">
        <v>740</v>
      </c>
      <c r="AX132" s="118" t="s">
        <v>393</v>
      </c>
      <c r="AY132" s="118" t="s">
        <v>393</v>
      </c>
      <c r="AZ132" s="118" t="s">
        <v>393</v>
      </c>
      <c r="BA132" s="118" t="s">
        <v>393</v>
      </c>
      <c r="BB132" s="118" t="s">
        <v>393</v>
      </c>
      <c r="BC132" s="118" t="s">
        <v>393</v>
      </c>
      <c r="BD132" s="118" t="s">
        <v>393</v>
      </c>
      <c r="BE132" s="118" t="s">
        <v>393</v>
      </c>
      <c r="BF132" s="118" t="s">
        <v>393</v>
      </c>
      <c r="BG132" s="118" t="s">
        <v>393</v>
      </c>
      <c r="BH132" s="118" t="s">
        <v>394</v>
      </c>
      <c r="BI132" s="118" t="s">
        <v>394</v>
      </c>
      <c r="BJ132" s="118" t="s">
        <v>393</v>
      </c>
      <c r="BK132" s="118" t="s">
        <v>6988</v>
      </c>
      <c r="BL132" s="118" t="s">
        <v>6415</v>
      </c>
      <c r="BM132" s="118" t="s">
        <v>6990</v>
      </c>
      <c r="BN132" s="118" t="s">
        <v>6991</v>
      </c>
      <c r="BO132" s="118" t="s">
        <v>6415</v>
      </c>
      <c r="BP132" s="118" t="s">
        <v>6415</v>
      </c>
      <c r="BQ132" s="118" t="s">
        <v>6415</v>
      </c>
      <c r="BR132" s="118" t="s">
        <v>6415</v>
      </c>
      <c r="BS132" s="118" t="s">
        <v>6415</v>
      </c>
      <c r="BT132" s="118" t="s">
        <v>7216</v>
      </c>
      <c r="BU132" s="118" t="s">
        <v>6415</v>
      </c>
      <c r="BV132" s="118" t="s">
        <v>6415</v>
      </c>
      <c r="BW132" s="118" t="s">
        <v>6415</v>
      </c>
      <c r="BX132" s="118" t="s">
        <v>6415</v>
      </c>
      <c r="BY132" s="118" t="s">
        <v>6415</v>
      </c>
      <c r="BZ132" s="118">
        <v>418</v>
      </c>
      <c r="CA132" s="118" t="s">
        <v>6415</v>
      </c>
      <c r="CB132" s="118" t="s">
        <v>422</v>
      </c>
      <c r="CC132" s="118" t="s">
        <v>740</v>
      </c>
      <c r="CD132" s="118">
        <v>2</v>
      </c>
      <c r="CE132" s="118" t="s">
        <v>411</v>
      </c>
      <c r="CF132" s="118" t="s">
        <v>410</v>
      </c>
      <c r="CG132" s="118" t="s">
        <v>924</v>
      </c>
      <c r="CH132" s="118" t="s">
        <v>6302</v>
      </c>
      <c r="CI132" s="118" t="s">
        <v>6303</v>
      </c>
      <c r="CJ132" s="118" t="s">
        <v>398</v>
      </c>
      <c r="CK132" s="14">
        <v>0</v>
      </c>
      <c r="CL132" s="118">
        <v>35</v>
      </c>
      <c r="CM132" s="118" t="s">
        <v>6151</v>
      </c>
      <c r="CN132" s="118" t="s">
        <v>6328</v>
      </c>
      <c r="CO132" s="118" t="s">
        <v>1096</v>
      </c>
      <c r="CP132" s="118" t="s">
        <v>6363</v>
      </c>
      <c r="CQ132" s="118" t="s">
        <v>400</v>
      </c>
      <c r="CR132" s="118" t="s">
        <v>6415</v>
      </c>
      <c r="CS132" s="118" t="s">
        <v>6415</v>
      </c>
      <c r="CT132" s="118" t="s">
        <v>6415</v>
      </c>
      <c r="CU132" s="118" t="s">
        <v>6415</v>
      </c>
      <c r="CV132" s="118" t="s">
        <v>6415</v>
      </c>
      <c r="CW132" s="14">
        <v>0</v>
      </c>
      <c r="CX132" s="118" t="s">
        <v>1068</v>
      </c>
      <c r="CY132" s="118" t="s">
        <v>6151</v>
      </c>
      <c r="CZ132" s="118">
        <v>1</v>
      </c>
      <c r="DA132" s="118" t="s">
        <v>410</v>
      </c>
      <c r="DB132" s="118" t="s">
        <v>411</v>
      </c>
      <c r="DC132" s="118" t="s">
        <v>6415</v>
      </c>
      <c r="DD132" s="118" t="s">
        <v>6302</v>
      </c>
      <c r="DE132" s="118" t="s">
        <v>6303</v>
      </c>
      <c r="DF132" s="118" t="s">
        <v>398</v>
      </c>
      <c r="DG132" s="14">
        <v>30</v>
      </c>
      <c r="DH132" s="118">
        <v>35</v>
      </c>
      <c r="DI132" s="118" t="s">
        <v>399</v>
      </c>
      <c r="DJ132" s="118" t="s">
        <v>398</v>
      </c>
      <c r="DK132" s="118" t="s">
        <v>400</v>
      </c>
      <c r="DL132" s="118" t="s">
        <v>6415</v>
      </c>
      <c r="DM132" s="118" t="s">
        <v>6415</v>
      </c>
      <c r="DN132" s="118" t="s">
        <v>6415</v>
      </c>
      <c r="DO132" s="118" t="s">
        <v>6415</v>
      </c>
      <c r="DP132" s="118" t="s">
        <v>6415</v>
      </c>
      <c r="DQ132" s="118" t="s">
        <v>6415</v>
      </c>
      <c r="DR132" s="118">
        <v>59</v>
      </c>
      <c r="DS132" s="118" t="s">
        <v>1066</v>
      </c>
      <c r="DT132" s="118" t="s">
        <v>6341</v>
      </c>
      <c r="DU132" s="118" t="s">
        <v>6415</v>
      </c>
      <c r="DV132" s="118" t="s">
        <v>6415</v>
      </c>
      <c r="DW132" s="118" t="s">
        <v>6415</v>
      </c>
      <c r="DX132" s="118" t="s">
        <v>6415</v>
      </c>
      <c r="DY132" s="118" t="s">
        <v>6415</v>
      </c>
      <c r="DZ132" s="118" t="s">
        <v>6415</v>
      </c>
      <c r="EA132" s="118" t="s">
        <v>6415</v>
      </c>
      <c r="EB132" s="118" t="s">
        <v>6415</v>
      </c>
      <c r="EC132" s="118" t="s">
        <v>6415</v>
      </c>
      <c r="ED132" s="118" t="s">
        <v>6415</v>
      </c>
      <c r="EE132" s="118" t="s">
        <v>6415</v>
      </c>
      <c r="EF132" s="118" t="s">
        <v>6415</v>
      </c>
      <c r="EG132" s="118" t="s">
        <v>6415</v>
      </c>
      <c r="EH132" s="118" t="s">
        <v>6415</v>
      </c>
      <c r="EI132" s="118" t="s">
        <v>6415</v>
      </c>
      <c r="EJ132" s="118" t="s">
        <v>6415</v>
      </c>
      <c r="EK132" s="118" t="s">
        <v>6415</v>
      </c>
      <c r="EL132" s="118" t="s">
        <v>7467</v>
      </c>
      <c r="EM132" s="118" t="s">
        <v>7215</v>
      </c>
      <c r="EN132" s="118" t="s">
        <v>6415</v>
      </c>
      <c r="EO132" s="6" t="str">
        <f t="shared" si="14"/>
        <v>Pathweb</v>
      </c>
      <c r="EP132" s="6" t="str">
        <f t="shared" si="15"/>
        <v>Google Maps</v>
      </c>
      <c r="EQ132" s="6" t="str">
        <f t="shared" si="16"/>
        <v>Mashed Map</v>
      </c>
      <c r="ER132" s="118" t="s">
        <v>6727</v>
      </c>
      <c r="ES132" s="118" t="s">
        <v>6728</v>
      </c>
      <c r="ET132" s="4">
        <v>4.0000000000000001E-3</v>
      </c>
      <c r="EU132" s="4"/>
      <c r="EV132" s="4"/>
    </row>
    <row r="133" spans="1:152" x14ac:dyDescent="0.15">
      <c r="A133" s="581" t="str">
        <f t="shared" si="13"/>
        <v>Crash Report</v>
      </c>
      <c r="B133" s="14">
        <v>20223159857</v>
      </c>
      <c r="C133" s="118">
        <v>2022</v>
      </c>
      <c r="D133" s="14">
        <v>22082928691610</v>
      </c>
      <c r="F133" s="118" t="s">
        <v>6442</v>
      </c>
      <c r="G133" s="118" t="s">
        <v>390</v>
      </c>
      <c r="H133" s="118">
        <v>2</v>
      </c>
      <c r="I133" s="118" t="s">
        <v>6055</v>
      </c>
      <c r="J133" s="118" t="s">
        <v>391</v>
      </c>
      <c r="K133" s="118" t="s">
        <v>6985</v>
      </c>
      <c r="L133" s="118">
        <v>0.09</v>
      </c>
      <c r="M133" s="118">
        <v>0.09</v>
      </c>
      <c r="N133" s="118" t="s">
        <v>7465</v>
      </c>
      <c r="O133" s="118" t="s">
        <v>7475</v>
      </c>
      <c r="P133" s="118">
        <v>41.64799</v>
      </c>
      <c r="Q133" s="118">
        <v>-83.524354000000002</v>
      </c>
      <c r="R133" s="118">
        <v>77000</v>
      </c>
      <c r="S133" s="118" t="s">
        <v>6988</v>
      </c>
      <c r="T133" s="118">
        <v>1</v>
      </c>
      <c r="U133" s="118">
        <v>0</v>
      </c>
      <c r="V133" s="118">
        <v>0</v>
      </c>
      <c r="W133" s="118">
        <v>0</v>
      </c>
      <c r="X133" s="118">
        <v>0</v>
      </c>
      <c r="Y133" s="118">
        <v>2</v>
      </c>
      <c r="Z133" s="118">
        <v>0</v>
      </c>
      <c r="AA133" s="118">
        <v>2</v>
      </c>
      <c r="AB133" s="118" t="s">
        <v>1067</v>
      </c>
      <c r="AC133" s="118" t="s">
        <v>6989</v>
      </c>
      <c r="AD133" s="118" t="s">
        <v>1034</v>
      </c>
      <c r="AE133" s="118" t="s">
        <v>943</v>
      </c>
      <c r="AF133" s="118" t="s">
        <v>1042</v>
      </c>
      <c r="AG133" s="118" t="s">
        <v>6415</v>
      </c>
      <c r="AH133" s="118" t="s">
        <v>393</v>
      </c>
      <c r="AI133" s="118">
        <v>4</v>
      </c>
      <c r="AJ133" s="118" t="s">
        <v>6415</v>
      </c>
      <c r="AK133" s="118" t="s">
        <v>393</v>
      </c>
      <c r="AL133" s="118" t="s">
        <v>393</v>
      </c>
      <c r="AM133" s="118" t="s">
        <v>393</v>
      </c>
      <c r="AN133" s="402" t="s">
        <v>5975</v>
      </c>
      <c r="AO133" s="402">
        <v>44802</v>
      </c>
      <c r="AP133" s="118">
        <v>8</v>
      </c>
      <c r="AQ133" s="118">
        <v>16</v>
      </c>
      <c r="AR133" s="118" t="s">
        <v>6444</v>
      </c>
      <c r="AS133" s="118" t="s">
        <v>392</v>
      </c>
      <c r="AT133" s="118" t="s">
        <v>500</v>
      </c>
      <c r="AU133" s="118" t="s">
        <v>404</v>
      </c>
      <c r="AV133" s="118" t="s">
        <v>508</v>
      </c>
      <c r="AW133" s="118" t="s">
        <v>393</v>
      </c>
      <c r="AX133" s="118" t="s">
        <v>740</v>
      </c>
      <c r="AY133" s="118" t="s">
        <v>393</v>
      </c>
      <c r="AZ133" s="118" t="s">
        <v>393</v>
      </c>
      <c r="BA133" s="118" t="s">
        <v>393</v>
      </c>
      <c r="BB133" s="118" t="s">
        <v>393</v>
      </c>
      <c r="BC133" s="118" t="s">
        <v>393</v>
      </c>
      <c r="BD133" s="118" t="s">
        <v>393</v>
      </c>
      <c r="BE133" s="118" t="s">
        <v>740</v>
      </c>
      <c r="BF133" s="118" t="s">
        <v>393</v>
      </c>
      <c r="BG133" s="118" t="s">
        <v>393</v>
      </c>
      <c r="BH133" s="118" t="s">
        <v>394</v>
      </c>
      <c r="BI133" s="118" t="s">
        <v>394</v>
      </c>
      <c r="BJ133" s="118" t="s">
        <v>393</v>
      </c>
      <c r="BK133" s="118" t="s">
        <v>6988</v>
      </c>
      <c r="BL133" s="118" t="s">
        <v>6415</v>
      </c>
      <c r="BM133" s="118" t="s">
        <v>6990</v>
      </c>
      <c r="BN133" s="118" t="s">
        <v>6991</v>
      </c>
      <c r="BO133" s="118" t="s">
        <v>6415</v>
      </c>
      <c r="BP133" s="118" t="s">
        <v>6415</v>
      </c>
      <c r="BQ133" s="118" t="s">
        <v>6415</v>
      </c>
      <c r="BR133" s="118" t="s">
        <v>6415</v>
      </c>
      <c r="BS133" s="118" t="s">
        <v>6415</v>
      </c>
      <c r="BT133" s="118" t="s">
        <v>2583</v>
      </c>
      <c r="BU133" s="118" t="s">
        <v>7017</v>
      </c>
      <c r="BV133" s="118" t="s">
        <v>6415</v>
      </c>
      <c r="BW133" s="118" t="s">
        <v>6415</v>
      </c>
      <c r="BX133" s="118" t="s">
        <v>6415</v>
      </c>
      <c r="BY133" s="118" t="s">
        <v>6415</v>
      </c>
      <c r="BZ133" s="118" t="s">
        <v>6415</v>
      </c>
      <c r="CA133" s="118" t="s">
        <v>6415</v>
      </c>
      <c r="CB133" s="118" t="s">
        <v>221</v>
      </c>
      <c r="CC133" s="118" t="s">
        <v>740</v>
      </c>
      <c r="CD133" s="118">
        <v>2</v>
      </c>
      <c r="CE133" s="118" t="s">
        <v>406</v>
      </c>
      <c r="CF133" s="118" t="s">
        <v>405</v>
      </c>
      <c r="CG133" s="118" t="s">
        <v>924</v>
      </c>
      <c r="CH133" s="118" t="s">
        <v>6302</v>
      </c>
      <c r="CI133" s="118" t="s">
        <v>6303</v>
      </c>
      <c r="CJ133" s="118" t="s">
        <v>398</v>
      </c>
      <c r="CK133" s="14">
        <v>0</v>
      </c>
      <c r="CL133" s="118">
        <v>35</v>
      </c>
      <c r="CM133" s="118" t="s">
        <v>399</v>
      </c>
      <c r="CN133" s="118" t="s">
        <v>6512</v>
      </c>
      <c r="CO133" s="118" t="s">
        <v>1096</v>
      </c>
      <c r="CP133" s="118" t="s">
        <v>400</v>
      </c>
      <c r="CQ133" s="118" t="s">
        <v>6415</v>
      </c>
      <c r="CR133" s="118" t="s">
        <v>6415</v>
      </c>
      <c r="CS133" s="118" t="s">
        <v>6415</v>
      </c>
      <c r="CT133" s="118" t="s">
        <v>6415</v>
      </c>
      <c r="CU133" s="118" t="s">
        <v>6415</v>
      </c>
      <c r="CV133" s="118" t="s">
        <v>6415</v>
      </c>
      <c r="CW133" s="14">
        <v>69</v>
      </c>
      <c r="CX133" s="118" t="s">
        <v>1066</v>
      </c>
      <c r="CY133" s="118" t="s">
        <v>6348</v>
      </c>
      <c r="CZ133" s="118">
        <v>1</v>
      </c>
      <c r="DA133" s="118" t="s">
        <v>406</v>
      </c>
      <c r="DB133" s="118" t="s">
        <v>405</v>
      </c>
      <c r="DC133" s="118" t="s">
        <v>6415</v>
      </c>
      <c r="DD133" s="118" t="s">
        <v>6302</v>
      </c>
      <c r="DE133" s="118" t="s">
        <v>6305</v>
      </c>
      <c r="DF133" s="118" t="s">
        <v>398</v>
      </c>
      <c r="DG133" s="14" t="s">
        <v>6415</v>
      </c>
      <c r="DH133" s="118">
        <v>35</v>
      </c>
      <c r="DI133" s="118" t="s">
        <v>399</v>
      </c>
      <c r="DJ133" s="118" t="s">
        <v>398</v>
      </c>
      <c r="DK133" s="118" t="s">
        <v>400</v>
      </c>
      <c r="DL133" s="118" t="s">
        <v>6415</v>
      </c>
      <c r="DM133" s="118" t="s">
        <v>6415</v>
      </c>
      <c r="DN133" s="118" t="s">
        <v>6415</v>
      </c>
      <c r="DO133" s="118" t="s">
        <v>6415</v>
      </c>
      <c r="DP133" s="118" t="s">
        <v>6415</v>
      </c>
      <c r="DQ133" s="118" t="s">
        <v>6415</v>
      </c>
      <c r="DR133" s="118">
        <v>45</v>
      </c>
      <c r="DS133" s="118" t="s">
        <v>1068</v>
      </c>
      <c r="DT133" s="118" t="s">
        <v>6348</v>
      </c>
      <c r="DU133" s="118" t="s">
        <v>6415</v>
      </c>
      <c r="DV133" s="118" t="s">
        <v>6415</v>
      </c>
      <c r="DW133" s="118" t="s">
        <v>6415</v>
      </c>
      <c r="DX133" s="118" t="s">
        <v>6415</v>
      </c>
      <c r="DY133" s="118" t="s">
        <v>6415</v>
      </c>
      <c r="DZ133" s="118" t="s">
        <v>6415</v>
      </c>
      <c r="EA133" s="118" t="s">
        <v>6415</v>
      </c>
      <c r="EB133" s="118" t="s">
        <v>6415</v>
      </c>
      <c r="EC133" s="118" t="s">
        <v>6415</v>
      </c>
      <c r="ED133" s="118" t="s">
        <v>6415</v>
      </c>
      <c r="EE133" s="118" t="s">
        <v>6415</v>
      </c>
      <c r="EF133" s="118" t="s">
        <v>6415</v>
      </c>
      <c r="EG133" s="118" t="s">
        <v>7028</v>
      </c>
      <c r="EH133" s="118" t="s">
        <v>7029</v>
      </c>
      <c r="EI133" s="118" t="s">
        <v>6415</v>
      </c>
      <c r="EJ133" s="118" t="s">
        <v>6415</v>
      </c>
      <c r="EK133" s="118" t="s">
        <v>6415</v>
      </c>
      <c r="EL133" s="118" t="s">
        <v>7467</v>
      </c>
      <c r="EM133" s="118" t="s">
        <v>7217</v>
      </c>
      <c r="EN133" s="118" t="s">
        <v>6415</v>
      </c>
      <c r="EO133" s="6" t="str">
        <f t="shared" si="14"/>
        <v>Pathweb</v>
      </c>
      <c r="EP133" s="6" t="str">
        <f t="shared" si="15"/>
        <v>Google Maps</v>
      </c>
      <c r="EQ133" s="6" t="str">
        <f t="shared" si="16"/>
        <v>Mashed Map</v>
      </c>
      <c r="ER133" s="118" t="s">
        <v>6727</v>
      </c>
      <c r="ES133" s="118" t="s">
        <v>71</v>
      </c>
      <c r="ET133" s="4">
        <v>0</v>
      </c>
      <c r="EU133" s="4"/>
      <c r="EV133" s="4"/>
    </row>
    <row r="134" spans="1:152" x14ac:dyDescent="0.15">
      <c r="A134" s="581" t="str">
        <f t="shared" si="13"/>
        <v>Crash Report</v>
      </c>
      <c r="B134" s="14">
        <v>20223161322</v>
      </c>
      <c r="C134" s="118">
        <v>2022</v>
      </c>
      <c r="D134" s="14">
        <v>22083129020136</v>
      </c>
      <c r="F134" s="118" t="s">
        <v>6442</v>
      </c>
      <c r="G134" s="118" t="s">
        <v>416</v>
      </c>
      <c r="H134" s="118">
        <v>2</v>
      </c>
      <c r="I134" s="118" t="s">
        <v>6055</v>
      </c>
      <c r="J134" s="118" t="s">
        <v>391</v>
      </c>
      <c r="K134" s="118" t="s">
        <v>6985</v>
      </c>
      <c r="L134" s="118">
        <v>0.83599999999999997</v>
      </c>
      <c r="M134" s="118">
        <v>0.83599999999999997</v>
      </c>
      <c r="N134" s="118" t="s">
        <v>7465</v>
      </c>
      <c r="O134" s="118">
        <v>1548</v>
      </c>
      <c r="P134" s="118">
        <v>41.654795</v>
      </c>
      <c r="Q134" s="118">
        <v>-83.513204999999999</v>
      </c>
      <c r="R134" s="118">
        <v>77000</v>
      </c>
      <c r="S134" s="118" t="s">
        <v>6988</v>
      </c>
      <c r="T134" s="118">
        <v>1</v>
      </c>
      <c r="U134" s="118">
        <v>0</v>
      </c>
      <c r="V134" s="118">
        <v>0</v>
      </c>
      <c r="W134" s="118">
        <v>0</v>
      </c>
      <c r="X134" s="118">
        <v>0</v>
      </c>
      <c r="Y134" s="118">
        <v>1</v>
      </c>
      <c r="Z134" s="118">
        <v>0</v>
      </c>
      <c r="AA134" s="118">
        <v>1</v>
      </c>
      <c r="AB134" s="118" t="s">
        <v>1067</v>
      </c>
      <c r="AC134" s="118" t="s">
        <v>6989</v>
      </c>
      <c r="AD134" s="118" t="s">
        <v>1034</v>
      </c>
      <c r="AE134" s="118" t="s">
        <v>943</v>
      </c>
      <c r="AF134" s="118" t="s">
        <v>1041</v>
      </c>
      <c r="AG134" s="118" t="s">
        <v>6415</v>
      </c>
      <c r="AH134" s="118" t="s">
        <v>393</v>
      </c>
      <c r="AI134" s="118">
        <v>4</v>
      </c>
      <c r="AJ134" s="118" t="s">
        <v>6415</v>
      </c>
      <c r="AK134" s="118" t="s">
        <v>393</v>
      </c>
      <c r="AL134" s="118" t="s">
        <v>393</v>
      </c>
      <c r="AM134" s="118" t="s">
        <v>393</v>
      </c>
      <c r="AN134" s="402" t="s">
        <v>5975</v>
      </c>
      <c r="AO134" s="402">
        <v>44805</v>
      </c>
      <c r="AP134" s="118">
        <v>9</v>
      </c>
      <c r="AQ134" s="118">
        <v>1</v>
      </c>
      <c r="AR134" s="118" t="s">
        <v>6447</v>
      </c>
      <c r="AS134" s="118" t="s">
        <v>392</v>
      </c>
      <c r="AT134" s="118" t="s">
        <v>500</v>
      </c>
      <c r="AU134" s="118" t="s">
        <v>505</v>
      </c>
      <c r="AV134" s="118" t="s">
        <v>508</v>
      </c>
      <c r="AW134" s="118" t="s">
        <v>740</v>
      </c>
      <c r="AX134" s="118" t="s">
        <v>393</v>
      </c>
      <c r="AY134" s="118" t="s">
        <v>393</v>
      </c>
      <c r="AZ134" s="118" t="s">
        <v>393</v>
      </c>
      <c r="BA134" s="118" t="s">
        <v>393</v>
      </c>
      <c r="BB134" s="118" t="s">
        <v>393</v>
      </c>
      <c r="BC134" s="118" t="s">
        <v>393</v>
      </c>
      <c r="BD134" s="118" t="s">
        <v>393</v>
      </c>
      <c r="BE134" s="118" t="s">
        <v>393</v>
      </c>
      <c r="BF134" s="118" t="s">
        <v>393</v>
      </c>
      <c r="BG134" s="118" t="s">
        <v>393</v>
      </c>
      <c r="BH134" s="118" t="s">
        <v>394</v>
      </c>
      <c r="BI134" s="118" t="s">
        <v>394</v>
      </c>
      <c r="BJ134" s="118" t="s">
        <v>393</v>
      </c>
      <c r="BK134" s="118" t="s">
        <v>6988</v>
      </c>
      <c r="BL134" s="118" t="s">
        <v>6415</v>
      </c>
      <c r="BM134" s="118" t="s">
        <v>6990</v>
      </c>
      <c r="BN134" s="118" t="s">
        <v>6991</v>
      </c>
      <c r="BO134" s="118" t="s">
        <v>6415</v>
      </c>
      <c r="BP134" s="118" t="s">
        <v>6415</v>
      </c>
      <c r="BQ134" s="118" t="s">
        <v>6415</v>
      </c>
      <c r="BR134" s="118" t="s">
        <v>6415</v>
      </c>
      <c r="BS134" s="118" t="s">
        <v>6415</v>
      </c>
      <c r="BT134" s="118" t="s">
        <v>7220</v>
      </c>
      <c r="BU134" s="118" t="s">
        <v>6415</v>
      </c>
      <c r="BV134" s="118" t="s">
        <v>6415</v>
      </c>
      <c r="BW134" s="118" t="s">
        <v>6415</v>
      </c>
      <c r="BX134" s="118" t="s">
        <v>6415</v>
      </c>
      <c r="BY134" s="118" t="s">
        <v>6415</v>
      </c>
      <c r="BZ134" s="118">
        <v>1548</v>
      </c>
      <c r="CA134" s="118" t="s">
        <v>6415</v>
      </c>
      <c r="CB134" s="118" t="s">
        <v>422</v>
      </c>
      <c r="CC134" s="118" t="s">
        <v>740</v>
      </c>
      <c r="CD134" s="118">
        <v>1</v>
      </c>
      <c r="CE134" s="118" t="s">
        <v>405</v>
      </c>
      <c r="CF134" s="118" t="s">
        <v>406</v>
      </c>
      <c r="CG134" s="118" t="s">
        <v>924</v>
      </c>
      <c r="CH134" s="118" t="s">
        <v>6302</v>
      </c>
      <c r="CI134" s="118" t="s">
        <v>472</v>
      </c>
      <c r="CJ134" s="118" t="s">
        <v>398</v>
      </c>
      <c r="CK134" s="118">
        <v>0</v>
      </c>
      <c r="CL134" s="118">
        <v>0</v>
      </c>
      <c r="CM134" s="118" t="s">
        <v>399</v>
      </c>
      <c r="CN134" s="118" t="s">
        <v>407</v>
      </c>
      <c r="CO134" s="118" t="s">
        <v>6372</v>
      </c>
      <c r="CP134" s="118" t="s">
        <v>6372</v>
      </c>
      <c r="CQ134" s="118" t="s">
        <v>6415</v>
      </c>
      <c r="CR134" s="118" t="s">
        <v>6415</v>
      </c>
      <c r="CS134" s="118" t="s">
        <v>6415</v>
      </c>
      <c r="CT134" s="118" t="s">
        <v>6415</v>
      </c>
      <c r="CU134" s="118" t="s">
        <v>6415</v>
      </c>
      <c r="CV134" s="118" t="s">
        <v>6415</v>
      </c>
      <c r="CW134" s="118">
        <v>0</v>
      </c>
      <c r="CX134" s="118" t="s">
        <v>401</v>
      </c>
      <c r="CY134" s="118" t="s">
        <v>6151</v>
      </c>
      <c r="CZ134" s="118" t="s">
        <v>6415</v>
      </c>
      <c r="DA134" s="118" t="s">
        <v>6415</v>
      </c>
      <c r="DB134" s="118" t="s">
        <v>6415</v>
      </c>
      <c r="DC134" s="118" t="s">
        <v>6415</v>
      </c>
      <c r="DD134" s="118" t="s">
        <v>6415</v>
      </c>
      <c r="DE134" s="118" t="s">
        <v>6415</v>
      </c>
      <c r="DF134" s="118" t="s">
        <v>6415</v>
      </c>
      <c r="DG134" s="118" t="s">
        <v>6415</v>
      </c>
      <c r="DH134" s="118" t="s">
        <v>6415</v>
      </c>
      <c r="DI134" s="118" t="s">
        <v>6415</v>
      </c>
      <c r="DJ134" s="118" t="s">
        <v>6415</v>
      </c>
      <c r="DK134" s="118" t="s">
        <v>6415</v>
      </c>
      <c r="DL134" s="118" t="s">
        <v>6415</v>
      </c>
      <c r="DM134" s="118" t="s">
        <v>6415</v>
      </c>
      <c r="DN134" s="118" t="s">
        <v>6415</v>
      </c>
      <c r="DO134" s="118" t="s">
        <v>6415</v>
      </c>
      <c r="DP134" s="118" t="s">
        <v>6415</v>
      </c>
      <c r="DQ134" s="118" t="s">
        <v>6415</v>
      </c>
      <c r="DR134" s="118">
        <v>0</v>
      </c>
      <c r="DS134" s="118" t="s">
        <v>6415</v>
      </c>
      <c r="DT134" s="118" t="s">
        <v>6415</v>
      </c>
      <c r="DU134" s="118" t="s">
        <v>6415</v>
      </c>
      <c r="DV134" s="118" t="s">
        <v>6415</v>
      </c>
      <c r="DW134" s="118" t="s">
        <v>6415</v>
      </c>
      <c r="DX134" s="118" t="s">
        <v>6415</v>
      </c>
      <c r="DY134" s="118" t="s">
        <v>6415</v>
      </c>
      <c r="DZ134" s="118" t="s">
        <v>6415</v>
      </c>
      <c r="EA134" s="118" t="s">
        <v>6415</v>
      </c>
      <c r="EB134" s="118" t="s">
        <v>6415</v>
      </c>
      <c r="EC134" s="118" t="s">
        <v>6415</v>
      </c>
      <c r="ED134" s="118" t="s">
        <v>6415</v>
      </c>
      <c r="EE134" s="118" t="s">
        <v>6415</v>
      </c>
      <c r="EF134" s="118" t="s">
        <v>6415</v>
      </c>
      <c r="EG134" s="118" t="s">
        <v>7065</v>
      </c>
      <c r="EH134" s="118" t="s">
        <v>7219</v>
      </c>
      <c r="EI134" s="118" t="s">
        <v>6415</v>
      </c>
      <c r="EJ134" s="118" t="s">
        <v>6415</v>
      </c>
      <c r="EK134" s="118" t="s">
        <v>6415</v>
      </c>
      <c r="EL134" s="118" t="s">
        <v>7467</v>
      </c>
      <c r="EM134" s="118" t="s">
        <v>7218</v>
      </c>
      <c r="EN134" s="118" t="s">
        <v>6415</v>
      </c>
      <c r="EO134" s="6" t="str">
        <f t="shared" si="14"/>
        <v>Pathweb</v>
      </c>
      <c r="EP134" s="6" t="str">
        <f t="shared" si="15"/>
        <v>Google Maps</v>
      </c>
      <c r="EQ134" s="6" t="str">
        <f t="shared" si="16"/>
        <v>Mashed Map</v>
      </c>
      <c r="ER134" s="118" t="s">
        <v>6726</v>
      </c>
      <c r="ES134" s="118" t="s">
        <v>71</v>
      </c>
      <c r="ET134" s="4">
        <v>0</v>
      </c>
      <c r="EU134" s="4"/>
      <c r="EV134" s="4"/>
    </row>
    <row r="135" spans="1:152" x14ac:dyDescent="0.15">
      <c r="A135" s="581" t="str">
        <f t="shared" si="13"/>
        <v>Crash Report</v>
      </c>
      <c r="B135" s="118">
        <v>20223164738</v>
      </c>
      <c r="C135" s="118">
        <v>2022</v>
      </c>
      <c r="D135" s="118">
        <v>9220217562664</v>
      </c>
      <c r="F135" s="118" t="s">
        <v>6440</v>
      </c>
      <c r="G135" s="118" t="s">
        <v>390</v>
      </c>
      <c r="H135" s="118">
        <v>2</v>
      </c>
      <c r="I135" s="118" t="s">
        <v>6055</v>
      </c>
      <c r="J135" s="118" t="s">
        <v>391</v>
      </c>
      <c r="K135" s="118" t="s">
        <v>6985</v>
      </c>
      <c r="L135" s="118">
        <v>0.09</v>
      </c>
      <c r="M135" s="118">
        <v>0.09</v>
      </c>
      <c r="N135" s="118" t="s">
        <v>7465</v>
      </c>
      <c r="O135" s="118" t="s">
        <v>7475</v>
      </c>
      <c r="P135" s="118">
        <v>41.64799</v>
      </c>
      <c r="Q135" s="118">
        <v>-83.524354000000002</v>
      </c>
      <c r="R135" s="118">
        <v>77000</v>
      </c>
      <c r="S135" s="118" t="s">
        <v>6988</v>
      </c>
      <c r="T135" s="118">
        <v>1</v>
      </c>
      <c r="U135" s="118">
        <v>0</v>
      </c>
      <c r="V135" s="118">
        <v>0</v>
      </c>
      <c r="W135" s="118">
        <v>2</v>
      </c>
      <c r="X135" s="118">
        <v>0</v>
      </c>
      <c r="Y135" s="118">
        <v>1</v>
      </c>
      <c r="Z135" s="118">
        <v>1</v>
      </c>
      <c r="AA135" s="118">
        <v>2</v>
      </c>
      <c r="AB135" s="118" t="s">
        <v>1067</v>
      </c>
      <c r="AC135" s="118" t="s">
        <v>6989</v>
      </c>
      <c r="AD135" s="118" t="s">
        <v>1034</v>
      </c>
      <c r="AE135" s="118" t="s">
        <v>943</v>
      </c>
      <c r="AF135" s="118" t="s">
        <v>1042</v>
      </c>
      <c r="AG135" s="118" t="s">
        <v>6415</v>
      </c>
      <c r="AH135" s="118" t="s">
        <v>393</v>
      </c>
      <c r="AI135" s="118">
        <v>4</v>
      </c>
      <c r="AJ135" s="118" t="s">
        <v>6415</v>
      </c>
      <c r="AK135" s="118" t="s">
        <v>393</v>
      </c>
      <c r="AL135" s="118" t="s">
        <v>393</v>
      </c>
      <c r="AM135" s="118" t="s">
        <v>393</v>
      </c>
      <c r="AN135" s="402" t="s">
        <v>5975</v>
      </c>
      <c r="AO135" s="402">
        <v>44806</v>
      </c>
      <c r="AP135" s="118">
        <v>9</v>
      </c>
      <c r="AQ135" s="118">
        <v>17</v>
      </c>
      <c r="AR135" s="118" t="s">
        <v>6448</v>
      </c>
      <c r="AS135" s="118" t="s">
        <v>392</v>
      </c>
      <c r="AT135" s="118" t="s">
        <v>500</v>
      </c>
      <c r="AU135" s="118" t="s">
        <v>404</v>
      </c>
      <c r="AV135" s="118" t="s">
        <v>508</v>
      </c>
      <c r="AW135" s="118" t="s">
        <v>740</v>
      </c>
      <c r="AX135" s="118" t="s">
        <v>393</v>
      </c>
      <c r="AY135" s="118" t="s">
        <v>393</v>
      </c>
      <c r="AZ135" s="118" t="s">
        <v>393</v>
      </c>
      <c r="BA135" s="118" t="s">
        <v>393</v>
      </c>
      <c r="BB135" s="118" t="s">
        <v>393</v>
      </c>
      <c r="BC135" s="118" t="s">
        <v>393</v>
      </c>
      <c r="BD135" s="118" t="s">
        <v>393</v>
      </c>
      <c r="BE135" s="118" t="s">
        <v>740</v>
      </c>
      <c r="BF135" s="118" t="s">
        <v>740</v>
      </c>
      <c r="BG135" s="118" t="s">
        <v>393</v>
      </c>
      <c r="BH135" s="118" t="s">
        <v>394</v>
      </c>
      <c r="BI135" s="118" t="s">
        <v>394</v>
      </c>
      <c r="BJ135" s="118" t="s">
        <v>393</v>
      </c>
      <c r="BK135" s="118" t="s">
        <v>6988</v>
      </c>
      <c r="BL135" s="118" t="s">
        <v>6415</v>
      </c>
      <c r="BM135" s="118" t="s">
        <v>6990</v>
      </c>
      <c r="BN135" s="118" t="s">
        <v>6991</v>
      </c>
      <c r="BO135" s="118" t="s">
        <v>6415</v>
      </c>
      <c r="BP135" s="118" t="s">
        <v>6415</v>
      </c>
      <c r="BQ135" s="118" t="s">
        <v>6415</v>
      </c>
      <c r="BR135" s="118" t="s">
        <v>6415</v>
      </c>
      <c r="BS135" s="118" t="s">
        <v>6415</v>
      </c>
      <c r="BT135" s="118" t="s">
        <v>2583</v>
      </c>
      <c r="BU135" s="118" t="s">
        <v>7017</v>
      </c>
      <c r="BV135" s="118" t="s">
        <v>6415</v>
      </c>
      <c r="BW135" s="118" t="s">
        <v>6415</v>
      </c>
      <c r="BX135" s="118" t="s">
        <v>6415</v>
      </c>
      <c r="BY135" s="118" t="s">
        <v>6415</v>
      </c>
      <c r="BZ135" s="118" t="s">
        <v>6415</v>
      </c>
      <c r="CA135" s="118" t="s">
        <v>6415</v>
      </c>
      <c r="CB135" s="118" t="s">
        <v>221</v>
      </c>
      <c r="CC135" s="118" t="s">
        <v>740</v>
      </c>
      <c r="CD135" s="118">
        <v>2</v>
      </c>
      <c r="CE135" s="118" t="s">
        <v>406</v>
      </c>
      <c r="CF135" s="118" t="s">
        <v>405</v>
      </c>
      <c r="CG135" s="118" t="s">
        <v>924</v>
      </c>
      <c r="CH135" s="118" t="s">
        <v>6302</v>
      </c>
      <c r="CI135" s="118" t="s">
        <v>6305</v>
      </c>
      <c r="CJ135" s="118" t="s">
        <v>398</v>
      </c>
      <c r="CK135" s="14">
        <v>0</v>
      </c>
      <c r="CL135" s="118">
        <v>35</v>
      </c>
      <c r="CM135" s="118" t="s">
        <v>439</v>
      </c>
      <c r="CN135" s="118" t="s">
        <v>6329</v>
      </c>
      <c r="CO135" s="118" t="s">
        <v>475</v>
      </c>
      <c r="CP135" s="118" t="s">
        <v>432</v>
      </c>
      <c r="CQ135" s="118" t="s">
        <v>475</v>
      </c>
      <c r="CR135" s="118" t="s">
        <v>6415</v>
      </c>
      <c r="CS135" s="118" t="s">
        <v>6415</v>
      </c>
      <c r="CT135" s="118" t="s">
        <v>6415</v>
      </c>
      <c r="CU135" s="118" t="s">
        <v>6415</v>
      </c>
      <c r="CV135" s="118" t="s">
        <v>6415</v>
      </c>
      <c r="CW135" s="14">
        <v>18</v>
      </c>
      <c r="CX135" s="118" t="s">
        <v>1068</v>
      </c>
      <c r="CY135" s="118" t="s">
        <v>6341</v>
      </c>
      <c r="CZ135" s="118">
        <v>1</v>
      </c>
      <c r="DA135" s="118" t="s">
        <v>406</v>
      </c>
      <c r="DB135" s="118" t="s">
        <v>405</v>
      </c>
      <c r="DC135" s="118" t="s">
        <v>6415</v>
      </c>
      <c r="DD135" s="118" t="s">
        <v>6302</v>
      </c>
      <c r="DE135" s="118" t="s">
        <v>6303</v>
      </c>
      <c r="DF135" s="118" t="s">
        <v>398</v>
      </c>
      <c r="DG135" s="14" t="s">
        <v>6415</v>
      </c>
      <c r="DH135" s="118">
        <v>35</v>
      </c>
      <c r="DI135" s="118" t="s">
        <v>399</v>
      </c>
      <c r="DJ135" s="118" t="s">
        <v>398</v>
      </c>
      <c r="DK135" s="118" t="s">
        <v>400</v>
      </c>
      <c r="DL135" s="118" t="s">
        <v>6415</v>
      </c>
      <c r="DM135" s="118" t="s">
        <v>6415</v>
      </c>
      <c r="DN135" s="118" t="s">
        <v>6415</v>
      </c>
      <c r="DO135" s="118" t="s">
        <v>6415</v>
      </c>
      <c r="DP135" s="118" t="s">
        <v>6415</v>
      </c>
      <c r="DQ135" s="118" t="s">
        <v>6415</v>
      </c>
      <c r="DR135" s="118">
        <v>67</v>
      </c>
      <c r="DS135" s="118" t="s">
        <v>1068</v>
      </c>
      <c r="DT135" s="118" t="s">
        <v>6341</v>
      </c>
      <c r="DU135" s="118" t="s">
        <v>6415</v>
      </c>
      <c r="DV135" s="118" t="s">
        <v>6415</v>
      </c>
      <c r="DW135" s="118" t="s">
        <v>6415</v>
      </c>
      <c r="DX135" s="118" t="s">
        <v>6415</v>
      </c>
      <c r="DY135" s="118" t="s">
        <v>6415</v>
      </c>
      <c r="DZ135" s="118" t="s">
        <v>6415</v>
      </c>
      <c r="EA135" s="118" t="s">
        <v>6415</v>
      </c>
      <c r="EB135" s="118" t="s">
        <v>6415</v>
      </c>
      <c r="EC135" s="118" t="s">
        <v>6415</v>
      </c>
      <c r="ED135" s="118" t="s">
        <v>6415</v>
      </c>
      <c r="EE135" s="118" t="s">
        <v>6415</v>
      </c>
      <c r="EF135" s="118" t="s">
        <v>6415</v>
      </c>
      <c r="EG135" s="118" t="s">
        <v>7028</v>
      </c>
      <c r="EH135" s="118" t="s">
        <v>7029</v>
      </c>
      <c r="EI135" s="118" t="s">
        <v>6415</v>
      </c>
      <c r="EJ135" s="118" t="s">
        <v>6415</v>
      </c>
      <c r="EK135" s="118" t="s">
        <v>6415</v>
      </c>
      <c r="EL135" s="118" t="s">
        <v>7467</v>
      </c>
      <c r="EM135" s="118" t="s">
        <v>7221</v>
      </c>
      <c r="EN135" s="118" t="s">
        <v>6415</v>
      </c>
      <c r="EO135" s="6" t="str">
        <f t="shared" si="14"/>
        <v>Pathweb</v>
      </c>
      <c r="EP135" s="6" t="str">
        <f t="shared" si="15"/>
        <v>Google Maps</v>
      </c>
      <c r="EQ135" s="6" t="str">
        <f t="shared" si="16"/>
        <v>Mashed Map</v>
      </c>
      <c r="ER135" s="118" t="s">
        <v>6727</v>
      </c>
      <c r="ES135" s="118" t="s">
        <v>6728</v>
      </c>
      <c r="ET135" s="4">
        <v>0</v>
      </c>
      <c r="EU135" s="4"/>
      <c r="EV135" s="4"/>
    </row>
    <row r="136" spans="1:152" x14ac:dyDescent="0.15">
      <c r="A136" s="581" t="str">
        <f t="shared" si="13"/>
        <v>Crash Report</v>
      </c>
      <c r="B136" s="118">
        <v>20223165723</v>
      </c>
      <c r="C136" s="118">
        <v>2022</v>
      </c>
      <c r="D136" s="118">
        <v>22090728682212</v>
      </c>
      <c r="F136" s="118" t="s">
        <v>6440</v>
      </c>
      <c r="G136" s="118" t="s">
        <v>390</v>
      </c>
      <c r="H136" s="118">
        <v>2</v>
      </c>
      <c r="I136" s="118" t="s">
        <v>6055</v>
      </c>
      <c r="J136" s="118" t="s">
        <v>423</v>
      </c>
      <c r="K136" s="118" t="s">
        <v>6997</v>
      </c>
      <c r="L136" s="118">
        <v>0.88300000000000001</v>
      </c>
      <c r="M136" s="118">
        <v>0.88300000000000001</v>
      </c>
      <c r="N136" s="118" t="s">
        <v>7469</v>
      </c>
      <c r="O136" s="118" t="s">
        <v>7483</v>
      </c>
      <c r="P136" s="118">
        <v>41.650433</v>
      </c>
      <c r="Q136" s="118">
        <v>-83.525509999999997</v>
      </c>
      <c r="R136" s="118">
        <v>77000</v>
      </c>
      <c r="S136" s="118" t="s">
        <v>6988</v>
      </c>
      <c r="T136" s="118">
        <v>1</v>
      </c>
      <c r="U136" s="118">
        <v>0</v>
      </c>
      <c r="V136" s="118">
        <v>0</v>
      </c>
      <c r="W136" s="118">
        <v>1</v>
      </c>
      <c r="X136" s="118">
        <v>0</v>
      </c>
      <c r="Y136" s="118">
        <v>2</v>
      </c>
      <c r="Z136" s="118">
        <v>0</v>
      </c>
      <c r="AA136" s="118">
        <v>2</v>
      </c>
      <c r="AB136" s="118" t="s">
        <v>1067</v>
      </c>
      <c r="AC136" s="118" t="s">
        <v>6989</v>
      </c>
      <c r="AD136" s="118" t="s">
        <v>1034</v>
      </c>
      <c r="AE136" s="118" t="s">
        <v>943</v>
      </c>
      <c r="AF136" s="118" t="s">
        <v>1041</v>
      </c>
      <c r="AG136" s="118" t="s">
        <v>6415</v>
      </c>
      <c r="AH136" s="118" t="s">
        <v>393</v>
      </c>
      <c r="AI136" s="118">
        <v>2</v>
      </c>
      <c r="AJ136" s="118" t="s">
        <v>6415</v>
      </c>
      <c r="AK136" s="118" t="s">
        <v>393</v>
      </c>
      <c r="AL136" s="118" t="s">
        <v>393</v>
      </c>
      <c r="AM136" s="118" t="s">
        <v>393</v>
      </c>
      <c r="AN136" s="402" t="s">
        <v>5975</v>
      </c>
      <c r="AO136" s="402">
        <v>44811</v>
      </c>
      <c r="AP136" s="118">
        <v>9</v>
      </c>
      <c r="AQ136" s="118">
        <v>22</v>
      </c>
      <c r="AR136" s="118" t="s">
        <v>6446</v>
      </c>
      <c r="AS136" s="118" t="s">
        <v>392</v>
      </c>
      <c r="AT136" s="118" t="s">
        <v>500</v>
      </c>
      <c r="AU136" s="118" t="s">
        <v>505</v>
      </c>
      <c r="AV136" s="118" t="s">
        <v>508</v>
      </c>
      <c r="AW136" s="118" t="s">
        <v>393</v>
      </c>
      <c r="AX136" s="118" t="s">
        <v>740</v>
      </c>
      <c r="AY136" s="118" t="s">
        <v>393</v>
      </c>
      <c r="AZ136" s="118" t="s">
        <v>393</v>
      </c>
      <c r="BA136" s="118" t="s">
        <v>393</v>
      </c>
      <c r="BB136" s="118" t="s">
        <v>393</v>
      </c>
      <c r="BC136" s="118" t="s">
        <v>393</v>
      </c>
      <c r="BD136" s="118" t="s">
        <v>393</v>
      </c>
      <c r="BE136" s="118" t="s">
        <v>393</v>
      </c>
      <c r="BF136" s="118" t="s">
        <v>740</v>
      </c>
      <c r="BG136" s="118" t="s">
        <v>393</v>
      </c>
      <c r="BH136" s="118" t="s">
        <v>394</v>
      </c>
      <c r="BI136" s="118" t="s">
        <v>394</v>
      </c>
      <c r="BJ136" s="118" t="s">
        <v>393</v>
      </c>
      <c r="BK136" s="118" t="s">
        <v>6988</v>
      </c>
      <c r="BL136" s="118" t="s">
        <v>6415</v>
      </c>
      <c r="BM136" s="118" t="s">
        <v>6992</v>
      </c>
      <c r="BN136" s="118" t="s">
        <v>6991</v>
      </c>
      <c r="BO136" s="118" t="s">
        <v>6415</v>
      </c>
      <c r="BP136" s="118" t="s">
        <v>6415</v>
      </c>
      <c r="BQ136" s="118" t="s">
        <v>6415</v>
      </c>
      <c r="BR136" s="118" t="s">
        <v>6415</v>
      </c>
      <c r="BS136" s="118" t="s">
        <v>6415</v>
      </c>
      <c r="BT136" s="118" t="s">
        <v>4748</v>
      </c>
      <c r="BU136" s="118" t="s">
        <v>7057</v>
      </c>
      <c r="BV136" s="118" t="s">
        <v>6415</v>
      </c>
      <c r="BW136" s="118" t="s">
        <v>6415</v>
      </c>
      <c r="BX136" s="118" t="s">
        <v>6415</v>
      </c>
      <c r="BY136" s="118" t="s">
        <v>6415</v>
      </c>
      <c r="BZ136" s="118" t="s">
        <v>6415</v>
      </c>
      <c r="CA136" s="118" t="s">
        <v>6415</v>
      </c>
      <c r="CB136" s="118" t="s">
        <v>221</v>
      </c>
      <c r="CC136" s="118" t="s">
        <v>740</v>
      </c>
      <c r="CD136" s="118">
        <v>1</v>
      </c>
      <c r="CE136" s="118" t="s">
        <v>411</v>
      </c>
      <c r="CF136" s="118" t="s">
        <v>410</v>
      </c>
      <c r="CG136" s="118" t="s">
        <v>924</v>
      </c>
      <c r="CH136" s="118" t="s">
        <v>6300</v>
      </c>
      <c r="CI136" s="118" t="s">
        <v>6303</v>
      </c>
      <c r="CJ136" s="118" t="s">
        <v>398</v>
      </c>
      <c r="CK136" s="14">
        <v>7</v>
      </c>
      <c r="CL136" s="118">
        <v>35</v>
      </c>
      <c r="CM136" s="118" t="s">
        <v>399</v>
      </c>
      <c r="CN136" s="118" t="s">
        <v>398</v>
      </c>
      <c r="CO136" s="118" t="s">
        <v>1096</v>
      </c>
      <c r="CP136" s="118" t="s">
        <v>400</v>
      </c>
      <c r="CQ136" s="118" t="s">
        <v>6415</v>
      </c>
      <c r="CR136" s="118" t="s">
        <v>6415</v>
      </c>
      <c r="CS136" s="118" t="s">
        <v>6415</v>
      </c>
      <c r="CT136" s="118" t="s">
        <v>6415</v>
      </c>
      <c r="CU136" s="118" t="s">
        <v>6415</v>
      </c>
      <c r="CV136" s="118" t="s">
        <v>6415</v>
      </c>
      <c r="CW136" s="14">
        <v>17</v>
      </c>
      <c r="CX136" s="118" t="s">
        <v>1066</v>
      </c>
      <c r="CY136" s="118" t="s">
        <v>6341</v>
      </c>
      <c r="CZ136" s="118">
        <v>2</v>
      </c>
      <c r="DA136" s="118" t="s">
        <v>411</v>
      </c>
      <c r="DB136" s="118" t="s">
        <v>410</v>
      </c>
      <c r="DC136" s="118" t="s">
        <v>6415</v>
      </c>
      <c r="DD136" s="118" t="s">
        <v>6300</v>
      </c>
      <c r="DE136" s="118" t="s">
        <v>6303</v>
      </c>
      <c r="DF136" s="118" t="s">
        <v>398</v>
      </c>
      <c r="DG136" s="14">
        <v>0</v>
      </c>
      <c r="DH136" s="118">
        <v>35</v>
      </c>
      <c r="DI136" s="118" t="s">
        <v>6355</v>
      </c>
      <c r="DJ136" s="118" t="s">
        <v>398</v>
      </c>
      <c r="DK136" s="118" t="s">
        <v>400</v>
      </c>
      <c r="DL136" s="118" t="s">
        <v>6415</v>
      </c>
      <c r="DM136" s="118" t="s">
        <v>6415</v>
      </c>
      <c r="DN136" s="118" t="s">
        <v>6415</v>
      </c>
      <c r="DO136" s="118" t="s">
        <v>6415</v>
      </c>
      <c r="DP136" s="118" t="s">
        <v>6415</v>
      </c>
      <c r="DQ136" s="118" t="s">
        <v>6415</v>
      </c>
      <c r="DR136" s="118">
        <v>56</v>
      </c>
      <c r="DS136" s="118" t="s">
        <v>1066</v>
      </c>
      <c r="DT136" s="118" t="s">
        <v>6341</v>
      </c>
      <c r="DU136" s="118" t="s">
        <v>6415</v>
      </c>
      <c r="DV136" s="118" t="s">
        <v>6415</v>
      </c>
      <c r="DW136" s="118" t="s">
        <v>6415</v>
      </c>
      <c r="DX136" s="118" t="s">
        <v>6415</v>
      </c>
      <c r="DY136" s="118" t="s">
        <v>6415</v>
      </c>
      <c r="DZ136" s="118" t="s">
        <v>6415</v>
      </c>
      <c r="EA136" s="118" t="s">
        <v>6415</v>
      </c>
      <c r="EB136" s="118" t="s">
        <v>6415</v>
      </c>
      <c r="EC136" s="118" t="s">
        <v>6415</v>
      </c>
      <c r="ED136" s="118" t="s">
        <v>6415</v>
      </c>
      <c r="EE136" s="118" t="s">
        <v>6415</v>
      </c>
      <c r="EF136" s="118" t="s">
        <v>6415</v>
      </c>
      <c r="EG136" s="118" t="s">
        <v>7055</v>
      </c>
      <c r="EH136" s="118" t="s">
        <v>7040</v>
      </c>
      <c r="EI136" s="118" t="s">
        <v>6415</v>
      </c>
      <c r="EJ136" s="118" t="s">
        <v>6415</v>
      </c>
      <c r="EK136" s="118" t="s">
        <v>6415</v>
      </c>
      <c r="EL136" s="118" t="s">
        <v>7467</v>
      </c>
      <c r="EM136" s="118" t="s">
        <v>7222</v>
      </c>
      <c r="EN136" s="118" t="s">
        <v>6415</v>
      </c>
      <c r="EO136" s="6" t="str">
        <f t="shared" si="14"/>
        <v>Pathweb</v>
      </c>
      <c r="EP136" s="6" t="str">
        <f t="shared" si="15"/>
        <v>Google Maps</v>
      </c>
      <c r="EQ136" s="6" t="str">
        <f t="shared" si="16"/>
        <v>Mashed Map</v>
      </c>
      <c r="ER136" s="118" t="s">
        <v>6727</v>
      </c>
      <c r="ES136" s="118" t="s">
        <v>6728</v>
      </c>
      <c r="ET136" s="4">
        <v>2E-3</v>
      </c>
      <c r="EU136" s="4"/>
      <c r="EV136" s="4"/>
    </row>
    <row r="137" spans="1:152" x14ac:dyDescent="0.15">
      <c r="A137" s="581" t="str">
        <f t="shared" si="13"/>
        <v>Crash Report</v>
      </c>
      <c r="B137" s="14">
        <v>20223166773</v>
      </c>
      <c r="C137" s="118">
        <v>2022</v>
      </c>
      <c r="D137" s="14">
        <v>22090928210927</v>
      </c>
      <c r="F137" s="118" t="s">
        <v>6442</v>
      </c>
      <c r="G137" s="118" t="s">
        <v>402</v>
      </c>
      <c r="H137" s="118">
        <v>2</v>
      </c>
      <c r="I137" s="118" t="s">
        <v>6055</v>
      </c>
      <c r="J137" s="118" t="s">
        <v>423</v>
      </c>
      <c r="K137" s="118" t="s">
        <v>6985</v>
      </c>
      <c r="L137" s="118">
        <v>0.87</v>
      </c>
      <c r="M137" s="118">
        <v>0.87</v>
      </c>
      <c r="N137" s="118" t="s">
        <v>7465</v>
      </c>
      <c r="O137" s="118" t="s">
        <v>7481</v>
      </c>
      <c r="P137" s="118">
        <v>41.655107999999998</v>
      </c>
      <c r="Q137" s="118">
        <v>-83.512699999999995</v>
      </c>
      <c r="R137" s="118">
        <v>77000</v>
      </c>
      <c r="S137" s="118" t="s">
        <v>6988</v>
      </c>
      <c r="T137" s="118">
        <v>1</v>
      </c>
      <c r="U137" s="118">
        <v>0</v>
      </c>
      <c r="V137" s="118">
        <v>0</v>
      </c>
      <c r="W137" s="118">
        <v>0</v>
      </c>
      <c r="X137" s="118">
        <v>0</v>
      </c>
      <c r="Y137" s="118">
        <v>3</v>
      </c>
      <c r="Z137" s="118">
        <v>0</v>
      </c>
      <c r="AA137" s="118">
        <v>2</v>
      </c>
      <c r="AB137" s="118" t="s">
        <v>1067</v>
      </c>
      <c r="AC137" s="118" t="s">
        <v>6989</v>
      </c>
      <c r="AD137" s="118" t="s">
        <v>1034</v>
      </c>
      <c r="AE137" s="118" t="s">
        <v>943</v>
      </c>
      <c r="AF137" s="118" t="s">
        <v>1041</v>
      </c>
      <c r="AG137" s="118" t="s">
        <v>6415</v>
      </c>
      <c r="AH137" s="118" t="s">
        <v>393</v>
      </c>
      <c r="AI137" s="118">
        <v>4</v>
      </c>
      <c r="AJ137" s="118" t="s">
        <v>6415</v>
      </c>
      <c r="AK137" s="118" t="s">
        <v>393</v>
      </c>
      <c r="AL137" s="118" t="s">
        <v>393</v>
      </c>
      <c r="AM137" s="118" t="s">
        <v>393</v>
      </c>
      <c r="AN137" s="402" t="s">
        <v>5975</v>
      </c>
      <c r="AO137" s="402">
        <v>44813</v>
      </c>
      <c r="AP137" s="118">
        <v>9</v>
      </c>
      <c r="AQ137" s="118">
        <v>9</v>
      </c>
      <c r="AR137" s="118" t="s">
        <v>6448</v>
      </c>
      <c r="AS137" s="118" t="s">
        <v>392</v>
      </c>
      <c r="AT137" s="118" t="s">
        <v>500</v>
      </c>
      <c r="AU137" s="118" t="s">
        <v>404</v>
      </c>
      <c r="AV137" s="118" t="s">
        <v>508</v>
      </c>
      <c r="AW137" s="118" t="s">
        <v>393</v>
      </c>
      <c r="AX137" s="118" t="s">
        <v>740</v>
      </c>
      <c r="AY137" s="118" t="s">
        <v>393</v>
      </c>
      <c r="AZ137" s="118" t="s">
        <v>393</v>
      </c>
      <c r="BA137" s="118" t="s">
        <v>393</v>
      </c>
      <c r="BB137" s="118" t="s">
        <v>393</v>
      </c>
      <c r="BC137" s="118" t="s">
        <v>393</v>
      </c>
      <c r="BD137" s="118" t="s">
        <v>393</v>
      </c>
      <c r="BE137" s="118" t="s">
        <v>393</v>
      </c>
      <c r="BF137" s="118" t="s">
        <v>740</v>
      </c>
      <c r="BG137" s="118" t="s">
        <v>393</v>
      </c>
      <c r="BH137" s="118" t="s">
        <v>394</v>
      </c>
      <c r="BI137" s="118" t="s">
        <v>394</v>
      </c>
      <c r="BJ137" s="118" t="s">
        <v>393</v>
      </c>
      <c r="BK137" s="118" t="s">
        <v>6988</v>
      </c>
      <c r="BL137" s="118" t="s">
        <v>6415</v>
      </c>
      <c r="BM137" s="118" t="s">
        <v>6990</v>
      </c>
      <c r="BN137" s="118" t="s">
        <v>6991</v>
      </c>
      <c r="BO137" s="118" t="s">
        <v>6415</v>
      </c>
      <c r="BP137" s="118" t="s">
        <v>6415</v>
      </c>
      <c r="BQ137" s="118" t="s">
        <v>6415</v>
      </c>
      <c r="BR137" s="118" t="s">
        <v>6415</v>
      </c>
      <c r="BS137" s="118" t="s">
        <v>6415</v>
      </c>
      <c r="BT137" s="118" t="s">
        <v>7067</v>
      </c>
      <c r="BU137" s="118" t="s">
        <v>7017</v>
      </c>
      <c r="BV137" s="118" t="s">
        <v>6415</v>
      </c>
      <c r="BW137" s="118" t="s">
        <v>6415</v>
      </c>
      <c r="BX137" s="118" t="s">
        <v>6415</v>
      </c>
      <c r="BY137" s="118" t="s">
        <v>6415</v>
      </c>
      <c r="BZ137" s="118" t="s">
        <v>6415</v>
      </c>
      <c r="CA137" s="118" t="s">
        <v>6415</v>
      </c>
      <c r="CB137" s="118" t="s">
        <v>221</v>
      </c>
      <c r="CC137" s="118" t="s">
        <v>740</v>
      </c>
      <c r="CD137" s="118">
        <v>2</v>
      </c>
      <c r="CE137" s="118" t="s">
        <v>411</v>
      </c>
      <c r="CF137" s="118" t="s">
        <v>410</v>
      </c>
      <c r="CG137" s="118" t="s">
        <v>924</v>
      </c>
      <c r="CH137" s="118" t="s">
        <v>6300</v>
      </c>
      <c r="CI137" s="118" t="s">
        <v>6305</v>
      </c>
      <c r="CJ137" s="118" t="s">
        <v>398</v>
      </c>
      <c r="CK137" s="118">
        <v>0</v>
      </c>
      <c r="CL137" s="118">
        <v>0</v>
      </c>
      <c r="CM137" s="118" t="s">
        <v>439</v>
      </c>
      <c r="CN137" s="118" t="s">
        <v>6329</v>
      </c>
      <c r="CO137" s="118" t="s">
        <v>1096</v>
      </c>
      <c r="CP137" s="118" t="s">
        <v>400</v>
      </c>
      <c r="CQ137" s="118" t="s">
        <v>6415</v>
      </c>
      <c r="CR137" s="118" t="s">
        <v>6415</v>
      </c>
      <c r="CS137" s="118" t="s">
        <v>6415</v>
      </c>
      <c r="CT137" s="118" t="s">
        <v>6415</v>
      </c>
      <c r="CU137" s="118" t="s">
        <v>6415</v>
      </c>
      <c r="CV137" s="118" t="s">
        <v>6415</v>
      </c>
      <c r="CW137" s="118">
        <v>40</v>
      </c>
      <c r="CX137" s="118" t="s">
        <v>1068</v>
      </c>
      <c r="CY137" s="118" t="s">
        <v>6151</v>
      </c>
      <c r="CZ137" s="118">
        <v>1</v>
      </c>
      <c r="DA137" s="118" t="s">
        <v>411</v>
      </c>
      <c r="DB137" s="118" t="s">
        <v>410</v>
      </c>
      <c r="DC137" s="118" t="s">
        <v>6415</v>
      </c>
      <c r="DD137" s="118" t="s">
        <v>6300</v>
      </c>
      <c r="DE137" s="118" t="s">
        <v>6303</v>
      </c>
      <c r="DF137" s="118" t="s">
        <v>398</v>
      </c>
      <c r="DG137" s="118" t="s">
        <v>6415</v>
      </c>
      <c r="DH137" s="118" t="s">
        <v>6415</v>
      </c>
      <c r="DI137" s="118" t="s">
        <v>399</v>
      </c>
      <c r="DJ137" s="118" t="s">
        <v>398</v>
      </c>
      <c r="DK137" s="118" t="s">
        <v>400</v>
      </c>
      <c r="DL137" s="118" t="s">
        <v>6415</v>
      </c>
      <c r="DM137" s="118" t="s">
        <v>6415</v>
      </c>
      <c r="DN137" s="118" t="s">
        <v>6415</v>
      </c>
      <c r="DO137" s="118" t="s">
        <v>6415</v>
      </c>
      <c r="DP137" s="118" t="s">
        <v>6415</v>
      </c>
      <c r="DQ137" s="118" t="s">
        <v>6415</v>
      </c>
      <c r="DR137" s="118">
        <v>25</v>
      </c>
      <c r="DS137" s="118" t="s">
        <v>1068</v>
      </c>
      <c r="DT137" s="118" t="s">
        <v>6341</v>
      </c>
      <c r="DU137" s="118" t="s">
        <v>6415</v>
      </c>
      <c r="DV137" s="118" t="s">
        <v>6415</v>
      </c>
      <c r="DW137" s="118" t="s">
        <v>6415</v>
      </c>
      <c r="DX137" s="118" t="s">
        <v>6415</v>
      </c>
      <c r="DY137" s="118" t="s">
        <v>6415</v>
      </c>
      <c r="DZ137" s="118" t="s">
        <v>6415</v>
      </c>
      <c r="EA137" s="118" t="s">
        <v>6415</v>
      </c>
      <c r="EB137" s="118" t="s">
        <v>6415</v>
      </c>
      <c r="EC137" s="118" t="s">
        <v>6415</v>
      </c>
      <c r="ED137" s="118" t="s">
        <v>6415</v>
      </c>
      <c r="EE137" s="118" t="s">
        <v>6415</v>
      </c>
      <c r="EF137" s="118" t="s">
        <v>6415</v>
      </c>
      <c r="EG137" s="118" t="s">
        <v>7065</v>
      </c>
      <c r="EH137" s="118" t="s">
        <v>7066</v>
      </c>
      <c r="EI137" s="118" t="s">
        <v>6415</v>
      </c>
      <c r="EJ137" s="118" t="s">
        <v>6415</v>
      </c>
      <c r="EK137" s="118" t="s">
        <v>6415</v>
      </c>
      <c r="EL137" s="118" t="s">
        <v>7467</v>
      </c>
      <c r="EM137" s="118" t="s">
        <v>7223</v>
      </c>
      <c r="EN137" s="118" t="s">
        <v>6415</v>
      </c>
      <c r="EO137" s="6" t="str">
        <f t="shared" si="14"/>
        <v>Pathweb</v>
      </c>
      <c r="EP137" s="6" t="str">
        <f t="shared" si="15"/>
        <v>Google Maps</v>
      </c>
      <c r="EQ137" s="6" t="str">
        <f t="shared" si="16"/>
        <v>Mashed Map</v>
      </c>
      <c r="ER137" s="118" t="s">
        <v>6727</v>
      </c>
      <c r="ES137" s="118" t="s">
        <v>71</v>
      </c>
      <c r="ET137" s="4">
        <v>0</v>
      </c>
      <c r="EU137" s="4"/>
      <c r="EV137" s="4"/>
    </row>
    <row r="138" spans="1:152" x14ac:dyDescent="0.15">
      <c r="A138" s="581" t="str">
        <f t="shared" si="13"/>
        <v>Crash Report</v>
      </c>
      <c r="B138" s="14">
        <v>20223176218</v>
      </c>
      <c r="C138" s="118">
        <v>2022</v>
      </c>
      <c r="D138" s="14">
        <v>22092128091539</v>
      </c>
      <c r="F138" s="118" t="s">
        <v>6442</v>
      </c>
      <c r="G138" s="118" t="s">
        <v>416</v>
      </c>
      <c r="H138" s="118">
        <v>2</v>
      </c>
      <c r="I138" s="118" t="s">
        <v>6055</v>
      </c>
      <c r="J138" s="118" t="s">
        <v>391</v>
      </c>
      <c r="K138" s="118" t="s">
        <v>6997</v>
      </c>
      <c r="L138" s="118">
        <v>0.49</v>
      </c>
      <c r="M138" s="118">
        <v>0.49</v>
      </c>
      <c r="N138" s="118" t="s">
        <v>7469</v>
      </c>
      <c r="O138" s="118" t="s">
        <v>7478</v>
      </c>
      <c r="P138" s="118">
        <v>41.646017999999998</v>
      </c>
      <c r="Q138" s="118">
        <v>-83.520724999999999</v>
      </c>
      <c r="R138" s="118">
        <v>77000</v>
      </c>
      <c r="S138" s="118" t="s">
        <v>6988</v>
      </c>
      <c r="T138" s="118">
        <v>1</v>
      </c>
      <c r="U138" s="118">
        <v>0</v>
      </c>
      <c r="V138" s="118">
        <v>0</v>
      </c>
      <c r="W138" s="118">
        <v>0</v>
      </c>
      <c r="X138" s="118">
        <v>0</v>
      </c>
      <c r="Y138" s="118">
        <v>1</v>
      </c>
      <c r="Z138" s="118">
        <v>0</v>
      </c>
      <c r="AA138" s="118">
        <v>1</v>
      </c>
      <c r="AB138" s="118" t="s">
        <v>1067</v>
      </c>
      <c r="AC138" s="118" t="s">
        <v>6989</v>
      </c>
      <c r="AD138" s="118" t="s">
        <v>1034</v>
      </c>
      <c r="AE138" s="118" t="s">
        <v>943</v>
      </c>
      <c r="AF138" s="118" t="s">
        <v>1042</v>
      </c>
      <c r="AG138" s="118" t="s">
        <v>6415</v>
      </c>
      <c r="AH138" s="118" t="s">
        <v>393</v>
      </c>
      <c r="AI138" s="118">
        <v>2</v>
      </c>
      <c r="AJ138" s="118" t="s">
        <v>6415</v>
      </c>
      <c r="AK138" s="118" t="s">
        <v>393</v>
      </c>
      <c r="AL138" s="118" t="s">
        <v>393</v>
      </c>
      <c r="AM138" s="118" t="s">
        <v>393</v>
      </c>
      <c r="AN138" s="402" t="s">
        <v>5975</v>
      </c>
      <c r="AO138" s="402">
        <v>44825</v>
      </c>
      <c r="AP138" s="118">
        <v>9</v>
      </c>
      <c r="AQ138" s="118">
        <v>15</v>
      </c>
      <c r="AR138" s="118" t="s">
        <v>6446</v>
      </c>
      <c r="AS138" s="118" t="s">
        <v>392</v>
      </c>
      <c r="AT138" s="118" t="s">
        <v>500</v>
      </c>
      <c r="AU138" s="118" t="s">
        <v>404</v>
      </c>
      <c r="AV138" s="118" t="s">
        <v>508</v>
      </c>
      <c r="AW138" s="118" t="s">
        <v>740</v>
      </c>
      <c r="AX138" s="118" t="s">
        <v>393</v>
      </c>
      <c r="AY138" s="118" t="s">
        <v>393</v>
      </c>
      <c r="AZ138" s="118" t="s">
        <v>393</v>
      </c>
      <c r="BA138" s="118" t="s">
        <v>393</v>
      </c>
      <c r="BB138" s="118" t="s">
        <v>393</v>
      </c>
      <c r="BC138" s="118" t="s">
        <v>393</v>
      </c>
      <c r="BD138" s="118" t="s">
        <v>393</v>
      </c>
      <c r="BE138" s="118" t="s">
        <v>393</v>
      </c>
      <c r="BF138" s="118" t="s">
        <v>393</v>
      </c>
      <c r="BG138" s="118" t="s">
        <v>393</v>
      </c>
      <c r="BH138" s="118" t="s">
        <v>394</v>
      </c>
      <c r="BI138" s="118" t="s">
        <v>394</v>
      </c>
      <c r="BJ138" s="118" t="s">
        <v>740</v>
      </c>
      <c r="BK138" s="118" t="s">
        <v>6988</v>
      </c>
      <c r="BL138" s="118" t="s">
        <v>6415</v>
      </c>
      <c r="BM138" s="118" t="s">
        <v>6992</v>
      </c>
      <c r="BN138" s="118" t="s">
        <v>6991</v>
      </c>
      <c r="BO138" s="118" t="s">
        <v>6415</v>
      </c>
      <c r="BP138" s="118" t="s">
        <v>6415</v>
      </c>
      <c r="BQ138" s="118" t="s">
        <v>6415</v>
      </c>
      <c r="BR138" s="118" t="s">
        <v>6415</v>
      </c>
      <c r="BS138" s="118" t="s">
        <v>6415</v>
      </c>
      <c r="BT138" s="118" t="s">
        <v>7045</v>
      </c>
      <c r="BU138" s="118" t="s">
        <v>6991</v>
      </c>
      <c r="BV138" s="118" t="s">
        <v>6415</v>
      </c>
      <c r="BW138" s="118" t="s">
        <v>6415</v>
      </c>
      <c r="BX138" s="118" t="s">
        <v>6415</v>
      </c>
      <c r="BY138" s="118" t="s">
        <v>6415</v>
      </c>
      <c r="BZ138" s="118" t="s">
        <v>6415</v>
      </c>
      <c r="CA138" s="118" t="s">
        <v>6415</v>
      </c>
      <c r="CB138" s="118" t="s">
        <v>221</v>
      </c>
      <c r="CC138" s="118" t="s">
        <v>740</v>
      </c>
      <c r="CD138" s="118">
        <v>1</v>
      </c>
      <c r="CE138" s="118" t="s">
        <v>411</v>
      </c>
      <c r="CF138" s="118" t="s">
        <v>410</v>
      </c>
      <c r="CG138" s="118" t="s">
        <v>924</v>
      </c>
      <c r="CH138" s="118" t="s">
        <v>6302</v>
      </c>
      <c r="CI138" s="118" t="s">
        <v>6303</v>
      </c>
      <c r="CJ138" s="118" t="s">
        <v>398</v>
      </c>
      <c r="CK138" s="14">
        <v>0</v>
      </c>
      <c r="CL138" s="118">
        <v>25</v>
      </c>
      <c r="CM138" s="118" t="s">
        <v>399</v>
      </c>
      <c r="CN138" s="118" t="s">
        <v>6331</v>
      </c>
      <c r="CO138" s="118" t="s">
        <v>475</v>
      </c>
      <c r="CP138" s="118" t="s">
        <v>475</v>
      </c>
      <c r="CQ138" s="118" t="s">
        <v>6415</v>
      </c>
      <c r="CR138" s="118" t="s">
        <v>6415</v>
      </c>
      <c r="CS138" s="118" t="s">
        <v>6415</v>
      </c>
      <c r="CT138" s="118" t="s">
        <v>6415</v>
      </c>
      <c r="CU138" s="118" t="s">
        <v>6415</v>
      </c>
      <c r="CV138" s="118" t="s">
        <v>6415</v>
      </c>
      <c r="CW138" s="14">
        <v>45</v>
      </c>
      <c r="CX138" s="118" t="s">
        <v>1068</v>
      </c>
      <c r="CY138" s="118" t="s">
        <v>6342</v>
      </c>
      <c r="CZ138" s="118" t="s">
        <v>6415</v>
      </c>
      <c r="DA138" s="118" t="s">
        <v>6415</v>
      </c>
      <c r="DB138" s="118" t="s">
        <v>6415</v>
      </c>
      <c r="DC138" s="118" t="s">
        <v>6415</v>
      </c>
      <c r="DD138" s="118" t="s">
        <v>6415</v>
      </c>
      <c r="DE138" s="118" t="s">
        <v>6415</v>
      </c>
      <c r="DF138" s="118" t="s">
        <v>6415</v>
      </c>
      <c r="DG138" s="14" t="s">
        <v>6415</v>
      </c>
      <c r="DH138" s="118" t="s">
        <v>6415</v>
      </c>
      <c r="DI138" s="118" t="s">
        <v>6415</v>
      </c>
      <c r="DJ138" s="118" t="s">
        <v>6415</v>
      </c>
      <c r="DK138" s="118" t="s">
        <v>6415</v>
      </c>
      <c r="DL138" s="118" t="s">
        <v>6415</v>
      </c>
      <c r="DM138" s="118" t="s">
        <v>6415</v>
      </c>
      <c r="DN138" s="118" t="s">
        <v>6415</v>
      </c>
      <c r="DO138" s="118" t="s">
        <v>6415</v>
      </c>
      <c r="DP138" s="118" t="s">
        <v>6415</v>
      </c>
      <c r="DQ138" s="118" t="s">
        <v>6415</v>
      </c>
      <c r="DR138" s="118">
        <v>0</v>
      </c>
      <c r="DS138" s="118" t="s">
        <v>6415</v>
      </c>
      <c r="DT138" s="118" t="s">
        <v>6415</v>
      </c>
      <c r="DU138" s="118" t="s">
        <v>6415</v>
      </c>
      <c r="DV138" s="118" t="s">
        <v>6415</v>
      </c>
      <c r="DW138" s="118" t="s">
        <v>6415</v>
      </c>
      <c r="DX138" s="118" t="s">
        <v>6415</v>
      </c>
      <c r="DY138" s="118" t="s">
        <v>6415</v>
      </c>
      <c r="DZ138" s="118" t="s">
        <v>6415</v>
      </c>
      <c r="EA138" s="118" t="s">
        <v>6415</v>
      </c>
      <c r="EB138" s="118" t="s">
        <v>6415</v>
      </c>
      <c r="EC138" s="118" t="s">
        <v>6415</v>
      </c>
      <c r="ED138" s="118" t="s">
        <v>6415</v>
      </c>
      <c r="EE138" s="118" t="s">
        <v>6415</v>
      </c>
      <c r="EF138" s="118" t="s">
        <v>6415</v>
      </c>
      <c r="EG138" s="118" t="s">
        <v>7043</v>
      </c>
      <c r="EH138" s="118" t="s">
        <v>7044</v>
      </c>
      <c r="EI138" s="118" t="s">
        <v>6415</v>
      </c>
      <c r="EJ138" s="118" t="s">
        <v>6415</v>
      </c>
      <c r="EK138" s="118" t="s">
        <v>6415</v>
      </c>
      <c r="EL138" s="118" t="s">
        <v>7467</v>
      </c>
      <c r="EM138" s="118" t="s">
        <v>7224</v>
      </c>
      <c r="EN138" s="118" t="s">
        <v>6415</v>
      </c>
      <c r="EO138" s="6" t="str">
        <f t="shared" si="14"/>
        <v>Pathweb</v>
      </c>
      <c r="EP138" s="6" t="str">
        <f t="shared" si="15"/>
        <v>Google Maps</v>
      </c>
      <c r="EQ138" s="6" t="str">
        <f t="shared" si="16"/>
        <v>Mashed Map</v>
      </c>
      <c r="ER138" s="118" t="s">
        <v>6726</v>
      </c>
      <c r="ES138" s="118" t="s">
        <v>71</v>
      </c>
      <c r="ET138" s="4">
        <v>2.8000000000000001E-2</v>
      </c>
      <c r="EU138" s="4"/>
      <c r="EV138" s="4"/>
    </row>
    <row r="139" spans="1:152" x14ac:dyDescent="0.15">
      <c r="A139" s="581" t="str">
        <f t="shared" si="13"/>
        <v>Crash Report</v>
      </c>
      <c r="B139" s="118">
        <v>20223180001</v>
      </c>
      <c r="C139" s="118">
        <v>2022</v>
      </c>
      <c r="D139" s="118">
        <v>22092629042309</v>
      </c>
      <c r="F139" s="118" t="s">
        <v>6440</v>
      </c>
      <c r="G139" s="118" t="s">
        <v>390</v>
      </c>
      <c r="H139" s="118">
        <v>2</v>
      </c>
      <c r="I139" s="118" t="s">
        <v>6055</v>
      </c>
      <c r="J139" s="118" t="s">
        <v>434</v>
      </c>
      <c r="K139" s="118" t="s">
        <v>6985</v>
      </c>
      <c r="L139" s="118">
        <v>0.67</v>
      </c>
      <c r="M139" s="118">
        <v>0.67</v>
      </c>
      <c r="N139" s="118" t="s">
        <v>7465</v>
      </c>
      <c r="O139" s="118" t="s">
        <v>7494</v>
      </c>
      <c r="P139" s="118">
        <v>41.653281</v>
      </c>
      <c r="Q139" s="118">
        <v>-83.515686000000002</v>
      </c>
      <c r="R139" s="118">
        <v>77000</v>
      </c>
      <c r="S139" s="118" t="s">
        <v>6988</v>
      </c>
      <c r="T139" s="118">
        <v>1</v>
      </c>
      <c r="U139" s="118">
        <v>0</v>
      </c>
      <c r="V139" s="118">
        <v>0</v>
      </c>
      <c r="W139" s="118">
        <v>3</v>
      </c>
      <c r="X139" s="118">
        <v>0</v>
      </c>
      <c r="Y139" s="118">
        <v>2</v>
      </c>
      <c r="Z139" s="118">
        <v>4</v>
      </c>
      <c r="AA139" s="118">
        <v>2</v>
      </c>
      <c r="AB139" s="118" t="s">
        <v>1067</v>
      </c>
      <c r="AC139" s="118" t="s">
        <v>6989</v>
      </c>
      <c r="AD139" s="118" t="s">
        <v>1034</v>
      </c>
      <c r="AE139" s="118" t="s">
        <v>943</v>
      </c>
      <c r="AF139" s="118" t="s">
        <v>1041</v>
      </c>
      <c r="AG139" s="118" t="s">
        <v>6415</v>
      </c>
      <c r="AH139" s="118" t="s">
        <v>393</v>
      </c>
      <c r="AI139" s="118">
        <v>4</v>
      </c>
      <c r="AJ139" s="118" t="s">
        <v>6415</v>
      </c>
      <c r="AK139" s="118" t="s">
        <v>393</v>
      </c>
      <c r="AL139" s="118" t="s">
        <v>393</v>
      </c>
      <c r="AM139" s="118" t="s">
        <v>393</v>
      </c>
      <c r="AN139" s="402" t="s">
        <v>5975</v>
      </c>
      <c r="AO139" s="402">
        <v>44830</v>
      </c>
      <c r="AP139" s="118">
        <v>9</v>
      </c>
      <c r="AQ139" s="118">
        <v>23</v>
      </c>
      <c r="AR139" s="118" t="s">
        <v>6444</v>
      </c>
      <c r="AS139" s="118" t="s">
        <v>392</v>
      </c>
      <c r="AT139" s="118" t="s">
        <v>500</v>
      </c>
      <c r="AU139" s="118" t="s">
        <v>505</v>
      </c>
      <c r="AV139" s="118" t="s">
        <v>508</v>
      </c>
      <c r="AW139" s="118" t="s">
        <v>393</v>
      </c>
      <c r="AX139" s="118" t="s">
        <v>740</v>
      </c>
      <c r="AY139" s="118" t="s">
        <v>393</v>
      </c>
      <c r="AZ139" s="118" t="s">
        <v>393</v>
      </c>
      <c r="BA139" s="118" t="s">
        <v>393</v>
      </c>
      <c r="BB139" s="118" t="s">
        <v>393</v>
      </c>
      <c r="BC139" s="118" t="s">
        <v>393</v>
      </c>
      <c r="BD139" s="118" t="s">
        <v>393</v>
      </c>
      <c r="BE139" s="118" t="s">
        <v>393</v>
      </c>
      <c r="BF139" s="118" t="s">
        <v>393</v>
      </c>
      <c r="BG139" s="118" t="s">
        <v>393</v>
      </c>
      <c r="BH139" s="118" t="s">
        <v>394</v>
      </c>
      <c r="BI139" s="118" t="s">
        <v>394</v>
      </c>
      <c r="BJ139" s="118" t="s">
        <v>393</v>
      </c>
      <c r="BK139" s="118" t="s">
        <v>6988</v>
      </c>
      <c r="BL139" s="118" t="s">
        <v>6415</v>
      </c>
      <c r="BM139" s="118" t="s">
        <v>6990</v>
      </c>
      <c r="BN139" s="118" t="s">
        <v>6991</v>
      </c>
      <c r="BO139" s="118" t="s">
        <v>6415</v>
      </c>
      <c r="BP139" s="118" t="s">
        <v>6415</v>
      </c>
      <c r="BQ139" s="118" t="s">
        <v>6415</v>
      </c>
      <c r="BR139" s="118" t="s">
        <v>6415</v>
      </c>
      <c r="BS139" s="118" t="s">
        <v>6415</v>
      </c>
      <c r="BT139" s="118" t="s">
        <v>2521</v>
      </c>
      <c r="BU139" s="118" t="s">
        <v>7017</v>
      </c>
      <c r="BV139" s="118" t="s">
        <v>6415</v>
      </c>
      <c r="BW139" s="118" t="s">
        <v>6415</v>
      </c>
      <c r="BX139" s="118" t="s">
        <v>6415</v>
      </c>
      <c r="BY139" s="118" t="s">
        <v>6415</v>
      </c>
      <c r="BZ139" s="118" t="s">
        <v>6415</v>
      </c>
      <c r="CA139" s="118" t="s">
        <v>6415</v>
      </c>
      <c r="CB139" s="118" t="s">
        <v>221</v>
      </c>
      <c r="CC139" s="118" t="s">
        <v>740</v>
      </c>
      <c r="CD139" s="118">
        <v>1</v>
      </c>
      <c r="CE139" s="118" t="s">
        <v>406</v>
      </c>
      <c r="CF139" s="118" t="s">
        <v>405</v>
      </c>
      <c r="CG139" s="118" t="s">
        <v>924</v>
      </c>
      <c r="CH139" s="118" t="s">
        <v>6302</v>
      </c>
      <c r="CI139" s="118" t="s">
        <v>6305</v>
      </c>
      <c r="CJ139" s="118" t="s">
        <v>398</v>
      </c>
      <c r="CK139" s="14">
        <v>0</v>
      </c>
      <c r="CL139" s="118">
        <v>35</v>
      </c>
      <c r="CM139" s="118" t="s">
        <v>399</v>
      </c>
      <c r="CN139" s="118" t="s">
        <v>6512</v>
      </c>
      <c r="CO139" s="118" t="s">
        <v>1096</v>
      </c>
      <c r="CP139" s="118" t="s">
        <v>450</v>
      </c>
      <c r="CQ139" s="118" t="s">
        <v>6415</v>
      </c>
      <c r="CR139" s="118" t="s">
        <v>6415</v>
      </c>
      <c r="CS139" s="118" t="s">
        <v>6415</v>
      </c>
      <c r="CT139" s="118" t="s">
        <v>6415</v>
      </c>
      <c r="CU139" s="118" t="s">
        <v>6415</v>
      </c>
      <c r="CV139" s="118" t="s">
        <v>6415</v>
      </c>
      <c r="CW139" s="14">
        <v>0</v>
      </c>
      <c r="CX139" s="118" t="s">
        <v>1068</v>
      </c>
      <c r="CY139" s="118" t="s">
        <v>6151</v>
      </c>
      <c r="CZ139" s="118">
        <v>2</v>
      </c>
      <c r="DA139" s="118" t="s">
        <v>406</v>
      </c>
      <c r="DB139" s="118" t="s">
        <v>405</v>
      </c>
      <c r="DC139" s="118" t="s">
        <v>6415</v>
      </c>
      <c r="DD139" s="118" t="s">
        <v>6302</v>
      </c>
      <c r="DE139" s="118" t="s">
        <v>6303</v>
      </c>
      <c r="DF139" s="118" t="s">
        <v>398</v>
      </c>
      <c r="DG139" s="14" t="s">
        <v>6415</v>
      </c>
      <c r="DH139" s="118" t="s">
        <v>6415</v>
      </c>
      <c r="DI139" s="118" t="s">
        <v>429</v>
      </c>
      <c r="DJ139" s="118" t="s">
        <v>398</v>
      </c>
      <c r="DK139" s="118" t="s">
        <v>400</v>
      </c>
      <c r="DL139" s="118" t="s">
        <v>6415</v>
      </c>
      <c r="DM139" s="118" t="s">
        <v>6415</v>
      </c>
      <c r="DN139" s="118" t="s">
        <v>6415</v>
      </c>
      <c r="DO139" s="118" t="s">
        <v>6415</v>
      </c>
      <c r="DP139" s="118" t="s">
        <v>6415</v>
      </c>
      <c r="DQ139" s="118" t="s">
        <v>6415</v>
      </c>
      <c r="DR139" s="118">
        <v>0</v>
      </c>
      <c r="DS139" s="118" t="s">
        <v>6415</v>
      </c>
      <c r="DT139" s="118" t="s">
        <v>6415</v>
      </c>
      <c r="DU139" s="118" t="s">
        <v>6415</v>
      </c>
      <c r="DV139" s="118" t="s">
        <v>6415</v>
      </c>
      <c r="DW139" s="118" t="s">
        <v>6415</v>
      </c>
      <c r="DX139" s="118" t="s">
        <v>6415</v>
      </c>
      <c r="DY139" s="118" t="s">
        <v>6415</v>
      </c>
      <c r="DZ139" s="118" t="s">
        <v>6415</v>
      </c>
      <c r="EA139" s="118" t="s">
        <v>6415</v>
      </c>
      <c r="EB139" s="118" t="s">
        <v>6415</v>
      </c>
      <c r="EC139" s="118" t="s">
        <v>6415</v>
      </c>
      <c r="ED139" s="118" t="s">
        <v>6415</v>
      </c>
      <c r="EE139" s="118" t="s">
        <v>6415</v>
      </c>
      <c r="EF139" s="118" t="s">
        <v>6415</v>
      </c>
      <c r="EG139" s="118" t="s">
        <v>7226</v>
      </c>
      <c r="EH139" s="118" t="s">
        <v>7227</v>
      </c>
      <c r="EI139" s="118" t="s">
        <v>6415</v>
      </c>
      <c r="EJ139" s="118" t="s">
        <v>6415</v>
      </c>
      <c r="EK139" s="118" t="s">
        <v>6415</v>
      </c>
      <c r="EL139" s="118" t="s">
        <v>7467</v>
      </c>
      <c r="EM139" s="118" t="s">
        <v>7225</v>
      </c>
      <c r="EN139" s="118" t="s">
        <v>6415</v>
      </c>
      <c r="EO139" s="6" t="str">
        <f t="shared" si="14"/>
        <v>Pathweb</v>
      </c>
      <c r="EP139" s="6" t="str">
        <f t="shared" si="15"/>
        <v>Google Maps</v>
      </c>
      <c r="EQ139" s="6" t="str">
        <f t="shared" si="16"/>
        <v>Mashed Map</v>
      </c>
      <c r="ER139" s="118" t="s">
        <v>6727</v>
      </c>
      <c r="ES139" s="118" t="s">
        <v>6728</v>
      </c>
      <c r="ET139" s="4">
        <v>0</v>
      </c>
      <c r="EU139" s="4"/>
      <c r="EV139" s="4"/>
    </row>
    <row r="140" spans="1:152" x14ac:dyDescent="0.15">
      <c r="A140" s="581" t="str">
        <f t="shared" si="13"/>
        <v>Crash Report</v>
      </c>
      <c r="B140" s="118">
        <v>20223181115</v>
      </c>
      <c r="C140" s="118">
        <v>2022</v>
      </c>
      <c r="D140" s="118">
        <v>22092229011320</v>
      </c>
      <c r="F140" s="118" t="s">
        <v>6442</v>
      </c>
      <c r="G140" s="118" t="s">
        <v>230</v>
      </c>
      <c r="H140" s="118">
        <v>2</v>
      </c>
      <c r="I140" s="118" t="s">
        <v>6055</v>
      </c>
      <c r="J140" s="118" t="s">
        <v>423</v>
      </c>
      <c r="K140" s="118" t="s">
        <v>6997</v>
      </c>
      <c r="L140" s="118">
        <v>0.71</v>
      </c>
      <c r="M140" s="118">
        <v>0.71</v>
      </c>
      <c r="N140" s="118" t="s">
        <v>7469</v>
      </c>
      <c r="O140" s="118" t="s">
        <v>7466</v>
      </c>
      <c r="P140" s="118">
        <v>41.648485000000001</v>
      </c>
      <c r="Q140" s="118">
        <v>-83.523410999999996</v>
      </c>
      <c r="R140" s="118">
        <v>77000</v>
      </c>
      <c r="S140" s="118" t="s">
        <v>6988</v>
      </c>
      <c r="T140" s="118">
        <v>1</v>
      </c>
      <c r="U140" s="118">
        <v>0</v>
      </c>
      <c r="V140" s="118">
        <v>0</v>
      </c>
      <c r="W140" s="118">
        <v>0</v>
      </c>
      <c r="X140" s="118">
        <v>0</v>
      </c>
      <c r="Y140" s="118">
        <v>2</v>
      </c>
      <c r="Z140" s="118">
        <v>0</v>
      </c>
      <c r="AA140" s="118">
        <v>2</v>
      </c>
      <c r="AB140" s="118" t="s">
        <v>1067</v>
      </c>
      <c r="AC140" s="118" t="s">
        <v>6989</v>
      </c>
      <c r="AD140" s="118" t="s">
        <v>1034</v>
      </c>
      <c r="AE140" s="118" t="s">
        <v>943</v>
      </c>
      <c r="AF140" s="118" t="s">
        <v>1042</v>
      </c>
      <c r="AG140" s="118" t="s">
        <v>6415</v>
      </c>
      <c r="AH140" s="118" t="s">
        <v>393</v>
      </c>
      <c r="AI140" s="118">
        <v>2</v>
      </c>
      <c r="AJ140" s="118" t="s">
        <v>6415</v>
      </c>
      <c r="AK140" s="118" t="s">
        <v>393</v>
      </c>
      <c r="AL140" s="118" t="s">
        <v>393</v>
      </c>
      <c r="AM140" s="118" t="s">
        <v>393</v>
      </c>
      <c r="AN140" s="402" t="s">
        <v>5975</v>
      </c>
      <c r="AO140" s="402">
        <v>44826</v>
      </c>
      <c r="AP140" s="118">
        <v>9</v>
      </c>
      <c r="AQ140" s="118">
        <v>13</v>
      </c>
      <c r="AR140" s="118" t="s">
        <v>6447</v>
      </c>
      <c r="AS140" s="118" t="s">
        <v>392</v>
      </c>
      <c r="AT140" s="118" t="s">
        <v>500</v>
      </c>
      <c r="AU140" s="118" t="s">
        <v>404</v>
      </c>
      <c r="AV140" s="118" t="s">
        <v>509</v>
      </c>
      <c r="AW140" s="118" t="s">
        <v>393</v>
      </c>
      <c r="AX140" s="118" t="s">
        <v>740</v>
      </c>
      <c r="AY140" s="118" t="s">
        <v>393</v>
      </c>
      <c r="AZ140" s="118" t="s">
        <v>393</v>
      </c>
      <c r="BA140" s="118" t="s">
        <v>393</v>
      </c>
      <c r="BB140" s="118" t="s">
        <v>393</v>
      </c>
      <c r="BC140" s="118" t="s">
        <v>393</v>
      </c>
      <c r="BD140" s="118" t="s">
        <v>393</v>
      </c>
      <c r="BE140" s="118" t="s">
        <v>393</v>
      </c>
      <c r="BF140" s="118" t="s">
        <v>740</v>
      </c>
      <c r="BG140" s="118" t="s">
        <v>393</v>
      </c>
      <c r="BH140" s="118" t="s">
        <v>394</v>
      </c>
      <c r="BI140" s="118" t="s">
        <v>394</v>
      </c>
      <c r="BJ140" s="118" t="s">
        <v>393</v>
      </c>
      <c r="BK140" s="118" t="s">
        <v>6988</v>
      </c>
      <c r="BL140" s="118" t="s">
        <v>6415</v>
      </c>
      <c r="BM140" s="118" t="s">
        <v>6990</v>
      </c>
      <c r="BN140" s="118" t="s">
        <v>6991</v>
      </c>
      <c r="BO140" s="118" t="s">
        <v>6415</v>
      </c>
      <c r="BP140" s="118" t="s">
        <v>6415</v>
      </c>
      <c r="BQ140" s="118" t="s">
        <v>6415</v>
      </c>
      <c r="BR140" s="118" t="s">
        <v>6415</v>
      </c>
      <c r="BS140" s="118" t="s">
        <v>6415</v>
      </c>
      <c r="BT140" s="118" t="s">
        <v>6992</v>
      </c>
      <c r="BU140" s="118" t="s">
        <v>6991</v>
      </c>
      <c r="BV140" s="118" t="s">
        <v>6415</v>
      </c>
      <c r="BW140" s="118" t="s">
        <v>6415</v>
      </c>
      <c r="BX140" s="118" t="s">
        <v>6415</v>
      </c>
      <c r="BY140" s="118" t="s">
        <v>6415</v>
      </c>
      <c r="BZ140" s="118" t="s">
        <v>6415</v>
      </c>
      <c r="CA140" s="118" t="s">
        <v>6415</v>
      </c>
      <c r="CB140" s="118" t="s">
        <v>221</v>
      </c>
      <c r="CC140" s="118" t="s">
        <v>740</v>
      </c>
      <c r="CD140" s="118">
        <v>1</v>
      </c>
      <c r="CE140" s="118" t="s">
        <v>411</v>
      </c>
      <c r="CF140" s="118" t="s">
        <v>445</v>
      </c>
      <c r="CG140" s="118" t="s">
        <v>230</v>
      </c>
      <c r="CH140" s="118" t="s">
        <v>6300</v>
      </c>
      <c r="CI140" s="118" t="s">
        <v>6303</v>
      </c>
      <c r="CJ140" s="118" t="s">
        <v>398</v>
      </c>
      <c r="CK140" s="118">
        <v>0</v>
      </c>
      <c r="CL140" s="118">
        <v>35</v>
      </c>
      <c r="CM140" s="118" t="s">
        <v>436</v>
      </c>
      <c r="CN140" s="118" t="s">
        <v>451</v>
      </c>
      <c r="CO140" s="118" t="s">
        <v>1096</v>
      </c>
      <c r="CP140" s="118" t="s">
        <v>400</v>
      </c>
      <c r="CQ140" s="118" t="s">
        <v>6415</v>
      </c>
      <c r="CR140" s="118" t="s">
        <v>6415</v>
      </c>
      <c r="CS140" s="118" t="s">
        <v>6415</v>
      </c>
      <c r="CT140" s="118" t="s">
        <v>6415</v>
      </c>
      <c r="CU140" s="118" t="s">
        <v>6415</v>
      </c>
      <c r="CV140" s="118" t="s">
        <v>6415</v>
      </c>
      <c r="CW140" s="118">
        <v>21</v>
      </c>
      <c r="CX140" s="118" t="s">
        <v>1068</v>
      </c>
      <c r="CY140" s="118" t="s">
        <v>6341</v>
      </c>
      <c r="CZ140" s="118">
        <v>2</v>
      </c>
      <c r="DA140" s="118" t="s">
        <v>410</v>
      </c>
      <c r="DB140" s="118" t="s">
        <v>411</v>
      </c>
      <c r="DC140" s="118" t="s">
        <v>6415</v>
      </c>
      <c r="DD140" s="118" t="s">
        <v>6300</v>
      </c>
      <c r="DE140" s="118" t="s">
        <v>6303</v>
      </c>
      <c r="DF140" s="118" t="s">
        <v>398</v>
      </c>
      <c r="DG140" s="118" t="s">
        <v>6415</v>
      </c>
      <c r="DH140" s="118">
        <v>35</v>
      </c>
      <c r="DI140" s="118" t="s">
        <v>399</v>
      </c>
      <c r="DJ140" s="118" t="s">
        <v>398</v>
      </c>
      <c r="DK140" s="118" t="s">
        <v>400</v>
      </c>
      <c r="DL140" s="118" t="s">
        <v>6415</v>
      </c>
      <c r="DM140" s="118" t="s">
        <v>6415</v>
      </c>
      <c r="DN140" s="118" t="s">
        <v>6415</v>
      </c>
      <c r="DO140" s="118" t="s">
        <v>6415</v>
      </c>
      <c r="DP140" s="118" t="s">
        <v>6415</v>
      </c>
      <c r="DQ140" s="118" t="s">
        <v>6415</v>
      </c>
      <c r="DR140" s="118">
        <v>43</v>
      </c>
      <c r="DS140" s="118" t="s">
        <v>1066</v>
      </c>
      <c r="DT140" s="118" t="s">
        <v>6341</v>
      </c>
      <c r="DU140" s="118" t="s">
        <v>6415</v>
      </c>
      <c r="DV140" s="118" t="s">
        <v>6415</v>
      </c>
      <c r="DW140" s="118" t="s">
        <v>6415</v>
      </c>
      <c r="DX140" s="118" t="s">
        <v>6415</v>
      </c>
      <c r="DY140" s="118" t="s">
        <v>6415</v>
      </c>
      <c r="DZ140" s="118" t="s">
        <v>6415</v>
      </c>
      <c r="EA140" s="118" t="s">
        <v>6415</v>
      </c>
      <c r="EB140" s="118" t="s">
        <v>6415</v>
      </c>
      <c r="EC140" s="118" t="s">
        <v>6415</v>
      </c>
      <c r="ED140" s="118" t="s">
        <v>6415</v>
      </c>
      <c r="EE140" s="118" t="s">
        <v>6415</v>
      </c>
      <c r="EF140" s="118" t="s">
        <v>6415</v>
      </c>
      <c r="EG140" s="118" t="s">
        <v>6986</v>
      </c>
      <c r="EH140" s="118" t="s">
        <v>7194</v>
      </c>
      <c r="EI140" s="118" t="s">
        <v>6415</v>
      </c>
      <c r="EJ140" s="118" t="s">
        <v>6415</v>
      </c>
      <c r="EK140" s="118" t="s">
        <v>6415</v>
      </c>
      <c r="EL140" s="118" t="s">
        <v>7467</v>
      </c>
      <c r="EM140" s="118" t="s">
        <v>7228</v>
      </c>
      <c r="EN140" s="118" t="s">
        <v>6415</v>
      </c>
      <c r="EO140" s="6" t="str">
        <f t="shared" si="14"/>
        <v>Pathweb</v>
      </c>
      <c r="EP140" s="6" t="str">
        <f t="shared" si="15"/>
        <v>Google Maps</v>
      </c>
      <c r="EQ140" s="6" t="str">
        <f t="shared" si="16"/>
        <v>Mashed Map</v>
      </c>
      <c r="ER140" s="118" t="s">
        <v>6727</v>
      </c>
      <c r="ES140" s="118" t="s">
        <v>71</v>
      </c>
      <c r="ET140" s="4">
        <v>0</v>
      </c>
      <c r="EU140" s="4"/>
      <c r="EV140" s="4"/>
    </row>
    <row r="141" spans="1:152" x14ac:dyDescent="0.15">
      <c r="A141" s="581" t="str">
        <f t="shared" si="13"/>
        <v>Crash Report</v>
      </c>
      <c r="B141" s="14">
        <v>20223181198</v>
      </c>
      <c r="C141" s="118">
        <v>2022</v>
      </c>
      <c r="D141" s="14">
        <v>22092927530030</v>
      </c>
      <c r="F141" s="118" t="s">
        <v>6442</v>
      </c>
      <c r="G141" s="118" t="s">
        <v>390</v>
      </c>
      <c r="H141" s="118">
        <v>2</v>
      </c>
      <c r="I141" s="118" t="s">
        <v>6055</v>
      </c>
      <c r="J141" s="118" t="s">
        <v>423</v>
      </c>
      <c r="K141" s="118" t="s">
        <v>6997</v>
      </c>
      <c r="L141" s="118">
        <v>0.89</v>
      </c>
      <c r="M141" s="118">
        <v>0.89</v>
      </c>
      <c r="N141" s="118" t="s">
        <v>7469</v>
      </c>
      <c r="O141" s="118" t="s">
        <v>7483</v>
      </c>
      <c r="P141" s="118">
        <v>41.650514000000001</v>
      </c>
      <c r="Q141" s="118">
        <v>-83.525591000000006</v>
      </c>
      <c r="R141" s="118">
        <v>77000</v>
      </c>
      <c r="S141" s="118" t="s">
        <v>6988</v>
      </c>
      <c r="T141" s="118">
        <v>1</v>
      </c>
      <c r="U141" s="118">
        <v>0</v>
      </c>
      <c r="V141" s="118">
        <v>0</v>
      </c>
      <c r="W141" s="118">
        <v>0</v>
      </c>
      <c r="X141" s="118">
        <v>0</v>
      </c>
      <c r="Y141" s="118">
        <v>6</v>
      </c>
      <c r="Z141" s="118">
        <v>0</v>
      </c>
      <c r="AA141" s="118">
        <v>2</v>
      </c>
      <c r="AB141" s="118" t="s">
        <v>1067</v>
      </c>
      <c r="AC141" s="118" t="s">
        <v>6989</v>
      </c>
      <c r="AD141" s="118" t="s">
        <v>1034</v>
      </c>
      <c r="AE141" s="118" t="s">
        <v>943</v>
      </c>
      <c r="AF141" s="118" t="s">
        <v>1041</v>
      </c>
      <c r="AG141" s="118" t="s">
        <v>6415</v>
      </c>
      <c r="AH141" s="118" t="s">
        <v>393</v>
      </c>
      <c r="AI141" s="118">
        <v>2</v>
      </c>
      <c r="AJ141" s="118" t="s">
        <v>6415</v>
      </c>
      <c r="AK141" s="118" t="s">
        <v>393</v>
      </c>
      <c r="AL141" s="118" t="s">
        <v>393</v>
      </c>
      <c r="AM141" s="118" t="s">
        <v>393</v>
      </c>
      <c r="AN141" s="402" t="s">
        <v>5975</v>
      </c>
      <c r="AO141" s="402">
        <v>44833</v>
      </c>
      <c r="AP141" s="118">
        <v>9</v>
      </c>
      <c r="AQ141" s="118">
        <v>0</v>
      </c>
      <c r="AR141" s="118" t="s">
        <v>6447</v>
      </c>
      <c r="AS141" s="118" t="s">
        <v>392</v>
      </c>
      <c r="AT141" s="118" t="s">
        <v>500</v>
      </c>
      <c r="AU141" s="118" t="s">
        <v>404</v>
      </c>
      <c r="AV141" s="118" t="s">
        <v>508</v>
      </c>
      <c r="AW141" s="118" t="s">
        <v>393</v>
      </c>
      <c r="AX141" s="118" t="s">
        <v>740</v>
      </c>
      <c r="AY141" s="118" t="s">
        <v>393</v>
      </c>
      <c r="AZ141" s="118" t="s">
        <v>393</v>
      </c>
      <c r="BA141" s="118" t="s">
        <v>393</v>
      </c>
      <c r="BB141" s="118" t="s">
        <v>393</v>
      </c>
      <c r="BC141" s="118" t="s">
        <v>393</v>
      </c>
      <c r="BD141" s="118" t="s">
        <v>393</v>
      </c>
      <c r="BE141" s="118" t="s">
        <v>393</v>
      </c>
      <c r="BF141" s="118" t="s">
        <v>393</v>
      </c>
      <c r="BG141" s="118" t="s">
        <v>393</v>
      </c>
      <c r="BH141" s="118" t="s">
        <v>394</v>
      </c>
      <c r="BI141" s="118" t="s">
        <v>394</v>
      </c>
      <c r="BJ141" s="118" t="s">
        <v>393</v>
      </c>
      <c r="BK141" s="118" t="s">
        <v>6988</v>
      </c>
      <c r="BL141" s="118" t="s">
        <v>6415</v>
      </c>
      <c r="BM141" s="118" t="s">
        <v>6992</v>
      </c>
      <c r="BN141" s="118" t="s">
        <v>6991</v>
      </c>
      <c r="BO141" s="118" t="s">
        <v>6415</v>
      </c>
      <c r="BP141" s="118" t="s">
        <v>6415</v>
      </c>
      <c r="BQ141" s="118" t="s">
        <v>6415</v>
      </c>
      <c r="BR141" s="118" t="s">
        <v>6415</v>
      </c>
      <c r="BS141" s="118" t="s">
        <v>6415</v>
      </c>
      <c r="BT141" s="118" t="s">
        <v>4748</v>
      </c>
      <c r="BU141" s="118" t="s">
        <v>7057</v>
      </c>
      <c r="BV141" s="118" t="s">
        <v>6415</v>
      </c>
      <c r="BW141" s="118" t="s">
        <v>6415</v>
      </c>
      <c r="BX141" s="118" t="s">
        <v>6415</v>
      </c>
      <c r="BY141" s="118" t="s">
        <v>6415</v>
      </c>
      <c r="BZ141" s="118" t="s">
        <v>6415</v>
      </c>
      <c r="CA141" s="118" t="s">
        <v>6415</v>
      </c>
      <c r="CB141" s="118" t="s">
        <v>221</v>
      </c>
      <c r="CC141" s="118" t="s">
        <v>740</v>
      </c>
      <c r="CD141" s="118">
        <v>2</v>
      </c>
      <c r="CE141" s="118" t="s">
        <v>405</v>
      </c>
      <c r="CF141" s="118" t="s">
        <v>406</v>
      </c>
      <c r="CG141" s="118" t="s">
        <v>924</v>
      </c>
      <c r="CH141" s="118" t="s">
        <v>6300</v>
      </c>
      <c r="CI141" s="118" t="s">
        <v>6303</v>
      </c>
      <c r="CJ141" s="118" t="s">
        <v>398</v>
      </c>
      <c r="CK141" s="14">
        <v>20</v>
      </c>
      <c r="CL141" s="118">
        <v>35</v>
      </c>
      <c r="CM141" s="118" t="s">
        <v>399</v>
      </c>
      <c r="CN141" s="118" t="s">
        <v>6512</v>
      </c>
      <c r="CO141" s="118" t="s">
        <v>1096</v>
      </c>
      <c r="CP141" s="118" t="s">
        <v>400</v>
      </c>
      <c r="CQ141" s="118" t="s">
        <v>6415</v>
      </c>
      <c r="CR141" s="118" t="s">
        <v>6415</v>
      </c>
      <c r="CS141" s="118" t="s">
        <v>6415</v>
      </c>
      <c r="CT141" s="118" t="s">
        <v>6415</v>
      </c>
      <c r="CU141" s="118" t="s">
        <v>6415</v>
      </c>
      <c r="CV141" s="118" t="s">
        <v>6415</v>
      </c>
      <c r="CW141" s="14">
        <v>30</v>
      </c>
      <c r="CX141" s="118" t="s">
        <v>1066</v>
      </c>
      <c r="CY141" s="118" t="s">
        <v>6341</v>
      </c>
      <c r="CZ141" s="118">
        <v>1</v>
      </c>
      <c r="DA141" s="118" t="s">
        <v>405</v>
      </c>
      <c r="DB141" s="118" t="s">
        <v>406</v>
      </c>
      <c r="DC141" s="118" t="s">
        <v>6415</v>
      </c>
      <c r="DD141" s="118" t="s">
        <v>6300</v>
      </c>
      <c r="DE141" s="118" t="s">
        <v>417</v>
      </c>
      <c r="DF141" s="118" t="s">
        <v>398</v>
      </c>
      <c r="DG141" s="14">
        <v>5</v>
      </c>
      <c r="DH141" s="118">
        <v>35</v>
      </c>
      <c r="DI141" s="118" t="s">
        <v>399</v>
      </c>
      <c r="DJ141" s="118" t="s">
        <v>398</v>
      </c>
      <c r="DK141" s="118" t="s">
        <v>400</v>
      </c>
      <c r="DL141" s="118" t="s">
        <v>6415</v>
      </c>
      <c r="DM141" s="118" t="s">
        <v>6415</v>
      </c>
      <c r="DN141" s="118" t="s">
        <v>6415</v>
      </c>
      <c r="DO141" s="118" t="s">
        <v>6415</v>
      </c>
      <c r="DP141" s="118" t="s">
        <v>6415</v>
      </c>
      <c r="DQ141" s="118" t="s">
        <v>6415</v>
      </c>
      <c r="DR141" s="118">
        <v>48</v>
      </c>
      <c r="DS141" s="118" t="s">
        <v>1068</v>
      </c>
      <c r="DT141" s="118" t="s">
        <v>6341</v>
      </c>
      <c r="DU141" s="118" t="s">
        <v>6415</v>
      </c>
      <c r="DV141" s="118" t="s">
        <v>6415</v>
      </c>
      <c r="DW141" s="118" t="s">
        <v>6415</v>
      </c>
      <c r="DX141" s="118" t="s">
        <v>6415</v>
      </c>
      <c r="DY141" s="118" t="s">
        <v>6415</v>
      </c>
      <c r="DZ141" s="118" t="s">
        <v>6415</v>
      </c>
      <c r="EA141" s="118" t="s">
        <v>6415</v>
      </c>
      <c r="EB141" s="118" t="s">
        <v>6415</v>
      </c>
      <c r="EC141" s="118" t="s">
        <v>6415</v>
      </c>
      <c r="ED141" s="118" t="s">
        <v>6415</v>
      </c>
      <c r="EE141" s="118" t="s">
        <v>6415</v>
      </c>
      <c r="EF141" s="118" t="s">
        <v>6415</v>
      </c>
      <c r="EG141" s="118" t="s">
        <v>7055</v>
      </c>
      <c r="EH141" s="118" t="s">
        <v>7230</v>
      </c>
      <c r="EI141" s="118" t="s">
        <v>6415</v>
      </c>
      <c r="EJ141" s="118" t="s">
        <v>6415</v>
      </c>
      <c r="EK141" s="118" t="s">
        <v>6415</v>
      </c>
      <c r="EL141" s="118" t="s">
        <v>7467</v>
      </c>
      <c r="EM141" s="118" t="s">
        <v>7229</v>
      </c>
      <c r="EN141" s="118" t="s">
        <v>6415</v>
      </c>
      <c r="EO141" s="6" t="str">
        <f t="shared" si="14"/>
        <v>Pathweb</v>
      </c>
      <c r="EP141" s="6" t="str">
        <f t="shared" si="15"/>
        <v>Google Maps</v>
      </c>
      <c r="EQ141" s="6" t="str">
        <f t="shared" si="16"/>
        <v>Mashed Map</v>
      </c>
      <c r="ER141" s="118" t="s">
        <v>6727</v>
      </c>
      <c r="ES141" s="118" t="s">
        <v>71</v>
      </c>
      <c r="ET141" s="4">
        <v>0</v>
      </c>
      <c r="EU141" s="4"/>
      <c r="EV141" s="4"/>
    </row>
    <row r="142" spans="1:152" x14ac:dyDescent="0.15">
      <c r="A142" s="581" t="str">
        <f t="shared" si="13"/>
        <v>Crash Report</v>
      </c>
      <c r="B142" s="14">
        <v>20223187453</v>
      </c>
      <c r="C142" s="118">
        <v>2022</v>
      </c>
      <c r="D142" s="14">
        <v>22100724180758</v>
      </c>
      <c r="F142" s="118" t="s">
        <v>6440</v>
      </c>
      <c r="G142" s="118" t="s">
        <v>209</v>
      </c>
      <c r="H142" s="118">
        <v>2</v>
      </c>
      <c r="I142" s="118" t="s">
        <v>6055</v>
      </c>
      <c r="J142" s="118" t="s">
        <v>423</v>
      </c>
      <c r="K142" s="118" t="s">
        <v>6997</v>
      </c>
      <c r="L142" s="118">
        <v>0.71</v>
      </c>
      <c r="M142" s="118">
        <v>0.71</v>
      </c>
      <c r="N142" s="118" t="s">
        <v>7469</v>
      </c>
      <c r="O142" s="118" t="s">
        <v>7473</v>
      </c>
      <c r="P142" s="118">
        <v>41.648485000000001</v>
      </c>
      <c r="Q142" s="118">
        <v>-83.523410999999996</v>
      </c>
      <c r="R142" s="118">
        <v>77000</v>
      </c>
      <c r="S142" s="118" t="s">
        <v>6988</v>
      </c>
      <c r="T142" s="118">
        <v>1</v>
      </c>
      <c r="U142" s="118">
        <v>0</v>
      </c>
      <c r="V142" s="118">
        <v>0</v>
      </c>
      <c r="W142" s="118">
        <v>1</v>
      </c>
      <c r="X142" s="118">
        <v>0</v>
      </c>
      <c r="Y142" s="118">
        <v>1</v>
      </c>
      <c r="Z142" s="118">
        <v>0</v>
      </c>
      <c r="AA142" s="118">
        <v>2</v>
      </c>
      <c r="AB142" s="118" t="s">
        <v>1067</v>
      </c>
      <c r="AC142" s="118" t="s">
        <v>6989</v>
      </c>
      <c r="AD142" s="118" t="s">
        <v>1034</v>
      </c>
      <c r="AE142" s="118" t="s">
        <v>943</v>
      </c>
      <c r="AF142" s="118" t="s">
        <v>1042</v>
      </c>
      <c r="AG142" s="118" t="s">
        <v>6415</v>
      </c>
      <c r="AH142" s="118" t="s">
        <v>393</v>
      </c>
      <c r="AI142" s="118">
        <v>2</v>
      </c>
      <c r="AJ142" s="118" t="s">
        <v>6415</v>
      </c>
      <c r="AK142" s="118" t="s">
        <v>393</v>
      </c>
      <c r="AL142" s="118" t="s">
        <v>393</v>
      </c>
      <c r="AM142" s="118" t="s">
        <v>393</v>
      </c>
      <c r="AN142" s="402" t="s">
        <v>5975</v>
      </c>
      <c r="AO142" s="402">
        <v>44841</v>
      </c>
      <c r="AP142" s="118">
        <v>10</v>
      </c>
      <c r="AQ142" s="118">
        <v>7</v>
      </c>
      <c r="AR142" s="118" t="s">
        <v>6448</v>
      </c>
      <c r="AS142" s="118" t="s">
        <v>392</v>
      </c>
      <c r="AT142" s="118" t="s">
        <v>500</v>
      </c>
      <c r="AU142" s="118" t="s">
        <v>404</v>
      </c>
      <c r="AV142" s="118" t="s">
        <v>508</v>
      </c>
      <c r="AW142" s="118" t="s">
        <v>393</v>
      </c>
      <c r="AX142" s="118" t="s">
        <v>740</v>
      </c>
      <c r="AY142" s="118" t="s">
        <v>393</v>
      </c>
      <c r="AZ142" s="118" t="s">
        <v>393</v>
      </c>
      <c r="BA142" s="118" t="s">
        <v>393</v>
      </c>
      <c r="BB142" s="118" t="s">
        <v>393</v>
      </c>
      <c r="BC142" s="118" t="s">
        <v>393</v>
      </c>
      <c r="BD142" s="118" t="s">
        <v>393</v>
      </c>
      <c r="BE142" s="118" t="s">
        <v>393</v>
      </c>
      <c r="BF142" s="118" t="s">
        <v>393</v>
      </c>
      <c r="BG142" s="118" t="s">
        <v>393</v>
      </c>
      <c r="BH142" s="118" t="s">
        <v>394</v>
      </c>
      <c r="BI142" s="118" t="s">
        <v>394</v>
      </c>
      <c r="BJ142" s="118" t="s">
        <v>393</v>
      </c>
      <c r="BK142" s="118" t="s">
        <v>6988</v>
      </c>
      <c r="BL142" s="118" t="s">
        <v>6415</v>
      </c>
      <c r="BM142" s="118" t="s">
        <v>6992</v>
      </c>
      <c r="BN142" s="118" t="s">
        <v>6991</v>
      </c>
      <c r="BO142" s="118" t="s">
        <v>6415</v>
      </c>
      <c r="BP142" s="118" t="s">
        <v>6415</v>
      </c>
      <c r="BQ142" s="118" t="s">
        <v>6415</v>
      </c>
      <c r="BR142" s="118" t="s">
        <v>6415</v>
      </c>
      <c r="BS142" s="118" t="s">
        <v>6415</v>
      </c>
      <c r="BT142" s="118" t="s">
        <v>6990</v>
      </c>
      <c r="BU142" s="118" t="s">
        <v>6991</v>
      </c>
      <c r="BV142" s="118" t="s">
        <v>6415</v>
      </c>
      <c r="BW142" s="118" t="s">
        <v>6415</v>
      </c>
      <c r="BX142" s="118" t="s">
        <v>6415</v>
      </c>
      <c r="BY142" s="118" t="s">
        <v>6415</v>
      </c>
      <c r="BZ142" s="118" t="s">
        <v>6415</v>
      </c>
      <c r="CA142" s="118" t="s">
        <v>6415</v>
      </c>
      <c r="CB142" s="118" t="s">
        <v>221</v>
      </c>
      <c r="CC142" s="118" t="s">
        <v>740</v>
      </c>
      <c r="CD142" s="118">
        <v>1</v>
      </c>
      <c r="CE142" s="118" t="s">
        <v>446</v>
      </c>
      <c r="CF142" s="118" t="s">
        <v>397</v>
      </c>
      <c r="CG142" s="118" t="s">
        <v>860</v>
      </c>
      <c r="CH142" s="118" t="s">
        <v>6300</v>
      </c>
      <c r="CI142" s="118" t="s">
        <v>6303</v>
      </c>
      <c r="CJ142" s="118" t="s">
        <v>398</v>
      </c>
      <c r="CK142" s="14">
        <v>15</v>
      </c>
      <c r="CL142" s="118">
        <v>35</v>
      </c>
      <c r="CM142" s="118" t="s">
        <v>435</v>
      </c>
      <c r="CN142" s="118" t="s">
        <v>6327</v>
      </c>
      <c r="CO142" s="118" t="s">
        <v>1096</v>
      </c>
      <c r="CP142" s="118" t="s">
        <v>209</v>
      </c>
      <c r="CQ142" s="118" t="s">
        <v>6415</v>
      </c>
      <c r="CR142" s="118" t="s">
        <v>6415</v>
      </c>
      <c r="CS142" s="118" t="s">
        <v>6415</v>
      </c>
      <c r="CT142" s="118" t="s">
        <v>6415</v>
      </c>
      <c r="CU142" s="118" t="s">
        <v>6415</v>
      </c>
      <c r="CV142" s="118" t="s">
        <v>6415</v>
      </c>
      <c r="CW142" s="14">
        <v>0</v>
      </c>
      <c r="CX142" s="118" t="s">
        <v>401</v>
      </c>
      <c r="CY142" s="118" t="s">
        <v>6151</v>
      </c>
      <c r="CZ142" s="118">
        <v>2</v>
      </c>
      <c r="DA142" s="118" t="s">
        <v>411</v>
      </c>
      <c r="DB142" s="118" t="s">
        <v>410</v>
      </c>
      <c r="DC142" s="118" t="s">
        <v>6415</v>
      </c>
      <c r="DD142" s="118" t="s">
        <v>6300</v>
      </c>
      <c r="DE142" s="118" t="s">
        <v>464</v>
      </c>
      <c r="DF142" s="118" t="s">
        <v>6415</v>
      </c>
      <c r="DG142" s="14">
        <v>5</v>
      </c>
      <c r="DH142" s="118">
        <v>35</v>
      </c>
      <c r="DI142" s="118" t="s">
        <v>6357</v>
      </c>
      <c r="DJ142" s="118" t="s">
        <v>398</v>
      </c>
      <c r="DK142" s="118" t="s">
        <v>400</v>
      </c>
      <c r="DL142" s="118" t="s">
        <v>6415</v>
      </c>
      <c r="DM142" s="118" t="s">
        <v>6415</v>
      </c>
      <c r="DN142" s="118" t="s">
        <v>6415</v>
      </c>
      <c r="DO142" s="118" t="s">
        <v>6415</v>
      </c>
      <c r="DP142" s="118" t="s">
        <v>6415</v>
      </c>
      <c r="DQ142" s="118" t="s">
        <v>452</v>
      </c>
      <c r="DR142" s="118">
        <v>16</v>
      </c>
      <c r="DS142" s="118" t="s">
        <v>1068</v>
      </c>
      <c r="DT142" s="118" t="s">
        <v>6415</v>
      </c>
      <c r="DU142" s="118" t="s">
        <v>6415</v>
      </c>
      <c r="DV142" s="118" t="s">
        <v>6415</v>
      </c>
      <c r="DW142" s="118" t="s">
        <v>6415</v>
      </c>
      <c r="DX142" s="118" t="s">
        <v>6415</v>
      </c>
      <c r="DY142" s="118" t="s">
        <v>6415</v>
      </c>
      <c r="DZ142" s="118" t="s">
        <v>6415</v>
      </c>
      <c r="EA142" s="118" t="s">
        <v>6415</v>
      </c>
      <c r="EB142" s="118" t="s">
        <v>6415</v>
      </c>
      <c r="EC142" s="118" t="s">
        <v>6415</v>
      </c>
      <c r="ED142" s="118" t="s">
        <v>6415</v>
      </c>
      <c r="EE142" s="118" t="s">
        <v>6415</v>
      </c>
      <c r="EF142" s="118" t="s">
        <v>6415</v>
      </c>
      <c r="EG142" s="118" t="s">
        <v>6986</v>
      </c>
      <c r="EH142" s="118" t="s">
        <v>7194</v>
      </c>
      <c r="EI142" s="118" t="s">
        <v>6415</v>
      </c>
      <c r="EJ142" s="118" t="s">
        <v>6415</v>
      </c>
      <c r="EK142" s="118" t="s">
        <v>6415</v>
      </c>
      <c r="EL142" s="118" t="s">
        <v>7467</v>
      </c>
      <c r="EM142" s="118" t="s">
        <v>7231</v>
      </c>
      <c r="EN142" s="118" t="s">
        <v>6415</v>
      </c>
      <c r="EO142" s="6" t="str">
        <f t="shared" si="14"/>
        <v>Pathweb</v>
      </c>
      <c r="EP142" s="6" t="str">
        <f t="shared" si="15"/>
        <v>Google Maps</v>
      </c>
      <c r="EQ142" s="6" t="str">
        <f t="shared" si="16"/>
        <v>Mashed Map</v>
      </c>
      <c r="ER142" s="118" t="s">
        <v>6726</v>
      </c>
      <c r="ES142" s="118" t="s">
        <v>6728</v>
      </c>
      <c r="ET142" s="4">
        <v>0</v>
      </c>
      <c r="EU142" s="4"/>
      <c r="EV142" s="4"/>
    </row>
    <row r="143" spans="1:152" x14ac:dyDescent="0.15">
      <c r="A143" s="581" t="str">
        <f t="shared" si="13"/>
        <v>Crash Report</v>
      </c>
      <c r="B143" s="118">
        <v>20223189040</v>
      </c>
      <c r="C143" s="118">
        <v>2022</v>
      </c>
      <c r="D143" s="118">
        <v>22100727970047</v>
      </c>
      <c r="F143" s="118" t="s">
        <v>6442</v>
      </c>
      <c r="G143" s="118" t="s">
        <v>230</v>
      </c>
      <c r="H143" s="118">
        <v>2</v>
      </c>
      <c r="I143" s="118" t="s">
        <v>6055</v>
      </c>
      <c r="J143" s="118" t="s">
        <v>391</v>
      </c>
      <c r="K143" s="118" t="s">
        <v>6985</v>
      </c>
      <c r="L143" s="118">
        <v>0.01</v>
      </c>
      <c r="M143" s="118">
        <v>0.01</v>
      </c>
      <c r="N143" s="118" t="s">
        <v>7465</v>
      </c>
      <c r="O143" s="118" t="s">
        <v>7492</v>
      </c>
      <c r="P143" s="118">
        <v>41.647247999999998</v>
      </c>
      <c r="Q143" s="118">
        <v>-83.525533999999993</v>
      </c>
      <c r="R143" s="118">
        <v>77000</v>
      </c>
      <c r="S143" s="118" t="s">
        <v>6988</v>
      </c>
      <c r="T143" s="118">
        <v>1</v>
      </c>
      <c r="U143" s="118">
        <v>0</v>
      </c>
      <c r="V143" s="118">
        <v>0</v>
      </c>
      <c r="W143" s="118">
        <v>0</v>
      </c>
      <c r="X143" s="118">
        <v>0</v>
      </c>
      <c r="Y143" s="118">
        <v>2</v>
      </c>
      <c r="Z143" s="118">
        <v>0</v>
      </c>
      <c r="AA143" s="118">
        <v>2</v>
      </c>
      <c r="AB143" s="118" t="s">
        <v>1067</v>
      </c>
      <c r="AC143" s="118" t="s">
        <v>6989</v>
      </c>
      <c r="AD143" s="118" t="s">
        <v>1034</v>
      </c>
      <c r="AE143" s="118" t="s">
        <v>943</v>
      </c>
      <c r="AF143" s="118" t="s">
        <v>1042</v>
      </c>
      <c r="AG143" s="118" t="s">
        <v>6415</v>
      </c>
      <c r="AH143" s="118" t="s">
        <v>393</v>
      </c>
      <c r="AI143" s="118">
        <v>4</v>
      </c>
      <c r="AJ143" s="118" t="s">
        <v>6415</v>
      </c>
      <c r="AK143" s="118" t="s">
        <v>393</v>
      </c>
      <c r="AL143" s="118" t="s">
        <v>393</v>
      </c>
      <c r="AM143" s="118" t="s">
        <v>393</v>
      </c>
      <c r="AN143" s="402" t="s">
        <v>5975</v>
      </c>
      <c r="AO143" s="402">
        <v>44841</v>
      </c>
      <c r="AP143" s="118">
        <v>10</v>
      </c>
      <c r="AQ143" s="118">
        <v>0</v>
      </c>
      <c r="AR143" s="118" t="s">
        <v>6448</v>
      </c>
      <c r="AS143" s="118" t="s">
        <v>420</v>
      </c>
      <c r="AT143" s="118" t="s">
        <v>225</v>
      </c>
      <c r="AU143" s="118" t="s">
        <v>505</v>
      </c>
      <c r="AV143" s="118" t="s">
        <v>508</v>
      </c>
      <c r="AW143" s="118" t="s">
        <v>393</v>
      </c>
      <c r="AX143" s="118" t="s">
        <v>393</v>
      </c>
      <c r="AY143" s="118" t="s">
        <v>393</v>
      </c>
      <c r="AZ143" s="118" t="s">
        <v>393</v>
      </c>
      <c r="BA143" s="118" t="s">
        <v>393</v>
      </c>
      <c r="BB143" s="118" t="s">
        <v>393</v>
      </c>
      <c r="BC143" s="118" t="s">
        <v>393</v>
      </c>
      <c r="BD143" s="118" t="s">
        <v>393</v>
      </c>
      <c r="BE143" s="118" t="s">
        <v>393</v>
      </c>
      <c r="BF143" s="118" t="s">
        <v>393</v>
      </c>
      <c r="BG143" s="118" t="s">
        <v>393</v>
      </c>
      <c r="BH143" s="118" t="s">
        <v>394</v>
      </c>
      <c r="BI143" s="118" t="s">
        <v>394</v>
      </c>
      <c r="BJ143" s="118" t="s">
        <v>393</v>
      </c>
      <c r="BK143" s="118" t="s">
        <v>6988</v>
      </c>
      <c r="BL143" s="118" t="s">
        <v>6415</v>
      </c>
      <c r="BM143" s="118" t="s">
        <v>6990</v>
      </c>
      <c r="BN143" s="118" t="s">
        <v>6991</v>
      </c>
      <c r="BO143" s="118" t="s">
        <v>6415</v>
      </c>
      <c r="BP143" s="118" t="s">
        <v>6415</v>
      </c>
      <c r="BQ143" s="118" t="s">
        <v>6415</v>
      </c>
      <c r="BR143" s="118" t="s">
        <v>6415</v>
      </c>
      <c r="BS143" s="118" t="s">
        <v>6415</v>
      </c>
      <c r="BT143" s="118" t="s">
        <v>1127</v>
      </c>
      <c r="BU143" s="118" t="s">
        <v>6991</v>
      </c>
      <c r="BV143" s="118" t="s">
        <v>6415</v>
      </c>
      <c r="BW143" s="118" t="s">
        <v>6415</v>
      </c>
      <c r="BX143" s="118" t="s">
        <v>6415</v>
      </c>
      <c r="BY143" s="118" t="s">
        <v>6415</v>
      </c>
      <c r="BZ143" s="118" t="s">
        <v>6415</v>
      </c>
      <c r="CA143" s="118" t="s">
        <v>6415</v>
      </c>
      <c r="CB143" s="118" t="s">
        <v>221</v>
      </c>
      <c r="CC143" s="118" t="s">
        <v>740</v>
      </c>
      <c r="CD143" s="118">
        <v>2</v>
      </c>
      <c r="CE143" s="118" t="s">
        <v>411</v>
      </c>
      <c r="CF143" s="118" t="s">
        <v>410</v>
      </c>
      <c r="CG143" s="118" t="s">
        <v>924</v>
      </c>
      <c r="CH143" s="118" t="s">
        <v>6302</v>
      </c>
      <c r="CI143" s="118" t="s">
        <v>417</v>
      </c>
      <c r="CJ143" s="118" t="s">
        <v>6151</v>
      </c>
      <c r="CK143" s="118">
        <v>0</v>
      </c>
      <c r="CL143" s="118">
        <v>0</v>
      </c>
      <c r="CM143" s="118" t="s">
        <v>6356</v>
      </c>
      <c r="CN143" s="118" t="s">
        <v>6328</v>
      </c>
      <c r="CO143" s="118" t="s">
        <v>1096</v>
      </c>
      <c r="CP143" s="118" t="s">
        <v>400</v>
      </c>
      <c r="CQ143" s="118" t="s">
        <v>6415</v>
      </c>
      <c r="CR143" s="118" t="s">
        <v>6415</v>
      </c>
      <c r="CS143" s="118" t="s">
        <v>6415</v>
      </c>
      <c r="CT143" s="118" t="s">
        <v>6415</v>
      </c>
      <c r="CU143" s="118" t="s">
        <v>6415</v>
      </c>
      <c r="CV143" s="118" t="s">
        <v>6415</v>
      </c>
      <c r="CW143" s="118">
        <v>0</v>
      </c>
      <c r="CX143" s="118" t="s">
        <v>401</v>
      </c>
      <c r="CY143" s="118" t="s">
        <v>6151</v>
      </c>
      <c r="CZ143" s="118">
        <v>1</v>
      </c>
      <c r="DA143" s="118" t="s">
        <v>410</v>
      </c>
      <c r="DB143" s="118" t="s">
        <v>411</v>
      </c>
      <c r="DC143" s="118" t="s">
        <v>6415</v>
      </c>
      <c r="DD143" s="118" t="s">
        <v>6302</v>
      </c>
      <c r="DE143" s="118" t="s">
        <v>6303</v>
      </c>
      <c r="DF143" s="118" t="s">
        <v>398</v>
      </c>
      <c r="DG143" s="118">
        <v>35</v>
      </c>
      <c r="DH143" s="118">
        <v>35</v>
      </c>
      <c r="DI143" s="118" t="s">
        <v>6356</v>
      </c>
      <c r="DJ143" s="118" t="s">
        <v>398</v>
      </c>
      <c r="DK143" s="118" t="s">
        <v>400</v>
      </c>
      <c r="DL143" s="118" t="s">
        <v>6415</v>
      </c>
      <c r="DM143" s="118" t="s">
        <v>6415</v>
      </c>
      <c r="DN143" s="118" t="s">
        <v>6415</v>
      </c>
      <c r="DO143" s="118" t="s">
        <v>6415</v>
      </c>
      <c r="DP143" s="118" t="s">
        <v>6415</v>
      </c>
      <c r="DQ143" s="118" t="s">
        <v>6415</v>
      </c>
      <c r="DR143" s="118">
        <v>35</v>
      </c>
      <c r="DS143" s="118" t="s">
        <v>1066</v>
      </c>
      <c r="DT143" s="118" t="s">
        <v>6341</v>
      </c>
      <c r="DU143" s="118" t="s">
        <v>6415</v>
      </c>
      <c r="DV143" s="118" t="s">
        <v>6415</v>
      </c>
      <c r="DW143" s="118" t="s">
        <v>6415</v>
      </c>
      <c r="DX143" s="118" t="s">
        <v>6415</v>
      </c>
      <c r="DY143" s="118" t="s">
        <v>6415</v>
      </c>
      <c r="DZ143" s="118" t="s">
        <v>6415</v>
      </c>
      <c r="EA143" s="118" t="s">
        <v>6415</v>
      </c>
      <c r="EB143" s="118" t="s">
        <v>6415</v>
      </c>
      <c r="EC143" s="118" t="s">
        <v>6415</v>
      </c>
      <c r="ED143" s="118" t="s">
        <v>6415</v>
      </c>
      <c r="EE143" s="118" t="s">
        <v>6415</v>
      </c>
      <c r="EF143" s="118" t="s">
        <v>6415</v>
      </c>
      <c r="EG143" s="118" t="s">
        <v>6415</v>
      </c>
      <c r="EH143" s="118" t="s">
        <v>6415</v>
      </c>
      <c r="EI143" s="118" t="s">
        <v>6415</v>
      </c>
      <c r="EJ143" s="118" t="s">
        <v>6415</v>
      </c>
      <c r="EK143" s="118" t="s">
        <v>6415</v>
      </c>
      <c r="EL143" s="118" t="s">
        <v>7467</v>
      </c>
      <c r="EM143" s="118" t="s">
        <v>7232</v>
      </c>
      <c r="EN143" s="118" t="s">
        <v>6415</v>
      </c>
      <c r="EO143" s="6" t="str">
        <f t="shared" si="14"/>
        <v>Pathweb</v>
      </c>
      <c r="EP143" s="6" t="str">
        <f t="shared" si="15"/>
        <v>Google Maps</v>
      </c>
      <c r="EQ143" s="6" t="str">
        <f t="shared" si="16"/>
        <v>Mashed Map</v>
      </c>
      <c r="ER143" s="118" t="s">
        <v>6727</v>
      </c>
      <c r="ES143" s="118" t="s">
        <v>71</v>
      </c>
      <c r="ET143" s="4">
        <v>0</v>
      </c>
      <c r="EU143" s="4"/>
      <c r="EV143" s="4"/>
    </row>
    <row r="144" spans="1:152" x14ac:dyDescent="0.15">
      <c r="A144" s="581" t="str">
        <f t="shared" si="13"/>
        <v>Crash Report</v>
      </c>
      <c r="B144" s="118">
        <v>20223189086</v>
      </c>
      <c r="C144" s="118">
        <v>2022</v>
      </c>
      <c r="D144" s="118">
        <v>22100928740238</v>
      </c>
      <c r="F144" s="118" t="s">
        <v>6442</v>
      </c>
      <c r="G144" s="118" t="s">
        <v>416</v>
      </c>
      <c r="H144" s="118">
        <v>2</v>
      </c>
      <c r="I144" s="118" t="s">
        <v>6055</v>
      </c>
      <c r="J144" s="118" t="s">
        <v>391</v>
      </c>
      <c r="K144" s="118" t="s">
        <v>6997</v>
      </c>
      <c r="L144" s="118">
        <v>0.89</v>
      </c>
      <c r="M144" s="118">
        <v>0.89</v>
      </c>
      <c r="N144" s="118" t="s">
        <v>7469</v>
      </c>
      <c r="O144" s="118" t="s">
        <v>7466</v>
      </c>
      <c r="P144" s="118">
        <v>41.650514000000001</v>
      </c>
      <c r="Q144" s="118">
        <v>-83.525591000000006</v>
      </c>
      <c r="R144" s="118">
        <v>77000</v>
      </c>
      <c r="S144" s="118" t="s">
        <v>6988</v>
      </c>
      <c r="T144" s="118">
        <v>1</v>
      </c>
      <c r="U144" s="118">
        <v>0</v>
      </c>
      <c r="V144" s="118">
        <v>0</v>
      </c>
      <c r="W144" s="118">
        <v>0</v>
      </c>
      <c r="X144" s="118">
        <v>0</v>
      </c>
      <c r="Y144" s="118">
        <v>1</v>
      </c>
      <c r="Z144" s="118">
        <v>0</v>
      </c>
      <c r="AA144" s="118">
        <v>1</v>
      </c>
      <c r="AB144" s="118" t="s">
        <v>1067</v>
      </c>
      <c r="AC144" s="118" t="s">
        <v>6989</v>
      </c>
      <c r="AD144" s="118" t="s">
        <v>1034</v>
      </c>
      <c r="AE144" s="118" t="s">
        <v>943</v>
      </c>
      <c r="AF144" s="118" t="s">
        <v>1041</v>
      </c>
      <c r="AG144" s="118" t="s">
        <v>6415</v>
      </c>
      <c r="AH144" s="118" t="s">
        <v>393</v>
      </c>
      <c r="AI144" s="118">
        <v>2</v>
      </c>
      <c r="AJ144" s="118" t="s">
        <v>6415</v>
      </c>
      <c r="AK144" s="118" t="s">
        <v>393</v>
      </c>
      <c r="AL144" s="118" t="s">
        <v>393</v>
      </c>
      <c r="AM144" s="118" t="s">
        <v>393</v>
      </c>
      <c r="AN144" s="402" t="s">
        <v>5975</v>
      </c>
      <c r="AO144" s="402">
        <v>44843</v>
      </c>
      <c r="AP144" s="118">
        <v>10</v>
      </c>
      <c r="AQ144" s="118">
        <v>2</v>
      </c>
      <c r="AR144" s="118" t="s">
        <v>6443</v>
      </c>
      <c r="AS144" s="118" t="s">
        <v>392</v>
      </c>
      <c r="AT144" s="118" t="s">
        <v>500</v>
      </c>
      <c r="AU144" s="118" t="s">
        <v>505</v>
      </c>
      <c r="AV144" s="118" t="s">
        <v>508</v>
      </c>
      <c r="AW144" s="118" t="s">
        <v>740</v>
      </c>
      <c r="AX144" s="118" t="s">
        <v>393</v>
      </c>
      <c r="AY144" s="118" t="s">
        <v>393</v>
      </c>
      <c r="AZ144" s="118" t="s">
        <v>393</v>
      </c>
      <c r="BA144" s="118" t="s">
        <v>393</v>
      </c>
      <c r="BB144" s="118" t="s">
        <v>393</v>
      </c>
      <c r="BC144" s="118" t="s">
        <v>393</v>
      </c>
      <c r="BD144" s="118" t="s">
        <v>393</v>
      </c>
      <c r="BE144" s="118" t="s">
        <v>393</v>
      </c>
      <c r="BF144" s="118" t="s">
        <v>393</v>
      </c>
      <c r="BG144" s="118" t="s">
        <v>393</v>
      </c>
      <c r="BH144" s="118" t="s">
        <v>394</v>
      </c>
      <c r="BI144" s="118" t="s">
        <v>394</v>
      </c>
      <c r="BJ144" s="118" t="s">
        <v>393</v>
      </c>
      <c r="BK144" s="118" t="s">
        <v>6988</v>
      </c>
      <c r="BL144" s="118" t="s">
        <v>6415</v>
      </c>
      <c r="BM144" s="118" t="s">
        <v>7110</v>
      </c>
      <c r="BN144" s="118" t="s">
        <v>1390</v>
      </c>
      <c r="BO144" s="118" t="s">
        <v>6415</v>
      </c>
      <c r="BP144" s="118" t="s">
        <v>6415</v>
      </c>
      <c r="BQ144" s="118" t="s">
        <v>6415</v>
      </c>
      <c r="BR144" s="118" t="s">
        <v>6415</v>
      </c>
      <c r="BS144" s="118" t="s">
        <v>6415</v>
      </c>
      <c r="BT144" s="118" t="s">
        <v>6992</v>
      </c>
      <c r="BU144" s="118" t="s">
        <v>6991</v>
      </c>
      <c r="BV144" s="118" t="s">
        <v>6415</v>
      </c>
      <c r="BW144" s="118" t="s">
        <v>6415</v>
      </c>
      <c r="BX144" s="118" t="s">
        <v>6415</v>
      </c>
      <c r="BY144" s="118" t="s">
        <v>6415</v>
      </c>
      <c r="BZ144" s="118" t="s">
        <v>6415</v>
      </c>
      <c r="CA144" s="118" t="s">
        <v>6415</v>
      </c>
      <c r="CB144" s="118" t="s">
        <v>221</v>
      </c>
      <c r="CC144" s="118" t="s">
        <v>740</v>
      </c>
      <c r="CD144" s="118">
        <v>1</v>
      </c>
      <c r="CE144" s="118" t="s">
        <v>405</v>
      </c>
      <c r="CF144" s="118" t="s">
        <v>406</v>
      </c>
      <c r="CG144" s="118" t="s">
        <v>924</v>
      </c>
      <c r="CH144" s="118" t="s">
        <v>6302</v>
      </c>
      <c r="CI144" s="118" t="s">
        <v>6305</v>
      </c>
      <c r="CJ144" s="118" t="s">
        <v>398</v>
      </c>
      <c r="CK144" s="118">
        <v>3</v>
      </c>
      <c r="CL144" s="118">
        <v>25</v>
      </c>
      <c r="CM144" s="118" t="s">
        <v>6151</v>
      </c>
      <c r="CN144" s="118" t="s">
        <v>407</v>
      </c>
      <c r="CO144" s="118" t="s">
        <v>488</v>
      </c>
      <c r="CP144" s="118" t="s">
        <v>418</v>
      </c>
      <c r="CQ144" s="118" t="s">
        <v>488</v>
      </c>
      <c r="CR144" s="118" t="s">
        <v>6415</v>
      </c>
      <c r="CS144" s="118" t="s">
        <v>6415</v>
      </c>
      <c r="CT144" s="118" t="s">
        <v>6415</v>
      </c>
      <c r="CU144" s="118" t="s">
        <v>6415</v>
      </c>
      <c r="CV144" s="118" t="s">
        <v>6415</v>
      </c>
      <c r="CW144" s="118">
        <v>0</v>
      </c>
      <c r="CX144" s="118" t="s">
        <v>401</v>
      </c>
      <c r="CY144" s="118" t="s">
        <v>6151</v>
      </c>
      <c r="CZ144" s="118" t="s">
        <v>6415</v>
      </c>
      <c r="DA144" s="118" t="s">
        <v>6415</v>
      </c>
      <c r="DB144" s="118" t="s">
        <v>6415</v>
      </c>
      <c r="DC144" s="118" t="s">
        <v>6415</v>
      </c>
      <c r="DD144" s="118" t="s">
        <v>6415</v>
      </c>
      <c r="DE144" s="118" t="s">
        <v>6415</v>
      </c>
      <c r="DF144" s="118" t="s">
        <v>6415</v>
      </c>
      <c r="DG144" s="118" t="s">
        <v>6415</v>
      </c>
      <c r="DH144" s="118" t="s">
        <v>6415</v>
      </c>
      <c r="DI144" s="118" t="s">
        <v>6415</v>
      </c>
      <c r="DJ144" s="118" t="s">
        <v>6415</v>
      </c>
      <c r="DK144" s="118" t="s">
        <v>6415</v>
      </c>
      <c r="DL144" s="118" t="s">
        <v>6415</v>
      </c>
      <c r="DM144" s="118" t="s">
        <v>6415</v>
      </c>
      <c r="DN144" s="118" t="s">
        <v>6415</v>
      </c>
      <c r="DO144" s="118" t="s">
        <v>6415</v>
      </c>
      <c r="DP144" s="118" t="s">
        <v>6415</v>
      </c>
      <c r="DQ144" s="118" t="s">
        <v>6415</v>
      </c>
      <c r="DR144" s="118">
        <v>0</v>
      </c>
      <c r="DS144" s="118" t="s">
        <v>6415</v>
      </c>
      <c r="DT144" s="118" t="s">
        <v>6415</v>
      </c>
      <c r="DU144" s="118" t="s">
        <v>6415</v>
      </c>
      <c r="DV144" s="118" t="s">
        <v>6415</v>
      </c>
      <c r="DW144" s="118" t="s">
        <v>6415</v>
      </c>
      <c r="DX144" s="118" t="s">
        <v>6415</v>
      </c>
      <c r="DY144" s="118" t="s">
        <v>6415</v>
      </c>
      <c r="DZ144" s="118" t="s">
        <v>6415</v>
      </c>
      <c r="EA144" s="118" t="s">
        <v>6415</v>
      </c>
      <c r="EB144" s="118" t="s">
        <v>6415</v>
      </c>
      <c r="EC144" s="118" t="s">
        <v>6415</v>
      </c>
      <c r="ED144" s="118" t="s">
        <v>6415</v>
      </c>
      <c r="EE144" s="118" t="s">
        <v>6415</v>
      </c>
      <c r="EF144" s="118" t="s">
        <v>6415</v>
      </c>
      <c r="EG144" s="118" t="s">
        <v>7055</v>
      </c>
      <c r="EH144" s="118" t="s">
        <v>7230</v>
      </c>
      <c r="EI144" s="118" t="s">
        <v>6415</v>
      </c>
      <c r="EJ144" s="118" t="s">
        <v>6415</v>
      </c>
      <c r="EK144" s="118" t="s">
        <v>6415</v>
      </c>
      <c r="EL144" s="118" t="s">
        <v>7467</v>
      </c>
      <c r="EM144" s="118" t="s">
        <v>7233</v>
      </c>
      <c r="EN144" s="118" t="s">
        <v>6415</v>
      </c>
      <c r="EO144" s="6" t="str">
        <f t="shared" si="14"/>
        <v>Pathweb</v>
      </c>
      <c r="EP144" s="6" t="str">
        <f t="shared" si="15"/>
        <v>Google Maps</v>
      </c>
      <c r="EQ144" s="6" t="str">
        <f t="shared" si="16"/>
        <v>Mashed Map</v>
      </c>
      <c r="ER144" s="118" t="s">
        <v>6726</v>
      </c>
      <c r="ES144" s="118" t="s">
        <v>71</v>
      </c>
      <c r="ET144" s="4">
        <v>1.9E-2</v>
      </c>
      <c r="EU144" s="4"/>
      <c r="EV144" s="4"/>
    </row>
    <row r="145" spans="1:152" x14ac:dyDescent="0.15">
      <c r="A145" s="581" t="str">
        <f t="shared" si="13"/>
        <v>Crash Report</v>
      </c>
      <c r="B145" s="14">
        <v>20223194507</v>
      </c>
      <c r="C145" s="118">
        <v>2022</v>
      </c>
      <c r="D145" s="14">
        <v>22101128452237</v>
      </c>
      <c r="F145" s="118" t="s">
        <v>6442</v>
      </c>
      <c r="G145" s="118" t="s">
        <v>210</v>
      </c>
      <c r="H145" s="118">
        <v>2</v>
      </c>
      <c r="I145" s="118" t="s">
        <v>6055</v>
      </c>
      <c r="J145" s="118" t="s">
        <v>391</v>
      </c>
      <c r="K145" s="118" t="s">
        <v>6985</v>
      </c>
      <c r="L145" s="118">
        <v>0.73599999999999999</v>
      </c>
      <c r="M145" s="118">
        <v>0.73599999999999999</v>
      </c>
      <c r="N145" s="118" t="s">
        <v>7465</v>
      </c>
      <c r="O145" s="118">
        <v>1510</v>
      </c>
      <c r="P145" s="118">
        <v>41.653882000000003</v>
      </c>
      <c r="Q145" s="118">
        <v>-83.514698999999993</v>
      </c>
      <c r="R145" s="118">
        <v>77000</v>
      </c>
      <c r="S145" s="118" t="s">
        <v>6988</v>
      </c>
      <c r="T145" s="118">
        <v>1</v>
      </c>
      <c r="U145" s="118">
        <v>0</v>
      </c>
      <c r="V145" s="118">
        <v>0</v>
      </c>
      <c r="W145" s="118">
        <v>0</v>
      </c>
      <c r="X145" s="118">
        <v>0</v>
      </c>
      <c r="Y145" s="118">
        <v>2</v>
      </c>
      <c r="Z145" s="118">
        <v>1</v>
      </c>
      <c r="AA145" s="118">
        <v>2</v>
      </c>
      <c r="AB145" s="118" t="s">
        <v>1067</v>
      </c>
      <c r="AC145" s="118" t="s">
        <v>6989</v>
      </c>
      <c r="AD145" s="118" t="s">
        <v>1034</v>
      </c>
      <c r="AE145" s="118" t="s">
        <v>943</v>
      </c>
      <c r="AF145" s="118" t="s">
        <v>1041</v>
      </c>
      <c r="AG145" s="118" t="s">
        <v>6415</v>
      </c>
      <c r="AH145" s="118" t="s">
        <v>393</v>
      </c>
      <c r="AI145" s="118">
        <v>4</v>
      </c>
      <c r="AJ145" s="118" t="s">
        <v>6415</v>
      </c>
      <c r="AK145" s="118" t="s">
        <v>393</v>
      </c>
      <c r="AL145" s="118" t="s">
        <v>393</v>
      </c>
      <c r="AM145" s="118" t="s">
        <v>393</v>
      </c>
      <c r="AN145" s="402" t="s">
        <v>5975</v>
      </c>
      <c r="AO145" s="402">
        <v>44845</v>
      </c>
      <c r="AP145" s="118">
        <v>10</v>
      </c>
      <c r="AQ145" s="118">
        <v>22</v>
      </c>
      <c r="AR145" s="118" t="s">
        <v>6445</v>
      </c>
      <c r="AS145" s="118" t="s">
        <v>392</v>
      </c>
      <c r="AT145" s="118" t="s">
        <v>500</v>
      </c>
      <c r="AU145" s="118" t="s">
        <v>505</v>
      </c>
      <c r="AV145" s="118" t="s">
        <v>508</v>
      </c>
      <c r="AW145" s="118" t="s">
        <v>740</v>
      </c>
      <c r="AX145" s="118" t="s">
        <v>393</v>
      </c>
      <c r="AY145" s="118" t="s">
        <v>393</v>
      </c>
      <c r="AZ145" s="118" t="s">
        <v>393</v>
      </c>
      <c r="BA145" s="118" t="s">
        <v>393</v>
      </c>
      <c r="BB145" s="118" t="s">
        <v>393</v>
      </c>
      <c r="BC145" s="118" t="s">
        <v>393</v>
      </c>
      <c r="BD145" s="118" t="s">
        <v>393</v>
      </c>
      <c r="BE145" s="118" t="s">
        <v>393</v>
      </c>
      <c r="BF145" s="118" t="s">
        <v>740</v>
      </c>
      <c r="BG145" s="118" t="s">
        <v>393</v>
      </c>
      <c r="BH145" s="118" t="s">
        <v>394</v>
      </c>
      <c r="BI145" s="118" t="s">
        <v>394</v>
      </c>
      <c r="BJ145" s="118" t="s">
        <v>393</v>
      </c>
      <c r="BK145" s="118" t="s">
        <v>6988</v>
      </c>
      <c r="BL145" s="118" t="s">
        <v>6415</v>
      </c>
      <c r="BM145" s="118" t="s">
        <v>6990</v>
      </c>
      <c r="BN145" s="118" t="s">
        <v>6991</v>
      </c>
      <c r="BO145" s="118" t="s">
        <v>6415</v>
      </c>
      <c r="BP145" s="118" t="s">
        <v>6415</v>
      </c>
      <c r="BQ145" s="118" t="s">
        <v>6415</v>
      </c>
      <c r="BR145" s="118" t="s">
        <v>6415</v>
      </c>
      <c r="BS145" s="118" t="s">
        <v>6415</v>
      </c>
      <c r="BT145" s="118" t="s">
        <v>7235</v>
      </c>
      <c r="BU145" s="118" t="s">
        <v>6415</v>
      </c>
      <c r="BV145" s="118" t="s">
        <v>6415</v>
      </c>
      <c r="BW145" s="118" t="s">
        <v>6415</v>
      </c>
      <c r="BX145" s="118" t="s">
        <v>6415</v>
      </c>
      <c r="BY145" s="118" t="s">
        <v>6415</v>
      </c>
      <c r="BZ145" s="118">
        <v>1510</v>
      </c>
      <c r="CA145" s="118" t="s">
        <v>6415</v>
      </c>
      <c r="CB145" s="118" t="s">
        <v>422</v>
      </c>
      <c r="CC145" s="118" t="s">
        <v>740</v>
      </c>
      <c r="CD145" s="118">
        <v>2</v>
      </c>
      <c r="CE145" s="118" t="s">
        <v>411</v>
      </c>
      <c r="CF145" s="118" t="s">
        <v>410</v>
      </c>
      <c r="CG145" s="118" t="s">
        <v>924</v>
      </c>
      <c r="CH145" s="118" t="s">
        <v>6302</v>
      </c>
      <c r="CI145" s="118" t="s">
        <v>6303</v>
      </c>
      <c r="CJ145" s="118" t="s">
        <v>398</v>
      </c>
      <c r="CK145" s="14">
        <v>0</v>
      </c>
      <c r="CL145" s="118">
        <v>35</v>
      </c>
      <c r="CM145" s="118" t="s">
        <v>399</v>
      </c>
      <c r="CN145" s="118" t="s">
        <v>6331</v>
      </c>
      <c r="CO145" s="118" t="s">
        <v>1096</v>
      </c>
      <c r="CP145" s="118" t="s">
        <v>432</v>
      </c>
      <c r="CQ145" s="118" t="s">
        <v>450</v>
      </c>
      <c r="CR145" s="118" t="s">
        <v>6415</v>
      </c>
      <c r="CS145" s="118" t="s">
        <v>6415</v>
      </c>
      <c r="CT145" s="118" t="s">
        <v>6415</v>
      </c>
      <c r="CU145" s="118" t="s">
        <v>6415</v>
      </c>
      <c r="CV145" s="118" t="s">
        <v>6415</v>
      </c>
      <c r="CW145" s="14">
        <v>23</v>
      </c>
      <c r="CX145" s="118" t="s">
        <v>1066</v>
      </c>
      <c r="CY145" s="118" t="s">
        <v>6151</v>
      </c>
      <c r="CZ145" s="118">
        <v>1</v>
      </c>
      <c r="DA145" s="118" t="s">
        <v>411</v>
      </c>
      <c r="DB145" s="118" t="s">
        <v>410</v>
      </c>
      <c r="DC145" s="118" t="s">
        <v>6415</v>
      </c>
      <c r="DD145" s="118" t="s">
        <v>6302</v>
      </c>
      <c r="DE145" s="118" t="s">
        <v>417</v>
      </c>
      <c r="DF145" s="118" t="s">
        <v>398</v>
      </c>
      <c r="DG145" s="118">
        <v>0</v>
      </c>
      <c r="DH145" s="118">
        <v>35</v>
      </c>
      <c r="DI145" s="118" t="s">
        <v>429</v>
      </c>
      <c r="DJ145" s="118" t="s">
        <v>398</v>
      </c>
      <c r="DK145" s="118" t="s">
        <v>400</v>
      </c>
      <c r="DL145" s="118" t="s">
        <v>6415</v>
      </c>
      <c r="DM145" s="118" t="s">
        <v>6415</v>
      </c>
      <c r="DN145" s="118" t="s">
        <v>6415</v>
      </c>
      <c r="DO145" s="118" t="s">
        <v>6415</v>
      </c>
      <c r="DP145" s="118" t="s">
        <v>6415</v>
      </c>
      <c r="DQ145" s="118" t="s">
        <v>6415</v>
      </c>
      <c r="DR145" s="118">
        <v>0</v>
      </c>
      <c r="DS145" s="118" t="s">
        <v>6415</v>
      </c>
      <c r="DT145" s="118" t="s">
        <v>6415</v>
      </c>
      <c r="DU145" s="118" t="s">
        <v>6415</v>
      </c>
      <c r="DV145" s="118" t="s">
        <v>6415</v>
      </c>
      <c r="DW145" s="118" t="s">
        <v>6415</v>
      </c>
      <c r="DX145" s="118" t="s">
        <v>6415</v>
      </c>
      <c r="DY145" s="118" t="s">
        <v>6415</v>
      </c>
      <c r="DZ145" s="118" t="s">
        <v>6415</v>
      </c>
      <c r="EA145" s="118" t="s">
        <v>6415</v>
      </c>
      <c r="EB145" s="118" t="s">
        <v>6415</v>
      </c>
      <c r="EC145" s="118" t="s">
        <v>6415</v>
      </c>
      <c r="ED145" s="118" t="s">
        <v>6415</v>
      </c>
      <c r="EE145" s="118" t="s">
        <v>6415</v>
      </c>
      <c r="EF145" s="118" t="s">
        <v>6415</v>
      </c>
      <c r="EG145" s="118" t="s">
        <v>7164</v>
      </c>
      <c r="EH145" s="118" t="s">
        <v>7165</v>
      </c>
      <c r="EI145" s="118" t="s">
        <v>6415</v>
      </c>
      <c r="EJ145" s="118" t="s">
        <v>6415</v>
      </c>
      <c r="EK145" s="118" t="s">
        <v>6415</v>
      </c>
      <c r="EL145" s="118" t="s">
        <v>7467</v>
      </c>
      <c r="EM145" s="118" t="s">
        <v>7234</v>
      </c>
      <c r="EN145" s="118" t="s">
        <v>6415</v>
      </c>
      <c r="EO145" s="6" t="str">
        <f t="shared" si="14"/>
        <v>Pathweb</v>
      </c>
      <c r="EP145" s="6" t="str">
        <f t="shared" si="15"/>
        <v>Google Maps</v>
      </c>
      <c r="EQ145" s="6" t="str">
        <f t="shared" si="16"/>
        <v>Mashed Map</v>
      </c>
      <c r="ER145" s="118" t="s">
        <v>6726</v>
      </c>
      <c r="ES145" s="118" t="s">
        <v>71</v>
      </c>
      <c r="ET145" s="4">
        <v>4.0000000000000001E-3</v>
      </c>
      <c r="EU145" s="4"/>
      <c r="EV145" s="4"/>
    </row>
    <row r="146" spans="1:152" x14ac:dyDescent="0.15">
      <c r="A146" s="581" t="str">
        <f t="shared" si="13"/>
        <v>Crash Report</v>
      </c>
      <c r="B146" s="14">
        <v>20223197560</v>
      </c>
      <c r="C146" s="118">
        <v>2022</v>
      </c>
      <c r="D146" s="14">
        <v>22102026081130</v>
      </c>
      <c r="F146" s="118" t="s">
        <v>6442</v>
      </c>
      <c r="G146" s="118" t="s">
        <v>211</v>
      </c>
      <c r="H146" s="118">
        <v>2</v>
      </c>
      <c r="I146" s="118" t="s">
        <v>6055</v>
      </c>
      <c r="J146" s="118" t="s">
        <v>391</v>
      </c>
      <c r="K146" s="118" t="s">
        <v>6985</v>
      </c>
      <c r="L146" s="118">
        <v>0.82</v>
      </c>
      <c r="M146" s="118">
        <v>0.82</v>
      </c>
      <c r="N146" s="118" t="s">
        <v>7465</v>
      </c>
      <c r="O146" s="118" t="s">
        <v>7482</v>
      </c>
      <c r="P146" s="118">
        <v>41.654648000000002</v>
      </c>
      <c r="Q146" s="118">
        <v>-83.513442999999995</v>
      </c>
      <c r="R146" s="118">
        <v>77000</v>
      </c>
      <c r="S146" s="118" t="s">
        <v>6988</v>
      </c>
      <c r="T146" s="118">
        <v>1</v>
      </c>
      <c r="U146" s="118">
        <v>0</v>
      </c>
      <c r="V146" s="118">
        <v>0</v>
      </c>
      <c r="W146" s="118">
        <v>0</v>
      </c>
      <c r="X146" s="118">
        <v>0</v>
      </c>
      <c r="Y146" s="118">
        <v>2</v>
      </c>
      <c r="Z146" s="118">
        <v>0</v>
      </c>
      <c r="AA146" s="118">
        <v>2</v>
      </c>
      <c r="AB146" s="118" t="s">
        <v>1067</v>
      </c>
      <c r="AC146" s="118" t="s">
        <v>6989</v>
      </c>
      <c r="AD146" s="118" t="s">
        <v>1034</v>
      </c>
      <c r="AE146" s="118" t="s">
        <v>943</v>
      </c>
      <c r="AF146" s="118" t="s">
        <v>1041</v>
      </c>
      <c r="AG146" s="118" t="s">
        <v>6415</v>
      </c>
      <c r="AH146" s="118" t="s">
        <v>393</v>
      </c>
      <c r="AI146" s="118">
        <v>4</v>
      </c>
      <c r="AJ146" s="118" t="s">
        <v>6415</v>
      </c>
      <c r="AK146" s="118" t="s">
        <v>393</v>
      </c>
      <c r="AL146" s="118" t="s">
        <v>393</v>
      </c>
      <c r="AM146" s="118" t="s">
        <v>393</v>
      </c>
      <c r="AN146" s="402" t="s">
        <v>5975</v>
      </c>
      <c r="AO146" s="402">
        <v>44854</v>
      </c>
      <c r="AP146" s="118">
        <v>10</v>
      </c>
      <c r="AQ146" s="118">
        <v>11</v>
      </c>
      <c r="AR146" s="118" t="s">
        <v>6447</v>
      </c>
      <c r="AS146" s="118" t="s">
        <v>392</v>
      </c>
      <c r="AT146" s="118" t="s">
        <v>500</v>
      </c>
      <c r="AU146" s="118" t="s">
        <v>404</v>
      </c>
      <c r="AV146" s="118" t="s">
        <v>508</v>
      </c>
      <c r="AW146" s="118" t="s">
        <v>393</v>
      </c>
      <c r="AX146" s="118" t="s">
        <v>393</v>
      </c>
      <c r="AY146" s="118" t="s">
        <v>393</v>
      </c>
      <c r="AZ146" s="118" t="s">
        <v>393</v>
      </c>
      <c r="BA146" s="118" t="s">
        <v>393</v>
      </c>
      <c r="BB146" s="118" t="s">
        <v>393</v>
      </c>
      <c r="BC146" s="118" t="s">
        <v>393</v>
      </c>
      <c r="BD146" s="118" t="s">
        <v>393</v>
      </c>
      <c r="BE146" s="118" t="s">
        <v>393</v>
      </c>
      <c r="BF146" s="118" t="s">
        <v>393</v>
      </c>
      <c r="BG146" s="118" t="s">
        <v>393</v>
      </c>
      <c r="BH146" s="118" t="s">
        <v>394</v>
      </c>
      <c r="BI146" s="118" t="s">
        <v>394</v>
      </c>
      <c r="BJ146" s="118" t="s">
        <v>393</v>
      </c>
      <c r="BK146" s="118" t="s">
        <v>6988</v>
      </c>
      <c r="BL146" s="118" t="s">
        <v>6415</v>
      </c>
      <c r="BM146" s="118" t="s">
        <v>6990</v>
      </c>
      <c r="BN146" s="118" t="s">
        <v>6991</v>
      </c>
      <c r="BO146" s="118" t="s">
        <v>6415</v>
      </c>
      <c r="BP146" s="118" t="s">
        <v>6415</v>
      </c>
      <c r="BQ146" s="118" t="s">
        <v>6415</v>
      </c>
      <c r="BR146" s="118" t="s">
        <v>6415</v>
      </c>
      <c r="BS146" s="118" t="s">
        <v>6415</v>
      </c>
      <c r="BT146" s="118" t="s">
        <v>7073</v>
      </c>
      <c r="BU146" s="118" t="s">
        <v>6991</v>
      </c>
      <c r="BV146" s="118" t="s">
        <v>6415</v>
      </c>
      <c r="BW146" s="118" t="s">
        <v>6415</v>
      </c>
      <c r="BX146" s="118" t="s">
        <v>6415</v>
      </c>
      <c r="BY146" s="118" t="s">
        <v>6415</v>
      </c>
      <c r="BZ146" s="118" t="s">
        <v>6415</v>
      </c>
      <c r="CA146" s="118" t="s">
        <v>6415</v>
      </c>
      <c r="CB146" s="118" t="s">
        <v>221</v>
      </c>
      <c r="CC146" s="118" t="s">
        <v>740</v>
      </c>
      <c r="CD146" s="118">
        <v>1</v>
      </c>
      <c r="CE146" s="118" t="s">
        <v>406</v>
      </c>
      <c r="CF146" s="118" t="s">
        <v>411</v>
      </c>
      <c r="CG146" s="118" t="s">
        <v>230</v>
      </c>
      <c r="CH146" s="118" t="s">
        <v>6302</v>
      </c>
      <c r="CI146" s="118" t="s">
        <v>6303</v>
      </c>
      <c r="CJ146" s="118" t="s">
        <v>398</v>
      </c>
      <c r="CK146" s="14">
        <v>5</v>
      </c>
      <c r="CL146" s="118">
        <v>45</v>
      </c>
      <c r="CM146" s="118" t="s">
        <v>436</v>
      </c>
      <c r="CN146" s="118" t="s">
        <v>451</v>
      </c>
      <c r="CO146" s="118" t="s">
        <v>1096</v>
      </c>
      <c r="CP146" s="118" t="s">
        <v>400</v>
      </c>
      <c r="CQ146" s="118" t="s">
        <v>6415</v>
      </c>
      <c r="CR146" s="118" t="s">
        <v>6415</v>
      </c>
      <c r="CS146" s="118" t="s">
        <v>6415</v>
      </c>
      <c r="CT146" s="118" t="s">
        <v>6415</v>
      </c>
      <c r="CU146" s="118" t="s">
        <v>6415</v>
      </c>
      <c r="CV146" s="118" t="s">
        <v>6415</v>
      </c>
      <c r="CW146" s="14">
        <v>45</v>
      </c>
      <c r="CX146" s="118" t="s">
        <v>1066</v>
      </c>
      <c r="CY146" s="118" t="s">
        <v>6341</v>
      </c>
      <c r="CZ146" s="118">
        <v>2</v>
      </c>
      <c r="DA146" s="118" t="s">
        <v>411</v>
      </c>
      <c r="DB146" s="118" t="s">
        <v>410</v>
      </c>
      <c r="DC146" s="118" t="s">
        <v>6415</v>
      </c>
      <c r="DD146" s="118" t="s">
        <v>6302</v>
      </c>
      <c r="DE146" s="118" t="s">
        <v>6303</v>
      </c>
      <c r="DF146" s="118" t="s">
        <v>398</v>
      </c>
      <c r="DG146" s="118">
        <v>45</v>
      </c>
      <c r="DH146" s="118">
        <v>45</v>
      </c>
      <c r="DI146" s="118" t="s">
        <v>399</v>
      </c>
      <c r="DJ146" s="118" t="s">
        <v>398</v>
      </c>
      <c r="DK146" s="118" t="s">
        <v>400</v>
      </c>
      <c r="DL146" s="118" t="s">
        <v>6415</v>
      </c>
      <c r="DM146" s="118" t="s">
        <v>6415</v>
      </c>
      <c r="DN146" s="118" t="s">
        <v>6415</v>
      </c>
      <c r="DO146" s="118" t="s">
        <v>6415</v>
      </c>
      <c r="DP146" s="118" t="s">
        <v>6415</v>
      </c>
      <c r="DQ146" s="118" t="s">
        <v>6415</v>
      </c>
      <c r="DR146" s="118">
        <v>30</v>
      </c>
      <c r="DS146" s="118" t="s">
        <v>1068</v>
      </c>
      <c r="DT146" s="118" t="s">
        <v>6341</v>
      </c>
      <c r="DU146" s="118" t="s">
        <v>6415</v>
      </c>
      <c r="DV146" s="118" t="s">
        <v>6415</v>
      </c>
      <c r="DW146" s="118" t="s">
        <v>6415</v>
      </c>
      <c r="DX146" s="118" t="s">
        <v>6415</v>
      </c>
      <c r="DY146" s="118" t="s">
        <v>6415</v>
      </c>
      <c r="DZ146" s="118" t="s">
        <v>6415</v>
      </c>
      <c r="EA146" s="118" t="s">
        <v>6415</v>
      </c>
      <c r="EB146" s="118" t="s">
        <v>6415</v>
      </c>
      <c r="EC146" s="118" t="s">
        <v>6415</v>
      </c>
      <c r="ED146" s="118" t="s">
        <v>6415</v>
      </c>
      <c r="EE146" s="118" t="s">
        <v>6415</v>
      </c>
      <c r="EF146" s="118" t="s">
        <v>6415</v>
      </c>
      <c r="EG146" s="118" t="s">
        <v>7071</v>
      </c>
      <c r="EH146" s="118" t="s">
        <v>7186</v>
      </c>
      <c r="EI146" s="118" t="s">
        <v>6415</v>
      </c>
      <c r="EJ146" s="118" t="s">
        <v>6415</v>
      </c>
      <c r="EK146" s="118" t="s">
        <v>6415</v>
      </c>
      <c r="EL146" s="118" t="s">
        <v>7467</v>
      </c>
      <c r="EM146" s="118" t="s">
        <v>7236</v>
      </c>
      <c r="EN146" s="118" t="s">
        <v>6415</v>
      </c>
      <c r="EO146" s="6" t="str">
        <f t="shared" si="14"/>
        <v>Pathweb</v>
      </c>
      <c r="EP146" s="6" t="str">
        <f t="shared" si="15"/>
        <v>Google Maps</v>
      </c>
      <c r="EQ146" s="6" t="str">
        <f t="shared" si="16"/>
        <v>Mashed Map</v>
      </c>
      <c r="ER146" s="118" t="s">
        <v>6727</v>
      </c>
      <c r="ES146" s="118" t="s">
        <v>71</v>
      </c>
      <c r="ET146" s="4">
        <v>0</v>
      </c>
      <c r="EU146" s="4"/>
      <c r="EV146" s="4"/>
    </row>
    <row r="147" spans="1:152" x14ac:dyDescent="0.15">
      <c r="A147" s="581" t="str">
        <f t="shared" si="13"/>
        <v>Crash Report</v>
      </c>
      <c r="B147" s="118">
        <v>20223205198</v>
      </c>
      <c r="C147" s="118">
        <v>2022</v>
      </c>
      <c r="D147" s="118">
        <v>22102925441142</v>
      </c>
      <c r="F147" s="118" t="s">
        <v>6442</v>
      </c>
      <c r="G147" s="118" t="s">
        <v>211</v>
      </c>
      <c r="H147" s="118">
        <v>2</v>
      </c>
      <c r="I147" s="118" t="s">
        <v>6055</v>
      </c>
      <c r="J147" s="118" t="s">
        <v>423</v>
      </c>
      <c r="K147" s="118" t="s">
        <v>6997</v>
      </c>
      <c r="L147" s="118">
        <v>0.71</v>
      </c>
      <c r="M147" s="118">
        <v>0.71</v>
      </c>
      <c r="N147" s="118" t="s">
        <v>7469</v>
      </c>
      <c r="O147" s="118" t="s">
        <v>7466</v>
      </c>
      <c r="P147" s="118">
        <v>41.648485000000001</v>
      </c>
      <c r="Q147" s="118">
        <v>-83.523410999999996</v>
      </c>
      <c r="R147" s="118">
        <v>77000</v>
      </c>
      <c r="S147" s="118" t="s">
        <v>6988</v>
      </c>
      <c r="T147" s="118">
        <v>1</v>
      </c>
      <c r="U147" s="118">
        <v>0</v>
      </c>
      <c r="V147" s="118">
        <v>0</v>
      </c>
      <c r="W147" s="118">
        <v>0</v>
      </c>
      <c r="X147" s="118">
        <v>0</v>
      </c>
      <c r="Y147" s="118">
        <v>2</v>
      </c>
      <c r="Z147" s="118">
        <v>0</v>
      </c>
      <c r="AA147" s="118">
        <v>2</v>
      </c>
      <c r="AB147" s="118" t="s">
        <v>1067</v>
      </c>
      <c r="AC147" s="118" t="s">
        <v>6989</v>
      </c>
      <c r="AD147" s="118" t="s">
        <v>1034</v>
      </c>
      <c r="AE147" s="118" t="s">
        <v>943</v>
      </c>
      <c r="AF147" s="118" t="s">
        <v>1042</v>
      </c>
      <c r="AG147" s="118" t="s">
        <v>6415</v>
      </c>
      <c r="AH147" s="118" t="s">
        <v>393</v>
      </c>
      <c r="AI147" s="118">
        <v>2</v>
      </c>
      <c r="AJ147" s="118" t="s">
        <v>6415</v>
      </c>
      <c r="AK147" s="118" t="s">
        <v>393</v>
      </c>
      <c r="AL147" s="118" t="s">
        <v>393</v>
      </c>
      <c r="AM147" s="118" t="s">
        <v>393</v>
      </c>
      <c r="AN147" s="402" t="s">
        <v>5975</v>
      </c>
      <c r="AO147" s="402">
        <v>44863</v>
      </c>
      <c r="AP147" s="118">
        <v>10</v>
      </c>
      <c r="AQ147" s="118">
        <v>11</v>
      </c>
      <c r="AR147" s="118" t="s">
        <v>6449</v>
      </c>
      <c r="AS147" s="118" t="s">
        <v>392</v>
      </c>
      <c r="AT147" s="118" t="s">
        <v>500</v>
      </c>
      <c r="AU147" s="118" t="s">
        <v>404</v>
      </c>
      <c r="AV147" s="118" t="s">
        <v>508</v>
      </c>
      <c r="AW147" s="118" t="s">
        <v>393</v>
      </c>
      <c r="AX147" s="118" t="s">
        <v>740</v>
      </c>
      <c r="AY147" s="118" t="s">
        <v>393</v>
      </c>
      <c r="AZ147" s="118" t="s">
        <v>393</v>
      </c>
      <c r="BA147" s="118" t="s">
        <v>393</v>
      </c>
      <c r="BB147" s="118" t="s">
        <v>393</v>
      </c>
      <c r="BC147" s="118" t="s">
        <v>393</v>
      </c>
      <c r="BD147" s="118" t="s">
        <v>393</v>
      </c>
      <c r="BE147" s="118" t="s">
        <v>393</v>
      </c>
      <c r="BF147" s="118" t="s">
        <v>740</v>
      </c>
      <c r="BG147" s="118" t="s">
        <v>393</v>
      </c>
      <c r="BH147" s="118" t="s">
        <v>394</v>
      </c>
      <c r="BI147" s="118" t="s">
        <v>394</v>
      </c>
      <c r="BJ147" s="118" t="s">
        <v>393</v>
      </c>
      <c r="BK147" s="118" t="s">
        <v>6988</v>
      </c>
      <c r="BL147" s="118" t="s">
        <v>6415</v>
      </c>
      <c r="BM147" s="118" t="s">
        <v>6990</v>
      </c>
      <c r="BN147" s="118" t="s">
        <v>6991</v>
      </c>
      <c r="BO147" s="118" t="s">
        <v>6415</v>
      </c>
      <c r="BP147" s="118" t="s">
        <v>6415</v>
      </c>
      <c r="BQ147" s="118" t="s">
        <v>6415</v>
      </c>
      <c r="BR147" s="118" t="s">
        <v>6415</v>
      </c>
      <c r="BS147" s="118" t="s">
        <v>6415</v>
      </c>
      <c r="BT147" s="118" t="s">
        <v>6992</v>
      </c>
      <c r="BU147" s="118" t="s">
        <v>6991</v>
      </c>
      <c r="BV147" s="118" t="s">
        <v>6415</v>
      </c>
      <c r="BW147" s="118" t="s">
        <v>6415</v>
      </c>
      <c r="BX147" s="118" t="s">
        <v>6415</v>
      </c>
      <c r="BY147" s="118" t="s">
        <v>6415</v>
      </c>
      <c r="BZ147" s="118" t="s">
        <v>6415</v>
      </c>
      <c r="CA147" s="118" t="s">
        <v>6415</v>
      </c>
      <c r="CB147" s="118" t="s">
        <v>221</v>
      </c>
      <c r="CC147" s="118" t="s">
        <v>740</v>
      </c>
      <c r="CD147" s="118">
        <v>2</v>
      </c>
      <c r="CE147" s="118" t="s">
        <v>411</v>
      </c>
      <c r="CF147" s="118" t="s">
        <v>410</v>
      </c>
      <c r="CG147" s="118" t="s">
        <v>924</v>
      </c>
      <c r="CH147" s="118" t="s">
        <v>6300</v>
      </c>
      <c r="CI147" s="118" t="s">
        <v>6303</v>
      </c>
      <c r="CJ147" s="118" t="s">
        <v>398</v>
      </c>
      <c r="CK147" s="118">
        <v>25</v>
      </c>
      <c r="CL147" s="118">
        <v>25</v>
      </c>
      <c r="CM147" s="118" t="s">
        <v>399</v>
      </c>
      <c r="CN147" s="118" t="s">
        <v>440</v>
      </c>
      <c r="CO147" s="118" t="s">
        <v>1096</v>
      </c>
      <c r="CP147" s="118" t="s">
        <v>400</v>
      </c>
      <c r="CQ147" s="118" t="s">
        <v>6415</v>
      </c>
      <c r="CR147" s="118" t="s">
        <v>6415</v>
      </c>
      <c r="CS147" s="118" t="s">
        <v>6415</v>
      </c>
      <c r="CT147" s="118" t="s">
        <v>6415</v>
      </c>
      <c r="CU147" s="118" t="s">
        <v>6415</v>
      </c>
      <c r="CV147" s="118" t="s">
        <v>6415</v>
      </c>
      <c r="CW147" s="118">
        <v>21</v>
      </c>
      <c r="CX147" s="118" t="s">
        <v>1068</v>
      </c>
      <c r="CY147" s="118" t="s">
        <v>6341</v>
      </c>
      <c r="CZ147" s="118">
        <v>1</v>
      </c>
      <c r="DA147" s="118" t="s">
        <v>406</v>
      </c>
      <c r="DB147" s="118" t="s">
        <v>405</v>
      </c>
      <c r="DC147" s="118" t="s">
        <v>6415</v>
      </c>
      <c r="DD147" s="118" t="s">
        <v>6300</v>
      </c>
      <c r="DE147" s="118" t="s">
        <v>6304</v>
      </c>
      <c r="DF147" s="118" t="s">
        <v>398</v>
      </c>
      <c r="DG147" s="118">
        <v>20</v>
      </c>
      <c r="DH147" s="118">
        <v>35</v>
      </c>
      <c r="DI147" s="118" t="s">
        <v>399</v>
      </c>
      <c r="DJ147" s="118" t="s">
        <v>398</v>
      </c>
      <c r="DK147" s="118" t="s">
        <v>400</v>
      </c>
      <c r="DL147" s="118" t="s">
        <v>6415</v>
      </c>
      <c r="DM147" s="118" t="s">
        <v>6415</v>
      </c>
      <c r="DN147" s="118" t="s">
        <v>6415</v>
      </c>
      <c r="DO147" s="118" t="s">
        <v>6415</v>
      </c>
      <c r="DP147" s="118" t="s">
        <v>6415</v>
      </c>
      <c r="DQ147" s="118" t="s">
        <v>6415</v>
      </c>
      <c r="DR147" s="118">
        <v>40</v>
      </c>
      <c r="DS147" s="118" t="s">
        <v>1066</v>
      </c>
      <c r="DT147" s="118" t="s">
        <v>6341</v>
      </c>
      <c r="DU147" s="118" t="s">
        <v>6415</v>
      </c>
      <c r="DV147" s="118" t="s">
        <v>6415</v>
      </c>
      <c r="DW147" s="118" t="s">
        <v>6415</v>
      </c>
      <c r="DX147" s="118" t="s">
        <v>6415</v>
      </c>
      <c r="DY147" s="118" t="s">
        <v>6415</v>
      </c>
      <c r="DZ147" s="118" t="s">
        <v>6415</v>
      </c>
      <c r="EA147" s="118" t="s">
        <v>6415</v>
      </c>
      <c r="EB147" s="118" t="s">
        <v>6415</v>
      </c>
      <c r="EC147" s="118" t="s">
        <v>6415</v>
      </c>
      <c r="ED147" s="118" t="s">
        <v>6415</v>
      </c>
      <c r="EE147" s="118" t="s">
        <v>6415</v>
      </c>
      <c r="EF147" s="118" t="s">
        <v>6415</v>
      </c>
      <c r="EG147" s="118" t="s">
        <v>6986</v>
      </c>
      <c r="EH147" s="118" t="s">
        <v>7194</v>
      </c>
      <c r="EI147" s="118" t="s">
        <v>6415</v>
      </c>
      <c r="EJ147" s="118" t="s">
        <v>6415</v>
      </c>
      <c r="EK147" s="118" t="s">
        <v>6415</v>
      </c>
      <c r="EL147" s="118" t="s">
        <v>7467</v>
      </c>
      <c r="EM147" s="118" t="s">
        <v>7237</v>
      </c>
      <c r="EN147" s="118" t="s">
        <v>6415</v>
      </c>
      <c r="EO147" s="6" t="str">
        <f t="shared" si="14"/>
        <v>Pathweb</v>
      </c>
      <c r="EP147" s="6" t="str">
        <f t="shared" si="15"/>
        <v>Google Maps</v>
      </c>
      <c r="EQ147" s="6" t="str">
        <f t="shared" si="16"/>
        <v>Mashed Map</v>
      </c>
      <c r="ER147" s="118" t="s">
        <v>6727</v>
      </c>
      <c r="ES147" s="118" t="s">
        <v>71</v>
      </c>
      <c r="ET147" s="4">
        <v>0</v>
      </c>
      <c r="EU147" s="4"/>
      <c r="EV147" s="4"/>
    </row>
    <row r="148" spans="1:152" x14ac:dyDescent="0.15">
      <c r="A148" s="581" t="str">
        <f t="shared" si="13"/>
        <v>Crash Report</v>
      </c>
      <c r="B148" s="118">
        <v>20223205718</v>
      </c>
      <c r="C148" s="118">
        <v>2022</v>
      </c>
      <c r="D148" s="118">
        <v>22102823291530</v>
      </c>
      <c r="F148" s="118" t="s">
        <v>6442</v>
      </c>
      <c r="G148" s="118" t="s">
        <v>390</v>
      </c>
      <c r="H148" s="118">
        <v>2</v>
      </c>
      <c r="I148" s="118" t="s">
        <v>6055</v>
      </c>
      <c r="J148" s="118" t="s">
        <v>434</v>
      </c>
      <c r="K148" s="118" t="s">
        <v>6985</v>
      </c>
      <c r="L148" s="118">
        <v>0.67</v>
      </c>
      <c r="M148" s="118">
        <v>0.67</v>
      </c>
      <c r="N148" s="118" t="s">
        <v>7465</v>
      </c>
      <c r="O148" s="118" t="s">
        <v>7494</v>
      </c>
      <c r="P148" s="118">
        <v>41.653281</v>
      </c>
      <c r="Q148" s="118">
        <v>-83.515686000000002</v>
      </c>
      <c r="R148" s="118">
        <v>77000</v>
      </c>
      <c r="S148" s="118" t="s">
        <v>6988</v>
      </c>
      <c r="T148" s="118">
        <v>1</v>
      </c>
      <c r="U148" s="118">
        <v>0</v>
      </c>
      <c r="V148" s="118">
        <v>0</v>
      </c>
      <c r="W148" s="118">
        <v>0</v>
      </c>
      <c r="X148" s="118">
        <v>0</v>
      </c>
      <c r="Y148" s="118">
        <v>2</v>
      </c>
      <c r="Z148" s="118">
        <v>0</v>
      </c>
      <c r="AA148" s="118">
        <v>2</v>
      </c>
      <c r="AB148" s="118" t="s">
        <v>1067</v>
      </c>
      <c r="AC148" s="118" t="s">
        <v>6989</v>
      </c>
      <c r="AD148" s="118" t="s">
        <v>1034</v>
      </c>
      <c r="AE148" s="118" t="s">
        <v>943</v>
      </c>
      <c r="AF148" s="118" t="s">
        <v>1041</v>
      </c>
      <c r="AG148" s="118" t="s">
        <v>6415</v>
      </c>
      <c r="AH148" s="118" t="s">
        <v>393</v>
      </c>
      <c r="AI148" s="118">
        <v>4</v>
      </c>
      <c r="AJ148" s="118" t="s">
        <v>6415</v>
      </c>
      <c r="AK148" s="118" t="s">
        <v>393</v>
      </c>
      <c r="AL148" s="118" t="s">
        <v>393</v>
      </c>
      <c r="AM148" s="118" t="s">
        <v>393</v>
      </c>
      <c r="AN148" s="402" t="s">
        <v>5975</v>
      </c>
      <c r="AO148" s="402">
        <v>44862</v>
      </c>
      <c r="AP148" s="118">
        <v>10</v>
      </c>
      <c r="AQ148" s="118">
        <v>15</v>
      </c>
      <c r="AR148" s="118" t="s">
        <v>6448</v>
      </c>
      <c r="AS148" s="118" t="s">
        <v>392</v>
      </c>
      <c r="AT148" s="118" t="s">
        <v>500</v>
      </c>
      <c r="AU148" s="118" t="s">
        <v>404</v>
      </c>
      <c r="AV148" s="118" t="s">
        <v>508</v>
      </c>
      <c r="AW148" s="118" t="s">
        <v>393</v>
      </c>
      <c r="AX148" s="118" t="s">
        <v>740</v>
      </c>
      <c r="AY148" s="118" t="s">
        <v>393</v>
      </c>
      <c r="AZ148" s="118" t="s">
        <v>393</v>
      </c>
      <c r="BA148" s="118" t="s">
        <v>393</v>
      </c>
      <c r="BB148" s="118" t="s">
        <v>393</v>
      </c>
      <c r="BC148" s="118" t="s">
        <v>393</v>
      </c>
      <c r="BD148" s="118" t="s">
        <v>393</v>
      </c>
      <c r="BE148" s="118" t="s">
        <v>393</v>
      </c>
      <c r="BF148" s="118" t="s">
        <v>740</v>
      </c>
      <c r="BG148" s="118" t="s">
        <v>393</v>
      </c>
      <c r="BH148" s="118" t="s">
        <v>394</v>
      </c>
      <c r="BI148" s="118" t="s">
        <v>394</v>
      </c>
      <c r="BJ148" s="118" t="s">
        <v>393</v>
      </c>
      <c r="BK148" s="118" t="s">
        <v>6988</v>
      </c>
      <c r="BL148" s="118" t="s">
        <v>6415</v>
      </c>
      <c r="BM148" s="118" t="s">
        <v>6990</v>
      </c>
      <c r="BN148" s="118" t="s">
        <v>6991</v>
      </c>
      <c r="BO148" s="118" t="s">
        <v>6415</v>
      </c>
      <c r="BP148" s="118" t="s">
        <v>6415</v>
      </c>
      <c r="BQ148" s="118" t="s">
        <v>6415</v>
      </c>
      <c r="BR148" s="118" t="s">
        <v>6415</v>
      </c>
      <c r="BS148" s="118" t="s">
        <v>6415</v>
      </c>
      <c r="BT148" s="118" t="s">
        <v>2521</v>
      </c>
      <c r="BU148" s="118" t="s">
        <v>7017</v>
      </c>
      <c r="BV148" s="118" t="s">
        <v>6415</v>
      </c>
      <c r="BW148" s="118" t="s">
        <v>6415</v>
      </c>
      <c r="BX148" s="118" t="s">
        <v>6415</v>
      </c>
      <c r="BY148" s="118" t="s">
        <v>6415</v>
      </c>
      <c r="BZ148" s="118" t="s">
        <v>6415</v>
      </c>
      <c r="CA148" s="118" t="s">
        <v>6415</v>
      </c>
      <c r="CB148" s="118" t="s">
        <v>221</v>
      </c>
      <c r="CC148" s="118" t="s">
        <v>740</v>
      </c>
      <c r="CD148" s="118">
        <v>2</v>
      </c>
      <c r="CE148" s="118" t="s">
        <v>397</v>
      </c>
      <c r="CF148" s="118" t="s">
        <v>396</v>
      </c>
      <c r="CG148" s="118" t="s">
        <v>924</v>
      </c>
      <c r="CH148" s="118" t="s">
        <v>6302</v>
      </c>
      <c r="CI148" s="118" t="s">
        <v>417</v>
      </c>
      <c r="CJ148" s="118" t="s">
        <v>398</v>
      </c>
      <c r="CK148" s="118">
        <v>0</v>
      </c>
      <c r="CL148" s="118">
        <v>35</v>
      </c>
      <c r="CM148" s="118" t="s">
        <v>399</v>
      </c>
      <c r="CN148" s="118" t="s">
        <v>6512</v>
      </c>
      <c r="CO148" s="118" t="s">
        <v>1096</v>
      </c>
      <c r="CP148" s="118" t="s">
        <v>400</v>
      </c>
      <c r="CQ148" s="118" t="s">
        <v>6415</v>
      </c>
      <c r="CR148" s="118" t="s">
        <v>6415</v>
      </c>
      <c r="CS148" s="118" t="s">
        <v>6415</v>
      </c>
      <c r="CT148" s="118" t="s">
        <v>6415</v>
      </c>
      <c r="CU148" s="118" t="s">
        <v>6415</v>
      </c>
      <c r="CV148" s="118" t="s">
        <v>6415</v>
      </c>
      <c r="CW148" s="118">
        <v>0</v>
      </c>
      <c r="CX148" s="118" t="s">
        <v>401</v>
      </c>
      <c r="CY148" s="118" t="s">
        <v>6151</v>
      </c>
      <c r="CZ148" s="118">
        <v>1</v>
      </c>
      <c r="DA148" s="118" t="s">
        <v>397</v>
      </c>
      <c r="DB148" s="118" t="s">
        <v>396</v>
      </c>
      <c r="DC148" s="118" t="s">
        <v>6415</v>
      </c>
      <c r="DD148" s="118" t="s">
        <v>6302</v>
      </c>
      <c r="DE148" s="118" t="s">
        <v>417</v>
      </c>
      <c r="DF148" s="118" t="s">
        <v>398</v>
      </c>
      <c r="DG148" s="118">
        <v>0</v>
      </c>
      <c r="DH148" s="118">
        <v>35</v>
      </c>
      <c r="DI148" s="118" t="s">
        <v>6355</v>
      </c>
      <c r="DJ148" s="118" t="s">
        <v>398</v>
      </c>
      <c r="DK148" s="118" t="s">
        <v>400</v>
      </c>
      <c r="DL148" s="118" t="s">
        <v>6415</v>
      </c>
      <c r="DM148" s="118" t="s">
        <v>6415</v>
      </c>
      <c r="DN148" s="118" t="s">
        <v>6415</v>
      </c>
      <c r="DO148" s="118" t="s">
        <v>6415</v>
      </c>
      <c r="DP148" s="118" t="s">
        <v>6415</v>
      </c>
      <c r="DQ148" s="118" t="s">
        <v>6415</v>
      </c>
      <c r="DR148" s="118">
        <v>24</v>
      </c>
      <c r="DS148" s="118" t="s">
        <v>1066</v>
      </c>
      <c r="DT148" s="118" t="s">
        <v>6341</v>
      </c>
      <c r="DU148" s="118" t="s">
        <v>6415</v>
      </c>
      <c r="DV148" s="118" t="s">
        <v>6415</v>
      </c>
      <c r="DW148" s="118" t="s">
        <v>6415</v>
      </c>
      <c r="DX148" s="118" t="s">
        <v>6415</v>
      </c>
      <c r="DY148" s="118" t="s">
        <v>6415</v>
      </c>
      <c r="DZ148" s="118" t="s">
        <v>6415</v>
      </c>
      <c r="EA148" s="118" t="s">
        <v>6415</v>
      </c>
      <c r="EB148" s="118" t="s">
        <v>6415</v>
      </c>
      <c r="EC148" s="118" t="s">
        <v>6415</v>
      </c>
      <c r="ED148" s="118" t="s">
        <v>6415</v>
      </c>
      <c r="EE148" s="118" t="s">
        <v>6415</v>
      </c>
      <c r="EF148" s="118" t="s">
        <v>6415</v>
      </c>
      <c r="EG148" s="118" t="s">
        <v>7226</v>
      </c>
      <c r="EH148" s="118" t="s">
        <v>7227</v>
      </c>
      <c r="EI148" s="118" t="s">
        <v>6415</v>
      </c>
      <c r="EJ148" s="118" t="s">
        <v>6415</v>
      </c>
      <c r="EK148" s="118" t="s">
        <v>6415</v>
      </c>
      <c r="EL148" s="118" t="s">
        <v>7467</v>
      </c>
      <c r="EM148" s="118" t="s">
        <v>7238</v>
      </c>
      <c r="EN148" s="118" t="s">
        <v>6415</v>
      </c>
      <c r="EO148" s="6" t="str">
        <f t="shared" si="14"/>
        <v>Pathweb</v>
      </c>
      <c r="EP148" s="6" t="str">
        <f t="shared" si="15"/>
        <v>Google Maps</v>
      </c>
      <c r="EQ148" s="6" t="str">
        <f t="shared" si="16"/>
        <v>Mashed Map</v>
      </c>
      <c r="ER148" s="118" t="s">
        <v>6727</v>
      </c>
      <c r="ES148" s="118" t="s">
        <v>71</v>
      </c>
      <c r="ET148" s="4">
        <v>0</v>
      </c>
      <c r="EU148" s="4"/>
      <c r="EV148" s="4"/>
    </row>
    <row r="149" spans="1:152" x14ac:dyDescent="0.15">
      <c r="A149" s="581" t="str">
        <f t="shared" ref="A149:A212" si="17">IF(C149*1&gt;2010,HYPERLINK(EM149,"Crash Report"),IF(EM149="","","Restricted Access"))</f>
        <v>Crash Report</v>
      </c>
      <c r="B149" s="14">
        <v>20223226822</v>
      </c>
      <c r="C149" s="118">
        <v>2022</v>
      </c>
      <c r="D149" s="14">
        <v>22112327530025</v>
      </c>
      <c r="F149" s="118" t="s">
        <v>6442</v>
      </c>
      <c r="G149" s="118" t="s">
        <v>416</v>
      </c>
      <c r="H149" s="118">
        <v>2</v>
      </c>
      <c r="I149" s="118" t="s">
        <v>6055</v>
      </c>
      <c r="J149" s="118" t="s">
        <v>434</v>
      </c>
      <c r="K149" s="118" t="s">
        <v>6985</v>
      </c>
      <c r="L149" s="118">
        <v>0.51</v>
      </c>
      <c r="M149" s="118">
        <v>0.51</v>
      </c>
      <c r="N149" s="118" t="s">
        <v>7465</v>
      </c>
      <c r="O149" s="118" t="s">
        <v>7468</v>
      </c>
      <c r="P149" s="118">
        <v>41.651823</v>
      </c>
      <c r="Q149" s="118">
        <v>-83.518079</v>
      </c>
      <c r="R149" s="118">
        <v>77000</v>
      </c>
      <c r="S149" s="118" t="s">
        <v>6988</v>
      </c>
      <c r="T149" s="118">
        <v>1</v>
      </c>
      <c r="U149" s="118">
        <v>0</v>
      </c>
      <c r="V149" s="118">
        <v>0</v>
      </c>
      <c r="W149" s="118">
        <v>0</v>
      </c>
      <c r="X149" s="118">
        <v>0</v>
      </c>
      <c r="Y149" s="118">
        <v>1</v>
      </c>
      <c r="Z149" s="118">
        <v>0</v>
      </c>
      <c r="AA149" s="118">
        <v>1</v>
      </c>
      <c r="AB149" s="118" t="s">
        <v>1067</v>
      </c>
      <c r="AC149" s="118" t="s">
        <v>6989</v>
      </c>
      <c r="AD149" s="118" t="s">
        <v>1034</v>
      </c>
      <c r="AE149" s="118" t="s">
        <v>943</v>
      </c>
      <c r="AF149" s="118" t="s">
        <v>1041</v>
      </c>
      <c r="AG149" s="118" t="s">
        <v>6415</v>
      </c>
      <c r="AH149" s="118" t="s">
        <v>393</v>
      </c>
      <c r="AI149" s="118">
        <v>4</v>
      </c>
      <c r="AJ149" s="118" t="s">
        <v>6415</v>
      </c>
      <c r="AK149" s="118" t="s">
        <v>393</v>
      </c>
      <c r="AL149" s="118" t="s">
        <v>393</v>
      </c>
      <c r="AM149" s="118" t="s">
        <v>393</v>
      </c>
      <c r="AN149" s="402" t="s">
        <v>5975</v>
      </c>
      <c r="AO149" s="402">
        <v>44888</v>
      </c>
      <c r="AP149" s="118">
        <v>11</v>
      </c>
      <c r="AQ149" s="118">
        <v>0</v>
      </c>
      <c r="AR149" s="118" t="s">
        <v>6446</v>
      </c>
      <c r="AS149" s="118" t="s">
        <v>392</v>
      </c>
      <c r="AT149" s="118" t="s">
        <v>500</v>
      </c>
      <c r="AU149" s="118" t="s">
        <v>505</v>
      </c>
      <c r="AV149" s="118" t="s">
        <v>508</v>
      </c>
      <c r="AW149" s="118" t="s">
        <v>740</v>
      </c>
      <c r="AX149" s="118" t="s">
        <v>740</v>
      </c>
      <c r="AY149" s="118" t="s">
        <v>740</v>
      </c>
      <c r="AZ149" s="118" t="s">
        <v>393</v>
      </c>
      <c r="BA149" s="118" t="s">
        <v>393</v>
      </c>
      <c r="BB149" s="118" t="s">
        <v>393</v>
      </c>
      <c r="BC149" s="118" t="s">
        <v>393</v>
      </c>
      <c r="BD149" s="118" t="s">
        <v>393</v>
      </c>
      <c r="BE149" s="118" t="s">
        <v>393</v>
      </c>
      <c r="BF149" s="118" t="s">
        <v>393</v>
      </c>
      <c r="BG149" s="118" t="s">
        <v>393</v>
      </c>
      <c r="BH149" s="118" t="s">
        <v>394</v>
      </c>
      <c r="BI149" s="118" t="s">
        <v>394</v>
      </c>
      <c r="BJ149" s="118" t="s">
        <v>393</v>
      </c>
      <c r="BK149" s="118" t="s">
        <v>6988</v>
      </c>
      <c r="BL149" s="118" t="s">
        <v>6415</v>
      </c>
      <c r="BM149" s="118" t="s">
        <v>6990</v>
      </c>
      <c r="BN149" s="118" t="s">
        <v>6991</v>
      </c>
      <c r="BO149" s="118" t="s">
        <v>6415</v>
      </c>
      <c r="BP149" s="118" t="s">
        <v>6415</v>
      </c>
      <c r="BQ149" s="118" t="s">
        <v>6415</v>
      </c>
      <c r="BR149" s="118" t="s">
        <v>6415</v>
      </c>
      <c r="BS149" s="118" t="s">
        <v>261</v>
      </c>
      <c r="BT149" s="118" t="s">
        <v>1791</v>
      </c>
      <c r="BU149" s="118" t="s">
        <v>6991</v>
      </c>
      <c r="BV149" s="118" t="s">
        <v>6415</v>
      </c>
      <c r="BW149" s="118" t="s">
        <v>6415</v>
      </c>
      <c r="BX149" s="118" t="s">
        <v>6415</v>
      </c>
      <c r="BY149" s="118" t="s">
        <v>6415</v>
      </c>
      <c r="BZ149" s="118" t="s">
        <v>6415</v>
      </c>
      <c r="CA149" s="118" t="s">
        <v>6415</v>
      </c>
      <c r="CB149" s="118" t="s">
        <v>221</v>
      </c>
      <c r="CC149" s="118" t="s">
        <v>740</v>
      </c>
      <c r="CD149" s="118">
        <v>1</v>
      </c>
      <c r="CE149" s="118" t="s">
        <v>411</v>
      </c>
      <c r="CF149" s="118" t="s">
        <v>410</v>
      </c>
      <c r="CG149" s="118" t="s">
        <v>924</v>
      </c>
      <c r="CH149" s="118" t="s">
        <v>6300</v>
      </c>
      <c r="CI149" s="118" t="s">
        <v>6303</v>
      </c>
      <c r="CJ149" s="118" t="s">
        <v>398</v>
      </c>
      <c r="CK149" s="14">
        <v>0</v>
      </c>
      <c r="CL149" s="118">
        <v>0</v>
      </c>
      <c r="CM149" s="118" t="s">
        <v>399</v>
      </c>
      <c r="CN149" s="118" t="s">
        <v>407</v>
      </c>
      <c r="CO149" s="118" t="s">
        <v>475</v>
      </c>
      <c r="CP149" s="118" t="s">
        <v>432</v>
      </c>
      <c r="CQ149" s="118" t="s">
        <v>475</v>
      </c>
      <c r="CR149" s="118" t="s">
        <v>6415</v>
      </c>
      <c r="CS149" s="118" t="s">
        <v>6415</v>
      </c>
      <c r="CT149" s="118" t="s">
        <v>6415</v>
      </c>
      <c r="CU149" s="118" t="s">
        <v>6415</v>
      </c>
      <c r="CV149" s="118" t="s">
        <v>6415</v>
      </c>
      <c r="CW149" s="14">
        <v>29</v>
      </c>
      <c r="CX149" s="118" t="s">
        <v>1068</v>
      </c>
      <c r="CY149" s="118" t="s">
        <v>6151</v>
      </c>
      <c r="CZ149" s="118" t="s">
        <v>6415</v>
      </c>
      <c r="DA149" s="118" t="s">
        <v>6415</v>
      </c>
      <c r="DB149" s="118" t="s">
        <v>6415</v>
      </c>
      <c r="DC149" s="118" t="s">
        <v>6415</v>
      </c>
      <c r="DD149" s="118" t="s">
        <v>6415</v>
      </c>
      <c r="DE149" s="118" t="s">
        <v>6415</v>
      </c>
      <c r="DF149" s="118" t="s">
        <v>6415</v>
      </c>
      <c r="DG149" s="118" t="s">
        <v>6415</v>
      </c>
      <c r="DH149" s="118" t="s">
        <v>6415</v>
      </c>
      <c r="DI149" s="118" t="s">
        <v>6415</v>
      </c>
      <c r="DJ149" s="118" t="s">
        <v>6415</v>
      </c>
      <c r="DK149" s="118" t="s">
        <v>6415</v>
      </c>
      <c r="DL149" s="118" t="s">
        <v>6415</v>
      </c>
      <c r="DM149" s="118" t="s">
        <v>6415</v>
      </c>
      <c r="DN149" s="118" t="s">
        <v>6415</v>
      </c>
      <c r="DO149" s="118" t="s">
        <v>6415</v>
      </c>
      <c r="DP149" s="118" t="s">
        <v>6415</v>
      </c>
      <c r="DQ149" s="118" t="s">
        <v>6415</v>
      </c>
      <c r="DR149" s="118">
        <v>0</v>
      </c>
      <c r="DS149" s="118" t="s">
        <v>6415</v>
      </c>
      <c r="DT149" s="118" t="s">
        <v>6415</v>
      </c>
      <c r="DU149" s="118" t="s">
        <v>6415</v>
      </c>
      <c r="DV149" s="118" t="s">
        <v>6415</v>
      </c>
      <c r="DW149" s="118" t="s">
        <v>6415</v>
      </c>
      <c r="DX149" s="118" t="s">
        <v>6415</v>
      </c>
      <c r="DY149" s="118" t="s">
        <v>6415</v>
      </c>
      <c r="DZ149" s="118" t="s">
        <v>6415</v>
      </c>
      <c r="EA149" s="118" t="s">
        <v>6415</v>
      </c>
      <c r="EB149" s="118" t="s">
        <v>6415</v>
      </c>
      <c r="EC149" s="118" t="s">
        <v>6415</v>
      </c>
      <c r="ED149" s="118" t="s">
        <v>6415</v>
      </c>
      <c r="EE149" s="118" t="s">
        <v>6415</v>
      </c>
      <c r="EF149" s="118" t="s">
        <v>6415</v>
      </c>
      <c r="EG149" s="118" t="s">
        <v>6994</v>
      </c>
      <c r="EH149" s="118" t="s">
        <v>7175</v>
      </c>
      <c r="EI149" s="118" t="s">
        <v>6415</v>
      </c>
      <c r="EJ149" s="118" t="s">
        <v>6415</v>
      </c>
      <c r="EK149" s="118" t="s">
        <v>6415</v>
      </c>
      <c r="EL149" s="118" t="s">
        <v>7467</v>
      </c>
      <c r="EM149" s="118" t="s">
        <v>7239</v>
      </c>
      <c r="EN149" s="118" t="s">
        <v>6415</v>
      </c>
      <c r="EO149" s="6" t="str">
        <f t="shared" ref="EO149:EO212" si="18">+HYPERLINK(CONCATENATE("http://pathweb.pathwayservices.com/ohiopublic/?nlfid='",+K149,"'&amp;logpoint=",+L149),"Pathweb")</f>
        <v>Pathweb</v>
      </c>
      <c r="EP149" s="6" t="str">
        <f t="shared" ref="EP149:EP212" si="19">HYPERLINK(CONCATENATE("http://maps.google.com/maps?q=",+P149,",+",+Q149,"+(Crash+Location)&amp;iwloc=A&amp;hl=en"),"Google Maps")</f>
        <v>Google Maps</v>
      </c>
      <c r="EQ149" s="6" t="str">
        <f t="shared" ref="EQ149:EQ212" si="20">HYPERLINK(CONCATENATE("http://data.mashedworld.com/dualmaps/map.htm?x=",Q149,"&amp;y=",P149,"&amp;z=15&amp;gm=0&amp;ve=5&amp;gc=0&amp;bz=1&amp;bd=0&amp;mw=1&amp;sv=1&amp;svb=0&amp;svp=0&amp;svz=0&amp;svm=2&amp;svf=0"),"Mashed Map")</f>
        <v>Mashed Map</v>
      </c>
      <c r="ER149" s="118" t="s">
        <v>6726</v>
      </c>
      <c r="ES149" s="118" t="s">
        <v>71</v>
      </c>
      <c r="ET149" s="4">
        <v>1.4E-2</v>
      </c>
      <c r="EU149" s="4"/>
      <c r="EV149" s="4"/>
    </row>
    <row r="150" spans="1:152" x14ac:dyDescent="0.15">
      <c r="A150" s="581" t="str">
        <f t="shared" si="17"/>
        <v>Crash Report</v>
      </c>
      <c r="B150" s="14">
        <v>20223226839</v>
      </c>
      <c r="C150" s="118">
        <v>2022</v>
      </c>
      <c r="D150" s="14">
        <v>22112227841558</v>
      </c>
      <c r="F150" s="118" t="s">
        <v>6442</v>
      </c>
      <c r="G150" s="118" t="s">
        <v>390</v>
      </c>
      <c r="H150" s="118">
        <v>2</v>
      </c>
      <c r="I150" s="118" t="s">
        <v>6055</v>
      </c>
      <c r="J150" s="118" t="s">
        <v>434</v>
      </c>
      <c r="K150" s="118" t="s">
        <v>6997</v>
      </c>
      <c r="L150" s="118">
        <v>0.89</v>
      </c>
      <c r="M150" s="118">
        <v>0.89</v>
      </c>
      <c r="N150" s="118" t="s">
        <v>7469</v>
      </c>
      <c r="O150" s="118" t="s">
        <v>7483</v>
      </c>
      <c r="P150" s="118">
        <v>41.650514000000001</v>
      </c>
      <c r="Q150" s="118">
        <v>-83.525591000000006</v>
      </c>
      <c r="R150" s="118">
        <v>77000</v>
      </c>
      <c r="S150" s="118" t="s">
        <v>6988</v>
      </c>
      <c r="T150" s="118">
        <v>1</v>
      </c>
      <c r="U150" s="118">
        <v>0</v>
      </c>
      <c r="V150" s="118">
        <v>0</v>
      </c>
      <c r="W150" s="118">
        <v>0</v>
      </c>
      <c r="X150" s="118">
        <v>0</v>
      </c>
      <c r="Y150" s="118">
        <v>4</v>
      </c>
      <c r="Z150" s="118">
        <v>0</v>
      </c>
      <c r="AA150" s="118">
        <v>3</v>
      </c>
      <c r="AB150" s="118" t="s">
        <v>1067</v>
      </c>
      <c r="AC150" s="118" t="s">
        <v>6989</v>
      </c>
      <c r="AD150" s="118" t="s">
        <v>1034</v>
      </c>
      <c r="AE150" s="118" t="s">
        <v>943</v>
      </c>
      <c r="AF150" s="118" t="s">
        <v>1041</v>
      </c>
      <c r="AG150" s="118" t="s">
        <v>6415</v>
      </c>
      <c r="AH150" s="118" t="s">
        <v>393</v>
      </c>
      <c r="AI150" s="118">
        <v>2</v>
      </c>
      <c r="AJ150" s="118" t="s">
        <v>6415</v>
      </c>
      <c r="AK150" s="118" t="s">
        <v>393</v>
      </c>
      <c r="AL150" s="118" t="s">
        <v>393</v>
      </c>
      <c r="AM150" s="118" t="s">
        <v>393</v>
      </c>
      <c r="AN150" s="402" t="s">
        <v>5975</v>
      </c>
      <c r="AO150" s="402">
        <v>44887</v>
      </c>
      <c r="AP150" s="118">
        <v>11</v>
      </c>
      <c r="AQ150" s="118">
        <v>15</v>
      </c>
      <c r="AR150" s="118" t="s">
        <v>6445</v>
      </c>
      <c r="AS150" s="118" t="s">
        <v>392</v>
      </c>
      <c r="AT150" s="118" t="s">
        <v>500</v>
      </c>
      <c r="AU150" s="118" t="s">
        <v>404</v>
      </c>
      <c r="AV150" s="118" t="s">
        <v>508</v>
      </c>
      <c r="AW150" s="118" t="s">
        <v>393</v>
      </c>
      <c r="AX150" s="118" t="s">
        <v>740</v>
      </c>
      <c r="AY150" s="118" t="s">
        <v>393</v>
      </c>
      <c r="AZ150" s="118" t="s">
        <v>393</v>
      </c>
      <c r="BA150" s="118" t="s">
        <v>393</v>
      </c>
      <c r="BB150" s="118" t="s">
        <v>393</v>
      </c>
      <c r="BC150" s="118" t="s">
        <v>393</v>
      </c>
      <c r="BD150" s="118" t="s">
        <v>740</v>
      </c>
      <c r="BE150" s="118" t="s">
        <v>393</v>
      </c>
      <c r="BF150" s="118" t="s">
        <v>740</v>
      </c>
      <c r="BG150" s="118" t="s">
        <v>393</v>
      </c>
      <c r="BH150" s="118" t="s">
        <v>394</v>
      </c>
      <c r="BI150" s="118" t="s">
        <v>394</v>
      </c>
      <c r="BJ150" s="118" t="s">
        <v>393</v>
      </c>
      <c r="BK150" s="118" t="s">
        <v>6988</v>
      </c>
      <c r="BL150" s="118" t="s">
        <v>6415</v>
      </c>
      <c r="BM150" s="118" t="s">
        <v>6992</v>
      </c>
      <c r="BN150" s="118" t="s">
        <v>6991</v>
      </c>
      <c r="BO150" s="118" t="s">
        <v>6415</v>
      </c>
      <c r="BP150" s="118" t="s">
        <v>6415</v>
      </c>
      <c r="BQ150" s="118" t="s">
        <v>6415</v>
      </c>
      <c r="BR150" s="118" t="s">
        <v>6415</v>
      </c>
      <c r="BS150" s="118" t="s">
        <v>6415</v>
      </c>
      <c r="BT150" s="118" t="s">
        <v>4748</v>
      </c>
      <c r="BU150" s="118" t="s">
        <v>7057</v>
      </c>
      <c r="BV150" s="118" t="s">
        <v>6415</v>
      </c>
      <c r="BW150" s="118" t="s">
        <v>6415</v>
      </c>
      <c r="BX150" s="118" t="s">
        <v>6415</v>
      </c>
      <c r="BY150" s="118" t="s">
        <v>6415</v>
      </c>
      <c r="BZ150" s="118" t="s">
        <v>6415</v>
      </c>
      <c r="CA150" s="118" t="s">
        <v>6415</v>
      </c>
      <c r="CB150" s="118" t="s">
        <v>221</v>
      </c>
      <c r="CC150" s="118" t="s">
        <v>740</v>
      </c>
      <c r="CD150" s="118">
        <v>1</v>
      </c>
      <c r="CE150" s="118" t="s">
        <v>411</v>
      </c>
      <c r="CF150" s="118" t="s">
        <v>410</v>
      </c>
      <c r="CG150" s="118" t="s">
        <v>924</v>
      </c>
      <c r="CH150" s="118" t="s">
        <v>6300</v>
      </c>
      <c r="CI150" s="118" t="s">
        <v>6305</v>
      </c>
      <c r="CJ150" s="118" t="s">
        <v>398</v>
      </c>
      <c r="CK150" s="14">
        <v>0</v>
      </c>
      <c r="CL150" s="118">
        <v>0</v>
      </c>
      <c r="CM150" s="118" t="s">
        <v>399</v>
      </c>
      <c r="CN150" s="118" t="s">
        <v>425</v>
      </c>
      <c r="CO150" s="118" t="s">
        <v>1096</v>
      </c>
      <c r="CP150" s="118" t="s">
        <v>400</v>
      </c>
      <c r="CQ150" s="118" t="s">
        <v>6415</v>
      </c>
      <c r="CR150" s="118" t="s">
        <v>6415</v>
      </c>
      <c r="CS150" s="118" t="s">
        <v>6415</v>
      </c>
      <c r="CT150" s="118" t="s">
        <v>6415</v>
      </c>
      <c r="CU150" s="118" t="s">
        <v>6415</v>
      </c>
      <c r="CV150" s="118" t="s">
        <v>6415</v>
      </c>
      <c r="CW150" s="14">
        <v>57</v>
      </c>
      <c r="CX150" s="118" t="s">
        <v>1066</v>
      </c>
      <c r="CY150" s="118" t="s">
        <v>6341</v>
      </c>
      <c r="CZ150" s="118">
        <v>2</v>
      </c>
      <c r="DA150" s="118" t="s">
        <v>411</v>
      </c>
      <c r="DB150" s="118" t="s">
        <v>410</v>
      </c>
      <c r="DC150" s="118" t="s">
        <v>6415</v>
      </c>
      <c r="DD150" s="118" t="s">
        <v>6300</v>
      </c>
      <c r="DE150" s="118" t="s">
        <v>6303</v>
      </c>
      <c r="DF150" s="118" t="s">
        <v>398</v>
      </c>
      <c r="DG150" s="118" t="s">
        <v>6415</v>
      </c>
      <c r="DH150" s="118" t="s">
        <v>6415</v>
      </c>
      <c r="DI150" s="118" t="s">
        <v>6355</v>
      </c>
      <c r="DJ150" s="118" t="s">
        <v>398</v>
      </c>
      <c r="DK150" s="118" t="s">
        <v>400</v>
      </c>
      <c r="DL150" s="118" t="s">
        <v>6415</v>
      </c>
      <c r="DM150" s="118" t="s">
        <v>6415</v>
      </c>
      <c r="DN150" s="118" t="s">
        <v>6415</v>
      </c>
      <c r="DO150" s="118" t="s">
        <v>6415</v>
      </c>
      <c r="DP150" s="118" t="s">
        <v>6415</v>
      </c>
      <c r="DQ150" s="118" t="s">
        <v>6415</v>
      </c>
      <c r="DR150" s="118">
        <v>26</v>
      </c>
      <c r="DS150" s="118" t="s">
        <v>1066</v>
      </c>
      <c r="DT150" s="118" t="s">
        <v>6341</v>
      </c>
      <c r="DU150" s="118">
        <v>3</v>
      </c>
      <c r="DV150" s="118" t="s">
        <v>6300</v>
      </c>
      <c r="DW150" s="118" t="s">
        <v>6305</v>
      </c>
      <c r="DX150" s="118" t="s">
        <v>6151</v>
      </c>
      <c r="DY150" s="118" t="s">
        <v>6355</v>
      </c>
      <c r="DZ150" s="118" t="s">
        <v>398</v>
      </c>
      <c r="EA150" s="118" t="s">
        <v>400</v>
      </c>
      <c r="EB150" s="118" t="s">
        <v>6415</v>
      </c>
      <c r="EC150" s="118" t="s">
        <v>6415</v>
      </c>
      <c r="ED150" s="118" t="s">
        <v>6415</v>
      </c>
      <c r="EE150" s="118" t="s">
        <v>6415</v>
      </c>
      <c r="EF150" s="118" t="s">
        <v>6415</v>
      </c>
      <c r="EG150" s="118" t="s">
        <v>7241</v>
      </c>
      <c r="EH150" s="118" t="s">
        <v>7230</v>
      </c>
      <c r="EI150" s="118" t="s">
        <v>6415</v>
      </c>
      <c r="EJ150" s="118" t="s">
        <v>6415</v>
      </c>
      <c r="EK150" s="118" t="s">
        <v>6415</v>
      </c>
      <c r="EL150" s="118" t="s">
        <v>7467</v>
      </c>
      <c r="EM150" s="118" t="s">
        <v>7240</v>
      </c>
      <c r="EN150" s="118" t="s">
        <v>6415</v>
      </c>
      <c r="EO150" s="6" t="str">
        <f t="shared" si="18"/>
        <v>Pathweb</v>
      </c>
      <c r="EP150" s="6" t="str">
        <f t="shared" si="19"/>
        <v>Google Maps</v>
      </c>
      <c r="EQ150" s="6" t="str">
        <f t="shared" si="20"/>
        <v>Mashed Map</v>
      </c>
      <c r="ER150" s="118" t="s">
        <v>6727</v>
      </c>
      <c r="ES150" s="118" t="s">
        <v>71</v>
      </c>
      <c r="ET150" s="4">
        <v>0</v>
      </c>
      <c r="EU150" s="4"/>
      <c r="EV150" s="4"/>
    </row>
    <row r="151" spans="1:152" x14ac:dyDescent="0.15">
      <c r="A151" s="581" t="str">
        <f t="shared" si="17"/>
        <v>Crash Report</v>
      </c>
      <c r="B151" s="118">
        <v>20223226883</v>
      </c>
      <c r="C151" s="118">
        <v>2022</v>
      </c>
      <c r="D151" s="118">
        <v>22112222800855</v>
      </c>
      <c r="F151" s="118" t="s">
        <v>6442</v>
      </c>
      <c r="G151" s="118" t="s">
        <v>230</v>
      </c>
      <c r="H151" s="118">
        <v>2</v>
      </c>
      <c r="I151" s="118" t="s">
        <v>6055</v>
      </c>
      <c r="J151" s="118" t="s">
        <v>423</v>
      </c>
      <c r="K151" s="118" t="s">
        <v>6985</v>
      </c>
      <c r="L151" s="118">
        <v>0.51</v>
      </c>
      <c r="M151" s="118">
        <v>0.51</v>
      </c>
      <c r="N151" s="118" t="s">
        <v>7465</v>
      </c>
      <c r="O151" s="118" t="s">
        <v>7473</v>
      </c>
      <c r="P151" s="118">
        <v>41.651823</v>
      </c>
      <c r="Q151" s="118">
        <v>-83.518079</v>
      </c>
      <c r="R151" s="118">
        <v>77000</v>
      </c>
      <c r="S151" s="118" t="s">
        <v>6988</v>
      </c>
      <c r="T151" s="118">
        <v>1</v>
      </c>
      <c r="U151" s="118">
        <v>0</v>
      </c>
      <c r="V151" s="118">
        <v>0</v>
      </c>
      <c r="W151" s="118">
        <v>0</v>
      </c>
      <c r="X151" s="118">
        <v>0</v>
      </c>
      <c r="Y151" s="118">
        <v>3</v>
      </c>
      <c r="Z151" s="118">
        <v>0</v>
      </c>
      <c r="AA151" s="118">
        <v>2</v>
      </c>
      <c r="AB151" s="118" t="s">
        <v>1067</v>
      </c>
      <c r="AC151" s="118" t="s">
        <v>6989</v>
      </c>
      <c r="AD151" s="118" t="s">
        <v>1034</v>
      </c>
      <c r="AE151" s="118" t="s">
        <v>943</v>
      </c>
      <c r="AF151" s="118" t="s">
        <v>1041</v>
      </c>
      <c r="AG151" s="118" t="s">
        <v>6415</v>
      </c>
      <c r="AH151" s="118" t="s">
        <v>393</v>
      </c>
      <c r="AI151" s="118">
        <v>4</v>
      </c>
      <c r="AJ151" s="118" t="s">
        <v>6415</v>
      </c>
      <c r="AK151" s="118" t="s">
        <v>393</v>
      </c>
      <c r="AL151" s="118" t="s">
        <v>393</v>
      </c>
      <c r="AM151" s="118" t="s">
        <v>393</v>
      </c>
      <c r="AN151" s="402" t="s">
        <v>5975</v>
      </c>
      <c r="AO151" s="402">
        <v>44887</v>
      </c>
      <c r="AP151" s="118">
        <v>11</v>
      </c>
      <c r="AQ151" s="118">
        <v>8</v>
      </c>
      <c r="AR151" s="118" t="s">
        <v>6445</v>
      </c>
      <c r="AS151" s="118" t="s">
        <v>392</v>
      </c>
      <c r="AT151" s="118" t="s">
        <v>500</v>
      </c>
      <c r="AU151" s="118" t="s">
        <v>404</v>
      </c>
      <c r="AV151" s="118" t="s">
        <v>508</v>
      </c>
      <c r="AW151" s="118" t="s">
        <v>393</v>
      </c>
      <c r="AX151" s="118" t="s">
        <v>740</v>
      </c>
      <c r="AY151" s="118" t="s">
        <v>393</v>
      </c>
      <c r="AZ151" s="118" t="s">
        <v>393</v>
      </c>
      <c r="BA151" s="118" t="s">
        <v>393</v>
      </c>
      <c r="BB151" s="118" t="s">
        <v>393</v>
      </c>
      <c r="BC151" s="118" t="s">
        <v>393</v>
      </c>
      <c r="BD151" s="118" t="s">
        <v>393</v>
      </c>
      <c r="BE151" s="118" t="s">
        <v>393</v>
      </c>
      <c r="BF151" s="118" t="s">
        <v>393</v>
      </c>
      <c r="BG151" s="118" t="s">
        <v>393</v>
      </c>
      <c r="BH151" s="118" t="s">
        <v>394</v>
      </c>
      <c r="BI151" s="118" t="s">
        <v>394</v>
      </c>
      <c r="BJ151" s="118" t="s">
        <v>393</v>
      </c>
      <c r="BK151" s="118" t="s">
        <v>6988</v>
      </c>
      <c r="BL151" s="118" t="s">
        <v>261</v>
      </c>
      <c r="BM151" s="118" t="s">
        <v>1791</v>
      </c>
      <c r="BN151" s="118" t="s">
        <v>6991</v>
      </c>
      <c r="BO151" s="118" t="s">
        <v>6415</v>
      </c>
      <c r="BP151" s="118" t="s">
        <v>6415</v>
      </c>
      <c r="BQ151" s="118" t="s">
        <v>6415</v>
      </c>
      <c r="BR151" s="118" t="s">
        <v>6415</v>
      </c>
      <c r="BS151" s="118" t="s">
        <v>6415</v>
      </c>
      <c r="BT151" s="118" t="s">
        <v>6990</v>
      </c>
      <c r="BU151" s="118" t="s">
        <v>6991</v>
      </c>
      <c r="BV151" s="118" t="s">
        <v>6415</v>
      </c>
      <c r="BW151" s="118" t="s">
        <v>6415</v>
      </c>
      <c r="BX151" s="118" t="s">
        <v>6415</v>
      </c>
      <c r="BY151" s="118" t="s">
        <v>6415</v>
      </c>
      <c r="BZ151" s="118" t="s">
        <v>6415</v>
      </c>
      <c r="CA151" s="118" t="s">
        <v>6415</v>
      </c>
      <c r="CB151" s="118" t="s">
        <v>221</v>
      </c>
      <c r="CC151" s="118" t="s">
        <v>740</v>
      </c>
      <c r="CD151" s="118">
        <v>2</v>
      </c>
      <c r="CE151" s="118" t="s">
        <v>405</v>
      </c>
      <c r="CF151" s="118" t="s">
        <v>410</v>
      </c>
      <c r="CG151" s="118" t="s">
        <v>230</v>
      </c>
      <c r="CH151" s="118" t="s">
        <v>6300</v>
      </c>
      <c r="CI151" s="118" t="s">
        <v>6303</v>
      </c>
      <c r="CJ151" s="118" t="s">
        <v>398</v>
      </c>
      <c r="CK151" s="118">
        <v>20</v>
      </c>
      <c r="CL151" s="118">
        <v>35</v>
      </c>
      <c r="CM151" s="118" t="s">
        <v>436</v>
      </c>
      <c r="CN151" s="118" t="s">
        <v>6327</v>
      </c>
      <c r="CO151" s="118" t="s">
        <v>1096</v>
      </c>
      <c r="CP151" s="118" t="s">
        <v>400</v>
      </c>
      <c r="CQ151" s="118" t="s">
        <v>6415</v>
      </c>
      <c r="CR151" s="118" t="s">
        <v>6415</v>
      </c>
      <c r="CS151" s="118" t="s">
        <v>6415</v>
      </c>
      <c r="CT151" s="118" t="s">
        <v>6415</v>
      </c>
      <c r="CU151" s="118" t="s">
        <v>6415</v>
      </c>
      <c r="CV151" s="118" t="s">
        <v>6415</v>
      </c>
      <c r="CW151" s="118">
        <v>44</v>
      </c>
      <c r="CX151" s="118" t="s">
        <v>1066</v>
      </c>
      <c r="CY151" s="118" t="s">
        <v>6341</v>
      </c>
      <c r="CZ151" s="118">
        <v>1</v>
      </c>
      <c r="DA151" s="118" t="s">
        <v>406</v>
      </c>
      <c r="DB151" s="118" t="s">
        <v>405</v>
      </c>
      <c r="DC151" s="118" t="s">
        <v>6415</v>
      </c>
      <c r="DD151" s="118" t="s">
        <v>6300</v>
      </c>
      <c r="DE151" s="118" t="s">
        <v>6303</v>
      </c>
      <c r="DF151" s="118" t="s">
        <v>398</v>
      </c>
      <c r="DG151" s="118">
        <v>35</v>
      </c>
      <c r="DH151" s="118">
        <v>35</v>
      </c>
      <c r="DI151" s="118" t="s">
        <v>399</v>
      </c>
      <c r="DJ151" s="118" t="s">
        <v>398</v>
      </c>
      <c r="DK151" s="118" t="s">
        <v>400</v>
      </c>
      <c r="DL151" s="118" t="s">
        <v>6415</v>
      </c>
      <c r="DM151" s="118" t="s">
        <v>6415</v>
      </c>
      <c r="DN151" s="118" t="s">
        <v>6415</v>
      </c>
      <c r="DO151" s="118" t="s">
        <v>6415</v>
      </c>
      <c r="DP151" s="118" t="s">
        <v>6415</v>
      </c>
      <c r="DQ151" s="118" t="s">
        <v>6415</v>
      </c>
      <c r="DR151" s="118">
        <v>44</v>
      </c>
      <c r="DS151" s="118" t="s">
        <v>1066</v>
      </c>
      <c r="DT151" s="118" t="s">
        <v>6341</v>
      </c>
      <c r="DU151" s="118" t="s">
        <v>6415</v>
      </c>
      <c r="DV151" s="118" t="s">
        <v>6415</v>
      </c>
      <c r="DW151" s="118" t="s">
        <v>6415</v>
      </c>
      <c r="DX151" s="118" t="s">
        <v>6415</v>
      </c>
      <c r="DY151" s="118" t="s">
        <v>6415</v>
      </c>
      <c r="DZ151" s="118" t="s">
        <v>6415</v>
      </c>
      <c r="EA151" s="118" t="s">
        <v>6415</v>
      </c>
      <c r="EB151" s="118" t="s">
        <v>6415</v>
      </c>
      <c r="EC151" s="118" t="s">
        <v>6415</v>
      </c>
      <c r="ED151" s="118" t="s">
        <v>6415</v>
      </c>
      <c r="EE151" s="118" t="s">
        <v>6415</v>
      </c>
      <c r="EF151" s="118" t="s">
        <v>6415</v>
      </c>
      <c r="EG151" s="118" t="s">
        <v>6994</v>
      </c>
      <c r="EH151" s="118" t="s">
        <v>7175</v>
      </c>
      <c r="EI151" s="118" t="s">
        <v>6415</v>
      </c>
      <c r="EJ151" s="118" t="s">
        <v>6415</v>
      </c>
      <c r="EK151" s="118" t="s">
        <v>6415</v>
      </c>
      <c r="EL151" s="118" t="s">
        <v>7467</v>
      </c>
      <c r="EM151" s="118" t="s">
        <v>7242</v>
      </c>
      <c r="EN151" s="118" t="s">
        <v>6415</v>
      </c>
      <c r="EO151" s="6" t="str">
        <f t="shared" si="18"/>
        <v>Pathweb</v>
      </c>
      <c r="EP151" s="6" t="str">
        <f t="shared" si="19"/>
        <v>Google Maps</v>
      </c>
      <c r="EQ151" s="6" t="str">
        <f t="shared" si="20"/>
        <v>Mashed Map</v>
      </c>
      <c r="ER151" s="118" t="s">
        <v>6727</v>
      </c>
      <c r="ES151" s="118" t="s">
        <v>71</v>
      </c>
      <c r="ET151" s="4">
        <v>0</v>
      </c>
      <c r="EU151" s="4"/>
      <c r="EV151" s="4"/>
    </row>
    <row r="152" spans="1:152" x14ac:dyDescent="0.15">
      <c r="A152" s="581" t="str">
        <f t="shared" si="17"/>
        <v>Crash Report</v>
      </c>
      <c r="B152" s="118">
        <v>20223236779</v>
      </c>
      <c r="C152" s="118">
        <v>2022</v>
      </c>
      <c r="D152" s="118">
        <v>22120523451900</v>
      </c>
      <c r="F152" s="118" t="s">
        <v>6442</v>
      </c>
      <c r="G152" s="118" t="s">
        <v>212</v>
      </c>
      <c r="H152" s="118">
        <v>2</v>
      </c>
      <c r="I152" s="118" t="s">
        <v>6055</v>
      </c>
      <c r="J152" s="118" t="s">
        <v>391</v>
      </c>
      <c r="K152" s="118" t="s">
        <v>6997</v>
      </c>
      <c r="L152" s="118">
        <v>0.89</v>
      </c>
      <c r="M152" s="118">
        <v>0.89</v>
      </c>
      <c r="N152" s="118" t="s">
        <v>7469</v>
      </c>
      <c r="O152" s="118" t="s">
        <v>7466</v>
      </c>
      <c r="P152" s="118">
        <v>41.650514000000001</v>
      </c>
      <c r="Q152" s="118">
        <v>-83.525591000000006</v>
      </c>
      <c r="R152" s="118">
        <v>77000</v>
      </c>
      <c r="S152" s="118" t="s">
        <v>6988</v>
      </c>
      <c r="T152" s="118">
        <v>1</v>
      </c>
      <c r="U152" s="118">
        <v>0</v>
      </c>
      <c r="V152" s="118">
        <v>0</v>
      </c>
      <c r="W152" s="118">
        <v>0</v>
      </c>
      <c r="X152" s="118">
        <v>0</v>
      </c>
      <c r="Y152" s="118">
        <v>2</v>
      </c>
      <c r="Z152" s="118">
        <v>0</v>
      </c>
      <c r="AA152" s="118">
        <v>2</v>
      </c>
      <c r="AB152" s="118" t="s">
        <v>1067</v>
      </c>
      <c r="AC152" s="118" t="s">
        <v>6989</v>
      </c>
      <c r="AD152" s="118" t="s">
        <v>1034</v>
      </c>
      <c r="AE152" s="118" t="s">
        <v>943</v>
      </c>
      <c r="AF152" s="118" t="s">
        <v>1041</v>
      </c>
      <c r="AG152" s="118" t="s">
        <v>6415</v>
      </c>
      <c r="AH152" s="118" t="s">
        <v>393</v>
      </c>
      <c r="AI152" s="118">
        <v>2</v>
      </c>
      <c r="AJ152" s="118" t="s">
        <v>6415</v>
      </c>
      <c r="AK152" s="118" t="s">
        <v>393</v>
      </c>
      <c r="AL152" s="118" t="s">
        <v>393</v>
      </c>
      <c r="AM152" s="118" t="s">
        <v>393</v>
      </c>
      <c r="AN152" s="402" t="s">
        <v>5975</v>
      </c>
      <c r="AO152" s="402">
        <v>44900</v>
      </c>
      <c r="AP152" s="118">
        <v>12</v>
      </c>
      <c r="AQ152" s="118">
        <v>19</v>
      </c>
      <c r="AR152" s="118" t="s">
        <v>6444</v>
      </c>
      <c r="AS152" s="118" t="s">
        <v>392</v>
      </c>
      <c r="AT152" s="118" t="s">
        <v>500</v>
      </c>
      <c r="AU152" s="118" t="s">
        <v>6324</v>
      </c>
      <c r="AV152" s="118" t="s">
        <v>508</v>
      </c>
      <c r="AW152" s="118" t="s">
        <v>393</v>
      </c>
      <c r="AX152" s="118" t="s">
        <v>740</v>
      </c>
      <c r="AY152" s="118" t="s">
        <v>393</v>
      </c>
      <c r="AZ152" s="118" t="s">
        <v>393</v>
      </c>
      <c r="BA152" s="118" t="s">
        <v>393</v>
      </c>
      <c r="BB152" s="118" t="s">
        <v>393</v>
      </c>
      <c r="BC152" s="118" t="s">
        <v>393</v>
      </c>
      <c r="BD152" s="118" t="s">
        <v>393</v>
      </c>
      <c r="BE152" s="118" t="s">
        <v>393</v>
      </c>
      <c r="BF152" s="118" t="s">
        <v>740</v>
      </c>
      <c r="BG152" s="118" t="s">
        <v>393</v>
      </c>
      <c r="BH152" s="118" t="s">
        <v>394</v>
      </c>
      <c r="BI152" s="118" t="s">
        <v>394</v>
      </c>
      <c r="BJ152" s="118" t="s">
        <v>393</v>
      </c>
      <c r="BK152" s="118" t="s">
        <v>6988</v>
      </c>
      <c r="BL152" s="118" t="s">
        <v>6415</v>
      </c>
      <c r="BM152" s="118" t="s">
        <v>4748</v>
      </c>
      <c r="BN152" s="118" t="s">
        <v>7057</v>
      </c>
      <c r="BO152" s="118" t="s">
        <v>6415</v>
      </c>
      <c r="BP152" s="118" t="s">
        <v>6415</v>
      </c>
      <c r="BQ152" s="118" t="s">
        <v>6415</v>
      </c>
      <c r="BR152" s="118" t="s">
        <v>6415</v>
      </c>
      <c r="BS152" s="118" t="s">
        <v>6415</v>
      </c>
      <c r="BT152" s="118" t="s">
        <v>6992</v>
      </c>
      <c r="BU152" s="118" t="s">
        <v>6991</v>
      </c>
      <c r="BV152" s="118" t="s">
        <v>6415</v>
      </c>
      <c r="BW152" s="118" t="s">
        <v>6415</v>
      </c>
      <c r="BX152" s="118" t="s">
        <v>6415</v>
      </c>
      <c r="BY152" s="118" t="s">
        <v>6415</v>
      </c>
      <c r="BZ152" s="118" t="s">
        <v>6415</v>
      </c>
      <c r="CA152" s="118" t="s">
        <v>6415</v>
      </c>
      <c r="CB152" s="118" t="s">
        <v>221</v>
      </c>
      <c r="CC152" s="118" t="s">
        <v>740</v>
      </c>
      <c r="CD152" s="118">
        <v>1</v>
      </c>
      <c r="CE152" s="118" t="s">
        <v>411</v>
      </c>
      <c r="CF152" s="118" t="s">
        <v>410</v>
      </c>
      <c r="CG152" s="118" t="s">
        <v>924</v>
      </c>
      <c r="CH152" s="118" t="s">
        <v>6300</v>
      </c>
      <c r="CI152" s="118" t="s">
        <v>6303</v>
      </c>
      <c r="CJ152" s="118" t="s">
        <v>398</v>
      </c>
      <c r="CK152" s="118">
        <v>0</v>
      </c>
      <c r="CL152" s="118">
        <v>25</v>
      </c>
      <c r="CM152" s="118" t="s">
        <v>212</v>
      </c>
      <c r="CN152" s="118" t="s">
        <v>441</v>
      </c>
      <c r="CO152" s="118" t="s">
        <v>1096</v>
      </c>
      <c r="CP152" s="118" t="s">
        <v>400</v>
      </c>
      <c r="CQ152" s="118" t="s">
        <v>6415</v>
      </c>
      <c r="CR152" s="118" t="s">
        <v>6415</v>
      </c>
      <c r="CS152" s="118" t="s">
        <v>6415</v>
      </c>
      <c r="CT152" s="118" t="s">
        <v>6415</v>
      </c>
      <c r="CU152" s="118" t="s">
        <v>6415</v>
      </c>
      <c r="CV152" s="118" t="s">
        <v>6415</v>
      </c>
      <c r="CW152" s="118">
        <v>23</v>
      </c>
      <c r="CX152" s="118" t="s">
        <v>1068</v>
      </c>
      <c r="CY152" s="118" t="s">
        <v>6151</v>
      </c>
      <c r="CZ152" s="118">
        <v>2</v>
      </c>
      <c r="DA152" s="118" t="s">
        <v>410</v>
      </c>
      <c r="DB152" s="118" t="s">
        <v>411</v>
      </c>
      <c r="DC152" s="118" t="s">
        <v>6415</v>
      </c>
      <c r="DD152" s="118" t="s">
        <v>6300</v>
      </c>
      <c r="DE152" s="118" t="s">
        <v>6303</v>
      </c>
      <c r="DF152" s="118" t="s">
        <v>398</v>
      </c>
      <c r="DG152" s="118" t="s">
        <v>6415</v>
      </c>
      <c r="DH152" s="118">
        <v>25</v>
      </c>
      <c r="DI152" s="118" t="s">
        <v>6355</v>
      </c>
      <c r="DJ152" s="118" t="s">
        <v>398</v>
      </c>
      <c r="DK152" s="118" t="s">
        <v>400</v>
      </c>
      <c r="DL152" s="118" t="s">
        <v>6415</v>
      </c>
      <c r="DM152" s="118" t="s">
        <v>6415</v>
      </c>
      <c r="DN152" s="118" t="s">
        <v>6415</v>
      </c>
      <c r="DO152" s="118" t="s">
        <v>6415</v>
      </c>
      <c r="DP152" s="118" t="s">
        <v>6415</v>
      </c>
      <c r="DQ152" s="118" t="s">
        <v>6415</v>
      </c>
      <c r="DR152" s="118">
        <v>23</v>
      </c>
      <c r="DS152" s="118" t="s">
        <v>1068</v>
      </c>
      <c r="DT152" s="118" t="s">
        <v>6341</v>
      </c>
      <c r="DU152" s="118" t="s">
        <v>6415</v>
      </c>
      <c r="DV152" s="118" t="s">
        <v>6415</v>
      </c>
      <c r="DW152" s="118" t="s">
        <v>6415</v>
      </c>
      <c r="DX152" s="118" t="s">
        <v>6415</v>
      </c>
      <c r="DY152" s="118" t="s">
        <v>6415</v>
      </c>
      <c r="DZ152" s="118" t="s">
        <v>6415</v>
      </c>
      <c r="EA152" s="118" t="s">
        <v>6415</v>
      </c>
      <c r="EB152" s="118" t="s">
        <v>6415</v>
      </c>
      <c r="EC152" s="118" t="s">
        <v>6415</v>
      </c>
      <c r="ED152" s="118" t="s">
        <v>6415</v>
      </c>
      <c r="EE152" s="118" t="s">
        <v>6415</v>
      </c>
      <c r="EF152" s="118" t="s">
        <v>6415</v>
      </c>
      <c r="EG152" s="118" t="s">
        <v>7241</v>
      </c>
      <c r="EH152" s="118" t="s">
        <v>7230</v>
      </c>
      <c r="EI152" s="118" t="s">
        <v>6415</v>
      </c>
      <c r="EJ152" s="118" t="s">
        <v>6415</v>
      </c>
      <c r="EK152" s="118" t="s">
        <v>6415</v>
      </c>
      <c r="EL152" s="118" t="s">
        <v>7467</v>
      </c>
      <c r="EM152" s="118" t="s">
        <v>7243</v>
      </c>
      <c r="EN152" s="118" t="s">
        <v>6415</v>
      </c>
      <c r="EO152" s="6" t="str">
        <f t="shared" si="18"/>
        <v>Pathweb</v>
      </c>
      <c r="EP152" s="6" t="str">
        <f t="shared" si="19"/>
        <v>Google Maps</v>
      </c>
      <c r="EQ152" s="6" t="str">
        <f t="shared" si="20"/>
        <v>Mashed Map</v>
      </c>
      <c r="ER152" s="118" t="s">
        <v>6727</v>
      </c>
      <c r="ES152" s="118" t="s">
        <v>71</v>
      </c>
      <c r="ET152" s="4">
        <v>0</v>
      </c>
      <c r="EU152" s="4"/>
      <c r="EV152" s="4"/>
    </row>
    <row r="153" spans="1:152" x14ac:dyDescent="0.15">
      <c r="A153" s="581" t="str">
        <f t="shared" si="17"/>
        <v>Crash Report</v>
      </c>
      <c r="B153" s="14">
        <v>20223245333</v>
      </c>
      <c r="C153" s="118">
        <v>2022</v>
      </c>
      <c r="D153" s="14">
        <v>22121727791715</v>
      </c>
      <c r="F153" s="118" t="s">
        <v>6442</v>
      </c>
      <c r="G153" s="118" t="s">
        <v>211</v>
      </c>
      <c r="H153" s="118">
        <v>2</v>
      </c>
      <c r="I153" s="118" t="s">
        <v>6055</v>
      </c>
      <c r="J153" s="118" t="s">
        <v>391</v>
      </c>
      <c r="K153" s="118" t="s">
        <v>6985</v>
      </c>
      <c r="L153" s="118">
        <v>0.39500000000000002</v>
      </c>
      <c r="M153" s="118">
        <v>0.39500000000000002</v>
      </c>
      <c r="N153" s="118" t="s">
        <v>7465</v>
      </c>
      <c r="O153" s="118" t="s">
        <v>7490</v>
      </c>
      <c r="P153" s="118">
        <v>41.650773000000001</v>
      </c>
      <c r="Q153" s="118">
        <v>-83.519796999999997</v>
      </c>
      <c r="R153" s="118">
        <v>77000</v>
      </c>
      <c r="S153" s="118" t="s">
        <v>6988</v>
      </c>
      <c r="T153" s="118">
        <v>1</v>
      </c>
      <c r="U153" s="118">
        <v>0</v>
      </c>
      <c r="V153" s="118">
        <v>0</v>
      </c>
      <c r="W153" s="118">
        <v>0</v>
      </c>
      <c r="X153" s="118">
        <v>0</v>
      </c>
      <c r="Y153" s="118">
        <v>2</v>
      </c>
      <c r="Z153" s="118">
        <v>0</v>
      </c>
      <c r="AA153" s="118">
        <v>2</v>
      </c>
      <c r="AB153" s="118" t="s">
        <v>1067</v>
      </c>
      <c r="AC153" s="118" t="s">
        <v>6989</v>
      </c>
      <c r="AD153" s="118" t="s">
        <v>1034</v>
      </c>
      <c r="AE153" s="118" t="s">
        <v>943</v>
      </c>
      <c r="AF153" s="118" t="s">
        <v>1041</v>
      </c>
      <c r="AG153" s="118" t="s">
        <v>6415</v>
      </c>
      <c r="AH153" s="118" t="s">
        <v>393</v>
      </c>
      <c r="AI153" s="118">
        <v>4</v>
      </c>
      <c r="AJ153" s="118" t="s">
        <v>6415</v>
      </c>
      <c r="AK153" s="118" t="s">
        <v>393</v>
      </c>
      <c r="AL153" s="118" t="s">
        <v>393</v>
      </c>
      <c r="AM153" s="118" t="s">
        <v>393</v>
      </c>
      <c r="AN153" s="402" t="s">
        <v>5975</v>
      </c>
      <c r="AO153" s="402">
        <v>44912</v>
      </c>
      <c r="AP153" s="118">
        <v>12</v>
      </c>
      <c r="AQ153" s="118">
        <v>17</v>
      </c>
      <c r="AR153" s="118" t="s">
        <v>6449</v>
      </c>
      <c r="AS153" s="118" t="s">
        <v>403</v>
      </c>
      <c r="AT153" s="118" t="s">
        <v>500</v>
      </c>
      <c r="AU153" s="118" t="s">
        <v>6324</v>
      </c>
      <c r="AV153" s="118" t="s">
        <v>508</v>
      </c>
      <c r="AW153" s="118" t="s">
        <v>393</v>
      </c>
      <c r="AX153" s="118" t="s">
        <v>393</v>
      </c>
      <c r="AY153" s="118" t="s">
        <v>393</v>
      </c>
      <c r="AZ153" s="118" t="s">
        <v>393</v>
      </c>
      <c r="BA153" s="118" t="s">
        <v>393</v>
      </c>
      <c r="BB153" s="118" t="s">
        <v>393</v>
      </c>
      <c r="BC153" s="118" t="s">
        <v>393</v>
      </c>
      <c r="BD153" s="118" t="s">
        <v>393</v>
      </c>
      <c r="BE153" s="118" t="s">
        <v>393</v>
      </c>
      <c r="BF153" s="118" t="s">
        <v>393</v>
      </c>
      <c r="BG153" s="118" t="s">
        <v>393</v>
      </c>
      <c r="BH153" s="118" t="s">
        <v>394</v>
      </c>
      <c r="BI153" s="118" t="s">
        <v>394</v>
      </c>
      <c r="BJ153" s="118" t="s">
        <v>393</v>
      </c>
      <c r="BK153" s="118" t="s">
        <v>6988</v>
      </c>
      <c r="BL153" s="118" t="s">
        <v>6415</v>
      </c>
      <c r="BM153" s="118" t="s">
        <v>6990</v>
      </c>
      <c r="BN153" s="118" t="s">
        <v>6991</v>
      </c>
      <c r="BO153" s="118" t="s">
        <v>6415</v>
      </c>
      <c r="BP153" s="118" t="s">
        <v>6415</v>
      </c>
      <c r="BQ153" s="118" t="s">
        <v>6415</v>
      </c>
      <c r="BR153" s="118" t="s">
        <v>6415</v>
      </c>
      <c r="BS153" s="118" t="s">
        <v>6415</v>
      </c>
      <c r="BT153" s="118" t="s">
        <v>2579</v>
      </c>
      <c r="BU153" s="118" t="s">
        <v>6991</v>
      </c>
      <c r="BV153" s="118" t="s">
        <v>6415</v>
      </c>
      <c r="BW153" s="118" t="s">
        <v>6415</v>
      </c>
      <c r="BX153" s="118" t="s">
        <v>6415</v>
      </c>
      <c r="BY153" s="118" t="s">
        <v>6415</v>
      </c>
      <c r="BZ153" s="118" t="s">
        <v>6415</v>
      </c>
      <c r="CA153" s="118" t="s">
        <v>6415</v>
      </c>
      <c r="CB153" s="118" t="s">
        <v>221</v>
      </c>
      <c r="CC153" s="118" t="s">
        <v>740</v>
      </c>
      <c r="CD153" s="118">
        <v>1</v>
      </c>
      <c r="CE153" s="118" t="s">
        <v>405</v>
      </c>
      <c r="CF153" s="118" t="s">
        <v>406</v>
      </c>
      <c r="CG153" s="118" t="s">
        <v>924</v>
      </c>
      <c r="CH153" s="118" t="s">
        <v>6302</v>
      </c>
      <c r="CI153" s="118" t="s">
        <v>6305</v>
      </c>
      <c r="CJ153" s="118" t="s">
        <v>398</v>
      </c>
      <c r="CK153" s="14">
        <v>0</v>
      </c>
      <c r="CL153" s="118">
        <v>35</v>
      </c>
      <c r="CM153" s="118" t="s">
        <v>439</v>
      </c>
      <c r="CN153" s="118" t="s">
        <v>6328</v>
      </c>
      <c r="CO153" s="118" t="s">
        <v>1096</v>
      </c>
      <c r="CP153" s="118" t="s">
        <v>400</v>
      </c>
      <c r="CQ153" s="118" t="s">
        <v>6415</v>
      </c>
      <c r="CR153" s="118" t="s">
        <v>6415</v>
      </c>
      <c r="CS153" s="118" t="s">
        <v>6415</v>
      </c>
      <c r="CT153" s="118" t="s">
        <v>6415</v>
      </c>
      <c r="CU153" s="118" t="s">
        <v>6415</v>
      </c>
      <c r="CV153" s="118" t="s">
        <v>6415</v>
      </c>
      <c r="CW153" s="14">
        <v>31</v>
      </c>
      <c r="CX153" s="118" t="s">
        <v>1068</v>
      </c>
      <c r="CY153" s="118" t="s">
        <v>6151</v>
      </c>
      <c r="CZ153" s="118">
        <v>2</v>
      </c>
      <c r="DA153" s="118" t="s">
        <v>411</v>
      </c>
      <c r="DB153" s="118" t="s">
        <v>405</v>
      </c>
      <c r="DC153" s="118" t="s">
        <v>6415</v>
      </c>
      <c r="DD153" s="118" t="s">
        <v>6302</v>
      </c>
      <c r="DE153" s="118" t="s">
        <v>6303</v>
      </c>
      <c r="DF153" s="118" t="s">
        <v>398</v>
      </c>
      <c r="DG153" s="118" t="s">
        <v>6415</v>
      </c>
      <c r="DH153" s="118">
        <v>35</v>
      </c>
      <c r="DI153" s="118" t="s">
        <v>436</v>
      </c>
      <c r="DJ153" s="118" t="s">
        <v>398</v>
      </c>
      <c r="DK153" s="118" t="s">
        <v>400</v>
      </c>
      <c r="DL153" s="118" t="s">
        <v>6415</v>
      </c>
      <c r="DM153" s="118" t="s">
        <v>6415</v>
      </c>
      <c r="DN153" s="118" t="s">
        <v>6415</v>
      </c>
      <c r="DO153" s="118" t="s">
        <v>6415</v>
      </c>
      <c r="DP153" s="118" t="s">
        <v>6415</v>
      </c>
      <c r="DQ153" s="118" t="s">
        <v>6415</v>
      </c>
      <c r="DR153" s="118">
        <v>52</v>
      </c>
      <c r="DS153" s="118" t="s">
        <v>1068</v>
      </c>
      <c r="DT153" s="118" t="s">
        <v>6341</v>
      </c>
      <c r="DU153" s="118" t="s">
        <v>6415</v>
      </c>
      <c r="DV153" s="118" t="s">
        <v>6415</v>
      </c>
      <c r="DW153" s="118" t="s">
        <v>6415</v>
      </c>
      <c r="DX153" s="118" t="s">
        <v>6415</v>
      </c>
      <c r="DY153" s="118" t="s">
        <v>6415</v>
      </c>
      <c r="DZ153" s="118" t="s">
        <v>6415</v>
      </c>
      <c r="EA153" s="118" t="s">
        <v>6415</v>
      </c>
      <c r="EB153" s="118" t="s">
        <v>6415</v>
      </c>
      <c r="EC153" s="118" t="s">
        <v>6415</v>
      </c>
      <c r="ED153" s="118" t="s">
        <v>6415</v>
      </c>
      <c r="EE153" s="118" t="s">
        <v>6415</v>
      </c>
      <c r="EF153" s="118" t="s">
        <v>6415</v>
      </c>
      <c r="EG153" s="118" t="s">
        <v>6415</v>
      </c>
      <c r="EH153" s="118" t="s">
        <v>6415</v>
      </c>
      <c r="EI153" s="118" t="s">
        <v>6415</v>
      </c>
      <c r="EJ153" s="118" t="s">
        <v>6415</v>
      </c>
      <c r="EK153" s="118" t="s">
        <v>6415</v>
      </c>
      <c r="EL153" s="118" t="s">
        <v>7467</v>
      </c>
      <c r="EM153" s="118" t="s">
        <v>7244</v>
      </c>
      <c r="EN153" s="118" t="s">
        <v>6415</v>
      </c>
      <c r="EO153" s="6" t="str">
        <f t="shared" si="18"/>
        <v>Pathweb</v>
      </c>
      <c r="EP153" s="6" t="str">
        <f t="shared" si="19"/>
        <v>Google Maps</v>
      </c>
      <c r="EQ153" s="6" t="str">
        <f t="shared" si="20"/>
        <v>Mashed Map</v>
      </c>
      <c r="ER153" s="118" t="s">
        <v>6727</v>
      </c>
      <c r="ES153" s="118" t="s">
        <v>71</v>
      </c>
      <c r="ET153" s="4">
        <v>5.7000000000000002E-2</v>
      </c>
      <c r="EU153" s="4"/>
      <c r="EV153" s="4"/>
    </row>
    <row r="154" spans="1:152" x14ac:dyDescent="0.15">
      <c r="A154" s="581" t="str">
        <f t="shared" si="17"/>
        <v>Crash Report</v>
      </c>
      <c r="B154" s="14">
        <v>20223250119</v>
      </c>
      <c r="C154" s="118">
        <v>2022</v>
      </c>
      <c r="D154" s="14">
        <v>22122622870306</v>
      </c>
      <c r="F154" s="118" t="s">
        <v>6442</v>
      </c>
      <c r="G154" s="118" t="s">
        <v>416</v>
      </c>
      <c r="H154" s="118">
        <v>2</v>
      </c>
      <c r="I154" s="118" t="s">
        <v>6055</v>
      </c>
      <c r="J154" s="118" t="s">
        <v>391</v>
      </c>
      <c r="K154" s="118" t="s">
        <v>6985</v>
      </c>
      <c r="L154" s="118">
        <v>0.61</v>
      </c>
      <c r="M154" s="118">
        <v>0.61</v>
      </c>
      <c r="N154" s="118" t="s">
        <v>7465</v>
      </c>
      <c r="O154" s="118">
        <v>1299</v>
      </c>
      <c r="P154" s="118">
        <v>41.652734000000002</v>
      </c>
      <c r="Q154" s="118">
        <v>-83.516582999999997</v>
      </c>
      <c r="R154" s="118">
        <v>77000</v>
      </c>
      <c r="S154" s="118" t="s">
        <v>6988</v>
      </c>
      <c r="T154" s="118">
        <v>1</v>
      </c>
      <c r="U154" s="118">
        <v>0</v>
      </c>
      <c r="V154" s="118">
        <v>0</v>
      </c>
      <c r="W154" s="118">
        <v>0</v>
      </c>
      <c r="X154" s="118">
        <v>0</v>
      </c>
      <c r="Y154" s="118">
        <v>1</v>
      </c>
      <c r="Z154" s="118">
        <v>0</v>
      </c>
      <c r="AA154" s="118">
        <v>1</v>
      </c>
      <c r="AB154" s="118" t="s">
        <v>1067</v>
      </c>
      <c r="AC154" s="118" t="s">
        <v>6989</v>
      </c>
      <c r="AD154" s="118" t="s">
        <v>1034</v>
      </c>
      <c r="AE154" s="118" t="s">
        <v>943</v>
      </c>
      <c r="AF154" s="118" t="s">
        <v>1041</v>
      </c>
      <c r="AG154" s="118" t="s">
        <v>6415</v>
      </c>
      <c r="AH154" s="118" t="s">
        <v>393</v>
      </c>
      <c r="AI154" s="118">
        <v>4</v>
      </c>
      <c r="AJ154" s="118" t="s">
        <v>6415</v>
      </c>
      <c r="AK154" s="118" t="s">
        <v>393</v>
      </c>
      <c r="AL154" s="118" t="s">
        <v>393</v>
      </c>
      <c r="AM154" s="118" t="s">
        <v>393</v>
      </c>
      <c r="AN154" s="402" t="s">
        <v>5975</v>
      </c>
      <c r="AO154" s="402">
        <v>44921</v>
      </c>
      <c r="AP154" s="118">
        <v>12</v>
      </c>
      <c r="AQ154" s="118">
        <v>3</v>
      </c>
      <c r="AR154" s="118" t="s">
        <v>6444</v>
      </c>
      <c r="AS154" s="118" t="s">
        <v>392</v>
      </c>
      <c r="AT154" s="118" t="s">
        <v>500</v>
      </c>
      <c r="AU154" s="118" t="s">
        <v>505</v>
      </c>
      <c r="AV154" s="118" t="s">
        <v>508</v>
      </c>
      <c r="AW154" s="118" t="s">
        <v>740</v>
      </c>
      <c r="AX154" s="118" t="s">
        <v>393</v>
      </c>
      <c r="AY154" s="118" t="s">
        <v>740</v>
      </c>
      <c r="AZ154" s="118" t="s">
        <v>740</v>
      </c>
      <c r="BA154" s="118" t="s">
        <v>740</v>
      </c>
      <c r="BB154" s="118" t="s">
        <v>393</v>
      </c>
      <c r="BC154" s="118" t="s">
        <v>393</v>
      </c>
      <c r="BD154" s="118" t="s">
        <v>393</v>
      </c>
      <c r="BE154" s="118" t="s">
        <v>393</v>
      </c>
      <c r="BF154" s="118" t="s">
        <v>740</v>
      </c>
      <c r="BG154" s="118" t="s">
        <v>393</v>
      </c>
      <c r="BH154" s="118" t="s">
        <v>394</v>
      </c>
      <c r="BI154" s="118" t="s">
        <v>394</v>
      </c>
      <c r="BJ154" s="118" t="s">
        <v>393</v>
      </c>
      <c r="BK154" s="118" t="s">
        <v>6988</v>
      </c>
      <c r="BL154" s="118" t="s">
        <v>6415</v>
      </c>
      <c r="BM154" s="118" t="s">
        <v>6990</v>
      </c>
      <c r="BN154" s="118" t="s">
        <v>6991</v>
      </c>
      <c r="BO154" s="118" t="s">
        <v>6415</v>
      </c>
      <c r="BP154" s="118" t="s">
        <v>6415</v>
      </c>
      <c r="BQ154" s="118" t="s">
        <v>6415</v>
      </c>
      <c r="BR154" s="118" t="s">
        <v>6415</v>
      </c>
      <c r="BS154" s="118" t="s">
        <v>6415</v>
      </c>
      <c r="BT154" s="118" t="s">
        <v>7247</v>
      </c>
      <c r="BU154" s="118" t="s">
        <v>6415</v>
      </c>
      <c r="BV154" s="118" t="s">
        <v>6415</v>
      </c>
      <c r="BW154" s="118" t="s">
        <v>6415</v>
      </c>
      <c r="BX154" s="118" t="s">
        <v>6415</v>
      </c>
      <c r="BY154" s="118" t="s">
        <v>6415</v>
      </c>
      <c r="BZ154" s="118">
        <v>1299</v>
      </c>
      <c r="CA154" s="118" t="s">
        <v>6415</v>
      </c>
      <c r="CB154" s="118" t="s">
        <v>422</v>
      </c>
      <c r="CC154" s="118" t="s">
        <v>740</v>
      </c>
      <c r="CD154" s="118">
        <v>1</v>
      </c>
      <c r="CE154" s="118" t="s">
        <v>410</v>
      </c>
      <c r="CF154" s="118" t="s">
        <v>411</v>
      </c>
      <c r="CG154" s="118" t="s">
        <v>924</v>
      </c>
      <c r="CH154" s="118" t="s">
        <v>6302</v>
      </c>
      <c r="CI154" s="118" t="s">
        <v>417</v>
      </c>
      <c r="CJ154" s="118" t="s">
        <v>398</v>
      </c>
      <c r="CK154" s="14">
        <v>0</v>
      </c>
      <c r="CL154" s="118">
        <v>15</v>
      </c>
      <c r="CM154" s="118" t="s">
        <v>399</v>
      </c>
      <c r="CN154" s="118" t="s">
        <v>6331</v>
      </c>
      <c r="CO154" s="118" t="s">
        <v>460</v>
      </c>
      <c r="CP154" s="118" t="s">
        <v>418</v>
      </c>
      <c r="CQ154" s="118" t="s">
        <v>460</v>
      </c>
      <c r="CR154" s="118" t="s">
        <v>6415</v>
      </c>
      <c r="CS154" s="118" t="s">
        <v>6415</v>
      </c>
      <c r="CT154" s="118" t="s">
        <v>6415</v>
      </c>
      <c r="CU154" s="118" t="s">
        <v>6415</v>
      </c>
      <c r="CV154" s="118" t="s">
        <v>6415</v>
      </c>
      <c r="CW154" s="14">
        <v>23</v>
      </c>
      <c r="CX154" s="118" t="s">
        <v>1068</v>
      </c>
      <c r="CY154" s="118" t="s">
        <v>6341</v>
      </c>
      <c r="CZ154" s="118" t="s">
        <v>6415</v>
      </c>
      <c r="DA154" s="118" t="s">
        <v>6415</v>
      </c>
      <c r="DB154" s="118" t="s">
        <v>6415</v>
      </c>
      <c r="DC154" s="118" t="s">
        <v>6415</v>
      </c>
      <c r="DD154" s="118" t="s">
        <v>6415</v>
      </c>
      <c r="DE154" s="118" t="s">
        <v>6415</v>
      </c>
      <c r="DF154" s="118" t="s">
        <v>6415</v>
      </c>
      <c r="DG154" s="118" t="s">
        <v>6415</v>
      </c>
      <c r="DH154" s="118" t="s">
        <v>6415</v>
      </c>
      <c r="DI154" s="118" t="s">
        <v>6415</v>
      </c>
      <c r="DJ154" s="118" t="s">
        <v>6415</v>
      </c>
      <c r="DK154" s="118" t="s">
        <v>6415</v>
      </c>
      <c r="DL154" s="118" t="s">
        <v>6415</v>
      </c>
      <c r="DM154" s="118" t="s">
        <v>6415</v>
      </c>
      <c r="DN154" s="118" t="s">
        <v>6415</v>
      </c>
      <c r="DO154" s="118" t="s">
        <v>6415</v>
      </c>
      <c r="DP154" s="118" t="s">
        <v>6415</v>
      </c>
      <c r="DQ154" s="118" t="s">
        <v>6415</v>
      </c>
      <c r="DR154" s="118">
        <v>0</v>
      </c>
      <c r="DS154" s="118" t="s">
        <v>6415</v>
      </c>
      <c r="DT154" s="118" t="s">
        <v>6415</v>
      </c>
      <c r="DU154" s="118" t="s">
        <v>6415</v>
      </c>
      <c r="DV154" s="118" t="s">
        <v>6415</v>
      </c>
      <c r="DW154" s="118" t="s">
        <v>6415</v>
      </c>
      <c r="DX154" s="118" t="s">
        <v>6415</v>
      </c>
      <c r="DY154" s="118" t="s">
        <v>6415</v>
      </c>
      <c r="DZ154" s="118" t="s">
        <v>6415</v>
      </c>
      <c r="EA154" s="118" t="s">
        <v>6415</v>
      </c>
      <c r="EB154" s="118" t="s">
        <v>6415</v>
      </c>
      <c r="EC154" s="118" t="s">
        <v>6415</v>
      </c>
      <c r="ED154" s="118" t="s">
        <v>6415</v>
      </c>
      <c r="EE154" s="118" t="s">
        <v>6415</v>
      </c>
      <c r="EF154" s="118" t="s">
        <v>6415</v>
      </c>
      <c r="EG154" s="118" t="s">
        <v>7210</v>
      </c>
      <c r="EH154" s="118" t="s">
        <v>7246</v>
      </c>
      <c r="EI154" s="118" t="s">
        <v>6415</v>
      </c>
      <c r="EJ154" s="118" t="s">
        <v>6415</v>
      </c>
      <c r="EK154" s="118" t="s">
        <v>6415</v>
      </c>
      <c r="EL154" s="118" t="s">
        <v>7467</v>
      </c>
      <c r="EM154" s="118" t="s">
        <v>7245</v>
      </c>
      <c r="EN154" s="118" t="s">
        <v>6415</v>
      </c>
      <c r="EO154" s="6" t="str">
        <f t="shared" si="18"/>
        <v>Pathweb</v>
      </c>
      <c r="EP154" s="6" t="str">
        <f t="shared" si="19"/>
        <v>Google Maps</v>
      </c>
      <c r="EQ154" s="6" t="str">
        <f t="shared" si="20"/>
        <v>Mashed Map</v>
      </c>
      <c r="ER154" s="118" t="s">
        <v>6726</v>
      </c>
      <c r="ES154" s="118" t="s">
        <v>71</v>
      </c>
      <c r="ET154" s="4">
        <v>0</v>
      </c>
      <c r="EU154" s="4"/>
      <c r="EV154" s="4"/>
    </row>
    <row r="155" spans="1:152" x14ac:dyDescent="0.15">
      <c r="A155" s="581" t="str">
        <f t="shared" si="17"/>
        <v>Crash Report</v>
      </c>
      <c r="B155" s="118">
        <v>20223254227</v>
      </c>
      <c r="C155" s="118">
        <v>2022</v>
      </c>
      <c r="D155" s="118">
        <v>22122925440910</v>
      </c>
      <c r="F155" s="118" t="s">
        <v>6442</v>
      </c>
      <c r="G155" s="118" t="s">
        <v>210</v>
      </c>
      <c r="H155" s="118">
        <v>2</v>
      </c>
      <c r="I155" s="118" t="s">
        <v>6055</v>
      </c>
      <c r="J155" s="118" t="s">
        <v>391</v>
      </c>
      <c r="K155" s="118" t="s">
        <v>6997</v>
      </c>
      <c r="L155" s="118">
        <v>0.06</v>
      </c>
      <c r="M155" s="118">
        <v>0.06</v>
      </c>
      <c r="N155" s="118" t="s">
        <v>7469</v>
      </c>
      <c r="O155" s="118" t="s">
        <v>7495</v>
      </c>
      <c r="P155" s="118">
        <v>41.640701</v>
      </c>
      <c r="Q155" s="118">
        <v>-83.518187999999995</v>
      </c>
      <c r="R155" s="118">
        <v>77000</v>
      </c>
      <c r="S155" s="118" t="s">
        <v>6988</v>
      </c>
      <c r="T155" s="118">
        <v>1</v>
      </c>
      <c r="U155" s="118">
        <v>0</v>
      </c>
      <c r="V155" s="118">
        <v>0</v>
      </c>
      <c r="W155" s="118">
        <v>0</v>
      </c>
      <c r="X155" s="118">
        <v>0</v>
      </c>
      <c r="Y155" s="118">
        <v>2</v>
      </c>
      <c r="Z155" s="118">
        <v>0</v>
      </c>
      <c r="AA155" s="118">
        <v>3</v>
      </c>
      <c r="AB155" s="118" t="s">
        <v>1067</v>
      </c>
      <c r="AC155" s="118" t="s">
        <v>6989</v>
      </c>
      <c r="AD155" s="118" t="s">
        <v>1034</v>
      </c>
      <c r="AE155" s="118" t="s">
        <v>943</v>
      </c>
      <c r="AF155" s="118" t="s">
        <v>1045</v>
      </c>
      <c r="AG155" s="118" t="s">
        <v>6415</v>
      </c>
      <c r="AH155" s="118" t="s">
        <v>393</v>
      </c>
      <c r="AI155" s="118">
        <v>4</v>
      </c>
      <c r="AJ155" s="118" t="s">
        <v>6415</v>
      </c>
      <c r="AK155" s="118" t="s">
        <v>393</v>
      </c>
      <c r="AL155" s="118" t="s">
        <v>393</v>
      </c>
      <c r="AM155" s="118" t="s">
        <v>393</v>
      </c>
      <c r="AN155" s="402" t="s">
        <v>5975</v>
      </c>
      <c r="AO155" s="402">
        <v>44924</v>
      </c>
      <c r="AP155" s="118">
        <v>12</v>
      </c>
      <c r="AQ155" s="118">
        <v>9</v>
      </c>
      <c r="AR155" s="118" t="s">
        <v>6447</v>
      </c>
      <c r="AS155" s="118" t="s">
        <v>403</v>
      </c>
      <c r="AT155" s="118" t="s">
        <v>225</v>
      </c>
      <c r="AU155" s="118" t="s">
        <v>404</v>
      </c>
      <c r="AV155" s="118" t="s">
        <v>508</v>
      </c>
      <c r="AW155" s="118" t="s">
        <v>740</v>
      </c>
      <c r="AX155" s="118" t="s">
        <v>740</v>
      </c>
      <c r="AY155" s="118" t="s">
        <v>393</v>
      </c>
      <c r="AZ155" s="118" t="s">
        <v>393</v>
      </c>
      <c r="BA155" s="118" t="s">
        <v>393</v>
      </c>
      <c r="BB155" s="118" t="s">
        <v>393</v>
      </c>
      <c r="BC155" s="118" t="s">
        <v>393</v>
      </c>
      <c r="BD155" s="118" t="s">
        <v>393</v>
      </c>
      <c r="BE155" s="118" t="s">
        <v>393</v>
      </c>
      <c r="BF155" s="118" t="s">
        <v>393</v>
      </c>
      <c r="BG155" s="118" t="s">
        <v>393</v>
      </c>
      <c r="BH155" s="118" t="s">
        <v>394</v>
      </c>
      <c r="BI155" s="118" t="s">
        <v>394</v>
      </c>
      <c r="BJ155" s="118" t="s">
        <v>393</v>
      </c>
      <c r="BK155" s="118" t="s">
        <v>6988</v>
      </c>
      <c r="BL155" s="118" t="s">
        <v>6415</v>
      </c>
      <c r="BM155" s="118" t="s">
        <v>6992</v>
      </c>
      <c r="BN155" s="118" t="s">
        <v>6991</v>
      </c>
      <c r="BO155" s="118" t="s">
        <v>6415</v>
      </c>
      <c r="BP155" s="118" t="s">
        <v>6415</v>
      </c>
      <c r="BQ155" s="118" t="s">
        <v>6415</v>
      </c>
      <c r="BR155" s="118" t="s">
        <v>6415</v>
      </c>
      <c r="BS155" s="118" t="s">
        <v>6415</v>
      </c>
      <c r="BT155" s="118" t="s">
        <v>7251</v>
      </c>
      <c r="BU155" s="118" t="s">
        <v>6991</v>
      </c>
      <c r="BV155" s="118" t="s">
        <v>6415</v>
      </c>
      <c r="BW155" s="118" t="s">
        <v>6415</v>
      </c>
      <c r="BX155" s="118" t="s">
        <v>6415</v>
      </c>
      <c r="BY155" s="118" t="s">
        <v>6415</v>
      </c>
      <c r="BZ155" s="118" t="s">
        <v>6415</v>
      </c>
      <c r="CA155" s="118" t="s">
        <v>6415</v>
      </c>
      <c r="CB155" s="118" t="s">
        <v>221</v>
      </c>
      <c r="CC155" s="118" t="s">
        <v>740</v>
      </c>
      <c r="CD155" s="118">
        <v>2</v>
      </c>
      <c r="CE155" s="118" t="s">
        <v>410</v>
      </c>
      <c r="CF155" s="118" t="s">
        <v>411</v>
      </c>
      <c r="CG155" s="118" t="s">
        <v>924</v>
      </c>
      <c r="CH155" s="118" t="s">
        <v>6302</v>
      </c>
      <c r="CI155" s="118" t="s">
        <v>417</v>
      </c>
      <c r="CJ155" s="118" t="s">
        <v>398</v>
      </c>
      <c r="CK155" s="118">
        <v>25</v>
      </c>
      <c r="CL155" s="118">
        <v>25</v>
      </c>
      <c r="CM155" s="118" t="s">
        <v>399</v>
      </c>
      <c r="CN155" s="118" t="s">
        <v>6334</v>
      </c>
      <c r="CO155" s="118" t="s">
        <v>1096</v>
      </c>
      <c r="CP155" s="118" t="s">
        <v>450</v>
      </c>
      <c r="CQ155" s="118" t="s">
        <v>6415</v>
      </c>
      <c r="CR155" s="118" t="s">
        <v>6415</v>
      </c>
      <c r="CS155" s="118" t="s">
        <v>6415</v>
      </c>
      <c r="CT155" s="118" t="s">
        <v>6415</v>
      </c>
      <c r="CU155" s="118" t="s">
        <v>6415</v>
      </c>
      <c r="CV155" s="118" t="s">
        <v>6415</v>
      </c>
      <c r="CW155" s="118">
        <v>28</v>
      </c>
      <c r="CX155" s="118" t="s">
        <v>1068</v>
      </c>
      <c r="CY155" s="118" t="s">
        <v>6341</v>
      </c>
      <c r="CZ155" s="118">
        <v>1</v>
      </c>
      <c r="DA155" s="118" t="s">
        <v>410</v>
      </c>
      <c r="DB155" s="118" t="s">
        <v>411</v>
      </c>
      <c r="DC155" s="118" t="s">
        <v>6415</v>
      </c>
      <c r="DD155" s="118" t="s">
        <v>6302</v>
      </c>
      <c r="DE155" s="118" t="s">
        <v>6303</v>
      </c>
      <c r="DF155" s="118" t="s">
        <v>398</v>
      </c>
      <c r="DG155" s="118">
        <v>0</v>
      </c>
      <c r="DH155" s="118">
        <v>25</v>
      </c>
      <c r="DI155" s="118" t="s">
        <v>429</v>
      </c>
      <c r="DJ155" s="118" t="s">
        <v>398</v>
      </c>
      <c r="DK155" s="118" t="s">
        <v>400</v>
      </c>
      <c r="DL155" s="118" t="s">
        <v>6415</v>
      </c>
      <c r="DM155" s="118" t="s">
        <v>6415</v>
      </c>
      <c r="DN155" s="118" t="s">
        <v>6415</v>
      </c>
      <c r="DO155" s="118" t="s">
        <v>6415</v>
      </c>
      <c r="DP155" s="118" t="s">
        <v>6415</v>
      </c>
      <c r="DQ155" s="118" t="s">
        <v>6415</v>
      </c>
      <c r="DR155" s="118">
        <v>0</v>
      </c>
      <c r="DS155" s="118" t="s">
        <v>6415</v>
      </c>
      <c r="DT155" s="118" t="s">
        <v>6415</v>
      </c>
      <c r="DU155" s="118">
        <v>3</v>
      </c>
      <c r="DV155" s="118" t="s">
        <v>433</v>
      </c>
      <c r="DW155" s="118" t="s">
        <v>6303</v>
      </c>
      <c r="DX155" s="118" t="s">
        <v>398</v>
      </c>
      <c r="DY155" s="118" t="s">
        <v>436</v>
      </c>
      <c r="DZ155" s="118" t="s">
        <v>6327</v>
      </c>
      <c r="EA155" s="118" t="s">
        <v>400</v>
      </c>
      <c r="EB155" s="118" t="s">
        <v>6415</v>
      </c>
      <c r="EC155" s="118" t="s">
        <v>6415</v>
      </c>
      <c r="ED155" s="118" t="s">
        <v>6415</v>
      </c>
      <c r="EE155" s="118" t="s">
        <v>6415</v>
      </c>
      <c r="EF155" s="118" t="s">
        <v>6415</v>
      </c>
      <c r="EG155" s="118" t="s">
        <v>7249</v>
      </c>
      <c r="EH155" s="118" t="s">
        <v>7250</v>
      </c>
      <c r="EI155" s="118" t="s">
        <v>6415</v>
      </c>
      <c r="EJ155" s="118" t="s">
        <v>6415</v>
      </c>
      <c r="EK155" s="118" t="s">
        <v>6415</v>
      </c>
      <c r="EL155" s="118" t="s">
        <v>7467</v>
      </c>
      <c r="EM155" s="118" t="s">
        <v>7248</v>
      </c>
      <c r="EN155" s="118" t="s">
        <v>6415</v>
      </c>
      <c r="EO155" s="6" t="str">
        <f t="shared" si="18"/>
        <v>Pathweb</v>
      </c>
      <c r="EP155" s="6" t="str">
        <f t="shared" si="19"/>
        <v>Google Maps</v>
      </c>
      <c r="EQ155" s="6" t="str">
        <f t="shared" si="20"/>
        <v>Mashed Map</v>
      </c>
      <c r="ER155" s="118" t="s">
        <v>6726</v>
      </c>
      <c r="ES155" s="118" t="s">
        <v>71</v>
      </c>
      <c r="ET155" s="4">
        <v>8.9999999999999993E-3</v>
      </c>
      <c r="EU155" s="4"/>
      <c r="EV155" s="4"/>
    </row>
    <row r="156" spans="1:152" x14ac:dyDescent="0.15">
      <c r="A156" s="581" t="str">
        <f t="shared" si="17"/>
        <v>Crash Report</v>
      </c>
      <c r="B156" s="118">
        <v>20225079123</v>
      </c>
      <c r="C156" s="118">
        <v>2022</v>
      </c>
      <c r="D156" s="118" t="s">
        <v>7253</v>
      </c>
      <c r="F156" s="118" t="s">
        <v>6441</v>
      </c>
      <c r="G156" s="118" t="s">
        <v>230</v>
      </c>
      <c r="H156" s="118">
        <v>2</v>
      </c>
      <c r="I156" s="118" t="s">
        <v>6055</v>
      </c>
      <c r="J156" s="118" t="s">
        <v>434</v>
      </c>
      <c r="K156" s="118" t="s">
        <v>6985</v>
      </c>
      <c r="L156" s="118">
        <v>0.51</v>
      </c>
      <c r="M156" s="118">
        <v>0.51</v>
      </c>
      <c r="N156" s="118" t="s">
        <v>7465</v>
      </c>
      <c r="O156" s="118" t="s">
        <v>7496</v>
      </c>
      <c r="P156" s="118">
        <v>41.651820999999998</v>
      </c>
      <c r="Q156" s="118">
        <v>-83.518082000000007</v>
      </c>
      <c r="R156" s="118">
        <v>77000</v>
      </c>
      <c r="S156" s="118" t="s">
        <v>6988</v>
      </c>
      <c r="T156" s="118">
        <v>1</v>
      </c>
      <c r="U156" s="118">
        <v>0</v>
      </c>
      <c r="V156" s="118">
        <v>0</v>
      </c>
      <c r="W156" s="118">
        <v>0</v>
      </c>
      <c r="X156" s="118">
        <v>1</v>
      </c>
      <c r="Y156" s="118">
        <v>2</v>
      </c>
      <c r="Z156" s="118">
        <v>0</v>
      </c>
      <c r="AA156" s="118">
        <v>3</v>
      </c>
      <c r="AB156" s="118" t="s">
        <v>1067</v>
      </c>
      <c r="AC156" s="118" t="s">
        <v>6989</v>
      </c>
      <c r="AD156" s="118" t="s">
        <v>1034</v>
      </c>
      <c r="AE156" s="118" t="s">
        <v>943</v>
      </c>
      <c r="AF156" s="118" t="s">
        <v>1041</v>
      </c>
      <c r="AG156" s="118" t="s">
        <v>6415</v>
      </c>
      <c r="AH156" s="118" t="s">
        <v>393</v>
      </c>
      <c r="AI156" s="118">
        <v>4</v>
      </c>
      <c r="AJ156" s="118" t="s">
        <v>6415</v>
      </c>
      <c r="AK156" s="118" t="s">
        <v>393</v>
      </c>
      <c r="AL156" s="118" t="s">
        <v>393</v>
      </c>
      <c r="AM156" s="118" t="s">
        <v>393</v>
      </c>
      <c r="AN156" s="402" t="s">
        <v>5975</v>
      </c>
      <c r="AO156" s="402">
        <v>44679</v>
      </c>
      <c r="AP156" s="118">
        <v>4</v>
      </c>
      <c r="AQ156" s="118">
        <v>16</v>
      </c>
      <c r="AR156" s="118" t="s">
        <v>6447</v>
      </c>
      <c r="AS156" s="118" t="s">
        <v>392</v>
      </c>
      <c r="AT156" s="118" t="s">
        <v>500</v>
      </c>
      <c r="AU156" s="118" t="s">
        <v>404</v>
      </c>
      <c r="AV156" s="118" t="s">
        <v>508</v>
      </c>
      <c r="AW156" s="118" t="s">
        <v>740</v>
      </c>
      <c r="AX156" s="118" t="s">
        <v>740</v>
      </c>
      <c r="AY156" s="118" t="s">
        <v>393</v>
      </c>
      <c r="AZ156" s="118" t="s">
        <v>393</v>
      </c>
      <c r="BA156" s="118" t="s">
        <v>393</v>
      </c>
      <c r="BB156" s="118" t="s">
        <v>393</v>
      </c>
      <c r="BC156" s="118" t="s">
        <v>393</v>
      </c>
      <c r="BD156" s="118" t="s">
        <v>393</v>
      </c>
      <c r="BE156" s="118" t="s">
        <v>393</v>
      </c>
      <c r="BF156" s="118" t="s">
        <v>740</v>
      </c>
      <c r="BG156" s="118" t="s">
        <v>393</v>
      </c>
      <c r="BH156" s="118" t="s">
        <v>394</v>
      </c>
      <c r="BI156" s="118" t="s">
        <v>394</v>
      </c>
      <c r="BJ156" s="118" t="s">
        <v>393</v>
      </c>
      <c r="BK156" s="118" t="s">
        <v>6988</v>
      </c>
      <c r="BL156" s="118" t="s">
        <v>6415</v>
      </c>
      <c r="BM156" s="118" t="s">
        <v>7254</v>
      </c>
      <c r="BN156" s="118" t="s">
        <v>6991</v>
      </c>
      <c r="BO156" s="118" t="s">
        <v>6415</v>
      </c>
      <c r="BP156" s="118" t="s">
        <v>6415</v>
      </c>
      <c r="BQ156" s="118" t="s">
        <v>6415</v>
      </c>
      <c r="BR156" s="118" t="s">
        <v>6415</v>
      </c>
      <c r="BS156" s="118" t="s">
        <v>261</v>
      </c>
      <c r="BT156" s="118" t="s">
        <v>7255</v>
      </c>
      <c r="BU156" s="118" t="s">
        <v>6991</v>
      </c>
      <c r="BV156" s="118" t="s">
        <v>6415</v>
      </c>
      <c r="BW156" s="118" t="s">
        <v>6415</v>
      </c>
      <c r="BX156" s="118" t="s">
        <v>6415</v>
      </c>
      <c r="BY156" s="118" t="s">
        <v>6415</v>
      </c>
      <c r="BZ156" s="118" t="s">
        <v>6415</v>
      </c>
      <c r="CA156" s="118" t="s">
        <v>6415</v>
      </c>
      <c r="CB156" s="118" t="s">
        <v>221</v>
      </c>
      <c r="CC156" s="118" t="s">
        <v>740</v>
      </c>
      <c r="CD156" s="118">
        <v>1</v>
      </c>
      <c r="CE156" s="118" t="s">
        <v>397</v>
      </c>
      <c r="CF156" s="118" t="s">
        <v>446</v>
      </c>
      <c r="CG156" s="118" t="s">
        <v>230</v>
      </c>
      <c r="CH156" s="118" t="s">
        <v>6300</v>
      </c>
      <c r="CI156" s="118" t="s">
        <v>6303</v>
      </c>
      <c r="CJ156" s="118" t="s">
        <v>398</v>
      </c>
      <c r="CK156" s="118">
        <v>0</v>
      </c>
      <c r="CL156" s="118">
        <v>35</v>
      </c>
      <c r="CM156" s="118" t="s">
        <v>436</v>
      </c>
      <c r="CN156" s="118" t="s">
        <v>6327</v>
      </c>
      <c r="CO156" s="118" t="s">
        <v>1096</v>
      </c>
      <c r="CP156" s="118" t="s">
        <v>6363</v>
      </c>
      <c r="CQ156" s="118" t="s">
        <v>400</v>
      </c>
      <c r="CR156" s="118" t="s">
        <v>400</v>
      </c>
      <c r="CS156" s="118" t="s">
        <v>6415</v>
      </c>
      <c r="CT156" s="118" t="s">
        <v>6415</v>
      </c>
      <c r="CU156" s="118" t="s">
        <v>6415</v>
      </c>
      <c r="CV156" s="118" t="s">
        <v>6415</v>
      </c>
      <c r="CW156" s="118">
        <v>17</v>
      </c>
      <c r="CX156" s="118" t="s">
        <v>1066</v>
      </c>
      <c r="CY156" s="118" t="s">
        <v>6341</v>
      </c>
      <c r="CZ156" s="118">
        <v>2</v>
      </c>
      <c r="DA156" s="118" t="s">
        <v>396</v>
      </c>
      <c r="DB156" s="118" t="s">
        <v>397</v>
      </c>
      <c r="DC156" s="118" t="s">
        <v>6415</v>
      </c>
      <c r="DD156" s="118" t="s">
        <v>6300</v>
      </c>
      <c r="DE156" s="118" t="s">
        <v>6305</v>
      </c>
      <c r="DF156" s="118" t="s">
        <v>398</v>
      </c>
      <c r="DG156" s="118">
        <v>30</v>
      </c>
      <c r="DH156" s="118">
        <v>35</v>
      </c>
      <c r="DI156" s="118" t="s">
        <v>399</v>
      </c>
      <c r="DJ156" s="118" t="s">
        <v>398</v>
      </c>
      <c r="DK156" s="118" t="s">
        <v>400</v>
      </c>
      <c r="DL156" s="118" t="s">
        <v>6415</v>
      </c>
      <c r="DM156" s="118" t="s">
        <v>6415</v>
      </c>
      <c r="DN156" s="118" t="s">
        <v>6415</v>
      </c>
      <c r="DO156" s="118" t="s">
        <v>6415</v>
      </c>
      <c r="DP156" s="118" t="s">
        <v>6415</v>
      </c>
      <c r="DQ156" s="118" t="s">
        <v>6415</v>
      </c>
      <c r="DR156" s="118">
        <v>30</v>
      </c>
      <c r="DS156" s="118" t="s">
        <v>1068</v>
      </c>
      <c r="DT156" s="118" t="s">
        <v>6341</v>
      </c>
      <c r="DU156" s="118">
        <v>3</v>
      </c>
      <c r="DV156" s="118" t="s">
        <v>6300</v>
      </c>
      <c r="DW156" s="118" t="s">
        <v>417</v>
      </c>
      <c r="DX156" s="118" t="s">
        <v>428</v>
      </c>
      <c r="DY156" s="118" t="s">
        <v>6355</v>
      </c>
      <c r="DZ156" s="118" t="s">
        <v>398</v>
      </c>
      <c r="EA156" s="118" t="s">
        <v>400</v>
      </c>
      <c r="EB156" s="118" t="s">
        <v>6415</v>
      </c>
      <c r="EC156" s="118" t="s">
        <v>6415</v>
      </c>
      <c r="ED156" s="118" t="s">
        <v>6415</v>
      </c>
      <c r="EE156" s="118" t="s">
        <v>6415</v>
      </c>
      <c r="EF156" s="118" t="s">
        <v>6415</v>
      </c>
      <c r="EG156" s="118" t="s">
        <v>6994</v>
      </c>
      <c r="EH156" s="118" t="s">
        <v>7175</v>
      </c>
      <c r="EI156" s="118" t="s">
        <v>6415</v>
      </c>
      <c r="EJ156" s="118" t="s">
        <v>6415</v>
      </c>
      <c r="EK156" s="118" t="s">
        <v>6415</v>
      </c>
      <c r="EL156" s="118" t="s">
        <v>7467</v>
      </c>
      <c r="EM156" s="118" t="s">
        <v>7252</v>
      </c>
      <c r="EN156" s="118" t="s">
        <v>6415</v>
      </c>
      <c r="EO156" s="6" t="str">
        <f t="shared" si="18"/>
        <v>Pathweb</v>
      </c>
      <c r="EP156" s="6" t="str">
        <f t="shared" si="19"/>
        <v>Google Maps</v>
      </c>
      <c r="EQ156" s="6" t="str">
        <f t="shared" si="20"/>
        <v>Mashed Map</v>
      </c>
      <c r="ER156" s="118" t="s">
        <v>6727</v>
      </c>
      <c r="ES156" s="118" t="s">
        <v>6728</v>
      </c>
      <c r="ET156" s="4">
        <v>0</v>
      </c>
      <c r="EU156" s="4"/>
      <c r="EV156" s="4"/>
    </row>
    <row r="157" spans="1:152" x14ac:dyDescent="0.15">
      <c r="A157" s="581" t="str">
        <f t="shared" si="17"/>
        <v>Crash Report</v>
      </c>
      <c r="B157" s="14">
        <v>20233007343</v>
      </c>
      <c r="C157" s="118">
        <v>2023</v>
      </c>
      <c r="D157" s="14">
        <v>23011821941205</v>
      </c>
      <c r="F157" s="118" t="s">
        <v>6441</v>
      </c>
      <c r="G157" s="118" t="s">
        <v>230</v>
      </c>
      <c r="H157" s="118">
        <v>2</v>
      </c>
      <c r="I157" s="118" t="s">
        <v>6055</v>
      </c>
      <c r="J157" s="118" t="s">
        <v>423</v>
      </c>
      <c r="K157" s="118" t="s">
        <v>6985</v>
      </c>
      <c r="L157" s="118">
        <v>0.51</v>
      </c>
      <c r="M157" s="118">
        <v>0.51</v>
      </c>
      <c r="N157" s="118" t="s">
        <v>7465</v>
      </c>
      <c r="O157" s="118" t="s">
        <v>7468</v>
      </c>
      <c r="P157" s="118">
        <v>41.651820999999998</v>
      </c>
      <c r="Q157" s="118">
        <v>-83.518082000000007</v>
      </c>
      <c r="R157" s="118">
        <v>77000</v>
      </c>
      <c r="S157" s="118" t="s">
        <v>6988</v>
      </c>
      <c r="T157" s="118">
        <v>1</v>
      </c>
      <c r="U157" s="118">
        <v>0</v>
      </c>
      <c r="V157" s="118">
        <v>0</v>
      </c>
      <c r="W157" s="118">
        <v>0</v>
      </c>
      <c r="X157" s="118">
        <v>2</v>
      </c>
      <c r="Y157" s="118">
        <v>0</v>
      </c>
      <c r="Z157" s="118">
        <v>0</v>
      </c>
      <c r="AA157" s="118">
        <v>2</v>
      </c>
      <c r="AB157" s="118" t="s">
        <v>1067</v>
      </c>
      <c r="AC157" s="118" t="s">
        <v>6989</v>
      </c>
      <c r="AD157" s="118" t="s">
        <v>1034</v>
      </c>
      <c r="AE157" s="118" t="s">
        <v>943</v>
      </c>
      <c r="AF157" s="118" t="s">
        <v>1041</v>
      </c>
      <c r="AG157" s="118" t="s">
        <v>6415</v>
      </c>
      <c r="AH157" s="118" t="s">
        <v>393</v>
      </c>
      <c r="AI157" s="118">
        <v>4</v>
      </c>
      <c r="AJ157" s="118" t="s">
        <v>6415</v>
      </c>
      <c r="AK157" s="118" t="s">
        <v>393</v>
      </c>
      <c r="AL157" s="118" t="s">
        <v>393</v>
      </c>
      <c r="AM157" s="118" t="s">
        <v>393</v>
      </c>
      <c r="AN157" s="402" t="s">
        <v>5975</v>
      </c>
      <c r="AO157" s="402">
        <v>44944</v>
      </c>
      <c r="AP157" s="118">
        <v>1</v>
      </c>
      <c r="AQ157" s="118">
        <v>12</v>
      </c>
      <c r="AR157" s="118" t="s">
        <v>6446</v>
      </c>
      <c r="AS157" s="118" t="s">
        <v>403</v>
      </c>
      <c r="AT157" s="118" t="s">
        <v>500</v>
      </c>
      <c r="AU157" s="118" t="s">
        <v>404</v>
      </c>
      <c r="AV157" s="118" t="s">
        <v>508</v>
      </c>
      <c r="AW157" s="118" t="s">
        <v>393</v>
      </c>
      <c r="AX157" s="118" t="s">
        <v>740</v>
      </c>
      <c r="AY157" s="118" t="s">
        <v>393</v>
      </c>
      <c r="AZ157" s="118" t="s">
        <v>393</v>
      </c>
      <c r="BA157" s="118" t="s">
        <v>393</v>
      </c>
      <c r="BB157" s="118" t="s">
        <v>393</v>
      </c>
      <c r="BC157" s="118" t="s">
        <v>393</v>
      </c>
      <c r="BD157" s="118" t="s">
        <v>393</v>
      </c>
      <c r="BE157" s="118" t="s">
        <v>740</v>
      </c>
      <c r="BF157" s="118" t="s">
        <v>393</v>
      </c>
      <c r="BG157" s="118" t="s">
        <v>393</v>
      </c>
      <c r="BH157" s="118" t="s">
        <v>394</v>
      </c>
      <c r="BI157" s="118" t="s">
        <v>394</v>
      </c>
      <c r="BJ157" s="118" t="s">
        <v>393</v>
      </c>
      <c r="BK157" s="118" t="s">
        <v>6988</v>
      </c>
      <c r="BL157" s="118" t="s">
        <v>6415</v>
      </c>
      <c r="BM157" s="118" t="s">
        <v>6990</v>
      </c>
      <c r="BN157" s="118" t="s">
        <v>6991</v>
      </c>
      <c r="BO157" s="118" t="s">
        <v>6415</v>
      </c>
      <c r="BP157" s="118" t="s">
        <v>6415</v>
      </c>
      <c r="BQ157" s="118" t="s">
        <v>6415</v>
      </c>
      <c r="BR157" s="118" t="s">
        <v>6415</v>
      </c>
      <c r="BS157" s="118" t="s">
        <v>261</v>
      </c>
      <c r="BT157" s="118" t="s">
        <v>1791</v>
      </c>
      <c r="BU157" s="118" t="s">
        <v>6991</v>
      </c>
      <c r="BV157" s="118" t="s">
        <v>6415</v>
      </c>
      <c r="BW157" s="118" t="s">
        <v>6415</v>
      </c>
      <c r="BX157" s="118" t="s">
        <v>6415</v>
      </c>
      <c r="BY157" s="118" t="s">
        <v>6415</v>
      </c>
      <c r="BZ157" s="118" t="s">
        <v>6415</v>
      </c>
      <c r="CA157" s="118" t="s">
        <v>6415</v>
      </c>
      <c r="CB157" s="118" t="s">
        <v>221</v>
      </c>
      <c r="CC157" s="118" t="s">
        <v>740</v>
      </c>
      <c r="CD157" s="118">
        <v>2</v>
      </c>
      <c r="CE157" s="118" t="s">
        <v>410</v>
      </c>
      <c r="CF157" s="118" t="s">
        <v>406</v>
      </c>
      <c r="CG157" s="118" t="s">
        <v>230</v>
      </c>
      <c r="CH157" s="118" t="s">
        <v>6300</v>
      </c>
      <c r="CI157" s="118" t="s">
        <v>6303</v>
      </c>
      <c r="CJ157" s="118" t="s">
        <v>398</v>
      </c>
      <c r="CK157" s="14">
        <v>20</v>
      </c>
      <c r="CL157" s="118">
        <v>35</v>
      </c>
      <c r="CM157" s="118" t="s">
        <v>436</v>
      </c>
      <c r="CN157" s="118" t="s">
        <v>6327</v>
      </c>
      <c r="CO157" s="118" t="s">
        <v>1096</v>
      </c>
      <c r="CP157" s="118" t="s">
        <v>400</v>
      </c>
      <c r="CQ157" s="118" t="s">
        <v>6415</v>
      </c>
      <c r="CR157" s="118" t="s">
        <v>6415</v>
      </c>
      <c r="CS157" s="118" t="s">
        <v>6415</v>
      </c>
      <c r="CT157" s="118" t="s">
        <v>6415</v>
      </c>
      <c r="CU157" s="118" t="s">
        <v>6415</v>
      </c>
      <c r="CV157" s="118" t="s">
        <v>6415</v>
      </c>
      <c r="CW157" s="14">
        <v>50</v>
      </c>
      <c r="CX157" s="118" t="s">
        <v>1068</v>
      </c>
      <c r="CY157" s="118" t="s">
        <v>6341</v>
      </c>
      <c r="CZ157" s="118">
        <v>1</v>
      </c>
      <c r="DA157" s="118" t="s">
        <v>411</v>
      </c>
      <c r="DB157" s="118" t="s">
        <v>410</v>
      </c>
      <c r="DC157" s="118" t="s">
        <v>6415</v>
      </c>
      <c r="DD157" s="118" t="s">
        <v>6300</v>
      </c>
      <c r="DE157" s="118" t="s">
        <v>6305</v>
      </c>
      <c r="DF157" s="118" t="s">
        <v>398</v>
      </c>
      <c r="DG157" s="118">
        <v>35</v>
      </c>
      <c r="DH157" s="118">
        <v>35</v>
      </c>
      <c r="DI157" s="118" t="s">
        <v>399</v>
      </c>
      <c r="DJ157" s="118" t="s">
        <v>398</v>
      </c>
      <c r="DK157" s="118" t="s">
        <v>400</v>
      </c>
      <c r="DL157" s="118" t="s">
        <v>6415</v>
      </c>
      <c r="DM157" s="118" t="s">
        <v>6415</v>
      </c>
      <c r="DN157" s="118" t="s">
        <v>6415</v>
      </c>
      <c r="DO157" s="118" t="s">
        <v>6415</v>
      </c>
      <c r="DP157" s="118" t="s">
        <v>6415</v>
      </c>
      <c r="DQ157" s="118" t="s">
        <v>6415</v>
      </c>
      <c r="DR157" s="118">
        <v>68</v>
      </c>
      <c r="DS157" s="118" t="s">
        <v>1068</v>
      </c>
      <c r="DT157" s="118" t="s">
        <v>6341</v>
      </c>
      <c r="DU157" s="118" t="s">
        <v>6415</v>
      </c>
      <c r="DV157" s="118" t="s">
        <v>6415</v>
      </c>
      <c r="DW157" s="118" t="s">
        <v>6415</v>
      </c>
      <c r="DX157" s="118" t="s">
        <v>6415</v>
      </c>
      <c r="DY157" s="118" t="s">
        <v>6415</v>
      </c>
      <c r="DZ157" s="118" t="s">
        <v>6415</v>
      </c>
      <c r="EA157" s="118" t="s">
        <v>6415</v>
      </c>
      <c r="EB157" s="118" t="s">
        <v>6415</v>
      </c>
      <c r="EC157" s="118" t="s">
        <v>6415</v>
      </c>
      <c r="ED157" s="118" t="s">
        <v>6415</v>
      </c>
      <c r="EE157" s="118" t="s">
        <v>6415</v>
      </c>
      <c r="EF157" s="118" t="s">
        <v>6415</v>
      </c>
      <c r="EG157" s="118" t="s">
        <v>6994</v>
      </c>
      <c r="EH157" s="118" t="s">
        <v>7175</v>
      </c>
      <c r="EI157" s="118" t="s">
        <v>6415</v>
      </c>
      <c r="EJ157" s="118" t="s">
        <v>6415</v>
      </c>
      <c r="EK157" s="118" t="s">
        <v>6415</v>
      </c>
      <c r="EL157" s="118" t="s">
        <v>7467</v>
      </c>
      <c r="EM157" s="118" t="s">
        <v>7256</v>
      </c>
      <c r="EN157" s="118" t="s">
        <v>6415</v>
      </c>
      <c r="EO157" s="6" t="str">
        <f t="shared" si="18"/>
        <v>Pathweb</v>
      </c>
      <c r="EP157" s="6" t="str">
        <f t="shared" si="19"/>
        <v>Google Maps</v>
      </c>
      <c r="EQ157" s="6" t="str">
        <f t="shared" si="20"/>
        <v>Mashed Map</v>
      </c>
      <c r="ER157" s="118" t="s">
        <v>6727</v>
      </c>
      <c r="ES157" s="118" t="s">
        <v>6728</v>
      </c>
      <c r="ET157" s="4">
        <v>0</v>
      </c>
      <c r="EU157" s="4"/>
      <c r="EV157" s="4"/>
    </row>
    <row r="158" spans="1:152" x14ac:dyDescent="0.15">
      <c r="A158" s="581" t="str">
        <f t="shared" si="17"/>
        <v>Crash Report</v>
      </c>
      <c r="B158" s="14">
        <v>20233013300</v>
      </c>
      <c r="C158" s="118">
        <v>2023</v>
      </c>
      <c r="D158" s="14">
        <v>23012523031145</v>
      </c>
      <c r="F158" s="118" t="s">
        <v>6442</v>
      </c>
      <c r="G158" s="118" t="s">
        <v>860</v>
      </c>
      <c r="H158" s="118">
        <v>2</v>
      </c>
      <c r="I158" s="118" t="s">
        <v>6055</v>
      </c>
      <c r="J158" s="118" t="s">
        <v>391</v>
      </c>
      <c r="K158" s="118" t="s">
        <v>6985</v>
      </c>
      <c r="L158" s="118">
        <v>2.1000000000000001E-2</v>
      </c>
      <c r="M158" s="118">
        <v>2.1000000000000001E-2</v>
      </c>
      <c r="N158" s="118" t="s">
        <v>7465</v>
      </c>
      <c r="O158" s="118">
        <v>406</v>
      </c>
      <c r="P158" s="118">
        <v>41.647357999999997</v>
      </c>
      <c r="Q158" s="118">
        <v>-83.525381999999993</v>
      </c>
      <c r="R158" s="118">
        <v>77000</v>
      </c>
      <c r="S158" s="118" t="s">
        <v>6988</v>
      </c>
      <c r="T158" s="118">
        <v>1</v>
      </c>
      <c r="U158" s="118">
        <v>0</v>
      </c>
      <c r="V158" s="118">
        <v>0</v>
      </c>
      <c r="W158" s="118">
        <v>0</v>
      </c>
      <c r="X158" s="118">
        <v>0</v>
      </c>
      <c r="Y158" s="118">
        <v>3</v>
      </c>
      <c r="Z158" s="118">
        <v>0</v>
      </c>
      <c r="AA158" s="118">
        <v>2</v>
      </c>
      <c r="AB158" s="118" t="s">
        <v>1067</v>
      </c>
      <c r="AC158" s="118" t="s">
        <v>6989</v>
      </c>
      <c r="AD158" s="118" t="s">
        <v>1034</v>
      </c>
      <c r="AE158" s="118" t="s">
        <v>943</v>
      </c>
      <c r="AF158" s="118" t="s">
        <v>1042</v>
      </c>
      <c r="AG158" s="118" t="s">
        <v>6415</v>
      </c>
      <c r="AH158" s="118" t="s">
        <v>393</v>
      </c>
      <c r="AI158" s="118">
        <v>4</v>
      </c>
      <c r="AJ158" s="118" t="s">
        <v>6415</v>
      </c>
      <c r="AK158" s="118" t="s">
        <v>393</v>
      </c>
      <c r="AL158" s="118" t="s">
        <v>393</v>
      </c>
      <c r="AM158" s="118" t="s">
        <v>393</v>
      </c>
      <c r="AN158" s="402" t="s">
        <v>5975</v>
      </c>
      <c r="AO158" s="402">
        <v>44951</v>
      </c>
      <c r="AP158" s="118">
        <v>1</v>
      </c>
      <c r="AQ158" s="118">
        <v>11</v>
      </c>
      <c r="AR158" s="118" t="s">
        <v>6446</v>
      </c>
      <c r="AS158" s="118" t="s">
        <v>430</v>
      </c>
      <c r="AT158" s="118" t="s">
        <v>430</v>
      </c>
      <c r="AU158" s="118" t="s">
        <v>404</v>
      </c>
      <c r="AV158" s="118" t="s">
        <v>510</v>
      </c>
      <c r="AW158" s="118" t="s">
        <v>740</v>
      </c>
      <c r="AX158" s="118" t="s">
        <v>393</v>
      </c>
      <c r="AY158" s="118" t="s">
        <v>393</v>
      </c>
      <c r="AZ158" s="118" t="s">
        <v>393</v>
      </c>
      <c r="BA158" s="118" t="s">
        <v>393</v>
      </c>
      <c r="BB158" s="118" t="s">
        <v>393</v>
      </c>
      <c r="BC158" s="118" t="s">
        <v>393</v>
      </c>
      <c r="BD158" s="118" t="s">
        <v>393</v>
      </c>
      <c r="BE158" s="118" t="s">
        <v>393</v>
      </c>
      <c r="BF158" s="118" t="s">
        <v>393</v>
      </c>
      <c r="BG158" s="118" t="s">
        <v>393</v>
      </c>
      <c r="BH158" s="118" t="s">
        <v>394</v>
      </c>
      <c r="BI158" s="118" t="s">
        <v>394</v>
      </c>
      <c r="BJ158" s="118" t="s">
        <v>393</v>
      </c>
      <c r="BK158" s="118" t="s">
        <v>6988</v>
      </c>
      <c r="BL158" s="118" t="s">
        <v>6415</v>
      </c>
      <c r="BM158" s="118" t="s">
        <v>6990</v>
      </c>
      <c r="BN158" s="118" t="s">
        <v>6991</v>
      </c>
      <c r="BO158" s="118" t="s">
        <v>6415</v>
      </c>
      <c r="BP158" s="118" t="s">
        <v>6415</v>
      </c>
      <c r="BQ158" s="118" t="s">
        <v>6415</v>
      </c>
      <c r="BR158" s="118" t="s">
        <v>6415</v>
      </c>
      <c r="BS158" s="118" t="s">
        <v>6415</v>
      </c>
      <c r="BT158" s="118" t="s">
        <v>7258</v>
      </c>
      <c r="BU158" s="118" t="s">
        <v>6415</v>
      </c>
      <c r="BV158" s="118" t="s">
        <v>6415</v>
      </c>
      <c r="BW158" s="118" t="s">
        <v>6415</v>
      </c>
      <c r="BX158" s="118" t="s">
        <v>6415</v>
      </c>
      <c r="BY158" s="118" t="s">
        <v>6415</v>
      </c>
      <c r="BZ158" s="118">
        <v>406</v>
      </c>
      <c r="CA158" s="118" t="s">
        <v>6415</v>
      </c>
      <c r="CB158" s="118" t="s">
        <v>422</v>
      </c>
      <c r="CC158" s="118" t="s">
        <v>740</v>
      </c>
      <c r="CD158" s="118">
        <v>2</v>
      </c>
      <c r="CE158" s="118" t="s">
        <v>411</v>
      </c>
      <c r="CF158" s="118" t="s">
        <v>406</v>
      </c>
      <c r="CG158" s="118" t="s">
        <v>860</v>
      </c>
      <c r="CH158" s="118" t="s">
        <v>6302</v>
      </c>
      <c r="CI158" s="118" t="s">
        <v>417</v>
      </c>
      <c r="CJ158" s="118" t="s">
        <v>398</v>
      </c>
      <c r="CK158" s="14">
        <v>0</v>
      </c>
      <c r="CL158" s="118">
        <v>35</v>
      </c>
      <c r="CM158" s="118" t="s">
        <v>6356</v>
      </c>
      <c r="CN158" s="118" t="s">
        <v>407</v>
      </c>
      <c r="CO158" s="118" t="s">
        <v>1096</v>
      </c>
      <c r="CP158" s="118" t="s">
        <v>6363</v>
      </c>
      <c r="CQ158" s="118" t="s">
        <v>6363</v>
      </c>
      <c r="CR158" s="118" t="s">
        <v>400</v>
      </c>
      <c r="CS158" s="118" t="s">
        <v>6415</v>
      </c>
      <c r="CT158" s="118" t="s">
        <v>6415</v>
      </c>
      <c r="CU158" s="118" t="s">
        <v>6415</v>
      </c>
      <c r="CV158" s="118" t="s">
        <v>6415</v>
      </c>
      <c r="CW158" s="14">
        <v>36</v>
      </c>
      <c r="CX158" s="118" t="s">
        <v>1068</v>
      </c>
      <c r="CY158" s="118" t="s">
        <v>6151</v>
      </c>
      <c r="CZ158" s="118">
        <v>1</v>
      </c>
      <c r="DA158" s="118" t="s">
        <v>411</v>
      </c>
      <c r="DB158" s="118" t="s">
        <v>406</v>
      </c>
      <c r="DC158" s="118" t="s">
        <v>6415</v>
      </c>
      <c r="DD158" s="118" t="s">
        <v>6302</v>
      </c>
      <c r="DE158" s="118" t="s">
        <v>6305</v>
      </c>
      <c r="DF158" s="118" t="s">
        <v>398</v>
      </c>
      <c r="DG158" s="118">
        <v>20</v>
      </c>
      <c r="DH158" s="118">
        <v>35</v>
      </c>
      <c r="DI158" s="118" t="s">
        <v>6356</v>
      </c>
      <c r="DJ158" s="118" t="s">
        <v>398</v>
      </c>
      <c r="DK158" s="118" t="s">
        <v>400</v>
      </c>
      <c r="DL158" s="118" t="s">
        <v>6415</v>
      </c>
      <c r="DM158" s="118" t="s">
        <v>6415</v>
      </c>
      <c r="DN158" s="118" t="s">
        <v>6415</v>
      </c>
      <c r="DO158" s="118" t="s">
        <v>6415</v>
      </c>
      <c r="DP158" s="118" t="s">
        <v>6415</v>
      </c>
      <c r="DQ158" s="118" t="s">
        <v>6415</v>
      </c>
      <c r="DR158" s="118">
        <v>48</v>
      </c>
      <c r="DS158" s="118" t="s">
        <v>1068</v>
      </c>
      <c r="DT158" s="118" t="s">
        <v>6341</v>
      </c>
      <c r="DU158" s="118" t="s">
        <v>6415</v>
      </c>
      <c r="DV158" s="118" t="s">
        <v>6415</v>
      </c>
      <c r="DW158" s="118" t="s">
        <v>6415</v>
      </c>
      <c r="DX158" s="118" t="s">
        <v>6415</v>
      </c>
      <c r="DY158" s="118" t="s">
        <v>6415</v>
      </c>
      <c r="DZ158" s="118" t="s">
        <v>6415</v>
      </c>
      <c r="EA158" s="118" t="s">
        <v>6415</v>
      </c>
      <c r="EB158" s="118" t="s">
        <v>6415</v>
      </c>
      <c r="EC158" s="118" t="s">
        <v>6415</v>
      </c>
      <c r="ED158" s="118" t="s">
        <v>6415</v>
      </c>
      <c r="EE158" s="118" t="s">
        <v>6415</v>
      </c>
      <c r="EF158" s="118" t="s">
        <v>6415</v>
      </c>
      <c r="EG158" s="118" t="s">
        <v>6415</v>
      </c>
      <c r="EH158" s="118" t="s">
        <v>6415</v>
      </c>
      <c r="EI158" s="118" t="s">
        <v>6415</v>
      </c>
      <c r="EJ158" s="118" t="s">
        <v>6415</v>
      </c>
      <c r="EK158" s="118" t="s">
        <v>6415</v>
      </c>
      <c r="EL158" s="118" t="s">
        <v>7467</v>
      </c>
      <c r="EM158" s="118" t="s">
        <v>7257</v>
      </c>
      <c r="EN158" s="118" t="s">
        <v>6415</v>
      </c>
      <c r="EO158" s="6" t="str">
        <f t="shared" si="18"/>
        <v>Pathweb</v>
      </c>
      <c r="EP158" s="6" t="str">
        <f t="shared" si="19"/>
        <v>Google Maps</v>
      </c>
      <c r="EQ158" s="6" t="str">
        <f t="shared" si="20"/>
        <v>Mashed Map</v>
      </c>
      <c r="ER158" s="118" t="s">
        <v>6727</v>
      </c>
      <c r="ES158" s="118" t="s">
        <v>71</v>
      </c>
      <c r="ET158" s="4">
        <v>0</v>
      </c>
      <c r="EU158" s="4"/>
      <c r="EV158" s="4"/>
    </row>
    <row r="159" spans="1:152" x14ac:dyDescent="0.15">
      <c r="A159" s="581" t="str">
        <f t="shared" si="17"/>
        <v>Crash Report</v>
      </c>
      <c r="B159" s="118">
        <v>20233014008</v>
      </c>
      <c r="C159" s="118">
        <v>2023</v>
      </c>
      <c r="D159" s="118">
        <v>23012926710121</v>
      </c>
      <c r="F159" s="118" t="s">
        <v>6441</v>
      </c>
      <c r="G159" s="118" t="s">
        <v>211</v>
      </c>
      <c r="H159" s="118">
        <v>2</v>
      </c>
      <c r="I159" s="118" t="s">
        <v>6055</v>
      </c>
      <c r="J159" s="118" t="s">
        <v>423</v>
      </c>
      <c r="K159" s="118" t="s">
        <v>6997</v>
      </c>
      <c r="L159" s="118">
        <v>0.379</v>
      </c>
      <c r="M159" s="118">
        <v>0.379</v>
      </c>
      <c r="N159" s="118" t="s">
        <v>7469</v>
      </c>
      <c r="O159" s="118" t="s">
        <v>7489</v>
      </c>
      <c r="P159" s="118">
        <v>41.644768999999997</v>
      </c>
      <c r="Q159" s="118">
        <v>-83.519372000000004</v>
      </c>
      <c r="R159" s="118">
        <v>77000</v>
      </c>
      <c r="S159" s="118" t="s">
        <v>6988</v>
      </c>
      <c r="T159" s="118">
        <v>1</v>
      </c>
      <c r="U159" s="118">
        <v>0</v>
      </c>
      <c r="V159" s="118">
        <v>0</v>
      </c>
      <c r="W159" s="118">
        <v>0</v>
      </c>
      <c r="X159" s="118">
        <v>2</v>
      </c>
      <c r="Y159" s="118">
        <v>3</v>
      </c>
      <c r="Z159" s="118">
        <v>1</v>
      </c>
      <c r="AA159" s="118">
        <v>2</v>
      </c>
      <c r="AB159" s="118" t="s">
        <v>1067</v>
      </c>
      <c r="AC159" s="118" t="s">
        <v>6989</v>
      </c>
      <c r="AD159" s="118" t="s">
        <v>1034</v>
      </c>
      <c r="AE159" s="118" t="s">
        <v>943</v>
      </c>
      <c r="AF159" s="118" t="s">
        <v>1042</v>
      </c>
      <c r="AG159" s="118" t="s">
        <v>6415</v>
      </c>
      <c r="AH159" s="118" t="s">
        <v>393</v>
      </c>
      <c r="AI159" s="118">
        <v>2</v>
      </c>
      <c r="AJ159" s="118" t="s">
        <v>6415</v>
      </c>
      <c r="AK159" s="118" t="s">
        <v>393</v>
      </c>
      <c r="AL159" s="118" t="s">
        <v>393</v>
      </c>
      <c r="AM159" s="118" t="s">
        <v>393</v>
      </c>
      <c r="AN159" s="402" t="s">
        <v>5975</v>
      </c>
      <c r="AO159" s="402">
        <v>44955</v>
      </c>
      <c r="AP159" s="118">
        <v>1</v>
      </c>
      <c r="AQ159" s="118">
        <v>1</v>
      </c>
      <c r="AR159" s="118" t="s">
        <v>6443</v>
      </c>
      <c r="AS159" s="118" t="s">
        <v>403</v>
      </c>
      <c r="AT159" s="118" t="s">
        <v>225</v>
      </c>
      <c r="AU159" s="118" t="s">
        <v>505</v>
      </c>
      <c r="AV159" s="118" t="s">
        <v>508</v>
      </c>
      <c r="AW159" s="118" t="s">
        <v>393</v>
      </c>
      <c r="AX159" s="118" t="s">
        <v>740</v>
      </c>
      <c r="AY159" s="118" t="s">
        <v>393</v>
      </c>
      <c r="AZ159" s="118" t="s">
        <v>393</v>
      </c>
      <c r="BA159" s="118" t="s">
        <v>393</v>
      </c>
      <c r="BB159" s="118" t="s">
        <v>393</v>
      </c>
      <c r="BC159" s="118" t="s">
        <v>393</v>
      </c>
      <c r="BD159" s="118" t="s">
        <v>393</v>
      </c>
      <c r="BE159" s="118" t="s">
        <v>393</v>
      </c>
      <c r="BF159" s="118" t="s">
        <v>740</v>
      </c>
      <c r="BG159" s="118" t="s">
        <v>393</v>
      </c>
      <c r="BH159" s="118" t="s">
        <v>394</v>
      </c>
      <c r="BI159" s="118" t="s">
        <v>394</v>
      </c>
      <c r="BJ159" s="118" t="s">
        <v>393</v>
      </c>
      <c r="BK159" s="118" t="s">
        <v>6988</v>
      </c>
      <c r="BL159" s="118" t="s">
        <v>6415</v>
      </c>
      <c r="BM159" s="118" t="s">
        <v>6992</v>
      </c>
      <c r="BN159" s="118" t="s">
        <v>6991</v>
      </c>
      <c r="BO159" s="118" t="s">
        <v>6415</v>
      </c>
      <c r="BP159" s="118" t="s">
        <v>6415</v>
      </c>
      <c r="BQ159" s="118" t="s">
        <v>6415</v>
      </c>
      <c r="BR159" s="118" t="s">
        <v>6415</v>
      </c>
      <c r="BS159" s="118" t="s">
        <v>6415</v>
      </c>
      <c r="BT159" s="118" t="s">
        <v>7154</v>
      </c>
      <c r="BU159" s="118" t="s">
        <v>6991</v>
      </c>
      <c r="BV159" s="118" t="s">
        <v>6415</v>
      </c>
      <c r="BW159" s="118" t="s">
        <v>6415</v>
      </c>
      <c r="BX159" s="118" t="s">
        <v>6415</v>
      </c>
      <c r="BY159" s="118" t="s">
        <v>6415</v>
      </c>
      <c r="BZ159" s="118" t="s">
        <v>6415</v>
      </c>
      <c r="CA159" s="118" t="s">
        <v>6415</v>
      </c>
      <c r="CB159" s="118" t="s">
        <v>221</v>
      </c>
      <c r="CC159" s="118" t="s">
        <v>740</v>
      </c>
      <c r="CD159" s="118">
        <v>2</v>
      </c>
      <c r="CE159" s="118" t="s">
        <v>411</v>
      </c>
      <c r="CF159" s="118" t="s">
        <v>410</v>
      </c>
      <c r="CG159" s="118" t="s">
        <v>924</v>
      </c>
      <c r="CH159" s="118" t="s">
        <v>6302</v>
      </c>
      <c r="CI159" s="118" t="s">
        <v>6303</v>
      </c>
      <c r="CJ159" s="118" t="s">
        <v>398</v>
      </c>
      <c r="CK159" s="118">
        <v>0</v>
      </c>
      <c r="CL159" s="118">
        <v>30</v>
      </c>
      <c r="CM159" s="118" t="s">
        <v>444</v>
      </c>
      <c r="CN159" s="118" t="s">
        <v>6327</v>
      </c>
      <c r="CO159" s="118" t="s">
        <v>1096</v>
      </c>
      <c r="CP159" s="118" t="s">
        <v>400</v>
      </c>
      <c r="CQ159" s="118" t="s">
        <v>6415</v>
      </c>
      <c r="CR159" s="118" t="s">
        <v>6415</v>
      </c>
      <c r="CS159" s="118" t="s">
        <v>6415</v>
      </c>
      <c r="CT159" s="118" t="s">
        <v>6415</v>
      </c>
      <c r="CU159" s="118" t="s">
        <v>6415</v>
      </c>
      <c r="CV159" s="118" t="s">
        <v>6415</v>
      </c>
      <c r="CW159" s="118">
        <v>21</v>
      </c>
      <c r="CX159" s="118" t="s">
        <v>1066</v>
      </c>
      <c r="CY159" s="118" t="s">
        <v>6341</v>
      </c>
      <c r="CZ159" s="118">
        <v>1</v>
      </c>
      <c r="DA159" s="118" t="s">
        <v>405</v>
      </c>
      <c r="DB159" s="118" t="s">
        <v>406</v>
      </c>
      <c r="DC159" s="118" t="s">
        <v>6415</v>
      </c>
      <c r="DD159" s="118" t="s">
        <v>6302</v>
      </c>
      <c r="DE159" s="118" t="s">
        <v>6303</v>
      </c>
      <c r="DF159" s="118" t="s">
        <v>398</v>
      </c>
      <c r="DG159" s="118" t="s">
        <v>6415</v>
      </c>
      <c r="DH159" s="118">
        <v>30</v>
      </c>
      <c r="DI159" s="118" t="s">
        <v>399</v>
      </c>
      <c r="DJ159" s="118" t="s">
        <v>398</v>
      </c>
      <c r="DK159" s="118" t="s">
        <v>400</v>
      </c>
      <c r="DL159" s="118" t="s">
        <v>6415</v>
      </c>
      <c r="DM159" s="118" t="s">
        <v>6415</v>
      </c>
      <c r="DN159" s="118" t="s">
        <v>6415</v>
      </c>
      <c r="DO159" s="118" t="s">
        <v>6415</v>
      </c>
      <c r="DP159" s="118" t="s">
        <v>6415</v>
      </c>
      <c r="DQ159" s="118" t="s">
        <v>6415</v>
      </c>
      <c r="DR159" s="118">
        <v>30</v>
      </c>
      <c r="DS159" s="118" t="s">
        <v>1066</v>
      </c>
      <c r="DT159" s="118" t="s">
        <v>6341</v>
      </c>
      <c r="DU159" s="118" t="s">
        <v>6415</v>
      </c>
      <c r="DV159" s="118" t="s">
        <v>6415</v>
      </c>
      <c r="DW159" s="118" t="s">
        <v>6415</v>
      </c>
      <c r="DX159" s="118" t="s">
        <v>6415</v>
      </c>
      <c r="DY159" s="118" t="s">
        <v>6415</v>
      </c>
      <c r="DZ159" s="118" t="s">
        <v>6415</v>
      </c>
      <c r="EA159" s="118" t="s">
        <v>6415</v>
      </c>
      <c r="EB159" s="118" t="s">
        <v>6415</v>
      </c>
      <c r="EC159" s="118" t="s">
        <v>6415</v>
      </c>
      <c r="ED159" s="118" t="s">
        <v>6415</v>
      </c>
      <c r="EE159" s="118" t="s">
        <v>6415</v>
      </c>
      <c r="EF159" s="118" t="s">
        <v>6415</v>
      </c>
      <c r="EG159" s="118" t="s">
        <v>7051</v>
      </c>
      <c r="EH159" s="118" t="s">
        <v>7052</v>
      </c>
      <c r="EI159" s="118" t="s">
        <v>6415</v>
      </c>
      <c r="EJ159" s="118" t="s">
        <v>6415</v>
      </c>
      <c r="EK159" s="118" t="s">
        <v>6415</v>
      </c>
      <c r="EL159" s="118" t="s">
        <v>7467</v>
      </c>
      <c r="EM159" s="118" t="s">
        <v>7259</v>
      </c>
      <c r="EN159" s="118" t="s">
        <v>6415</v>
      </c>
      <c r="EO159" s="6" t="str">
        <f t="shared" si="18"/>
        <v>Pathweb</v>
      </c>
      <c r="EP159" s="6" t="str">
        <f t="shared" si="19"/>
        <v>Google Maps</v>
      </c>
      <c r="EQ159" s="6" t="str">
        <f t="shared" si="20"/>
        <v>Mashed Map</v>
      </c>
      <c r="ER159" s="118" t="s">
        <v>6727</v>
      </c>
      <c r="ES159" s="118" t="s">
        <v>6728</v>
      </c>
      <c r="ET159" s="4">
        <v>8.9999999999999993E-3</v>
      </c>
      <c r="EU159" s="4"/>
      <c r="EV159" s="4"/>
    </row>
    <row r="160" spans="1:152" x14ac:dyDescent="0.15">
      <c r="A160" s="581" t="str">
        <f t="shared" si="17"/>
        <v>Crash Report</v>
      </c>
      <c r="B160" s="118">
        <v>20233019128</v>
      </c>
      <c r="C160" s="118">
        <v>2023</v>
      </c>
      <c r="D160" s="118">
        <v>23020426710610</v>
      </c>
      <c r="F160" s="118" t="s">
        <v>6440</v>
      </c>
      <c r="G160" s="118" t="s">
        <v>416</v>
      </c>
      <c r="H160" s="118">
        <v>2</v>
      </c>
      <c r="I160" s="118" t="s">
        <v>6055</v>
      </c>
      <c r="J160" s="118" t="s">
        <v>391</v>
      </c>
      <c r="K160" s="118" t="s">
        <v>6985</v>
      </c>
      <c r="L160" s="118">
        <v>0.874</v>
      </c>
      <c r="M160" s="118">
        <v>0.874</v>
      </c>
      <c r="N160" s="118" t="s">
        <v>7465</v>
      </c>
      <c r="O160" s="118" t="s">
        <v>7481</v>
      </c>
      <c r="P160" s="118">
        <v>41.655144</v>
      </c>
      <c r="Q160" s="118">
        <v>-83.512640000000005</v>
      </c>
      <c r="R160" s="118">
        <v>77000</v>
      </c>
      <c r="S160" s="118" t="s">
        <v>6988</v>
      </c>
      <c r="T160" s="118">
        <v>1</v>
      </c>
      <c r="U160" s="118">
        <v>0</v>
      </c>
      <c r="V160" s="118">
        <v>0</v>
      </c>
      <c r="W160" s="118">
        <v>1</v>
      </c>
      <c r="X160" s="118">
        <v>0</v>
      </c>
      <c r="Y160" s="118">
        <v>0</v>
      </c>
      <c r="Z160" s="118">
        <v>0</v>
      </c>
      <c r="AA160" s="118">
        <v>1</v>
      </c>
      <c r="AB160" s="118" t="s">
        <v>1067</v>
      </c>
      <c r="AC160" s="118" t="s">
        <v>6989</v>
      </c>
      <c r="AD160" s="118" t="s">
        <v>1034</v>
      </c>
      <c r="AE160" s="118" t="s">
        <v>943</v>
      </c>
      <c r="AF160" s="118" t="s">
        <v>1041</v>
      </c>
      <c r="AG160" s="118" t="s">
        <v>6415</v>
      </c>
      <c r="AH160" s="118" t="s">
        <v>393</v>
      </c>
      <c r="AI160" s="118">
        <v>4</v>
      </c>
      <c r="AJ160" s="118" t="s">
        <v>6415</v>
      </c>
      <c r="AK160" s="118" t="s">
        <v>393</v>
      </c>
      <c r="AL160" s="118" t="s">
        <v>393</v>
      </c>
      <c r="AM160" s="118" t="s">
        <v>393</v>
      </c>
      <c r="AN160" s="402" t="s">
        <v>5975</v>
      </c>
      <c r="AO160" s="402">
        <v>44961</v>
      </c>
      <c r="AP160" s="118">
        <v>2</v>
      </c>
      <c r="AQ160" s="118">
        <v>6</v>
      </c>
      <c r="AR160" s="118" t="s">
        <v>6449</v>
      </c>
      <c r="AS160" s="118" t="s">
        <v>392</v>
      </c>
      <c r="AT160" s="118" t="s">
        <v>500</v>
      </c>
      <c r="AU160" s="118" t="s">
        <v>505</v>
      </c>
      <c r="AV160" s="118" t="s">
        <v>508</v>
      </c>
      <c r="AW160" s="118" t="s">
        <v>740</v>
      </c>
      <c r="AX160" s="118" t="s">
        <v>393</v>
      </c>
      <c r="AY160" s="118" t="s">
        <v>740</v>
      </c>
      <c r="AZ160" s="118" t="s">
        <v>393</v>
      </c>
      <c r="BA160" s="118" t="s">
        <v>393</v>
      </c>
      <c r="BB160" s="118" t="s">
        <v>393</v>
      </c>
      <c r="BC160" s="118" t="s">
        <v>393</v>
      </c>
      <c r="BD160" s="118" t="s">
        <v>393</v>
      </c>
      <c r="BE160" s="118" t="s">
        <v>393</v>
      </c>
      <c r="BF160" s="118" t="s">
        <v>393</v>
      </c>
      <c r="BG160" s="118" t="s">
        <v>393</v>
      </c>
      <c r="BH160" s="118" t="s">
        <v>394</v>
      </c>
      <c r="BI160" s="118" t="s">
        <v>394</v>
      </c>
      <c r="BJ160" s="118" t="s">
        <v>393</v>
      </c>
      <c r="BK160" s="118" t="s">
        <v>6988</v>
      </c>
      <c r="BL160" s="118" t="s">
        <v>6415</v>
      </c>
      <c r="BM160" s="118" t="s">
        <v>6990</v>
      </c>
      <c r="BN160" s="118" t="s">
        <v>6991</v>
      </c>
      <c r="BO160" s="118" t="s">
        <v>6415</v>
      </c>
      <c r="BP160" s="118" t="s">
        <v>6415</v>
      </c>
      <c r="BQ160" s="118" t="s">
        <v>6415</v>
      </c>
      <c r="BR160" s="118" t="s">
        <v>6415</v>
      </c>
      <c r="BS160" s="118" t="s">
        <v>6415</v>
      </c>
      <c r="BT160" s="118" t="s">
        <v>7067</v>
      </c>
      <c r="BU160" s="118" t="s">
        <v>7017</v>
      </c>
      <c r="BV160" s="118" t="s">
        <v>6415</v>
      </c>
      <c r="BW160" s="118" t="s">
        <v>6415</v>
      </c>
      <c r="BX160" s="118" t="s">
        <v>6415</v>
      </c>
      <c r="BY160" s="118" t="s">
        <v>6415</v>
      </c>
      <c r="BZ160" s="118" t="s">
        <v>6415</v>
      </c>
      <c r="CA160" s="118" t="s">
        <v>6415</v>
      </c>
      <c r="CB160" s="118" t="s">
        <v>221</v>
      </c>
      <c r="CC160" s="118" t="s">
        <v>740</v>
      </c>
      <c r="CD160" s="118">
        <v>1</v>
      </c>
      <c r="CE160" s="118" t="s">
        <v>411</v>
      </c>
      <c r="CF160" s="118" t="s">
        <v>410</v>
      </c>
      <c r="CG160" s="118" t="s">
        <v>924</v>
      </c>
      <c r="CH160" s="118" t="s">
        <v>6302</v>
      </c>
      <c r="CI160" s="118" t="s">
        <v>6303</v>
      </c>
      <c r="CJ160" s="118" t="s">
        <v>398</v>
      </c>
      <c r="CK160" s="118">
        <v>0</v>
      </c>
      <c r="CL160" s="118">
        <v>40</v>
      </c>
      <c r="CM160" s="118" t="s">
        <v>399</v>
      </c>
      <c r="CN160" s="118" t="s">
        <v>407</v>
      </c>
      <c r="CO160" s="118" t="s">
        <v>536</v>
      </c>
      <c r="CP160" s="118" t="s">
        <v>432</v>
      </c>
      <c r="CQ160" s="118" t="s">
        <v>536</v>
      </c>
      <c r="CR160" s="118" t="s">
        <v>6415</v>
      </c>
      <c r="CS160" s="118" t="s">
        <v>6415</v>
      </c>
      <c r="CT160" s="118" t="s">
        <v>6415</v>
      </c>
      <c r="CU160" s="118" t="s">
        <v>6415</v>
      </c>
      <c r="CV160" s="118" t="s">
        <v>6415</v>
      </c>
      <c r="CW160" s="118">
        <v>29</v>
      </c>
      <c r="CX160" s="118" t="s">
        <v>1066</v>
      </c>
      <c r="CY160" s="118" t="s">
        <v>6341</v>
      </c>
      <c r="CZ160" s="118" t="s">
        <v>6415</v>
      </c>
      <c r="DA160" s="118" t="s">
        <v>6415</v>
      </c>
      <c r="DB160" s="118" t="s">
        <v>6415</v>
      </c>
      <c r="DC160" s="118" t="s">
        <v>6415</v>
      </c>
      <c r="DD160" s="118" t="s">
        <v>6415</v>
      </c>
      <c r="DE160" s="118" t="s">
        <v>6415</v>
      </c>
      <c r="DF160" s="118" t="s">
        <v>6415</v>
      </c>
      <c r="DG160" s="118" t="s">
        <v>6415</v>
      </c>
      <c r="DH160" s="118" t="s">
        <v>6415</v>
      </c>
      <c r="DI160" s="118" t="s">
        <v>6415</v>
      </c>
      <c r="DJ160" s="118" t="s">
        <v>6415</v>
      </c>
      <c r="DK160" s="118" t="s">
        <v>6415</v>
      </c>
      <c r="DL160" s="118" t="s">
        <v>6415</v>
      </c>
      <c r="DM160" s="118" t="s">
        <v>6415</v>
      </c>
      <c r="DN160" s="118" t="s">
        <v>6415</v>
      </c>
      <c r="DO160" s="118" t="s">
        <v>6415</v>
      </c>
      <c r="DP160" s="118" t="s">
        <v>6415</v>
      </c>
      <c r="DQ160" s="118" t="s">
        <v>6415</v>
      </c>
      <c r="DR160" s="118">
        <v>0</v>
      </c>
      <c r="DS160" s="118" t="s">
        <v>6415</v>
      </c>
      <c r="DT160" s="118" t="s">
        <v>6415</v>
      </c>
      <c r="DU160" s="118" t="s">
        <v>6415</v>
      </c>
      <c r="DV160" s="118" t="s">
        <v>6415</v>
      </c>
      <c r="DW160" s="118" t="s">
        <v>6415</v>
      </c>
      <c r="DX160" s="118" t="s">
        <v>6415</v>
      </c>
      <c r="DY160" s="118" t="s">
        <v>6415</v>
      </c>
      <c r="DZ160" s="118" t="s">
        <v>6415</v>
      </c>
      <c r="EA160" s="118" t="s">
        <v>6415</v>
      </c>
      <c r="EB160" s="118" t="s">
        <v>6415</v>
      </c>
      <c r="EC160" s="118" t="s">
        <v>6415</v>
      </c>
      <c r="ED160" s="118" t="s">
        <v>6415</v>
      </c>
      <c r="EE160" s="118" t="s">
        <v>6415</v>
      </c>
      <c r="EF160" s="118" t="s">
        <v>6415</v>
      </c>
      <c r="EG160" s="118" t="s">
        <v>7065</v>
      </c>
      <c r="EH160" s="118" t="s">
        <v>7066</v>
      </c>
      <c r="EI160" s="118" t="s">
        <v>6415</v>
      </c>
      <c r="EJ160" s="118" t="s">
        <v>6415</v>
      </c>
      <c r="EK160" s="118" t="s">
        <v>6415</v>
      </c>
      <c r="EL160" s="118" t="s">
        <v>7467</v>
      </c>
      <c r="EM160" s="118" t="s">
        <v>7260</v>
      </c>
      <c r="EN160" s="118" t="s">
        <v>6415</v>
      </c>
      <c r="EO160" s="6" t="str">
        <f t="shared" si="18"/>
        <v>Pathweb</v>
      </c>
      <c r="EP160" s="6" t="str">
        <f t="shared" si="19"/>
        <v>Google Maps</v>
      </c>
      <c r="EQ160" s="6" t="str">
        <f t="shared" si="20"/>
        <v>Mashed Map</v>
      </c>
      <c r="ER160" s="118" t="s">
        <v>6726</v>
      </c>
      <c r="ES160" s="118" t="s">
        <v>6728</v>
      </c>
      <c r="ET160" s="4">
        <v>4.0000000000000001E-3</v>
      </c>
      <c r="EU160" s="4"/>
      <c r="EV160" s="4"/>
    </row>
    <row r="161" spans="1:152" x14ac:dyDescent="0.15">
      <c r="A161" s="581" t="str">
        <f t="shared" si="17"/>
        <v>Crash Report</v>
      </c>
      <c r="B161" s="14">
        <v>20233019810</v>
      </c>
      <c r="C161" s="118">
        <v>2023</v>
      </c>
      <c r="D161" s="14">
        <v>23020229041330</v>
      </c>
      <c r="F161" s="118" t="s">
        <v>6442</v>
      </c>
      <c r="G161" s="118" t="s">
        <v>402</v>
      </c>
      <c r="H161" s="118">
        <v>2</v>
      </c>
      <c r="I161" s="118" t="s">
        <v>6055</v>
      </c>
      <c r="J161" s="118" t="s">
        <v>391</v>
      </c>
      <c r="K161" s="118" t="s">
        <v>6985</v>
      </c>
      <c r="L161" s="118">
        <v>0.14899999999999999</v>
      </c>
      <c r="M161" s="118">
        <v>0.14899999999999999</v>
      </c>
      <c r="N161" s="118" t="s">
        <v>7465</v>
      </c>
      <c r="O161" s="118" t="s">
        <v>7466</v>
      </c>
      <c r="P161" s="118">
        <v>41.648522999999997</v>
      </c>
      <c r="Q161" s="118">
        <v>-83.523471000000001</v>
      </c>
      <c r="R161" s="118">
        <v>77000</v>
      </c>
      <c r="S161" s="118" t="s">
        <v>6988</v>
      </c>
      <c r="T161" s="118">
        <v>1</v>
      </c>
      <c r="U161" s="118">
        <v>0</v>
      </c>
      <c r="V161" s="118">
        <v>0</v>
      </c>
      <c r="W161" s="118">
        <v>0</v>
      </c>
      <c r="X161" s="118">
        <v>0</v>
      </c>
      <c r="Y161" s="118">
        <v>2</v>
      </c>
      <c r="Z161" s="118">
        <v>0</v>
      </c>
      <c r="AA161" s="118">
        <v>2</v>
      </c>
      <c r="AB161" s="118" t="s">
        <v>1067</v>
      </c>
      <c r="AC161" s="118" t="s">
        <v>6989</v>
      </c>
      <c r="AD161" s="118" t="s">
        <v>1034</v>
      </c>
      <c r="AE161" s="118" t="s">
        <v>943</v>
      </c>
      <c r="AF161" s="118" t="s">
        <v>1042</v>
      </c>
      <c r="AG161" s="118" t="s">
        <v>6415</v>
      </c>
      <c r="AH161" s="118" t="s">
        <v>393</v>
      </c>
      <c r="AI161" s="118">
        <v>4</v>
      </c>
      <c r="AJ161" s="118" t="s">
        <v>6415</v>
      </c>
      <c r="AK161" s="118" t="s">
        <v>393</v>
      </c>
      <c r="AL161" s="118" t="s">
        <v>393</v>
      </c>
      <c r="AM161" s="118" t="s">
        <v>393</v>
      </c>
      <c r="AN161" s="402" t="s">
        <v>5975</v>
      </c>
      <c r="AO161" s="402">
        <v>44959</v>
      </c>
      <c r="AP161" s="118">
        <v>2</v>
      </c>
      <c r="AQ161" s="118">
        <v>13</v>
      </c>
      <c r="AR161" s="118" t="s">
        <v>6447</v>
      </c>
      <c r="AS161" s="118" t="s">
        <v>392</v>
      </c>
      <c r="AT161" s="118" t="s">
        <v>500</v>
      </c>
      <c r="AU161" s="118" t="s">
        <v>404</v>
      </c>
      <c r="AV161" s="118" t="s">
        <v>508</v>
      </c>
      <c r="AW161" s="118" t="s">
        <v>393</v>
      </c>
      <c r="AX161" s="118" t="s">
        <v>393</v>
      </c>
      <c r="AY161" s="118" t="s">
        <v>393</v>
      </c>
      <c r="AZ161" s="118" t="s">
        <v>393</v>
      </c>
      <c r="BA161" s="118" t="s">
        <v>393</v>
      </c>
      <c r="BB161" s="118" t="s">
        <v>393</v>
      </c>
      <c r="BC161" s="118" t="s">
        <v>393</v>
      </c>
      <c r="BD161" s="118" t="s">
        <v>393</v>
      </c>
      <c r="BE161" s="118" t="s">
        <v>740</v>
      </c>
      <c r="BF161" s="118" t="s">
        <v>393</v>
      </c>
      <c r="BG161" s="118" t="s">
        <v>393</v>
      </c>
      <c r="BH161" s="118" t="s">
        <v>394</v>
      </c>
      <c r="BI161" s="118" t="s">
        <v>394</v>
      </c>
      <c r="BJ161" s="118" t="s">
        <v>393</v>
      </c>
      <c r="BK161" s="118" t="s">
        <v>6988</v>
      </c>
      <c r="BL161" s="118" t="s">
        <v>6415</v>
      </c>
      <c r="BM161" s="118" t="s">
        <v>6990</v>
      </c>
      <c r="BN161" s="118" t="s">
        <v>6991</v>
      </c>
      <c r="BO161" s="118" t="s">
        <v>6415</v>
      </c>
      <c r="BP161" s="118" t="s">
        <v>6415</v>
      </c>
      <c r="BQ161" s="118" t="s">
        <v>6415</v>
      </c>
      <c r="BR161" s="118" t="s">
        <v>6415</v>
      </c>
      <c r="BS161" s="118" t="s">
        <v>6415</v>
      </c>
      <c r="BT161" s="118" t="s">
        <v>6992</v>
      </c>
      <c r="BU161" s="118" t="s">
        <v>6991</v>
      </c>
      <c r="BV161" s="118" t="s">
        <v>6415</v>
      </c>
      <c r="BW161" s="118" t="s">
        <v>6415</v>
      </c>
      <c r="BX161" s="118" t="s">
        <v>6415</v>
      </c>
      <c r="BY161" s="118" t="s">
        <v>6415</v>
      </c>
      <c r="BZ161" s="118" t="s">
        <v>6415</v>
      </c>
      <c r="CA161" s="118" t="s">
        <v>6415</v>
      </c>
      <c r="CB161" s="118" t="s">
        <v>221</v>
      </c>
      <c r="CC161" s="118" t="s">
        <v>740</v>
      </c>
      <c r="CD161" s="118">
        <v>1</v>
      </c>
      <c r="CE161" s="118" t="s">
        <v>410</v>
      </c>
      <c r="CF161" s="118" t="s">
        <v>411</v>
      </c>
      <c r="CG161" s="118" t="s">
        <v>924</v>
      </c>
      <c r="CH161" s="118" t="s">
        <v>6302</v>
      </c>
      <c r="CI161" s="118" t="s">
        <v>6303</v>
      </c>
      <c r="CJ161" s="118" t="s">
        <v>398</v>
      </c>
      <c r="CK161" s="14">
        <v>0</v>
      </c>
      <c r="CL161" s="118">
        <v>0</v>
      </c>
      <c r="CM161" s="118" t="s">
        <v>399</v>
      </c>
      <c r="CN161" s="118" t="s">
        <v>407</v>
      </c>
      <c r="CO161" s="118" t="s">
        <v>1096</v>
      </c>
      <c r="CP161" s="118" t="s">
        <v>400</v>
      </c>
      <c r="CQ161" s="118" t="s">
        <v>6415</v>
      </c>
      <c r="CR161" s="118" t="s">
        <v>6415</v>
      </c>
      <c r="CS161" s="118" t="s">
        <v>6415</v>
      </c>
      <c r="CT161" s="118" t="s">
        <v>6415</v>
      </c>
      <c r="CU161" s="118" t="s">
        <v>6415</v>
      </c>
      <c r="CV161" s="118" t="s">
        <v>6415</v>
      </c>
      <c r="CW161" s="14">
        <v>0</v>
      </c>
      <c r="CX161" s="118" t="s">
        <v>401</v>
      </c>
      <c r="CY161" s="118" t="s">
        <v>6151</v>
      </c>
      <c r="CZ161" s="118">
        <v>2</v>
      </c>
      <c r="DA161" s="118" t="s">
        <v>410</v>
      </c>
      <c r="DB161" s="118" t="s">
        <v>411</v>
      </c>
      <c r="DC161" s="118" t="s">
        <v>6415</v>
      </c>
      <c r="DD161" s="118" t="s">
        <v>6302</v>
      </c>
      <c r="DE161" s="118" t="s">
        <v>6303</v>
      </c>
      <c r="DF161" s="118" t="s">
        <v>6151</v>
      </c>
      <c r="DG161" s="118" t="s">
        <v>6415</v>
      </c>
      <c r="DH161" s="118" t="s">
        <v>6415</v>
      </c>
      <c r="DI161" s="118" t="s">
        <v>399</v>
      </c>
      <c r="DJ161" s="118" t="s">
        <v>398</v>
      </c>
      <c r="DK161" s="118" t="s">
        <v>400</v>
      </c>
      <c r="DL161" s="118" t="s">
        <v>6415</v>
      </c>
      <c r="DM161" s="118" t="s">
        <v>6415</v>
      </c>
      <c r="DN161" s="118" t="s">
        <v>6415</v>
      </c>
      <c r="DO161" s="118" t="s">
        <v>6415</v>
      </c>
      <c r="DP161" s="118" t="s">
        <v>6415</v>
      </c>
      <c r="DQ161" s="118" t="s">
        <v>6415</v>
      </c>
      <c r="DR161" s="118">
        <v>66</v>
      </c>
      <c r="DS161" s="118" t="s">
        <v>1066</v>
      </c>
      <c r="DT161" s="118" t="s">
        <v>6341</v>
      </c>
      <c r="DU161" s="118" t="s">
        <v>6415</v>
      </c>
      <c r="DV161" s="118" t="s">
        <v>6415</v>
      </c>
      <c r="DW161" s="118" t="s">
        <v>6415</v>
      </c>
      <c r="DX161" s="118" t="s">
        <v>6415</v>
      </c>
      <c r="DY161" s="118" t="s">
        <v>6415</v>
      </c>
      <c r="DZ161" s="118" t="s">
        <v>6415</v>
      </c>
      <c r="EA161" s="118" t="s">
        <v>6415</v>
      </c>
      <c r="EB161" s="118" t="s">
        <v>6415</v>
      </c>
      <c r="EC161" s="118" t="s">
        <v>6415</v>
      </c>
      <c r="ED161" s="118" t="s">
        <v>6415</v>
      </c>
      <c r="EE161" s="118" t="s">
        <v>6415</v>
      </c>
      <c r="EF161" s="118" t="s">
        <v>6415</v>
      </c>
      <c r="EG161" s="118" t="s">
        <v>6986</v>
      </c>
      <c r="EH161" s="118" t="s">
        <v>6987</v>
      </c>
      <c r="EI161" s="118" t="s">
        <v>6415</v>
      </c>
      <c r="EJ161" s="118" t="s">
        <v>6415</v>
      </c>
      <c r="EK161" s="118" t="s">
        <v>6415</v>
      </c>
      <c r="EL161" s="118" t="s">
        <v>7467</v>
      </c>
      <c r="EM161" s="118" t="s">
        <v>7261</v>
      </c>
      <c r="EN161" s="118" t="s">
        <v>6415</v>
      </c>
      <c r="EO161" s="6" t="str">
        <f t="shared" si="18"/>
        <v>Pathweb</v>
      </c>
      <c r="EP161" s="6" t="str">
        <f t="shared" si="19"/>
        <v>Google Maps</v>
      </c>
      <c r="EQ161" s="6" t="str">
        <f t="shared" si="20"/>
        <v>Mashed Map</v>
      </c>
      <c r="ER161" s="118" t="s">
        <v>6727</v>
      </c>
      <c r="ES161" s="118" t="s">
        <v>71</v>
      </c>
      <c r="ET161" s="4">
        <v>0</v>
      </c>
      <c r="EU161" s="4"/>
      <c r="EV161" s="4"/>
    </row>
    <row r="162" spans="1:152" x14ac:dyDescent="0.15">
      <c r="A162" s="581" t="str">
        <f t="shared" si="17"/>
        <v>Crash Report</v>
      </c>
      <c r="B162" s="14">
        <v>20233021998</v>
      </c>
      <c r="C162" s="118">
        <v>2023</v>
      </c>
      <c r="D162" s="14">
        <v>23021029042015</v>
      </c>
      <c r="F162" s="118" t="s">
        <v>6442</v>
      </c>
      <c r="G162" s="118" t="s">
        <v>230</v>
      </c>
      <c r="H162" s="118">
        <v>2</v>
      </c>
      <c r="I162" s="118" t="s">
        <v>6055</v>
      </c>
      <c r="J162" s="118" t="s">
        <v>391</v>
      </c>
      <c r="K162" s="118" t="s">
        <v>6985</v>
      </c>
      <c r="L162" s="118">
        <v>0.30299999999999999</v>
      </c>
      <c r="M162" s="118">
        <v>0.30299999999999999</v>
      </c>
      <c r="N162" s="118" t="s">
        <v>7465</v>
      </c>
      <c r="O162" s="118">
        <v>802</v>
      </c>
      <c r="P162" s="118">
        <v>41.649934000000002</v>
      </c>
      <c r="Q162" s="118">
        <v>-83.521170999999995</v>
      </c>
      <c r="R162" s="118">
        <v>77000</v>
      </c>
      <c r="S162" s="118" t="s">
        <v>6988</v>
      </c>
      <c r="T162" s="118">
        <v>1</v>
      </c>
      <c r="U162" s="118">
        <v>0</v>
      </c>
      <c r="V162" s="118">
        <v>0</v>
      </c>
      <c r="W162" s="118">
        <v>0</v>
      </c>
      <c r="X162" s="118">
        <v>0</v>
      </c>
      <c r="Y162" s="118">
        <v>3</v>
      </c>
      <c r="Z162" s="118">
        <v>1</v>
      </c>
      <c r="AA162" s="118">
        <v>2</v>
      </c>
      <c r="AB162" s="118" t="s">
        <v>1067</v>
      </c>
      <c r="AC162" s="118" t="s">
        <v>6989</v>
      </c>
      <c r="AD162" s="118" t="s">
        <v>1034</v>
      </c>
      <c r="AE162" s="118" t="s">
        <v>943</v>
      </c>
      <c r="AF162" s="118" t="s">
        <v>1041</v>
      </c>
      <c r="AG162" s="118" t="s">
        <v>6415</v>
      </c>
      <c r="AH162" s="118" t="s">
        <v>393</v>
      </c>
      <c r="AI162" s="118">
        <v>4</v>
      </c>
      <c r="AJ162" s="118" t="s">
        <v>6415</v>
      </c>
      <c r="AK162" s="118" t="s">
        <v>393</v>
      </c>
      <c r="AL162" s="118" t="s">
        <v>393</v>
      </c>
      <c r="AM162" s="118" t="s">
        <v>393</v>
      </c>
      <c r="AN162" s="402" t="s">
        <v>5975</v>
      </c>
      <c r="AO162" s="402">
        <v>44967</v>
      </c>
      <c r="AP162" s="118">
        <v>2</v>
      </c>
      <c r="AQ162" s="118">
        <v>20</v>
      </c>
      <c r="AR162" s="118" t="s">
        <v>6448</v>
      </c>
      <c r="AS162" s="118" t="s">
        <v>392</v>
      </c>
      <c r="AT162" s="118" t="s">
        <v>500</v>
      </c>
      <c r="AU162" s="118" t="s">
        <v>505</v>
      </c>
      <c r="AV162" s="118" t="s">
        <v>508</v>
      </c>
      <c r="AW162" s="118" t="s">
        <v>393</v>
      </c>
      <c r="AX162" s="118" t="s">
        <v>740</v>
      </c>
      <c r="AY162" s="118" t="s">
        <v>393</v>
      </c>
      <c r="AZ162" s="118" t="s">
        <v>393</v>
      </c>
      <c r="BA162" s="118" t="s">
        <v>393</v>
      </c>
      <c r="BB162" s="118" t="s">
        <v>393</v>
      </c>
      <c r="BC162" s="118" t="s">
        <v>393</v>
      </c>
      <c r="BD162" s="118" t="s">
        <v>393</v>
      </c>
      <c r="BE162" s="118" t="s">
        <v>393</v>
      </c>
      <c r="BF162" s="118" t="s">
        <v>393</v>
      </c>
      <c r="BG162" s="118" t="s">
        <v>393</v>
      </c>
      <c r="BH162" s="118" t="s">
        <v>394</v>
      </c>
      <c r="BI162" s="118" t="s">
        <v>394</v>
      </c>
      <c r="BJ162" s="118" t="s">
        <v>393</v>
      </c>
      <c r="BK162" s="118" t="s">
        <v>6988</v>
      </c>
      <c r="BL162" s="118" t="s">
        <v>6415</v>
      </c>
      <c r="BM162" s="118" t="s">
        <v>6990</v>
      </c>
      <c r="BN162" s="118" t="s">
        <v>6991</v>
      </c>
      <c r="BO162" s="118" t="s">
        <v>6415</v>
      </c>
      <c r="BP162" s="118" t="s">
        <v>6415</v>
      </c>
      <c r="BQ162" s="118" t="s">
        <v>6415</v>
      </c>
      <c r="BR162" s="118" t="s">
        <v>6415</v>
      </c>
      <c r="BS162" s="118" t="s">
        <v>6415</v>
      </c>
      <c r="BT162" s="118" t="s">
        <v>7012</v>
      </c>
      <c r="BU162" s="118" t="s">
        <v>6415</v>
      </c>
      <c r="BV162" s="118" t="s">
        <v>6415</v>
      </c>
      <c r="BW162" s="118" t="s">
        <v>6415</v>
      </c>
      <c r="BX162" s="118" t="s">
        <v>6415</v>
      </c>
      <c r="BY162" s="118" t="s">
        <v>6415</v>
      </c>
      <c r="BZ162" s="118">
        <v>802</v>
      </c>
      <c r="CA162" s="118" t="s">
        <v>6415</v>
      </c>
      <c r="CB162" s="118" t="s">
        <v>422</v>
      </c>
      <c r="CC162" s="118" t="s">
        <v>740</v>
      </c>
      <c r="CD162" s="118">
        <v>1</v>
      </c>
      <c r="CE162" s="118" t="s">
        <v>410</v>
      </c>
      <c r="CF162" s="118" t="s">
        <v>406</v>
      </c>
      <c r="CG162" s="118" t="s">
        <v>230</v>
      </c>
      <c r="CH162" s="118" t="s">
        <v>6302</v>
      </c>
      <c r="CI162" s="118" t="s">
        <v>6305</v>
      </c>
      <c r="CJ162" s="118" t="s">
        <v>6151</v>
      </c>
      <c r="CK162" s="14">
        <v>0</v>
      </c>
      <c r="CL162" s="118">
        <v>0</v>
      </c>
      <c r="CM162" s="118" t="s">
        <v>436</v>
      </c>
      <c r="CN162" s="118" t="s">
        <v>407</v>
      </c>
      <c r="CO162" s="118" t="s">
        <v>1096</v>
      </c>
      <c r="CP162" s="118" t="s">
        <v>400</v>
      </c>
      <c r="CQ162" s="118" t="s">
        <v>6415</v>
      </c>
      <c r="CR162" s="118" t="s">
        <v>6415</v>
      </c>
      <c r="CS162" s="118" t="s">
        <v>6415</v>
      </c>
      <c r="CT162" s="118" t="s">
        <v>6415</v>
      </c>
      <c r="CU162" s="118" t="s">
        <v>6415</v>
      </c>
      <c r="CV162" s="118" t="s">
        <v>6415</v>
      </c>
      <c r="CW162" s="14">
        <v>46</v>
      </c>
      <c r="CX162" s="118" t="s">
        <v>1066</v>
      </c>
      <c r="CY162" s="118" t="s">
        <v>6151</v>
      </c>
      <c r="CZ162" s="118">
        <v>2</v>
      </c>
      <c r="DA162" s="118" t="s">
        <v>411</v>
      </c>
      <c r="DB162" s="118" t="s">
        <v>410</v>
      </c>
      <c r="DC162" s="118" t="s">
        <v>6415</v>
      </c>
      <c r="DD162" s="118" t="s">
        <v>6302</v>
      </c>
      <c r="DE162" s="118" t="s">
        <v>6304</v>
      </c>
      <c r="DF162" s="118" t="s">
        <v>6151</v>
      </c>
      <c r="DG162" s="118" t="s">
        <v>6415</v>
      </c>
      <c r="DH162" s="118" t="s">
        <v>6415</v>
      </c>
      <c r="DI162" s="118" t="s">
        <v>399</v>
      </c>
      <c r="DJ162" s="118" t="s">
        <v>398</v>
      </c>
      <c r="DK162" s="118" t="s">
        <v>400</v>
      </c>
      <c r="DL162" s="118" t="s">
        <v>6415</v>
      </c>
      <c r="DM162" s="118" t="s">
        <v>6415</v>
      </c>
      <c r="DN162" s="118" t="s">
        <v>6415</v>
      </c>
      <c r="DO162" s="118" t="s">
        <v>6415</v>
      </c>
      <c r="DP162" s="118" t="s">
        <v>6415</v>
      </c>
      <c r="DQ162" s="118" t="s">
        <v>6415</v>
      </c>
      <c r="DR162" s="118">
        <v>63</v>
      </c>
      <c r="DS162" s="118" t="s">
        <v>1068</v>
      </c>
      <c r="DT162" s="118" t="s">
        <v>6151</v>
      </c>
      <c r="DU162" s="118" t="s">
        <v>6415</v>
      </c>
      <c r="DV162" s="118" t="s">
        <v>6415</v>
      </c>
      <c r="DW162" s="118" t="s">
        <v>6415</v>
      </c>
      <c r="DX162" s="118" t="s">
        <v>6415</v>
      </c>
      <c r="DY162" s="118" t="s">
        <v>6415</v>
      </c>
      <c r="DZ162" s="118" t="s">
        <v>6415</v>
      </c>
      <c r="EA162" s="118" t="s">
        <v>6415</v>
      </c>
      <c r="EB162" s="118" t="s">
        <v>6415</v>
      </c>
      <c r="EC162" s="118" t="s">
        <v>6415</v>
      </c>
      <c r="ED162" s="118" t="s">
        <v>6415</v>
      </c>
      <c r="EE162" s="118" t="s">
        <v>6415</v>
      </c>
      <c r="EF162" s="118" t="s">
        <v>6415</v>
      </c>
      <c r="EG162" s="118" t="s">
        <v>7002</v>
      </c>
      <c r="EH162" s="118" t="s">
        <v>7011</v>
      </c>
      <c r="EI162" s="118" t="s">
        <v>6415</v>
      </c>
      <c r="EJ162" s="118" t="s">
        <v>6415</v>
      </c>
      <c r="EK162" s="118" t="s">
        <v>6415</v>
      </c>
      <c r="EL162" s="118" t="s">
        <v>7467</v>
      </c>
      <c r="EM162" s="118" t="s">
        <v>7262</v>
      </c>
      <c r="EN162" s="118" t="s">
        <v>6415</v>
      </c>
      <c r="EO162" s="6" t="str">
        <f t="shared" si="18"/>
        <v>Pathweb</v>
      </c>
      <c r="EP162" s="6" t="str">
        <f t="shared" si="19"/>
        <v>Google Maps</v>
      </c>
      <c r="EQ162" s="6" t="str">
        <f t="shared" si="20"/>
        <v>Mashed Map</v>
      </c>
      <c r="ER162" s="118" t="s">
        <v>6727</v>
      </c>
      <c r="ES162" s="118" t="s">
        <v>71</v>
      </c>
      <c r="ET162" s="4">
        <v>0</v>
      </c>
      <c r="EU162" s="4"/>
      <c r="EV162" s="4"/>
    </row>
    <row r="163" spans="1:152" x14ac:dyDescent="0.15">
      <c r="A163" s="581" t="str">
        <f t="shared" si="17"/>
        <v>Crash Report</v>
      </c>
      <c r="B163" s="118">
        <v>20233028208</v>
      </c>
      <c r="C163" s="118">
        <v>2023</v>
      </c>
      <c r="D163" s="118">
        <v>23022329080018</v>
      </c>
      <c r="F163" s="118" t="s">
        <v>6442</v>
      </c>
      <c r="G163" s="118" t="s">
        <v>230</v>
      </c>
      <c r="H163" s="118">
        <v>2</v>
      </c>
      <c r="I163" s="118" t="s">
        <v>6055</v>
      </c>
      <c r="J163" s="118" t="s">
        <v>423</v>
      </c>
      <c r="K163" s="118" t="s">
        <v>6985</v>
      </c>
      <c r="L163" s="118">
        <v>0.14899999999999999</v>
      </c>
      <c r="M163" s="118">
        <v>0.14899999999999999</v>
      </c>
      <c r="N163" s="118" t="s">
        <v>7465</v>
      </c>
      <c r="O163" s="118" t="s">
        <v>7466</v>
      </c>
      <c r="P163" s="118">
        <v>41.648522999999997</v>
      </c>
      <c r="Q163" s="118">
        <v>-83.523471000000001</v>
      </c>
      <c r="R163" s="118">
        <v>77000</v>
      </c>
      <c r="S163" s="118" t="s">
        <v>6988</v>
      </c>
      <c r="T163" s="118">
        <v>1</v>
      </c>
      <c r="U163" s="118">
        <v>0</v>
      </c>
      <c r="V163" s="118">
        <v>0</v>
      </c>
      <c r="W163" s="118">
        <v>0</v>
      </c>
      <c r="X163" s="118">
        <v>0</v>
      </c>
      <c r="Y163" s="118">
        <v>2</v>
      </c>
      <c r="Z163" s="118">
        <v>0</v>
      </c>
      <c r="AA163" s="118">
        <v>2</v>
      </c>
      <c r="AB163" s="118" t="s">
        <v>1067</v>
      </c>
      <c r="AC163" s="118" t="s">
        <v>6989</v>
      </c>
      <c r="AD163" s="118" t="s">
        <v>1034</v>
      </c>
      <c r="AE163" s="118" t="s">
        <v>943</v>
      </c>
      <c r="AF163" s="118" t="s">
        <v>1042</v>
      </c>
      <c r="AG163" s="118" t="s">
        <v>6415</v>
      </c>
      <c r="AH163" s="118" t="s">
        <v>393</v>
      </c>
      <c r="AI163" s="118">
        <v>4</v>
      </c>
      <c r="AJ163" s="118" t="s">
        <v>6415</v>
      </c>
      <c r="AK163" s="118" t="s">
        <v>393</v>
      </c>
      <c r="AL163" s="118" t="s">
        <v>393</v>
      </c>
      <c r="AM163" s="118" t="s">
        <v>393</v>
      </c>
      <c r="AN163" s="402" t="s">
        <v>5975</v>
      </c>
      <c r="AO163" s="402">
        <v>44980</v>
      </c>
      <c r="AP163" s="118">
        <v>2</v>
      </c>
      <c r="AQ163" s="118">
        <v>0</v>
      </c>
      <c r="AR163" s="118" t="s">
        <v>6447</v>
      </c>
      <c r="AS163" s="118" t="s">
        <v>420</v>
      </c>
      <c r="AT163" s="118" t="s">
        <v>225</v>
      </c>
      <c r="AU163" s="118" t="s">
        <v>505</v>
      </c>
      <c r="AV163" s="118" t="s">
        <v>508</v>
      </c>
      <c r="AW163" s="118" t="s">
        <v>393</v>
      </c>
      <c r="AX163" s="118" t="s">
        <v>740</v>
      </c>
      <c r="AY163" s="118" t="s">
        <v>393</v>
      </c>
      <c r="AZ163" s="118" t="s">
        <v>393</v>
      </c>
      <c r="BA163" s="118" t="s">
        <v>393</v>
      </c>
      <c r="BB163" s="118" t="s">
        <v>393</v>
      </c>
      <c r="BC163" s="118" t="s">
        <v>393</v>
      </c>
      <c r="BD163" s="118" t="s">
        <v>393</v>
      </c>
      <c r="BE163" s="118" t="s">
        <v>393</v>
      </c>
      <c r="BF163" s="118" t="s">
        <v>393</v>
      </c>
      <c r="BG163" s="118" t="s">
        <v>393</v>
      </c>
      <c r="BH163" s="118" t="s">
        <v>394</v>
      </c>
      <c r="BI163" s="118" t="s">
        <v>394</v>
      </c>
      <c r="BJ163" s="118" t="s">
        <v>393</v>
      </c>
      <c r="BK163" s="118" t="s">
        <v>6988</v>
      </c>
      <c r="BL163" s="118" t="s">
        <v>6415</v>
      </c>
      <c r="BM163" s="118" t="s">
        <v>6990</v>
      </c>
      <c r="BN163" s="118" t="s">
        <v>6991</v>
      </c>
      <c r="BO163" s="118" t="s">
        <v>6415</v>
      </c>
      <c r="BP163" s="118" t="s">
        <v>6415</v>
      </c>
      <c r="BQ163" s="118" t="s">
        <v>6415</v>
      </c>
      <c r="BR163" s="118" t="s">
        <v>6415</v>
      </c>
      <c r="BS163" s="118" t="s">
        <v>6415</v>
      </c>
      <c r="BT163" s="118" t="s">
        <v>6992</v>
      </c>
      <c r="BU163" s="118" t="s">
        <v>6991</v>
      </c>
      <c r="BV163" s="118" t="s">
        <v>6415</v>
      </c>
      <c r="BW163" s="118" t="s">
        <v>6415</v>
      </c>
      <c r="BX163" s="118" t="s">
        <v>6415</v>
      </c>
      <c r="BY163" s="118" t="s">
        <v>6415</v>
      </c>
      <c r="BZ163" s="118" t="s">
        <v>6415</v>
      </c>
      <c r="CA163" s="118" t="s">
        <v>6415</v>
      </c>
      <c r="CB163" s="118" t="s">
        <v>221</v>
      </c>
      <c r="CC163" s="118" t="s">
        <v>740</v>
      </c>
      <c r="CD163" s="118">
        <v>1</v>
      </c>
      <c r="CE163" s="118" t="s">
        <v>397</v>
      </c>
      <c r="CF163" s="118" t="s">
        <v>406</v>
      </c>
      <c r="CG163" s="118" t="s">
        <v>230</v>
      </c>
      <c r="CH163" s="118" t="s">
        <v>6301</v>
      </c>
      <c r="CI163" s="118" t="s">
        <v>6303</v>
      </c>
      <c r="CJ163" s="118" t="s">
        <v>398</v>
      </c>
      <c r="CK163" s="118">
        <v>0</v>
      </c>
      <c r="CL163" s="118">
        <v>35</v>
      </c>
      <c r="CM163" s="118" t="s">
        <v>436</v>
      </c>
      <c r="CN163" s="118" t="s">
        <v>6327</v>
      </c>
      <c r="CO163" s="118" t="s">
        <v>1096</v>
      </c>
      <c r="CP163" s="118" t="s">
        <v>400</v>
      </c>
      <c r="CQ163" s="118" t="s">
        <v>6415</v>
      </c>
      <c r="CR163" s="118" t="s">
        <v>6415</v>
      </c>
      <c r="CS163" s="118" t="s">
        <v>6415</v>
      </c>
      <c r="CT163" s="118" t="s">
        <v>6415</v>
      </c>
      <c r="CU163" s="118" t="s">
        <v>6415</v>
      </c>
      <c r="CV163" s="118" t="s">
        <v>6415</v>
      </c>
      <c r="CW163" s="118">
        <v>36</v>
      </c>
      <c r="CX163" s="118" t="s">
        <v>1068</v>
      </c>
      <c r="CY163" s="118" t="s">
        <v>6341</v>
      </c>
      <c r="CZ163" s="118">
        <v>2</v>
      </c>
      <c r="DA163" s="118" t="s">
        <v>396</v>
      </c>
      <c r="DB163" s="118" t="s">
        <v>397</v>
      </c>
      <c r="DC163" s="118" t="s">
        <v>6415</v>
      </c>
      <c r="DD163" s="118" t="s">
        <v>6301</v>
      </c>
      <c r="DE163" s="118" t="s">
        <v>6303</v>
      </c>
      <c r="DF163" s="118" t="s">
        <v>398</v>
      </c>
      <c r="DG163" s="118" t="s">
        <v>6415</v>
      </c>
      <c r="DH163" s="118">
        <v>35</v>
      </c>
      <c r="DI163" s="118" t="s">
        <v>399</v>
      </c>
      <c r="DJ163" s="118" t="s">
        <v>398</v>
      </c>
      <c r="DK163" s="118" t="s">
        <v>400</v>
      </c>
      <c r="DL163" s="118" t="s">
        <v>6415</v>
      </c>
      <c r="DM163" s="118" t="s">
        <v>6415</v>
      </c>
      <c r="DN163" s="118" t="s">
        <v>6415</v>
      </c>
      <c r="DO163" s="118" t="s">
        <v>6415</v>
      </c>
      <c r="DP163" s="118" t="s">
        <v>6415</v>
      </c>
      <c r="DQ163" s="118" t="s">
        <v>6415</v>
      </c>
      <c r="DR163" s="118">
        <v>29</v>
      </c>
      <c r="DS163" s="118" t="s">
        <v>1066</v>
      </c>
      <c r="DT163" s="118" t="s">
        <v>6341</v>
      </c>
      <c r="DU163" s="118" t="s">
        <v>6415</v>
      </c>
      <c r="DV163" s="118" t="s">
        <v>6415</v>
      </c>
      <c r="DW163" s="118" t="s">
        <v>6415</v>
      </c>
      <c r="DX163" s="118" t="s">
        <v>6415</v>
      </c>
      <c r="DY163" s="118" t="s">
        <v>6415</v>
      </c>
      <c r="DZ163" s="118" t="s">
        <v>6415</v>
      </c>
      <c r="EA163" s="118" t="s">
        <v>6415</v>
      </c>
      <c r="EB163" s="118" t="s">
        <v>6415</v>
      </c>
      <c r="EC163" s="118" t="s">
        <v>6415</v>
      </c>
      <c r="ED163" s="118" t="s">
        <v>6415</v>
      </c>
      <c r="EE163" s="118" t="s">
        <v>6415</v>
      </c>
      <c r="EF163" s="118" t="s">
        <v>6415</v>
      </c>
      <c r="EG163" s="118" t="s">
        <v>6986</v>
      </c>
      <c r="EH163" s="118" t="s">
        <v>6987</v>
      </c>
      <c r="EI163" s="118" t="s">
        <v>6415</v>
      </c>
      <c r="EJ163" s="118" t="s">
        <v>6415</v>
      </c>
      <c r="EK163" s="118" t="s">
        <v>6415</v>
      </c>
      <c r="EL163" s="118" t="s">
        <v>7467</v>
      </c>
      <c r="EM163" s="118" t="s">
        <v>7263</v>
      </c>
      <c r="EN163" s="118" t="s">
        <v>6415</v>
      </c>
      <c r="EO163" s="6" t="str">
        <f t="shared" si="18"/>
        <v>Pathweb</v>
      </c>
      <c r="EP163" s="6" t="str">
        <f t="shared" si="19"/>
        <v>Google Maps</v>
      </c>
      <c r="EQ163" s="6" t="str">
        <f t="shared" si="20"/>
        <v>Mashed Map</v>
      </c>
      <c r="ER163" s="118" t="s">
        <v>6727</v>
      </c>
      <c r="ES163" s="118" t="s">
        <v>71</v>
      </c>
      <c r="ET163" s="4">
        <v>0</v>
      </c>
      <c r="EU163" s="4"/>
      <c r="EV163" s="4"/>
    </row>
    <row r="164" spans="1:152" x14ac:dyDescent="0.15">
      <c r="A164" s="581" t="str">
        <f t="shared" si="17"/>
        <v>Crash Report</v>
      </c>
      <c r="B164" s="118">
        <v>20233035525</v>
      </c>
      <c r="C164" s="118">
        <v>2023</v>
      </c>
      <c r="D164" s="118">
        <v>23030727632320</v>
      </c>
      <c r="F164" s="118" t="s">
        <v>6441</v>
      </c>
      <c r="G164" s="118" t="s">
        <v>438</v>
      </c>
      <c r="H164" s="118">
        <v>2</v>
      </c>
      <c r="I164" s="118" t="s">
        <v>6055</v>
      </c>
      <c r="J164" s="118" t="s">
        <v>423</v>
      </c>
      <c r="K164" s="118" t="s">
        <v>6997</v>
      </c>
      <c r="L164" s="118">
        <v>0.379</v>
      </c>
      <c r="M164" s="118">
        <v>0.379</v>
      </c>
      <c r="N164" s="118" t="s">
        <v>7469</v>
      </c>
      <c r="O164" s="118" t="s">
        <v>7489</v>
      </c>
      <c r="P164" s="118">
        <v>41.644768999999997</v>
      </c>
      <c r="Q164" s="118">
        <v>-83.519372000000004</v>
      </c>
      <c r="R164" s="118">
        <v>77000</v>
      </c>
      <c r="S164" s="118" t="s">
        <v>6988</v>
      </c>
      <c r="T164" s="118">
        <v>1</v>
      </c>
      <c r="U164" s="118">
        <v>0</v>
      </c>
      <c r="V164" s="118">
        <v>0</v>
      </c>
      <c r="W164" s="118">
        <v>0</v>
      </c>
      <c r="X164" s="118">
        <v>2</v>
      </c>
      <c r="Y164" s="118">
        <v>3</v>
      </c>
      <c r="Z164" s="118">
        <v>0</v>
      </c>
      <c r="AA164" s="118">
        <v>2</v>
      </c>
      <c r="AB164" s="118" t="s">
        <v>1067</v>
      </c>
      <c r="AC164" s="118" t="s">
        <v>6989</v>
      </c>
      <c r="AD164" s="118" t="s">
        <v>1034</v>
      </c>
      <c r="AE164" s="118" t="s">
        <v>943</v>
      </c>
      <c r="AF164" s="118" t="s">
        <v>1042</v>
      </c>
      <c r="AG164" s="118" t="s">
        <v>6415</v>
      </c>
      <c r="AH164" s="118" t="s">
        <v>393</v>
      </c>
      <c r="AI164" s="118">
        <v>2</v>
      </c>
      <c r="AJ164" s="118" t="s">
        <v>6415</v>
      </c>
      <c r="AK164" s="118" t="s">
        <v>393</v>
      </c>
      <c r="AL164" s="118" t="s">
        <v>393</v>
      </c>
      <c r="AM164" s="118" t="s">
        <v>393</v>
      </c>
      <c r="AN164" s="402" t="s">
        <v>5975</v>
      </c>
      <c r="AO164" s="402">
        <v>44992</v>
      </c>
      <c r="AP164" s="118">
        <v>3</v>
      </c>
      <c r="AQ164" s="118">
        <v>23</v>
      </c>
      <c r="AR164" s="118" t="s">
        <v>6445</v>
      </c>
      <c r="AS164" s="118" t="s">
        <v>392</v>
      </c>
      <c r="AT164" s="118" t="s">
        <v>500</v>
      </c>
      <c r="AU164" s="118" t="s">
        <v>505</v>
      </c>
      <c r="AV164" s="118" t="s">
        <v>508</v>
      </c>
      <c r="AW164" s="118" t="s">
        <v>393</v>
      </c>
      <c r="AX164" s="118" t="s">
        <v>740</v>
      </c>
      <c r="AY164" s="118" t="s">
        <v>393</v>
      </c>
      <c r="AZ164" s="118" t="s">
        <v>393</v>
      </c>
      <c r="BA164" s="118" t="s">
        <v>393</v>
      </c>
      <c r="BB164" s="118" t="s">
        <v>393</v>
      </c>
      <c r="BC164" s="118" t="s">
        <v>393</v>
      </c>
      <c r="BD164" s="118" t="s">
        <v>393</v>
      </c>
      <c r="BE164" s="118" t="s">
        <v>393</v>
      </c>
      <c r="BF164" s="118" t="s">
        <v>740</v>
      </c>
      <c r="BG164" s="118" t="s">
        <v>393</v>
      </c>
      <c r="BH164" s="118" t="s">
        <v>394</v>
      </c>
      <c r="BI164" s="118" t="s">
        <v>394</v>
      </c>
      <c r="BJ164" s="118" t="s">
        <v>740</v>
      </c>
      <c r="BK164" s="118" t="s">
        <v>6988</v>
      </c>
      <c r="BL164" s="118" t="s">
        <v>6415</v>
      </c>
      <c r="BM164" s="118" t="s">
        <v>6992</v>
      </c>
      <c r="BN164" s="118" t="s">
        <v>6991</v>
      </c>
      <c r="BO164" s="118" t="s">
        <v>6415</v>
      </c>
      <c r="BP164" s="118" t="s">
        <v>6415</v>
      </c>
      <c r="BQ164" s="118" t="s">
        <v>6415</v>
      </c>
      <c r="BR164" s="118" t="s">
        <v>6415</v>
      </c>
      <c r="BS164" s="118" t="s">
        <v>6415</v>
      </c>
      <c r="BT164" s="118" t="s">
        <v>7154</v>
      </c>
      <c r="BU164" s="118" t="s">
        <v>6991</v>
      </c>
      <c r="BV164" s="118" t="s">
        <v>6415</v>
      </c>
      <c r="BW164" s="118" t="s">
        <v>6415</v>
      </c>
      <c r="BX164" s="118" t="s">
        <v>6415</v>
      </c>
      <c r="BY164" s="118" t="s">
        <v>6415</v>
      </c>
      <c r="BZ164" s="118" t="s">
        <v>6415</v>
      </c>
      <c r="CA164" s="118" t="s">
        <v>6415</v>
      </c>
      <c r="CB164" s="118" t="s">
        <v>221</v>
      </c>
      <c r="CC164" s="118" t="s">
        <v>740</v>
      </c>
      <c r="CD164" s="118">
        <v>1</v>
      </c>
      <c r="CE164" s="118" t="s">
        <v>411</v>
      </c>
      <c r="CF164" s="118" t="s">
        <v>410</v>
      </c>
      <c r="CG164" s="118" t="s">
        <v>924</v>
      </c>
      <c r="CH164" s="118" t="s">
        <v>6302</v>
      </c>
      <c r="CI164" s="118" t="s">
        <v>6303</v>
      </c>
      <c r="CJ164" s="118" t="s">
        <v>398</v>
      </c>
      <c r="CK164" s="118">
        <v>0</v>
      </c>
      <c r="CL164" s="118">
        <v>0</v>
      </c>
      <c r="CM164" s="118" t="s">
        <v>463</v>
      </c>
      <c r="CN164" s="118" t="s">
        <v>6328</v>
      </c>
      <c r="CO164" s="118" t="s">
        <v>1096</v>
      </c>
      <c r="CP164" s="118" t="s">
        <v>400</v>
      </c>
      <c r="CQ164" s="118" t="s">
        <v>6415</v>
      </c>
      <c r="CR164" s="118" t="s">
        <v>6415</v>
      </c>
      <c r="CS164" s="118" t="s">
        <v>6415</v>
      </c>
      <c r="CT164" s="118" t="s">
        <v>6415</v>
      </c>
      <c r="CU164" s="118" t="s">
        <v>6415</v>
      </c>
      <c r="CV164" s="118" t="s">
        <v>6415</v>
      </c>
      <c r="CW164" s="118">
        <v>36</v>
      </c>
      <c r="CX164" s="118" t="s">
        <v>1068</v>
      </c>
      <c r="CY164" s="118" t="s">
        <v>6342</v>
      </c>
      <c r="CZ164" s="118">
        <v>2</v>
      </c>
      <c r="DA164" s="118" t="s">
        <v>410</v>
      </c>
      <c r="DB164" s="118" t="s">
        <v>411</v>
      </c>
      <c r="DC164" s="118" t="s">
        <v>6415</v>
      </c>
      <c r="DD164" s="118" t="s">
        <v>6302</v>
      </c>
      <c r="DE164" s="118" t="s">
        <v>6303</v>
      </c>
      <c r="DF164" s="118" t="s">
        <v>398</v>
      </c>
      <c r="DG164" s="118" t="s">
        <v>6415</v>
      </c>
      <c r="DH164" s="118" t="s">
        <v>6415</v>
      </c>
      <c r="DI164" s="118" t="s">
        <v>399</v>
      </c>
      <c r="DJ164" s="118" t="s">
        <v>398</v>
      </c>
      <c r="DK164" s="118" t="s">
        <v>400</v>
      </c>
      <c r="DL164" s="118" t="s">
        <v>6415</v>
      </c>
      <c r="DM164" s="118" t="s">
        <v>6415</v>
      </c>
      <c r="DN164" s="118" t="s">
        <v>6415</v>
      </c>
      <c r="DO164" s="118" t="s">
        <v>6415</v>
      </c>
      <c r="DP164" s="118" t="s">
        <v>6415</v>
      </c>
      <c r="DQ164" s="118" t="s">
        <v>6415</v>
      </c>
      <c r="DR164" s="118">
        <v>24</v>
      </c>
      <c r="DS164" s="118" t="s">
        <v>1066</v>
      </c>
      <c r="DT164" s="118" t="s">
        <v>6341</v>
      </c>
      <c r="DU164" s="118" t="s">
        <v>6415</v>
      </c>
      <c r="DV164" s="118" t="s">
        <v>6415</v>
      </c>
      <c r="DW164" s="118" t="s">
        <v>6415</v>
      </c>
      <c r="DX164" s="118" t="s">
        <v>6415</v>
      </c>
      <c r="DY164" s="118" t="s">
        <v>6415</v>
      </c>
      <c r="DZ164" s="118" t="s">
        <v>6415</v>
      </c>
      <c r="EA164" s="118" t="s">
        <v>6415</v>
      </c>
      <c r="EB164" s="118" t="s">
        <v>6415</v>
      </c>
      <c r="EC164" s="118" t="s">
        <v>6415</v>
      </c>
      <c r="ED164" s="118" t="s">
        <v>6415</v>
      </c>
      <c r="EE164" s="118" t="s">
        <v>6415</v>
      </c>
      <c r="EF164" s="118" t="s">
        <v>6415</v>
      </c>
      <c r="EG164" s="118" t="s">
        <v>7051</v>
      </c>
      <c r="EH164" s="118" t="s">
        <v>7052</v>
      </c>
      <c r="EI164" s="118" t="s">
        <v>6415</v>
      </c>
      <c r="EJ164" s="118" t="s">
        <v>6415</v>
      </c>
      <c r="EK164" s="118" t="s">
        <v>6415</v>
      </c>
      <c r="EL164" s="118" t="s">
        <v>7467</v>
      </c>
      <c r="EM164" s="118" t="s">
        <v>7264</v>
      </c>
      <c r="EN164" s="118" t="s">
        <v>6415</v>
      </c>
      <c r="EO164" s="6" t="str">
        <f t="shared" si="18"/>
        <v>Pathweb</v>
      </c>
      <c r="EP164" s="6" t="str">
        <f t="shared" si="19"/>
        <v>Google Maps</v>
      </c>
      <c r="EQ164" s="6" t="str">
        <f t="shared" si="20"/>
        <v>Mashed Map</v>
      </c>
      <c r="ER164" s="118" t="s">
        <v>6727</v>
      </c>
      <c r="ES164" s="118" t="s">
        <v>6728</v>
      </c>
      <c r="ET164" s="4">
        <v>1.4E-2</v>
      </c>
      <c r="EU164" s="4"/>
      <c r="EV164" s="4"/>
    </row>
    <row r="165" spans="1:152" x14ac:dyDescent="0.15">
      <c r="A165" s="581" t="str">
        <f t="shared" si="17"/>
        <v>Crash Report</v>
      </c>
      <c r="B165" s="14">
        <v>20233036210</v>
      </c>
      <c r="C165" s="118">
        <v>2023</v>
      </c>
      <c r="D165" s="14">
        <v>23030829162116</v>
      </c>
      <c r="F165" s="118" t="s">
        <v>6442</v>
      </c>
      <c r="G165" s="118" t="s">
        <v>390</v>
      </c>
      <c r="H165" s="118">
        <v>2</v>
      </c>
      <c r="I165" s="118" t="s">
        <v>6055</v>
      </c>
      <c r="J165" s="118" t="s">
        <v>391</v>
      </c>
      <c r="K165" s="118" t="s">
        <v>6997</v>
      </c>
      <c r="L165" s="118">
        <v>0.88500000000000001</v>
      </c>
      <c r="M165" s="118">
        <v>0.88500000000000001</v>
      </c>
      <c r="N165" s="118" t="s">
        <v>7469</v>
      </c>
      <c r="O165" s="118" t="s">
        <v>7483</v>
      </c>
      <c r="P165" s="118">
        <v>41.650458</v>
      </c>
      <c r="Q165" s="118">
        <v>-83.525535000000005</v>
      </c>
      <c r="R165" s="118">
        <v>77000</v>
      </c>
      <c r="S165" s="118" t="s">
        <v>6988</v>
      </c>
      <c r="T165" s="118">
        <v>1</v>
      </c>
      <c r="U165" s="118">
        <v>0</v>
      </c>
      <c r="V165" s="118">
        <v>0</v>
      </c>
      <c r="W165" s="118">
        <v>0</v>
      </c>
      <c r="X165" s="118">
        <v>0</v>
      </c>
      <c r="Y165" s="118">
        <v>2</v>
      </c>
      <c r="Z165" s="118">
        <v>0</v>
      </c>
      <c r="AA165" s="118">
        <v>2</v>
      </c>
      <c r="AB165" s="118" t="s">
        <v>1067</v>
      </c>
      <c r="AC165" s="118" t="s">
        <v>6989</v>
      </c>
      <c r="AD165" s="118" t="s">
        <v>1034</v>
      </c>
      <c r="AE165" s="118" t="s">
        <v>943</v>
      </c>
      <c r="AF165" s="118" t="s">
        <v>1041</v>
      </c>
      <c r="AG165" s="118" t="s">
        <v>6415</v>
      </c>
      <c r="AH165" s="118" t="s">
        <v>393</v>
      </c>
      <c r="AI165" s="118">
        <v>2</v>
      </c>
      <c r="AJ165" s="118" t="s">
        <v>6415</v>
      </c>
      <c r="AK165" s="118" t="s">
        <v>393</v>
      </c>
      <c r="AL165" s="118" t="s">
        <v>393</v>
      </c>
      <c r="AM165" s="118" t="s">
        <v>393</v>
      </c>
      <c r="AN165" s="402" t="s">
        <v>5975</v>
      </c>
      <c r="AO165" s="402">
        <v>44993</v>
      </c>
      <c r="AP165" s="118">
        <v>3</v>
      </c>
      <c r="AQ165" s="118">
        <v>21</v>
      </c>
      <c r="AR165" s="118" t="s">
        <v>6446</v>
      </c>
      <c r="AS165" s="118" t="s">
        <v>392</v>
      </c>
      <c r="AT165" s="118" t="s">
        <v>500</v>
      </c>
      <c r="AU165" s="118" t="s">
        <v>505</v>
      </c>
      <c r="AV165" s="118" t="s">
        <v>508</v>
      </c>
      <c r="AW165" s="118" t="s">
        <v>393</v>
      </c>
      <c r="AX165" s="118" t="s">
        <v>740</v>
      </c>
      <c r="AY165" s="118" t="s">
        <v>393</v>
      </c>
      <c r="AZ165" s="118" t="s">
        <v>393</v>
      </c>
      <c r="BA165" s="118" t="s">
        <v>393</v>
      </c>
      <c r="BB165" s="118" t="s">
        <v>393</v>
      </c>
      <c r="BC165" s="118" t="s">
        <v>393</v>
      </c>
      <c r="BD165" s="118" t="s">
        <v>393</v>
      </c>
      <c r="BE165" s="118" t="s">
        <v>393</v>
      </c>
      <c r="BF165" s="118" t="s">
        <v>393</v>
      </c>
      <c r="BG165" s="118" t="s">
        <v>393</v>
      </c>
      <c r="BH165" s="118" t="s">
        <v>394</v>
      </c>
      <c r="BI165" s="118" t="s">
        <v>394</v>
      </c>
      <c r="BJ165" s="118" t="s">
        <v>393</v>
      </c>
      <c r="BK165" s="118" t="s">
        <v>6988</v>
      </c>
      <c r="BL165" s="118" t="s">
        <v>6415</v>
      </c>
      <c r="BM165" s="118" t="s">
        <v>6992</v>
      </c>
      <c r="BN165" s="118" t="s">
        <v>6991</v>
      </c>
      <c r="BO165" s="118" t="s">
        <v>6415</v>
      </c>
      <c r="BP165" s="118" t="s">
        <v>6415</v>
      </c>
      <c r="BQ165" s="118" t="s">
        <v>6415</v>
      </c>
      <c r="BR165" s="118" t="s">
        <v>6415</v>
      </c>
      <c r="BS165" s="118" t="s">
        <v>6415</v>
      </c>
      <c r="BT165" s="118" t="s">
        <v>4748</v>
      </c>
      <c r="BU165" s="118" t="s">
        <v>7057</v>
      </c>
      <c r="BV165" s="118" t="s">
        <v>6415</v>
      </c>
      <c r="BW165" s="118" t="s">
        <v>6415</v>
      </c>
      <c r="BX165" s="118" t="s">
        <v>6415</v>
      </c>
      <c r="BY165" s="118" t="s">
        <v>6415</v>
      </c>
      <c r="BZ165" s="118" t="s">
        <v>6415</v>
      </c>
      <c r="CA165" s="118" t="s">
        <v>6415</v>
      </c>
      <c r="CB165" s="118" t="s">
        <v>221</v>
      </c>
      <c r="CC165" s="118" t="s">
        <v>740</v>
      </c>
      <c r="CD165" s="118">
        <v>1</v>
      </c>
      <c r="CE165" s="118" t="s">
        <v>410</v>
      </c>
      <c r="CF165" s="118" t="s">
        <v>411</v>
      </c>
      <c r="CG165" s="118" t="s">
        <v>924</v>
      </c>
      <c r="CH165" s="118" t="s">
        <v>6300</v>
      </c>
      <c r="CI165" s="118" t="s">
        <v>417</v>
      </c>
      <c r="CJ165" s="118" t="s">
        <v>398</v>
      </c>
      <c r="CK165" s="14">
        <v>20</v>
      </c>
      <c r="CL165" s="118">
        <v>35</v>
      </c>
      <c r="CM165" s="118" t="s">
        <v>399</v>
      </c>
      <c r="CN165" s="118" t="s">
        <v>6512</v>
      </c>
      <c r="CO165" s="118" t="s">
        <v>1096</v>
      </c>
      <c r="CP165" s="118" t="s">
        <v>400</v>
      </c>
      <c r="CQ165" s="118" t="s">
        <v>6415</v>
      </c>
      <c r="CR165" s="118" t="s">
        <v>6415</v>
      </c>
      <c r="CS165" s="118" t="s">
        <v>6415</v>
      </c>
      <c r="CT165" s="118" t="s">
        <v>6415</v>
      </c>
      <c r="CU165" s="118" t="s">
        <v>6415</v>
      </c>
      <c r="CV165" s="118" t="s">
        <v>6415</v>
      </c>
      <c r="CW165" s="14">
        <v>32</v>
      </c>
      <c r="CX165" s="118" t="s">
        <v>1066</v>
      </c>
      <c r="CY165" s="118" t="s">
        <v>6341</v>
      </c>
      <c r="CZ165" s="118">
        <v>2</v>
      </c>
      <c r="DA165" s="118" t="s">
        <v>410</v>
      </c>
      <c r="DB165" s="118" t="s">
        <v>411</v>
      </c>
      <c r="DC165" s="118" t="s">
        <v>6415</v>
      </c>
      <c r="DD165" s="118" t="s">
        <v>6300</v>
      </c>
      <c r="DE165" s="118" t="s">
        <v>417</v>
      </c>
      <c r="DF165" s="118" t="s">
        <v>521</v>
      </c>
      <c r="DG165" s="118">
        <v>0</v>
      </c>
      <c r="DH165" s="118">
        <v>35</v>
      </c>
      <c r="DI165" s="118" t="s">
        <v>6355</v>
      </c>
      <c r="DJ165" s="118" t="s">
        <v>398</v>
      </c>
      <c r="DK165" s="118" t="s">
        <v>400</v>
      </c>
      <c r="DL165" s="118" t="s">
        <v>6415</v>
      </c>
      <c r="DM165" s="118" t="s">
        <v>6415</v>
      </c>
      <c r="DN165" s="118" t="s">
        <v>6415</v>
      </c>
      <c r="DO165" s="118" t="s">
        <v>6415</v>
      </c>
      <c r="DP165" s="118" t="s">
        <v>6415</v>
      </c>
      <c r="DQ165" s="118" t="s">
        <v>6415</v>
      </c>
      <c r="DR165" s="118">
        <v>48</v>
      </c>
      <c r="DS165" s="118" t="s">
        <v>1068</v>
      </c>
      <c r="DT165" s="118" t="s">
        <v>6341</v>
      </c>
      <c r="DU165" s="118" t="s">
        <v>6415</v>
      </c>
      <c r="DV165" s="118" t="s">
        <v>6415</v>
      </c>
      <c r="DW165" s="118" t="s">
        <v>6415</v>
      </c>
      <c r="DX165" s="118" t="s">
        <v>6415</v>
      </c>
      <c r="DY165" s="118" t="s">
        <v>6415</v>
      </c>
      <c r="DZ165" s="118" t="s">
        <v>6415</v>
      </c>
      <c r="EA165" s="118" t="s">
        <v>6415</v>
      </c>
      <c r="EB165" s="118" t="s">
        <v>6415</v>
      </c>
      <c r="EC165" s="118" t="s">
        <v>6415</v>
      </c>
      <c r="ED165" s="118" t="s">
        <v>6415</v>
      </c>
      <c r="EE165" s="118" t="s">
        <v>6415</v>
      </c>
      <c r="EF165" s="118" t="s">
        <v>6415</v>
      </c>
      <c r="EG165" s="118" t="s">
        <v>7055</v>
      </c>
      <c r="EH165" s="118" t="s">
        <v>7230</v>
      </c>
      <c r="EI165" s="118" t="s">
        <v>6415</v>
      </c>
      <c r="EJ165" s="118" t="s">
        <v>6415</v>
      </c>
      <c r="EK165" s="118" t="s">
        <v>6415</v>
      </c>
      <c r="EL165" s="118" t="s">
        <v>7467</v>
      </c>
      <c r="EM165" s="118" t="s">
        <v>7265</v>
      </c>
      <c r="EN165" s="118" t="s">
        <v>6415</v>
      </c>
      <c r="EO165" s="6" t="str">
        <f t="shared" si="18"/>
        <v>Pathweb</v>
      </c>
      <c r="EP165" s="6" t="str">
        <f t="shared" si="19"/>
        <v>Google Maps</v>
      </c>
      <c r="EQ165" s="6" t="str">
        <f t="shared" si="20"/>
        <v>Mashed Map</v>
      </c>
      <c r="ER165" s="118" t="s">
        <v>6727</v>
      </c>
      <c r="ES165" s="118" t="s">
        <v>71</v>
      </c>
      <c r="ET165" s="4">
        <v>5.0000000000000001E-3</v>
      </c>
      <c r="EU165" s="4"/>
      <c r="EV165" s="4"/>
    </row>
    <row r="166" spans="1:152" x14ac:dyDescent="0.15">
      <c r="A166" s="581" t="str">
        <f t="shared" si="17"/>
        <v>Crash Report</v>
      </c>
      <c r="B166" s="14">
        <v>20233040616</v>
      </c>
      <c r="C166" s="118">
        <v>2023</v>
      </c>
      <c r="D166" s="14">
        <v>23031528662015</v>
      </c>
      <c r="F166" s="118" t="s">
        <v>6442</v>
      </c>
      <c r="G166" s="118" t="s">
        <v>230</v>
      </c>
      <c r="H166" s="118">
        <v>2</v>
      </c>
      <c r="I166" s="118" t="s">
        <v>6055</v>
      </c>
      <c r="J166" s="118" t="s">
        <v>391</v>
      </c>
      <c r="K166" s="118" t="s">
        <v>6985</v>
      </c>
      <c r="L166" s="118">
        <v>0.26900000000000002</v>
      </c>
      <c r="M166" s="118">
        <v>0.26900000000000002</v>
      </c>
      <c r="N166" s="118" t="s">
        <v>7465</v>
      </c>
      <c r="O166" s="118" t="s">
        <v>7470</v>
      </c>
      <c r="P166" s="118">
        <v>41.649628999999997</v>
      </c>
      <c r="Q166" s="118">
        <v>-83.521674000000004</v>
      </c>
      <c r="R166" s="118">
        <v>77000</v>
      </c>
      <c r="S166" s="118" t="s">
        <v>6988</v>
      </c>
      <c r="T166" s="118">
        <v>1</v>
      </c>
      <c r="U166" s="118">
        <v>0</v>
      </c>
      <c r="V166" s="118">
        <v>0</v>
      </c>
      <c r="W166" s="118">
        <v>0</v>
      </c>
      <c r="X166" s="118">
        <v>0</v>
      </c>
      <c r="Y166" s="118">
        <v>4</v>
      </c>
      <c r="Z166" s="118">
        <v>0</v>
      </c>
      <c r="AA166" s="118">
        <v>2</v>
      </c>
      <c r="AB166" s="118" t="s">
        <v>1067</v>
      </c>
      <c r="AC166" s="118" t="s">
        <v>6989</v>
      </c>
      <c r="AD166" s="118" t="s">
        <v>1034</v>
      </c>
      <c r="AE166" s="118" t="s">
        <v>943</v>
      </c>
      <c r="AF166" s="118" t="s">
        <v>1041</v>
      </c>
      <c r="AG166" s="118" t="s">
        <v>6415</v>
      </c>
      <c r="AH166" s="118" t="s">
        <v>393</v>
      </c>
      <c r="AI166" s="118">
        <v>4</v>
      </c>
      <c r="AJ166" s="118" t="s">
        <v>6415</v>
      </c>
      <c r="AK166" s="118" t="s">
        <v>393</v>
      </c>
      <c r="AL166" s="118" t="s">
        <v>393</v>
      </c>
      <c r="AM166" s="118" t="s">
        <v>393</v>
      </c>
      <c r="AN166" s="402" t="s">
        <v>5975</v>
      </c>
      <c r="AO166" s="402">
        <v>45000</v>
      </c>
      <c r="AP166" s="118">
        <v>3</v>
      </c>
      <c r="AQ166" s="118">
        <v>20</v>
      </c>
      <c r="AR166" s="118" t="s">
        <v>6446</v>
      </c>
      <c r="AS166" s="118" t="s">
        <v>392</v>
      </c>
      <c r="AT166" s="118" t="s">
        <v>500</v>
      </c>
      <c r="AU166" s="118" t="s">
        <v>505</v>
      </c>
      <c r="AV166" s="118" t="s">
        <v>508</v>
      </c>
      <c r="AW166" s="118" t="s">
        <v>393</v>
      </c>
      <c r="AX166" s="118" t="s">
        <v>740</v>
      </c>
      <c r="AY166" s="118" t="s">
        <v>393</v>
      </c>
      <c r="AZ166" s="118" t="s">
        <v>393</v>
      </c>
      <c r="BA166" s="118" t="s">
        <v>393</v>
      </c>
      <c r="BB166" s="118" t="s">
        <v>393</v>
      </c>
      <c r="BC166" s="118" t="s">
        <v>393</v>
      </c>
      <c r="BD166" s="118" t="s">
        <v>393</v>
      </c>
      <c r="BE166" s="118" t="s">
        <v>393</v>
      </c>
      <c r="BF166" s="118" t="s">
        <v>740</v>
      </c>
      <c r="BG166" s="118" t="s">
        <v>393</v>
      </c>
      <c r="BH166" s="118" t="s">
        <v>394</v>
      </c>
      <c r="BI166" s="118" t="s">
        <v>394</v>
      </c>
      <c r="BJ166" s="118" t="s">
        <v>393</v>
      </c>
      <c r="BK166" s="118" t="s">
        <v>6988</v>
      </c>
      <c r="BL166" s="118" t="s">
        <v>6415</v>
      </c>
      <c r="BM166" s="118" t="s">
        <v>6990</v>
      </c>
      <c r="BN166" s="118" t="s">
        <v>6991</v>
      </c>
      <c r="BO166" s="118" t="s">
        <v>6415</v>
      </c>
      <c r="BP166" s="118" t="s">
        <v>6415</v>
      </c>
      <c r="BQ166" s="118" t="s">
        <v>6415</v>
      </c>
      <c r="BR166" s="118" t="s">
        <v>6415</v>
      </c>
      <c r="BS166" s="118" t="s">
        <v>6415</v>
      </c>
      <c r="BT166" s="118" t="s">
        <v>7004</v>
      </c>
      <c r="BU166" s="118" t="s">
        <v>6991</v>
      </c>
      <c r="BV166" s="118" t="s">
        <v>6415</v>
      </c>
      <c r="BW166" s="118" t="s">
        <v>6415</v>
      </c>
      <c r="BX166" s="118" t="s">
        <v>6415</v>
      </c>
      <c r="BY166" s="118" t="s">
        <v>6415</v>
      </c>
      <c r="BZ166" s="118" t="s">
        <v>6415</v>
      </c>
      <c r="CA166" s="118" t="s">
        <v>6415</v>
      </c>
      <c r="CB166" s="118" t="s">
        <v>221</v>
      </c>
      <c r="CC166" s="118" t="s">
        <v>740</v>
      </c>
      <c r="CD166" s="118">
        <v>1</v>
      </c>
      <c r="CE166" s="118" t="s">
        <v>397</v>
      </c>
      <c r="CF166" s="118" t="s">
        <v>446</v>
      </c>
      <c r="CG166" s="118" t="s">
        <v>230</v>
      </c>
      <c r="CH166" s="118" t="s">
        <v>6302</v>
      </c>
      <c r="CI166" s="118" t="s">
        <v>417</v>
      </c>
      <c r="CJ166" s="118" t="s">
        <v>398</v>
      </c>
      <c r="CK166" s="14">
        <v>20</v>
      </c>
      <c r="CL166" s="118">
        <v>35</v>
      </c>
      <c r="CM166" s="118" t="s">
        <v>436</v>
      </c>
      <c r="CN166" s="118" t="s">
        <v>6327</v>
      </c>
      <c r="CO166" s="118" t="s">
        <v>1096</v>
      </c>
      <c r="CP166" s="118" t="s">
        <v>400</v>
      </c>
      <c r="CQ166" s="118" t="s">
        <v>6415</v>
      </c>
      <c r="CR166" s="118" t="s">
        <v>6415</v>
      </c>
      <c r="CS166" s="118" t="s">
        <v>6415</v>
      </c>
      <c r="CT166" s="118" t="s">
        <v>6415</v>
      </c>
      <c r="CU166" s="118" t="s">
        <v>6415</v>
      </c>
      <c r="CV166" s="118" t="s">
        <v>6415</v>
      </c>
      <c r="CW166" s="14">
        <v>44</v>
      </c>
      <c r="CX166" s="118" t="s">
        <v>1068</v>
      </c>
      <c r="CY166" s="118" t="s">
        <v>6341</v>
      </c>
      <c r="CZ166" s="118">
        <v>2</v>
      </c>
      <c r="DA166" s="118" t="s">
        <v>396</v>
      </c>
      <c r="DB166" s="118" t="s">
        <v>397</v>
      </c>
      <c r="DC166" s="118" t="s">
        <v>6415</v>
      </c>
      <c r="DD166" s="118" t="s">
        <v>6302</v>
      </c>
      <c r="DE166" s="118" t="s">
        <v>417</v>
      </c>
      <c r="DF166" s="118" t="s">
        <v>398</v>
      </c>
      <c r="DG166" s="118">
        <v>25</v>
      </c>
      <c r="DH166" s="118">
        <v>35</v>
      </c>
      <c r="DI166" s="118" t="s">
        <v>399</v>
      </c>
      <c r="DJ166" s="118" t="s">
        <v>398</v>
      </c>
      <c r="DK166" s="118" t="s">
        <v>400</v>
      </c>
      <c r="DL166" s="118" t="s">
        <v>6415</v>
      </c>
      <c r="DM166" s="118" t="s">
        <v>6415</v>
      </c>
      <c r="DN166" s="118" t="s">
        <v>6415</v>
      </c>
      <c r="DO166" s="118" t="s">
        <v>6415</v>
      </c>
      <c r="DP166" s="118" t="s">
        <v>6415</v>
      </c>
      <c r="DQ166" s="118" t="s">
        <v>6415</v>
      </c>
      <c r="DR166" s="118">
        <v>20</v>
      </c>
      <c r="DS166" s="118" t="s">
        <v>1066</v>
      </c>
      <c r="DT166" s="118" t="s">
        <v>6341</v>
      </c>
      <c r="DU166" s="118" t="s">
        <v>6415</v>
      </c>
      <c r="DV166" s="118" t="s">
        <v>6415</v>
      </c>
      <c r="DW166" s="118" t="s">
        <v>6415</v>
      </c>
      <c r="DX166" s="118" t="s">
        <v>6415</v>
      </c>
      <c r="DY166" s="118" t="s">
        <v>6415</v>
      </c>
      <c r="DZ166" s="118" t="s">
        <v>6415</v>
      </c>
      <c r="EA166" s="118" t="s">
        <v>6415</v>
      </c>
      <c r="EB166" s="118" t="s">
        <v>6415</v>
      </c>
      <c r="EC166" s="118" t="s">
        <v>6415</v>
      </c>
      <c r="ED166" s="118" t="s">
        <v>6415</v>
      </c>
      <c r="EE166" s="118" t="s">
        <v>6415</v>
      </c>
      <c r="EF166" s="118" t="s">
        <v>6415</v>
      </c>
      <c r="EG166" s="118" t="s">
        <v>7002</v>
      </c>
      <c r="EH166" s="118" t="s">
        <v>7267</v>
      </c>
      <c r="EI166" s="118" t="s">
        <v>6415</v>
      </c>
      <c r="EJ166" s="118" t="s">
        <v>6415</v>
      </c>
      <c r="EK166" s="118" t="s">
        <v>6415</v>
      </c>
      <c r="EL166" s="118" t="s">
        <v>7467</v>
      </c>
      <c r="EM166" s="118" t="s">
        <v>7266</v>
      </c>
      <c r="EN166" s="118" t="s">
        <v>6415</v>
      </c>
      <c r="EO166" s="6" t="str">
        <f t="shared" si="18"/>
        <v>Pathweb</v>
      </c>
      <c r="EP166" s="6" t="str">
        <f t="shared" si="19"/>
        <v>Google Maps</v>
      </c>
      <c r="EQ166" s="6" t="str">
        <f t="shared" si="20"/>
        <v>Mashed Map</v>
      </c>
      <c r="ER166" s="118" t="s">
        <v>6727</v>
      </c>
      <c r="ES166" s="118" t="s">
        <v>71</v>
      </c>
      <c r="ET166" s="4">
        <v>6.0000000000000001E-3</v>
      </c>
      <c r="EU166" s="4"/>
      <c r="EV166" s="4"/>
    </row>
    <row r="167" spans="1:152" x14ac:dyDescent="0.15">
      <c r="A167" s="581" t="str">
        <f t="shared" si="17"/>
        <v>Crash Report</v>
      </c>
      <c r="B167" s="118">
        <v>20233042392</v>
      </c>
      <c r="C167" s="118">
        <v>2023</v>
      </c>
      <c r="D167" s="118">
        <v>23031729021501</v>
      </c>
      <c r="F167" s="118" t="s">
        <v>6439</v>
      </c>
      <c r="G167" s="118" t="s">
        <v>230</v>
      </c>
      <c r="H167" s="118">
        <v>2</v>
      </c>
      <c r="I167" s="118" t="s">
        <v>6055</v>
      </c>
      <c r="J167" s="118" t="s">
        <v>391</v>
      </c>
      <c r="K167" s="118" t="s">
        <v>6985</v>
      </c>
      <c r="L167" s="118">
        <v>0.45100000000000001</v>
      </c>
      <c r="M167" s="118">
        <v>0.45100000000000001</v>
      </c>
      <c r="N167" s="118" t="s">
        <v>7465</v>
      </c>
      <c r="O167" s="118" t="s">
        <v>7490</v>
      </c>
      <c r="P167" s="118">
        <v>41.651280999999997</v>
      </c>
      <c r="Q167" s="118">
        <v>-83.518968000000001</v>
      </c>
      <c r="R167" s="118">
        <v>77000</v>
      </c>
      <c r="S167" s="118" t="s">
        <v>6988</v>
      </c>
      <c r="T167" s="118">
        <v>1</v>
      </c>
      <c r="U167" s="118">
        <v>0</v>
      </c>
      <c r="V167" s="118">
        <v>1</v>
      </c>
      <c r="W167" s="118">
        <v>0</v>
      </c>
      <c r="X167" s="118">
        <v>0</v>
      </c>
      <c r="Y167" s="118">
        <v>5</v>
      </c>
      <c r="Z167" s="118">
        <v>0</v>
      </c>
      <c r="AA167" s="118">
        <v>3</v>
      </c>
      <c r="AB167" s="118" t="s">
        <v>1067</v>
      </c>
      <c r="AC167" s="118" t="s">
        <v>6989</v>
      </c>
      <c r="AD167" s="118" t="s">
        <v>1034</v>
      </c>
      <c r="AE167" s="118" t="s">
        <v>943</v>
      </c>
      <c r="AF167" s="118" t="s">
        <v>1041</v>
      </c>
      <c r="AG167" s="118" t="s">
        <v>6415</v>
      </c>
      <c r="AH167" s="118" t="s">
        <v>393</v>
      </c>
      <c r="AI167" s="118">
        <v>4</v>
      </c>
      <c r="AJ167" s="118" t="s">
        <v>6415</v>
      </c>
      <c r="AK167" s="118" t="s">
        <v>393</v>
      </c>
      <c r="AL167" s="118" t="s">
        <v>393</v>
      </c>
      <c r="AM167" s="118" t="s">
        <v>393</v>
      </c>
      <c r="AN167" s="402" t="s">
        <v>5975</v>
      </c>
      <c r="AO167" s="402">
        <v>45002</v>
      </c>
      <c r="AP167" s="118">
        <v>3</v>
      </c>
      <c r="AQ167" s="118">
        <v>15</v>
      </c>
      <c r="AR167" s="118" t="s">
        <v>6448</v>
      </c>
      <c r="AS167" s="118" t="s">
        <v>392</v>
      </c>
      <c r="AT167" s="118" t="s">
        <v>500</v>
      </c>
      <c r="AU167" s="118" t="s">
        <v>404</v>
      </c>
      <c r="AV167" s="118" t="s">
        <v>508</v>
      </c>
      <c r="AW167" s="118" t="s">
        <v>393</v>
      </c>
      <c r="AX167" s="118" t="s">
        <v>740</v>
      </c>
      <c r="AY167" s="118" t="s">
        <v>393</v>
      </c>
      <c r="AZ167" s="118" t="s">
        <v>393</v>
      </c>
      <c r="BA167" s="118" t="s">
        <v>393</v>
      </c>
      <c r="BB167" s="118" t="s">
        <v>393</v>
      </c>
      <c r="BC167" s="118" t="s">
        <v>393</v>
      </c>
      <c r="BD167" s="118" t="s">
        <v>393</v>
      </c>
      <c r="BE167" s="118" t="s">
        <v>740</v>
      </c>
      <c r="BF167" s="118" t="s">
        <v>393</v>
      </c>
      <c r="BG167" s="118" t="s">
        <v>393</v>
      </c>
      <c r="BH167" s="118" t="s">
        <v>394</v>
      </c>
      <c r="BI167" s="118" t="s">
        <v>394</v>
      </c>
      <c r="BJ167" s="118" t="s">
        <v>393</v>
      </c>
      <c r="BK167" s="118" t="s">
        <v>6988</v>
      </c>
      <c r="BL167" s="118" t="s">
        <v>6415</v>
      </c>
      <c r="BM167" s="118" t="s">
        <v>6990</v>
      </c>
      <c r="BN167" s="118" t="s">
        <v>6991</v>
      </c>
      <c r="BO167" s="118" t="s">
        <v>6415</v>
      </c>
      <c r="BP167" s="118" t="s">
        <v>6415</v>
      </c>
      <c r="BQ167" s="118" t="s">
        <v>6415</v>
      </c>
      <c r="BR167" s="118" t="s">
        <v>6415</v>
      </c>
      <c r="BS167" s="118" t="s">
        <v>6415</v>
      </c>
      <c r="BT167" s="118" t="s">
        <v>2579</v>
      </c>
      <c r="BU167" s="118" t="s">
        <v>6991</v>
      </c>
      <c r="BV167" s="118" t="s">
        <v>6415</v>
      </c>
      <c r="BW167" s="118" t="s">
        <v>6415</v>
      </c>
      <c r="BX167" s="118" t="s">
        <v>6415</v>
      </c>
      <c r="BY167" s="118" t="s">
        <v>6415</v>
      </c>
      <c r="BZ167" s="118" t="s">
        <v>6415</v>
      </c>
      <c r="CA167" s="118" t="s">
        <v>6415</v>
      </c>
      <c r="CB167" s="118" t="s">
        <v>221</v>
      </c>
      <c r="CC167" s="118" t="s">
        <v>740</v>
      </c>
      <c r="CD167" s="118">
        <v>2</v>
      </c>
      <c r="CE167" s="118" t="s">
        <v>446</v>
      </c>
      <c r="CF167" s="118" t="s">
        <v>396</v>
      </c>
      <c r="CG167" s="118" t="s">
        <v>230</v>
      </c>
      <c r="CH167" s="118" t="s">
        <v>433</v>
      </c>
      <c r="CI167" s="118" t="s">
        <v>6303</v>
      </c>
      <c r="CJ167" s="118" t="s">
        <v>398</v>
      </c>
      <c r="CK167" s="118">
        <v>0</v>
      </c>
      <c r="CL167" s="118">
        <v>35</v>
      </c>
      <c r="CM167" s="118" t="s">
        <v>436</v>
      </c>
      <c r="CN167" s="118" t="s">
        <v>6327</v>
      </c>
      <c r="CO167" s="118" t="s">
        <v>1096</v>
      </c>
      <c r="CP167" s="118" t="s">
        <v>400</v>
      </c>
      <c r="CQ167" s="118" t="s">
        <v>6415</v>
      </c>
      <c r="CR167" s="118" t="s">
        <v>6415</v>
      </c>
      <c r="CS167" s="118" t="s">
        <v>6415</v>
      </c>
      <c r="CT167" s="118" t="s">
        <v>6415</v>
      </c>
      <c r="CU167" s="118" t="s">
        <v>6415</v>
      </c>
      <c r="CV167" s="118" t="s">
        <v>6415</v>
      </c>
      <c r="CW167" s="118">
        <v>33</v>
      </c>
      <c r="CX167" s="118" t="s">
        <v>1068</v>
      </c>
      <c r="CY167" s="118" t="s">
        <v>6341</v>
      </c>
      <c r="CZ167" s="118">
        <v>1</v>
      </c>
      <c r="DA167" s="118" t="s">
        <v>411</v>
      </c>
      <c r="DB167" s="118" t="s">
        <v>410</v>
      </c>
      <c r="DC167" s="118" t="s">
        <v>6415</v>
      </c>
      <c r="DD167" s="118" t="s">
        <v>6302</v>
      </c>
      <c r="DE167" s="118" t="s">
        <v>6303</v>
      </c>
      <c r="DF167" s="118" t="s">
        <v>398</v>
      </c>
      <c r="DG167" s="118">
        <v>35</v>
      </c>
      <c r="DH167" s="118">
        <v>35</v>
      </c>
      <c r="DI167" s="118" t="s">
        <v>399</v>
      </c>
      <c r="DJ167" s="118" t="s">
        <v>398</v>
      </c>
      <c r="DK167" s="118" t="s">
        <v>400</v>
      </c>
      <c r="DL167" s="118" t="s">
        <v>6415</v>
      </c>
      <c r="DM167" s="118" t="s">
        <v>6415</v>
      </c>
      <c r="DN167" s="118" t="s">
        <v>6415</v>
      </c>
      <c r="DO167" s="118" t="s">
        <v>6415</v>
      </c>
      <c r="DP167" s="118" t="s">
        <v>6415</v>
      </c>
      <c r="DQ167" s="118" t="s">
        <v>6415</v>
      </c>
      <c r="DR167" s="118">
        <v>70</v>
      </c>
      <c r="DS167" s="118" t="s">
        <v>1068</v>
      </c>
      <c r="DT167" s="118" t="s">
        <v>6341</v>
      </c>
      <c r="DU167" s="118">
        <v>3</v>
      </c>
      <c r="DV167" s="118" t="s">
        <v>6302</v>
      </c>
      <c r="DW167" s="118" t="s">
        <v>6317</v>
      </c>
      <c r="DX167" s="118" t="s">
        <v>6375</v>
      </c>
      <c r="DY167" s="118" t="s">
        <v>6355</v>
      </c>
      <c r="DZ167" s="118" t="s">
        <v>398</v>
      </c>
      <c r="EA167" s="118" t="s">
        <v>400</v>
      </c>
      <c r="EB167" s="118" t="s">
        <v>6415</v>
      </c>
      <c r="EC167" s="118" t="s">
        <v>6415</v>
      </c>
      <c r="ED167" s="118" t="s">
        <v>6415</v>
      </c>
      <c r="EE167" s="118" t="s">
        <v>6415</v>
      </c>
      <c r="EF167" s="118" t="s">
        <v>6415</v>
      </c>
      <c r="EG167" s="118" t="s">
        <v>7160</v>
      </c>
      <c r="EH167" s="118" t="s">
        <v>7161</v>
      </c>
      <c r="EI167" s="118" t="s">
        <v>6415</v>
      </c>
      <c r="EJ167" s="118" t="s">
        <v>6415</v>
      </c>
      <c r="EK167" s="118" t="s">
        <v>6415</v>
      </c>
      <c r="EL167" s="118" t="s">
        <v>7467</v>
      </c>
      <c r="EM167" s="118" t="s">
        <v>7268</v>
      </c>
      <c r="EN167" s="118" t="s">
        <v>6415</v>
      </c>
      <c r="EO167" s="6" t="str">
        <f t="shared" si="18"/>
        <v>Pathweb</v>
      </c>
      <c r="EP167" s="6" t="str">
        <f t="shared" si="19"/>
        <v>Google Maps</v>
      </c>
      <c r="EQ167" s="6" t="str">
        <f t="shared" si="20"/>
        <v>Mashed Map</v>
      </c>
      <c r="ER167" s="118" t="s">
        <v>6727</v>
      </c>
      <c r="ES167" s="118" t="s">
        <v>6728</v>
      </c>
      <c r="ET167" s="4">
        <v>0</v>
      </c>
      <c r="EU167" s="4"/>
      <c r="EV167" s="4"/>
    </row>
    <row r="168" spans="1:152" x14ac:dyDescent="0.15">
      <c r="A168" s="581" t="str">
        <f t="shared" si="17"/>
        <v>Crash Report</v>
      </c>
      <c r="B168" s="118">
        <v>20233043185</v>
      </c>
      <c r="C168" s="118">
        <v>2023</v>
      </c>
      <c r="D168" s="118">
        <v>23031827631747</v>
      </c>
      <c r="F168" s="118" t="s">
        <v>6442</v>
      </c>
      <c r="G168" s="118" t="s">
        <v>390</v>
      </c>
      <c r="H168" s="118">
        <v>2</v>
      </c>
      <c r="I168" s="118" t="s">
        <v>6055</v>
      </c>
      <c r="J168" s="118" t="s">
        <v>391</v>
      </c>
      <c r="K168" s="118" t="s">
        <v>6997</v>
      </c>
      <c r="L168" s="118">
        <v>0.54800000000000004</v>
      </c>
      <c r="M168" s="118">
        <v>0.54800000000000004</v>
      </c>
      <c r="N168" s="118" t="s">
        <v>7469</v>
      </c>
      <c r="O168" s="118">
        <v>227</v>
      </c>
      <c r="P168" s="118">
        <v>41.646669000000003</v>
      </c>
      <c r="Q168" s="118">
        <v>-83.521432000000004</v>
      </c>
      <c r="R168" s="118">
        <v>77000</v>
      </c>
      <c r="S168" s="118" t="s">
        <v>6988</v>
      </c>
      <c r="T168" s="118">
        <v>1</v>
      </c>
      <c r="U168" s="118">
        <v>0</v>
      </c>
      <c r="V168" s="118">
        <v>0</v>
      </c>
      <c r="W168" s="118">
        <v>0</v>
      </c>
      <c r="X168" s="118">
        <v>0</v>
      </c>
      <c r="Y168" s="118">
        <v>4</v>
      </c>
      <c r="Z168" s="118">
        <v>0</v>
      </c>
      <c r="AA168" s="118">
        <v>2</v>
      </c>
      <c r="AB168" s="118" t="s">
        <v>1067</v>
      </c>
      <c r="AC168" s="118" t="s">
        <v>6989</v>
      </c>
      <c r="AD168" s="118" t="s">
        <v>1034</v>
      </c>
      <c r="AE168" s="118" t="s">
        <v>943</v>
      </c>
      <c r="AF168" s="118" t="s">
        <v>1042</v>
      </c>
      <c r="AG168" s="118" t="s">
        <v>6415</v>
      </c>
      <c r="AH168" s="118" t="s">
        <v>393</v>
      </c>
      <c r="AI168" s="118">
        <v>2</v>
      </c>
      <c r="AJ168" s="118" t="s">
        <v>6415</v>
      </c>
      <c r="AK168" s="118" t="s">
        <v>393</v>
      </c>
      <c r="AL168" s="118" t="s">
        <v>393</v>
      </c>
      <c r="AM168" s="118" t="s">
        <v>393</v>
      </c>
      <c r="AN168" s="402" t="s">
        <v>5975</v>
      </c>
      <c r="AO168" s="402">
        <v>45003</v>
      </c>
      <c r="AP168" s="118">
        <v>3</v>
      </c>
      <c r="AQ168" s="118">
        <v>16</v>
      </c>
      <c r="AR168" s="118" t="s">
        <v>6449</v>
      </c>
      <c r="AS168" s="118" t="s">
        <v>392</v>
      </c>
      <c r="AT168" s="118" t="s">
        <v>500</v>
      </c>
      <c r="AU168" s="118" t="s">
        <v>404</v>
      </c>
      <c r="AV168" s="118" t="s">
        <v>508</v>
      </c>
      <c r="AW168" s="118" t="s">
        <v>393</v>
      </c>
      <c r="AX168" s="118" t="s">
        <v>393</v>
      </c>
      <c r="AY168" s="118" t="s">
        <v>393</v>
      </c>
      <c r="AZ168" s="118" t="s">
        <v>393</v>
      </c>
      <c r="BA168" s="118" t="s">
        <v>393</v>
      </c>
      <c r="BB168" s="118" t="s">
        <v>393</v>
      </c>
      <c r="BC168" s="118" t="s">
        <v>393</v>
      </c>
      <c r="BD168" s="118" t="s">
        <v>393</v>
      </c>
      <c r="BE168" s="118" t="s">
        <v>393</v>
      </c>
      <c r="BF168" s="118" t="s">
        <v>393</v>
      </c>
      <c r="BG168" s="118" t="s">
        <v>393</v>
      </c>
      <c r="BH168" s="118" t="s">
        <v>394</v>
      </c>
      <c r="BI168" s="118" t="s">
        <v>394</v>
      </c>
      <c r="BJ168" s="118" t="s">
        <v>393</v>
      </c>
      <c r="BK168" s="118" t="s">
        <v>6988</v>
      </c>
      <c r="BL168" s="118" t="s">
        <v>6415</v>
      </c>
      <c r="BM168" s="118" t="s">
        <v>6992</v>
      </c>
      <c r="BN168" s="118" t="s">
        <v>6991</v>
      </c>
      <c r="BO168" s="118" t="s">
        <v>6415</v>
      </c>
      <c r="BP168" s="118" t="s">
        <v>6415</v>
      </c>
      <c r="BQ168" s="118" t="s">
        <v>6415</v>
      </c>
      <c r="BR168" s="118" t="s">
        <v>6415</v>
      </c>
      <c r="BS168" s="118" t="s">
        <v>6415</v>
      </c>
      <c r="BT168" s="118" t="s">
        <v>7270</v>
      </c>
      <c r="BU168" s="118" t="s">
        <v>6415</v>
      </c>
      <c r="BV168" s="118" t="s">
        <v>6415</v>
      </c>
      <c r="BW168" s="118" t="s">
        <v>6415</v>
      </c>
      <c r="BX168" s="118" t="s">
        <v>6415</v>
      </c>
      <c r="BY168" s="118" t="s">
        <v>6415</v>
      </c>
      <c r="BZ168" s="118">
        <v>227</v>
      </c>
      <c r="CA168" s="118" t="s">
        <v>6415</v>
      </c>
      <c r="CB168" s="118" t="s">
        <v>422</v>
      </c>
      <c r="CC168" s="118" t="s">
        <v>740</v>
      </c>
      <c r="CD168" s="118">
        <v>1</v>
      </c>
      <c r="CE168" s="118" t="s">
        <v>411</v>
      </c>
      <c r="CF168" s="118" t="s">
        <v>410</v>
      </c>
      <c r="CG168" s="118" t="s">
        <v>924</v>
      </c>
      <c r="CH168" s="118" t="s">
        <v>6302</v>
      </c>
      <c r="CI168" s="118" t="s">
        <v>6303</v>
      </c>
      <c r="CJ168" s="118" t="s">
        <v>398</v>
      </c>
      <c r="CK168" s="118">
        <v>30</v>
      </c>
      <c r="CL168" s="118">
        <v>35</v>
      </c>
      <c r="CM168" s="118" t="s">
        <v>399</v>
      </c>
      <c r="CN168" s="118" t="s">
        <v>6512</v>
      </c>
      <c r="CO168" s="118" t="s">
        <v>1096</v>
      </c>
      <c r="CP168" s="118" t="s">
        <v>400</v>
      </c>
      <c r="CQ168" s="118" t="s">
        <v>6415</v>
      </c>
      <c r="CR168" s="118" t="s">
        <v>6415</v>
      </c>
      <c r="CS168" s="118" t="s">
        <v>6415</v>
      </c>
      <c r="CT168" s="118" t="s">
        <v>6415</v>
      </c>
      <c r="CU168" s="118" t="s">
        <v>6415</v>
      </c>
      <c r="CV168" s="118" t="s">
        <v>6415</v>
      </c>
      <c r="CW168" s="118">
        <v>36</v>
      </c>
      <c r="CX168" s="118" t="s">
        <v>1066</v>
      </c>
      <c r="CY168" s="118" t="s">
        <v>6341</v>
      </c>
      <c r="CZ168" s="118">
        <v>2</v>
      </c>
      <c r="DA168" s="118" t="s">
        <v>410</v>
      </c>
      <c r="DB168" s="118" t="s">
        <v>410</v>
      </c>
      <c r="DC168" s="118" t="s">
        <v>6415</v>
      </c>
      <c r="DD168" s="118" t="s">
        <v>6302</v>
      </c>
      <c r="DE168" s="118" t="s">
        <v>6303</v>
      </c>
      <c r="DF168" s="118" t="s">
        <v>398</v>
      </c>
      <c r="DG168" s="118">
        <v>0</v>
      </c>
      <c r="DH168" s="118">
        <v>35</v>
      </c>
      <c r="DI168" s="118" t="s">
        <v>6355</v>
      </c>
      <c r="DJ168" s="118" t="s">
        <v>398</v>
      </c>
      <c r="DK168" s="118" t="s">
        <v>400</v>
      </c>
      <c r="DL168" s="118" t="s">
        <v>6415</v>
      </c>
      <c r="DM168" s="118" t="s">
        <v>6415</v>
      </c>
      <c r="DN168" s="118" t="s">
        <v>6415</v>
      </c>
      <c r="DO168" s="118" t="s">
        <v>6415</v>
      </c>
      <c r="DP168" s="118" t="s">
        <v>6415</v>
      </c>
      <c r="DQ168" s="118" t="s">
        <v>6415</v>
      </c>
      <c r="DR168" s="118">
        <v>45</v>
      </c>
      <c r="DS168" s="118" t="s">
        <v>1066</v>
      </c>
      <c r="DT168" s="118" t="s">
        <v>6341</v>
      </c>
      <c r="DU168" s="118" t="s">
        <v>6415</v>
      </c>
      <c r="DV168" s="118" t="s">
        <v>6415</v>
      </c>
      <c r="DW168" s="118" t="s">
        <v>6415</v>
      </c>
      <c r="DX168" s="118" t="s">
        <v>6415</v>
      </c>
      <c r="DY168" s="118" t="s">
        <v>6415</v>
      </c>
      <c r="DZ168" s="118" t="s">
        <v>6415</v>
      </c>
      <c r="EA168" s="118" t="s">
        <v>6415</v>
      </c>
      <c r="EB168" s="118" t="s">
        <v>6415</v>
      </c>
      <c r="EC168" s="118" t="s">
        <v>6415</v>
      </c>
      <c r="ED168" s="118" t="s">
        <v>6415</v>
      </c>
      <c r="EE168" s="118" t="s">
        <v>6415</v>
      </c>
      <c r="EF168" s="118" t="s">
        <v>6415</v>
      </c>
      <c r="EG168" s="118" t="s">
        <v>6415</v>
      </c>
      <c r="EH168" s="118" t="s">
        <v>6415</v>
      </c>
      <c r="EI168" s="118" t="s">
        <v>6415</v>
      </c>
      <c r="EJ168" s="118" t="s">
        <v>6415</v>
      </c>
      <c r="EK168" s="118" t="s">
        <v>6415</v>
      </c>
      <c r="EL168" s="118" t="s">
        <v>7467</v>
      </c>
      <c r="EM168" s="118" t="s">
        <v>7269</v>
      </c>
      <c r="EN168" s="118" t="s">
        <v>6415</v>
      </c>
      <c r="EO168" s="6" t="str">
        <f t="shared" si="18"/>
        <v>Pathweb</v>
      </c>
      <c r="EP168" s="6" t="str">
        <f t="shared" si="19"/>
        <v>Google Maps</v>
      </c>
      <c r="EQ168" s="6" t="str">
        <f t="shared" si="20"/>
        <v>Mashed Map</v>
      </c>
      <c r="ER168" s="118" t="s">
        <v>6727</v>
      </c>
      <c r="ES168" s="118" t="s">
        <v>71</v>
      </c>
      <c r="ET168" s="4">
        <v>0</v>
      </c>
      <c r="EU168" s="4"/>
      <c r="EV168" s="4"/>
    </row>
    <row r="169" spans="1:152" x14ac:dyDescent="0.15">
      <c r="A169" s="581" t="str">
        <f t="shared" si="17"/>
        <v>Crash Report</v>
      </c>
      <c r="B169" s="14">
        <v>20233051277</v>
      </c>
      <c r="C169" s="118">
        <v>2023</v>
      </c>
      <c r="D169" s="14">
        <v>23032426811630</v>
      </c>
      <c r="F169" s="118" t="s">
        <v>6442</v>
      </c>
      <c r="G169" s="118" t="s">
        <v>402</v>
      </c>
      <c r="H169" s="118">
        <v>2</v>
      </c>
      <c r="I169" s="118" t="s">
        <v>6055</v>
      </c>
      <c r="J169" s="118" t="s">
        <v>423</v>
      </c>
      <c r="K169" s="118" t="s">
        <v>6997</v>
      </c>
      <c r="L169" s="118">
        <v>0.71299999999999997</v>
      </c>
      <c r="M169" s="118">
        <v>0.71299999999999997</v>
      </c>
      <c r="N169" s="118" t="s">
        <v>7469</v>
      </c>
      <c r="O169" s="118" t="s">
        <v>7473</v>
      </c>
      <c r="P169" s="118">
        <v>41.648513000000001</v>
      </c>
      <c r="Q169" s="118">
        <v>-83.523441000000005</v>
      </c>
      <c r="R169" s="118">
        <v>77000</v>
      </c>
      <c r="S169" s="118" t="s">
        <v>6988</v>
      </c>
      <c r="T169" s="118">
        <v>1</v>
      </c>
      <c r="U169" s="118">
        <v>0</v>
      </c>
      <c r="V169" s="118">
        <v>0</v>
      </c>
      <c r="W169" s="118">
        <v>0</v>
      </c>
      <c r="X169" s="118">
        <v>0</v>
      </c>
      <c r="Y169" s="118">
        <v>2</v>
      </c>
      <c r="Z169" s="118">
        <v>0</v>
      </c>
      <c r="AA169" s="118">
        <v>2</v>
      </c>
      <c r="AB169" s="118" t="s">
        <v>1067</v>
      </c>
      <c r="AC169" s="118" t="s">
        <v>6989</v>
      </c>
      <c r="AD169" s="118" t="s">
        <v>1034</v>
      </c>
      <c r="AE169" s="118" t="s">
        <v>943</v>
      </c>
      <c r="AF169" s="118" t="s">
        <v>1042</v>
      </c>
      <c r="AG169" s="118" t="s">
        <v>6415</v>
      </c>
      <c r="AH169" s="118" t="s">
        <v>393</v>
      </c>
      <c r="AI169" s="118">
        <v>2</v>
      </c>
      <c r="AJ169" s="118" t="s">
        <v>6415</v>
      </c>
      <c r="AK169" s="118" t="s">
        <v>393</v>
      </c>
      <c r="AL169" s="118" t="s">
        <v>393</v>
      </c>
      <c r="AM169" s="118" t="s">
        <v>393</v>
      </c>
      <c r="AN169" s="402" t="s">
        <v>5975</v>
      </c>
      <c r="AO169" s="402">
        <v>45012</v>
      </c>
      <c r="AP169" s="118">
        <v>3</v>
      </c>
      <c r="AQ169" s="118">
        <v>16</v>
      </c>
      <c r="AR169" s="118" t="s">
        <v>6444</v>
      </c>
      <c r="AS169" s="118" t="s">
        <v>392</v>
      </c>
      <c r="AT169" s="118" t="s">
        <v>500</v>
      </c>
      <c r="AU169" s="118" t="s">
        <v>404</v>
      </c>
      <c r="AV169" s="118" t="s">
        <v>508</v>
      </c>
      <c r="AW169" s="118" t="s">
        <v>393</v>
      </c>
      <c r="AX169" s="118" t="s">
        <v>740</v>
      </c>
      <c r="AY169" s="118" t="s">
        <v>393</v>
      </c>
      <c r="AZ169" s="118" t="s">
        <v>393</v>
      </c>
      <c r="BA169" s="118" t="s">
        <v>393</v>
      </c>
      <c r="BB169" s="118" t="s">
        <v>393</v>
      </c>
      <c r="BC169" s="118" t="s">
        <v>393</v>
      </c>
      <c r="BD169" s="118" t="s">
        <v>393</v>
      </c>
      <c r="BE169" s="118" t="s">
        <v>393</v>
      </c>
      <c r="BF169" s="118" t="s">
        <v>393</v>
      </c>
      <c r="BG169" s="118" t="s">
        <v>393</v>
      </c>
      <c r="BH169" s="118" t="s">
        <v>394</v>
      </c>
      <c r="BI169" s="118" t="s">
        <v>394</v>
      </c>
      <c r="BJ169" s="118" t="s">
        <v>393</v>
      </c>
      <c r="BK169" s="118" t="s">
        <v>6988</v>
      </c>
      <c r="BL169" s="118" t="s">
        <v>6415</v>
      </c>
      <c r="BM169" s="118" t="s">
        <v>6992</v>
      </c>
      <c r="BN169" s="118" t="s">
        <v>6991</v>
      </c>
      <c r="BO169" s="118" t="s">
        <v>6415</v>
      </c>
      <c r="BP169" s="118" t="s">
        <v>6415</v>
      </c>
      <c r="BQ169" s="118" t="s">
        <v>6415</v>
      </c>
      <c r="BR169" s="118" t="s">
        <v>6415</v>
      </c>
      <c r="BS169" s="118" t="s">
        <v>6415</v>
      </c>
      <c r="BT169" s="118" t="s">
        <v>6990</v>
      </c>
      <c r="BU169" s="118" t="s">
        <v>6991</v>
      </c>
      <c r="BV169" s="118" t="s">
        <v>6415</v>
      </c>
      <c r="BW169" s="118" t="s">
        <v>6415</v>
      </c>
      <c r="BX169" s="118" t="s">
        <v>6415</v>
      </c>
      <c r="BY169" s="118" t="s">
        <v>6415</v>
      </c>
      <c r="BZ169" s="118" t="s">
        <v>6415</v>
      </c>
      <c r="CA169" s="118" t="s">
        <v>6415</v>
      </c>
      <c r="CB169" s="118" t="s">
        <v>221</v>
      </c>
      <c r="CC169" s="118" t="s">
        <v>393</v>
      </c>
      <c r="CD169" s="118">
        <v>1</v>
      </c>
      <c r="CE169" s="118" t="s">
        <v>411</v>
      </c>
      <c r="CF169" s="118" t="s">
        <v>410</v>
      </c>
      <c r="CG169" s="118" t="s">
        <v>924</v>
      </c>
      <c r="CH169" s="118" t="s">
        <v>6300</v>
      </c>
      <c r="CI169" s="118" t="s">
        <v>6303</v>
      </c>
      <c r="CJ169" s="118" t="s">
        <v>398</v>
      </c>
      <c r="CK169" s="14">
        <v>0</v>
      </c>
      <c r="CL169" s="118">
        <v>0</v>
      </c>
      <c r="CM169" s="118" t="s">
        <v>399</v>
      </c>
      <c r="CN169" s="118" t="s">
        <v>398</v>
      </c>
      <c r="CO169" s="118" t="s">
        <v>1096</v>
      </c>
      <c r="CP169" s="118" t="s">
        <v>400</v>
      </c>
      <c r="CQ169" s="118" t="s">
        <v>6415</v>
      </c>
      <c r="CR169" s="118" t="s">
        <v>6415</v>
      </c>
      <c r="CS169" s="118" t="s">
        <v>6415</v>
      </c>
      <c r="CT169" s="118" t="s">
        <v>6415</v>
      </c>
      <c r="CU169" s="118" t="s">
        <v>6415</v>
      </c>
      <c r="CV169" s="118" t="s">
        <v>6415</v>
      </c>
      <c r="CW169" s="14">
        <v>49</v>
      </c>
      <c r="CX169" s="118" t="s">
        <v>1068</v>
      </c>
      <c r="CY169" s="118" t="s">
        <v>6341</v>
      </c>
      <c r="CZ169" s="118">
        <v>2</v>
      </c>
      <c r="DA169" s="118" t="s">
        <v>411</v>
      </c>
      <c r="DB169" s="118" t="s">
        <v>410</v>
      </c>
      <c r="DC169" s="118" t="s">
        <v>6415</v>
      </c>
      <c r="DD169" s="118" t="s">
        <v>6300</v>
      </c>
      <c r="DE169" s="118" t="s">
        <v>6323</v>
      </c>
      <c r="DF169" s="118" t="s">
        <v>398</v>
      </c>
      <c r="DG169" s="118" t="s">
        <v>6415</v>
      </c>
      <c r="DH169" s="118" t="s">
        <v>6415</v>
      </c>
      <c r="DI169" s="118" t="s">
        <v>6151</v>
      </c>
      <c r="DJ169" s="118" t="s">
        <v>407</v>
      </c>
      <c r="DK169" s="118" t="s">
        <v>400</v>
      </c>
      <c r="DL169" s="118" t="s">
        <v>6415</v>
      </c>
      <c r="DM169" s="118" t="s">
        <v>6415</v>
      </c>
      <c r="DN169" s="118" t="s">
        <v>6415</v>
      </c>
      <c r="DO169" s="118" t="s">
        <v>6415</v>
      </c>
      <c r="DP169" s="118" t="s">
        <v>6415</v>
      </c>
      <c r="DQ169" s="118" t="s">
        <v>6415</v>
      </c>
      <c r="DR169" s="118">
        <v>60</v>
      </c>
      <c r="DS169" s="118" t="s">
        <v>1066</v>
      </c>
      <c r="DT169" s="118" t="s">
        <v>6151</v>
      </c>
      <c r="DU169" s="118" t="s">
        <v>6415</v>
      </c>
      <c r="DV169" s="118" t="s">
        <v>6415</v>
      </c>
      <c r="DW169" s="118" t="s">
        <v>6415</v>
      </c>
      <c r="DX169" s="118" t="s">
        <v>6415</v>
      </c>
      <c r="DY169" s="118" t="s">
        <v>6415</v>
      </c>
      <c r="DZ169" s="118" t="s">
        <v>6415</v>
      </c>
      <c r="EA169" s="118" t="s">
        <v>6415</v>
      </c>
      <c r="EB169" s="118" t="s">
        <v>6415</v>
      </c>
      <c r="EC169" s="118" t="s">
        <v>6415</v>
      </c>
      <c r="ED169" s="118" t="s">
        <v>6415</v>
      </c>
      <c r="EE169" s="118" t="s">
        <v>6415</v>
      </c>
      <c r="EF169" s="118" t="s">
        <v>6415</v>
      </c>
      <c r="EG169" s="118" t="s">
        <v>6986</v>
      </c>
      <c r="EH169" s="118" t="s">
        <v>7168</v>
      </c>
      <c r="EI169" s="118" t="s">
        <v>6415</v>
      </c>
      <c r="EJ169" s="118" t="s">
        <v>6415</v>
      </c>
      <c r="EK169" s="118" t="s">
        <v>6415</v>
      </c>
      <c r="EL169" s="118" t="s">
        <v>7467</v>
      </c>
      <c r="EM169" s="118" t="s">
        <v>7271</v>
      </c>
      <c r="EN169" s="118" t="s">
        <v>6415</v>
      </c>
      <c r="EO169" s="6" t="str">
        <f t="shared" si="18"/>
        <v>Pathweb</v>
      </c>
      <c r="EP169" s="6" t="str">
        <f t="shared" si="19"/>
        <v>Google Maps</v>
      </c>
      <c r="EQ169" s="6" t="str">
        <f t="shared" si="20"/>
        <v>Mashed Map</v>
      </c>
      <c r="ER169" s="118" t="s">
        <v>6727</v>
      </c>
      <c r="ES169" s="118" t="s">
        <v>71</v>
      </c>
      <c r="ET169" s="4">
        <v>1E-3</v>
      </c>
      <c r="EU169" s="4"/>
      <c r="EV169" s="4"/>
    </row>
    <row r="170" spans="1:152" x14ac:dyDescent="0.15">
      <c r="A170" s="581" t="str">
        <f t="shared" si="17"/>
        <v>Crash Report</v>
      </c>
      <c r="B170" s="14">
        <v>20233054238</v>
      </c>
      <c r="C170" s="118">
        <v>2023</v>
      </c>
      <c r="D170" s="14">
        <v>23040529291655</v>
      </c>
      <c r="F170" s="118" t="s">
        <v>6442</v>
      </c>
      <c r="G170" s="118" t="s">
        <v>211</v>
      </c>
      <c r="H170" s="118">
        <v>2</v>
      </c>
      <c r="I170" s="118" t="s">
        <v>6055</v>
      </c>
      <c r="J170" s="118" t="s">
        <v>391</v>
      </c>
      <c r="K170" s="118" t="s">
        <v>6985</v>
      </c>
      <c r="L170" s="118">
        <v>0.14899999999999999</v>
      </c>
      <c r="M170" s="118">
        <v>0.14899999999999999</v>
      </c>
      <c r="N170" s="118" t="s">
        <v>7465</v>
      </c>
      <c r="O170" s="118" t="s">
        <v>7466</v>
      </c>
      <c r="P170" s="118">
        <v>41.648522999999997</v>
      </c>
      <c r="Q170" s="118">
        <v>-83.523471000000001</v>
      </c>
      <c r="R170" s="118">
        <v>77000</v>
      </c>
      <c r="S170" s="118" t="s">
        <v>6988</v>
      </c>
      <c r="T170" s="118">
        <v>1</v>
      </c>
      <c r="U170" s="118">
        <v>0</v>
      </c>
      <c r="V170" s="118">
        <v>0</v>
      </c>
      <c r="W170" s="118">
        <v>0</v>
      </c>
      <c r="X170" s="118">
        <v>0</v>
      </c>
      <c r="Y170" s="118">
        <v>2</v>
      </c>
      <c r="Z170" s="118">
        <v>0</v>
      </c>
      <c r="AA170" s="118">
        <v>2</v>
      </c>
      <c r="AB170" s="118" t="s">
        <v>1067</v>
      </c>
      <c r="AC170" s="118" t="s">
        <v>6989</v>
      </c>
      <c r="AD170" s="118" t="s">
        <v>1034</v>
      </c>
      <c r="AE170" s="118" t="s">
        <v>943</v>
      </c>
      <c r="AF170" s="118" t="s">
        <v>1042</v>
      </c>
      <c r="AG170" s="118" t="s">
        <v>6415</v>
      </c>
      <c r="AH170" s="118" t="s">
        <v>393</v>
      </c>
      <c r="AI170" s="118">
        <v>4</v>
      </c>
      <c r="AJ170" s="118" t="s">
        <v>6415</v>
      </c>
      <c r="AK170" s="118" t="s">
        <v>393</v>
      </c>
      <c r="AL170" s="118" t="s">
        <v>393</v>
      </c>
      <c r="AM170" s="118" t="s">
        <v>393</v>
      </c>
      <c r="AN170" s="402" t="s">
        <v>5975</v>
      </c>
      <c r="AO170" s="402">
        <v>45021</v>
      </c>
      <c r="AP170" s="118">
        <v>4</v>
      </c>
      <c r="AQ170" s="118">
        <v>16</v>
      </c>
      <c r="AR170" s="118" t="s">
        <v>6446</v>
      </c>
      <c r="AS170" s="118" t="s">
        <v>420</v>
      </c>
      <c r="AT170" s="118" t="s">
        <v>225</v>
      </c>
      <c r="AU170" s="118" t="s">
        <v>404</v>
      </c>
      <c r="AV170" s="118" t="s">
        <v>508</v>
      </c>
      <c r="AW170" s="118" t="s">
        <v>393</v>
      </c>
      <c r="AX170" s="118" t="s">
        <v>740</v>
      </c>
      <c r="AY170" s="118" t="s">
        <v>393</v>
      </c>
      <c r="AZ170" s="118" t="s">
        <v>393</v>
      </c>
      <c r="BA170" s="118" t="s">
        <v>393</v>
      </c>
      <c r="BB170" s="118" t="s">
        <v>393</v>
      </c>
      <c r="BC170" s="118" t="s">
        <v>393</v>
      </c>
      <c r="BD170" s="118" t="s">
        <v>393</v>
      </c>
      <c r="BE170" s="118" t="s">
        <v>393</v>
      </c>
      <c r="BF170" s="118" t="s">
        <v>393</v>
      </c>
      <c r="BG170" s="118" t="s">
        <v>393</v>
      </c>
      <c r="BH170" s="118" t="s">
        <v>394</v>
      </c>
      <c r="BI170" s="118" t="s">
        <v>394</v>
      </c>
      <c r="BJ170" s="118" t="s">
        <v>393</v>
      </c>
      <c r="BK170" s="118" t="s">
        <v>6988</v>
      </c>
      <c r="BL170" s="118" t="s">
        <v>6415</v>
      </c>
      <c r="BM170" s="118" t="s">
        <v>6990</v>
      </c>
      <c r="BN170" s="118" t="s">
        <v>6991</v>
      </c>
      <c r="BO170" s="118" t="s">
        <v>6415</v>
      </c>
      <c r="BP170" s="118" t="s">
        <v>6415</v>
      </c>
      <c r="BQ170" s="118" t="s">
        <v>6415</v>
      </c>
      <c r="BR170" s="118" t="s">
        <v>6415</v>
      </c>
      <c r="BS170" s="118" t="s">
        <v>6415</v>
      </c>
      <c r="BT170" s="118" t="s">
        <v>6992</v>
      </c>
      <c r="BU170" s="118" t="s">
        <v>6991</v>
      </c>
      <c r="BV170" s="118" t="s">
        <v>6415</v>
      </c>
      <c r="BW170" s="118" t="s">
        <v>6415</v>
      </c>
      <c r="BX170" s="118" t="s">
        <v>6415</v>
      </c>
      <c r="BY170" s="118" t="s">
        <v>6415</v>
      </c>
      <c r="BZ170" s="118" t="s">
        <v>6415</v>
      </c>
      <c r="CA170" s="118" t="s">
        <v>6415</v>
      </c>
      <c r="CB170" s="118" t="s">
        <v>221</v>
      </c>
      <c r="CC170" s="118" t="s">
        <v>740</v>
      </c>
      <c r="CD170" s="118">
        <v>2</v>
      </c>
      <c r="CE170" s="118" t="s">
        <v>406</v>
      </c>
      <c r="CF170" s="118" t="s">
        <v>405</v>
      </c>
      <c r="CG170" s="118" t="s">
        <v>924</v>
      </c>
      <c r="CH170" s="118" t="s">
        <v>6300</v>
      </c>
      <c r="CI170" s="118" t="s">
        <v>6303</v>
      </c>
      <c r="CJ170" s="118" t="s">
        <v>398</v>
      </c>
      <c r="CK170" s="14">
        <v>0</v>
      </c>
      <c r="CL170" s="118">
        <v>35</v>
      </c>
      <c r="CM170" s="118" t="s">
        <v>399</v>
      </c>
      <c r="CN170" s="118" t="s">
        <v>440</v>
      </c>
      <c r="CO170" s="118" t="s">
        <v>1096</v>
      </c>
      <c r="CP170" s="118" t="s">
        <v>400</v>
      </c>
      <c r="CQ170" s="118" t="s">
        <v>6415</v>
      </c>
      <c r="CR170" s="118" t="s">
        <v>6415</v>
      </c>
      <c r="CS170" s="118" t="s">
        <v>6415</v>
      </c>
      <c r="CT170" s="118" t="s">
        <v>6415</v>
      </c>
      <c r="CU170" s="118" t="s">
        <v>6415</v>
      </c>
      <c r="CV170" s="118" t="s">
        <v>6415</v>
      </c>
      <c r="CW170" s="14">
        <v>29</v>
      </c>
      <c r="CX170" s="118" t="s">
        <v>1068</v>
      </c>
      <c r="CY170" s="118" t="s">
        <v>6341</v>
      </c>
      <c r="CZ170" s="118">
        <v>1</v>
      </c>
      <c r="DA170" s="118" t="s">
        <v>410</v>
      </c>
      <c r="DB170" s="118" t="s">
        <v>411</v>
      </c>
      <c r="DC170" s="118" t="s">
        <v>6415</v>
      </c>
      <c r="DD170" s="118" t="s">
        <v>6300</v>
      </c>
      <c r="DE170" s="118" t="s">
        <v>6303</v>
      </c>
      <c r="DF170" s="118" t="s">
        <v>398</v>
      </c>
      <c r="DG170" s="118" t="s">
        <v>6415</v>
      </c>
      <c r="DH170" s="118">
        <v>35</v>
      </c>
      <c r="DI170" s="118" t="s">
        <v>212</v>
      </c>
      <c r="DJ170" s="118" t="s">
        <v>398</v>
      </c>
      <c r="DK170" s="118" t="s">
        <v>400</v>
      </c>
      <c r="DL170" s="118" t="s">
        <v>6415</v>
      </c>
      <c r="DM170" s="118" t="s">
        <v>6415</v>
      </c>
      <c r="DN170" s="118" t="s">
        <v>6415</v>
      </c>
      <c r="DO170" s="118" t="s">
        <v>6415</v>
      </c>
      <c r="DP170" s="118" t="s">
        <v>6415</v>
      </c>
      <c r="DQ170" s="118" t="s">
        <v>6415</v>
      </c>
      <c r="DR170" s="118">
        <v>43</v>
      </c>
      <c r="DS170" s="118" t="s">
        <v>1066</v>
      </c>
      <c r="DT170" s="118" t="s">
        <v>6341</v>
      </c>
      <c r="DU170" s="118" t="s">
        <v>6415</v>
      </c>
      <c r="DV170" s="118" t="s">
        <v>6415</v>
      </c>
      <c r="DW170" s="118" t="s">
        <v>6415</v>
      </c>
      <c r="DX170" s="118" t="s">
        <v>6415</v>
      </c>
      <c r="DY170" s="118" t="s">
        <v>6415</v>
      </c>
      <c r="DZ170" s="118" t="s">
        <v>6415</v>
      </c>
      <c r="EA170" s="118" t="s">
        <v>6415</v>
      </c>
      <c r="EB170" s="118" t="s">
        <v>6415</v>
      </c>
      <c r="EC170" s="118" t="s">
        <v>6415</v>
      </c>
      <c r="ED170" s="118" t="s">
        <v>6415</v>
      </c>
      <c r="EE170" s="118" t="s">
        <v>6415</v>
      </c>
      <c r="EF170" s="118" t="s">
        <v>6415</v>
      </c>
      <c r="EG170" s="118" t="s">
        <v>6986</v>
      </c>
      <c r="EH170" s="118" t="s">
        <v>6987</v>
      </c>
      <c r="EI170" s="118" t="s">
        <v>6415</v>
      </c>
      <c r="EJ170" s="118" t="s">
        <v>6415</v>
      </c>
      <c r="EK170" s="118" t="s">
        <v>6415</v>
      </c>
      <c r="EL170" s="118" t="s">
        <v>7467</v>
      </c>
      <c r="EM170" s="118" t="s">
        <v>7272</v>
      </c>
      <c r="EN170" s="118" t="s">
        <v>6415</v>
      </c>
      <c r="EO170" s="6" t="str">
        <f t="shared" si="18"/>
        <v>Pathweb</v>
      </c>
      <c r="EP170" s="6" t="str">
        <f t="shared" si="19"/>
        <v>Google Maps</v>
      </c>
      <c r="EQ170" s="6" t="str">
        <f t="shared" si="20"/>
        <v>Mashed Map</v>
      </c>
      <c r="ER170" s="118" t="s">
        <v>6727</v>
      </c>
      <c r="ES170" s="118" t="s">
        <v>71</v>
      </c>
      <c r="ET170" s="4">
        <v>0</v>
      </c>
      <c r="EU170" s="4"/>
      <c r="EV170" s="4"/>
    </row>
    <row r="171" spans="1:152" x14ac:dyDescent="0.15">
      <c r="A171" s="581" t="str">
        <f t="shared" si="17"/>
        <v>Crash Report</v>
      </c>
      <c r="B171" s="118">
        <v>20233058433</v>
      </c>
      <c r="C171" s="118">
        <v>2023</v>
      </c>
      <c r="D171" s="118">
        <v>23041222920825</v>
      </c>
      <c r="F171" s="118" t="s">
        <v>6440</v>
      </c>
      <c r="G171" s="118" t="s">
        <v>390</v>
      </c>
      <c r="H171" s="118">
        <v>2</v>
      </c>
      <c r="I171" s="118" t="s">
        <v>6055</v>
      </c>
      <c r="J171" s="118" t="s">
        <v>434</v>
      </c>
      <c r="K171" s="118" t="s">
        <v>6985</v>
      </c>
      <c r="L171" s="118">
        <v>0.51</v>
      </c>
      <c r="M171" s="118">
        <v>0.51</v>
      </c>
      <c r="N171" s="118" t="s">
        <v>7465</v>
      </c>
      <c r="O171" s="118" t="s">
        <v>7468</v>
      </c>
      <c r="P171" s="118">
        <v>41.651820999999998</v>
      </c>
      <c r="Q171" s="118">
        <v>-83.518082000000007</v>
      </c>
      <c r="R171" s="118">
        <v>77000</v>
      </c>
      <c r="S171" s="118" t="s">
        <v>6988</v>
      </c>
      <c r="T171" s="118">
        <v>1</v>
      </c>
      <c r="U171" s="118">
        <v>0</v>
      </c>
      <c r="V171" s="118">
        <v>0</v>
      </c>
      <c r="W171" s="118">
        <v>1</v>
      </c>
      <c r="X171" s="118">
        <v>1</v>
      </c>
      <c r="Y171" s="118">
        <v>2</v>
      </c>
      <c r="Z171" s="118">
        <v>1</v>
      </c>
      <c r="AA171" s="118">
        <v>2</v>
      </c>
      <c r="AB171" s="118" t="s">
        <v>1067</v>
      </c>
      <c r="AC171" s="118" t="s">
        <v>6989</v>
      </c>
      <c r="AD171" s="118" t="s">
        <v>1034</v>
      </c>
      <c r="AE171" s="118" t="s">
        <v>943</v>
      </c>
      <c r="AF171" s="118" t="s">
        <v>1041</v>
      </c>
      <c r="AG171" s="118" t="s">
        <v>6415</v>
      </c>
      <c r="AH171" s="118" t="s">
        <v>393</v>
      </c>
      <c r="AI171" s="118">
        <v>4</v>
      </c>
      <c r="AJ171" s="118" t="s">
        <v>6415</v>
      </c>
      <c r="AK171" s="118" t="s">
        <v>393</v>
      </c>
      <c r="AL171" s="118" t="s">
        <v>393</v>
      </c>
      <c r="AM171" s="118" t="s">
        <v>393</v>
      </c>
      <c r="AN171" s="402" t="s">
        <v>5975</v>
      </c>
      <c r="AO171" s="402">
        <v>45028</v>
      </c>
      <c r="AP171" s="118">
        <v>4</v>
      </c>
      <c r="AQ171" s="118">
        <v>8</v>
      </c>
      <c r="AR171" s="118" t="s">
        <v>6446</v>
      </c>
      <c r="AS171" s="118" t="s">
        <v>392</v>
      </c>
      <c r="AT171" s="118" t="s">
        <v>500</v>
      </c>
      <c r="AU171" s="118" t="s">
        <v>404</v>
      </c>
      <c r="AV171" s="118" t="s">
        <v>508</v>
      </c>
      <c r="AW171" s="118" t="s">
        <v>393</v>
      </c>
      <c r="AX171" s="118" t="s">
        <v>740</v>
      </c>
      <c r="AY171" s="118" t="s">
        <v>393</v>
      </c>
      <c r="AZ171" s="118" t="s">
        <v>393</v>
      </c>
      <c r="BA171" s="118" t="s">
        <v>393</v>
      </c>
      <c r="BB171" s="118" t="s">
        <v>393</v>
      </c>
      <c r="BC171" s="118" t="s">
        <v>393</v>
      </c>
      <c r="BD171" s="118" t="s">
        <v>740</v>
      </c>
      <c r="BE171" s="118" t="s">
        <v>393</v>
      </c>
      <c r="BF171" s="118" t="s">
        <v>393</v>
      </c>
      <c r="BG171" s="118" t="s">
        <v>393</v>
      </c>
      <c r="BH171" s="118" t="s">
        <v>394</v>
      </c>
      <c r="BI171" s="118" t="s">
        <v>394</v>
      </c>
      <c r="BJ171" s="118" t="s">
        <v>393</v>
      </c>
      <c r="BK171" s="118" t="s">
        <v>6988</v>
      </c>
      <c r="BL171" s="118" t="s">
        <v>6415</v>
      </c>
      <c r="BM171" s="118" t="s">
        <v>6990</v>
      </c>
      <c r="BN171" s="118" t="s">
        <v>6991</v>
      </c>
      <c r="BO171" s="118" t="s">
        <v>6415</v>
      </c>
      <c r="BP171" s="118" t="s">
        <v>6415</v>
      </c>
      <c r="BQ171" s="118" t="s">
        <v>6415</v>
      </c>
      <c r="BR171" s="118" t="s">
        <v>6415</v>
      </c>
      <c r="BS171" s="118" t="s">
        <v>261</v>
      </c>
      <c r="BT171" s="118" t="s">
        <v>1791</v>
      </c>
      <c r="BU171" s="118" t="s">
        <v>6991</v>
      </c>
      <c r="BV171" s="118" t="s">
        <v>6415</v>
      </c>
      <c r="BW171" s="118" t="s">
        <v>6415</v>
      </c>
      <c r="BX171" s="118" t="s">
        <v>6415</v>
      </c>
      <c r="BY171" s="118" t="s">
        <v>6415</v>
      </c>
      <c r="BZ171" s="118" t="s">
        <v>6415</v>
      </c>
      <c r="CA171" s="118" t="s">
        <v>6415</v>
      </c>
      <c r="CB171" s="118" t="s">
        <v>221</v>
      </c>
      <c r="CC171" s="118" t="s">
        <v>740</v>
      </c>
      <c r="CD171" s="118">
        <v>1</v>
      </c>
      <c r="CE171" s="118" t="s">
        <v>410</v>
      </c>
      <c r="CF171" s="118" t="s">
        <v>411</v>
      </c>
      <c r="CG171" s="118" t="s">
        <v>924</v>
      </c>
      <c r="CH171" s="118" t="s">
        <v>6300</v>
      </c>
      <c r="CI171" s="118" t="s">
        <v>6305</v>
      </c>
      <c r="CJ171" s="118" t="s">
        <v>398</v>
      </c>
      <c r="CK171" s="118">
        <v>40</v>
      </c>
      <c r="CL171" s="118">
        <v>35</v>
      </c>
      <c r="CM171" s="118" t="s">
        <v>399</v>
      </c>
      <c r="CN171" s="118" t="s">
        <v>6512</v>
      </c>
      <c r="CO171" s="118" t="s">
        <v>1096</v>
      </c>
      <c r="CP171" s="118" t="s">
        <v>400</v>
      </c>
      <c r="CQ171" s="118" t="s">
        <v>6415</v>
      </c>
      <c r="CR171" s="118" t="s">
        <v>6415</v>
      </c>
      <c r="CS171" s="118" t="s">
        <v>6415</v>
      </c>
      <c r="CT171" s="118" t="s">
        <v>6415</v>
      </c>
      <c r="CU171" s="118" t="s">
        <v>6415</v>
      </c>
      <c r="CV171" s="118" t="s">
        <v>6415</v>
      </c>
      <c r="CW171" s="118">
        <v>56</v>
      </c>
      <c r="CX171" s="118" t="s">
        <v>1068</v>
      </c>
      <c r="CY171" s="118" t="s">
        <v>6151</v>
      </c>
      <c r="CZ171" s="118">
        <v>2</v>
      </c>
      <c r="DA171" s="118" t="s">
        <v>406</v>
      </c>
      <c r="DB171" s="118" t="s">
        <v>405</v>
      </c>
      <c r="DC171" s="118" t="s">
        <v>6415</v>
      </c>
      <c r="DD171" s="118" t="s">
        <v>6300</v>
      </c>
      <c r="DE171" s="118" t="s">
        <v>6303</v>
      </c>
      <c r="DF171" s="118" t="s">
        <v>398</v>
      </c>
      <c r="DG171" s="118">
        <v>0</v>
      </c>
      <c r="DH171" s="118">
        <v>35</v>
      </c>
      <c r="DI171" s="118" t="s">
        <v>6355</v>
      </c>
      <c r="DJ171" s="118" t="s">
        <v>398</v>
      </c>
      <c r="DK171" s="118" t="s">
        <v>400</v>
      </c>
      <c r="DL171" s="118" t="s">
        <v>6415</v>
      </c>
      <c r="DM171" s="118" t="s">
        <v>6415</v>
      </c>
      <c r="DN171" s="118" t="s">
        <v>6415</v>
      </c>
      <c r="DO171" s="118" t="s">
        <v>6415</v>
      </c>
      <c r="DP171" s="118" t="s">
        <v>6415</v>
      </c>
      <c r="DQ171" s="118" t="s">
        <v>6415</v>
      </c>
      <c r="DR171" s="118">
        <v>63</v>
      </c>
      <c r="DS171" s="118" t="s">
        <v>1068</v>
      </c>
      <c r="DT171" s="118" t="s">
        <v>6341</v>
      </c>
      <c r="DU171" s="118" t="s">
        <v>6415</v>
      </c>
      <c r="DV171" s="118" t="s">
        <v>6415</v>
      </c>
      <c r="DW171" s="118" t="s">
        <v>6415</v>
      </c>
      <c r="DX171" s="118" t="s">
        <v>6415</v>
      </c>
      <c r="DY171" s="118" t="s">
        <v>6415</v>
      </c>
      <c r="DZ171" s="118" t="s">
        <v>6415</v>
      </c>
      <c r="EA171" s="118" t="s">
        <v>6415</v>
      </c>
      <c r="EB171" s="118" t="s">
        <v>6415</v>
      </c>
      <c r="EC171" s="118" t="s">
        <v>6415</v>
      </c>
      <c r="ED171" s="118" t="s">
        <v>6415</v>
      </c>
      <c r="EE171" s="118" t="s">
        <v>6415</v>
      </c>
      <c r="EF171" s="118" t="s">
        <v>6415</v>
      </c>
      <c r="EG171" s="118" t="s">
        <v>6994</v>
      </c>
      <c r="EH171" s="118" t="s">
        <v>7175</v>
      </c>
      <c r="EI171" s="118" t="s">
        <v>6415</v>
      </c>
      <c r="EJ171" s="118" t="s">
        <v>6415</v>
      </c>
      <c r="EK171" s="118" t="s">
        <v>6415</v>
      </c>
      <c r="EL171" s="118" t="s">
        <v>7467</v>
      </c>
      <c r="EM171" s="118" t="s">
        <v>7273</v>
      </c>
      <c r="EN171" s="118" t="s">
        <v>6415</v>
      </c>
      <c r="EO171" s="6" t="str">
        <f t="shared" si="18"/>
        <v>Pathweb</v>
      </c>
      <c r="EP171" s="6" t="str">
        <f t="shared" si="19"/>
        <v>Google Maps</v>
      </c>
      <c r="EQ171" s="6" t="str">
        <f t="shared" si="20"/>
        <v>Mashed Map</v>
      </c>
      <c r="ER171" s="118" t="s">
        <v>6727</v>
      </c>
      <c r="ES171" s="118" t="s">
        <v>6728</v>
      </c>
      <c r="ET171" s="4">
        <v>0</v>
      </c>
      <c r="EU171" s="4"/>
      <c r="EV171" s="4"/>
    </row>
    <row r="172" spans="1:152" x14ac:dyDescent="0.15">
      <c r="A172" s="581" t="str">
        <f t="shared" si="17"/>
        <v>Crash Report</v>
      </c>
      <c r="B172" s="118">
        <v>20233059068</v>
      </c>
      <c r="C172" s="118">
        <v>2023</v>
      </c>
      <c r="D172" s="118">
        <v>23041325031050</v>
      </c>
      <c r="F172" s="118" t="s">
        <v>6440</v>
      </c>
      <c r="G172" s="118" t="s">
        <v>313</v>
      </c>
      <c r="H172" s="118">
        <v>2</v>
      </c>
      <c r="I172" s="118" t="s">
        <v>6055</v>
      </c>
      <c r="J172" s="118" t="s">
        <v>423</v>
      </c>
      <c r="K172" s="118" t="s">
        <v>6997</v>
      </c>
      <c r="L172" s="118">
        <v>0.71299999999999997</v>
      </c>
      <c r="M172" s="118">
        <v>0.71299999999999997</v>
      </c>
      <c r="N172" s="118" t="s">
        <v>7469</v>
      </c>
      <c r="O172" s="118" t="s">
        <v>7473</v>
      </c>
      <c r="P172" s="118">
        <v>41.648513000000001</v>
      </c>
      <c r="Q172" s="118">
        <v>-83.523441000000005</v>
      </c>
      <c r="R172" s="118">
        <v>77000</v>
      </c>
      <c r="S172" s="118" t="s">
        <v>6988</v>
      </c>
      <c r="T172" s="118">
        <v>1</v>
      </c>
      <c r="U172" s="118">
        <v>0</v>
      </c>
      <c r="V172" s="118">
        <v>0</v>
      </c>
      <c r="W172" s="118">
        <v>1</v>
      </c>
      <c r="X172" s="118">
        <v>0</v>
      </c>
      <c r="Y172" s="118">
        <v>2</v>
      </c>
      <c r="Z172" s="118">
        <v>1</v>
      </c>
      <c r="AA172" s="118">
        <v>2</v>
      </c>
      <c r="AB172" s="118" t="s">
        <v>1067</v>
      </c>
      <c r="AC172" s="118" t="s">
        <v>6989</v>
      </c>
      <c r="AD172" s="118" t="s">
        <v>1034</v>
      </c>
      <c r="AE172" s="118" t="s">
        <v>943</v>
      </c>
      <c r="AF172" s="118" t="s">
        <v>1042</v>
      </c>
      <c r="AG172" s="118" t="s">
        <v>6415</v>
      </c>
      <c r="AH172" s="118" t="s">
        <v>393</v>
      </c>
      <c r="AI172" s="118">
        <v>2</v>
      </c>
      <c r="AJ172" s="118" t="s">
        <v>6415</v>
      </c>
      <c r="AK172" s="118" t="s">
        <v>393</v>
      </c>
      <c r="AL172" s="118" t="s">
        <v>393</v>
      </c>
      <c r="AM172" s="118" t="s">
        <v>393</v>
      </c>
      <c r="AN172" s="402" t="s">
        <v>5975</v>
      </c>
      <c r="AO172" s="402">
        <v>45029</v>
      </c>
      <c r="AP172" s="118">
        <v>4</v>
      </c>
      <c r="AQ172" s="118">
        <v>10</v>
      </c>
      <c r="AR172" s="118" t="s">
        <v>6447</v>
      </c>
      <c r="AS172" s="118" t="s">
        <v>392</v>
      </c>
      <c r="AT172" s="118" t="s">
        <v>500</v>
      </c>
      <c r="AU172" s="118" t="s">
        <v>404</v>
      </c>
      <c r="AV172" s="118" t="s">
        <v>508</v>
      </c>
      <c r="AW172" s="118" t="s">
        <v>393</v>
      </c>
      <c r="AX172" s="118" t="s">
        <v>740</v>
      </c>
      <c r="AY172" s="118" t="s">
        <v>393</v>
      </c>
      <c r="AZ172" s="118" t="s">
        <v>393</v>
      </c>
      <c r="BA172" s="118" t="s">
        <v>393</v>
      </c>
      <c r="BB172" s="118" t="s">
        <v>393</v>
      </c>
      <c r="BC172" s="118" t="s">
        <v>393</v>
      </c>
      <c r="BD172" s="118" t="s">
        <v>393</v>
      </c>
      <c r="BE172" s="118" t="s">
        <v>393</v>
      </c>
      <c r="BF172" s="118" t="s">
        <v>740</v>
      </c>
      <c r="BG172" s="118" t="s">
        <v>393</v>
      </c>
      <c r="BH172" s="118" t="s">
        <v>394</v>
      </c>
      <c r="BI172" s="118" t="s">
        <v>394</v>
      </c>
      <c r="BJ172" s="118" t="s">
        <v>393</v>
      </c>
      <c r="BK172" s="118" t="s">
        <v>6988</v>
      </c>
      <c r="BL172" s="118" t="s">
        <v>6415</v>
      </c>
      <c r="BM172" s="118" t="s">
        <v>6992</v>
      </c>
      <c r="BN172" s="118" t="s">
        <v>6991</v>
      </c>
      <c r="BO172" s="118" t="s">
        <v>6415</v>
      </c>
      <c r="BP172" s="118" t="s">
        <v>6415</v>
      </c>
      <c r="BQ172" s="118" t="s">
        <v>6415</v>
      </c>
      <c r="BR172" s="118" t="s">
        <v>6415</v>
      </c>
      <c r="BS172" s="118" t="s">
        <v>6415</v>
      </c>
      <c r="BT172" s="118" t="s">
        <v>6990</v>
      </c>
      <c r="BU172" s="118" t="s">
        <v>6991</v>
      </c>
      <c r="BV172" s="118" t="s">
        <v>6415</v>
      </c>
      <c r="BW172" s="118" t="s">
        <v>6415</v>
      </c>
      <c r="BX172" s="118" t="s">
        <v>6415</v>
      </c>
      <c r="BY172" s="118" t="s">
        <v>6415</v>
      </c>
      <c r="BZ172" s="118" t="s">
        <v>6415</v>
      </c>
      <c r="CA172" s="118" t="s">
        <v>6415</v>
      </c>
      <c r="CB172" s="118" t="s">
        <v>221</v>
      </c>
      <c r="CC172" s="118" t="s">
        <v>740</v>
      </c>
      <c r="CD172" s="118">
        <v>2</v>
      </c>
      <c r="CE172" s="118" t="s">
        <v>406</v>
      </c>
      <c r="CF172" s="118" t="s">
        <v>411</v>
      </c>
      <c r="CG172" s="118" t="s">
        <v>230</v>
      </c>
      <c r="CH172" s="118" t="s">
        <v>6302</v>
      </c>
      <c r="CI172" s="118" t="s">
        <v>6322</v>
      </c>
      <c r="CJ172" s="118" t="s">
        <v>6151</v>
      </c>
      <c r="CK172" s="118">
        <v>12</v>
      </c>
      <c r="CL172" s="118">
        <v>35</v>
      </c>
      <c r="CM172" s="118" t="s">
        <v>436</v>
      </c>
      <c r="CN172" s="118" t="s">
        <v>6327</v>
      </c>
      <c r="CO172" s="118" t="s">
        <v>1096</v>
      </c>
      <c r="CP172" s="118" t="s">
        <v>400</v>
      </c>
      <c r="CQ172" s="118" t="s">
        <v>6415</v>
      </c>
      <c r="CR172" s="118" t="s">
        <v>6415</v>
      </c>
      <c r="CS172" s="118" t="s">
        <v>6415</v>
      </c>
      <c r="CT172" s="118" t="s">
        <v>6415</v>
      </c>
      <c r="CU172" s="118" t="s">
        <v>6415</v>
      </c>
      <c r="CV172" s="118" t="s">
        <v>6353</v>
      </c>
      <c r="CW172" s="118">
        <v>17</v>
      </c>
      <c r="CX172" s="118" t="s">
        <v>1068</v>
      </c>
      <c r="CY172" s="118" t="s">
        <v>6151</v>
      </c>
      <c r="CZ172" s="118">
        <v>1</v>
      </c>
      <c r="DA172" s="118" t="s">
        <v>405</v>
      </c>
      <c r="DB172" s="118" t="s">
        <v>406</v>
      </c>
      <c r="DC172" s="118" t="s">
        <v>6415</v>
      </c>
      <c r="DD172" s="118" t="s">
        <v>6300</v>
      </c>
      <c r="DE172" s="118" t="s">
        <v>6303</v>
      </c>
      <c r="DF172" s="118" t="s">
        <v>398</v>
      </c>
      <c r="DG172" s="118">
        <v>20</v>
      </c>
      <c r="DH172" s="118">
        <v>35</v>
      </c>
      <c r="DI172" s="118" t="s">
        <v>399</v>
      </c>
      <c r="DJ172" s="118" t="s">
        <v>398</v>
      </c>
      <c r="DK172" s="118" t="s">
        <v>480</v>
      </c>
      <c r="DL172" s="118" t="s">
        <v>6415</v>
      </c>
      <c r="DM172" s="118" t="s">
        <v>6415</v>
      </c>
      <c r="DN172" s="118" t="s">
        <v>6415</v>
      </c>
      <c r="DO172" s="118" t="s">
        <v>6415</v>
      </c>
      <c r="DP172" s="118" t="s">
        <v>6415</v>
      </c>
      <c r="DQ172" s="118" t="s">
        <v>6415</v>
      </c>
      <c r="DR172" s="118">
        <v>0</v>
      </c>
      <c r="DS172" s="118" t="s">
        <v>6415</v>
      </c>
      <c r="DT172" s="118" t="s">
        <v>6151</v>
      </c>
      <c r="DU172" s="118" t="s">
        <v>6415</v>
      </c>
      <c r="DV172" s="118" t="s">
        <v>6415</v>
      </c>
      <c r="DW172" s="118" t="s">
        <v>6415</v>
      </c>
      <c r="DX172" s="118" t="s">
        <v>6415</v>
      </c>
      <c r="DY172" s="118" t="s">
        <v>6415</v>
      </c>
      <c r="DZ172" s="118" t="s">
        <v>6415</v>
      </c>
      <c r="EA172" s="118" t="s">
        <v>6415</v>
      </c>
      <c r="EB172" s="118" t="s">
        <v>6415</v>
      </c>
      <c r="EC172" s="118" t="s">
        <v>6415</v>
      </c>
      <c r="ED172" s="118" t="s">
        <v>6415</v>
      </c>
      <c r="EE172" s="118" t="s">
        <v>6415</v>
      </c>
      <c r="EF172" s="118" t="s">
        <v>6415</v>
      </c>
      <c r="EG172" s="118" t="s">
        <v>6986</v>
      </c>
      <c r="EH172" s="118" t="s">
        <v>7168</v>
      </c>
      <c r="EI172" s="118" t="s">
        <v>6415</v>
      </c>
      <c r="EJ172" s="118" t="s">
        <v>6415</v>
      </c>
      <c r="EK172" s="118" t="s">
        <v>6415</v>
      </c>
      <c r="EL172" s="118" t="s">
        <v>7467</v>
      </c>
      <c r="EM172" s="118" t="s">
        <v>7274</v>
      </c>
      <c r="EN172" s="118" t="s">
        <v>6415</v>
      </c>
      <c r="EO172" s="6" t="str">
        <f t="shared" si="18"/>
        <v>Pathweb</v>
      </c>
      <c r="EP172" s="6" t="str">
        <f t="shared" si="19"/>
        <v>Google Maps</v>
      </c>
      <c r="EQ172" s="6" t="str">
        <f t="shared" si="20"/>
        <v>Mashed Map</v>
      </c>
      <c r="ER172" s="118" t="s">
        <v>6726</v>
      </c>
      <c r="ES172" s="118" t="s">
        <v>6728</v>
      </c>
      <c r="ET172" s="4">
        <v>2.8000000000000001E-2</v>
      </c>
      <c r="EU172" s="4"/>
      <c r="EV172" s="4"/>
    </row>
    <row r="173" spans="1:152" x14ac:dyDescent="0.15">
      <c r="A173" s="581" t="str">
        <f t="shared" si="17"/>
        <v>Crash Report</v>
      </c>
      <c r="B173" s="14">
        <v>20233059897</v>
      </c>
      <c r="C173" s="118">
        <v>2023</v>
      </c>
      <c r="D173" s="14">
        <v>23041329402041</v>
      </c>
      <c r="F173" s="118" t="s">
        <v>6442</v>
      </c>
      <c r="G173" s="118" t="s">
        <v>402</v>
      </c>
      <c r="H173" s="118">
        <v>2</v>
      </c>
      <c r="I173" s="118" t="s">
        <v>6055</v>
      </c>
      <c r="J173" s="118" t="s">
        <v>391</v>
      </c>
      <c r="K173" s="118" t="s">
        <v>6985</v>
      </c>
      <c r="L173" s="118">
        <v>0.09</v>
      </c>
      <c r="M173" s="118">
        <v>0.09</v>
      </c>
      <c r="N173" s="118" t="s">
        <v>7465</v>
      </c>
      <c r="O173" s="118" t="s">
        <v>7475</v>
      </c>
      <c r="P173" s="118">
        <v>41.647990999999998</v>
      </c>
      <c r="Q173" s="118">
        <v>-83.524353000000005</v>
      </c>
      <c r="R173" s="118">
        <v>77000</v>
      </c>
      <c r="S173" s="118" t="s">
        <v>6988</v>
      </c>
      <c r="T173" s="118">
        <v>1</v>
      </c>
      <c r="U173" s="118">
        <v>0</v>
      </c>
      <c r="V173" s="118">
        <v>0</v>
      </c>
      <c r="W173" s="118">
        <v>0</v>
      </c>
      <c r="X173" s="118">
        <v>0</v>
      </c>
      <c r="Y173" s="118">
        <v>3</v>
      </c>
      <c r="Z173" s="118">
        <v>0</v>
      </c>
      <c r="AA173" s="118">
        <v>2</v>
      </c>
      <c r="AB173" s="118" t="s">
        <v>1067</v>
      </c>
      <c r="AC173" s="118" t="s">
        <v>6989</v>
      </c>
      <c r="AD173" s="118" t="s">
        <v>1034</v>
      </c>
      <c r="AE173" s="118" t="s">
        <v>943</v>
      </c>
      <c r="AF173" s="118" t="s">
        <v>1042</v>
      </c>
      <c r="AG173" s="118" t="s">
        <v>6415</v>
      </c>
      <c r="AH173" s="118" t="s">
        <v>393</v>
      </c>
      <c r="AI173" s="118">
        <v>4</v>
      </c>
      <c r="AJ173" s="118" t="s">
        <v>6415</v>
      </c>
      <c r="AK173" s="118" t="s">
        <v>393</v>
      </c>
      <c r="AL173" s="118" t="s">
        <v>393</v>
      </c>
      <c r="AM173" s="118" t="s">
        <v>393</v>
      </c>
      <c r="AN173" s="402" t="s">
        <v>5975</v>
      </c>
      <c r="AO173" s="402">
        <v>45029</v>
      </c>
      <c r="AP173" s="118">
        <v>4</v>
      </c>
      <c r="AQ173" s="118">
        <v>20</v>
      </c>
      <c r="AR173" s="118" t="s">
        <v>6447</v>
      </c>
      <c r="AS173" s="118" t="s">
        <v>392</v>
      </c>
      <c r="AT173" s="118" t="s">
        <v>500</v>
      </c>
      <c r="AU173" s="118" t="s">
        <v>505</v>
      </c>
      <c r="AV173" s="118" t="s">
        <v>508</v>
      </c>
      <c r="AW173" s="118" t="s">
        <v>393</v>
      </c>
      <c r="AX173" s="118" t="s">
        <v>393</v>
      </c>
      <c r="AY173" s="118" t="s">
        <v>393</v>
      </c>
      <c r="AZ173" s="118" t="s">
        <v>393</v>
      </c>
      <c r="BA173" s="118" t="s">
        <v>393</v>
      </c>
      <c r="BB173" s="118" t="s">
        <v>393</v>
      </c>
      <c r="BC173" s="118" t="s">
        <v>393</v>
      </c>
      <c r="BD173" s="118" t="s">
        <v>393</v>
      </c>
      <c r="BE173" s="118" t="s">
        <v>393</v>
      </c>
      <c r="BF173" s="118" t="s">
        <v>740</v>
      </c>
      <c r="BG173" s="118" t="s">
        <v>393</v>
      </c>
      <c r="BH173" s="118" t="s">
        <v>394</v>
      </c>
      <c r="BI173" s="118" t="s">
        <v>394</v>
      </c>
      <c r="BJ173" s="118" t="s">
        <v>393</v>
      </c>
      <c r="BK173" s="118" t="s">
        <v>6988</v>
      </c>
      <c r="BL173" s="118" t="s">
        <v>6415</v>
      </c>
      <c r="BM173" s="118" t="s">
        <v>6990</v>
      </c>
      <c r="BN173" s="118" t="s">
        <v>6991</v>
      </c>
      <c r="BO173" s="118" t="s">
        <v>6415</v>
      </c>
      <c r="BP173" s="118" t="s">
        <v>6415</v>
      </c>
      <c r="BQ173" s="118" t="s">
        <v>6415</v>
      </c>
      <c r="BR173" s="118" t="s">
        <v>6415</v>
      </c>
      <c r="BS173" s="118" t="s">
        <v>6415</v>
      </c>
      <c r="BT173" s="118" t="s">
        <v>2583</v>
      </c>
      <c r="BU173" s="118" t="s">
        <v>7017</v>
      </c>
      <c r="BV173" s="118" t="s">
        <v>6415</v>
      </c>
      <c r="BW173" s="118" t="s">
        <v>6415</v>
      </c>
      <c r="BX173" s="118" t="s">
        <v>6415</v>
      </c>
      <c r="BY173" s="118" t="s">
        <v>6415</v>
      </c>
      <c r="BZ173" s="118" t="s">
        <v>6415</v>
      </c>
      <c r="CA173" s="118" t="s">
        <v>6415</v>
      </c>
      <c r="CB173" s="118" t="s">
        <v>221</v>
      </c>
      <c r="CC173" s="118" t="s">
        <v>393</v>
      </c>
      <c r="CD173" s="118">
        <v>1</v>
      </c>
      <c r="CE173" s="118" t="s">
        <v>396</v>
      </c>
      <c r="CF173" s="118" t="s">
        <v>397</v>
      </c>
      <c r="CG173" s="118" t="s">
        <v>924</v>
      </c>
      <c r="CH173" s="118" t="s">
        <v>6302</v>
      </c>
      <c r="CI173" s="118" t="s">
        <v>417</v>
      </c>
      <c r="CJ173" s="118" t="s">
        <v>398</v>
      </c>
      <c r="CK173" s="14">
        <v>0</v>
      </c>
      <c r="CL173" s="118">
        <v>35</v>
      </c>
      <c r="CM173" s="118" t="s">
        <v>399</v>
      </c>
      <c r="CN173" s="118" t="s">
        <v>398</v>
      </c>
      <c r="CO173" s="118" t="s">
        <v>1096</v>
      </c>
      <c r="CP173" s="118" t="s">
        <v>400</v>
      </c>
      <c r="CQ173" s="118" t="s">
        <v>6415</v>
      </c>
      <c r="CR173" s="118" t="s">
        <v>6415</v>
      </c>
      <c r="CS173" s="118" t="s">
        <v>6415</v>
      </c>
      <c r="CT173" s="118" t="s">
        <v>6415</v>
      </c>
      <c r="CU173" s="118" t="s">
        <v>6415</v>
      </c>
      <c r="CV173" s="118" t="s">
        <v>6415</v>
      </c>
      <c r="CW173" s="14">
        <v>16</v>
      </c>
      <c r="CX173" s="118" t="s">
        <v>1066</v>
      </c>
      <c r="CY173" s="118" t="s">
        <v>6341</v>
      </c>
      <c r="CZ173" s="118">
        <v>2</v>
      </c>
      <c r="DA173" s="118" t="s">
        <v>396</v>
      </c>
      <c r="DB173" s="118" t="s">
        <v>397</v>
      </c>
      <c r="DC173" s="118" t="s">
        <v>6415</v>
      </c>
      <c r="DD173" s="118" t="s">
        <v>6302</v>
      </c>
      <c r="DE173" s="118" t="s">
        <v>6303</v>
      </c>
      <c r="DF173" s="118" t="s">
        <v>398</v>
      </c>
      <c r="DG173" s="118" t="s">
        <v>6415</v>
      </c>
      <c r="DH173" s="118">
        <v>35</v>
      </c>
      <c r="DI173" s="118" t="s">
        <v>399</v>
      </c>
      <c r="DJ173" s="118" t="s">
        <v>398</v>
      </c>
      <c r="DK173" s="118" t="s">
        <v>400</v>
      </c>
      <c r="DL173" s="118" t="s">
        <v>6415</v>
      </c>
      <c r="DM173" s="118" t="s">
        <v>6415</v>
      </c>
      <c r="DN173" s="118" t="s">
        <v>6415</v>
      </c>
      <c r="DO173" s="118" t="s">
        <v>6415</v>
      </c>
      <c r="DP173" s="118" t="s">
        <v>6415</v>
      </c>
      <c r="DQ173" s="118" t="s">
        <v>6415</v>
      </c>
      <c r="DR173" s="118">
        <v>29</v>
      </c>
      <c r="DS173" s="118" t="s">
        <v>1066</v>
      </c>
      <c r="DT173" s="118" t="s">
        <v>6341</v>
      </c>
      <c r="DU173" s="118" t="s">
        <v>6415</v>
      </c>
      <c r="DV173" s="118" t="s">
        <v>6415</v>
      </c>
      <c r="DW173" s="118" t="s">
        <v>6415</v>
      </c>
      <c r="DX173" s="118" t="s">
        <v>6415</v>
      </c>
      <c r="DY173" s="118" t="s">
        <v>6415</v>
      </c>
      <c r="DZ173" s="118" t="s">
        <v>6415</v>
      </c>
      <c r="EA173" s="118" t="s">
        <v>6415</v>
      </c>
      <c r="EB173" s="118" t="s">
        <v>6415</v>
      </c>
      <c r="EC173" s="118" t="s">
        <v>6415</v>
      </c>
      <c r="ED173" s="118" t="s">
        <v>6415</v>
      </c>
      <c r="EE173" s="118" t="s">
        <v>6415</v>
      </c>
      <c r="EF173" s="118" t="s">
        <v>6415</v>
      </c>
      <c r="EG173" s="118" t="s">
        <v>7028</v>
      </c>
      <c r="EH173" s="118" t="s">
        <v>7029</v>
      </c>
      <c r="EI173" s="118" t="s">
        <v>6415</v>
      </c>
      <c r="EJ173" s="118" t="s">
        <v>6415</v>
      </c>
      <c r="EK173" s="118" t="s">
        <v>6415</v>
      </c>
      <c r="EL173" s="118" t="s">
        <v>7467</v>
      </c>
      <c r="EM173" s="118" t="s">
        <v>7275</v>
      </c>
      <c r="EN173" s="118" t="s">
        <v>6415</v>
      </c>
      <c r="EO173" s="6" t="str">
        <f t="shared" si="18"/>
        <v>Pathweb</v>
      </c>
      <c r="EP173" s="6" t="str">
        <f t="shared" si="19"/>
        <v>Google Maps</v>
      </c>
      <c r="EQ173" s="6" t="str">
        <f t="shared" si="20"/>
        <v>Mashed Map</v>
      </c>
      <c r="ER173" s="118" t="s">
        <v>6727</v>
      </c>
      <c r="ES173" s="118" t="s">
        <v>71</v>
      </c>
      <c r="ET173" s="4">
        <v>0</v>
      </c>
      <c r="EU173" s="4"/>
      <c r="EV173" s="4"/>
    </row>
    <row r="174" spans="1:152" x14ac:dyDescent="0.15">
      <c r="A174" s="581" t="str">
        <f t="shared" si="17"/>
        <v>Crash Report</v>
      </c>
      <c r="B174" s="14">
        <v>20233063448</v>
      </c>
      <c r="C174" s="118">
        <v>2023</v>
      </c>
      <c r="D174" s="14">
        <v>23040620281200</v>
      </c>
      <c r="F174" s="118" t="s">
        <v>6442</v>
      </c>
      <c r="G174" s="118" t="s">
        <v>401</v>
      </c>
      <c r="H174" s="118">
        <v>2</v>
      </c>
      <c r="I174" s="118" t="s">
        <v>6055</v>
      </c>
      <c r="J174" s="118" t="s">
        <v>391</v>
      </c>
      <c r="K174" s="118" t="s">
        <v>6997</v>
      </c>
      <c r="L174" s="118">
        <v>0.86699999999999999</v>
      </c>
      <c r="M174" s="118">
        <v>0.86699999999999999</v>
      </c>
      <c r="N174" s="118" t="s">
        <v>7469</v>
      </c>
      <c r="O174" s="118">
        <v>3</v>
      </c>
      <c r="P174" s="118">
        <v>41.650247999999998</v>
      </c>
      <c r="Q174" s="118">
        <v>-83.525323</v>
      </c>
      <c r="R174" s="118">
        <v>77000</v>
      </c>
      <c r="S174" s="118" t="s">
        <v>6988</v>
      </c>
      <c r="T174" s="118">
        <v>1</v>
      </c>
      <c r="U174" s="118">
        <v>0</v>
      </c>
      <c r="V174" s="118">
        <v>0</v>
      </c>
      <c r="W174" s="118">
        <v>0</v>
      </c>
      <c r="X174" s="118">
        <v>0</v>
      </c>
      <c r="Y174" s="118">
        <v>2</v>
      </c>
      <c r="Z174" s="118">
        <v>0</v>
      </c>
      <c r="AA174" s="118">
        <v>2</v>
      </c>
      <c r="AB174" s="118" t="s">
        <v>1067</v>
      </c>
      <c r="AC174" s="118" t="s">
        <v>6989</v>
      </c>
      <c r="AD174" s="118" t="s">
        <v>1034</v>
      </c>
      <c r="AE174" s="118" t="s">
        <v>943</v>
      </c>
      <c r="AF174" s="118" t="s">
        <v>1041</v>
      </c>
      <c r="AG174" s="118" t="s">
        <v>6415</v>
      </c>
      <c r="AH174" s="118" t="s">
        <v>393</v>
      </c>
      <c r="AI174" s="118">
        <v>2</v>
      </c>
      <c r="AJ174" s="118" t="s">
        <v>6415</v>
      </c>
      <c r="AK174" s="118" t="s">
        <v>393</v>
      </c>
      <c r="AL174" s="118" t="s">
        <v>393</v>
      </c>
      <c r="AM174" s="118" t="s">
        <v>393</v>
      </c>
      <c r="AN174" s="402" t="s">
        <v>5975</v>
      </c>
      <c r="AO174" s="402">
        <v>45020</v>
      </c>
      <c r="AP174" s="118">
        <v>4</v>
      </c>
      <c r="AQ174" s="118">
        <v>21</v>
      </c>
      <c r="AR174" s="118" t="s">
        <v>6445</v>
      </c>
      <c r="AS174" s="118" t="s">
        <v>392</v>
      </c>
      <c r="AT174" s="118" t="s">
        <v>500</v>
      </c>
      <c r="AU174" s="118" t="s">
        <v>404</v>
      </c>
      <c r="AV174" s="118" t="s">
        <v>508</v>
      </c>
      <c r="AW174" s="118" t="s">
        <v>393</v>
      </c>
      <c r="AX174" s="118" t="s">
        <v>740</v>
      </c>
      <c r="AY174" s="118" t="s">
        <v>393</v>
      </c>
      <c r="AZ174" s="118" t="s">
        <v>393</v>
      </c>
      <c r="BA174" s="118" t="s">
        <v>393</v>
      </c>
      <c r="BB174" s="118" t="s">
        <v>393</v>
      </c>
      <c r="BC174" s="118" t="s">
        <v>393</v>
      </c>
      <c r="BD174" s="118" t="s">
        <v>393</v>
      </c>
      <c r="BE174" s="118" t="s">
        <v>393</v>
      </c>
      <c r="BF174" s="118" t="s">
        <v>740</v>
      </c>
      <c r="BG174" s="118" t="s">
        <v>393</v>
      </c>
      <c r="BH174" s="118" t="s">
        <v>394</v>
      </c>
      <c r="BI174" s="118" t="s">
        <v>394</v>
      </c>
      <c r="BJ174" s="118" t="s">
        <v>393</v>
      </c>
      <c r="BK174" s="118" t="s">
        <v>6988</v>
      </c>
      <c r="BL174" s="118" t="s">
        <v>6415</v>
      </c>
      <c r="BM174" s="118" t="s">
        <v>7277</v>
      </c>
      <c r="BN174" s="118" t="s">
        <v>6991</v>
      </c>
      <c r="BO174" s="118" t="s">
        <v>6415</v>
      </c>
      <c r="BP174" s="118" t="s">
        <v>6415</v>
      </c>
      <c r="BQ174" s="118" t="s">
        <v>6415</v>
      </c>
      <c r="BR174" s="118" t="s">
        <v>6415</v>
      </c>
      <c r="BS174" s="118" t="s">
        <v>6415</v>
      </c>
      <c r="BT174" s="118" t="s">
        <v>7278</v>
      </c>
      <c r="BU174" s="118" t="s">
        <v>6415</v>
      </c>
      <c r="BV174" s="118" t="s">
        <v>6415</v>
      </c>
      <c r="BW174" s="118" t="s">
        <v>6415</v>
      </c>
      <c r="BX174" s="118" t="s">
        <v>6415</v>
      </c>
      <c r="BY174" s="118" t="s">
        <v>6415</v>
      </c>
      <c r="BZ174" s="118">
        <v>3</v>
      </c>
      <c r="CA174" s="118" t="s">
        <v>6415</v>
      </c>
      <c r="CB174" s="118" t="s">
        <v>422</v>
      </c>
      <c r="CC174" s="118" t="s">
        <v>740</v>
      </c>
      <c r="CD174" s="118">
        <v>2</v>
      </c>
      <c r="CE174" s="118" t="s">
        <v>401</v>
      </c>
      <c r="CF174" s="118" t="s">
        <v>401</v>
      </c>
      <c r="CG174" s="118" t="s">
        <v>924</v>
      </c>
      <c r="CH174" s="118" t="s">
        <v>6300</v>
      </c>
      <c r="CI174" s="118" t="s">
        <v>417</v>
      </c>
      <c r="CJ174" s="118" t="s">
        <v>398</v>
      </c>
      <c r="CK174" s="14">
        <v>18</v>
      </c>
      <c r="CL174" s="118">
        <v>35</v>
      </c>
      <c r="CM174" s="118" t="s">
        <v>399</v>
      </c>
      <c r="CN174" s="118" t="s">
        <v>6512</v>
      </c>
      <c r="CO174" s="118" t="s">
        <v>1096</v>
      </c>
      <c r="CP174" s="118" t="s">
        <v>400</v>
      </c>
      <c r="CQ174" s="118" t="s">
        <v>6415</v>
      </c>
      <c r="CR174" s="118" t="s">
        <v>6415</v>
      </c>
      <c r="CS174" s="118" t="s">
        <v>6415</v>
      </c>
      <c r="CT174" s="118" t="s">
        <v>6415</v>
      </c>
      <c r="CU174" s="118" t="s">
        <v>6415</v>
      </c>
      <c r="CV174" s="118" t="s">
        <v>6415</v>
      </c>
      <c r="CW174" s="14">
        <v>19</v>
      </c>
      <c r="CX174" s="118" t="s">
        <v>1066</v>
      </c>
      <c r="CY174" s="118" t="s">
        <v>6341</v>
      </c>
      <c r="CZ174" s="118">
        <v>1</v>
      </c>
      <c r="DA174" s="118" t="s">
        <v>401</v>
      </c>
      <c r="DB174" s="118" t="s">
        <v>401</v>
      </c>
      <c r="DC174" s="118" t="s">
        <v>6415</v>
      </c>
      <c r="DD174" s="118" t="s">
        <v>6300</v>
      </c>
      <c r="DE174" s="118" t="s">
        <v>417</v>
      </c>
      <c r="DF174" s="118" t="s">
        <v>398</v>
      </c>
      <c r="DG174" s="118">
        <v>0</v>
      </c>
      <c r="DH174" s="118">
        <v>35</v>
      </c>
      <c r="DI174" s="118" t="s">
        <v>6355</v>
      </c>
      <c r="DJ174" s="118" t="s">
        <v>398</v>
      </c>
      <c r="DK174" s="118" t="s">
        <v>400</v>
      </c>
      <c r="DL174" s="118" t="s">
        <v>6415</v>
      </c>
      <c r="DM174" s="118" t="s">
        <v>6415</v>
      </c>
      <c r="DN174" s="118" t="s">
        <v>6415</v>
      </c>
      <c r="DO174" s="118" t="s">
        <v>6415</v>
      </c>
      <c r="DP174" s="118" t="s">
        <v>6415</v>
      </c>
      <c r="DQ174" s="118" t="s">
        <v>6415</v>
      </c>
      <c r="DR174" s="118">
        <v>27</v>
      </c>
      <c r="DS174" s="118" t="s">
        <v>1066</v>
      </c>
      <c r="DT174" s="118" t="s">
        <v>6341</v>
      </c>
      <c r="DU174" s="118" t="s">
        <v>6415</v>
      </c>
      <c r="DV174" s="118" t="s">
        <v>6415</v>
      </c>
      <c r="DW174" s="118" t="s">
        <v>6415</v>
      </c>
      <c r="DX174" s="118" t="s">
        <v>6415</v>
      </c>
      <c r="DY174" s="118" t="s">
        <v>6415</v>
      </c>
      <c r="DZ174" s="118" t="s">
        <v>6415</v>
      </c>
      <c r="EA174" s="118" t="s">
        <v>6415</v>
      </c>
      <c r="EB174" s="118" t="s">
        <v>6415</v>
      </c>
      <c r="EC174" s="118" t="s">
        <v>6415</v>
      </c>
      <c r="ED174" s="118" t="s">
        <v>6415</v>
      </c>
      <c r="EE174" s="118" t="s">
        <v>6415</v>
      </c>
      <c r="EF174" s="118" t="s">
        <v>6415</v>
      </c>
      <c r="EG174" s="118" t="s">
        <v>6998</v>
      </c>
      <c r="EH174" s="118" t="s">
        <v>6999</v>
      </c>
      <c r="EI174" s="118" t="s">
        <v>6415</v>
      </c>
      <c r="EJ174" s="118" t="s">
        <v>6415</v>
      </c>
      <c r="EK174" s="118" t="s">
        <v>6415</v>
      </c>
      <c r="EL174" s="118" t="s">
        <v>7467</v>
      </c>
      <c r="EM174" s="118" t="s">
        <v>7276</v>
      </c>
      <c r="EN174" s="118" t="s">
        <v>6415</v>
      </c>
      <c r="EO174" s="6" t="str">
        <f t="shared" si="18"/>
        <v>Pathweb</v>
      </c>
      <c r="EP174" s="6" t="str">
        <f t="shared" si="19"/>
        <v>Google Maps</v>
      </c>
      <c r="EQ174" s="6" t="str">
        <f t="shared" si="20"/>
        <v>Mashed Map</v>
      </c>
      <c r="ER174" s="118" t="s">
        <v>6726</v>
      </c>
      <c r="ES174" s="118" t="s">
        <v>71</v>
      </c>
      <c r="ET174" s="4">
        <v>0</v>
      </c>
      <c r="EU174" s="4"/>
      <c r="EV174" s="4"/>
    </row>
    <row r="175" spans="1:152" x14ac:dyDescent="0.15">
      <c r="A175" s="581" t="str">
        <f t="shared" si="17"/>
        <v>Crash Report</v>
      </c>
      <c r="B175" s="118">
        <v>20233066720</v>
      </c>
      <c r="C175" s="118">
        <v>2023</v>
      </c>
      <c r="D175" s="118">
        <v>23042326081300</v>
      </c>
      <c r="F175" s="118" t="s">
        <v>6442</v>
      </c>
      <c r="G175" s="118" t="s">
        <v>390</v>
      </c>
      <c r="H175" s="118">
        <v>2</v>
      </c>
      <c r="I175" s="118" t="s">
        <v>6055</v>
      </c>
      <c r="J175" s="118" t="s">
        <v>391</v>
      </c>
      <c r="K175" s="118" t="s">
        <v>6985</v>
      </c>
      <c r="L175" s="118">
        <v>0.874</v>
      </c>
      <c r="M175" s="118">
        <v>0.874</v>
      </c>
      <c r="N175" s="118" t="s">
        <v>7465</v>
      </c>
      <c r="O175" s="118" t="s">
        <v>7481</v>
      </c>
      <c r="P175" s="118">
        <v>41.655144</v>
      </c>
      <c r="Q175" s="118">
        <v>-83.512640000000005</v>
      </c>
      <c r="R175" s="118">
        <v>77000</v>
      </c>
      <c r="S175" s="118" t="s">
        <v>6988</v>
      </c>
      <c r="T175" s="118">
        <v>1</v>
      </c>
      <c r="U175" s="118">
        <v>0</v>
      </c>
      <c r="V175" s="118">
        <v>0</v>
      </c>
      <c r="W175" s="118">
        <v>0</v>
      </c>
      <c r="X175" s="118">
        <v>0</v>
      </c>
      <c r="Y175" s="118">
        <v>2</v>
      </c>
      <c r="Z175" s="118">
        <v>0</v>
      </c>
      <c r="AA175" s="118">
        <v>2</v>
      </c>
      <c r="AB175" s="118" t="s">
        <v>1067</v>
      </c>
      <c r="AC175" s="118" t="s">
        <v>6989</v>
      </c>
      <c r="AD175" s="118" t="s">
        <v>1034</v>
      </c>
      <c r="AE175" s="118" t="s">
        <v>943</v>
      </c>
      <c r="AF175" s="118" t="s">
        <v>1041</v>
      </c>
      <c r="AG175" s="118" t="s">
        <v>6415</v>
      </c>
      <c r="AH175" s="118" t="s">
        <v>393</v>
      </c>
      <c r="AI175" s="118">
        <v>4</v>
      </c>
      <c r="AJ175" s="118" t="s">
        <v>6415</v>
      </c>
      <c r="AK175" s="118" t="s">
        <v>393</v>
      </c>
      <c r="AL175" s="118" t="s">
        <v>393</v>
      </c>
      <c r="AM175" s="118" t="s">
        <v>393</v>
      </c>
      <c r="AN175" s="402" t="s">
        <v>5975</v>
      </c>
      <c r="AO175" s="402">
        <v>45039</v>
      </c>
      <c r="AP175" s="118">
        <v>4</v>
      </c>
      <c r="AQ175" s="118">
        <v>13</v>
      </c>
      <c r="AR175" s="118" t="s">
        <v>6443</v>
      </c>
      <c r="AS175" s="118" t="s">
        <v>420</v>
      </c>
      <c r="AT175" s="118" t="s">
        <v>225</v>
      </c>
      <c r="AU175" s="118" t="s">
        <v>404</v>
      </c>
      <c r="AV175" s="118" t="s">
        <v>508</v>
      </c>
      <c r="AW175" s="118" t="s">
        <v>393</v>
      </c>
      <c r="AX175" s="118" t="s">
        <v>393</v>
      </c>
      <c r="AY175" s="118" t="s">
        <v>393</v>
      </c>
      <c r="AZ175" s="118" t="s">
        <v>393</v>
      </c>
      <c r="BA175" s="118" t="s">
        <v>393</v>
      </c>
      <c r="BB175" s="118" t="s">
        <v>393</v>
      </c>
      <c r="BC175" s="118" t="s">
        <v>393</v>
      </c>
      <c r="BD175" s="118" t="s">
        <v>393</v>
      </c>
      <c r="BE175" s="118" t="s">
        <v>393</v>
      </c>
      <c r="BF175" s="118" t="s">
        <v>740</v>
      </c>
      <c r="BG175" s="118" t="s">
        <v>393</v>
      </c>
      <c r="BH175" s="118" t="s">
        <v>394</v>
      </c>
      <c r="BI175" s="118" t="s">
        <v>394</v>
      </c>
      <c r="BJ175" s="118" t="s">
        <v>393</v>
      </c>
      <c r="BK175" s="118" t="s">
        <v>6988</v>
      </c>
      <c r="BL175" s="118" t="s">
        <v>6415</v>
      </c>
      <c r="BM175" s="118" t="s">
        <v>6990</v>
      </c>
      <c r="BN175" s="118" t="s">
        <v>6991</v>
      </c>
      <c r="BO175" s="118" t="s">
        <v>6415</v>
      </c>
      <c r="BP175" s="118" t="s">
        <v>6415</v>
      </c>
      <c r="BQ175" s="118" t="s">
        <v>6415</v>
      </c>
      <c r="BR175" s="118" t="s">
        <v>6415</v>
      </c>
      <c r="BS175" s="118" t="s">
        <v>6415</v>
      </c>
      <c r="BT175" s="118" t="s">
        <v>7067</v>
      </c>
      <c r="BU175" s="118" t="s">
        <v>7017</v>
      </c>
      <c r="BV175" s="118" t="s">
        <v>6415</v>
      </c>
      <c r="BW175" s="118" t="s">
        <v>6415</v>
      </c>
      <c r="BX175" s="118" t="s">
        <v>6415</v>
      </c>
      <c r="BY175" s="118" t="s">
        <v>6415</v>
      </c>
      <c r="BZ175" s="118" t="s">
        <v>6415</v>
      </c>
      <c r="CA175" s="118" t="s">
        <v>6415</v>
      </c>
      <c r="CB175" s="118" t="s">
        <v>221</v>
      </c>
      <c r="CC175" s="118" t="s">
        <v>740</v>
      </c>
      <c r="CD175" s="118">
        <v>1</v>
      </c>
      <c r="CE175" s="118" t="s">
        <v>396</v>
      </c>
      <c r="CF175" s="118" t="s">
        <v>397</v>
      </c>
      <c r="CG175" s="118" t="s">
        <v>924</v>
      </c>
      <c r="CH175" s="118" t="s">
        <v>6302</v>
      </c>
      <c r="CI175" s="118" t="s">
        <v>6303</v>
      </c>
      <c r="CJ175" s="118" t="s">
        <v>398</v>
      </c>
      <c r="CK175" s="118">
        <v>25</v>
      </c>
      <c r="CL175" s="118">
        <v>35</v>
      </c>
      <c r="CM175" s="118" t="s">
        <v>399</v>
      </c>
      <c r="CN175" s="118" t="s">
        <v>6512</v>
      </c>
      <c r="CO175" s="118" t="s">
        <v>1096</v>
      </c>
      <c r="CP175" s="118" t="s">
        <v>400</v>
      </c>
      <c r="CQ175" s="118" t="s">
        <v>6415</v>
      </c>
      <c r="CR175" s="118" t="s">
        <v>6415</v>
      </c>
      <c r="CS175" s="118" t="s">
        <v>6415</v>
      </c>
      <c r="CT175" s="118" t="s">
        <v>6415</v>
      </c>
      <c r="CU175" s="118" t="s">
        <v>6415</v>
      </c>
      <c r="CV175" s="118" t="s">
        <v>6415</v>
      </c>
      <c r="CW175" s="118">
        <v>44</v>
      </c>
      <c r="CX175" s="118" t="s">
        <v>1068</v>
      </c>
      <c r="CY175" s="118" t="s">
        <v>6341</v>
      </c>
      <c r="CZ175" s="118">
        <v>2</v>
      </c>
      <c r="DA175" s="118" t="s">
        <v>396</v>
      </c>
      <c r="DB175" s="118" t="s">
        <v>397</v>
      </c>
      <c r="DC175" s="118" t="s">
        <v>6415</v>
      </c>
      <c r="DD175" s="118" t="s">
        <v>6302</v>
      </c>
      <c r="DE175" s="118" t="s">
        <v>6303</v>
      </c>
      <c r="DF175" s="118" t="s">
        <v>398</v>
      </c>
      <c r="DG175" s="118">
        <v>0</v>
      </c>
      <c r="DH175" s="118">
        <v>35</v>
      </c>
      <c r="DI175" s="118" t="s">
        <v>6355</v>
      </c>
      <c r="DJ175" s="118" t="s">
        <v>398</v>
      </c>
      <c r="DK175" s="118" t="s">
        <v>400</v>
      </c>
      <c r="DL175" s="118" t="s">
        <v>6415</v>
      </c>
      <c r="DM175" s="118" t="s">
        <v>6415</v>
      </c>
      <c r="DN175" s="118" t="s">
        <v>6415</v>
      </c>
      <c r="DO175" s="118" t="s">
        <v>6415</v>
      </c>
      <c r="DP175" s="118" t="s">
        <v>6415</v>
      </c>
      <c r="DQ175" s="118" t="s">
        <v>6415</v>
      </c>
      <c r="DR175" s="118">
        <v>24</v>
      </c>
      <c r="DS175" s="118" t="s">
        <v>1068</v>
      </c>
      <c r="DT175" s="118" t="s">
        <v>6348</v>
      </c>
      <c r="DU175" s="118" t="s">
        <v>6415</v>
      </c>
      <c r="DV175" s="118" t="s">
        <v>6415</v>
      </c>
      <c r="DW175" s="118" t="s">
        <v>6415</v>
      </c>
      <c r="DX175" s="118" t="s">
        <v>6415</v>
      </c>
      <c r="DY175" s="118" t="s">
        <v>6415</v>
      </c>
      <c r="DZ175" s="118" t="s">
        <v>6415</v>
      </c>
      <c r="EA175" s="118" t="s">
        <v>6415</v>
      </c>
      <c r="EB175" s="118" t="s">
        <v>6415</v>
      </c>
      <c r="EC175" s="118" t="s">
        <v>6415</v>
      </c>
      <c r="ED175" s="118" t="s">
        <v>6415</v>
      </c>
      <c r="EE175" s="118" t="s">
        <v>6415</v>
      </c>
      <c r="EF175" s="118" t="s">
        <v>6415</v>
      </c>
      <c r="EG175" s="118" t="s">
        <v>7065</v>
      </c>
      <c r="EH175" s="118" t="s">
        <v>7066</v>
      </c>
      <c r="EI175" s="118" t="s">
        <v>6415</v>
      </c>
      <c r="EJ175" s="118" t="s">
        <v>6415</v>
      </c>
      <c r="EK175" s="118" t="s">
        <v>6415</v>
      </c>
      <c r="EL175" s="118" t="s">
        <v>7467</v>
      </c>
      <c r="EM175" s="118" t="s">
        <v>7279</v>
      </c>
      <c r="EN175" s="118" t="s">
        <v>6415</v>
      </c>
      <c r="EO175" s="6" t="str">
        <f t="shared" si="18"/>
        <v>Pathweb</v>
      </c>
      <c r="EP175" s="6" t="str">
        <f t="shared" si="19"/>
        <v>Google Maps</v>
      </c>
      <c r="EQ175" s="6" t="str">
        <f t="shared" si="20"/>
        <v>Mashed Map</v>
      </c>
      <c r="ER175" s="118" t="s">
        <v>6727</v>
      </c>
      <c r="ES175" s="118" t="s">
        <v>71</v>
      </c>
      <c r="ET175" s="4">
        <v>1.4E-2</v>
      </c>
      <c r="EU175" s="4"/>
      <c r="EV175" s="4"/>
    </row>
    <row r="176" spans="1:152" x14ac:dyDescent="0.15">
      <c r="A176" s="581" t="str">
        <f t="shared" si="17"/>
        <v>Crash Report</v>
      </c>
      <c r="B176" s="118">
        <v>20233070801</v>
      </c>
      <c r="C176" s="118">
        <v>2023</v>
      </c>
      <c r="D176" s="118">
        <v>23042827791150</v>
      </c>
      <c r="F176" s="118" t="s">
        <v>6442</v>
      </c>
      <c r="G176" s="118" t="s">
        <v>402</v>
      </c>
      <c r="H176" s="118">
        <v>2</v>
      </c>
      <c r="I176" s="118" t="s">
        <v>6055</v>
      </c>
      <c r="J176" s="118" t="s">
        <v>391</v>
      </c>
      <c r="K176" s="118" t="s">
        <v>6985</v>
      </c>
      <c r="L176" s="118">
        <v>0.33200000000000002</v>
      </c>
      <c r="M176" s="118">
        <v>0.33200000000000002</v>
      </c>
      <c r="N176" s="118" t="s">
        <v>7465</v>
      </c>
      <c r="O176" s="118" t="s">
        <v>7487</v>
      </c>
      <c r="P176" s="118">
        <v>41.650196999999999</v>
      </c>
      <c r="Q176" s="118">
        <v>-83.520737999999994</v>
      </c>
      <c r="R176" s="118">
        <v>77000</v>
      </c>
      <c r="S176" s="118" t="s">
        <v>6988</v>
      </c>
      <c r="T176" s="118">
        <v>1</v>
      </c>
      <c r="U176" s="118">
        <v>0</v>
      </c>
      <c r="V176" s="118">
        <v>0</v>
      </c>
      <c r="W176" s="118">
        <v>0</v>
      </c>
      <c r="X176" s="118">
        <v>0</v>
      </c>
      <c r="Y176" s="118">
        <v>2</v>
      </c>
      <c r="Z176" s="118">
        <v>0</v>
      </c>
      <c r="AA176" s="118">
        <v>2</v>
      </c>
      <c r="AB176" s="118" t="s">
        <v>1067</v>
      </c>
      <c r="AC176" s="118" t="s">
        <v>6989</v>
      </c>
      <c r="AD176" s="118" t="s">
        <v>1034</v>
      </c>
      <c r="AE176" s="118" t="s">
        <v>943</v>
      </c>
      <c r="AF176" s="118" t="s">
        <v>1041</v>
      </c>
      <c r="AG176" s="118" t="s">
        <v>6415</v>
      </c>
      <c r="AH176" s="118" t="s">
        <v>393</v>
      </c>
      <c r="AI176" s="118">
        <v>4</v>
      </c>
      <c r="AJ176" s="118" t="s">
        <v>6415</v>
      </c>
      <c r="AK176" s="118" t="s">
        <v>393</v>
      </c>
      <c r="AL176" s="118" t="s">
        <v>393</v>
      </c>
      <c r="AM176" s="118" t="s">
        <v>393</v>
      </c>
      <c r="AN176" s="402" t="s">
        <v>5975</v>
      </c>
      <c r="AO176" s="402">
        <v>45044</v>
      </c>
      <c r="AP176" s="118">
        <v>4</v>
      </c>
      <c r="AQ176" s="118">
        <v>11</v>
      </c>
      <c r="AR176" s="118" t="s">
        <v>6448</v>
      </c>
      <c r="AS176" s="118" t="s">
        <v>420</v>
      </c>
      <c r="AT176" s="118" t="s">
        <v>225</v>
      </c>
      <c r="AU176" s="118" t="s">
        <v>404</v>
      </c>
      <c r="AV176" s="118" t="s">
        <v>508</v>
      </c>
      <c r="AW176" s="118" t="s">
        <v>393</v>
      </c>
      <c r="AX176" s="118" t="s">
        <v>393</v>
      </c>
      <c r="AY176" s="118" t="s">
        <v>393</v>
      </c>
      <c r="AZ176" s="118" t="s">
        <v>393</v>
      </c>
      <c r="BA176" s="118" t="s">
        <v>393</v>
      </c>
      <c r="BB176" s="118" t="s">
        <v>393</v>
      </c>
      <c r="BC176" s="118" t="s">
        <v>393</v>
      </c>
      <c r="BD176" s="118" t="s">
        <v>393</v>
      </c>
      <c r="BE176" s="118" t="s">
        <v>393</v>
      </c>
      <c r="BF176" s="118" t="s">
        <v>393</v>
      </c>
      <c r="BG176" s="118" t="s">
        <v>393</v>
      </c>
      <c r="BH176" s="118" t="s">
        <v>394</v>
      </c>
      <c r="BI176" s="118" t="s">
        <v>394</v>
      </c>
      <c r="BJ176" s="118" t="s">
        <v>393</v>
      </c>
      <c r="BK176" s="118" t="s">
        <v>6988</v>
      </c>
      <c r="BL176" s="118" t="s">
        <v>6415</v>
      </c>
      <c r="BM176" s="118" t="s">
        <v>6990</v>
      </c>
      <c r="BN176" s="118" t="s">
        <v>6991</v>
      </c>
      <c r="BO176" s="118" t="s">
        <v>6415</v>
      </c>
      <c r="BP176" s="118" t="s">
        <v>6415</v>
      </c>
      <c r="BQ176" s="118" t="s">
        <v>6415</v>
      </c>
      <c r="BR176" s="118" t="s">
        <v>6415</v>
      </c>
      <c r="BS176" s="118" t="s">
        <v>6415</v>
      </c>
      <c r="BT176" s="118" t="s">
        <v>7123</v>
      </c>
      <c r="BU176" s="118" t="s">
        <v>7057</v>
      </c>
      <c r="BV176" s="118" t="s">
        <v>6415</v>
      </c>
      <c r="BW176" s="118" t="s">
        <v>6415</v>
      </c>
      <c r="BX176" s="118" t="s">
        <v>6415</v>
      </c>
      <c r="BY176" s="118" t="s">
        <v>6415</v>
      </c>
      <c r="BZ176" s="118" t="s">
        <v>6415</v>
      </c>
      <c r="CA176" s="118" t="s">
        <v>6415</v>
      </c>
      <c r="CB176" s="118" t="s">
        <v>221</v>
      </c>
      <c r="CC176" s="118" t="s">
        <v>740</v>
      </c>
      <c r="CD176" s="118">
        <v>1</v>
      </c>
      <c r="CE176" s="118" t="s">
        <v>411</v>
      </c>
      <c r="CF176" s="118" t="s">
        <v>410</v>
      </c>
      <c r="CG176" s="118" t="s">
        <v>924</v>
      </c>
      <c r="CH176" s="118" t="s">
        <v>6302</v>
      </c>
      <c r="CI176" s="118" t="s">
        <v>6305</v>
      </c>
      <c r="CJ176" s="118" t="s">
        <v>6151</v>
      </c>
      <c r="CK176" s="118">
        <v>0</v>
      </c>
      <c r="CL176" s="118">
        <v>0</v>
      </c>
      <c r="CM176" s="118" t="s">
        <v>439</v>
      </c>
      <c r="CN176" s="118" t="s">
        <v>6329</v>
      </c>
      <c r="CO176" s="118" t="s">
        <v>1096</v>
      </c>
      <c r="CP176" s="118" t="s">
        <v>400</v>
      </c>
      <c r="CQ176" s="118" t="s">
        <v>6415</v>
      </c>
      <c r="CR176" s="118" t="s">
        <v>6415</v>
      </c>
      <c r="CS176" s="118" t="s">
        <v>6415</v>
      </c>
      <c r="CT176" s="118" t="s">
        <v>6415</v>
      </c>
      <c r="CU176" s="118" t="s">
        <v>6415</v>
      </c>
      <c r="CV176" s="118" t="s">
        <v>6415</v>
      </c>
      <c r="CW176" s="118">
        <v>49</v>
      </c>
      <c r="CX176" s="118" t="s">
        <v>1068</v>
      </c>
      <c r="CY176" s="118" t="s">
        <v>6151</v>
      </c>
      <c r="CZ176" s="118">
        <v>2</v>
      </c>
      <c r="DA176" s="118" t="s">
        <v>411</v>
      </c>
      <c r="DB176" s="118" t="s">
        <v>410</v>
      </c>
      <c r="DC176" s="118" t="s">
        <v>6415</v>
      </c>
      <c r="DD176" s="118" t="s">
        <v>6302</v>
      </c>
      <c r="DE176" s="118" t="s">
        <v>6304</v>
      </c>
      <c r="DF176" s="118" t="s">
        <v>6151</v>
      </c>
      <c r="DG176" s="118" t="s">
        <v>6415</v>
      </c>
      <c r="DH176" s="118" t="s">
        <v>6415</v>
      </c>
      <c r="DI176" s="118" t="s">
        <v>399</v>
      </c>
      <c r="DJ176" s="118" t="s">
        <v>398</v>
      </c>
      <c r="DK176" s="118" t="s">
        <v>400</v>
      </c>
      <c r="DL176" s="118" t="s">
        <v>6415</v>
      </c>
      <c r="DM176" s="118" t="s">
        <v>6415</v>
      </c>
      <c r="DN176" s="118" t="s">
        <v>6415</v>
      </c>
      <c r="DO176" s="118" t="s">
        <v>6415</v>
      </c>
      <c r="DP176" s="118" t="s">
        <v>6415</v>
      </c>
      <c r="DQ176" s="118" t="s">
        <v>6415</v>
      </c>
      <c r="DR176" s="118">
        <v>57</v>
      </c>
      <c r="DS176" s="118" t="s">
        <v>1068</v>
      </c>
      <c r="DT176" s="118" t="s">
        <v>6341</v>
      </c>
      <c r="DU176" s="118" t="s">
        <v>6415</v>
      </c>
      <c r="DV176" s="118" t="s">
        <v>6415</v>
      </c>
      <c r="DW176" s="118" t="s">
        <v>6415</v>
      </c>
      <c r="DX176" s="118" t="s">
        <v>6415</v>
      </c>
      <c r="DY176" s="118" t="s">
        <v>6415</v>
      </c>
      <c r="DZ176" s="118" t="s">
        <v>6415</v>
      </c>
      <c r="EA176" s="118" t="s">
        <v>6415</v>
      </c>
      <c r="EB176" s="118" t="s">
        <v>6415</v>
      </c>
      <c r="EC176" s="118" t="s">
        <v>6415</v>
      </c>
      <c r="ED176" s="118" t="s">
        <v>6415</v>
      </c>
      <c r="EE176" s="118" t="s">
        <v>6415</v>
      </c>
      <c r="EF176" s="118" t="s">
        <v>6415</v>
      </c>
      <c r="EG176" s="118" t="s">
        <v>7121</v>
      </c>
      <c r="EH176" s="118" t="s">
        <v>7281</v>
      </c>
      <c r="EI176" s="118" t="s">
        <v>6415</v>
      </c>
      <c r="EJ176" s="118" t="s">
        <v>6415</v>
      </c>
      <c r="EK176" s="118" t="s">
        <v>6415</v>
      </c>
      <c r="EL176" s="118" t="s">
        <v>7467</v>
      </c>
      <c r="EM176" s="118" t="s">
        <v>7280</v>
      </c>
      <c r="EN176" s="118" t="s">
        <v>6415</v>
      </c>
      <c r="EO176" s="6" t="str">
        <f t="shared" si="18"/>
        <v>Pathweb</v>
      </c>
      <c r="EP176" s="6" t="str">
        <f t="shared" si="19"/>
        <v>Google Maps</v>
      </c>
      <c r="EQ176" s="6" t="str">
        <f t="shared" si="20"/>
        <v>Mashed Map</v>
      </c>
      <c r="ER176" s="118" t="s">
        <v>6727</v>
      </c>
      <c r="ES176" s="118" t="s">
        <v>71</v>
      </c>
      <c r="ET176" s="4">
        <v>1.0999999999999999E-2</v>
      </c>
      <c r="EU176" s="4"/>
      <c r="EV176" s="4"/>
    </row>
    <row r="177" spans="1:152" x14ac:dyDescent="0.15">
      <c r="A177" s="581" t="str">
        <f t="shared" si="17"/>
        <v>Crash Report</v>
      </c>
      <c r="B177" s="14">
        <v>20233072427</v>
      </c>
      <c r="C177" s="118">
        <v>2023</v>
      </c>
      <c r="D177" s="14">
        <v>23050221940735</v>
      </c>
      <c r="F177" s="118" t="s">
        <v>6440</v>
      </c>
      <c r="G177" s="118" t="s">
        <v>211</v>
      </c>
      <c r="H177" s="118">
        <v>2</v>
      </c>
      <c r="I177" s="118" t="s">
        <v>6055</v>
      </c>
      <c r="J177" s="118" t="s">
        <v>434</v>
      </c>
      <c r="K177" s="118" t="s">
        <v>6985</v>
      </c>
      <c r="L177" s="118">
        <v>0.874</v>
      </c>
      <c r="M177" s="118">
        <v>0.874</v>
      </c>
      <c r="N177" s="118" t="s">
        <v>7465</v>
      </c>
      <c r="O177" s="118" t="s">
        <v>7481</v>
      </c>
      <c r="P177" s="118">
        <v>41.655144</v>
      </c>
      <c r="Q177" s="118">
        <v>-83.512640000000005</v>
      </c>
      <c r="R177" s="118">
        <v>77000</v>
      </c>
      <c r="S177" s="118" t="s">
        <v>6988</v>
      </c>
      <c r="T177" s="118">
        <v>1</v>
      </c>
      <c r="U177" s="118">
        <v>0</v>
      </c>
      <c r="V177" s="118">
        <v>0</v>
      </c>
      <c r="W177" s="118">
        <v>2</v>
      </c>
      <c r="X177" s="118">
        <v>0</v>
      </c>
      <c r="Y177" s="118">
        <v>0</v>
      </c>
      <c r="Z177" s="118">
        <v>0</v>
      </c>
      <c r="AA177" s="118">
        <v>2</v>
      </c>
      <c r="AB177" s="118" t="s">
        <v>1067</v>
      </c>
      <c r="AC177" s="118" t="s">
        <v>6989</v>
      </c>
      <c r="AD177" s="118" t="s">
        <v>1034</v>
      </c>
      <c r="AE177" s="118" t="s">
        <v>943</v>
      </c>
      <c r="AF177" s="118" t="s">
        <v>1041</v>
      </c>
      <c r="AG177" s="118" t="s">
        <v>6415</v>
      </c>
      <c r="AH177" s="118" t="s">
        <v>393</v>
      </c>
      <c r="AI177" s="118">
        <v>4</v>
      </c>
      <c r="AJ177" s="118" t="s">
        <v>6415</v>
      </c>
      <c r="AK177" s="118" t="s">
        <v>393</v>
      </c>
      <c r="AL177" s="118" t="s">
        <v>393</v>
      </c>
      <c r="AM177" s="118" t="s">
        <v>393</v>
      </c>
      <c r="AN177" s="402" t="s">
        <v>5975</v>
      </c>
      <c r="AO177" s="402">
        <v>45048</v>
      </c>
      <c r="AP177" s="118">
        <v>5</v>
      </c>
      <c r="AQ177" s="118">
        <v>7</v>
      </c>
      <c r="AR177" s="118" t="s">
        <v>6445</v>
      </c>
      <c r="AS177" s="118" t="s">
        <v>403</v>
      </c>
      <c r="AT177" s="118" t="s">
        <v>225</v>
      </c>
      <c r="AU177" s="118" t="s">
        <v>404</v>
      </c>
      <c r="AV177" s="118" t="s">
        <v>510</v>
      </c>
      <c r="AW177" s="118" t="s">
        <v>393</v>
      </c>
      <c r="AX177" s="118" t="s">
        <v>740</v>
      </c>
      <c r="AY177" s="118" t="s">
        <v>393</v>
      </c>
      <c r="AZ177" s="118" t="s">
        <v>393</v>
      </c>
      <c r="BA177" s="118" t="s">
        <v>393</v>
      </c>
      <c r="BB177" s="118" t="s">
        <v>393</v>
      </c>
      <c r="BC177" s="118" t="s">
        <v>393</v>
      </c>
      <c r="BD177" s="118" t="s">
        <v>393</v>
      </c>
      <c r="BE177" s="118" t="s">
        <v>393</v>
      </c>
      <c r="BF177" s="118" t="s">
        <v>393</v>
      </c>
      <c r="BG177" s="118" t="s">
        <v>393</v>
      </c>
      <c r="BH177" s="118" t="s">
        <v>394</v>
      </c>
      <c r="BI177" s="118" t="s">
        <v>394</v>
      </c>
      <c r="BJ177" s="118" t="s">
        <v>393</v>
      </c>
      <c r="BK177" s="118" t="s">
        <v>6988</v>
      </c>
      <c r="BL177" s="118" t="s">
        <v>6415</v>
      </c>
      <c r="BM177" s="118" t="s">
        <v>6990</v>
      </c>
      <c r="BN177" s="118" t="s">
        <v>6991</v>
      </c>
      <c r="BO177" s="118" t="s">
        <v>6415</v>
      </c>
      <c r="BP177" s="118" t="s">
        <v>6415</v>
      </c>
      <c r="BQ177" s="118" t="s">
        <v>6415</v>
      </c>
      <c r="BR177" s="118" t="s">
        <v>6415</v>
      </c>
      <c r="BS177" s="118" t="s">
        <v>6415</v>
      </c>
      <c r="BT177" s="118" t="s">
        <v>7067</v>
      </c>
      <c r="BU177" s="118" t="s">
        <v>7017</v>
      </c>
      <c r="BV177" s="118" t="s">
        <v>6415</v>
      </c>
      <c r="BW177" s="118" t="s">
        <v>6415</v>
      </c>
      <c r="BX177" s="118" t="s">
        <v>6415</v>
      </c>
      <c r="BY177" s="118" t="s">
        <v>6415</v>
      </c>
      <c r="BZ177" s="118" t="s">
        <v>6415</v>
      </c>
      <c r="CA177" s="118" t="s">
        <v>6415</v>
      </c>
      <c r="CB177" s="118" t="s">
        <v>221</v>
      </c>
      <c r="CC177" s="118" t="s">
        <v>740</v>
      </c>
      <c r="CD177" s="118">
        <v>2</v>
      </c>
      <c r="CE177" s="118" t="s">
        <v>397</v>
      </c>
      <c r="CF177" s="118" t="s">
        <v>396</v>
      </c>
      <c r="CG177" s="118" t="s">
        <v>924</v>
      </c>
      <c r="CH177" s="118" t="s">
        <v>6302</v>
      </c>
      <c r="CI177" s="118" t="s">
        <v>417</v>
      </c>
      <c r="CJ177" s="118" t="s">
        <v>398</v>
      </c>
      <c r="CK177" s="14">
        <v>35</v>
      </c>
      <c r="CL177" s="118">
        <v>35</v>
      </c>
      <c r="CM177" s="118" t="s">
        <v>399</v>
      </c>
      <c r="CN177" s="118" t="s">
        <v>6328</v>
      </c>
      <c r="CO177" s="118" t="s">
        <v>461</v>
      </c>
      <c r="CP177" s="118" t="s">
        <v>400</v>
      </c>
      <c r="CQ177" s="118" t="s">
        <v>418</v>
      </c>
      <c r="CR177" s="118" t="s">
        <v>461</v>
      </c>
      <c r="CS177" s="118" t="s">
        <v>6415</v>
      </c>
      <c r="CT177" s="118" t="s">
        <v>6415</v>
      </c>
      <c r="CU177" s="118" t="s">
        <v>6415</v>
      </c>
      <c r="CV177" s="118" t="s">
        <v>6415</v>
      </c>
      <c r="CW177" s="14">
        <v>31</v>
      </c>
      <c r="CX177" s="118" t="s">
        <v>1066</v>
      </c>
      <c r="CY177" s="118" t="s">
        <v>6341</v>
      </c>
      <c r="CZ177" s="118">
        <v>1</v>
      </c>
      <c r="DA177" s="118" t="s">
        <v>396</v>
      </c>
      <c r="DB177" s="118" t="s">
        <v>397</v>
      </c>
      <c r="DC177" s="118" t="s">
        <v>6415</v>
      </c>
      <c r="DD177" s="118" t="s">
        <v>6302</v>
      </c>
      <c r="DE177" s="118" t="s">
        <v>417</v>
      </c>
      <c r="DF177" s="118" t="s">
        <v>398</v>
      </c>
      <c r="DG177" s="118">
        <v>35</v>
      </c>
      <c r="DH177" s="118">
        <v>35</v>
      </c>
      <c r="DI177" s="118" t="s">
        <v>399</v>
      </c>
      <c r="DJ177" s="118" t="s">
        <v>398</v>
      </c>
      <c r="DK177" s="118" t="s">
        <v>400</v>
      </c>
      <c r="DL177" s="118" t="s">
        <v>432</v>
      </c>
      <c r="DM177" s="118" t="s">
        <v>461</v>
      </c>
      <c r="DN177" s="118" t="s">
        <v>475</v>
      </c>
      <c r="DO177" s="118" t="s">
        <v>6415</v>
      </c>
      <c r="DP177" s="118" t="s">
        <v>6415</v>
      </c>
      <c r="DQ177" s="118" t="s">
        <v>6415</v>
      </c>
      <c r="DR177" s="118">
        <v>49</v>
      </c>
      <c r="DS177" s="118" t="s">
        <v>1068</v>
      </c>
      <c r="DT177" s="118" t="s">
        <v>6341</v>
      </c>
      <c r="DU177" s="118" t="s">
        <v>6415</v>
      </c>
      <c r="DV177" s="118" t="s">
        <v>6415</v>
      </c>
      <c r="DW177" s="118" t="s">
        <v>6415</v>
      </c>
      <c r="DX177" s="118" t="s">
        <v>6415</v>
      </c>
      <c r="DY177" s="118" t="s">
        <v>6415</v>
      </c>
      <c r="DZ177" s="118" t="s">
        <v>6415</v>
      </c>
      <c r="EA177" s="118" t="s">
        <v>6415</v>
      </c>
      <c r="EB177" s="118" t="s">
        <v>6415</v>
      </c>
      <c r="EC177" s="118" t="s">
        <v>6415</v>
      </c>
      <c r="ED177" s="118" t="s">
        <v>6415</v>
      </c>
      <c r="EE177" s="118" t="s">
        <v>6415</v>
      </c>
      <c r="EF177" s="118" t="s">
        <v>6415</v>
      </c>
      <c r="EG177" s="118" t="s">
        <v>7065</v>
      </c>
      <c r="EH177" s="118" t="s">
        <v>7066</v>
      </c>
      <c r="EI177" s="118" t="s">
        <v>6415</v>
      </c>
      <c r="EJ177" s="118" t="s">
        <v>6415</v>
      </c>
      <c r="EK177" s="118" t="s">
        <v>6415</v>
      </c>
      <c r="EL177" s="118" t="s">
        <v>7467</v>
      </c>
      <c r="EM177" s="118" t="s">
        <v>7282</v>
      </c>
      <c r="EN177" s="118" t="s">
        <v>6415</v>
      </c>
      <c r="EO177" s="6" t="str">
        <f t="shared" si="18"/>
        <v>Pathweb</v>
      </c>
      <c r="EP177" s="6" t="str">
        <f t="shared" si="19"/>
        <v>Google Maps</v>
      </c>
      <c r="EQ177" s="6" t="str">
        <f t="shared" si="20"/>
        <v>Mashed Map</v>
      </c>
      <c r="ER177" s="118" t="s">
        <v>6727</v>
      </c>
      <c r="ES177" s="118" t="s">
        <v>6728</v>
      </c>
      <c r="ET177" s="4">
        <v>0</v>
      </c>
      <c r="EU177" s="4"/>
      <c r="EV177" s="4"/>
    </row>
    <row r="178" spans="1:152" x14ac:dyDescent="0.15">
      <c r="A178" s="581" t="str">
        <f t="shared" si="17"/>
        <v>Crash Report</v>
      </c>
      <c r="B178" s="14">
        <v>20233073560</v>
      </c>
      <c r="C178" s="118">
        <v>2023</v>
      </c>
      <c r="D178" s="14">
        <v>23050225031233</v>
      </c>
      <c r="F178" s="118" t="s">
        <v>6440</v>
      </c>
      <c r="G178" s="118" t="s">
        <v>211</v>
      </c>
      <c r="H178" s="118">
        <v>2</v>
      </c>
      <c r="I178" s="118" t="s">
        <v>6055</v>
      </c>
      <c r="J178" s="118" t="s">
        <v>434</v>
      </c>
      <c r="K178" s="118" t="s">
        <v>6985</v>
      </c>
      <c r="L178" s="118">
        <v>0.77</v>
      </c>
      <c r="M178" s="118">
        <v>0.77</v>
      </c>
      <c r="N178" s="118" t="s">
        <v>7465</v>
      </c>
      <c r="O178" s="118" t="s">
        <v>7493</v>
      </c>
      <c r="P178" s="118">
        <v>41.654187999999998</v>
      </c>
      <c r="Q178" s="118">
        <v>-83.514195999999998</v>
      </c>
      <c r="R178" s="118">
        <v>77000</v>
      </c>
      <c r="S178" s="118" t="s">
        <v>6988</v>
      </c>
      <c r="T178" s="118">
        <v>1</v>
      </c>
      <c r="U178" s="118">
        <v>0</v>
      </c>
      <c r="V178" s="118">
        <v>0</v>
      </c>
      <c r="W178" s="118">
        <v>2</v>
      </c>
      <c r="X178" s="118">
        <v>0</v>
      </c>
      <c r="Y178" s="118">
        <v>2</v>
      </c>
      <c r="Z178" s="118">
        <v>0</v>
      </c>
      <c r="AA178" s="118">
        <v>2</v>
      </c>
      <c r="AB178" s="118" t="s">
        <v>1067</v>
      </c>
      <c r="AC178" s="118" t="s">
        <v>6989</v>
      </c>
      <c r="AD178" s="118" t="s">
        <v>1034</v>
      </c>
      <c r="AE178" s="118" t="s">
        <v>943</v>
      </c>
      <c r="AF178" s="118" t="s">
        <v>1041</v>
      </c>
      <c r="AG178" s="118" t="s">
        <v>6415</v>
      </c>
      <c r="AH178" s="118" t="s">
        <v>393</v>
      </c>
      <c r="AI178" s="118">
        <v>4</v>
      </c>
      <c r="AJ178" s="118" t="s">
        <v>6415</v>
      </c>
      <c r="AK178" s="118" t="s">
        <v>393</v>
      </c>
      <c r="AL178" s="118" t="s">
        <v>393</v>
      </c>
      <c r="AM178" s="118" t="s">
        <v>393</v>
      </c>
      <c r="AN178" s="402" t="s">
        <v>5975</v>
      </c>
      <c r="AO178" s="402">
        <v>45048</v>
      </c>
      <c r="AP178" s="118">
        <v>5</v>
      </c>
      <c r="AQ178" s="118">
        <v>12</v>
      </c>
      <c r="AR178" s="118" t="s">
        <v>6445</v>
      </c>
      <c r="AS178" s="118" t="s">
        <v>403</v>
      </c>
      <c r="AT178" s="118" t="s">
        <v>500</v>
      </c>
      <c r="AU178" s="118" t="s">
        <v>404</v>
      </c>
      <c r="AV178" s="118" t="s">
        <v>508</v>
      </c>
      <c r="AW178" s="118" t="s">
        <v>393</v>
      </c>
      <c r="AX178" s="118" t="s">
        <v>740</v>
      </c>
      <c r="AY178" s="118" t="s">
        <v>393</v>
      </c>
      <c r="AZ178" s="118" t="s">
        <v>393</v>
      </c>
      <c r="BA178" s="118" t="s">
        <v>393</v>
      </c>
      <c r="BB178" s="118" t="s">
        <v>393</v>
      </c>
      <c r="BC178" s="118" t="s">
        <v>393</v>
      </c>
      <c r="BD178" s="118" t="s">
        <v>393</v>
      </c>
      <c r="BE178" s="118" t="s">
        <v>740</v>
      </c>
      <c r="BF178" s="118" t="s">
        <v>393</v>
      </c>
      <c r="BG178" s="118" t="s">
        <v>393</v>
      </c>
      <c r="BH178" s="118" t="s">
        <v>394</v>
      </c>
      <c r="BI178" s="118" t="s">
        <v>394</v>
      </c>
      <c r="BJ178" s="118" t="s">
        <v>393</v>
      </c>
      <c r="BK178" s="118" t="s">
        <v>6988</v>
      </c>
      <c r="BL178" s="118" t="s">
        <v>6415</v>
      </c>
      <c r="BM178" s="118" t="s">
        <v>6990</v>
      </c>
      <c r="BN178" s="118" t="s">
        <v>6991</v>
      </c>
      <c r="BO178" s="118" t="s">
        <v>6415</v>
      </c>
      <c r="BP178" s="118" t="s">
        <v>6415</v>
      </c>
      <c r="BQ178" s="118" t="s">
        <v>6415</v>
      </c>
      <c r="BR178" s="118" t="s">
        <v>6415</v>
      </c>
      <c r="BS178" s="118" t="s">
        <v>6415</v>
      </c>
      <c r="BT178" s="118" t="s">
        <v>7214</v>
      </c>
      <c r="BU178" s="118" t="s">
        <v>6991</v>
      </c>
      <c r="BV178" s="118" t="s">
        <v>6415</v>
      </c>
      <c r="BW178" s="118" t="s">
        <v>6415</v>
      </c>
      <c r="BX178" s="118" t="s">
        <v>6415</v>
      </c>
      <c r="BY178" s="118" t="s">
        <v>6415</v>
      </c>
      <c r="BZ178" s="118" t="s">
        <v>6415</v>
      </c>
      <c r="CA178" s="118" t="s">
        <v>6415</v>
      </c>
      <c r="CB178" s="118" t="s">
        <v>221</v>
      </c>
      <c r="CC178" s="118" t="s">
        <v>740</v>
      </c>
      <c r="CD178" s="118">
        <v>2</v>
      </c>
      <c r="CE178" s="118" t="s">
        <v>446</v>
      </c>
      <c r="CF178" s="118" t="s">
        <v>405</v>
      </c>
      <c r="CG178" s="118" t="s">
        <v>230</v>
      </c>
      <c r="CH178" s="118" t="s">
        <v>433</v>
      </c>
      <c r="CI178" s="118" t="s">
        <v>417</v>
      </c>
      <c r="CJ178" s="118" t="s">
        <v>398</v>
      </c>
      <c r="CK178" s="14">
        <v>20</v>
      </c>
      <c r="CL178" s="118">
        <v>40</v>
      </c>
      <c r="CM178" s="118" t="s">
        <v>436</v>
      </c>
      <c r="CN178" s="118" t="s">
        <v>6327</v>
      </c>
      <c r="CO178" s="118" t="s">
        <v>1096</v>
      </c>
      <c r="CP178" s="118" t="s">
        <v>400</v>
      </c>
      <c r="CQ178" s="118" t="s">
        <v>6415</v>
      </c>
      <c r="CR178" s="118" t="s">
        <v>6415</v>
      </c>
      <c r="CS178" s="118" t="s">
        <v>6415</v>
      </c>
      <c r="CT178" s="118" t="s">
        <v>6415</v>
      </c>
      <c r="CU178" s="118" t="s">
        <v>6415</v>
      </c>
      <c r="CV178" s="118" t="s">
        <v>6415</v>
      </c>
      <c r="CW178" s="14">
        <v>27</v>
      </c>
      <c r="CX178" s="118" t="s">
        <v>1066</v>
      </c>
      <c r="CY178" s="118" t="s">
        <v>6341</v>
      </c>
      <c r="CZ178" s="118">
        <v>1</v>
      </c>
      <c r="DA178" s="118" t="s">
        <v>396</v>
      </c>
      <c r="DB178" s="118" t="s">
        <v>397</v>
      </c>
      <c r="DC178" s="118" t="s">
        <v>6415</v>
      </c>
      <c r="DD178" s="118" t="s">
        <v>6302</v>
      </c>
      <c r="DE178" s="118" t="s">
        <v>6303</v>
      </c>
      <c r="DF178" s="118" t="s">
        <v>398</v>
      </c>
      <c r="DG178" s="118">
        <v>40</v>
      </c>
      <c r="DH178" s="118">
        <v>40</v>
      </c>
      <c r="DI178" s="118" t="s">
        <v>399</v>
      </c>
      <c r="DJ178" s="118" t="s">
        <v>398</v>
      </c>
      <c r="DK178" s="118" t="s">
        <v>400</v>
      </c>
      <c r="DL178" s="118" t="s">
        <v>6415</v>
      </c>
      <c r="DM178" s="118" t="s">
        <v>6415</v>
      </c>
      <c r="DN178" s="118" t="s">
        <v>6415</v>
      </c>
      <c r="DO178" s="118" t="s">
        <v>6415</v>
      </c>
      <c r="DP178" s="118" t="s">
        <v>6415</v>
      </c>
      <c r="DQ178" s="118" t="s">
        <v>6415</v>
      </c>
      <c r="DR178" s="118">
        <v>81</v>
      </c>
      <c r="DS178" s="118" t="s">
        <v>1068</v>
      </c>
      <c r="DT178" s="118" t="s">
        <v>6341</v>
      </c>
      <c r="DU178" s="118" t="s">
        <v>6415</v>
      </c>
      <c r="DV178" s="118" t="s">
        <v>6415</v>
      </c>
      <c r="DW178" s="118" t="s">
        <v>6415</v>
      </c>
      <c r="DX178" s="118" t="s">
        <v>6415</v>
      </c>
      <c r="DY178" s="118" t="s">
        <v>6415</v>
      </c>
      <c r="DZ178" s="118" t="s">
        <v>6415</v>
      </c>
      <c r="EA178" s="118" t="s">
        <v>6415</v>
      </c>
      <c r="EB178" s="118" t="s">
        <v>6415</v>
      </c>
      <c r="EC178" s="118" t="s">
        <v>6415</v>
      </c>
      <c r="ED178" s="118" t="s">
        <v>6415</v>
      </c>
      <c r="EE178" s="118" t="s">
        <v>6415</v>
      </c>
      <c r="EF178" s="118" t="s">
        <v>6415</v>
      </c>
      <c r="EG178" s="118" t="s">
        <v>7164</v>
      </c>
      <c r="EH178" s="118" t="s">
        <v>7206</v>
      </c>
      <c r="EI178" s="118" t="s">
        <v>6415</v>
      </c>
      <c r="EJ178" s="118" t="s">
        <v>6415</v>
      </c>
      <c r="EK178" s="118" t="s">
        <v>6415</v>
      </c>
      <c r="EL178" s="118" t="s">
        <v>7467</v>
      </c>
      <c r="EM178" s="118" t="s">
        <v>7283</v>
      </c>
      <c r="EN178" s="118" t="s">
        <v>6415</v>
      </c>
      <c r="EO178" s="6" t="str">
        <f t="shared" si="18"/>
        <v>Pathweb</v>
      </c>
      <c r="EP178" s="6" t="str">
        <f t="shared" si="19"/>
        <v>Google Maps</v>
      </c>
      <c r="EQ178" s="6" t="str">
        <f t="shared" si="20"/>
        <v>Mashed Map</v>
      </c>
      <c r="ER178" s="118" t="s">
        <v>6727</v>
      </c>
      <c r="ES178" s="118" t="s">
        <v>6728</v>
      </c>
      <c r="ET178" s="4">
        <v>3.0000000000000001E-3</v>
      </c>
      <c r="EU178" s="4"/>
      <c r="EV178" s="4"/>
    </row>
    <row r="179" spans="1:152" x14ac:dyDescent="0.15">
      <c r="A179" s="581" t="str">
        <f t="shared" si="17"/>
        <v>Crash Report</v>
      </c>
      <c r="B179" s="118">
        <v>20233074101</v>
      </c>
      <c r="C179" s="118">
        <v>2023</v>
      </c>
      <c r="D179" s="118">
        <v>23042529291531</v>
      </c>
      <c r="F179" s="118" t="s">
        <v>6441</v>
      </c>
      <c r="G179" s="118" t="s">
        <v>390</v>
      </c>
      <c r="H179" s="118">
        <v>2</v>
      </c>
      <c r="I179" s="118" t="s">
        <v>6055</v>
      </c>
      <c r="J179" s="118" t="s">
        <v>484</v>
      </c>
      <c r="K179" s="118" t="s">
        <v>6997</v>
      </c>
      <c r="L179" s="118">
        <v>0.379</v>
      </c>
      <c r="M179" s="118">
        <v>0.379</v>
      </c>
      <c r="N179" s="118" t="s">
        <v>7469</v>
      </c>
      <c r="O179" s="118" t="s">
        <v>7489</v>
      </c>
      <c r="P179" s="118">
        <v>41.644768999999997</v>
      </c>
      <c r="Q179" s="118">
        <v>-83.519372000000004</v>
      </c>
      <c r="R179" s="118">
        <v>77000</v>
      </c>
      <c r="S179" s="118" t="s">
        <v>6988</v>
      </c>
      <c r="T179" s="118">
        <v>1</v>
      </c>
      <c r="U179" s="118">
        <v>0</v>
      </c>
      <c r="V179" s="118">
        <v>0</v>
      </c>
      <c r="W179" s="118">
        <v>0</v>
      </c>
      <c r="X179" s="118">
        <v>1</v>
      </c>
      <c r="Y179" s="118">
        <v>2</v>
      </c>
      <c r="Z179" s="118">
        <v>1</v>
      </c>
      <c r="AA179" s="118">
        <v>2</v>
      </c>
      <c r="AB179" s="118" t="s">
        <v>1067</v>
      </c>
      <c r="AC179" s="118" t="s">
        <v>6989</v>
      </c>
      <c r="AD179" s="118" t="s">
        <v>1034</v>
      </c>
      <c r="AE179" s="118" t="s">
        <v>943</v>
      </c>
      <c r="AF179" s="118" t="s">
        <v>1042</v>
      </c>
      <c r="AG179" s="118" t="s">
        <v>6415</v>
      </c>
      <c r="AH179" s="118" t="s">
        <v>393</v>
      </c>
      <c r="AI179" s="118">
        <v>2</v>
      </c>
      <c r="AJ179" s="118" t="s">
        <v>6415</v>
      </c>
      <c r="AK179" s="118" t="s">
        <v>393</v>
      </c>
      <c r="AL179" s="118" t="s">
        <v>393</v>
      </c>
      <c r="AM179" s="118" t="s">
        <v>393</v>
      </c>
      <c r="AN179" s="402" t="s">
        <v>5975</v>
      </c>
      <c r="AO179" s="402">
        <v>45041</v>
      </c>
      <c r="AP179" s="118">
        <v>4</v>
      </c>
      <c r="AQ179" s="118">
        <v>15</v>
      </c>
      <c r="AR179" s="118" t="s">
        <v>6445</v>
      </c>
      <c r="AS179" s="118" t="s">
        <v>420</v>
      </c>
      <c r="AT179" s="118" t="s">
        <v>225</v>
      </c>
      <c r="AU179" s="118" t="s">
        <v>404</v>
      </c>
      <c r="AV179" s="118" t="s">
        <v>508</v>
      </c>
      <c r="AW179" s="118" t="s">
        <v>393</v>
      </c>
      <c r="AX179" s="118" t="s">
        <v>740</v>
      </c>
      <c r="AY179" s="118" t="s">
        <v>393</v>
      </c>
      <c r="AZ179" s="118" t="s">
        <v>393</v>
      </c>
      <c r="BA179" s="118" t="s">
        <v>393</v>
      </c>
      <c r="BB179" s="118" t="s">
        <v>393</v>
      </c>
      <c r="BC179" s="118" t="s">
        <v>393</v>
      </c>
      <c r="BD179" s="118" t="s">
        <v>393</v>
      </c>
      <c r="BE179" s="118" t="s">
        <v>393</v>
      </c>
      <c r="BF179" s="118" t="s">
        <v>393</v>
      </c>
      <c r="BG179" s="118" t="s">
        <v>393</v>
      </c>
      <c r="BH179" s="118" t="s">
        <v>394</v>
      </c>
      <c r="BI179" s="118" t="s">
        <v>394</v>
      </c>
      <c r="BJ179" s="118" t="s">
        <v>393</v>
      </c>
      <c r="BK179" s="118" t="s">
        <v>6988</v>
      </c>
      <c r="BL179" s="118" t="s">
        <v>6415</v>
      </c>
      <c r="BM179" s="118" t="s">
        <v>6992</v>
      </c>
      <c r="BN179" s="118" t="s">
        <v>6991</v>
      </c>
      <c r="BO179" s="118" t="s">
        <v>6415</v>
      </c>
      <c r="BP179" s="118" t="s">
        <v>6415</v>
      </c>
      <c r="BQ179" s="118" t="s">
        <v>6415</v>
      </c>
      <c r="BR179" s="118" t="s">
        <v>6415</v>
      </c>
      <c r="BS179" s="118" t="s">
        <v>6415</v>
      </c>
      <c r="BT179" s="118" t="s">
        <v>7154</v>
      </c>
      <c r="BU179" s="118" t="s">
        <v>6991</v>
      </c>
      <c r="BV179" s="118" t="s">
        <v>6415</v>
      </c>
      <c r="BW179" s="118" t="s">
        <v>6415</v>
      </c>
      <c r="BX179" s="118" t="s">
        <v>6415</v>
      </c>
      <c r="BY179" s="118" t="s">
        <v>6415</v>
      </c>
      <c r="BZ179" s="118" t="s">
        <v>6415</v>
      </c>
      <c r="CA179" s="118" t="s">
        <v>6415</v>
      </c>
      <c r="CB179" s="118" t="s">
        <v>221</v>
      </c>
      <c r="CC179" s="118" t="s">
        <v>740</v>
      </c>
      <c r="CD179" s="118">
        <v>2</v>
      </c>
      <c r="CE179" s="118" t="s">
        <v>411</v>
      </c>
      <c r="CF179" s="118" t="s">
        <v>445</v>
      </c>
      <c r="CG179" s="118" t="s">
        <v>230</v>
      </c>
      <c r="CH179" s="118" t="s">
        <v>6299</v>
      </c>
      <c r="CI179" s="118" t="s">
        <v>6303</v>
      </c>
      <c r="CJ179" s="118" t="s">
        <v>398</v>
      </c>
      <c r="CK179" s="118">
        <v>0</v>
      </c>
      <c r="CL179" s="118">
        <v>35</v>
      </c>
      <c r="CM179" s="118" t="s">
        <v>399</v>
      </c>
      <c r="CN179" s="118" t="s">
        <v>6512</v>
      </c>
      <c r="CO179" s="118" t="s">
        <v>1096</v>
      </c>
      <c r="CP179" s="118" t="s">
        <v>400</v>
      </c>
      <c r="CQ179" s="118" t="s">
        <v>6415</v>
      </c>
      <c r="CR179" s="118" t="s">
        <v>6415</v>
      </c>
      <c r="CS179" s="118" t="s">
        <v>6415</v>
      </c>
      <c r="CT179" s="118" t="s">
        <v>6415</v>
      </c>
      <c r="CU179" s="118" t="s">
        <v>6415</v>
      </c>
      <c r="CV179" s="118" t="s">
        <v>6415</v>
      </c>
      <c r="CW179" s="118">
        <v>0</v>
      </c>
      <c r="CX179" s="118" t="s">
        <v>401</v>
      </c>
      <c r="CY179" s="118" t="s">
        <v>6151</v>
      </c>
      <c r="CZ179" s="118">
        <v>1</v>
      </c>
      <c r="DA179" s="118" t="s">
        <v>411</v>
      </c>
      <c r="DB179" s="118" t="s">
        <v>445</v>
      </c>
      <c r="DC179" s="118" t="s">
        <v>6415</v>
      </c>
      <c r="DD179" s="118" t="s">
        <v>6300</v>
      </c>
      <c r="DE179" s="118" t="s">
        <v>6303</v>
      </c>
      <c r="DF179" s="118" t="s">
        <v>398</v>
      </c>
      <c r="DG179" s="118">
        <v>0</v>
      </c>
      <c r="DH179" s="118">
        <v>35</v>
      </c>
      <c r="DI179" s="118" t="s">
        <v>399</v>
      </c>
      <c r="DJ179" s="118" t="s">
        <v>398</v>
      </c>
      <c r="DK179" s="118" t="s">
        <v>400</v>
      </c>
      <c r="DL179" s="118" t="s">
        <v>6415</v>
      </c>
      <c r="DM179" s="118" t="s">
        <v>6415</v>
      </c>
      <c r="DN179" s="118" t="s">
        <v>6415</v>
      </c>
      <c r="DO179" s="118" t="s">
        <v>6415</v>
      </c>
      <c r="DP179" s="118" t="s">
        <v>6415</v>
      </c>
      <c r="DQ179" s="118" t="s">
        <v>6415</v>
      </c>
      <c r="DR179" s="118">
        <v>55</v>
      </c>
      <c r="DS179" s="118" t="s">
        <v>1068</v>
      </c>
      <c r="DT179" s="118" t="s">
        <v>6341</v>
      </c>
      <c r="DU179" s="118" t="s">
        <v>6415</v>
      </c>
      <c r="DV179" s="118" t="s">
        <v>6415</v>
      </c>
      <c r="DW179" s="118" t="s">
        <v>6415</v>
      </c>
      <c r="DX179" s="118" t="s">
        <v>6415</v>
      </c>
      <c r="DY179" s="118" t="s">
        <v>6415</v>
      </c>
      <c r="DZ179" s="118" t="s">
        <v>6415</v>
      </c>
      <c r="EA179" s="118" t="s">
        <v>6415</v>
      </c>
      <c r="EB179" s="118" t="s">
        <v>6415</v>
      </c>
      <c r="EC179" s="118" t="s">
        <v>6415</v>
      </c>
      <c r="ED179" s="118" t="s">
        <v>6415</v>
      </c>
      <c r="EE179" s="118" t="s">
        <v>6415</v>
      </c>
      <c r="EF179" s="118" t="s">
        <v>6415</v>
      </c>
      <c r="EG179" s="118" t="s">
        <v>7051</v>
      </c>
      <c r="EH179" s="118" t="s">
        <v>7052</v>
      </c>
      <c r="EI179" s="118" t="s">
        <v>6415</v>
      </c>
      <c r="EJ179" s="118" t="s">
        <v>6415</v>
      </c>
      <c r="EK179" s="118" t="s">
        <v>6415</v>
      </c>
      <c r="EL179" s="118" t="s">
        <v>7467</v>
      </c>
      <c r="EM179" s="118" t="s">
        <v>7284</v>
      </c>
      <c r="EN179" s="118" t="s">
        <v>6415</v>
      </c>
      <c r="EO179" s="6" t="str">
        <f t="shared" si="18"/>
        <v>Pathweb</v>
      </c>
      <c r="EP179" s="6" t="str">
        <f t="shared" si="19"/>
        <v>Google Maps</v>
      </c>
      <c r="EQ179" s="6" t="str">
        <f t="shared" si="20"/>
        <v>Mashed Map</v>
      </c>
      <c r="ER179" s="118" t="s">
        <v>6727</v>
      </c>
      <c r="ES179" s="118" t="s">
        <v>6728</v>
      </c>
      <c r="ET179" s="4">
        <v>0</v>
      </c>
      <c r="EU179" s="4"/>
      <c r="EV179" s="4"/>
    </row>
    <row r="180" spans="1:152" x14ac:dyDescent="0.15">
      <c r="A180" s="581" t="str">
        <f t="shared" si="17"/>
        <v>Crash Report</v>
      </c>
      <c r="B180" s="118">
        <v>20233078473</v>
      </c>
      <c r="C180" s="118">
        <v>2023</v>
      </c>
      <c r="D180" s="118">
        <v>23051029431110</v>
      </c>
      <c r="F180" s="118" t="s">
        <v>6441</v>
      </c>
      <c r="G180" s="118" t="s">
        <v>409</v>
      </c>
      <c r="H180" s="118">
        <v>2</v>
      </c>
      <c r="I180" s="118" t="s">
        <v>6055</v>
      </c>
      <c r="J180" s="118" t="s">
        <v>391</v>
      </c>
      <c r="K180" s="118" t="s">
        <v>6985</v>
      </c>
      <c r="L180" s="118">
        <v>0.27800000000000002</v>
      </c>
      <c r="M180" s="118">
        <v>0.27800000000000002</v>
      </c>
      <c r="N180" s="118" t="s">
        <v>7465</v>
      </c>
      <c r="O180" s="118">
        <v>801</v>
      </c>
      <c r="P180" s="118">
        <v>41.649706000000002</v>
      </c>
      <c r="Q180" s="118">
        <v>-83.521546000000001</v>
      </c>
      <c r="R180" s="118">
        <v>77000</v>
      </c>
      <c r="S180" s="118" t="s">
        <v>6988</v>
      </c>
      <c r="T180" s="118">
        <v>1</v>
      </c>
      <c r="U180" s="118">
        <v>0</v>
      </c>
      <c r="V180" s="118">
        <v>0</v>
      </c>
      <c r="W180" s="118">
        <v>0</v>
      </c>
      <c r="X180" s="118">
        <v>1</v>
      </c>
      <c r="Y180" s="118">
        <v>0</v>
      </c>
      <c r="Z180" s="118">
        <v>0</v>
      </c>
      <c r="AA180" s="118">
        <v>1</v>
      </c>
      <c r="AB180" s="118" t="s">
        <v>1067</v>
      </c>
      <c r="AC180" s="118" t="s">
        <v>6989</v>
      </c>
      <c r="AD180" s="118" t="s">
        <v>1034</v>
      </c>
      <c r="AE180" s="118" t="s">
        <v>943</v>
      </c>
      <c r="AF180" s="118" t="s">
        <v>1041</v>
      </c>
      <c r="AG180" s="118" t="s">
        <v>6415</v>
      </c>
      <c r="AH180" s="118" t="s">
        <v>393</v>
      </c>
      <c r="AI180" s="118">
        <v>4</v>
      </c>
      <c r="AJ180" s="118" t="s">
        <v>6415</v>
      </c>
      <c r="AK180" s="118" t="s">
        <v>393</v>
      </c>
      <c r="AL180" s="118" t="s">
        <v>393</v>
      </c>
      <c r="AM180" s="118" t="s">
        <v>393</v>
      </c>
      <c r="AN180" s="402" t="s">
        <v>5975</v>
      </c>
      <c r="AO180" s="402">
        <v>45056</v>
      </c>
      <c r="AP180" s="118">
        <v>5</v>
      </c>
      <c r="AQ180" s="118">
        <v>11</v>
      </c>
      <c r="AR180" s="118" t="s">
        <v>6446</v>
      </c>
      <c r="AS180" s="118" t="s">
        <v>392</v>
      </c>
      <c r="AT180" s="118" t="s">
        <v>500</v>
      </c>
      <c r="AU180" s="118" t="s">
        <v>404</v>
      </c>
      <c r="AV180" s="118" t="s">
        <v>508</v>
      </c>
      <c r="AW180" s="118" t="s">
        <v>740</v>
      </c>
      <c r="AX180" s="118" t="s">
        <v>393</v>
      </c>
      <c r="AY180" s="118" t="s">
        <v>393</v>
      </c>
      <c r="AZ180" s="118" t="s">
        <v>393</v>
      </c>
      <c r="BA180" s="118" t="s">
        <v>393</v>
      </c>
      <c r="BB180" s="118" t="s">
        <v>393</v>
      </c>
      <c r="BC180" s="118" t="s">
        <v>393</v>
      </c>
      <c r="BD180" s="118" t="s">
        <v>393</v>
      </c>
      <c r="BE180" s="118" t="s">
        <v>393</v>
      </c>
      <c r="BF180" s="118" t="s">
        <v>393</v>
      </c>
      <c r="BG180" s="118" t="s">
        <v>393</v>
      </c>
      <c r="BH180" s="118" t="s">
        <v>394</v>
      </c>
      <c r="BI180" s="118" t="s">
        <v>394</v>
      </c>
      <c r="BJ180" s="118" t="s">
        <v>393</v>
      </c>
      <c r="BK180" s="118" t="s">
        <v>6988</v>
      </c>
      <c r="BL180" s="118" t="s">
        <v>6415</v>
      </c>
      <c r="BM180" s="118" t="s">
        <v>6990</v>
      </c>
      <c r="BN180" s="118" t="s">
        <v>6991</v>
      </c>
      <c r="BO180" s="118" t="s">
        <v>6415</v>
      </c>
      <c r="BP180" s="118" t="s">
        <v>6415</v>
      </c>
      <c r="BQ180" s="118" t="s">
        <v>6415</v>
      </c>
      <c r="BR180" s="118" t="s">
        <v>6415</v>
      </c>
      <c r="BS180" s="118" t="s">
        <v>6415</v>
      </c>
      <c r="BT180" s="118" t="s">
        <v>7287</v>
      </c>
      <c r="BU180" s="118" t="s">
        <v>6415</v>
      </c>
      <c r="BV180" s="118" t="s">
        <v>6415</v>
      </c>
      <c r="BW180" s="118" t="s">
        <v>6415</v>
      </c>
      <c r="BX180" s="118" t="s">
        <v>6415</v>
      </c>
      <c r="BY180" s="118" t="s">
        <v>6415</v>
      </c>
      <c r="BZ180" s="118">
        <v>801</v>
      </c>
      <c r="CA180" s="118" t="s">
        <v>6415</v>
      </c>
      <c r="CB180" s="118" t="s">
        <v>422</v>
      </c>
      <c r="CC180" s="118" t="s">
        <v>740</v>
      </c>
      <c r="CD180" s="118">
        <v>1</v>
      </c>
      <c r="CE180" s="118" t="s">
        <v>410</v>
      </c>
      <c r="CF180" s="118" t="s">
        <v>411</v>
      </c>
      <c r="CG180" s="118" t="s">
        <v>924</v>
      </c>
      <c r="CH180" s="118" t="s">
        <v>6302</v>
      </c>
      <c r="CI180" s="118" t="s">
        <v>6303</v>
      </c>
      <c r="CJ180" s="118" t="s">
        <v>398</v>
      </c>
      <c r="CK180" s="118">
        <v>0</v>
      </c>
      <c r="CL180" s="118">
        <v>0</v>
      </c>
      <c r="CM180" s="118" t="s">
        <v>6151</v>
      </c>
      <c r="CN180" s="118" t="s">
        <v>6338</v>
      </c>
      <c r="CO180" s="118" t="s">
        <v>1096</v>
      </c>
      <c r="CP180" s="118" t="s">
        <v>432</v>
      </c>
      <c r="CQ180" s="118" t="s">
        <v>6415</v>
      </c>
      <c r="CR180" s="118" t="s">
        <v>6415</v>
      </c>
      <c r="CS180" s="118" t="s">
        <v>6415</v>
      </c>
      <c r="CT180" s="118" t="s">
        <v>6415</v>
      </c>
      <c r="CU180" s="118" t="s">
        <v>6415</v>
      </c>
      <c r="CV180" s="118" t="s">
        <v>6415</v>
      </c>
      <c r="CW180" s="118">
        <v>62</v>
      </c>
      <c r="CX180" s="118" t="s">
        <v>1068</v>
      </c>
      <c r="CY180" s="118" t="s">
        <v>6341</v>
      </c>
      <c r="CZ180" s="118" t="s">
        <v>6415</v>
      </c>
      <c r="DA180" s="118" t="s">
        <v>6415</v>
      </c>
      <c r="DB180" s="118" t="s">
        <v>6415</v>
      </c>
      <c r="DC180" s="118" t="s">
        <v>6415</v>
      </c>
      <c r="DD180" s="118" t="s">
        <v>6415</v>
      </c>
      <c r="DE180" s="118" t="s">
        <v>6415</v>
      </c>
      <c r="DF180" s="118" t="s">
        <v>6415</v>
      </c>
      <c r="DG180" s="118" t="s">
        <v>6415</v>
      </c>
      <c r="DH180" s="118" t="s">
        <v>6415</v>
      </c>
      <c r="DI180" s="118" t="s">
        <v>6415</v>
      </c>
      <c r="DJ180" s="118" t="s">
        <v>6415</v>
      </c>
      <c r="DK180" s="118" t="s">
        <v>6415</v>
      </c>
      <c r="DL180" s="118" t="s">
        <v>6415</v>
      </c>
      <c r="DM180" s="118" t="s">
        <v>6415</v>
      </c>
      <c r="DN180" s="118" t="s">
        <v>6415</v>
      </c>
      <c r="DO180" s="118" t="s">
        <v>6415</v>
      </c>
      <c r="DP180" s="118" t="s">
        <v>6415</v>
      </c>
      <c r="DQ180" s="118" t="s">
        <v>6415</v>
      </c>
      <c r="DR180" s="118">
        <v>0</v>
      </c>
      <c r="DS180" s="118" t="s">
        <v>6415</v>
      </c>
      <c r="DT180" s="118" t="s">
        <v>6415</v>
      </c>
      <c r="DU180" s="118" t="s">
        <v>6415</v>
      </c>
      <c r="DV180" s="118" t="s">
        <v>6415</v>
      </c>
      <c r="DW180" s="118" t="s">
        <v>6415</v>
      </c>
      <c r="DX180" s="118" t="s">
        <v>6415</v>
      </c>
      <c r="DY180" s="118" t="s">
        <v>6415</v>
      </c>
      <c r="DZ180" s="118" t="s">
        <v>6415</v>
      </c>
      <c r="EA180" s="118" t="s">
        <v>6415</v>
      </c>
      <c r="EB180" s="118" t="s">
        <v>6415</v>
      </c>
      <c r="EC180" s="118" t="s">
        <v>6415</v>
      </c>
      <c r="ED180" s="118" t="s">
        <v>6415</v>
      </c>
      <c r="EE180" s="118" t="s">
        <v>6415</v>
      </c>
      <c r="EF180" s="118" t="s">
        <v>6415</v>
      </c>
      <c r="EG180" s="118" t="s">
        <v>7002</v>
      </c>
      <c r="EH180" s="118" t="s">
        <v>7286</v>
      </c>
      <c r="EI180" s="118" t="s">
        <v>6415</v>
      </c>
      <c r="EJ180" s="118" t="s">
        <v>6415</v>
      </c>
      <c r="EK180" s="118" t="s">
        <v>6415</v>
      </c>
      <c r="EL180" s="118" t="s">
        <v>7467</v>
      </c>
      <c r="EM180" s="118" t="s">
        <v>7285</v>
      </c>
      <c r="EN180" s="118" t="s">
        <v>6415</v>
      </c>
      <c r="EO180" s="6" t="str">
        <f t="shared" si="18"/>
        <v>Pathweb</v>
      </c>
      <c r="EP180" s="6" t="str">
        <f t="shared" si="19"/>
        <v>Google Maps</v>
      </c>
      <c r="EQ180" s="6" t="str">
        <f t="shared" si="20"/>
        <v>Mashed Map</v>
      </c>
      <c r="ER180" s="118" t="s">
        <v>6726</v>
      </c>
      <c r="ES180" s="118" t="s">
        <v>6728</v>
      </c>
      <c r="ET180" s="4">
        <v>0</v>
      </c>
      <c r="EU180" s="4"/>
      <c r="EV180" s="4"/>
    </row>
    <row r="181" spans="1:152" x14ac:dyDescent="0.15">
      <c r="A181" s="581" t="str">
        <f t="shared" si="17"/>
        <v>Crash Report</v>
      </c>
      <c r="B181" s="14">
        <v>20233078839</v>
      </c>
      <c r="C181" s="118">
        <v>2023</v>
      </c>
      <c r="D181" s="14">
        <v>23051029171649</v>
      </c>
      <c r="F181" s="118" t="s">
        <v>6442</v>
      </c>
      <c r="G181" s="118" t="s">
        <v>211</v>
      </c>
      <c r="H181" s="118">
        <v>2</v>
      </c>
      <c r="I181" s="118" t="s">
        <v>6055</v>
      </c>
      <c r="J181" s="118" t="s">
        <v>423</v>
      </c>
      <c r="K181" s="118" t="s">
        <v>6985</v>
      </c>
      <c r="L181" s="118">
        <v>0.14899999999999999</v>
      </c>
      <c r="M181" s="118">
        <v>0.14899999999999999</v>
      </c>
      <c r="N181" s="118" t="s">
        <v>7465</v>
      </c>
      <c r="O181" s="118" t="s">
        <v>7466</v>
      </c>
      <c r="P181" s="118">
        <v>41.648522999999997</v>
      </c>
      <c r="Q181" s="118">
        <v>-83.523471000000001</v>
      </c>
      <c r="R181" s="118">
        <v>77000</v>
      </c>
      <c r="S181" s="118" t="s">
        <v>6988</v>
      </c>
      <c r="T181" s="118">
        <v>1</v>
      </c>
      <c r="U181" s="118">
        <v>0</v>
      </c>
      <c r="V181" s="118">
        <v>0</v>
      </c>
      <c r="W181" s="118">
        <v>0</v>
      </c>
      <c r="X181" s="118">
        <v>0</v>
      </c>
      <c r="Y181" s="118">
        <v>2</v>
      </c>
      <c r="Z181" s="118">
        <v>0</v>
      </c>
      <c r="AA181" s="118">
        <v>2</v>
      </c>
      <c r="AB181" s="118" t="s">
        <v>1067</v>
      </c>
      <c r="AC181" s="118" t="s">
        <v>6989</v>
      </c>
      <c r="AD181" s="118" t="s">
        <v>1034</v>
      </c>
      <c r="AE181" s="118" t="s">
        <v>943</v>
      </c>
      <c r="AF181" s="118" t="s">
        <v>1042</v>
      </c>
      <c r="AG181" s="118" t="s">
        <v>6415</v>
      </c>
      <c r="AH181" s="118" t="s">
        <v>393</v>
      </c>
      <c r="AI181" s="118">
        <v>4</v>
      </c>
      <c r="AJ181" s="118" t="s">
        <v>6415</v>
      </c>
      <c r="AK181" s="118" t="s">
        <v>393</v>
      </c>
      <c r="AL181" s="118" t="s">
        <v>393</v>
      </c>
      <c r="AM181" s="118" t="s">
        <v>393</v>
      </c>
      <c r="AN181" s="402" t="s">
        <v>5975</v>
      </c>
      <c r="AO181" s="402">
        <v>45056</v>
      </c>
      <c r="AP181" s="118">
        <v>5</v>
      </c>
      <c r="AQ181" s="118">
        <v>16</v>
      </c>
      <c r="AR181" s="118" t="s">
        <v>6446</v>
      </c>
      <c r="AS181" s="118" t="s">
        <v>392</v>
      </c>
      <c r="AT181" s="118" t="s">
        <v>500</v>
      </c>
      <c r="AU181" s="118" t="s">
        <v>404</v>
      </c>
      <c r="AV181" s="118" t="s">
        <v>508</v>
      </c>
      <c r="AW181" s="118" t="s">
        <v>393</v>
      </c>
      <c r="AX181" s="118" t="s">
        <v>740</v>
      </c>
      <c r="AY181" s="118" t="s">
        <v>393</v>
      </c>
      <c r="AZ181" s="118" t="s">
        <v>393</v>
      </c>
      <c r="BA181" s="118" t="s">
        <v>393</v>
      </c>
      <c r="BB181" s="118" t="s">
        <v>393</v>
      </c>
      <c r="BC181" s="118" t="s">
        <v>393</v>
      </c>
      <c r="BD181" s="118" t="s">
        <v>393</v>
      </c>
      <c r="BE181" s="118" t="s">
        <v>393</v>
      </c>
      <c r="BF181" s="118" t="s">
        <v>393</v>
      </c>
      <c r="BG181" s="118" t="s">
        <v>393</v>
      </c>
      <c r="BH181" s="118" t="s">
        <v>394</v>
      </c>
      <c r="BI181" s="118" t="s">
        <v>394</v>
      </c>
      <c r="BJ181" s="118" t="s">
        <v>393</v>
      </c>
      <c r="BK181" s="118" t="s">
        <v>6988</v>
      </c>
      <c r="BL181" s="118" t="s">
        <v>6415</v>
      </c>
      <c r="BM181" s="118" t="s">
        <v>6990</v>
      </c>
      <c r="BN181" s="118" t="s">
        <v>6991</v>
      </c>
      <c r="BO181" s="118" t="s">
        <v>6415</v>
      </c>
      <c r="BP181" s="118" t="s">
        <v>6415</v>
      </c>
      <c r="BQ181" s="118" t="s">
        <v>6415</v>
      </c>
      <c r="BR181" s="118" t="s">
        <v>6415</v>
      </c>
      <c r="BS181" s="118" t="s">
        <v>6415</v>
      </c>
      <c r="BT181" s="118" t="s">
        <v>6992</v>
      </c>
      <c r="BU181" s="118" t="s">
        <v>6991</v>
      </c>
      <c r="BV181" s="118" t="s">
        <v>6415</v>
      </c>
      <c r="BW181" s="118" t="s">
        <v>6415</v>
      </c>
      <c r="BX181" s="118" t="s">
        <v>6415</v>
      </c>
      <c r="BY181" s="118" t="s">
        <v>6415</v>
      </c>
      <c r="BZ181" s="118" t="s">
        <v>6415</v>
      </c>
      <c r="CA181" s="118" t="s">
        <v>6415</v>
      </c>
      <c r="CB181" s="118" t="s">
        <v>221</v>
      </c>
      <c r="CC181" s="118" t="s">
        <v>740</v>
      </c>
      <c r="CD181" s="118">
        <v>1</v>
      </c>
      <c r="CE181" s="118" t="s">
        <v>405</v>
      </c>
      <c r="CF181" s="118" t="s">
        <v>410</v>
      </c>
      <c r="CG181" s="118" t="s">
        <v>230</v>
      </c>
      <c r="CH181" s="118" t="s">
        <v>6300</v>
      </c>
      <c r="CI181" s="118" t="s">
        <v>417</v>
      </c>
      <c r="CJ181" s="118" t="s">
        <v>6151</v>
      </c>
      <c r="CK181" s="14">
        <v>0</v>
      </c>
      <c r="CL181" s="118">
        <v>0</v>
      </c>
      <c r="CM181" s="118" t="s">
        <v>436</v>
      </c>
      <c r="CN181" s="118" t="s">
        <v>6327</v>
      </c>
      <c r="CO181" s="118" t="s">
        <v>1096</v>
      </c>
      <c r="CP181" s="118" t="s">
        <v>400</v>
      </c>
      <c r="CQ181" s="118" t="s">
        <v>6415</v>
      </c>
      <c r="CR181" s="118" t="s">
        <v>6415</v>
      </c>
      <c r="CS181" s="118" t="s">
        <v>6415</v>
      </c>
      <c r="CT181" s="118" t="s">
        <v>6415</v>
      </c>
      <c r="CU181" s="118" t="s">
        <v>6415</v>
      </c>
      <c r="CV181" s="118" t="s">
        <v>6415</v>
      </c>
      <c r="CW181" s="14">
        <v>0</v>
      </c>
      <c r="CX181" s="118" t="s">
        <v>401</v>
      </c>
      <c r="CY181" s="118" t="s">
        <v>6151</v>
      </c>
      <c r="CZ181" s="118">
        <v>2</v>
      </c>
      <c r="DA181" s="118" t="s">
        <v>410</v>
      </c>
      <c r="DB181" s="118" t="s">
        <v>411</v>
      </c>
      <c r="DC181" s="118" t="s">
        <v>6415</v>
      </c>
      <c r="DD181" s="118" t="s">
        <v>6300</v>
      </c>
      <c r="DE181" s="118" t="s">
        <v>6303</v>
      </c>
      <c r="DF181" s="118" t="s">
        <v>398</v>
      </c>
      <c r="DG181" s="118" t="s">
        <v>6415</v>
      </c>
      <c r="DH181" s="118" t="s">
        <v>6415</v>
      </c>
      <c r="DI181" s="118" t="s">
        <v>399</v>
      </c>
      <c r="DJ181" s="118" t="s">
        <v>398</v>
      </c>
      <c r="DK181" s="118" t="s">
        <v>400</v>
      </c>
      <c r="DL181" s="118" t="s">
        <v>6415</v>
      </c>
      <c r="DM181" s="118" t="s">
        <v>6415</v>
      </c>
      <c r="DN181" s="118" t="s">
        <v>6415</v>
      </c>
      <c r="DO181" s="118" t="s">
        <v>6415</v>
      </c>
      <c r="DP181" s="118" t="s">
        <v>6415</v>
      </c>
      <c r="DQ181" s="118" t="s">
        <v>6415</v>
      </c>
      <c r="DR181" s="118">
        <v>61</v>
      </c>
      <c r="DS181" s="118" t="s">
        <v>1066</v>
      </c>
      <c r="DT181" s="118" t="s">
        <v>6341</v>
      </c>
      <c r="DU181" s="118" t="s">
        <v>6415</v>
      </c>
      <c r="DV181" s="118" t="s">
        <v>6415</v>
      </c>
      <c r="DW181" s="118" t="s">
        <v>6415</v>
      </c>
      <c r="DX181" s="118" t="s">
        <v>6415</v>
      </c>
      <c r="DY181" s="118" t="s">
        <v>6415</v>
      </c>
      <c r="DZ181" s="118" t="s">
        <v>6415</v>
      </c>
      <c r="EA181" s="118" t="s">
        <v>6415</v>
      </c>
      <c r="EB181" s="118" t="s">
        <v>6415</v>
      </c>
      <c r="EC181" s="118" t="s">
        <v>6415</v>
      </c>
      <c r="ED181" s="118" t="s">
        <v>6415</v>
      </c>
      <c r="EE181" s="118" t="s">
        <v>6415</v>
      </c>
      <c r="EF181" s="118" t="s">
        <v>6415</v>
      </c>
      <c r="EG181" s="118" t="s">
        <v>6986</v>
      </c>
      <c r="EH181" s="118" t="s">
        <v>6987</v>
      </c>
      <c r="EI181" s="118" t="s">
        <v>6415</v>
      </c>
      <c r="EJ181" s="118" t="s">
        <v>6415</v>
      </c>
      <c r="EK181" s="118" t="s">
        <v>6415</v>
      </c>
      <c r="EL181" s="118" t="s">
        <v>7467</v>
      </c>
      <c r="EM181" s="118" t="s">
        <v>7288</v>
      </c>
      <c r="EN181" s="118" t="s">
        <v>6415</v>
      </c>
      <c r="EO181" s="6" t="str">
        <f t="shared" si="18"/>
        <v>Pathweb</v>
      </c>
      <c r="EP181" s="6" t="str">
        <f t="shared" si="19"/>
        <v>Google Maps</v>
      </c>
      <c r="EQ181" s="6" t="str">
        <f t="shared" si="20"/>
        <v>Mashed Map</v>
      </c>
      <c r="ER181" s="118" t="s">
        <v>6727</v>
      </c>
      <c r="ES181" s="118" t="s">
        <v>71</v>
      </c>
      <c r="ET181" s="4">
        <v>0</v>
      </c>
      <c r="EU181" s="4"/>
      <c r="EV181" s="4"/>
    </row>
    <row r="182" spans="1:152" x14ac:dyDescent="0.15">
      <c r="A182" s="581" t="str">
        <f t="shared" si="17"/>
        <v>Crash Report</v>
      </c>
      <c r="B182" s="14">
        <v>20233079439</v>
      </c>
      <c r="C182" s="118">
        <v>2023</v>
      </c>
      <c r="D182" s="14">
        <v>23051129441725</v>
      </c>
      <c r="F182" s="118" t="s">
        <v>6442</v>
      </c>
      <c r="G182" s="118" t="s">
        <v>402</v>
      </c>
      <c r="H182" s="118">
        <v>2</v>
      </c>
      <c r="I182" s="118" t="s">
        <v>6055</v>
      </c>
      <c r="J182" s="118" t="s">
        <v>391</v>
      </c>
      <c r="K182" s="118" t="s">
        <v>6997</v>
      </c>
      <c r="L182" s="118">
        <v>0.71299999999999997</v>
      </c>
      <c r="M182" s="118">
        <v>0.71299999999999997</v>
      </c>
      <c r="N182" s="118" t="s">
        <v>7469</v>
      </c>
      <c r="O182" s="118" t="s">
        <v>7473</v>
      </c>
      <c r="P182" s="118">
        <v>41.648513000000001</v>
      </c>
      <c r="Q182" s="118">
        <v>-83.523441000000005</v>
      </c>
      <c r="R182" s="118">
        <v>77000</v>
      </c>
      <c r="S182" s="118" t="s">
        <v>6988</v>
      </c>
      <c r="T182" s="118">
        <v>1</v>
      </c>
      <c r="U182" s="118">
        <v>0</v>
      </c>
      <c r="V182" s="118">
        <v>0</v>
      </c>
      <c r="W182" s="118">
        <v>0</v>
      </c>
      <c r="X182" s="118">
        <v>0</v>
      </c>
      <c r="Y182" s="118">
        <v>2</v>
      </c>
      <c r="Z182" s="118">
        <v>0</v>
      </c>
      <c r="AA182" s="118">
        <v>2</v>
      </c>
      <c r="AB182" s="118" t="s">
        <v>1067</v>
      </c>
      <c r="AC182" s="118" t="s">
        <v>6989</v>
      </c>
      <c r="AD182" s="118" t="s">
        <v>1034</v>
      </c>
      <c r="AE182" s="118" t="s">
        <v>943</v>
      </c>
      <c r="AF182" s="118" t="s">
        <v>1042</v>
      </c>
      <c r="AG182" s="118" t="s">
        <v>6415</v>
      </c>
      <c r="AH182" s="118" t="s">
        <v>393</v>
      </c>
      <c r="AI182" s="118">
        <v>2</v>
      </c>
      <c r="AJ182" s="118" t="s">
        <v>6415</v>
      </c>
      <c r="AK182" s="118" t="s">
        <v>393</v>
      </c>
      <c r="AL182" s="118" t="s">
        <v>393</v>
      </c>
      <c r="AM182" s="118" t="s">
        <v>393</v>
      </c>
      <c r="AN182" s="402" t="s">
        <v>5975</v>
      </c>
      <c r="AO182" s="402">
        <v>45057</v>
      </c>
      <c r="AP182" s="118">
        <v>5</v>
      </c>
      <c r="AQ182" s="118">
        <v>17</v>
      </c>
      <c r="AR182" s="118" t="s">
        <v>6447</v>
      </c>
      <c r="AS182" s="118" t="s">
        <v>392</v>
      </c>
      <c r="AT182" s="118" t="s">
        <v>500</v>
      </c>
      <c r="AU182" s="118" t="s">
        <v>404</v>
      </c>
      <c r="AV182" s="118" t="s">
        <v>508</v>
      </c>
      <c r="AW182" s="118" t="s">
        <v>393</v>
      </c>
      <c r="AX182" s="118" t="s">
        <v>393</v>
      </c>
      <c r="AY182" s="118" t="s">
        <v>393</v>
      </c>
      <c r="AZ182" s="118" t="s">
        <v>393</v>
      </c>
      <c r="BA182" s="118" t="s">
        <v>393</v>
      </c>
      <c r="BB182" s="118" t="s">
        <v>393</v>
      </c>
      <c r="BC182" s="118" t="s">
        <v>393</v>
      </c>
      <c r="BD182" s="118" t="s">
        <v>393</v>
      </c>
      <c r="BE182" s="118" t="s">
        <v>393</v>
      </c>
      <c r="BF182" s="118" t="s">
        <v>740</v>
      </c>
      <c r="BG182" s="118" t="s">
        <v>393</v>
      </c>
      <c r="BH182" s="118" t="s">
        <v>394</v>
      </c>
      <c r="BI182" s="118" t="s">
        <v>394</v>
      </c>
      <c r="BJ182" s="118" t="s">
        <v>393</v>
      </c>
      <c r="BK182" s="118" t="s">
        <v>6988</v>
      </c>
      <c r="BL182" s="118" t="s">
        <v>6415</v>
      </c>
      <c r="BM182" s="118" t="s">
        <v>6992</v>
      </c>
      <c r="BN182" s="118" t="s">
        <v>6991</v>
      </c>
      <c r="BO182" s="118" t="s">
        <v>6415</v>
      </c>
      <c r="BP182" s="118" t="s">
        <v>6415</v>
      </c>
      <c r="BQ182" s="118" t="s">
        <v>6415</v>
      </c>
      <c r="BR182" s="118" t="s">
        <v>6415</v>
      </c>
      <c r="BS182" s="118" t="s">
        <v>6415</v>
      </c>
      <c r="BT182" s="118" t="s">
        <v>6990</v>
      </c>
      <c r="BU182" s="118" t="s">
        <v>6991</v>
      </c>
      <c r="BV182" s="118" t="s">
        <v>6415</v>
      </c>
      <c r="BW182" s="118" t="s">
        <v>6415</v>
      </c>
      <c r="BX182" s="118" t="s">
        <v>6415</v>
      </c>
      <c r="BY182" s="118" t="s">
        <v>6415</v>
      </c>
      <c r="BZ182" s="118" t="s">
        <v>6415</v>
      </c>
      <c r="CA182" s="118" t="s">
        <v>6415</v>
      </c>
      <c r="CB182" s="118" t="s">
        <v>221</v>
      </c>
      <c r="CC182" s="118" t="s">
        <v>740</v>
      </c>
      <c r="CD182" s="118">
        <v>2</v>
      </c>
      <c r="CE182" s="118" t="s">
        <v>405</v>
      </c>
      <c r="CF182" s="118" t="s">
        <v>406</v>
      </c>
      <c r="CG182" s="118" t="s">
        <v>924</v>
      </c>
      <c r="CH182" s="118" t="s">
        <v>6302</v>
      </c>
      <c r="CI182" s="118" t="s">
        <v>6303</v>
      </c>
      <c r="CJ182" s="118" t="s">
        <v>398</v>
      </c>
      <c r="CK182" s="14">
        <v>0</v>
      </c>
      <c r="CL182" s="118">
        <v>35</v>
      </c>
      <c r="CM182" s="118" t="s">
        <v>439</v>
      </c>
      <c r="CN182" s="118" t="s">
        <v>6329</v>
      </c>
      <c r="CO182" s="118" t="s">
        <v>1096</v>
      </c>
      <c r="CP182" s="118" t="s">
        <v>400</v>
      </c>
      <c r="CQ182" s="118" t="s">
        <v>6415</v>
      </c>
      <c r="CR182" s="118" t="s">
        <v>6415</v>
      </c>
      <c r="CS182" s="118" t="s">
        <v>6415</v>
      </c>
      <c r="CT182" s="118" t="s">
        <v>6415</v>
      </c>
      <c r="CU182" s="118" t="s">
        <v>6415</v>
      </c>
      <c r="CV182" s="118" t="s">
        <v>6415</v>
      </c>
      <c r="CW182" s="14">
        <v>32</v>
      </c>
      <c r="CX182" s="118" t="s">
        <v>1068</v>
      </c>
      <c r="CY182" s="118" t="s">
        <v>6341</v>
      </c>
      <c r="CZ182" s="118">
        <v>1</v>
      </c>
      <c r="DA182" s="118" t="s">
        <v>405</v>
      </c>
      <c r="DB182" s="118" t="s">
        <v>406</v>
      </c>
      <c r="DC182" s="118" t="s">
        <v>6415</v>
      </c>
      <c r="DD182" s="118" t="s">
        <v>6302</v>
      </c>
      <c r="DE182" s="118" t="s">
        <v>6305</v>
      </c>
      <c r="DF182" s="118" t="s">
        <v>398</v>
      </c>
      <c r="DG182" s="118" t="s">
        <v>6415</v>
      </c>
      <c r="DH182" s="118">
        <v>35</v>
      </c>
      <c r="DI182" s="118" t="s">
        <v>399</v>
      </c>
      <c r="DJ182" s="118" t="s">
        <v>398</v>
      </c>
      <c r="DK182" s="118" t="s">
        <v>400</v>
      </c>
      <c r="DL182" s="118" t="s">
        <v>6415</v>
      </c>
      <c r="DM182" s="118" t="s">
        <v>6415</v>
      </c>
      <c r="DN182" s="118" t="s">
        <v>6415</v>
      </c>
      <c r="DO182" s="118" t="s">
        <v>6415</v>
      </c>
      <c r="DP182" s="118" t="s">
        <v>6415</v>
      </c>
      <c r="DQ182" s="118" t="s">
        <v>6415</v>
      </c>
      <c r="DR182" s="118">
        <v>20</v>
      </c>
      <c r="DS182" s="118" t="s">
        <v>1068</v>
      </c>
      <c r="DT182" s="118" t="s">
        <v>6341</v>
      </c>
      <c r="DU182" s="118" t="s">
        <v>6415</v>
      </c>
      <c r="DV182" s="118" t="s">
        <v>6415</v>
      </c>
      <c r="DW182" s="118" t="s">
        <v>6415</v>
      </c>
      <c r="DX182" s="118" t="s">
        <v>6415</v>
      </c>
      <c r="DY182" s="118" t="s">
        <v>6415</v>
      </c>
      <c r="DZ182" s="118" t="s">
        <v>6415</v>
      </c>
      <c r="EA182" s="118" t="s">
        <v>6415</v>
      </c>
      <c r="EB182" s="118" t="s">
        <v>6415</v>
      </c>
      <c r="EC182" s="118" t="s">
        <v>6415</v>
      </c>
      <c r="ED182" s="118" t="s">
        <v>6415</v>
      </c>
      <c r="EE182" s="118" t="s">
        <v>6415</v>
      </c>
      <c r="EF182" s="118" t="s">
        <v>6415</v>
      </c>
      <c r="EG182" s="118" t="s">
        <v>6986</v>
      </c>
      <c r="EH182" s="118" t="s">
        <v>7168</v>
      </c>
      <c r="EI182" s="118" t="s">
        <v>6415</v>
      </c>
      <c r="EJ182" s="118" t="s">
        <v>6415</v>
      </c>
      <c r="EK182" s="118" t="s">
        <v>6415</v>
      </c>
      <c r="EL182" s="118" t="s">
        <v>7467</v>
      </c>
      <c r="EM182" s="118" t="s">
        <v>7289</v>
      </c>
      <c r="EN182" s="118" t="s">
        <v>6415</v>
      </c>
      <c r="EO182" s="6" t="str">
        <f t="shared" si="18"/>
        <v>Pathweb</v>
      </c>
      <c r="EP182" s="6" t="str">
        <f t="shared" si="19"/>
        <v>Google Maps</v>
      </c>
      <c r="EQ182" s="6" t="str">
        <f t="shared" si="20"/>
        <v>Mashed Map</v>
      </c>
      <c r="ER182" s="118" t="s">
        <v>6727</v>
      </c>
      <c r="ES182" s="118" t="s">
        <v>71</v>
      </c>
      <c r="ET182" s="4">
        <v>8.9999999999999993E-3</v>
      </c>
      <c r="EU182" s="4"/>
      <c r="EV182" s="4"/>
    </row>
    <row r="183" spans="1:152" x14ac:dyDescent="0.15">
      <c r="A183" s="581" t="str">
        <f t="shared" si="17"/>
        <v>Crash Report</v>
      </c>
      <c r="B183" s="118">
        <v>20233086376</v>
      </c>
      <c r="C183" s="118">
        <v>2023</v>
      </c>
      <c r="D183" s="118">
        <v>23052221940945</v>
      </c>
      <c r="F183" s="118" t="s">
        <v>6441</v>
      </c>
      <c r="G183" s="118" t="s">
        <v>390</v>
      </c>
      <c r="H183" s="118">
        <v>2</v>
      </c>
      <c r="I183" s="118" t="s">
        <v>6055</v>
      </c>
      <c r="J183" s="118" t="s">
        <v>423</v>
      </c>
      <c r="K183" s="118" t="s">
        <v>6985</v>
      </c>
      <c r="L183" s="118">
        <v>0.14899999999999999</v>
      </c>
      <c r="M183" s="118">
        <v>0.14899999999999999</v>
      </c>
      <c r="N183" s="118" t="s">
        <v>7465</v>
      </c>
      <c r="O183" s="118" t="s">
        <v>7466</v>
      </c>
      <c r="P183" s="118">
        <v>41.648522999999997</v>
      </c>
      <c r="Q183" s="118">
        <v>-83.523471000000001</v>
      </c>
      <c r="R183" s="118">
        <v>77000</v>
      </c>
      <c r="S183" s="118" t="s">
        <v>6988</v>
      </c>
      <c r="T183" s="118">
        <v>1</v>
      </c>
      <c r="U183" s="118">
        <v>0</v>
      </c>
      <c r="V183" s="118">
        <v>0</v>
      </c>
      <c r="W183" s="118">
        <v>0</v>
      </c>
      <c r="X183" s="118">
        <v>2</v>
      </c>
      <c r="Y183" s="118">
        <v>1</v>
      </c>
      <c r="Z183" s="118">
        <v>0</v>
      </c>
      <c r="AA183" s="118">
        <v>2</v>
      </c>
      <c r="AB183" s="118" t="s">
        <v>1067</v>
      </c>
      <c r="AC183" s="118" t="s">
        <v>6989</v>
      </c>
      <c r="AD183" s="118" t="s">
        <v>1034</v>
      </c>
      <c r="AE183" s="118" t="s">
        <v>943</v>
      </c>
      <c r="AF183" s="118" t="s">
        <v>1042</v>
      </c>
      <c r="AG183" s="118" t="s">
        <v>6415</v>
      </c>
      <c r="AH183" s="118" t="s">
        <v>393</v>
      </c>
      <c r="AI183" s="118">
        <v>4</v>
      </c>
      <c r="AJ183" s="118" t="s">
        <v>6415</v>
      </c>
      <c r="AK183" s="118" t="s">
        <v>393</v>
      </c>
      <c r="AL183" s="118" t="s">
        <v>393</v>
      </c>
      <c r="AM183" s="118" t="s">
        <v>393</v>
      </c>
      <c r="AN183" s="402" t="s">
        <v>5975</v>
      </c>
      <c r="AO183" s="402">
        <v>45068</v>
      </c>
      <c r="AP183" s="118">
        <v>5</v>
      </c>
      <c r="AQ183" s="118">
        <v>9</v>
      </c>
      <c r="AR183" s="118" t="s">
        <v>6444</v>
      </c>
      <c r="AS183" s="118" t="s">
        <v>392</v>
      </c>
      <c r="AT183" s="118" t="s">
        <v>500</v>
      </c>
      <c r="AU183" s="118" t="s">
        <v>404</v>
      </c>
      <c r="AV183" s="118" t="s">
        <v>508</v>
      </c>
      <c r="AW183" s="118" t="s">
        <v>393</v>
      </c>
      <c r="AX183" s="118" t="s">
        <v>740</v>
      </c>
      <c r="AY183" s="118" t="s">
        <v>393</v>
      </c>
      <c r="AZ183" s="118" t="s">
        <v>393</v>
      </c>
      <c r="BA183" s="118" t="s">
        <v>393</v>
      </c>
      <c r="BB183" s="118" t="s">
        <v>393</v>
      </c>
      <c r="BC183" s="118" t="s">
        <v>393</v>
      </c>
      <c r="BD183" s="118" t="s">
        <v>393</v>
      </c>
      <c r="BE183" s="118" t="s">
        <v>393</v>
      </c>
      <c r="BF183" s="118" t="s">
        <v>393</v>
      </c>
      <c r="BG183" s="118" t="s">
        <v>393</v>
      </c>
      <c r="BH183" s="118" t="s">
        <v>394</v>
      </c>
      <c r="BI183" s="118" t="s">
        <v>394</v>
      </c>
      <c r="BJ183" s="118" t="s">
        <v>393</v>
      </c>
      <c r="BK183" s="118" t="s">
        <v>6988</v>
      </c>
      <c r="BL183" s="118" t="s">
        <v>6415</v>
      </c>
      <c r="BM183" s="118" t="s">
        <v>6990</v>
      </c>
      <c r="BN183" s="118" t="s">
        <v>6991</v>
      </c>
      <c r="BO183" s="118" t="s">
        <v>6415</v>
      </c>
      <c r="BP183" s="118" t="s">
        <v>6415</v>
      </c>
      <c r="BQ183" s="118" t="s">
        <v>6415</v>
      </c>
      <c r="BR183" s="118" t="s">
        <v>6415</v>
      </c>
      <c r="BS183" s="118" t="s">
        <v>6415</v>
      </c>
      <c r="BT183" s="118" t="s">
        <v>6992</v>
      </c>
      <c r="BU183" s="118" t="s">
        <v>6991</v>
      </c>
      <c r="BV183" s="118" t="s">
        <v>6415</v>
      </c>
      <c r="BW183" s="118" t="s">
        <v>6415</v>
      </c>
      <c r="BX183" s="118" t="s">
        <v>6415</v>
      </c>
      <c r="BY183" s="118" t="s">
        <v>6415</v>
      </c>
      <c r="BZ183" s="118" t="s">
        <v>6415</v>
      </c>
      <c r="CA183" s="118" t="s">
        <v>6415</v>
      </c>
      <c r="CB183" s="118" t="s">
        <v>221</v>
      </c>
      <c r="CC183" s="118" t="s">
        <v>740</v>
      </c>
      <c r="CD183" s="118">
        <v>2</v>
      </c>
      <c r="CE183" s="118" t="s">
        <v>396</v>
      </c>
      <c r="CF183" s="118" t="s">
        <v>397</v>
      </c>
      <c r="CG183" s="118" t="s">
        <v>924</v>
      </c>
      <c r="CH183" s="118" t="s">
        <v>6300</v>
      </c>
      <c r="CI183" s="118" t="s">
        <v>417</v>
      </c>
      <c r="CJ183" s="118" t="s">
        <v>398</v>
      </c>
      <c r="CK183" s="118">
        <v>0</v>
      </c>
      <c r="CL183" s="118">
        <v>35</v>
      </c>
      <c r="CM183" s="118" t="s">
        <v>399</v>
      </c>
      <c r="CN183" s="118" t="s">
        <v>6512</v>
      </c>
      <c r="CO183" s="118" t="s">
        <v>1096</v>
      </c>
      <c r="CP183" s="118" t="s">
        <v>400</v>
      </c>
      <c r="CQ183" s="118" t="s">
        <v>6415</v>
      </c>
      <c r="CR183" s="118" t="s">
        <v>6415</v>
      </c>
      <c r="CS183" s="118" t="s">
        <v>6415</v>
      </c>
      <c r="CT183" s="118" t="s">
        <v>6415</v>
      </c>
      <c r="CU183" s="118" t="s">
        <v>6415</v>
      </c>
      <c r="CV183" s="118" t="s">
        <v>6415</v>
      </c>
      <c r="CW183" s="118">
        <v>0</v>
      </c>
      <c r="CX183" s="118" t="s">
        <v>1068</v>
      </c>
      <c r="CY183" s="118" t="s">
        <v>6151</v>
      </c>
      <c r="CZ183" s="118">
        <v>1</v>
      </c>
      <c r="DA183" s="118" t="s">
        <v>396</v>
      </c>
      <c r="DB183" s="118" t="s">
        <v>397</v>
      </c>
      <c r="DC183" s="118" t="s">
        <v>6415</v>
      </c>
      <c r="DD183" s="118" t="s">
        <v>6300</v>
      </c>
      <c r="DE183" s="118" t="s">
        <v>6305</v>
      </c>
      <c r="DF183" s="118" t="s">
        <v>398</v>
      </c>
      <c r="DG183" s="118">
        <v>0</v>
      </c>
      <c r="DH183" s="118">
        <v>35</v>
      </c>
      <c r="DI183" s="118" t="s">
        <v>6355</v>
      </c>
      <c r="DJ183" s="118" t="s">
        <v>398</v>
      </c>
      <c r="DK183" s="118" t="s">
        <v>400</v>
      </c>
      <c r="DL183" s="118" t="s">
        <v>6415</v>
      </c>
      <c r="DM183" s="118" t="s">
        <v>6415</v>
      </c>
      <c r="DN183" s="118" t="s">
        <v>6415</v>
      </c>
      <c r="DO183" s="118" t="s">
        <v>6415</v>
      </c>
      <c r="DP183" s="118" t="s">
        <v>6415</v>
      </c>
      <c r="DQ183" s="118" t="s">
        <v>6415</v>
      </c>
      <c r="DR183" s="118">
        <v>56</v>
      </c>
      <c r="DS183" s="118" t="s">
        <v>1066</v>
      </c>
      <c r="DT183" s="118" t="s">
        <v>6341</v>
      </c>
      <c r="DU183" s="118" t="s">
        <v>6415</v>
      </c>
      <c r="DV183" s="118" t="s">
        <v>6415</v>
      </c>
      <c r="DW183" s="118" t="s">
        <v>6415</v>
      </c>
      <c r="DX183" s="118" t="s">
        <v>6415</v>
      </c>
      <c r="DY183" s="118" t="s">
        <v>6415</v>
      </c>
      <c r="DZ183" s="118" t="s">
        <v>6415</v>
      </c>
      <c r="EA183" s="118" t="s">
        <v>6415</v>
      </c>
      <c r="EB183" s="118" t="s">
        <v>6415</v>
      </c>
      <c r="EC183" s="118" t="s">
        <v>6415</v>
      </c>
      <c r="ED183" s="118" t="s">
        <v>6415</v>
      </c>
      <c r="EE183" s="118" t="s">
        <v>6415</v>
      </c>
      <c r="EF183" s="118" t="s">
        <v>6415</v>
      </c>
      <c r="EG183" s="118" t="s">
        <v>6986</v>
      </c>
      <c r="EH183" s="118" t="s">
        <v>6987</v>
      </c>
      <c r="EI183" s="118" t="s">
        <v>6415</v>
      </c>
      <c r="EJ183" s="118" t="s">
        <v>6415</v>
      </c>
      <c r="EK183" s="118" t="s">
        <v>6415</v>
      </c>
      <c r="EL183" s="118" t="s">
        <v>7467</v>
      </c>
      <c r="EM183" s="118" t="s">
        <v>7290</v>
      </c>
      <c r="EN183" s="118" t="s">
        <v>6415</v>
      </c>
      <c r="EO183" s="6" t="str">
        <f t="shared" si="18"/>
        <v>Pathweb</v>
      </c>
      <c r="EP183" s="6" t="str">
        <f t="shared" si="19"/>
        <v>Google Maps</v>
      </c>
      <c r="EQ183" s="6" t="str">
        <f t="shared" si="20"/>
        <v>Mashed Map</v>
      </c>
      <c r="ER183" s="118" t="s">
        <v>6727</v>
      </c>
      <c r="ES183" s="118" t="s">
        <v>6728</v>
      </c>
      <c r="ET183" s="4">
        <v>0</v>
      </c>
      <c r="EU183" s="4"/>
      <c r="EV183" s="4"/>
    </row>
    <row r="184" spans="1:152" x14ac:dyDescent="0.15">
      <c r="A184" s="581" t="str">
        <f t="shared" si="17"/>
        <v>Crash Report</v>
      </c>
      <c r="B184" s="118">
        <v>20233090962</v>
      </c>
      <c r="C184" s="118">
        <v>2023</v>
      </c>
      <c r="D184" s="118">
        <v>23052828661800</v>
      </c>
      <c r="F184" s="118" t="s">
        <v>6440</v>
      </c>
      <c r="G184" s="118" t="s">
        <v>313</v>
      </c>
      <c r="H184" s="118">
        <v>2</v>
      </c>
      <c r="I184" s="118" t="s">
        <v>6055</v>
      </c>
      <c r="J184" s="118" t="s">
        <v>434</v>
      </c>
      <c r="K184" s="118" t="s">
        <v>6985</v>
      </c>
      <c r="L184" s="118">
        <v>0.874</v>
      </c>
      <c r="M184" s="118">
        <v>0.874</v>
      </c>
      <c r="N184" s="118" t="s">
        <v>7465</v>
      </c>
      <c r="O184" s="118" t="s">
        <v>7481</v>
      </c>
      <c r="P184" s="118">
        <v>41.655144</v>
      </c>
      <c r="Q184" s="118">
        <v>-83.512640000000005</v>
      </c>
      <c r="R184" s="118">
        <v>77000</v>
      </c>
      <c r="S184" s="118" t="s">
        <v>6988</v>
      </c>
      <c r="T184" s="118">
        <v>1</v>
      </c>
      <c r="U184" s="118">
        <v>0</v>
      </c>
      <c r="V184" s="118">
        <v>0</v>
      </c>
      <c r="W184" s="118">
        <v>1</v>
      </c>
      <c r="X184" s="118">
        <v>0</v>
      </c>
      <c r="Y184" s="118">
        <v>1</v>
      </c>
      <c r="Z184" s="118">
        <v>0</v>
      </c>
      <c r="AA184" s="118">
        <v>2</v>
      </c>
      <c r="AB184" s="118" t="s">
        <v>1067</v>
      </c>
      <c r="AC184" s="118" t="s">
        <v>6989</v>
      </c>
      <c r="AD184" s="118" t="s">
        <v>1034</v>
      </c>
      <c r="AE184" s="118" t="s">
        <v>943</v>
      </c>
      <c r="AF184" s="118" t="s">
        <v>1041</v>
      </c>
      <c r="AG184" s="118" t="s">
        <v>6415</v>
      </c>
      <c r="AH184" s="118" t="s">
        <v>393</v>
      </c>
      <c r="AI184" s="118">
        <v>4</v>
      </c>
      <c r="AJ184" s="118" t="s">
        <v>6415</v>
      </c>
      <c r="AK184" s="118" t="s">
        <v>393</v>
      </c>
      <c r="AL184" s="118" t="s">
        <v>393</v>
      </c>
      <c r="AM184" s="118" t="s">
        <v>393</v>
      </c>
      <c r="AN184" s="402" t="s">
        <v>5975</v>
      </c>
      <c r="AO184" s="402">
        <v>45074</v>
      </c>
      <c r="AP184" s="118">
        <v>5</v>
      </c>
      <c r="AQ184" s="118">
        <v>18</v>
      </c>
      <c r="AR184" s="118" t="s">
        <v>6443</v>
      </c>
      <c r="AS184" s="118" t="s">
        <v>392</v>
      </c>
      <c r="AT184" s="118" t="s">
        <v>500</v>
      </c>
      <c r="AU184" s="118" t="s">
        <v>404</v>
      </c>
      <c r="AV184" s="118" t="s">
        <v>508</v>
      </c>
      <c r="AW184" s="118" t="s">
        <v>393</v>
      </c>
      <c r="AX184" s="118" t="s">
        <v>740</v>
      </c>
      <c r="AY184" s="118" t="s">
        <v>393</v>
      </c>
      <c r="AZ184" s="118" t="s">
        <v>393</v>
      </c>
      <c r="BA184" s="118" t="s">
        <v>393</v>
      </c>
      <c r="BB184" s="118" t="s">
        <v>393</v>
      </c>
      <c r="BC184" s="118" t="s">
        <v>393</v>
      </c>
      <c r="BD184" s="118" t="s">
        <v>393</v>
      </c>
      <c r="BE184" s="118" t="s">
        <v>393</v>
      </c>
      <c r="BF184" s="118" t="s">
        <v>393</v>
      </c>
      <c r="BG184" s="118" t="s">
        <v>393</v>
      </c>
      <c r="BH184" s="118" t="s">
        <v>394</v>
      </c>
      <c r="BI184" s="118" t="s">
        <v>394</v>
      </c>
      <c r="BJ184" s="118" t="s">
        <v>393</v>
      </c>
      <c r="BK184" s="118" t="s">
        <v>6988</v>
      </c>
      <c r="BL184" s="118" t="s">
        <v>6415</v>
      </c>
      <c r="BM184" s="118" t="s">
        <v>6990</v>
      </c>
      <c r="BN184" s="118" t="s">
        <v>6991</v>
      </c>
      <c r="BO184" s="118" t="s">
        <v>6415</v>
      </c>
      <c r="BP184" s="118" t="s">
        <v>6415</v>
      </c>
      <c r="BQ184" s="118" t="s">
        <v>6415</v>
      </c>
      <c r="BR184" s="118" t="s">
        <v>6415</v>
      </c>
      <c r="BS184" s="118" t="s">
        <v>6415</v>
      </c>
      <c r="BT184" s="118" t="s">
        <v>7067</v>
      </c>
      <c r="BU184" s="118" t="s">
        <v>7017</v>
      </c>
      <c r="BV184" s="118" t="s">
        <v>6415</v>
      </c>
      <c r="BW184" s="118" t="s">
        <v>6415</v>
      </c>
      <c r="BX184" s="118" t="s">
        <v>6415</v>
      </c>
      <c r="BY184" s="118" t="s">
        <v>6415</v>
      </c>
      <c r="BZ184" s="118" t="s">
        <v>6415</v>
      </c>
      <c r="CA184" s="118" t="s">
        <v>6415</v>
      </c>
      <c r="CB184" s="118" t="s">
        <v>221</v>
      </c>
      <c r="CC184" s="118" t="s">
        <v>740</v>
      </c>
      <c r="CD184" s="118">
        <v>2</v>
      </c>
      <c r="CE184" s="118" t="s">
        <v>401</v>
      </c>
      <c r="CF184" s="118" t="s">
        <v>401</v>
      </c>
      <c r="CG184" s="118" t="s">
        <v>924</v>
      </c>
      <c r="CH184" s="118" t="s">
        <v>6302</v>
      </c>
      <c r="CI184" s="118" t="s">
        <v>417</v>
      </c>
      <c r="CJ184" s="118" t="s">
        <v>398</v>
      </c>
      <c r="CK184" s="118">
        <v>0</v>
      </c>
      <c r="CL184" s="118">
        <v>0</v>
      </c>
      <c r="CM184" s="118" t="s">
        <v>6151</v>
      </c>
      <c r="CN184" s="118" t="s">
        <v>6338</v>
      </c>
      <c r="CO184" s="118" t="s">
        <v>1096</v>
      </c>
      <c r="CP184" s="118" t="s">
        <v>480</v>
      </c>
      <c r="CQ184" s="118" t="s">
        <v>6415</v>
      </c>
      <c r="CR184" s="118" t="s">
        <v>6415</v>
      </c>
      <c r="CS184" s="118" t="s">
        <v>6415</v>
      </c>
      <c r="CT184" s="118" t="s">
        <v>6415</v>
      </c>
      <c r="CU184" s="118" t="s">
        <v>6415</v>
      </c>
      <c r="CV184" s="118" t="s">
        <v>6415</v>
      </c>
      <c r="CW184" s="118">
        <v>0</v>
      </c>
      <c r="CX184" s="118" t="s">
        <v>401</v>
      </c>
      <c r="CY184" s="118" t="s">
        <v>6151</v>
      </c>
      <c r="CZ184" s="118">
        <v>1</v>
      </c>
      <c r="DA184" s="118" t="s">
        <v>401</v>
      </c>
      <c r="DB184" s="118" t="s">
        <v>401</v>
      </c>
      <c r="DC184" s="118" t="s">
        <v>6415</v>
      </c>
      <c r="DD184" s="118" t="s">
        <v>433</v>
      </c>
      <c r="DE184" s="118" t="s">
        <v>6322</v>
      </c>
      <c r="DF184" s="118" t="s">
        <v>398</v>
      </c>
      <c r="DG184" s="118" t="s">
        <v>6415</v>
      </c>
      <c r="DH184" s="118" t="s">
        <v>6415</v>
      </c>
      <c r="DI184" s="118" t="s">
        <v>6151</v>
      </c>
      <c r="DJ184" s="118" t="s">
        <v>6338</v>
      </c>
      <c r="DK184" s="118" t="s">
        <v>400</v>
      </c>
      <c r="DL184" s="118" t="s">
        <v>6415</v>
      </c>
      <c r="DM184" s="118" t="s">
        <v>6415</v>
      </c>
      <c r="DN184" s="118" t="s">
        <v>6415</v>
      </c>
      <c r="DO184" s="118" t="s">
        <v>6415</v>
      </c>
      <c r="DP184" s="118" t="s">
        <v>6415</v>
      </c>
      <c r="DQ184" s="118" t="s">
        <v>6151</v>
      </c>
      <c r="DR184" s="118">
        <v>44</v>
      </c>
      <c r="DS184" s="118" t="s">
        <v>1068</v>
      </c>
      <c r="DT184" s="118" t="s">
        <v>6151</v>
      </c>
      <c r="DU184" s="118" t="s">
        <v>6415</v>
      </c>
      <c r="DV184" s="118" t="s">
        <v>6415</v>
      </c>
      <c r="DW184" s="118" t="s">
        <v>6415</v>
      </c>
      <c r="DX184" s="118" t="s">
        <v>6415</v>
      </c>
      <c r="DY184" s="118" t="s">
        <v>6415</v>
      </c>
      <c r="DZ184" s="118" t="s">
        <v>6415</v>
      </c>
      <c r="EA184" s="118" t="s">
        <v>6415</v>
      </c>
      <c r="EB184" s="118" t="s">
        <v>6415</v>
      </c>
      <c r="EC184" s="118" t="s">
        <v>6415</v>
      </c>
      <c r="ED184" s="118" t="s">
        <v>6415</v>
      </c>
      <c r="EE184" s="118" t="s">
        <v>6415</v>
      </c>
      <c r="EF184" s="118" t="s">
        <v>6415</v>
      </c>
      <c r="EG184" s="118" t="s">
        <v>7065</v>
      </c>
      <c r="EH184" s="118" t="s">
        <v>7066</v>
      </c>
      <c r="EI184" s="118" t="s">
        <v>6415</v>
      </c>
      <c r="EJ184" s="118" t="s">
        <v>6415</v>
      </c>
      <c r="EK184" s="118" t="s">
        <v>6415</v>
      </c>
      <c r="EL184" s="118" t="s">
        <v>7467</v>
      </c>
      <c r="EM184" s="118" t="s">
        <v>7291</v>
      </c>
      <c r="EN184" s="118" t="s">
        <v>6415</v>
      </c>
      <c r="EO184" s="6" t="str">
        <f t="shared" si="18"/>
        <v>Pathweb</v>
      </c>
      <c r="EP184" s="6" t="str">
        <f t="shared" si="19"/>
        <v>Google Maps</v>
      </c>
      <c r="EQ184" s="6" t="str">
        <f t="shared" si="20"/>
        <v>Mashed Map</v>
      </c>
      <c r="ER184" s="118" t="s">
        <v>6726</v>
      </c>
      <c r="ES184" s="118" t="s">
        <v>6728</v>
      </c>
      <c r="ET184" s="4">
        <v>0</v>
      </c>
      <c r="EU184" s="4"/>
      <c r="EV184" s="4"/>
    </row>
    <row r="185" spans="1:152" x14ac:dyDescent="0.15">
      <c r="A185" s="581" t="str">
        <f t="shared" si="17"/>
        <v>Crash Report</v>
      </c>
      <c r="B185" s="14">
        <v>20233091440</v>
      </c>
      <c r="C185" s="118">
        <v>2023</v>
      </c>
      <c r="D185" s="14">
        <v>23052929591930</v>
      </c>
      <c r="F185" s="118" t="s">
        <v>6442</v>
      </c>
      <c r="G185" s="118" t="s">
        <v>390</v>
      </c>
      <c r="H185" s="118">
        <v>2</v>
      </c>
      <c r="I185" s="118" t="s">
        <v>6055</v>
      </c>
      <c r="J185" s="118" t="s">
        <v>391</v>
      </c>
      <c r="K185" s="118" t="s">
        <v>6997</v>
      </c>
      <c r="L185" s="118">
        <v>0.71299999999999997</v>
      </c>
      <c r="M185" s="118">
        <v>0.71299999999999997</v>
      </c>
      <c r="N185" s="118" t="s">
        <v>7469</v>
      </c>
      <c r="O185" s="118" t="s">
        <v>7473</v>
      </c>
      <c r="P185" s="118">
        <v>41.648513000000001</v>
      </c>
      <c r="Q185" s="118">
        <v>-83.523441000000005</v>
      </c>
      <c r="R185" s="118">
        <v>77000</v>
      </c>
      <c r="S185" s="118" t="s">
        <v>6988</v>
      </c>
      <c r="T185" s="118">
        <v>1</v>
      </c>
      <c r="U185" s="118">
        <v>0</v>
      </c>
      <c r="V185" s="118">
        <v>0</v>
      </c>
      <c r="W185" s="118">
        <v>0</v>
      </c>
      <c r="X185" s="118">
        <v>0</v>
      </c>
      <c r="Y185" s="118">
        <v>6</v>
      </c>
      <c r="Z185" s="118">
        <v>1</v>
      </c>
      <c r="AA185" s="118">
        <v>2</v>
      </c>
      <c r="AB185" s="118" t="s">
        <v>1067</v>
      </c>
      <c r="AC185" s="118" t="s">
        <v>6989</v>
      </c>
      <c r="AD185" s="118" t="s">
        <v>1034</v>
      </c>
      <c r="AE185" s="118" t="s">
        <v>943</v>
      </c>
      <c r="AF185" s="118" t="s">
        <v>1042</v>
      </c>
      <c r="AG185" s="118" t="s">
        <v>6415</v>
      </c>
      <c r="AH185" s="118" t="s">
        <v>393</v>
      </c>
      <c r="AI185" s="118">
        <v>2</v>
      </c>
      <c r="AJ185" s="118" t="s">
        <v>6415</v>
      </c>
      <c r="AK185" s="118" t="s">
        <v>393</v>
      </c>
      <c r="AL185" s="118" t="s">
        <v>393</v>
      </c>
      <c r="AM185" s="118" t="s">
        <v>393</v>
      </c>
      <c r="AN185" s="402" t="s">
        <v>5975</v>
      </c>
      <c r="AO185" s="402">
        <v>45075</v>
      </c>
      <c r="AP185" s="118">
        <v>5</v>
      </c>
      <c r="AQ185" s="118">
        <v>19</v>
      </c>
      <c r="AR185" s="118" t="s">
        <v>6444</v>
      </c>
      <c r="AS185" s="118" t="s">
        <v>392</v>
      </c>
      <c r="AT185" s="118" t="s">
        <v>500</v>
      </c>
      <c r="AU185" s="118" t="s">
        <v>404</v>
      </c>
      <c r="AV185" s="118" t="s">
        <v>508</v>
      </c>
      <c r="AW185" s="118" t="s">
        <v>393</v>
      </c>
      <c r="AX185" s="118" t="s">
        <v>740</v>
      </c>
      <c r="AY185" s="118" t="s">
        <v>393</v>
      </c>
      <c r="AZ185" s="118" t="s">
        <v>393</v>
      </c>
      <c r="BA185" s="118" t="s">
        <v>393</v>
      </c>
      <c r="BB185" s="118" t="s">
        <v>393</v>
      </c>
      <c r="BC185" s="118" t="s">
        <v>393</v>
      </c>
      <c r="BD185" s="118" t="s">
        <v>393</v>
      </c>
      <c r="BE185" s="118" t="s">
        <v>393</v>
      </c>
      <c r="BF185" s="118" t="s">
        <v>740</v>
      </c>
      <c r="BG185" s="118" t="s">
        <v>393</v>
      </c>
      <c r="BH185" s="118" t="s">
        <v>394</v>
      </c>
      <c r="BI185" s="118" t="s">
        <v>394</v>
      </c>
      <c r="BJ185" s="118" t="s">
        <v>740</v>
      </c>
      <c r="BK185" s="118" t="s">
        <v>6988</v>
      </c>
      <c r="BL185" s="118" t="s">
        <v>6415</v>
      </c>
      <c r="BM185" s="118" t="s">
        <v>6992</v>
      </c>
      <c r="BN185" s="118" t="s">
        <v>6991</v>
      </c>
      <c r="BO185" s="118" t="s">
        <v>6415</v>
      </c>
      <c r="BP185" s="118" t="s">
        <v>6415</v>
      </c>
      <c r="BQ185" s="118" t="s">
        <v>6415</v>
      </c>
      <c r="BR185" s="118" t="s">
        <v>6415</v>
      </c>
      <c r="BS185" s="118" t="s">
        <v>6415</v>
      </c>
      <c r="BT185" s="118" t="s">
        <v>6990</v>
      </c>
      <c r="BU185" s="118" t="s">
        <v>6991</v>
      </c>
      <c r="BV185" s="118" t="s">
        <v>6415</v>
      </c>
      <c r="BW185" s="118" t="s">
        <v>6415</v>
      </c>
      <c r="BX185" s="118" t="s">
        <v>6415</v>
      </c>
      <c r="BY185" s="118" t="s">
        <v>6415</v>
      </c>
      <c r="BZ185" s="118" t="s">
        <v>6415</v>
      </c>
      <c r="CA185" s="118" t="s">
        <v>6415</v>
      </c>
      <c r="CB185" s="118" t="s">
        <v>221</v>
      </c>
      <c r="CC185" s="118" t="s">
        <v>740</v>
      </c>
      <c r="CD185" s="118">
        <v>1</v>
      </c>
      <c r="CE185" s="118" t="s">
        <v>397</v>
      </c>
      <c r="CF185" s="118" t="s">
        <v>396</v>
      </c>
      <c r="CG185" s="118" t="s">
        <v>924</v>
      </c>
      <c r="CH185" s="118" t="s">
        <v>6301</v>
      </c>
      <c r="CI185" s="118" t="s">
        <v>6304</v>
      </c>
      <c r="CJ185" s="118" t="s">
        <v>398</v>
      </c>
      <c r="CK185" s="14">
        <v>35</v>
      </c>
      <c r="CL185" s="118">
        <v>35</v>
      </c>
      <c r="CM185" s="118" t="s">
        <v>399</v>
      </c>
      <c r="CN185" s="118" t="s">
        <v>6512</v>
      </c>
      <c r="CO185" s="118" t="s">
        <v>1096</v>
      </c>
      <c r="CP185" s="118" t="s">
        <v>400</v>
      </c>
      <c r="CQ185" s="118" t="s">
        <v>6415</v>
      </c>
      <c r="CR185" s="118" t="s">
        <v>6415</v>
      </c>
      <c r="CS185" s="118" t="s">
        <v>6415</v>
      </c>
      <c r="CT185" s="118" t="s">
        <v>6415</v>
      </c>
      <c r="CU185" s="118" t="s">
        <v>6415</v>
      </c>
      <c r="CV185" s="118" t="s">
        <v>6415</v>
      </c>
      <c r="CW185" s="14">
        <v>24</v>
      </c>
      <c r="CX185" s="118" t="s">
        <v>1066</v>
      </c>
      <c r="CY185" s="118" t="s">
        <v>6346</v>
      </c>
      <c r="CZ185" s="118">
        <v>2</v>
      </c>
      <c r="DA185" s="118" t="s">
        <v>397</v>
      </c>
      <c r="DB185" s="118" t="s">
        <v>396</v>
      </c>
      <c r="DC185" s="118" t="s">
        <v>6415</v>
      </c>
      <c r="DD185" s="118" t="s">
        <v>6300</v>
      </c>
      <c r="DE185" s="118" t="s">
        <v>417</v>
      </c>
      <c r="DF185" s="118" t="s">
        <v>428</v>
      </c>
      <c r="DG185" s="118">
        <v>0</v>
      </c>
      <c r="DH185" s="118">
        <v>35</v>
      </c>
      <c r="DI185" s="118" t="s">
        <v>6355</v>
      </c>
      <c r="DJ185" s="118" t="s">
        <v>398</v>
      </c>
      <c r="DK185" s="118" t="s">
        <v>400</v>
      </c>
      <c r="DL185" s="118" t="s">
        <v>6415</v>
      </c>
      <c r="DM185" s="118" t="s">
        <v>6415</v>
      </c>
      <c r="DN185" s="118" t="s">
        <v>6415</v>
      </c>
      <c r="DO185" s="118" t="s">
        <v>6415</v>
      </c>
      <c r="DP185" s="118" t="s">
        <v>6415</v>
      </c>
      <c r="DQ185" s="118" t="s">
        <v>6415</v>
      </c>
      <c r="DR185" s="118">
        <v>37</v>
      </c>
      <c r="DS185" s="118" t="s">
        <v>1068</v>
      </c>
      <c r="DT185" s="118" t="s">
        <v>6341</v>
      </c>
      <c r="DU185" s="118" t="s">
        <v>6415</v>
      </c>
      <c r="DV185" s="118" t="s">
        <v>6415</v>
      </c>
      <c r="DW185" s="118" t="s">
        <v>6415</v>
      </c>
      <c r="DX185" s="118" t="s">
        <v>6415</v>
      </c>
      <c r="DY185" s="118" t="s">
        <v>6415</v>
      </c>
      <c r="DZ185" s="118" t="s">
        <v>6415</v>
      </c>
      <c r="EA185" s="118" t="s">
        <v>6415</v>
      </c>
      <c r="EB185" s="118" t="s">
        <v>6415</v>
      </c>
      <c r="EC185" s="118" t="s">
        <v>6415</v>
      </c>
      <c r="ED185" s="118" t="s">
        <v>6415</v>
      </c>
      <c r="EE185" s="118" t="s">
        <v>6415</v>
      </c>
      <c r="EF185" s="118" t="s">
        <v>6415</v>
      </c>
      <c r="EG185" s="118" t="s">
        <v>6986</v>
      </c>
      <c r="EH185" s="118" t="s">
        <v>7168</v>
      </c>
      <c r="EI185" s="118" t="s">
        <v>6415</v>
      </c>
      <c r="EJ185" s="118" t="s">
        <v>6415</v>
      </c>
      <c r="EK185" s="118" t="s">
        <v>6415</v>
      </c>
      <c r="EL185" s="118" t="s">
        <v>7467</v>
      </c>
      <c r="EM185" s="118" t="s">
        <v>7292</v>
      </c>
      <c r="EN185" s="118" t="s">
        <v>6415</v>
      </c>
      <c r="EO185" s="6" t="str">
        <f t="shared" si="18"/>
        <v>Pathweb</v>
      </c>
      <c r="EP185" s="6" t="str">
        <f t="shared" si="19"/>
        <v>Google Maps</v>
      </c>
      <c r="EQ185" s="6" t="str">
        <f t="shared" si="20"/>
        <v>Mashed Map</v>
      </c>
      <c r="ER185" s="118" t="s">
        <v>6727</v>
      </c>
      <c r="ES185" s="118" t="s">
        <v>71</v>
      </c>
      <c r="ET185" s="4">
        <v>2E-3</v>
      </c>
      <c r="EU185" s="4"/>
      <c r="EV185" s="4"/>
    </row>
    <row r="186" spans="1:152" x14ac:dyDescent="0.15">
      <c r="A186" s="581" t="str">
        <f t="shared" si="17"/>
        <v>Crash Report</v>
      </c>
      <c r="B186" s="14">
        <v>20233092859</v>
      </c>
      <c r="C186" s="118">
        <v>2023</v>
      </c>
      <c r="D186" s="14">
        <v>23053127792005</v>
      </c>
      <c r="F186" s="118" t="s">
        <v>6442</v>
      </c>
      <c r="G186" s="118" t="s">
        <v>210</v>
      </c>
      <c r="H186" s="118">
        <v>2</v>
      </c>
      <c r="I186" s="118" t="s">
        <v>6055</v>
      </c>
      <c r="J186" s="118" t="s">
        <v>391</v>
      </c>
      <c r="K186" s="118" t="s">
        <v>6997</v>
      </c>
      <c r="L186" s="118">
        <v>0.188</v>
      </c>
      <c r="M186" s="118">
        <v>0.188</v>
      </c>
      <c r="N186" s="118" t="s">
        <v>7469</v>
      </c>
      <c r="O186" s="118" t="s">
        <v>7491</v>
      </c>
      <c r="P186" s="118">
        <v>41.642552999999999</v>
      </c>
      <c r="Q186" s="118">
        <v>-83.518231999999998</v>
      </c>
      <c r="R186" s="118">
        <v>77000</v>
      </c>
      <c r="S186" s="118" t="s">
        <v>6988</v>
      </c>
      <c r="T186" s="118">
        <v>1</v>
      </c>
      <c r="U186" s="118">
        <v>0</v>
      </c>
      <c r="V186" s="118">
        <v>0</v>
      </c>
      <c r="W186" s="118">
        <v>0</v>
      </c>
      <c r="X186" s="118">
        <v>0</v>
      </c>
      <c r="Y186" s="118">
        <v>1</v>
      </c>
      <c r="Z186" s="118">
        <v>0</v>
      </c>
      <c r="AA186" s="118">
        <v>2</v>
      </c>
      <c r="AB186" s="118" t="s">
        <v>1067</v>
      </c>
      <c r="AC186" s="118" t="s">
        <v>6989</v>
      </c>
      <c r="AD186" s="118" t="s">
        <v>1034</v>
      </c>
      <c r="AE186" s="118" t="s">
        <v>943</v>
      </c>
      <c r="AF186" s="118" t="s">
        <v>1045</v>
      </c>
      <c r="AG186" s="118" t="s">
        <v>6415</v>
      </c>
      <c r="AH186" s="118" t="s">
        <v>393</v>
      </c>
      <c r="AI186" s="118">
        <v>4</v>
      </c>
      <c r="AJ186" s="118" t="s">
        <v>6415</v>
      </c>
      <c r="AK186" s="118" t="s">
        <v>393</v>
      </c>
      <c r="AL186" s="118" t="s">
        <v>393</v>
      </c>
      <c r="AM186" s="118" t="s">
        <v>393</v>
      </c>
      <c r="AN186" s="402" t="s">
        <v>5975</v>
      </c>
      <c r="AO186" s="402">
        <v>45077</v>
      </c>
      <c r="AP186" s="118">
        <v>5</v>
      </c>
      <c r="AQ186" s="118">
        <v>20</v>
      </c>
      <c r="AR186" s="118" t="s">
        <v>6446</v>
      </c>
      <c r="AS186" s="118" t="s">
        <v>392</v>
      </c>
      <c r="AT186" s="118" t="s">
        <v>500</v>
      </c>
      <c r="AU186" s="118" t="s">
        <v>6324</v>
      </c>
      <c r="AV186" s="118" t="s">
        <v>508</v>
      </c>
      <c r="AW186" s="118" t="s">
        <v>740</v>
      </c>
      <c r="AX186" s="118" t="s">
        <v>393</v>
      </c>
      <c r="AY186" s="118" t="s">
        <v>393</v>
      </c>
      <c r="AZ186" s="118" t="s">
        <v>393</v>
      </c>
      <c r="BA186" s="118" t="s">
        <v>393</v>
      </c>
      <c r="BB186" s="118" t="s">
        <v>393</v>
      </c>
      <c r="BC186" s="118" t="s">
        <v>393</v>
      </c>
      <c r="BD186" s="118" t="s">
        <v>393</v>
      </c>
      <c r="BE186" s="118" t="s">
        <v>393</v>
      </c>
      <c r="BF186" s="118" t="s">
        <v>393</v>
      </c>
      <c r="BG186" s="118" t="s">
        <v>393</v>
      </c>
      <c r="BH186" s="118" t="s">
        <v>394</v>
      </c>
      <c r="BI186" s="118" t="s">
        <v>394</v>
      </c>
      <c r="BJ186" s="118" t="s">
        <v>393</v>
      </c>
      <c r="BK186" s="118" t="s">
        <v>6988</v>
      </c>
      <c r="BL186" s="118" t="s">
        <v>6415</v>
      </c>
      <c r="BM186" s="118" t="s">
        <v>6992</v>
      </c>
      <c r="BN186" s="118" t="s">
        <v>6991</v>
      </c>
      <c r="BO186" s="118" t="s">
        <v>6415</v>
      </c>
      <c r="BP186" s="118" t="s">
        <v>6415</v>
      </c>
      <c r="BQ186" s="118" t="s">
        <v>6415</v>
      </c>
      <c r="BR186" s="118" t="s">
        <v>6415</v>
      </c>
      <c r="BS186" s="118" t="s">
        <v>6415</v>
      </c>
      <c r="BT186" s="118" t="s">
        <v>3788</v>
      </c>
      <c r="BU186" s="118" t="s">
        <v>6991</v>
      </c>
      <c r="BV186" s="118" t="s">
        <v>6415</v>
      </c>
      <c r="BW186" s="118" t="s">
        <v>6415</v>
      </c>
      <c r="BX186" s="118" t="s">
        <v>6415</v>
      </c>
      <c r="BY186" s="118" t="s">
        <v>6415</v>
      </c>
      <c r="BZ186" s="118" t="s">
        <v>6415</v>
      </c>
      <c r="CA186" s="118" t="s">
        <v>6415</v>
      </c>
      <c r="CB186" s="118" t="s">
        <v>221</v>
      </c>
      <c r="CC186" s="118" t="s">
        <v>740</v>
      </c>
      <c r="CD186" s="118">
        <v>1</v>
      </c>
      <c r="CE186" s="118" t="s">
        <v>410</v>
      </c>
      <c r="CF186" s="118" t="s">
        <v>411</v>
      </c>
      <c r="CG186" s="118" t="s">
        <v>924</v>
      </c>
      <c r="CH186" s="118" t="s">
        <v>6302</v>
      </c>
      <c r="CI186" s="118" t="s">
        <v>6305</v>
      </c>
      <c r="CJ186" s="118" t="s">
        <v>6151</v>
      </c>
      <c r="CK186" s="14">
        <v>0</v>
      </c>
      <c r="CL186" s="118">
        <v>25</v>
      </c>
      <c r="CM186" s="118" t="s">
        <v>399</v>
      </c>
      <c r="CN186" s="118" t="s">
        <v>407</v>
      </c>
      <c r="CO186" s="118" t="s">
        <v>1096</v>
      </c>
      <c r="CP186" s="118" t="s">
        <v>450</v>
      </c>
      <c r="CQ186" s="118" t="s">
        <v>6415</v>
      </c>
      <c r="CR186" s="118" t="s">
        <v>6415</v>
      </c>
      <c r="CS186" s="118" t="s">
        <v>6415</v>
      </c>
      <c r="CT186" s="118" t="s">
        <v>6415</v>
      </c>
      <c r="CU186" s="118" t="s">
        <v>6415</v>
      </c>
      <c r="CV186" s="118" t="s">
        <v>6415</v>
      </c>
      <c r="CW186" s="14">
        <v>58</v>
      </c>
      <c r="CX186" s="118" t="s">
        <v>1068</v>
      </c>
      <c r="CY186" s="118" t="s">
        <v>6151</v>
      </c>
      <c r="CZ186" s="118">
        <v>2</v>
      </c>
      <c r="DA186" s="118" t="s">
        <v>410</v>
      </c>
      <c r="DB186" s="118" t="s">
        <v>411</v>
      </c>
      <c r="DC186" s="118" t="s">
        <v>6415</v>
      </c>
      <c r="DD186" s="118" t="s">
        <v>6302</v>
      </c>
      <c r="DE186" s="118" t="s">
        <v>417</v>
      </c>
      <c r="DF186" s="118" t="s">
        <v>398</v>
      </c>
      <c r="DG186" s="118">
        <v>0</v>
      </c>
      <c r="DH186" s="118">
        <v>25</v>
      </c>
      <c r="DI186" s="118" t="s">
        <v>429</v>
      </c>
      <c r="DJ186" s="118" t="s">
        <v>398</v>
      </c>
      <c r="DK186" s="118" t="s">
        <v>400</v>
      </c>
      <c r="DL186" s="118" t="s">
        <v>6415</v>
      </c>
      <c r="DM186" s="118" t="s">
        <v>6415</v>
      </c>
      <c r="DN186" s="118" t="s">
        <v>6415</v>
      </c>
      <c r="DO186" s="118" t="s">
        <v>6415</v>
      </c>
      <c r="DP186" s="118" t="s">
        <v>6415</v>
      </c>
      <c r="DQ186" s="118" t="s">
        <v>6415</v>
      </c>
      <c r="DR186" s="118">
        <v>0</v>
      </c>
      <c r="DS186" s="118" t="s">
        <v>6415</v>
      </c>
      <c r="DT186" s="118" t="s">
        <v>6415</v>
      </c>
      <c r="DU186" s="118" t="s">
        <v>6415</v>
      </c>
      <c r="DV186" s="118" t="s">
        <v>6415</v>
      </c>
      <c r="DW186" s="118" t="s">
        <v>6415</v>
      </c>
      <c r="DX186" s="118" t="s">
        <v>6415</v>
      </c>
      <c r="DY186" s="118" t="s">
        <v>6415</v>
      </c>
      <c r="DZ186" s="118" t="s">
        <v>6415</v>
      </c>
      <c r="EA186" s="118" t="s">
        <v>6415</v>
      </c>
      <c r="EB186" s="118" t="s">
        <v>6415</v>
      </c>
      <c r="EC186" s="118" t="s">
        <v>6415</v>
      </c>
      <c r="ED186" s="118" t="s">
        <v>6415</v>
      </c>
      <c r="EE186" s="118" t="s">
        <v>6415</v>
      </c>
      <c r="EF186" s="118" t="s">
        <v>6415</v>
      </c>
      <c r="EG186" s="118" t="s">
        <v>7177</v>
      </c>
      <c r="EH186" s="118" t="s">
        <v>7178</v>
      </c>
      <c r="EI186" s="118" t="s">
        <v>6415</v>
      </c>
      <c r="EJ186" s="118" t="s">
        <v>6415</v>
      </c>
      <c r="EK186" s="118" t="s">
        <v>6415</v>
      </c>
      <c r="EL186" s="118" t="s">
        <v>7467</v>
      </c>
      <c r="EM186" s="118" t="s">
        <v>7293</v>
      </c>
      <c r="EN186" s="118" t="s">
        <v>6415</v>
      </c>
      <c r="EO186" s="6" t="str">
        <f t="shared" si="18"/>
        <v>Pathweb</v>
      </c>
      <c r="EP186" s="6" t="str">
        <f t="shared" si="19"/>
        <v>Google Maps</v>
      </c>
      <c r="EQ186" s="6" t="str">
        <f t="shared" si="20"/>
        <v>Mashed Map</v>
      </c>
      <c r="ER186" s="118" t="s">
        <v>6726</v>
      </c>
      <c r="ES186" s="118" t="s">
        <v>71</v>
      </c>
      <c r="ET186" s="4">
        <v>6.0000000000000001E-3</v>
      </c>
      <c r="EU186" s="4"/>
      <c r="EV186" s="4"/>
    </row>
    <row r="187" spans="1:152" x14ac:dyDescent="0.15">
      <c r="A187" s="581" t="str">
        <f t="shared" si="17"/>
        <v>Crash Report</v>
      </c>
      <c r="B187" s="118">
        <v>20233101002</v>
      </c>
      <c r="C187" s="118">
        <v>2023</v>
      </c>
      <c r="D187" s="118">
        <v>23061229402037</v>
      </c>
      <c r="F187" s="118" t="s">
        <v>6440</v>
      </c>
      <c r="G187" s="118" t="s">
        <v>230</v>
      </c>
      <c r="H187" s="118">
        <v>2</v>
      </c>
      <c r="I187" s="118" t="s">
        <v>6055</v>
      </c>
      <c r="J187" s="118" t="s">
        <v>423</v>
      </c>
      <c r="K187" s="118" t="s">
        <v>6997</v>
      </c>
      <c r="L187" s="118">
        <v>0.71299999999999997</v>
      </c>
      <c r="M187" s="118">
        <v>0.71299999999999997</v>
      </c>
      <c r="N187" s="118" t="s">
        <v>7469</v>
      </c>
      <c r="O187" s="118" t="s">
        <v>7466</v>
      </c>
      <c r="P187" s="118">
        <v>41.648519</v>
      </c>
      <c r="Q187" s="118">
        <v>-83.523447000000004</v>
      </c>
      <c r="R187" s="118">
        <v>77000</v>
      </c>
      <c r="S187" s="118" t="s">
        <v>6988</v>
      </c>
      <c r="T187" s="118">
        <v>1</v>
      </c>
      <c r="U187" s="118">
        <v>0</v>
      </c>
      <c r="V187" s="118">
        <v>0</v>
      </c>
      <c r="W187" s="118">
        <v>2</v>
      </c>
      <c r="X187" s="118">
        <v>0</v>
      </c>
      <c r="Y187" s="118">
        <v>1</v>
      </c>
      <c r="Z187" s="118">
        <v>0</v>
      </c>
      <c r="AA187" s="118">
        <v>2</v>
      </c>
      <c r="AB187" s="118" t="s">
        <v>1067</v>
      </c>
      <c r="AC187" s="118" t="s">
        <v>6989</v>
      </c>
      <c r="AD187" s="118" t="s">
        <v>1034</v>
      </c>
      <c r="AE187" s="118" t="s">
        <v>943</v>
      </c>
      <c r="AF187" s="118" t="s">
        <v>1042</v>
      </c>
      <c r="AG187" s="118" t="s">
        <v>6415</v>
      </c>
      <c r="AH187" s="118" t="s">
        <v>393</v>
      </c>
      <c r="AI187" s="118">
        <v>2</v>
      </c>
      <c r="AJ187" s="118" t="s">
        <v>6415</v>
      </c>
      <c r="AK187" s="118" t="s">
        <v>393</v>
      </c>
      <c r="AL187" s="118" t="s">
        <v>393</v>
      </c>
      <c r="AM187" s="118" t="s">
        <v>393</v>
      </c>
      <c r="AN187" s="402" t="s">
        <v>5975</v>
      </c>
      <c r="AO187" s="402">
        <v>45089</v>
      </c>
      <c r="AP187" s="118">
        <v>6</v>
      </c>
      <c r="AQ187" s="118">
        <v>20</v>
      </c>
      <c r="AR187" s="118" t="s">
        <v>6444</v>
      </c>
      <c r="AS187" s="118" t="s">
        <v>392</v>
      </c>
      <c r="AT187" s="118" t="s">
        <v>500</v>
      </c>
      <c r="AU187" s="118" t="s">
        <v>6324</v>
      </c>
      <c r="AV187" s="118" t="s">
        <v>508</v>
      </c>
      <c r="AW187" s="118" t="s">
        <v>393</v>
      </c>
      <c r="AX187" s="118" t="s">
        <v>740</v>
      </c>
      <c r="AY187" s="118" t="s">
        <v>393</v>
      </c>
      <c r="AZ187" s="118" t="s">
        <v>393</v>
      </c>
      <c r="BA187" s="118" t="s">
        <v>393</v>
      </c>
      <c r="BB187" s="118" t="s">
        <v>393</v>
      </c>
      <c r="BC187" s="118" t="s">
        <v>393</v>
      </c>
      <c r="BD187" s="118" t="s">
        <v>393</v>
      </c>
      <c r="BE187" s="118" t="s">
        <v>393</v>
      </c>
      <c r="BF187" s="118" t="s">
        <v>740</v>
      </c>
      <c r="BG187" s="118" t="s">
        <v>393</v>
      </c>
      <c r="BH187" s="118" t="s">
        <v>394</v>
      </c>
      <c r="BI187" s="118" t="s">
        <v>394</v>
      </c>
      <c r="BJ187" s="118" t="s">
        <v>393</v>
      </c>
      <c r="BK187" s="118" t="s">
        <v>6988</v>
      </c>
      <c r="BL187" s="118" t="s">
        <v>6415</v>
      </c>
      <c r="BM187" s="118" t="s">
        <v>6990</v>
      </c>
      <c r="BN187" s="118" t="s">
        <v>6991</v>
      </c>
      <c r="BO187" s="118" t="s">
        <v>6415</v>
      </c>
      <c r="BP187" s="118" t="s">
        <v>6415</v>
      </c>
      <c r="BQ187" s="118" t="s">
        <v>6415</v>
      </c>
      <c r="BR187" s="118" t="s">
        <v>6415</v>
      </c>
      <c r="BS187" s="118" t="s">
        <v>6415</v>
      </c>
      <c r="BT187" s="118" t="s">
        <v>6992</v>
      </c>
      <c r="BU187" s="118" t="s">
        <v>6991</v>
      </c>
      <c r="BV187" s="118" t="s">
        <v>6415</v>
      </c>
      <c r="BW187" s="118" t="s">
        <v>6415</v>
      </c>
      <c r="BX187" s="118" t="s">
        <v>6415</v>
      </c>
      <c r="BY187" s="118" t="s">
        <v>6415</v>
      </c>
      <c r="BZ187" s="118" t="s">
        <v>6415</v>
      </c>
      <c r="CA187" s="118" t="s">
        <v>6415</v>
      </c>
      <c r="CB187" s="118" t="s">
        <v>221</v>
      </c>
      <c r="CC187" s="118" t="s">
        <v>740</v>
      </c>
      <c r="CD187" s="118">
        <v>1</v>
      </c>
      <c r="CE187" s="118" t="s">
        <v>406</v>
      </c>
      <c r="CF187" s="118" t="s">
        <v>446</v>
      </c>
      <c r="CG187" s="118" t="s">
        <v>230</v>
      </c>
      <c r="CH187" s="118" t="s">
        <v>6300</v>
      </c>
      <c r="CI187" s="118" t="s">
        <v>6303</v>
      </c>
      <c r="CJ187" s="118" t="s">
        <v>398</v>
      </c>
      <c r="CK187" s="118">
        <v>0</v>
      </c>
      <c r="CL187" s="118">
        <v>40</v>
      </c>
      <c r="CM187" s="118" t="s">
        <v>436</v>
      </c>
      <c r="CN187" s="118" t="s">
        <v>6327</v>
      </c>
      <c r="CO187" s="118" t="s">
        <v>1096</v>
      </c>
      <c r="CP187" s="118" t="s">
        <v>400</v>
      </c>
      <c r="CQ187" s="118" t="s">
        <v>6415</v>
      </c>
      <c r="CR187" s="118" t="s">
        <v>6415</v>
      </c>
      <c r="CS187" s="118" t="s">
        <v>6415</v>
      </c>
      <c r="CT187" s="118" t="s">
        <v>6415</v>
      </c>
      <c r="CU187" s="118" t="s">
        <v>6415</v>
      </c>
      <c r="CV187" s="118" t="s">
        <v>6415</v>
      </c>
      <c r="CW187" s="118">
        <v>18</v>
      </c>
      <c r="CX187" s="118" t="s">
        <v>1066</v>
      </c>
      <c r="CY187" s="118" t="s">
        <v>6341</v>
      </c>
      <c r="CZ187" s="118">
        <v>2</v>
      </c>
      <c r="DA187" s="118" t="s">
        <v>405</v>
      </c>
      <c r="DB187" s="118" t="s">
        <v>406</v>
      </c>
      <c r="DC187" s="118" t="s">
        <v>6415</v>
      </c>
      <c r="DD187" s="118" t="s">
        <v>6300</v>
      </c>
      <c r="DE187" s="118" t="s">
        <v>417</v>
      </c>
      <c r="DF187" s="118" t="s">
        <v>398</v>
      </c>
      <c r="DG187" s="118" t="s">
        <v>6415</v>
      </c>
      <c r="DH187" s="118">
        <v>40</v>
      </c>
      <c r="DI187" s="118" t="s">
        <v>399</v>
      </c>
      <c r="DJ187" s="118" t="s">
        <v>398</v>
      </c>
      <c r="DK187" s="118" t="s">
        <v>400</v>
      </c>
      <c r="DL187" s="118" t="s">
        <v>6415</v>
      </c>
      <c r="DM187" s="118" t="s">
        <v>6415</v>
      </c>
      <c r="DN187" s="118" t="s">
        <v>6415</v>
      </c>
      <c r="DO187" s="118" t="s">
        <v>6415</v>
      </c>
      <c r="DP187" s="118" t="s">
        <v>6415</v>
      </c>
      <c r="DQ187" s="118" t="s">
        <v>6415</v>
      </c>
      <c r="DR187" s="118">
        <v>29</v>
      </c>
      <c r="DS187" s="118" t="s">
        <v>1066</v>
      </c>
      <c r="DT187" s="118" t="s">
        <v>6341</v>
      </c>
      <c r="DU187" s="118" t="s">
        <v>6415</v>
      </c>
      <c r="DV187" s="118" t="s">
        <v>6415</v>
      </c>
      <c r="DW187" s="118" t="s">
        <v>6415</v>
      </c>
      <c r="DX187" s="118" t="s">
        <v>6415</v>
      </c>
      <c r="DY187" s="118" t="s">
        <v>6415</v>
      </c>
      <c r="DZ187" s="118" t="s">
        <v>6415</v>
      </c>
      <c r="EA187" s="118" t="s">
        <v>6415</v>
      </c>
      <c r="EB187" s="118" t="s">
        <v>6415</v>
      </c>
      <c r="EC187" s="118" t="s">
        <v>6415</v>
      </c>
      <c r="ED187" s="118" t="s">
        <v>6415</v>
      </c>
      <c r="EE187" s="118" t="s">
        <v>6415</v>
      </c>
      <c r="EF187" s="118" t="s">
        <v>6415</v>
      </c>
      <c r="EG187" s="118" t="s">
        <v>6986</v>
      </c>
      <c r="EH187" s="118" t="s">
        <v>7168</v>
      </c>
      <c r="EI187" s="118" t="s">
        <v>6415</v>
      </c>
      <c r="EJ187" s="118" t="s">
        <v>6415</v>
      </c>
      <c r="EK187" s="118" t="s">
        <v>6415</v>
      </c>
      <c r="EL187" s="118" t="s">
        <v>7467</v>
      </c>
      <c r="EM187" s="118" t="s">
        <v>7294</v>
      </c>
      <c r="EN187" s="118" t="s">
        <v>6415</v>
      </c>
      <c r="EO187" s="6" t="str">
        <f t="shared" si="18"/>
        <v>Pathweb</v>
      </c>
      <c r="EP187" s="6" t="str">
        <f t="shared" si="19"/>
        <v>Google Maps</v>
      </c>
      <c r="EQ187" s="6" t="str">
        <f t="shared" si="20"/>
        <v>Mashed Map</v>
      </c>
      <c r="ER187" s="118" t="s">
        <v>6727</v>
      </c>
      <c r="ES187" s="118" t="s">
        <v>6728</v>
      </c>
      <c r="ET187" s="4">
        <v>0</v>
      </c>
      <c r="EU187" s="4"/>
      <c r="EV187" s="4"/>
    </row>
    <row r="188" spans="1:152" x14ac:dyDescent="0.15">
      <c r="A188" s="581" t="str">
        <f t="shared" si="17"/>
        <v>Crash Report</v>
      </c>
      <c r="B188" s="118">
        <v>20233104795</v>
      </c>
      <c r="C188" s="118">
        <v>2023</v>
      </c>
      <c r="D188" s="118">
        <v>23061729031516</v>
      </c>
      <c r="F188" s="118" t="s">
        <v>6442</v>
      </c>
      <c r="G188" s="118" t="s">
        <v>211</v>
      </c>
      <c r="H188" s="118">
        <v>2</v>
      </c>
      <c r="I188" s="118" t="s">
        <v>6055</v>
      </c>
      <c r="J188" s="118" t="s">
        <v>423</v>
      </c>
      <c r="K188" s="118" t="s">
        <v>6985</v>
      </c>
      <c r="L188" s="118">
        <v>0.33300000000000002</v>
      </c>
      <c r="M188" s="118">
        <v>0.33300000000000002</v>
      </c>
      <c r="N188" s="118" t="s">
        <v>7465</v>
      </c>
      <c r="O188" s="118" t="s">
        <v>7487</v>
      </c>
      <c r="P188" s="118">
        <v>41.650205999999997</v>
      </c>
      <c r="Q188" s="118">
        <v>-83.520722000000006</v>
      </c>
      <c r="R188" s="118">
        <v>77000</v>
      </c>
      <c r="S188" s="118" t="s">
        <v>6988</v>
      </c>
      <c r="T188" s="118">
        <v>1</v>
      </c>
      <c r="U188" s="118">
        <v>0</v>
      </c>
      <c r="V188" s="118">
        <v>0</v>
      </c>
      <c r="W188" s="118">
        <v>0</v>
      </c>
      <c r="X188" s="118">
        <v>0</v>
      </c>
      <c r="Y188" s="118">
        <v>3</v>
      </c>
      <c r="Z188" s="118">
        <v>0</v>
      </c>
      <c r="AA188" s="118">
        <v>2</v>
      </c>
      <c r="AB188" s="118" t="s">
        <v>1067</v>
      </c>
      <c r="AC188" s="118" t="s">
        <v>6989</v>
      </c>
      <c r="AD188" s="118" t="s">
        <v>1034</v>
      </c>
      <c r="AE188" s="118" t="s">
        <v>943</v>
      </c>
      <c r="AF188" s="118" t="s">
        <v>1041</v>
      </c>
      <c r="AG188" s="118" t="s">
        <v>6415</v>
      </c>
      <c r="AH188" s="118" t="s">
        <v>393</v>
      </c>
      <c r="AI188" s="118">
        <v>4</v>
      </c>
      <c r="AJ188" s="118" t="s">
        <v>6415</v>
      </c>
      <c r="AK188" s="118" t="s">
        <v>393</v>
      </c>
      <c r="AL188" s="118" t="s">
        <v>393</v>
      </c>
      <c r="AM188" s="118" t="s">
        <v>393</v>
      </c>
      <c r="AN188" s="402" t="s">
        <v>5975</v>
      </c>
      <c r="AO188" s="402">
        <v>45094</v>
      </c>
      <c r="AP188" s="118">
        <v>6</v>
      </c>
      <c r="AQ188" s="118">
        <v>15</v>
      </c>
      <c r="AR188" s="118" t="s">
        <v>6449</v>
      </c>
      <c r="AS188" s="118" t="s">
        <v>392</v>
      </c>
      <c r="AT188" s="118" t="s">
        <v>500</v>
      </c>
      <c r="AU188" s="118" t="s">
        <v>404</v>
      </c>
      <c r="AV188" s="118" t="s">
        <v>508</v>
      </c>
      <c r="AW188" s="118" t="s">
        <v>393</v>
      </c>
      <c r="AX188" s="118" t="s">
        <v>740</v>
      </c>
      <c r="AY188" s="118" t="s">
        <v>393</v>
      </c>
      <c r="AZ188" s="118" t="s">
        <v>393</v>
      </c>
      <c r="BA188" s="118" t="s">
        <v>393</v>
      </c>
      <c r="BB188" s="118" t="s">
        <v>393</v>
      </c>
      <c r="BC188" s="118" t="s">
        <v>393</v>
      </c>
      <c r="BD188" s="118" t="s">
        <v>393</v>
      </c>
      <c r="BE188" s="118" t="s">
        <v>393</v>
      </c>
      <c r="BF188" s="118" t="s">
        <v>740</v>
      </c>
      <c r="BG188" s="118" t="s">
        <v>393</v>
      </c>
      <c r="BH188" s="118" t="s">
        <v>394</v>
      </c>
      <c r="BI188" s="118" t="s">
        <v>394</v>
      </c>
      <c r="BJ188" s="118" t="s">
        <v>393</v>
      </c>
      <c r="BK188" s="118" t="s">
        <v>6988</v>
      </c>
      <c r="BL188" s="118" t="s">
        <v>6415</v>
      </c>
      <c r="BM188" s="118" t="s">
        <v>6990</v>
      </c>
      <c r="BN188" s="118" t="s">
        <v>6991</v>
      </c>
      <c r="BO188" s="118" t="s">
        <v>6415</v>
      </c>
      <c r="BP188" s="118" t="s">
        <v>6415</v>
      </c>
      <c r="BQ188" s="118" t="s">
        <v>6415</v>
      </c>
      <c r="BR188" s="118" t="s">
        <v>6415</v>
      </c>
      <c r="BS188" s="118" t="s">
        <v>6415</v>
      </c>
      <c r="BT188" s="118" t="s">
        <v>7123</v>
      </c>
      <c r="BU188" s="118" t="s">
        <v>7057</v>
      </c>
      <c r="BV188" s="118" t="s">
        <v>6415</v>
      </c>
      <c r="BW188" s="118" t="s">
        <v>6415</v>
      </c>
      <c r="BX188" s="118" t="s">
        <v>6415</v>
      </c>
      <c r="BY188" s="118" t="s">
        <v>6415</v>
      </c>
      <c r="BZ188" s="118" t="s">
        <v>6415</v>
      </c>
      <c r="CA188" s="118" t="s">
        <v>6415</v>
      </c>
      <c r="CB188" s="118" t="s">
        <v>221</v>
      </c>
      <c r="CC188" s="118" t="s">
        <v>740</v>
      </c>
      <c r="CD188" s="118">
        <v>2</v>
      </c>
      <c r="CE188" s="118" t="s">
        <v>445</v>
      </c>
      <c r="CF188" s="118" t="s">
        <v>410</v>
      </c>
      <c r="CG188" s="118" t="s">
        <v>230</v>
      </c>
      <c r="CH188" s="118" t="s">
        <v>6302</v>
      </c>
      <c r="CI188" s="118" t="s">
        <v>6303</v>
      </c>
      <c r="CJ188" s="118" t="s">
        <v>398</v>
      </c>
      <c r="CK188" s="118">
        <v>0</v>
      </c>
      <c r="CL188" s="118">
        <v>0</v>
      </c>
      <c r="CM188" s="118" t="s">
        <v>436</v>
      </c>
      <c r="CN188" s="118" t="s">
        <v>6327</v>
      </c>
      <c r="CO188" s="118" t="s">
        <v>1096</v>
      </c>
      <c r="CP188" s="118" t="s">
        <v>400</v>
      </c>
      <c r="CQ188" s="118" t="s">
        <v>6415</v>
      </c>
      <c r="CR188" s="118" t="s">
        <v>6415</v>
      </c>
      <c r="CS188" s="118" t="s">
        <v>6415</v>
      </c>
      <c r="CT188" s="118" t="s">
        <v>6415</v>
      </c>
      <c r="CU188" s="118" t="s">
        <v>6415</v>
      </c>
      <c r="CV188" s="118" t="s">
        <v>6415</v>
      </c>
      <c r="CW188" s="118">
        <v>23</v>
      </c>
      <c r="CX188" s="118" t="s">
        <v>1066</v>
      </c>
      <c r="CY188" s="118" t="s">
        <v>6341</v>
      </c>
      <c r="CZ188" s="118">
        <v>1</v>
      </c>
      <c r="DA188" s="118" t="s">
        <v>397</v>
      </c>
      <c r="DB188" s="118" t="s">
        <v>396</v>
      </c>
      <c r="DC188" s="118" t="s">
        <v>6415</v>
      </c>
      <c r="DD188" s="118" t="s">
        <v>6302</v>
      </c>
      <c r="DE188" s="118" t="s">
        <v>417</v>
      </c>
      <c r="DF188" s="118" t="s">
        <v>398</v>
      </c>
      <c r="DG188" s="118" t="s">
        <v>6415</v>
      </c>
      <c r="DH188" s="118" t="s">
        <v>6415</v>
      </c>
      <c r="DI188" s="118" t="s">
        <v>399</v>
      </c>
      <c r="DJ188" s="118" t="s">
        <v>398</v>
      </c>
      <c r="DK188" s="118" t="s">
        <v>400</v>
      </c>
      <c r="DL188" s="118" t="s">
        <v>6415</v>
      </c>
      <c r="DM188" s="118" t="s">
        <v>6415</v>
      </c>
      <c r="DN188" s="118" t="s">
        <v>6415</v>
      </c>
      <c r="DO188" s="118" t="s">
        <v>6415</v>
      </c>
      <c r="DP188" s="118" t="s">
        <v>6415</v>
      </c>
      <c r="DQ188" s="118" t="s">
        <v>6415</v>
      </c>
      <c r="DR188" s="118">
        <v>51</v>
      </c>
      <c r="DS188" s="118" t="s">
        <v>1068</v>
      </c>
      <c r="DT188" s="118" t="s">
        <v>6341</v>
      </c>
      <c r="DU188" s="118" t="s">
        <v>6415</v>
      </c>
      <c r="DV188" s="118" t="s">
        <v>6415</v>
      </c>
      <c r="DW188" s="118" t="s">
        <v>6415</v>
      </c>
      <c r="DX188" s="118" t="s">
        <v>6415</v>
      </c>
      <c r="DY188" s="118" t="s">
        <v>6415</v>
      </c>
      <c r="DZ188" s="118" t="s">
        <v>6415</v>
      </c>
      <c r="EA188" s="118" t="s">
        <v>6415</v>
      </c>
      <c r="EB188" s="118" t="s">
        <v>6415</v>
      </c>
      <c r="EC188" s="118" t="s">
        <v>6415</v>
      </c>
      <c r="ED188" s="118" t="s">
        <v>6415</v>
      </c>
      <c r="EE188" s="118" t="s">
        <v>6415</v>
      </c>
      <c r="EF188" s="118" t="s">
        <v>6415</v>
      </c>
      <c r="EG188" s="118" t="s">
        <v>7121</v>
      </c>
      <c r="EH188" s="118" t="s">
        <v>7122</v>
      </c>
      <c r="EI188" s="118" t="s">
        <v>6415</v>
      </c>
      <c r="EJ188" s="118" t="s">
        <v>6415</v>
      </c>
      <c r="EK188" s="118" t="s">
        <v>6415</v>
      </c>
      <c r="EL188" s="118" t="s">
        <v>7467</v>
      </c>
      <c r="EM188" s="118" t="s">
        <v>7295</v>
      </c>
      <c r="EN188" s="118" t="s">
        <v>6415</v>
      </c>
      <c r="EO188" s="6" t="str">
        <f t="shared" si="18"/>
        <v>Pathweb</v>
      </c>
      <c r="EP188" s="6" t="str">
        <f t="shared" si="19"/>
        <v>Google Maps</v>
      </c>
      <c r="EQ188" s="6" t="str">
        <f t="shared" si="20"/>
        <v>Mashed Map</v>
      </c>
      <c r="ER188" s="118" t="s">
        <v>6727</v>
      </c>
      <c r="ES188" s="118" t="s">
        <v>71</v>
      </c>
      <c r="ET188" s="4">
        <v>0</v>
      </c>
      <c r="EU188" s="4"/>
      <c r="EV188" s="4"/>
    </row>
    <row r="189" spans="1:152" x14ac:dyDescent="0.15">
      <c r="A189" s="581" t="str">
        <f t="shared" si="17"/>
        <v>Crash Report</v>
      </c>
      <c r="B189" s="14">
        <v>20233106847</v>
      </c>
      <c r="C189" s="118">
        <v>2023</v>
      </c>
      <c r="D189" s="14">
        <v>23062022921335</v>
      </c>
      <c r="F189" s="118" t="s">
        <v>6441</v>
      </c>
      <c r="G189" s="118" t="s">
        <v>390</v>
      </c>
      <c r="H189" s="118">
        <v>2</v>
      </c>
      <c r="I189" s="118" t="s">
        <v>6055</v>
      </c>
      <c r="J189" s="118" t="s">
        <v>434</v>
      </c>
      <c r="K189" s="118" t="s">
        <v>6985</v>
      </c>
      <c r="L189" s="118">
        <v>0.33300000000000002</v>
      </c>
      <c r="M189" s="118">
        <v>0.33300000000000002</v>
      </c>
      <c r="N189" s="118" t="s">
        <v>7465</v>
      </c>
      <c r="O189" s="118" t="s">
        <v>7487</v>
      </c>
      <c r="P189" s="118">
        <v>41.650205999999997</v>
      </c>
      <c r="Q189" s="118">
        <v>-83.520722000000006</v>
      </c>
      <c r="R189" s="118">
        <v>77000</v>
      </c>
      <c r="S189" s="118" t="s">
        <v>6988</v>
      </c>
      <c r="T189" s="118">
        <v>1</v>
      </c>
      <c r="U189" s="118">
        <v>0</v>
      </c>
      <c r="V189" s="118">
        <v>0</v>
      </c>
      <c r="W189" s="118">
        <v>0</v>
      </c>
      <c r="X189" s="118">
        <v>2</v>
      </c>
      <c r="Y189" s="118">
        <v>1</v>
      </c>
      <c r="Z189" s="118">
        <v>0</v>
      </c>
      <c r="AA189" s="118">
        <v>2</v>
      </c>
      <c r="AB189" s="118" t="s">
        <v>1067</v>
      </c>
      <c r="AC189" s="118" t="s">
        <v>6989</v>
      </c>
      <c r="AD189" s="118" t="s">
        <v>1034</v>
      </c>
      <c r="AE189" s="118" t="s">
        <v>943</v>
      </c>
      <c r="AF189" s="118" t="s">
        <v>1041</v>
      </c>
      <c r="AG189" s="118" t="s">
        <v>6415</v>
      </c>
      <c r="AH189" s="118" t="s">
        <v>393</v>
      </c>
      <c r="AI189" s="118">
        <v>4</v>
      </c>
      <c r="AJ189" s="118" t="s">
        <v>6415</v>
      </c>
      <c r="AK189" s="118" t="s">
        <v>393</v>
      </c>
      <c r="AL189" s="118" t="s">
        <v>393</v>
      </c>
      <c r="AM189" s="118" t="s">
        <v>393</v>
      </c>
      <c r="AN189" s="402" t="s">
        <v>5975</v>
      </c>
      <c r="AO189" s="402">
        <v>45097</v>
      </c>
      <c r="AP189" s="118">
        <v>6</v>
      </c>
      <c r="AQ189" s="118">
        <v>13</v>
      </c>
      <c r="AR189" s="118" t="s">
        <v>6445</v>
      </c>
      <c r="AS189" s="118" t="s">
        <v>392</v>
      </c>
      <c r="AT189" s="118" t="s">
        <v>500</v>
      </c>
      <c r="AU189" s="118" t="s">
        <v>404</v>
      </c>
      <c r="AV189" s="118" t="s">
        <v>508</v>
      </c>
      <c r="AW189" s="118" t="s">
        <v>393</v>
      </c>
      <c r="AX189" s="118" t="s">
        <v>740</v>
      </c>
      <c r="AY189" s="118" t="s">
        <v>393</v>
      </c>
      <c r="AZ189" s="118" t="s">
        <v>393</v>
      </c>
      <c r="BA189" s="118" t="s">
        <v>393</v>
      </c>
      <c r="BB189" s="118" t="s">
        <v>393</v>
      </c>
      <c r="BC189" s="118" t="s">
        <v>393</v>
      </c>
      <c r="BD189" s="118" t="s">
        <v>393</v>
      </c>
      <c r="BE189" s="118" t="s">
        <v>393</v>
      </c>
      <c r="BF189" s="118" t="s">
        <v>393</v>
      </c>
      <c r="BG189" s="118" t="s">
        <v>393</v>
      </c>
      <c r="BH189" s="118" t="s">
        <v>394</v>
      </c>
      <c r="BI189" s="118" t="s">
        <v>394</v>
      </c>
      <c r="BJ189" s="118" t="s">
        <v>393</v>
      </c>
      <c r="BK189" s="118" t="s">
        <v>6988</v>
      </c>
      <c r="BL189" s="118" t="s">
        <v>6415</v>
      </c>
      <c r="BM189" s="118" t="s">
        <v>6990</v>
      </c>
      <c r="BN189" s="118" t="s">
        <v>6991</v>
      </c>
      <c r="BO189" s="118" t="s">
        <v>6415</v>
      </c>
      <c r="BP189" s="118" t="s">
        <v>6415</v>
      </c>
      <c r="BQ189" s="118" t="s">
        <v>6415</v>
      </c>
      <c r="BR189" s="118" t="s">
        <v>6415</v>
      </c>
      <c r="BS189" s="118" t="s">
        <v>6415</v>
      </c>
      <c r="BT189" s="118" t="s">
        <v>7123</v>
      </c>
      <c r="BU189" s="118" t="s">
        <v>7057</v>
      </c>
      <c r="BV189" s="118" t="s">
        <v>6415</v>
      </c>
      <c r="BW189" s="118" t="s">
        <v>6415</v>
      </c>
      <c r="BX189" s="118" t="s">
        <v>6415</v>
      </c>
      <c r="BY189" s="118" t="s">
        <v>6415</v>
      </c>
      <c r="BZ189" s="118" t="s">
        <v>6415</v>
      </c>
      <c r="CA189" s="118" t="s">
        <v>6415</v>
      </c>
      <c r="CB189" s="118" t="s">
        <v>221</v>
      </c>
      <c r="CC189" s="118" t="s">
        <v>740</v>
      </c>
      <c r="CD189" s="118">
        <v>1</v>
      </c>
      <c r="CE189" s="118" t="s">
        <v>396</v>
      </c>
      <c r="CF189" s="118" t="s">
        <v>397</v>
      </c>
      <c r="CG189" s="118" t="s">
        <v>924</v>
      </c>
      <c r="CH189" s="118" t="s">
        <v>6302</v>
      </c>
      <c r="CI189" s="118" t="s">
        <v>6305</v>
      </c>
      <c r="CJ189" s="118" t="s">
        <v>398</v>
      </c>
      <c r="CK189" s="14">
        <v>35</v>
      </c>
      <c r="CL189" s="118">
        <v>35</v>
      </c>
      <c r="CM189" s="118" t="s">
        <v>399</v>
      </c>
      <c r="CN189" s="118" t="s">
        <v>6512</v>
      </c>
      <c r="CO189" s="118" t="s">
        <v>1096</v>
      </c>
      <c r="CP189" s="118" t="s">
        <v>400</v>
      </c>
      <c r="CQ189" s="118" t="s">
        <v>6415</v>
      </c>
      <c r="CR189" s="118" t="s">
        <v>6415</v>
      </c>
      <c r="CS189" s="118" t="s">
        <v>6415</v>
      </c>
      <c r="CT189" s="118" t="s">
        <v>6415</v>
      </c>
      <c r="CU189" s="118" t="s">
        <v>6415</v>
      </c>
      <c r="CV189" s="118" t="s">
        <v>6415</v>
      </c>
      <c r="CW189" s="14">
        <v>32</v>
      </c>
      <c r="CX189" s="118" t="s">
        <v>1068</v>
      </c>
      <c r="CY189" s="118" t="s">
        <v>6341</v>
      </c>
      <c r="CZ189" s="118">
        <v>2</v>
      </c>
      <c r="DA189" s="118" t="s">
        <v>396</v>
      </c>
      <c r="DB189" s="118" t="s">
        <v>397</v>
      </c>
      <c r="DC189" s="118" t="s">
        <v>6415</v>
      </c>
      <c r="DD189" s="118" t="s">
        <v>6302</v>
      </c>
      <c r="DE189" s="118" t="s">
        <v>6304</v>
      </c>
      <c r="DF189" s="118" t="s">
        <v>398</v>
      </c>
      <c r="DG189" s="118">
        <v>0</v>
      </c>
      <c r="DH189" s="118">
        <v>35</v>
      </c>
      <c r="DI189" s="118" t="s">
        <v>6355</v>
      </c>
      <c r="DJ189" s="118" t="s">
        <v>398</v>
      </c>
      <c r="DK189" s="118" t="s">
        <v>400</v>
      </c>
      <c r="DL189" s="118" t="s">
        <v>6415</v>
      </c>
      <c r="DM189" s="118" t="s">
        <v>6415</v>
      </c>
      <c r="DN189" s="118" t="s">
        <v>6415</v>
      </c>
      <c r="DO189" s="118" t="s">
        <v>6415</v>
      </c>
      <c r="DP189" s="118" t="s">
        <v>6415</v>
      </c>
      <c r="DQ189" s="118" t="s">
        <v>6415</v>
      </c>
      <c r="DR189" s="118">
        <v>62</v>
      </c>
      <c r="DS189" s="118" t="s">
        <v>1068</v>
      </c>
      <c r="DT189" s="118" t="s">
        <v>6341</v>
      </c>
      <c r="DU189" s="118" t="s">
        <v>6415</v>
      </c>
      <c r="DV189" s="118" t="s">
        <v>6415</v>
      </c>
      <c r="DW189" s="118" t="s">
        <v>6415</v>
      </c>
      <c r="DX189" s="118" t="s">
        <v>6415</v>
      </c>
      <c r="DY189" s="118" t="s">
        <v>6415</v>
      </c>
      <c r="DZ189" s="118" t="s">
        <v>6415</v>
      </c>
      <c r="EA189" s="118" t="s">
        <v>6415</v>
      </c>
      <c r="EB189" s="118" t="s">
        <v>6415</v>
      </c>
      <c r="EC189" s="118" t="s">
        <v>6415</v>
      </c>
      <c r="ED189" s="118" t="s">
        <v>6415</v>
      </c>
      <c r="EE189" s="118" t="s">
        <v>6415</v>
      </c>
      <c r="EF189" s="118" t="s">
        <v>6415</v>
      </c>
      <c r="EG189" s="118" t="s">
        <v>7121</v>
      </c>
      <c r="EH189" s="118" t="s">
        <v>7122</v>
      </c>
      <c r="EI189" s="118" t="s">
        <v>6415</v>
      </c>
      <c r="EJ189" s="118" t="s">
        <v>6415</v>
      </c>
      <c r="EK189" s="118" t="s">
        <v>6415</v>
      </c>
      <c r="EL189" s="118" t="s">
        <v>7467</v>
      </c>
      <c r="EM189" s="118" t="s">
        <v>7296</v>
      </c>
      <c r="EN189" s="118" t="s">
        <v>6415</v>
      </c>
      <c r="EO189" s="6" t="str">
        <f t="shared" si="18"/>
        <v>Pathweb</v>
      </c>
      <c r="EP189" s="6" t="str">
        <f t="shared" si="19"/>
        <v>Google Maps</v>
      </c>
      <c r="EQ189" s="6" t="str">
        <f t="shared" si="20"/>
        <v>Mashed Map</v>
      </c>
      <c r="ER189" s="118" t="s">
        <v>6727</v>
      </c>
      <c r="ES189" s="118" t="s">
        <v>6728</v>
      </c>
      <c r="ET189" s="4">
        <v>0</v>
      </c>
      <c r="EU189" s="4"/>
      <c r="EV189" s="4"/>
    </row>
    <row r="190" spans="1:152" x14ac:dyDescent="0.15">
      <c r="A190" s="581" t="str">
        <f t="shared" si="17"/>
        <v>Crash Report</v>
      </c>
      <c r="B190" s="14">
        <v>20233113663</v>
      </c>
      <c r="C190" s="118">
        <v>2023</v>
      </c>
      <c r="D190" s="14">
        <v>23070129302233</v>
      </c>
      <c r="F190" s="118" t="s">
        <v>6442</v>
      </c>
      <c r="G190" s="118" t="s">
        <v>390</v>
      </c>
      <c r="H190" s="118">
        <v>2</v>
      </c>
      <c r="I190" s="118" t="s">
        <v>6055</v>
      </c>
      <c r="J190" s="118" t="s">
        <v>391</v>
      </c>
      <c r="K190" s="118" t="s">
        <v>6997</v>
      </c>
      <c r="L190" s="118">
        <v>0.44400000000000001</v>
      </c>
      <c r="M190" s="118">
        <v>0.44400000000000001</v>
      </c>
      <c r="N190" s="118" t="s">
        <v>7469</v>
      </c>
      <c r="O190" s="118">
        <v>482</v>
      </c>
      <c r="P190" s="118">
        <v>41.645499999999998</v>
      </c>
      <c r="Q190" s="118">
        <v>-83.520167000000001</v>
      </c>
      <c r="R190" s="118">
        <v>77000</v>
      </c>
      <c r="S190" s="118" t="s">
        <v>6988</v>
      </c>
      <c r="T190" s="118">
        <v>1</v>
      </c>
      <c r="U190" s="118">
        <v>0</v>
      </c>
      <c r="V190" s="118">
        <v>0</v>
      </c>
      <c r="W190" s="118">
        <v>0</v>
      </c>
      <c r="X190" s="118">
        <v>0</v>
      </c>
      <c r="Y190" s="118">
        <v>6</v>
      </c>
      <c r="Z190" s="118">
        <v>0</v>
      </c>
      <c r="AA190" s="118">
        <v>2</v>
      </c>
      <c r="AB190" s="118" t="s">
        <v>1067</v>
      </c>
      <c r="AC190" s="118" t="s">
        <v>6989</v>
      </c>
      <c r="AD190" s="118" t="s">
        <v>1034</v>
      </c>
      <c r="AE190" s="118" t="s">
        <v>943</v>
      </c>
      <c r="AF190" s="118" t="s">
        <v>1042</v>
      </c>
      <c r="AG190" s="118" t="s">
        <v>6415</v>
      </c>
      <c r="AH190" s="118" t="s">
        <v>393</v>
      </c>
      <c r="AI190" s="118">
        <v>2</v>
      </c>
      <c r="AJ190" s="118" t="s">
        <v>6415</v>
      </c>
      <c r="AK190" s="118" t="s">
        <v>393</v>
      </c>
      <c r="AL190" s="118" t="s">
        <v>393</v>
      </c>
      <c r="AM190" s="118" t="s">
        <v>393</v>
      </c>
      <c r="AN190" s="402" t="s">
        <v>5975</v>
      </c>
      <c r="AO190" s="402">
        <v>45108</v>
      </c>
      <c r="AP190" s="118">
        <v>7</v>
      </c>
      <c r="AQ190" s="118">
        <v>22</v>
      </c>
      <c r="AR190" s="118" t="s">
        <v>6449</v>
      </c>
      <c r="AS190" s="118" t="s">
        <v>392</v>
      </c>
      <c r="AT190" s="118" t="s">
        <v>500</v>
      </c>
      <c r="AU190" s="118" t="s">
        <v>505</v>
      </c>
      <c r="AV190" s="118" t="s">
        <v>508</v>
      </c>
      <c r="AW190" s="118" t="s">
        <v>393</v>
      </c>
      <c r="AX190" s="118" t="s">
        <v>393</v>
      </c>
      <c r="AY190" s="118" t="s">
        <v>393</v>
      </c>
      <c r="AZ190" s="118" t="s">
        <v>393</v>
      </c>
      <c r="BA190" s="118" t="s">
        <v>393</v>
      </c>
      <c r="BB190" s="118" t="s">
        <v>393</v>
      </c>
      <c r="BC190" s="118" t="s">
        <v>393</v>
      </c>
      <c r="BD190" s="118" t="s">
        <v>393</v>
      </c>
      <c r="BE190" s="118" t="s">
        <v>393</v>
      </c>
      <c r="BF190" s="118" t="s">
        <v>740</v>
      </c>
      <c r="BG190" s="118" t="s">
        <v>393</v>
      </c>
      <c r="BH190" s="118" t="s">
        <v>394</v>
      </c>
      <c r="BI190" s="118" t="s">
        <v>394</v>
      </c>
      <c r="BJ190" s="118" t="s">
        <v>393</v>
      </c>
      <c r="BK190" s="118" t="s">
        <v>6988</v>
      </c>
      <c r="BL190" s="118" t="s">
        <v>6415</v>
      </c>
      <c r="BM190" s="118" t="s">
        <v>6992</v>
      </c>
      <c r="BN190" s="118" t="s">
        <v>6991</v>
      </c>
      <c r="BO190" s="118" t="s">
        <v>6415</v>
      </c>
      <c r="BP190" s="118" t="s">
        <v>6415</v>
      </c>
      <c r="BQ190" s="118" t="s">
        <v>6415</v>
      </c>
      <c r="BR190" s="118" t="s">
        <v>6415</v>
      </c>
      <c r="BS190" s="118" t="s">
        <v>6415</v>
      </c>
      <c r="BT190" s="118" t="s">
        <v>7298</v>
      </c>
      <c r="BU190" s="118" t="s">
        <v>6415</v>
      </c>
      <c r="BV190" s="118" t="s">
        <v>6415</v>
      </c>
      <c r="BW190" s="118" t="s">
        <v>6415</v>
      </c>
      <c r="BX190" s="118" t="s">
        <v>6415</v>
      </c>
      <c r="BY190" s="118" t="s">
        <v>6415</v>
      </c>
      <c r="BZ190" s="118">
        <v>482</v>
      </c>
      <c r="CA190" s="118" t="s">
        <v>6415</v>
      </c>
      <c r="CB190" s="118" t="s">
        <v>422</v>
      </c>
      <c r="CC190" s="118" t="s">
        <v>740</v>
      </c>
      <c r="CD190" s="118">
        <v>1</v>
      </c>
      <c r="CE190" s="118" t="s">
        <v>410</v>
      </c>
      <c r="CF190" s="118" t="s">
        <v>411</v>
      </c>
      <c r="CG190" s="118" t="s">
        <v>924</v>
      </c>
      <c r="CH190" s="118" t="s">
        <v>6302</v>
      </c>
      <c r="CI190" s="118" t="s">
        <v>6303</v>
      </c>
      <c r="CJ190" s="118" t="s">
        <v>398</v>
      </c>
      <c r="CK190" s="14">
        <v>5</v>
      </c>
      <c r="CL190" s="118">
        <v>25</v>
      </c>
      <c r="CM190" s="118" t="s">
        <v>399</v>
      </c>
      <c r="CN190" s="118" t="s">
        <v>6512</v>
      </c>
      <c r="CO190" s="118" t="s">
        <v>1096</v>
      </c>
      <c r="CP190" s="118" t="s">
        <v>400</v>
      </c>
      <c r="CQ190" s="118" t="s">
        <v>6415</v>
      </c>
      <c r="CR190" s="118" t="s">
        <v>6415</v>
      </c>
      <c r="CS190" s="118" t="s">
        <v>6415</v>
      </c>
      <c r="CT190" s="118" t="s">
        <v>6415</v>
      </c>
      <c r="CU190" s="118" t="s">
        <v>6415</v>
      </c>
      <c r="CV190" s="118" t="s">
        <v>6415</v>
      </c>
      <c r="CW190" s="14">
        <v>16</v>
      </c>
      <c r="CX190" s="118" t="s">
        <v>1066</v>
      </c>
      <c r="CY190" s="118" t="s">
        <v>6341</v>
      </c>
      <c r="CZ190" s="118">
        <v>2</v>
      </c>
      <c r="DA190" s="118" t="s">
        <v>410</v>
      </c>
      <c r="DB190" s="118" t="s">
        <v>411</v>
      </c>
      <c r="DC190" s="118" t="s">
        <v>6415</v>
      </c>
      <c r="DD190" s="118" t="s">
        <v>6302</v>
      </c>
      <c r="DE190" s="118" t="s">
        <v>6303</v>
      </c>
      <c r="DF190" s="118" t="s">
        <v>398</v>
      </c>
      <c r="DG190" s="118">
        <v>5</v>
      </c>
      <c r="DH190" s="118">
        <v>25</v>
      </c>
      <c r="DI190" s="118" t="s">
        <v>399</v>
      </c>
      <c r="DJ190" s="118" t="s">
        <v>398</v>
      </c>
      <c r="DK190" s="118" t="s">
        <v>400</v>
      </c>
      <c r="DL190" s="118" t="s">
        <v>6415</v>
      </c>
      <c r="DM190" s="118" t="s">
        <v>6415</v>
      </c>
      <c r="DN190" s="118" t="s">
        <v>6415</v>
      </c>
      <c r="DO190" s="118" t="s">
        <v>6415</v>
      </c>
      <c r="DP190" s="118" t="s">
        <v>6415</v>
      </c>
      <c r="DQ190" s="118" t="s">
        <v>6415</v>
      </c>
      <c r="DR190" s="118">
        <v>56</v>
      </c>
      <c r="DS190" s="118" t="s">
        <v>1068</v>
      </c>
      <c r="DT190" s="118" t="s">
        <v>6341</v>
      </c>
      <c r="DU190" s="118" t="s">
        <v>6415</v>
      </c>
      <c r="DV190" s="118" t="s">
        <v>6415</v>
      </c>
      <c r="DW190" s="118" t="s">
        <v>6415</v>
      </c>
      <c r="DX190" s="118" t="s">
        <v>6415</v>
      </c>
      <c r="DY190" s="118" t="s">
        <v>6415</v>
      </c>
      <c r="DZ190" s="118" t="s">
        <v>6415</v>
      </c>
      <c r="EA190" s="118" t="s">
        <v>6415</v>
      </c>
      <c r="EB190" s="118" t="s">
        <v>6415</v>
      </c>
      <c r="EC190" s="118" t="s">
        <v>6415</v>
      </c>
      <c r="ED190" s="118" t="s">
        <v>6415</v>
      </c>
      <c r="EE190" s="118" t="s">
        <v>6415</v>
      </c>
      <c r="EF190" s="118" t="s">
        <v>6415</v>
      </c>
      <c r="EG190" s="118" t="s">
        <v>6415</v>
      </c>
      <c r="EH190" s="118" t="s">
        <v>6415</v>
      </c>
      <c r="EI190" s="118" t="s">
        <v>6415</v>
      </c>
      <c r="EJ190" s="118" t="s">
        <v>6415</v>
      </c>
      <c r="EK190" s="118" t="s">
        <v>6415</v>
      </c>
      <c r="EL190" s="118" t="s">
        <v>7467</v>
      </c>
      <c r="EM190" s="118" t="s">
        <v>7297</v>
      </c>
      <c r="EN190" s="118" t="s">
        <v>6415</v>
      </c>
      <c r="EO190" s="6" t="str">
        <f t="shared" si="18"/>
        <v>Pathweb</v>
      </c>
      <c r="EP190" s="6" t="str">
        <f t="shared" si="19"/>
        <v>Google Maps</v>
      </c>
      <c r="EQ190" s="6" t="str">
        <f t="shared" si="20"/>
        <v>Mashed Map</v>
      </c>
      <c r="ER190" s="118" t="s">
        <v>6727</v>
      </c>
      <c r="ES190" s="118" t="s">
        <v>71</v>
      </c>
      <c r="ET190" s="4">
        <v>0</v>
      </c>
      <c r="EU190" s="4"/>
      <c r="EV190" s="4"/>
    </row>
    <row r="191" spans="1:152" x14ac:dyDescent="0.15">
      <c r="A191" s="581" t="str">
        <f t="shared" si="17"/>
        <v>Crash Report</v>
      </c>
      <c r="B191" s="118">
        <v>20233119917</v>
      </c>
      <c r="C191" s="118">
        <v>2023</v>
      </c>
      <c r="D191" s="118">
        <v>23071223351232</v>
      </c>
      <c r="F191" s="118" t="s">
        <v>6442</v>
      </c>
      <c r="G191" s="118" t="s">
        <v>230</v>
      </c>
      <c r="H191" s="118">
        <v>2</v>
      </c>
      <c r="I191" s="118" t="s">
        <v>6055</v>
      </c>
      <c r="J191" s="118" t="s">
        <v>423</v>
      </c>
      <c r="K191" s="118" t="s">
        <v>6985</v>
      </c>
      <c r="L191" s="118">
        <v>0.77</v>
      </c>
      <c r="M191" s="118">
        <v>0.77</v>
      </c>
      <c r="N191" s="118" t="s">
        <v>7465</v>
      </c>
      <c r="O191" s="118" t="s">
        <v>7493</v>
      </c>
      <c r="P191" s="118">
        <v>41.654192000000002</v>
      </c>
      <c r="Q191" s="118">
        <v>-83.514189999999999</v>
      </c>
      <c r="R191" s="118">
        <v>77000</v>
      </c>
      <c r="S191" s="118" t="s">
        <v>6988</v>
      </c>
      <c r="T191" s="118">
        <v>1</v>
      </c>
      <c r="U191" s="118">
        <v>0</v>
      </c>
      <c r="V191" s="118">
        <v>0</v>
      </c>
      <c r="W191" s="118">
        <v>0</v>
      </c>
      <c r="X191" s="118">
        <v>0</v>
      </c>
      <c r="Y191" s="118">
        <v>2</v>
      </c>
      <c r="Z191" s="118">
        <v>0</v>
      </c>
      <c r="AA191" s="118">
        <v>2</v>
      </c>
      <c r="AB191" s="118" t="s">
        <v>1067</v>
      </c>
      <c r="AC191" s="118" t="s">
        <v>6989</v>
      </c>
      <c r="AD191" s="118" t="s">
        <v>1034</v>
      </c>
      <c r="AE191" s="118" t="s">
        <v>943</v>
      </c>
      <c r="AF191" s="118" t="s">
        <v>1041</v>
      </c>
      <c r="AG191" s="118" t="s">
        <v>6415</v>
      </c>
      <c r="AH191" s="118" t="s">
        <v>393</v>
      </c>
      <c r="AI191" s="118">
        <v>4</v>
      </c>
      <c r="AJ191" s="118" t="s">
        <v>6415</v>
      </c>
      <c r="AK191" s="118" t="s">
        <v>393</v>
      </c>
      <c r="AL191" s="118" t="s">
        <v>393</v>
      </c>
      <c r="AM191" s="118" t="s">
        <v>393</v>
      </c>
      <c r="AN191" s="402" t="s">
        <v>5975</v>
      </c>
      <c r="AO191" s="402">
        <v>45119</v>
      </c>
      <c r="AP191" s="118">
        <v>7</v>
      </c>
      <c r="AQ191" s="118">
        <v>12</v>
      </c>
      <c r="AR191" s="118" t="s">
        <v>6446</v>
      </c>
      <c r="AS191" s="118" t="s">
        <v>392</v>
      </c>
      <c r="AT191" s="118" t="s">
        <v>500</v>
      </c>
      <c r="AU191" s="118" t="s">
        <v>404</v>
      </c>
      <c r="AV191" s="118" t="s">
        <v>508</v>
      </c>
      <c r="AW191" s="118" t="s">
        <v>393</v>
      </c>
      <c r="AX191" s="118" t="s">
        <v>740</v>
      </c>
      <c r="AY191" s="118" t="s">
        <v>393</v>
      </c>
      <c r="AZ191" s="118" t="s">
        <v>393</v>
      </c>
      <c r="BA191" s="118" t="s">
        <v>393</v>
      </c>
      <c r="BB191" s="118" t="s">
        <v>393</v>
      </c>
      <c r="BC191" s="118" t="s">
        <v>393</v>
      </c>
      <c r="BD191" s="118" t="s">
        <v>393</v>
      </c>
      <c r="BE191" s="118" t="s">
        <v>393</v>
      </c>
      <c r="BF191" s="118" t="s">
        <v>393</v>
      </c>
      <c r="BG191" s="118" t="s">
        <v>393</v>
      </c>
      <c r="BH191" s="118" t="s">
        <v>394</v>
      </c>
      <c r="BI191" s="118" t="s">
        <v>394</v>
      </c>
      <c r="BJ191" s="118" t="s">
        <v>393</v>
      </c>
      <c r="BK191" s="118" t="s">
        <v>6988</v>
      </c>
      <c r="BL191" s="118" t="s">
        <v>6415</v>
      </c>
      <c r="BM191" s="118" t="s">
        <v>6990</v>
      </c>
      <c r="BN191" s="118" t="s">
        <v>6991</v>
      </c>
      <c r="BO191" s="118" t="s">
        <v>6415</v>
      </c>
      <c r="BP191" s="118" t="s">
        <v>6415</v>
      </c>
      <c r="BQ191" s="118" t="s">
        <v>6415</v>
      </c>
      <c r="BR191" s="118" t="s">
        <v>6415</v>
      </c>
      <c r="BS191" s="118" t="s">
        <v>6415</v>
      </c>
      <c r="BT191" s="118" t="s">
        <v>7214</v>
      </c>
      <c r="BU191" s="118" t="s">
        <v>6991</v>
      </c>
      <c r="BV191" s="118" t="s">
        <v>6415</v>
      </c>
      <c r="BW191" s="118" t="s">
        <v>6415</v>
      </c>
      <c r="BX191" s="118" t="s">
        <v>6415</v>
      </c>
      <c r="BY191" s="118" t="s">
        <v>6415</v>
      </c>
      <c r="BZ191" s="118" t="s">
        <v>6415</v>
      </c>
      <c r="CA191" s="118" t="s">
        <v>6415</v>
      </c>
      <c r="CB191" s="118" t="s">
        <v>221</v>
      </c>
      <c r="CC191" s="118" t="s">
        <v>740</v>
      </c>
      <c r="CD191" s="118">
        <v>1</v>
      </c>
      <c r="CE191" s="118" t="s">
        <v>410</v>
      </c>
      <c r="CF191" s="118" t="s">
        <v>406</v>
      </c>
      <c r="CG191" s="118" t="s">
        <v>230</v>
      </c>
      <c r="CH191" s="118" t="s">
        <v>6302</v>
      </c>
      <c r="CI191" s="118" t="s">
        <v>6303</v>
      </c>
      <c r="CJ191" s="118" t="s">
        <v>398</v>
      </c>
      <c r="CK191" s="118">
        <v>0</v>
      </c>
      <c r="CL191" s="118">
        <v>35</v>
      </c>
      <c r="CM191" s="118" t="s">
        <v>436</v>
      </c>
      <c r="CN191" s="118" t="s">
        <v>451</v>
      </c>
      <c r="CO191" s="118" t="s">
        <v>1096</v>
      </c>
      <c r="CP191" s="118" t="s">
        <v>400</v>
      </c>
      <c r="CQ191" s="118" t="s">
        <v>6415</v>
      </c>
      <c r="CR191" s="118" t="s">
        <v>6415</v>
      </c>
      <c r="CS191" s="118" t="s">
        <v>6415</v>
      </c>
      <c r="CT191" s="118" t="s">
        <v>6415</v>
      </c>
      <c r="CU191" s="118" t="s">
        <v>6415</v>
      </c>
      <c r="CV191" s="118" t="s">
        <v>6415</v>
      </c>
      <c r="CW191" s="118">
        <v>29</v>
      </c>
      <c r="CX191" s="118" t="s">
        <v>1066</v>
      </c>
      <c r="CY191" s="118" t="s">
        <v>6341</v>
      </c>
      <c r="CZ191" s="118">
        <v>2</v>
      </c>
      <c r="DA191" s="118" t="s">
        <v>411</v>
      </c>
      <c r="DB191" s="118" t="s">
        <v>410</v>
      </c>
      <c r="DC191" s="118" t="s">
        <v>6415</v>
      </c>
      <c r="DD191" s="118" t="s">
        <v>6302</v>
      </c>
      <c r="DE191" s="118" t="s">
        <v>417</v>
      </c>
      <c r="DF191" s="118" t="s">
        <v>398</v>
      </c>
      <c r="DG191" s="118" t="s">
        <v>6415</v>
      </c>
      <c r="DH191" s="118">
        <v>35</v>
      </c>
      <c r="DI191" s="118" t="s">
        <v>399</v>
      </c>
      <c r="DJ191" s="118" t="s">
        <v>398</v>
      </c>
      <c r="DK191" s="118" t="s">
        <v>400</v>
      </c>
      <c r="DL191" s="118" t="s">
        <v>6415</v>
      </c>
      <c r="DM191" s="118" t="s">
        <v>6415</v>
      </c>
      <c r="DN191" s="118" t="s">
        <v>6415</v>
      </c>
      <c r="DO191" s="118" t="s">
        <v>6415</v>
      </c>
      <c r="DP191" s="118" t="s">
        <v>6415</v>
      </c>
      <c r="DQ191" s="118" t="s">
        <v>6415</v>
      </c>
      <c r="DR191" s="118">
        <v>60</v>
      </c>
      <c r="DS191" s="118" t="s">
        <v>1066</v>
      </c>
      <c r="DT191" s="118" t="s">
        <v>6341</v>
      </c>
      <c r="DU191" s="118" t="s">
        <v>6415</v>
      </c>
      <c r="DV191" s="118" t="s">
        <v>6415</v>
      </c>
      <c r="DW191" s="118" t="s">
        <v>6415</v>
      </c>
      <c r="DX191" s="118" t="s">
        <v>6415</v>
      </c>
      <c r="DY191" s="118" t="s">
        <v>6415</v>
      </c>
      <c r="DZ191" s="118" t="s">
        <v>6415</v>
      </c>
      <c r="EA191" s="118" t="s">
        <v>6415</v>
      </c>
      <c r="EB191" s="118" t="s">
        <v>6415</v>
      </c>
      <c r="EC191" s="118" t="s">
        <v>6415</v>
      </c>
      <c r="ED191" s="118" t="s">
        <v>6415</v>
      </c>
      <c r="EE191" s="118" t="s">
        <v>6415</v>
      </c>
      <c r="EF191" s="118" t="s">
        <v>6415</v>
      </c>
      <c r="EG191" s="118" t="s">
        <v>7164</v>
      </c>
      <c r="EH191" s="118" t="s">
        <v>7206</v>
      </c>
      <c r="EI191" s="118" t="s">
        <v>6415</v>
      </c>
      <c r="EJ191" s="118" t="s">
        <v>6415</v>
      </c>
      <c r="EK191" s="118" t="s">
        <v>6415</v>
      </c>
      <c r="EL191" s="118" t="s">
        <v>7467</v>
      </c>
      <c r="EM191" s="118" t="s">
        <v>7299</v>
      </c>
      <c r="EN191" s="118" t="s">
        <v>6415</v>
      </c>
      <c r="EO191" s="6" t="str">
        <f t="shared" si="18"/>
        <v>Pathweb</v>
      </c>
      <c r="EP191" s="6" t="str">
        <f t="shared" si="19"/>
        <v>Google Maps</v>
      </c>
      <c r="EQ191" s="6" t="str">
        <f t="shared" si="20"/>
        <v>Mashed Map</v>
      </c>
      <c r="ER191" s="118" t="s">
        <v>6727</v>
      </c>
      <c r="ES191" s="118" t="s">
        <v>71</v>
      </c>
      <c r="ET191" s="4">
        <v>0</v>
      </c>
      <c r="EU191" s="4"/>
      <c r="EV191" s="4"/>
    </row>
    <row r="192" spans="1:152" x14ac:dyDescent="0.15">
      <c r="A192" s="581" t="str">
        <f t="shared" si="17"/>
        <v>Crash Report</v>
      </c>
      <c r="B192" s="118">
        <v>20233130154</v>
      </c>
      <c r="C192" s="118">
        <v>2023</v>
      </c>
      <c r="D192" s="118">
        <v>23072629071800</v>
      </c>
      <c r="F192" s="118" t="s">
        <v>6442</v>
      </c>
      <c r="G192" s="118" t="s">
        <v>416</v>
      </c>
      <c r="H192" s="118">
        <v>2</v>
      </c>
      <c r="I192" s="118" t="s">
        <v>6055</v>
      </c>
      <c r="J192" s="118" t="s">
        <v>391</v>
      </c>
      <c r="K192" s="118" t="s">
        <v>6985</v>
      </c>
      <c r="L192" s="118">
        <v>0.21</v>
      </c>
      <c r="M192" s="118">
        <v>0.21</v>
      </c>
      <c r="N192" s="118" t="s">
        <v>7465</v>
      </c>
      <c r="O192" s="118" t="s">
        <v>7485</v>
      </c>
      <c r="P192" s="118">
        <v>41.649084999999999</v>
      </c>
      <c r="Q192" s="118">
        <v>-83.522560999999996</v>
      </c>
      <c r="R192" s="118">
        <v>77000</v>
      </c>
      <c r="S192" s="118" t="s">
        <v>6988</v>
      </c>
      <c r="T192" s="118">
        <v>1</v>
      </c>
      <c r="U192" s="118">
        <v>0</v>
      </c>
      <c r="V192" s="118">
        <v>0</v>
      </c>
      <c r="W192" s="118">
        <v>0</v>
      </c>
      <c r="X192" s="118">
        <v>0</v>
      </c>
      <c r="Y192" s="118">
        <v>1</v>
      </c>
      <c r="Z192" s="118">
        <v>0</v>
      </c>
      <c r="AA192" s="118">
        <v>1</v>
      </c>
      <c r="AB192" s="118" t="s">
        <v>1067</v>
      </c>
      <c r="AC192" s="118" t="s">
        <v>6989</v>
      </c>
      <c r="AD192" s="118" t="s">
        <v>1034</v>
      </c>
      <c r="AE192" s="118" t="s">
        <v>943</v>
      </c>
      <c r="AF192" s="118" t="s">
        <v>1041</v>
      </c>
      <c r="AG192" s="118" t="s">
        <v>6415</v>
      </c>
      <c r="AH192" s="118" t="s">
        <v>393</v>
      </c>
      <c r="AI192" s="118">
        <v>4</v>
      </c>
      <c r="AJ192" s="118" t="s">
        <v>6415</v>
      </c>
      <c r="AK192" s="118" t="s">
        <v>393</v>
      </c>
      <c r="AL192" s="118" t="s">
        <v>393</v>
      </c>
      <c r="AM192" s="118" t="s">
        <v>393</v>
      </c>
      <c r="AN192" s="402" t="s">
        <v>5975</v>
      </c>
      <c r="AO192" s="402">
        <v>45135</v>
      </c>
      <c r="AP192" s="118">
        <v>7</v>
      </c>
      <c r="AQ192" s="118">
        <v>18</v>
      </c>
      <c r="AR192" s="118" t="s">
        <v>6448</v>
      </c>
      <c r="AS192" s="118" t="s">
        <v>483</v>
      </c>
      <c r="AT192" s="118" t="s">
        <v>225</v>
      </c>
      <c r="AU192" s="118" t="s">
        <v>404</v>
      </c>
      <c r="AV192" s="118" t="s">
        <v>508</v>
      </c>
      <c r="AW192" s="118" t="s">
        <v>740</v>
      </c>
      <c r="AX192" s="118" t="s">
        <v>393</v>
      </c>
      <c r="AY192" s="118" t="s">
        <v>393</v>
      </c>
      <c r="AZ192" s="118" t="s">
        <v>393</v>
      </c>
      <c r="BA192" s="118" t="s">
        <v>393</v>
      </c>
      <c r="BB192" s="118" t="s">
        <v>393</v>
      </c>
      <c r="BC192" s="118" t="s">
        <v>393</v>
      </c>
      <c r="BD192" s="118" t="s">
        <v>393</v>
      </c>
      <c r="BE192" s="118" t="s">
        <v>393</v>
      </c>
      <c r="BF192" s="118" t="s">
        <v>393</v>
      </c>
      <c r="BG192" s="118" t="s">
        <v>740</v>
      </c>
      <c r="BH192" s="118" t="s">
        <v>512</v>
      </c>
      <c r="BI192" s="118" t="s">
        <v>453</v>
      </c>
      <c r="BJ192" s="118" t="s">
        <v>393</v>
      </c>
      <c r="BK192" s="118" t="s">
        <v>6988</v>
      </c>
      <c r="BL192" s="118" t="s">
        <v>6415</v>
      </c>
      <c r="BM192" s="118" t="s">
        <v>6990</v>
      </c>
      <c r="BN192" s="118" t="s">
        <v>6991</v>
      </c>
      <c r="BO192" s="118" t="s">
        <v>6415</v>
      </c>
      <c r="BP192" s="118" t="s">
        <v>6415</v>
      </c>
      <c r="BQ192" s="118" t="s">
        <v>6415</v>
      </c>
      <c r="BR192" s="118" t="s">
        <v>6415</v>
      </c>
      <c r="BS192" s="118" t="s">
        <v>6415</v>
      </c>
      <c r="BT192" s="118" t="s">
        <v>7108</v>
      </c>
      <c r="BU192" s="118" t="s">
        <v>6991</v>
      </c>
      <c r="BV192" s="118" t="s">
        <v>6415</v>
      </c>
      <c r="BW192" s="118" t="s">
        <v>6415</v>
      </c>
      <c r="BX192" s="118" t="s">
        <v>6415</v>
      </c>
      <c r="BY192" s="118" t="s">
        <v>6415</v>
      </c>
      <c r="BZ192" s="118" t="s">
        <v>6415</v>
      </c>
      <c r="CA192" s="118" t="s">
        <v>6415</v>
      </c>
      <c r="CB192" s="118" t="s">
        <v>221</v>
      </c>
      <c r="CC192" s="118" t="s">
        <v>393</v>
      </c>
      <c r="CD192" s="118">
        <v>1</v>
      </c>
      <c r="CE192" s="118" t="s">
        <v>406</v>
      </c>
      <c r="CF192" s="118" t="s">
        <v>405</v>
      </c>
      <c r="CG192" s="118" t="s">
        <v>924</v>
      </c>
      <c r="CH192" s="118" t="s">
        <v>6302</v>
      </c>
      <c r="CI192" s="118" t="s">
        <v>6303</v>
      </c>
      <c r="CJ192" s="118" t="s">
        <v>398</v>
      </c>
      <c r="CK192" s="118">
        <v>0</v>
      </c>
      <c r="CL192" s="118">
        <v>0</v>
      </c>
      <c r="CM192" s="118" t="s">
        <v>399</v>
      </c>
      <c r="CN192" s="118" t="s">
        <v>398</v>
      </c>
      <c r="CO192" s="118" t="s">
        <v>6368</v>
      </c>
      <c r="CP192" s="118" t="s">
        <v>6368</v>
      </c>
      <c r="CQ192" s="118" t="s">
        <v>6415</v>
      </c>
      <c r="CR192" s="118" t="s">
        <v>6415</v>
      </c>
      <c r="CS192" s="118" t="s">
        <v>6415</v>
      </c>
      <c r="CT192" s="118" t="s">
        <v>6415</v>
      </c>
      <c r="CU192" s="118" t="s">
        <v>6415</v>
      </c>
      <c r="CV192" s="118" t="s">
        <v>6415</v>
      </c>
      <c r="CW192" s="118">
        <v>50</v>
      </c>
      <c r="CX192" s="118" t="s">
        <v>1066</v>
      </c>
      <c r="CY192" s="118" t="s">
        <v>6341</v>
      </c>
      <c r="CZ192" s="118" t="s">
        <v>6415</v>
      </c>
      <c r="DA192" s="118" t="s">
        <v>6415</v>
      </c>
      <c r="DB192" s="118" t="s">
        <v>6415</v>
      </c>
      <c r="DC192" s="118" t="s">
        <v>6415</v>
      </c>
      <c r="DD192" s="118" t="s">
        <v>6415</v>
      </c>
      <c r="DE192" s="118" t="s">
        <v>6415</v>
      </c>
      <c r="DF192" s="118" t="s">
        <v>6415</v>
      </c>
      <c r="DG192" s="118" t="s">
        <v>6415</v>
      </c>
      <c r="DH192" s="118" t="s">
        <v>6415</v>
      </c>
      <c r="DI192" s="118" t="s">
        <v>6415</v>
      </c>
      <c r="DJ192" s="118" t="s">
        <v>6415</v>
      </c>
      <c r="DK192" s="118" t="s">
        <v>6415</v>
      </c>
      <c r="DL192" s="118" t="s">
        <v>6415</v>
      </c>
      <c r="DM192" s="118" t="s">
        <v>6415</v>
      </c>
      <c r="DN192" s="118" t="s">
        <v>6415</v>
      </c>
      <c r="DO192" s="118" t="s">
        <v>6415</v>
      </c>
      <c r="DP192" s="118" t="s">
        <v>6415</v>
      </c>
      <c r="DQ192" s="118" t="s">
        <v>6415</v>
      </c>
      <c r="DR192" s="118">
        <v>0</v>
      </c>
      <c r="DS192" s="118" t="s">
        <v>6415</v>
      </c>
      <c r="DT192" s="118" t="s">
        <v>6415</v>
      </c>
      <c r="DU192" s="118" t="s">
        <v>6415</v>
      </c>
      <c r="DV192" s="118" t="s">
        <v>6415</v>
      </c>
      <c r="DW192" s="118" t="s">
        <v>6415</v>
      </c>
      <c r="DX192" s="118" t="s">
        <v>6415</v>
      </c>
      <c r="DY192" s="118" t="s">
        <v>6415</v>
      </c>
      <c r="DZ192" s="118" t="s">
        <v>6415</v>
      </c>
      <c r="EA192" s="118" t="s">
        <v>6415</v>
      </c>
      <c r="EB192" s="118" t="s">
        <v>6415</v>
      </c>
      <c r="EC192" s="118" t="s">
        <v>6415</v>
      </c>
      <c r="ED192" s="118" t="s">
        <v>6415</v>
      </c>
      <c r="EE192" s="118" t="s">
        <v>6415</v>
      </c>
      <c r="EF192" s="118" t="s">
        <v>6415</v>
      </c>
      <c r="EG192" s="118" t="s">
        <v>7081</v>
      </c>
      <c r="EH192" s="118" t="s">
        <v>7180</v>
      </c>
      <c r="EI192" s="118" t="s">
        <v>6415</v>
      </c>
      <c r="EJ192" s="118" t="s">
        <v>6415</v>
      </c>
      <c r="EK192" s="118" t="s">
        <v>6415</v>
      </c>
      <c r="EL192" s="118" t="s">
        <v>7467</v>
      </c>
      <c r="EM192" s="118" t="s">
        <v>7300</v>
      </c>
      <c r="EN192" s="118" t="s">
        <v>6415</v>
      </c>
      <c r="EO192" s="6" t="str">
        <f t="shared" si="18"/>
        <v>Pathweb</v>
      </c>
      <c r="EP192" s="6" t="str">
        <f t="shared" si="19"/>
        <v>Google Maps</v>
      </c>
      <c r="EQ192" s="6" t="str">
        <f t="shared" si="20"/>
        <v>Mashed Map</v>
      </c>
      <c r="ER192" s="118" t="s">
        <v>6726</v>
      </c>
      <c r="ES192" s="118" t="s">
        <v>71</v>
      </c>
      <c r="ET192" s="4">
        <v>0</v>
      </c>
      <c r="EU192" s="4"/>
      <c r="EV192" s="4"/>
    </row>
    <row r="193" spans="1:152" x14ac:dyDescent="0.15">
      <c r="A193" s="581" t="str">
        <f t="shared" si="17"/>
        <v>Crash Report</v>
      </c>
      <c r="B193" s="14">
        <v>20233130165</v>
      </c>
      <c r="C193" s="118">
        <v>2023</v>
      </c>
      <c r="D193" s="14">
        <v>23072928120211</v>
      </c>
      <c r="F193" s="118" t="s">
        <v>6442</v>
      </c>
      <c r="G193" s="118" t="s">
        <v>390</v>
      </c>
      <c r="H193" s="118">
        <v>2</v>
      </c>
      <c r="I193" s="118" t="s">
        <v>6055</v>
      </c>
      <c r="J193" s="118" t="s">
        <v>391</v>
      </c>
      <c r="K193" s="118" t="s">
        <v>6985</v>
      </c>
      <c r="L193" s="118">
        <v>0.254</v>
      </c>
      <c r="M193" s="118">
        <v>0.254</v>
      </c>
      <c r="N193" s="118" t="s">
        <v>7465</v>
      </c>
      <c r="O193" s="118">
        <v>708</v>
      </c>
      <c r="P193" s="118">
        <v>41.649487000000001</v>
      </c>
      <c r="Q193" s="118">
        <v>-83.521904000000006</v>
      </c>
      <c r="R193" s="118">
        <v>77000</v>
      </c>
      <c r="S193" s="118" t="s">
        <v>6988</v>
      </c>
      <c r="T193" s="118">
        <v>1</v>
      </c>
      <c r="U193" s="118">
        <v>0</v>
      </c>
      <c r="V193" s="118">
        <v>0</v>
      </c>
      <c r="W193" s="118">
        <v>0</v>
      </c>
      <c r="X193" s="118">
        <v>0</v>
      </c>
      <c r="Y193" s="118">
        <v>4</v>
      </c>
      <c r="Z193" s="118">
        <v>0</v>
      </c>
      <c r="AA193" s="118">
        <v>2</v>
      </c>
      <c r="AB193" s="118" t="s">
        <v>1067</v>
      </c>
      <c r="AC193" s="118" t="s">
        <v>6989</v>
      </c>
      <c r="AD193" s="118" t="s">
        <v>1034</v>
      </c>
      <c r="AE193" s="118" t="s">
        <v>943</v>
      </c>
      <c r="AF193" s="118" t="s">
        <v>1041</v>
      </c>
      <c r="AG193" s="118" t="s">
        <v>6415</v>
      </c>
      <c r="AH193" s="118" t="s">
        <v>393</v>
      </c>
      <c r="AI193" s="118">
        <v>4</v>
      </c>
      <c r="AJ193" s="118" t="s">
        <v>6415</v>
      </c>
      <c r="AK193" s="118" t="s">
        <v>393</v>
      </c>
      <c r="AL193" s="118" t="s">
        <v>393</v>
      </c>
      <c r="AM193" s="118" t="s">
        <v>393</v>
      </c>
      <c r="AN193" s="402" t="s">
        <v>5975</v>
      </c>
      <c r="AO193" s="402">
        <v>45136</v>
      </c>
      <c r="AP193" s="118">
        <v>7</v>
      </c>
      <c r="AQ193" s="118">
        <v>2</v>
      </c>
      <c r="AR193" s="118" t="s">
        <v>6449</v>
      </c>
      <c r="AS193" s="118" t="s">
        <v>420</v>
      </c>
      <c r="AT193" s="118" t="s">
        <v>225</v>
      </c>
      <c r="AU193" s="118" t="s">
        <v>505</v>
      </c>
      <c r="AV193" s="118" t="s">
        <v>508</v>
      </c>
      <c r="AW193" s="118" t="s">
        <v>393</v>
      </c>
      <c r="AX193" s="118" t="s">
        <v>393</v>
      </c>
      <c r="AY193" s="118" t="s">
        <v>740</v>
      </c>
      <c r="AZ193" s="118" t="s">
        <v>393</v>
      </c>
      <c r="BA193" s="118" t="s">
        <v>393</v>
      </c>
      <c r="BB193" s="118" t="s">
        <v>393</v>
      </c>
      <c r="BC193" s="118" t="s">
        <v>393</v>
      </c>
      <c r="BD193" s="118" t="s">
        <v>740</v>
      </c>
      <c r="BE193" s="118" t="s">
        <v>393</v>
      </c>
      <c r="BF193" s="118" t="s">
        <v>393</v>
      </c>
      <c r="BG193" s="118" t="s">
        <v>393</v>
      </c>
      <c r="BH193" s="118" t="s">
        <v>394</v>
      </c>
      <c r="BI193" s="118" t="s">
        <v>394</v>
      </c>
      <c r="BJ193" s="118" t="s">
        <v>393</v>
      </c>
      <c r="BK193" s="118" t="s">
        <v>6988</v>
      </c>
      <c r="BL193" s="118" t="s">
        <v>6415</v>
      </c>
      <c r="BM193" s="118" t="s">
        <v>6990</v>
      </c>
      <c r="BN193" s="118" t="s">
        <v>6991</v>
      </c>
      <c r="BO193" s="118" t="s">
        <v>6415</v>
      </c>
      <c r="BP193" s="118" t="s">
        <v>6415</v>
      </c>
      <c r="BQ193" s="118" t="s">
        <v>6415</v>
      </c>
      <c r="BR193" s="118" t="s">
        <v>6415</v>
      </c>
      <c r="BS193" s="118" t="s">
        <v>6415</v>
      </c>
      <c r="BT193" s="118" t="s">
        <v>7083</v>
      </c>
      <c r="BU193" s="118" t="s">
        <v>6415</v>
      </c>
      <c r="BV193" s="118" t="s">
        <v>6415</v>
      </c>
      <c r="BW193" s="118" t="s">
        <v>6415</v>
      </c>
      <c r="BX193" s="118" t="s">
        <v>6415</v>
      </c>
      <c r="BY193" s="118" t="s">
        <v>6415</v>
      </c>
      <c r="BZ193" s="118">
        <v>708</v>
      </c>
      <c r="CA193" s="118" t="s">
        <v>6415</v>
      </c>
      <c r="CB193" s="118" t="s">
        <v>422</v>
      </c>
      <c r="CC193" s="118" t="s">
        <v>740</v>
      </c>
      <c r="CD193" s="118">
        <v>2</v>
      </c>
      <c r="CE193" s="118" t="s">
        <v>411</v>
      </c>
      <c r="CF193" s="118" t="s">
        <v>410</v>
      </c>
      <c r="CG193" s="118" t="s">
        <v>924</v>
      </c>
      <c r="CH193" s="118" t="s">
        <v>6302</v>
      </c>
      <c r="CI193" s="118" t="s">
        <v>417</v>
      </c>
      <c r="CJ193" s="118" t="s">
        <v>398</v>
      </c>
      <c r="CK193" s="14">
        <v>10</v>
      </c>
      <c r="CL193" s="118">
        <v>5</v>
      </c>
      <c r="CM193" s="118" t="s">
        <v>399</v>
      </c>
      <c r="CN193" s="118" t="s">
        <v>6512</v>
      </c>
      <c r="CO193" s="118" t="s">
        <v>1096</v>
      </c>
      <c r="CP193" s="118" t="s">
        <v>400</v>
      </c>
      <c r="CQ193" s="118" t="s">
        <v>6415</v>
      </c>
      <c r="CR193" s="118" t="s">
        <v>6415</v>
      </c>
      <c r="CS193" s="118" t="s">
        <v>6415</v>
      </c>
      <c r="CT193" s="118" t="s">
        <v>6415</v>
      </c>
      <c r="CU193" s="118" t="s">
        <v>6415</v>
      </c>
      <c r="CV193" s="118" t="s">
        <v>6415</v>
      </c>
      <c r="CW193" s="14">
        <v>28</v>
      </c>
      <c r="CX193" s="118" t="s">
        <v>1066</v>
      </c>
      <c r="CY193" s="118" t="s">
        <v>6151</v>
      </c>
      <c r="CZ193" s="118">
        <v>1</v>
      </c>
      <c r="DA193" s="118" t="s">
        <v>411</v>
      </c>
      <c r="DB193" s="118" t="s">
        <v>410</v>
      </c>
      <c r="DC193" s="118" t="s">
        <v>6415</v>
      </c>
      <c r="DD193" s="118" t="s">
        <v>6302</v>
      </c>
      <c r="DE193" s="118" t="s">
        <v>6303</v>
      </c>
      <c r="DF193" s="118" t="s">
        <v>398</v>
      </c>
      <c r="DG193" s="118">
        <v>0</v>
      </c>
      <c r="DH193" s="118">
        <v>5</v>
      </c>
      <c r="DI193" s="118" t="s">
        <v>399</v>
      </c>
      <c r="DJ193" s="118" t="s">
        <v>398</v>
      </c>
      <c r="DK193" s="118" t="s">
        <v>400</v>
      </c>
      <c r="DL193" s="118" t="s">
        <v>6415</v>
      </c>
      <c r="DM193" s="118" t="s">
        <v>6415</v>
      </c>
      <c r="DN193" s="118" t="s">
        <v>6415</v>
      </c>
      <c r="DO193" s="118" t="s">
        <v>6415</v>
      </c>
      <c r="DP193" s="118" t="s">
        <v>6415</v>
      </c>
      <c r="DQ193" s="118" t="s">
        <v>6415</v>
      </c>
      <c r="DR193" s="118">
        <v>27</v>
      </c>
      <c r="DS193" s="118" t="s">
        <v>1068</v>
      </c>
      <c r="DT193" s="118" t="s">
        <v>6341</v>
      </c>
      <c r="DU193" s="118" t="s">
        <v>6415</v>
      </c>
      <c r="DV193" s="118" t="s">
        <v>6415</v>
      </c>
      <c r="DW193" s="118" t="s">
        <v>6415</v>
      </c>
      <c r="DX193" s="118" t="s">
        <v>6415</v>
      </c>
      <c r="DY193" s="118" t="s">
        <v>6415</v>
      </c>
      <c r="DZ193" s="118" t="s">
        <v>6415</v>
      </c>
      <c r="EA193" s="118" t="s">
        <v>6415</v>
      </c>
      <c r="EB193" s="118" t="s">
        <v>6415</v>
      </c>
      <c r="EC193" s="118" t="s">
        <v>6415</v>
      </c>
      <c r="ED193" s="118" t="s">
        <v>6415</v>
      </c>
      <c r="EE193" s="118" t="s">
        <v>6415</v>
      </c>
      <c r="EF193" s="118" t="s">
        <v>6415</v>
      </c>
      <c r="EG193" s="118" t="s">
        <v>7002</v>
      </c>
      <c r="EH193" s="118" t="s">
        <v>7082</v>
      </c>
      <c r="EI193" s="118" t="s">
        <v>6415</v>
      </c>
      <c r="EJ193" s="118" t="s">
        <v>6415</v>
      </c>
      <c r="EK193" s="118" t="s">
        <v>6415</v>
      </c>
      <c r="EL193" s="118" t="s">
        <v>7467</v>
      </c>
      <c r="EM193" s="118" t="s">
        <v>7301</v>
      </c>
      <c r="EN193" s="118" t="s">
        <v>6415</v>
      </c>
      <c r="EO193" s="6" t="str">
        <f t="shared" si="18"/>
        <v>Pathweb</v>
      </c>
      <c r="EP193" s="6" t="str">
        <f t="shared" si="19"/>
        <v>Google Maps</v>
      </c>
      <c r="EQ193" s="6" t="str">
        <f t="shared" si="20"/>
        <v>Mashed Map</v>
      </c>
      <c r="ER193" s="118" t="s">
        <v>6727</v>
      </c>
      <c r="ES193" s="118" t="s">
        <v>71</v>
      </c>
      <c r="ET193" s="4">
        <v>0</v>
      </c>
      <c r="EU193" s="4"/>
      <c r="EV193" s="4"/>
    </row>
    <row r="194" spans="1:152" x14ac:dyDescent="0.15">
      <c r="A194" s="581" t="str">
        <f t="shared" si="17"/>
        <v>Crash Report</v>
      </c>
      <c r="B194" s="14">
        <v>20233131743</v>
      </c>
      <c r="C194" s="118">
        <v>2023</v>
      </c>
      <c r="D194" s="14">
        <v>23080125031445</v>
      </c>
      <c r="F194" s="118" t="s">
        <v>6440</v>
      </c>
      <c r="G194" s="118" t="s">
        <v>402</v>
      </c>
      <c r="H194" s="118">
        <v>2</v>
      </c>
      <c r="I194" s="118" t="s">
        <v>6055</v>
      </c>
      <c r="J194" s="118" t="s">
        <v>391</v>
      </c>
      <c r="K194" s="118" t="s">
        <v>6985</v>
      </c>
      <c r="L194" s="118">
        <v>0.64900000000000002</v>
      </c>
      <c r="M194" s="118">
        <v>0.64900000000000002</v>
      </c>
      <c r="N194" s="118" t="s">
        <v>7465</v>
      </c>
      <c r="O194" s="118">
        <v>1316</v>
      </c>
      <c r="P194" s="118">
        <v>41.653089000000001</v>
      </c>
      <c r="Q194" s="118">
        <v>-83.516000000000005</v>
      </c>
      <c r="R194" s="118">
        <v>77000</v>
      </c>
      <c r="S194" s="118" t="s">
        <v>6988</v>
      </c>
      <c r="T194" s="118">
        <v>1</v>
      </c>
      <c r="U194" s="118">
        <v>0</v>
      </c>
      <c r="V194" s="118">
        <v>0</v>
      </c>
      <c r="W194" s="118">
        <v>1</v>
      </c>
      <c r="X194" s="118">
        <v>0</v>
      </c>
      <c r="Y194" s="118">
        <v>1</v>
      </c>
      <c r="Z194" s="118">
        <v>0</v>
      </c>
      <c r="AA194" s="118">
        <v>2</v>
      </c>
      <c r="AB194" s="118" t="s">
        <v>1067</v>
      </c>
      <c r="AC194" s="118" t="s">
        <v>6989</v>
      </c>
      <c r="AD194" s="118" t="s">
        <v>1034</v>
      </c>
      <c r="AE194" s="118" t="s">
        <v>943</v>
      </c>
      <c r="AF194" s="118" t="s">
        <v>1041</v>
      </c>
      <c r="AG194" s="118" t="s">
        <v>6415</v>
      </c>
      <c r="AH194" s="118" t="s">
        <v>393</v>
      </c>
      <c r="AI194" s="118">
        <v>4</v>
      </c>
      <c r="AJ194" s="118" t="s">
        <v>6415</v>
      </c>
      <c r="AK194" s="118" t="s">
        <v>393</v>
      </c>
      <c r="AL194" s="118" t="s">
        <v>393</v>
      </c>
      <c r="AM194" s="118" t="s">
        <v>393</v>
      </c>
      <c r="AN194" s="402" t="s">
        <v>5975</v>
      </c>
      <c r="AO194" s="402">
        <v>45139</v>
      </c>
      <c r="AP194" s="118">
        <v>8</v>
      </c>
      <c r="AQ194" s="118">
        <v>14</v>
      </c>
      <c r="AR194" s="118" t="s">
        <v>6445</v>
      </c>
      <c r="AS194" s="118" t="s">
        <v>392</v>
      </c>
      <c r="AT194" s="118" t="s">
        <v>500</v>
      </c>
      <c r="AU194" s="118" t="s">
        <v>404</v>
      </c>
      <c r="AV194" s="118" t="s">
        <v>508</v>
      </c>
      <c r="AW194" s="118" t="s">
        <v>393</v>
      </c>
      <c r="AX194" s="118" t="s">
        <v>393</v>
      </c>
      <c r="AY194" s="118" t="s">
        <v>393</v>
      </c>
      <c r="AZ194" s="118" t="s">
        <v>393</v>
      </c>
      <c r="BA194" s="118" t="s">
        <v>393</v>
      </c>
      <c r="BB194" s="118" t="s">
        <v>393</v>
      </c>
      <c r="BC194" s="118" t="s">
        <v>740</v>
      </c>
      <c r="BD194" s="118" t="s">
        <v>393</v>
      </c>
      <c r="BE194" s="118" t="s">
        <v>393</v>
      </c>
      <c r="BF194" s="118" t="s">
        <v>393</v>
      </c>
      <c r="BG194" s="118" t="s">
        <v>393</v>
      </c>
      <c r="BH194" s="118" t="s">
        <v>394</v>
      </c>
      <c r="BI194" s="118" t="s">
        <v>394</v>
      </c>
      <c r="BJ194" s="118" t="s">
        <v>393</v>
      </c>
      <c r="BK194" s="118" t="s">
        <v>6988</v>
      </c>
      <c r="BL194" s="118" t="s">
        <v>6415</v>
      </c>
      <c r="BM194" s="118" t="s">
        <v>6990</v>
      </c>
      <c r="BN194" s="118" t="s">
        <v>6991</v>
      </c>
      <c r="BO194" s="118" t="s">
        <v>6415</v>
      </c>
      <c r="BP194" s="118" t="s">
        <v>6415</v>
      </c>
      <c r="BQ194" s="118" t="s">
        <v>6415</v>
      </c>
      <c r="BR194" s="118" t="s">
        <v>6415</v>
      </c>
      <c r="BS194" s="118" t="s">
        <v>6415</v>
      </c>
      <c r="BT194" s="118" t="s">
        <v>7100</v>
      </c>
      <c r="BU194" s="118" t="s">
        <v>6415</v>
      </c>
      <c r="BV194" s="118" t="s">
        <v>6415</v>
      </c>
      <c r="BW194" s="118" t="s">
        <v>6415</v>
      </c>
      <c r="BX194" s="118" t="s">
        <v>6415</v>
      </c>
      <c r="BY194" s="118" t="s">
        <v>6415</v>
      </c>
      <c r="BZ194" s="118">
        <v>1316</v>
      </c>
      <c r="CA194" s="118" t="s">
        <v>6415</v>
      </c>
      <c r="CB194" s="118" t="s">
        <v>422</v>
      </c>
      <c r="CC194" s="118" t="s">
        <v>740</v>
      </c>
      <c r="CD194" s="118">
        <v>2</v>
      </c>
      <c r="CE194" s="118" t="s">
        <v>411</v>
      </c>
      <c r="CF194" s="118" t="s">
        <v>411</v>
      </c>
      <c r="CG194" s="118" t="s">
        <v>927</v>
      </c>
      <c r="CH194" s="118" t="s">
        <v>6302</v>
      </c>
      <c r="CI194" s="118" t="s">
        <v>6305</v>
      </c>
      <c r="CJ194" s="118" t="s">
        <v>398</v>
      </c>
      <c r="CK194" s="14">
        <v>10</v>
      </c>
      <c r="CL194" s="118">
        <v>35</v>
      </c>
      <c r="CM194" s="118" t="s">
        <v>486</v>
      </c>
      <c r="CN194" s="118" t="s">
        <v>451</v>
      </c>
      <c r="CO194" s="118" t="s">
        <v>1096</v>
      </c>
      <c r="CP194" s="118" t="s">
        <v>400</v>
      </c>
      <c r="CQ194" s="118" t="s">
        <v>6415</v>
      </c>
      <c r="CR194" s="118" t="s">
        <v>6415</v>
      </c>
      <c r="CS194" s="118" t="s">
        <v>6415</v>
      </c>
      <c r="CT194" s="118" t="s">
        <v>6415</v>
      </c>
      <c r="CU194" s="118" t="s">
        <v>6415</v>
      </c>
      <c r="CV194" s="118" t="s">
        <v>6415</v>
      </c>
      <c r="CW194" s="14">
        <v>33</v>
      </c>
      <c r="CX194" s="118" t="s">
        <v>1066</v>
      </c>
      <c r="CY194" s="118" t="s">
        <v>6341</v>
      </c>
      <c r="CZ194" s="118">
        <v>1</v>
      </c>
      <c r="DA194" s="118" t="s">
        <v>411</v>
      </c>
      <c r="DB194" s="118" t="s">
        <v>410</v>
      </c>
      <c r="DC194" s="118" t="s">
        <v>6415</v>
      </c>
      <c r="DD194" s="118" t="s">
        <v>6302</v>
      </c>
      <c r="DE194" s="118" t="s">
        <v>6308</v>
      </c>
      <c r="DF194" s="118" t="s">
        <v>398</v>
      </c>
      <c r="DG194" s="118">
        <v>35</v>
      </c>
      <c r="DH194" s="118">
        <v>35</v>
      </c>
      <c r="DI194" s="118" t="s">
        <v>399</v>
      </c>
      <c r="DJ194" s="118" t="s">
        <v>398</v>
      </c>
      <c r="DK194" s="118" t="s">
        <v>400</v>
      </c>
      <c r="DL194" s="118" t="s">
        <v>6415</v>
      </c>
      <c r="DM194" s="118" t="s">
        <v>6415</v>
      </c>
      <c r="DN194" s="118" t="s">
        <v>6415</v>
      </c>
      <c r="DO194" s="118" t="s">
        <v>6415</v>
      </c>
      <c r="DP194" s="118" t="s">
        <v>6415</v>
      </c>
      <c r="DQ194" s="118" t="s">
        <v>6415</v>
      </c>
      <c r="DR194" s="118">
        <v>34</v>
      </c>
      <c r="DS194" s="118" t="s">
        <v>1068</v>
      </c>
      <c r="DT194" s="118" t="s">
        <v>6341</v>
      </c>
      <c r="DU194" s="118" t="s">
        <v>6415</v>
      </c>
      <c r="DV194" s="118" t="s">
        <v>6415</v>
      </c>
      <c r="DW194" s="118" t="s">
        <v>6415</v>
      </c>
      <c r="DX194" s="118" t="s">
        <v>6415</v>
      </c>
      <c r="DY194" s="118" t="s">
        <v>6415</v>
      </c>
      <c r="DZ194" s="118" t="s">
        <v>6415</v>
      </c>
      <c r="EA194" s="118" t="s">
        <v>6415</v>
      </c>
      <c r="EB194" s="118" t="s">
        <v>6415</v>
      </c>
      <c r="EC194" s="118" t="s">
        <v>6415</v>
      </c>
      <c r="ED194" s="118" t="s">
        <v>6415</v>
      </c>
      <c r="EE194" s="118" t="s">
        <v>6415</v>
      </c>
      <c r="EF194" s="118" t="s">
        <v>6415</v>
      </c>
      <c r="EG194" s="118" t="s">
        <v>7226</v>
      </c>
      <c r="EH194" s="118" t="s">
        <v>7099</v>
      </c>
      <c r="EI194" s="118" t="s">
        <v>6415</v>
      </c>
      <c r="EJ194" s="118" t="s">
        <v>6415</v>
      </c>
      <c r="EK194" s="118" t="s">
        <v>6415</v>
      </c>
      <c r="EL194" s="118" t="s">
        <v>7467</v>
      </c>
      <c r="EM194" s="118" t="s">
        <v>7302</v>
      </c>
      <c r="EN194" s="118" t="s">
        <v>6415</v>
      </c>
      <c r="EO194" s="6" t="str">
        <f t="shared" si="18"/>
        <v>Pathweb</v>
      </c>
      <c r="EP194" s="6" t="str">
        <f t="shared" si="19"/>
        <v>Google Maps</v>
      </c>
      <c r="EQ194" s="6" t="str">
        <f t="shared" si="20"/>
        <v>Mashed Map</v>
      </c>
      <c r="ER194" s="118" t="s">
        <v>6727</v>
      </c>
      <c r="ES194" s="118" t="s">
        <v>6728</v>
      </c>
      <c r="ET194" s="4">
        <v>0</v>
      </c>
      <c r="EU194" s="4"/>
      <c r="EV194" s="4"/>
    </row>
    <row r="195" spans="1:152" x14ac:dyDescent="0.15">
      <c r="A195" s="581" t="str">
        <f t="shared" si="17"/>
        <v>Crash Report</v>
      </c>
      <c r="B195" s="118">
        <v>20233134005</v>
      </c>
      <c r="C195" s="118">
        <v>2023</v>
      </c>
      <c r="D195" s="118">
        <v>23072628851545</v>
      </c>
      <c r="F195" s="118" t="s">
        <v>6442</v>
      </c>
      <c r="G195" s="118" t="s">
        <v>211</v>
      </c>
      <c r="H195" s="118">
        <v>2</v>
      </c>
      <c r="I195" s="118" t="s">
        <v>6055</v>
      </c>
      <c r="J195" s="118" t="s">
        <v>391</v>
      </c>
      <c r="K195" s="118" t="s">
        <v>6997</v>
      </c>
      <c r="L195" s="118">
        <v>0.749</v>
      </c>
      <c r="M195" s="118">
        <v>0.749</v>
      </c>
      <c r="N195" s="118" t="s">
        <v>7469</v>
      </c>
      <c r="O195" s="118">
        <v>75</v>
      </c>
      <c r="P195" s="118">
        <v>41.648924000000001</v>
      </c>
      <c r="Q195" s="118">
        <v>-83.523883999999995</v>
      </c>
      <c r="R195" s="118">
        <v>77000</v>
      </c>
      <c r="S195" s="118" t="s">
        <v>6988</v>
      </c>
      <c r="T195" s="118">
        <v>1</v>
      </c>
      <c r="U195" s="118">
        <v>0</v>
      </c>
      <c r="V195" s="118">
        <v>0</v>
      </c>
      <c r="W195" s="118">
        <v>0</v>
      </c>
      <c r="X195" s="118">
        <v>0</v>
      </c>
      <c r="Y195" s="118">
        <v>2</v>
      </c>
      <c r="Z195" s="118">
        <v>0</v>
      </c>
      <c r="AA195" s="118">
        <v>2</v>
      </c>
      <c r="AB195" s="118" t="s">
        <v>1067</v>
      </c>
      <c r="AC195" s="118" t="s">
        <v>6989</v>
      </c>
      <c r="AD195" s="118" t="s">
        <v>1034</v>
      </c>
      <c r="AE195" s="118" t="s">
        <v>943</v>
      </c>
      <c r="AF195" s="118" t="s">
        <v>1041</v>
      </c>
      <c r="AG195" s="118" t="s">
        <v>6415</v>
      </c>
      <c r="AH195" s="118" t="s">
        <v>393</v>
      </c>
      <c r="AI195" s="118">
        <v>2</v>
      </c>
      <c r="AJ195" s="118" t="s">
        <v>6415</v>
      </c>
      <c r="AK195" s="118" t="s">
        <v>393</v>
      </c>
      <c r="AL195" s="118" t="s">
        <v>393</v>
      </c>
      <c r="AM195" s="118" t="s">
        <v>393</v>
      </c>
      <c r="AN195" s="402" t="s">
        <v>5975</v>
      </c>
      <c r="AO195" s="402">
        <v>45133</v>
      </c>
      <c r="AP195" s="118">
        <v>7</v>
      </c>
      <c r="AQ195" s="118">
        <v>15</v>
      </c>
      <c r="AR195" s="118" t="s">
        <v>6446</v>
      </c>
      <c r="AS195" s="118" t="s">
        <v>420</v>
      </c>
      <c r="AT195" s="118" t="s">
        <v>225</v>
      </c>
      <c r="AU195" s="118" t="s">
        <v>404</v>
      </c>
      <c r="AV195" s="118" t="s">
        <v>508</v>
      </c>
      <c r="AW195" s="118" t="s">
        <v>393</v>
      </c>
      <c r="AX195" s="118" t="s">
        <v>393</v>
      </c>
      <c r="AY195" s="118" t="s">
        <v>393</v>
      </c>
      <c r="AZ195" s="118" t="s">
        <v>393</v>
      </c>
      <c r="BA195" s="118" t="s">
        <v>393</v>
      </c>
      <c r="BB195" s="118" t="s">
        <v>393</v>
      </c>
      <c r="BC195" s="118" t="s">
        <v>393</v>
      </c>
      <c r="BD195" s="118" t="s">
        <v>393</v>
      </c>
      <c r="BE195" s="118" t="s">
        <v>393</v>
      </c>
      <c r="BF195" s="118" t="s">
        <v>740</v>
      </c>
      <c r="BG195" s="118" t="s">
        <v>393</v>
      </c>
      <c r="BH195" s="118" t="s">
        <v>394</v>
      </c>
      <c r="BI195" s="118" t="s">
        <v>394</v>
      </c>
      <c r="BJ195" s="118" t="s">
        <v>393</v>
      </c>
      <c r="BK195" s="118" t="s">
        <v>6988</v>
      </c>
      <c r="BL195" s="118" t="s">
        <v>6415</v>
      </c>
      <c r="BM195" s="118" t="s">
        <v>6992</v>
      </c>
      <c r="BN195" s="118" t="s">
        <v>6991</v>
      </c>
      <c r="BO195" s="118" t="s">
        <v>6415</v>
      </c>
      <c r="BP195" s="118" t="s">
        <v>6415</v>
      </c>
      <c r="BQ195" s="118" t="s">
        <v>6415</v>
      </c>
      <c r="BR195" s="118" t="s">
        <v>6415</v>
      </c>
      <c r="BS195" s="118" t="s">
        <v>6415</v>
      </c>
      <c r="BT195" s="118" t="s">
        <v>7304</v>
      </c>
      <c r="BU195" s="118" t="s">
        <v>6415</v>
      </c>
      <c r="BV195" s="118" t="s">
        <v>6415</v>
      </c>
      <c r="BW195" s="118" t="s">
        <v>6415</v>
      </c>
      <c r="BX195" s="118" t="s">
        <v>6415</v>
      </c>
      <c r="BY195" s="118" t="s">
        <v>6415</v>
      </c>
      <c r="BZ195" s="118">
        <v>75</v>
      </c>
      <c r="CA195" s="118" t="s">
        <v>6415</v>
      </c>
      <c r="CB195" s="118" t="s">
        <v>422</v>
      </c>
      <c r="CC195" s="118" t="s">
        <v>740</v>
      </c>
      <c r="CD195" s="118">
        <v>2</v>
      </c>
      <c r="CE195" s="118" t="s">
        <v>397</v>
      </c>
      <c r="CF195" s="118" t="s">
        <v>446</v>
      </c>
      <c r="CG195" s="118" t="s">
        <v>230</v>
      </c>
      <c r="CH195" s="118" t="s">
        <v>6302</v>
      </c>
      <c r="CI195" s="118" t="s">
        <v>6303</v>
      </c>
      <c r="CJ195" s="118" t="s">
        <v>398</v>
      </c>
      <c r="CK195" s="118">
        <v>20</v>
      </c>
      <c r="CL195" s="118">
        <v>35</v>
      </c>
      <c r="CM195" s="118" t="s">
        <v>436</v>
      </c>
      <c r="CN195" s="118" t="s">
        <v>398</v>
      </c>
      <c r="CO195" s="118" t="s">
        <v>1096</v>
      </c>
      <c r="CP195" s="118" t="s">
        <v>400</v>
      </c>
      <c r="CQ195" s="118" t="s">
        <v>6415</v>
      </c>
      <c r="CR195" s="118" t="s">
        <v>6415</v>
      </c>
      <c r="CS195" s="118" t="s">
        <v>6415</v>
      </c>
      <c r="CT195" s="118" t="s">
        <v>6415</v>
      </c>
      <c r="CU195" s="118" t="s">
        <v>6415</v>
      </c>
      <c r="CV195" s="118" t="s">
        <v>6415</v>
      </c>
      <c r="CW195" s="118">
        <v>45</v>
      </c>
      <c r="CX195" s="118" t="s">
        <v>1066</v>
      </c>
      <c r="CY195" s="118" t="s">
        <v>6151</v>
      </c>
      <c r="CZ195" s="118">
        <v>1</v>
      </c>
      <c r="DA195" s="118" t="s">
        <v>445</v>
      </c>
      <c r="DB195" s="118" t="s">
        <v>446</v>
      </c>
      <c r="DC195" s="118" t="s">
        <v>6415</v>
      </c>
      <c r="DD195" s="118" t="s">
        <v>6302</v>
      </c>
      <c r="DE195" s="118" t="s">
        <v>6303</v>
      </c>
      <c r="DF195" s="118" t="s">
        <v>398</v>
      </c>
      <c r="DG195" s="118">
        <v>2</v>
      </c>
      <c r="DH195" s="118">
        <v>35</v>
      </c>
      <c r="DI195" s="118" t="s">
        <v>399</v>
      </c>
      <c r="DJ195" s="118" t="s">
        <v>398</v>
      </c>
      <c r="DK195" s="118" t="s">
        <v>400</v>
      </c>
      <c r="DL195" s="118" t="s">
        <v>6415</v>
      </c>
      <c r="DM195" s="118" t="s">
        <v>6415</v>
      </c>
      <c r="DN195" s="118" t="s">
        <v>6415</v>
      </c>
      <c r="DO195" s="118" t="s">
        <v>6415</v>
      </c>
      <c r="DP195" s="118" t="s">
        <v>6415</v>
      </c>
      <c r="DQ195" s="118" t="s">
        <v>6415</v>
      </c>
      <c r="DR195" s="118">
        <v>23</v>
      </c>
      <c r="DS195" s="118" t="s">
        <v>1068</v>
      </c>
      <c r="DT195" s="118" t="s">
        <v>6151</v>
      </c>
      <c r="DU195" s="118" t="s">
        <v>6415</v>
      </c>
      <c r="DV195" s="118" t="s">
        <v>6415</v>
      </c>
      <c r="DW195" s="118" t="s">
        <v>6415</v>
      </c>
      <c r="DX195" s="118" t="s">
        <v>6415</v>
      </c>
      <c r="DY195" s="118" t="s">
        <v>6415</v>
      </c>
      <c r="DZ195" s="118" t="s">
        <v>6415</v>
      </c>
      <c r="EA195" s="118" t="s">
        <v>6415</v>
      </c>
      <c r="EB195" s="118" t="s">
        <v>6415</v>
      </c>
      <c r="EC195" s="118" t="s">
        <v>6415</v>
      </c>
      <c r="ED195" s="118" t="s">
        <v>6415</v>
      </c>
      <c r="EE195" s="118" t="s">
        <v>6415</v>
      </c>
      <c r="EF195" s="118" t="s">
        <v>6415</v>
      </c>
      <c r="EG195" s="118" t="s">
        <v>6986</v>
      </c>
      <c r="EH195" s="118" t="s">
        <v>7145</v>
      </c>
      <c r="EI195" s="118" t="s">
        <v>6415</v>
      </c>
      <c r="EJ195" s="118" t="s">
        <v>6415</v>
      </c>
      <c r="EK195" s="118" t="s">
        <v>6415</v>
      </c>
      <c r="EL195" s="118" t="s">
        <v>7467</v>
      </c>
      <c r="EM195" s="118" t="s">
        <v>7303</v>
      </c>
      <c r="EN195" s="118" t="s">
        <v>6415</v>
      </c>
      <c r="EO195" s="6" t="str">
        <f t="shared" si="18"/>
        <v>Pathweb</v>
      </c>
      <c r="EP195" s="6" t="str">
        <f t="shared" si="19"/>
        <v>Google Maps</v>
      </c>
      <c r="EQ195" s="6" t="str">
        <f t="shared" si="20"/>
        <v>Mashed Map</v>
      </c>
      <c r="ER195" s="118" t="s">
        <v>6727</v>
      </c>
      <c r="ES195" s="118" t="s">
        <v>71</v>
      </c>
      <c r="ET195" s="4">
        <v>1.0999999999999999E-2</v>
      </c>
      <c r="EU195" s="4"/>
      <c r="EV195" s="4"/>
    </row>
    <row r="196" spans="1:152" x14ac:dyDescent="0.15">
      <c r="A196" s="581" t="str">
        <f t="shared" si="17"/>
        <v>Crash Report</v>
      </c>
      <c r="B196" s="118">
        <v>20233159017</v>
      </c>
      <c r="C196" s="118">
        <v>2023</v>
      </c>
      <c r="D196" s="118">
        <v>23091329021635</v>
      </c>
      <c r="F196" s="118" t="s">
        <v>6440</v>
      </c>
      <c r="G196" s="118" t="s">
        <v>390</v>
      </c>
      <c r="H196" s="118">
        <v>2</v>
      </c>
      <c r="I196" s="118" t="s">
        <v>6055</v>
      </c>
      <c r="J196" s="118" t="s">
        <v>391</v>
      </c>
      <c r="K196" s="118" t="s">
        <v>6985</v>
      </c>
      <c r="L196" s="118">
        <v>0.874</v>
      </c>
      <c r="M196" s="118">
        <v>0.874</v>
      </c>
      <c r="N196" s="118" t="s">
        <v>7465</v>
      </c>
      <c r="O196" s="118" t="s">
        <v>7481</v>
      </c>
      <c r="P196" s="118">
        <v>41.655144</v>
      </c>
      <c r="Q196" s="118">
        <v>-83.512640000000005</v>
      </c>
      <c r="R196" s="118">
        <v>77000</v>
      </c>
      <c r="S196" s="118" t="s">
        <v>6988</v>
      </c>
      <c r="T196" s="118">
        <v>1</v>
      </c>
      <c r="U196" s="118">
        <v>0</v>
      </c>
      <c r="V196" s="118">
        <v>0</v>
      </c>
      <c r="W196" s="118">
        <v>1</v>
      </c>
      <c r="X196" s="118">
        <v>0</v>
      </c>
      <c r="Y196" s="118">
        <v>3</v>
      </c>
      <c r="Z196" s="118">
        <v>0</v>
      </c>
      <c r="AA196" s="118">
        <v>2</v>
      </c>
      <c r="AB196" s="118" t="s">
        <v>1067</v>
      </c>
      <c r="AC196" s="118" t="s">
        <v>6989</v>
      </c>
      <c r="AD196" s="118" t="s">
        <v>1034</v>
      </c>
      <c r="AE196" s="118" t="s">
        <v>943</v>
      </c>
      <c r="AF196" s="118" t="s">
        <v>1041</v>
      </c>
      <c r="AG196" s="118" t="s">
        <v>6415</v>
      </c>
      <c r="AH196" s="118" t="s">
        <v>393</v>
      </c>
      <c r="AI196" s="118">
        <v>4</v>
      </c>
      <c r="AJ196" s="118" t="s">
        <v>6415</v>
      </c>
      <c r="AK196" s="118" t="s">
        <v>393</v>
      </c>
      <c r="AL196" s="118" t="s">
        <v>393</v>
      </c>
      <c r="AM196" s="118" t="s">
        <v>393</v>
      </c>
      <c r="AN196" s="402" t="s">
        <v>5975</v>
      </c>
      <c r="AO196" s="402">
        <v>45182</v>
      </c>
      <c r="AP196" s="118">
        <v>9</v>
      </c>
      <c r="AQ196" s="118">
        <v>16</v>
      </c>
      <c r="AR196" s="118" t="s">
        <v>6446</v>
      </c>
      <c r="AS196" s="118" t="s">
        <v>392</v>
      </c>
      <c r="AT196" s="118" t="s">
        <v>500</v>
      </c>
      <c r="AU196" s="118" t="s">
        <v>404</v>
      </c>
      <c r="AV196" s="118" t="s">
        <v>508</v>
      </c>
      <c r="AW196" s="118" t="s">
        <v>393</v>
      </c>
      <c r="AX196" s="118" t="s">
        <v>393</v>
      </c>
      <c r="AY196" s="118" t="s">
        <v>393</v>
      </c>
      <c r="AZ196" s="118" t="s">
        <v>393</v>
      </c>
      <c r="BA196" s="118" t="s">
        <v>393</v>
      </c>
      <c r="BB196" s="118" t="s">
        <v>393</v>
      </c>
      <c r="BC196" s="118" t="s">
        <v>393</v>
      </c>
      <c r="BD196" s="118" t="s">
        <v>393</v>
      </c>
      <c r="BE196" s="118" t="s">
        <v>393</v>
      </c>
      <c r="BF196" s="118" t="s">
        <v>393</v>
      </c>
      <c r="BG196" s="118" t="s">
        <v>393</v>
      </c>
      <c r="BH196" s="118" t="s">
        <v>394</v>
      </c>
      <c r="BI196" s="118" t="s">
        <v>394</v>
      </c>
      <c r="BJ196" s="118" t="s">
        <v>393</v>
      </c>
      <c r="BK196" s="118" t="s">
        <v>6988</v>
      </c>
      <c r="BL196" s="118" t="s">
        <v>6415</v>
      </c>
      <c r="BM196" s="118" t="s">
        <v>6990</v>
      </c>
      <c r="BN196" s="118" t="s">
        <v>6991</v>
      </c>
      <c r="BO196" s="118" t="s">
        <v>6415</v>
      </c>
      <c r="BP196" s="118" t="s">
        <v>6415</v>
      </c>
      <c r="BQ196" s="118" t="s">
        <v>6415</v>
      </c>
      <c r="BR196" s="118" t="s">
        <v>6415</v>
      </c>
      <c r="BS196" s="118" t="s">
        <v>6415</v>
      </c>
      <c r="BT196" s="118" t="s">
        <v>7067</v>
      </c>
      <c r="BU196" s="118" t="s">
        <v>7017</v>
      </c>
      <c r="BV196" s="118" t="s">
        <v>6415</v>
      </c>
      <c r="BW196" s="118" t="s">
        <v>6415</v>
      </c>
      <c r="BX196" s="118" t="s">
        <v>6415</v>
      </c>
      <c r="BY196" s="118" t="s">
        <v>6415</v>
      </c>
      <c r="BZ196" s="118" t="s">
        <v>6415</v>
      </c>
      <c r="CA196" s="118" t="s">
        <v>6415</v>
      </c>
      <c r="CB196" s="118" t="s">
        <v>221</v>
      </c>
      <c r="CC196" s="118" t="s">
        <v>740</v>
      </c>
      <c r="CD196" s="118">
        <v>1</v>
      </c>
      <c r="CE196" s="118" t="s">
        <v>410</v>
      </c>
      <c r="CF196" s="118" t="s">
        <v>446</v>
      </c>
      <c r="CG196" s="118" t="s">
        <v>230</v>
      </c>
      <c r="CH196" s="118" t="s">
        <v>6302</v>
      </c>
      <c r="CI196" s="118" t="s">
        <v>417</v>
      </c>
      <c r="CJ196" s="118" t="s">
        <v>398</v>
      </c>
      <c r="CK196" s="118">
        <v>0</v>
      </c>
      <c r="CL196" s="118">
        <v>0</v>
      </c>
      <c r="CM196" s="118" t="s">
        <v>399</v>
      </c>
      <c r="CN196" s="118" t="s">
        <v>6512</v>
      </c>
      <c r="CO196" s="118" t="s">
        <v>1096</v>
      </c>
      <c r="CP196" s="118" t="s">
        <v>400</v>
      </c>
      <c r="CQ196" s="118" t="s">
        <v>6415</v>
      </c>
      <c r="CR196" s="118" t="s">
        <v>6415</v>
      </c>
      <c r="CS196" s="118" t="s">
        <v>6415</v>
      </c>
      <c r="CT196" s="118" t="s">
        <v>6415</v>
      </c>
      <c r="CU196" s="118" t="s">
        <v>6415</v>
      </c>
      <c r="CV196" s="118" t="s">
        <v>6415</v>
      </c>
      <c r="CW196" s="118">
        <v>42</v>
      </c>
      <c r="CX196" s="118" t="s">
        <v>1066</v>
      </c>
      <c r="CY196" s="118" t="s">
        <v>6341</v>
      </c>
      <c r="CZ196" s="118">
        <v>2</v>
      </c>
      <c r="DA196" s="118" t="s">
        <v>410</v>
      </c>
      <c r="DB196" s="118" t="s">
        <v>446</v>
      </c>
      <c r="DC196" s="118" t="s">
        <v>6415</v>
      </c>
      <c r="DD196" s="118" t="s">
        <v>6302</v>
      </c>
      <c r="DE196" s="118" t="s">
        <v>6303</v>
      </c>
      <c r="DF196" s="118" t="s">
        <v>398</v>
      </c>
      <c r="DG196" s="118" t="s">
        <v>6415</v>
      </c>
      <c r="DH196" s="118" t="s">
        <v>6415</v>
      </c>
      <c r="DI196" s="118" t="s">
        <v>399</v>
      </c>
      <c r="DJ196" s="118" t="s">
        <v>398</v>
      </c>
      <c r="DK196" s="118" t="s">
        <v>400</v>
      </c>
      <c r="DL196" s="118" t="s">
        <v>6415</v>
      </c>
      <c r="DM196" s="118" t="s">
        <v>6415</v>
      </c>
      <c r="DN196" s="118" t="s">
        <v>6415</v>
      </c>
      <c r="DO196" s="118" t="s">
        <v>6415</v>
      </c>
      <c r="DP196" s="118" t="s">
        <v>6415</v>
      </c>
      <c r="DQ196" s="118" t="s">
        <v>6415</v>
      </c>
      <c r="DR196" s="118">
        <v>39</v>
      </c>
      <c r="DS196" s="118" t="s">
        <v>1066</v>
      </c>
      <c r="DT196" s="118" t="s">
        <v>6341</v>
      </c>
      <c r="DU196" s="118" t="s">
        <v>6415</v>
      </c>
      <c r="DV196" s="118" t="s">
        <v>6415</v>
      </c>
      <c r="DW196" s="118" t="s">
        <v>6415</v>
      </c>
      <c r="DX196" s="118" t="s">
        <v>6415</v>
      </c>
      <c r="DY196" s="118" t="s">
        <v>6415</v>
      </c>
      <c r="DZ196" s="118" t="s">
        <v>6415</v>
      </c>
      <c r="EA196" s="118" t="s">
        <v>6415</v>
      </c>
      <c r="EB196" s="118" t="s">
        <v>6415</v>
      </c>
      <c r="EC196" s="118" t="s">
        <v>6415</v>
      </c>
      <c r="ED196" s="118" t="s">
        <v>6415</v>
      </c>
      <c r="EE196" s="118" t="s">
        <v>6415</v>
      </c>
      <c r="EF196" s="118" t="s">
        <v>6415</v>
      </c>
      <c r="EG196" s="118" t="s">
        <v>7065</v>
      </c>
      <c r="EH196" s="118" t="s">
        <v>7066</v>
      </c>
      <c r="EI196" s="118" t="s">
        <v>6415</v>
      </c>
      <c r="EJ196" s="118" t="s">
        <v>6415</v>
      </c>
      <c r="EK196" s="118" t="s">
        <v>6415</v>
      </c>
      <c r="EL196" s="118" t="s">
        <v>7467</v>
      </c>
      <c r="EM196" s="118" t="s">
        <v>7305</v>
      </c>
      <c r="EN196" s="118" t="s">
        <v>6415</v>
      </c>
      <c r="EO196" s="6" t="str">
        <f t="shared" si="18"/>
        <v>Pathweb</v>
      </c>
      <c r="EP196" s="6" t="str">
        <f t="shared" si="19"/>
        <v>Google Maps</v>
      </c>
      <c r="EQ196" s="6" t="str">
        <f t="shared" si="20"/>
        <v>Mashed Map</v>
      </c>
      <c r="ER196" s="118" t="s">
        <v>6727</v>
      </c>
      <c r="ES196" s="118" t="s">
        <v>6728</v>
      </c>
      <c r="ET196" s="4">
        <v>0</v>
      </c>
      <c r="EU196" s="4"/>
      <c r="EV196" s="4"/>
    </row>
    <row r="197" spans="1:152" x14ac:dyDescent="0.15">
      <c r="A197" s="581" t="str">
        <f t="shared" si="17"/>
        <v>Crash Report</v>
      </c>
      <c r="B197" s="14">
        <v>20233160971</v>
      </c>
      <c r="C197" s="118">
        <v>2023</v>
      </c>
      <c r="D197" s="14">
        <v>23091529371610</v>
      </c>
      <c r="F197" s="118" t="s">
        <v>6442</v>
      </c>
      <c r="G197" s="118" t="s">
        <v>230</v>
      </c>
      <c r="H197" s="118">
        <v>2</v>
      </c>
      <c r="I197" s="118" t="s">
        <v>6055</v>
      </c>
      <c r="J197" s="118" t="s">
        <v>423</v>
      </c>
      <c r="K197" s="118" t="s">
        <v>6985</v>
      </c>
      <c r="L197" s="118">
        <v>0.77</v>
      </c>
      <c r="M197" s="118">
        <v>0.77</v>
      </c>
      <c r="N197" s="118" t="s">
        <v>7465</v>
      </c>
      <c r="O197" s="118" t="s">
        <v>7497</v>
      </c>
      <c r="P197" s="118">
        <v>41.654192000000002</v>
      </c>
      <c r="Q197" s="118">
        <v>-83.514189999999999</v>
      </c>
      <c r="R197" s="118">
        <v>77000</v>
      </c>
      <c r="S197" s="118" t="s">
        <v>6988</v>
      </c>
      <c r="T197" s="118">
        <v>1</v>
      </c>
      <c r="U197" s="118">
        <v>0</v>
      </c>
      <c r="V197" s="118">
        <v>0</v>
      </c>
      <c r="W197" s="118">
        <v>0</v>
      </c>
      <c r="X197" s="118">
        <v>0</v>
      </c>
      <c r="Y197" s="118">
        <v>2</v>
      </c>
      <c r="Z197" s="118">
        <v>0</v>
      </c>
      <c r="AA197" s="118">
        <v>2</v>
      </c>
      <c r="AB197" s="118" t="s">
        <v>1067</v>
      </c>
      <c r="AC197" s="118" t="s">
        <v>6989</v>
      </c>
      <c r="AD197" s="118" t="s">
        <v>1034</v>
      </c>
      <c r="AE197" s="118" t="s">
        <v>943</v>
      </c>
      <c r="AF197" s="118" t="s">
        <v>1041</v>
      </c>
      <c r="AG197" s="118" t="s">
        <v>6415</v>
      </c>
      <c r="AH197" s="118" t="s">
        <v>393</v>
      </c>
      <c r="AI197" s="118">
        <v>4</v>
      </c>
      <c r="AJ197" s="118" t="s">
        <v>6415</v>
      </c>
      <c r="AK197" s="118" t="s">
        <v>393</v>
      </c>
      <c r="AL197" s="118" t="s">
        <v>393</v>
      </c>
      <c r="AM197" s="118" t="s">
        <v>393</v>
      </c>
      <c r="AN197" s="402" t="s">
        <v>5975</v>
      </c>
      <c r="AO197" s="402">
        <v>45184</v>
      </c>
      <c r="AP197" s="118">
        <v>9</v>
      </c>
      <c r="AQ197" s="118">
        <v>16</v>
      </c>
      <c r="AR197" s="118" t="s">
        <v>6448</v>
      </c>
      <c r="AS197" s="118" t="s">
        <v>392</v>
      </c>
      <c r="AT197" s="118" t="s">
        <v>500</v>
      </c>
      <c r="AU197" s="118" t="s">
        <v>404</v>
      </c>
      <c r="AV197" s="118" t="s">
        <v>508</v>
      </c>
      <c r="AW197" s="118" t="s">
        <v>393</v>
      </c>
      <c r="AX197" s="118" t="s">
        <v>740</v>
      </c>
      <c r="AY197" s="118" t="s">
        <v>393</v>
      </c>
      <c r="AZ197" s="118" t="s">
        <v>393</v>
      </c>
      <c r="BA197" s="118" t="s">
        <v>393</v>
      </c>
      <c r="BB197" s="118" t="s">
        <v>393</v>
      </c>
      <c r="BC197" s="118" t="s">
        <v>393</v>
      </c>
      <c r="BD197" s="118" t="s">
        <v>393</v>
      </c>
      <c r="BE197" s="118" t="s">
        <v>393</v>
      </c>
      <c r="BF197" s="118" t="s">
        <v>740</v>
      </c>
      <c r="BG197" s="118" t="s">
        <v>393</v>
      </c>
      <c r="BH197" s="118" t="s">
        <v>394</v>
      </c>
      <c r="BI197" s="118" t="s">
        <v>394</v>
      </c>
      <c r="BJ197" s="118" t="s">
        <v>393</v>
      </c>
      <c r="BK197" s="118" t="s">
        <v>6988</v>
      </c>
      <c r="BL197" s="118" t="s">
        <v>6415</v>
      </c>
      <c r="BM197" s="118" t="s">
        <v>6990</v>
      </c>
      <c r="BN197" s="118" t="s">
        <v>6991</v>
      </c>
      <c r="BO197" s="118" t="s">
        <v>6415</v>
      </c>
      <c r="BP197" s="118" t="s">
        <v>6415</v>
      </c>
      <c r="BQ197" s="118" t="s">
        <v>6415</v>
      </c>
      <c r="BR197" s="118" t="s">
        <v>6415</v>
      </c>
      <c r="BS197" s="118" t="s">
        <v>260</v>
      </c>
      <c r="BT197" s="118" t="s">
        <v>7207</v>
      </c>
      <c r="BU197" s="118" t="s">
        <v>7057</v>
      </c>
      <c r="BV197" s="118" t="s">
        <v>6415</v>
      </c>
      <c r="BW197" s="118" t="s">
        <v>6415</v>
      </c>
      <c r="BX197" s="118" t="s">
        <v>6415</v>
      </c>
      <c r="BY197" s="118" t="s">
        <v>6415</v>
      </c>
      <c r="BZ197" s="118" t="s">
        <v>6415</v>
      </c>
      <c r="CA197" s="118" t="s">
        <v>6415</v>
      </c>
      <c r="CB197" s="118" t="s">
        <v>221</v>
      </c>
      <c r="CC197" s="118" t="s">
        <v>740</v>
      </c>
      <c r="CD197" s="118">
        <v>1</v>
      </c>
      <c r="CE197" s="118" t="s">
        <v>405</v>
      </c>
      <c r="CF197" s="118" t="s">
        <v>410</v>
      </c>
      <c r="CG197" s="118" t="s">
        <v>230</v>
      </c>
      <c r="CH197" s="118" t="s">
        <v>6302</v>
      </c>
      <c r="CI197" s="118" t="s">
        <v>417</v>
      </c>
      <c r="CJ197" s="118" t="s">
        <v>398</v>
      </c>
      <c r="CK197" s="14">
        <v>0</v>
      </c>
      <c r="CL197" s="118">
        <v>0</v>
      </c>
      <c r="CM197" s="118" t="s">
        <v>436</v>
      </c>
      <c r="CN197" s="118" t="s">
        <v>6327</v>
      </c>
      <c r="CO197" s="118" t="s">
        <v>1096</v>
      </c>
      <c r="CP197" s="118" t="s">
        <v>400</v>
      </c>
      <c r="CQ197" s="118" t="s">
        <v>6415</v>
      </c>
      <c r="CR197" s="118" t="s">
        <v>6415</v>
      </c>
      <c r="CS197" s="118" t="s">
        <v>6415</v>
      </c>
      <c r="CT197" s="118" t="s">
        <v>6415</v>
      </c>
      <c r="CU197" s="118" t="s">
        <v>6415</v>
      </c>
      <c r="CV197" s="118" t="s">
        <v>6415</v>
      </c>
      <c r="CW197" s="14">
        <v>52</v>
      </c>
      <c r="CX197" s="118" t="s">
        <v>1068</v>
      </c>
      <c r="CY197" s="118" t="s">
        <v>6341</v>
      </c>
      <c r="CZ197" s="118">
        <v>2</v>
      </c>
      <c r="DA197" s="118" t="s">
        <v>406</v>
      </c>
      <c r="DB197" s="118" t="s">
        <v>405</v>
      </c>
      <c r="DC197" s="118" t="s">
        <v>6415</v>
      </c>
      <c r="DD197" s="118" t="s">
        <v>6302</v>
      </c>
      <c r="DE197" s="118" t="s">
        <v>6303</v>
      </c>
      <c r="DF197" s="118" t="s">
        <v>398</v>
      </c>
      <c r="DG197" s="118" t="s">
        <v>6415</v>
      </c>
      <c r="DH197" s="118" t="s">
        <v>6415</v>
      </c>
      <c r="DI197" s="118" t="s">
        <v>399</v>
      </c>
      <c r="DJ197" s="118" t="s">
        <v>398</v>
      </c>
      <c r="DK197" s="118" t="s">
        <v>400</v>
      </c>
      <c r="DL197" s="118" t="s">
        <v>6415</v>
      </c>
      <c r="DM197" s="118" t="s">
        <v>6415</v>
      </c>
      <c r="DN197" s="118" t="s">
        <v>6415</v>
      </c>
      <c r="DO197" s="118" t="s">
        <v>6415</v>
      </c>
      <c r="DP197" s="118" t="s">
        <v>6415</v>
      </c>
      <c r="DQ197" s="118" t="s">
        <v>6415</v>
      </c>
      <c r="DR197" s="118">
        <v>25</v>
      </c>
      <c r="DS197" s="118" t="s">
        <v>1068</v>
      </c>
      <c r="DT197" s="118" t="s">
        <v>6341</v>
      </c>
      <c r="DU197" s="118" t="s">
        <v>6415</v>
      </c>
      <c r="DV197" s="118" t="s">
        <v>6415</v>
      </c>
      <c r="DW197" s="118" t="s">
        <v>6415</v>
      </c>
      <c r="DX197" s="118" t="s">
        <v>6415</v>
      </c>
      <c r="DY197" s="118" t="s">
        <v>6415</v>
      </c>
      <c r="DZ197" s="118" t="s">
        <v>6415</v>
      </c>
      <c r="EA197" s="118" t="s">
        <v>6415</v>
      </c>
      <c r="EB197" s="118" t="s">
        <v>6415</v>
      </c>
      <c r="EC197" s="118" t="s">
        <v>6415</v>
      </c>
      <c r="ED197" s="118" t="s">
        <v>6415</v>
      </c>
      <c r="EE197" s="118" t="s">
        <v>6415</v>
      </c>
      <c r="EF197" s="118" t="s">
        <v>6415</v>
      </c>
      <c r="EG197" s="118" t="s">
        <v>7164</v>
      </c>
      <c r="EH197" s="118" t="s">
        <v>7206</v>
      </c>
      <c r="EI197" s="118" t="s">
        <v>6415</v>
      </c>
      <c r="EJ197" s="118" t="s">
        <v>6415</v>
      </c>
      <c r="EK197" s="118" t="s">
        <v>6415</v>
      </c>
      <c r="EL197" s="118" t="s">
        <v>7467</v>
      </c>
      <c r="EM197" s="118" t="s">
        <v>7306</v>
      </c>
      <c r="EN197" s="118" t="s">
        <v>6415</v>
      </c>
      <c r="EO197" s="6" t="str">
        <f t="shared" si="18"/>
        <v>Pathweb</v>
      </c>
      <c r="EP197" s="6" t="str">
        <f t="shared" si="19"/>
        <v>Google Maps</v>
      </c>
      <c r="EQ197" s="6" t="str">
        <f t="shared" si="20"/>
        <v>Mashed Map</v>
      </c>
      <c r="ER197" s="118" t="s">
        <v>6727</v>
      </c>
      <c r="ES197" s="118" t="s">
        <v>71</v>
      </c>
      <c r="ET197" s="4">
        <v>0</v>
      </c>
      <c r="EU197" s="4"/>
      <c r="EV197" s="4"/>
    </row>
    <row r="198" spans="1:152" x14ac:dyDescent="0.15">
      <c r="A198" s="581" t="str">
        <f t="shared" si="17"/>
        <v>Crash Report</v>
      </c>
      <c r="B198" s="14">
        <v>20233161394</v>
      </c>
      <c r="C198" s="118">
        <v>2023</v>
      </c>
      <c r="D198" s="14">
        <v>23032321391015</v>
      </c>
      <c r="F198" s="118" t="s">
        <v>6439</v>
      </c>
      <c r="G198" s="118" t="s">
        <v>416</v>
      </c>
      <c r="H198" s="118">
        <v>2</v>
      </c>
      <c r="I198" s="118" t="s">
        <v>6055</v>
      </c>
      <c r="J198" s="118" t="s">
        <v>391</v>
      </c>
      <c r="K198" s="118" t="s">
        <v>6985</v>
      </c>
      <c r="L198" s="118">
        <v>0.79400000000000004</v>
      </c>
      <c r="M198" s="118">
        <v>0.79400000000000004</v>
      </c>
      <c r="N198" s="118" t="s">
        <v>7465</v>
      </c>
      <c r="O198" s="118">
        <v>1540</v>
      </c>
      <c r="P198" s="118">
        <v>41.654409000000001</v>
      </c>
      <c r="Q198" s="118">
        <v>-83.513829999999999</v>
      </c>
      <c r="R198" s="118">
        <v>77000</v>
      </c>
      <c r="S198" s="118" t="s">
        <v>6988</v>
      </c>
      <c r="T198" s="118">
        <v>1</v>
      </c>
      <c r="U198" s="118">
        <v>0</v>
      </c>
      <c r="V198" s="118">
        <v>1</v>
      </c>
      <c r="W198" s="118">
        <v>0</v>
      </c>
      <c r="X198" s="118">
        <v>0</v>
      </c>
      <c r="Y198" s="118">
        <v>1</v>
      </c>
      <c r="Z198" s="118">
        <v>1</v>
      </c>
      <c r="AA198" s="118">
        <v>1</v>
      </c>
      <c r="AB198" s="118" t="s">
        <v>1067</v>
      </c>
      <c r="AC198" s="118" t="s">
        <v>6989</v>
      </c>
      <c r="AD198" s="118" t="s">
        <v>1034</v>
      </c>
      <c r="AE198" s="118" t="s">
        <v>943</v>
      </c>
      <c r="AF198" s="118" t="s">
        <v>1041</v>
      </c>
      <c r="AG198" s="118" t="s">
        <v>6415</v>
      </c>
      <c r="AH198" s="118" t="s">
        <v>393</v>
      </c>
      <c r="AI198" s="118">
        <v>4</v>
      </c>
      <c r="AJ198" s="118" t="s">
        <v>6415</v>
      </c>
      <c r="AK198" s="118" t="s">
        <v>393</v>
      </c>
      <c r="AL198" s="118" t="s">
        <v>393</v>
      </c>
      <c r="AM198" s="118" t="s">
        <v>393</v>
      </c>
      <c r="AN198" s="402" t="s">
        <v>5975</v>
      </c>
      <c r="AO198" s="402">
        <v>45008</v>
      </c>
      <c r="AP198" s="118">
        <v>3</v>
      </c>
      <c r="AQ198" s="118">
        <v>10</v>
      </c>
      <c r="AR198" s="118" t="s">
        <v>6447</v>
      </c>
      <c r="AS198" s="118" t="s">
        <v>392</v>
      </c>
      <c r="AT198" s="118" t="s">
        <v>500</v>
      </c>
      <c r="AU198" s="118" t="s">
        <v>404</v>
      </c>
      <c r="AV198" s="118" t="s">
        <v>508</v>
      </c>
      <c r="AW198" s="118" t="s">
        <v>740</v>
      </c>
      <c r="AX198" s="118" t="s">
        <v>393</v>
      </c>
      <c r="AY198" s="118" t="s">
        <v>393</v>
      </c>
      <c r="AZ198" s="118" t="s">
        <v>393</v>
      </c>
      <c r="BA198" s="118" t="s">
        <v>393</v>
      </c>
      <c r="BB198" s="118" t="s">
        <v>393</v>
      </c>
      <c r="BC198" s="118" t="s">
        <v>393</v>
      </c>
      <c r="BD198" s="118" t="s">
        <v>393</v>
      </c>
      <c r="BE198" s="118" t="s">
        <v>393</v>
      </c>
      <c r="BF198" s="118" t="s">
        <v>393</v>
      </c>
      <c r="BG198" s="118" t="s">
        <v>393</v>
      </c>
      <c r="BH198" s="118" t="s">
        <v>394</v>
      </c>
      <c r="BI198" s="118" t="s">
        <v>394</v>
      </c>
      <c r="BJ198" s="118" t="s">
        <v>393</v>
      </c>
      <c r="BK198" s="118" t="s">
        <v>6988</v>
      </c>
      <c r="BL198" s="118" t="s">
        <v>6415</v>
      </c>
      <c r="BM198" s="118" t="s">
        <v>6990</v>
      </c>
      <c r="BN198" s="118" t="s">
        <v>6991</v>
      </c>
      <c r="BO198" s="118" t="s">
        <v>6415</v>
      </c>
      <c r="BP198" s="118" t="s">
        <v>6415</v>
      </c>
      <c r="BQ198" s="118" t="s">
        <v>6415</v>
      </c>
      <c r="BR198" s="118" t="s">
        <v>6415</v>
      </c>
      <c r="BS198" s="118" t="s">
        <v>6415</v>
      </c>
      <c r="BT198" s="118" t="s">
        <v>7309</v>
      </c>
      <c r="BU198" s="118" t="s">
        <v>6415</v>
      </c>
      <c r="BV198" s="118" t="s">
        <v>6415</v>
      </c>
      <c r="BW198" s="118" t="s">
        <v>6415</v>
      </c>
      <c r="BX198" s="118" t="s">
        <v>6415</v>
      </c>
      <c r="BY198" s="118" t="s">
        <v>6415</v>
      </c>
      <c r="BZ198" s="118">
        <v>1540</v>
      </c>
      <c r="CA198" s="118" t="s">
        <v>6415</v>
      </c>
      <c r="CB198" s="118" t="s">
        <v>422</v>
      </c>
      <c r="CC198" s="118" t="s">
        <v>740</v>
      </c>
      <c r="CD198" s="118">
        <v>1</v>
      </c>
      <c r="CE198" s="118" t="s">
        <v>410</v>
      </c>
      <c r="CF198" s="118" t="s">
        <v>411</v>
      </c>
      <c r="CG198" s="118" t="s">
        <v>924</v>
      </c>
      <c r="CH198" s="118" t="s">
        <v>6302</v>
      </c>
      <c r="CI198" s="118" t="s">
        <v>6303</v>
      </c>
      <c r="CJ198" s="118" t="s">
        <v>520</v>
      </c>
      <c r="CK198" s="14">
        <v>35</v>
      </c>
      <c r="CL198" s="118">
        <v>35</v>
      </c>
      <c r="CM198" s="118" t="s">
        <v>399</v>
      </c>
      <c r="CN198" s="118" t="s">
        <v>407</v>
      </c>
      <c r="CO198" s="118" t="s">
        <v>461</v>
      </c>
      <c r="CP198" s="118" t="s">
        <v>432</v>
      </c>
      <c r="CQ198" s="118" t="s">
        <v>461</v>
      </c>
      <c r="CR198" s="118" t="s">
        <v>6415</v>
      </c>
      <c r="CS198" s="118" t="s">
        <v>6415</v>
      </c>
      <c r="CT198" s="118" t="s">
        <v>6415</v>
      </c>
      <c r="CU198" s="118" t="s">
        <v>6415</v>
      </c>
      <c r="CV198" s="118" t="s">
        <v>6415</v>
      </c>
      <c r="CW198" s="14">
        <v>0</v>
      </c>
      <c r="CX198" s="118" t="s">
        <v>401</v>
      </c>
      <c r="CY198" s="118" t="s">
        <v>6151</v>
      </c>
      <c r="CZ198" s="118" t="s">
        <v>6415</v>
      </c>
      <c r="DA198" s="118" t="s">
        <v>6415</v>
      </c>
      <c r="DB198" s="118" t="s">
        <v>6415</v>
      </c>
      <c r="DC198" s="118" t="s">
        <v>6415</v>
      </c>
      <c r="DD198" s="118" t="s">
        <v>6415</v>
      </c>
      <c r="DE198" s="118" t="s">
        <v>6415</v>
      </c>
      <c r="DF198" s="118" t="s">
        <v>6415</v>
      </c>
      <c r="DG198" s="118" t="s">
        <v>6415</v>
      </c>
      <c r="DH198" s="118" t="s">
        <v>6415</v>
      </c>
      <c r="DI198" s="118" t="s">
        <v>6415</v>
      </c>
      <c r="DJ198" s="118" t="s">
        <v>6415</v>
      </c>
      <c r="DK198" s="118" t="s">
        <v>6415</v>
      </c>
      <c r="DL198" s="118" t="s">
        <v>6415</v>
      </c>
      <c r="DM198" s="118" t="s">
        <v>6415</v>
      </c>
      <c r="DN198" s="118" t="s">
        <v>6415</v>
      </c>
      <c r="DO198" s="118" t="s">
        <v>6415</v>
      </c>
      <c r="DP198" s="118" t="s">
        <v>6415</v>
      </c>
      <c r="DQ198" s="118" t="s">
        <v>6415</v>
      </c>
      <c r="DR198" s="118">
        <v>0</v>
      </c>
      <c r="DS198" s="118" t="s">
        <v>6415</v>
      </c>
      <c r="DT198" s="118" t="s">
        <v>6415</v>
      </c>
      <c r="DU198" s="118" t="s">
        <v>6415</v>
      </c>
      <c r="DV198" s="118" t="s">
        <v>6415</v>
      </c>
      <c r="DW198" s="118" t="s">
        <v>6415</v>
      </c>
      <c r="DX198" s="118" t="s">
        <v>6415</v>
      </c>
      <c r="DY198" s="118" t="s">
        <v>6415</v>
      </c>
      <c r="DZ198" s="118" t="s">
        <v>6415</v>
      </c>
      <c r="EA198" s="118" t="s">
        <v>6415</v>
      </c>
      <c r="EB198" s="118" t="s">
        <v>6415</v>
      </c>
      <c r="EC198" s="118" t="s">
        <v>6415</v>
      </c>
      <c r="ED198" s="118" t="s">
        <v>6415</v>
      </c>
      <c r="EE198" s="118" t="s">
        <v>6415</v>
      </c>
      <c r="EF198" s="118" t="s">
        <v>6415</v>
      </c>
      <c r="EG198" s="118" t="s">
        <v>7164</v>
      </c>
      <c r="EH198" s="118" t="s">
        <v>7308</v>
      </c>
      <c r="EI198" s="118" t="s">
        <v>6415</v>
      </c>
      <c r="EJ198" s="118" t="s">
        <v>6415</v>
      </c>
      <c r="EK198" s="118" t="s">
        <v>6415</v>
      </c>
      <c r="EL198" s="118" t="s">
        <v>7467</v>
      </c>
      <c r="EM198" s="118" t="s">
        <v>7307</v>
      </c>
      <c r="EN198" s="118" t="s">
        <v>6415</v>
      </c>
      <c r="EO198" s="6" t="str">
        <f t="shared" si="18"/>
        <v>Pathweb</v>
      </c>
      <c r="EP198" s="6" t="str">
        <f t="shared" si="19"/>
        <v>Google Maps</v>
      </c>
      <c r="EQ198" s="6" t="str">
        <f t="shared" si="20"/>
        <v>Mashed Map</v>
      </c>
      <c r="ER198" s="118" t="s">
        <v>6726</v>
      </c>
      <c r="ES198" s="118" t="s">
        <v>6728</v>
      </c>
      <c r="ET198" s="4">
        <v>0</v>
      </c>
      <c r="EU198" s="4"/>
      <c r="EV198" s="4"/>
    </row>
    <row r="199" spans="1:152" x14ac:dyDescent="0.15">
      <c r="A199" s="581" t="str">
        <f t="shared" si="17"/>
        <v>Crash Report</v>
      </c>
      <c r="B199" s="118">
        <v>20233161864</v>
      </c>
      <c r="C199" s="118">
        <v>2023</v>
      </c>
      <c r="D199" s="118">
        <v>23091829131720</v>
      </c>
      <c r="F199" s="118" t="s">
        <v>6441</v>
      </c>
      <c r="G199" s="118" t="s">
        <v>230</v>
      </c>
      <c r="H199" s="118">
        <v>2</v>
      </c>
      <c r="I199" s="118" t="s">
        <v>6055</v>
      </c>
      <c r="J199" s="118" t="s">
        <v>484</v>
      </c>
      <c r="K199" s="118" t="s">
        <v>6985</v>
      </c>
      <c r="L199" s="118">
        <v>0.51</v>
      </c>
      <c r="M199" s="118">
        <v>0.51</v>
      </c>
      <c r="N199" s="118" t="s">
        <v>7465</v>
      </c>
      <c r="O199" s="118" t="s">
        <v>7473</v>
      </c>
      <c r="P199" s="118">
        <v>41.651823</v>
      </c>
      <c r="Q199" s="118">
        <v>-83.518079</v>
      </c>
      <c r="R199" s="118">
        <v>77000</v>
      </c>
      <c r="S199" s="118" t="s">
        <v>6988</v>
      </c>
      <c r="T199" s="118">
        <v>1</v>
      </c>
      <c r="U199" s="118">
        <v>0</v>
      </c>
      <c r="V199" s="118">
        <v>0</v>
      </c>
      <c r="W199" s="118">
        <v>0</v>
      </c>
      <c r="X199" s="118">
        <v>1</v>
      </c>
      <c r="Y199" s="118">
        <v>9</v>
      </c>
      <c r="Z199" s="118">
        <v>3</v>
      </c>
      <c r="AA199" s="118">
        <v>5</v>
      </c>
      <c r="AB199" s="118" t="s">
        <v>1067</v>
      </c>
      <c r="AC199" s="118" t="s">
        <v>6989</v>
      </c>
      <c r="AD199" s="118" t="s">
        <v>1034</v>
      </c>
      <c r="AE199" s="118" t="s">
        <v>943</v>
      </c>
      <c r="AF199" s="118" t="s">
        <v>1041</v>
      </c>
      <c r="AG199" s="118" t="s">
        <v>6415</v>
      </c>
      <c r="AH199" s="118" t="s">
        <v>393</v>
      </c>
      <c r="AI199" s="118">
        <v>4</v>
      </c>
      <c r="AJ199" s="118" t="s">
        <v>6415</v>
      </c>
      <c r="AK199" s="118" t="s">
        <v>393</v>
      </c>
      <c r="AL199" s="118" t="s">
        <v>393</v>
      </c>
      <c r="AM199" s="118" t="s">
        <v>393</v>
      </c>
      <c r="AN199" s="402" t="s">
        <v>5975</v>
      </c>
      <c r="AO199" s="402">
        <v>45187</v>
      </c>
      <c r="AP199" s="118">
        <v>9</v>
      </c>
      <c r="AQ199" s="118">
        <v>17</v>
      </c>
      <c r="AR199" s="118" t="s">
        <v>6444</v>
      </c>
      <c r="AS199" s="118" t="s">
        <v>392</v>
      </c>
      <c r="AT199" s="118" t="s">
        <v>500</v>
      </c>
      <c r="AU199" s="118" t="s">
        <v>404</v>
      </c>
      <c r="AV199" s="118" t="s">
        <v>508</v>
      </c>
      <c r="AW199" s="118" t="s">
        <v>393</v>
      </c>
      <c r="AX199" s="118" t="s">
        <v>740</v>
      </c>
      <c r="AY199" s="118" t="s">
        <v>393</v>
      </c>
      <c r="AZ199" s="118" t="s">
        <v>393</v>
      </c>
      <c r="BA199" s="118" t="s">
        <v>393</v>
      </c>
      <c r="BB199" s="118" t="s">
        <v>393</v>
      </c>
      <c r="BC199" s="118" t="s">
        <v>393</v>
      </c>
      <c r="BD199" s="118" t="s">
        <v>393</v>
      </c>
      <c r="BE199" s="118" t="s">
        <v>740</v>
      </c>
      <c r="BF199" s="118" t="s">
        <v>740</v>
      </c>
      <c r="BG199" s="118" t="s">
        <v>393</v>
      </c>
      <c r="BH199" s="118" t="s">
        <v>394</v>
      </c>
      <c r="BI199" s="118" t="s">
        <v>394</v>
      </c>
      <c r="BJ199" s="118" t="s">
        <v>393</v>
      </c>
      <c r="BK199" s="118" t="s">
        <v>6988</v>
      </c>
      <c r="BL199" s="118" t="s">
        <v>261</v>
      </c>
      <c r="BM199" s="118" t="s">
        <v>1791</v>
      </c>
      <c r="BN199" s="118" t="s">
        <v>6991</v>
      </c>
      <c r="BO199" s="118" t="s">
        <v>6415</v>
      </c>
      <c r="BP199" s="118" t="s">
        <v>6415</v>
      </c>
      <c r="BQ199" s="118" t="s">
        <v>6415</v>
      </c>
      <c r="BR199" s="118" t="s">
        <v>6415</v>
      </c>
      <c r="BS199" s="118" t="s">
        <v>6415</v>
      </c>
      <c r="BT199" s="118" t="s">
        <v>6990</v>
      </c>
      <c r="BU199" s="118" t="s">
        <v>6991</v>
      </c>
      <c r="BV199" s="118" t="s">
        <v>6415</v>
      </c>
      <c r="BW199" s="118" t="s">
        <v>6415</v>
      </c>
      <c r="BX199" s="118" t="s">
        <v>6415</v>
      </c>
      <c r="BY199" s="118" t="s">
        <v>6415</v>
      </c>
      <c r="BZ199" s="118" t="s">
        <v>6415</v>
      </c>
      <c r="CA199" s="118" t="s">
        <v>6415</v>
      </c>
      <c r="CB199" s="118" t="s">
        <v>221</v>
      </c>
      <c r="CC199" s="118" t="s">
        <v>740</v>
      </c>
      <c r="CD199" s="118">
        <v>1</v>
      </c>
      <c r="CE199" s="118" t="s">
        <v>396</v>
      </c>
      <c r="CF199" s="118" t="s">
        <v>445</v>
      </c>
      <c r="CG199" s="118" t="s">
        <v>230</v>
      </c>
      <c r="CH199" s="118" t="s">
        <v>6299</v>
      </c>
      <c r="CI199" s="118" t="s">
        <v>6303</v>
      </c>
      <c r="CJ199" s="118" t="s">
        <v>398</v>
      </c>
      <c r="CK199" s="118">
        <v>0</v>
      </c>
      <c r="CL199" s="118">
        <v>35</v>
      </c>
      <c r="CM199" s="118" t="s">
        <v>436</v>
      </c>
      <c r="CN199" s="118" t="s">
        <v>6327</v>
      </c>
      <c r="CO199" s="118" t="s">
        <v>1096</v>
      </c>
      <c r="CP199" s="118" t="s">
        <v>400</v>
      </c>
      <c r="CQ199" s="118" t="s">
        <v>6415</v>
      </c>
      <c r="CR199" s="118" t="s">
        <v>6415</v>
      </c>
      <c r="CS199" s="118" t="s">
        <v>6415</v>
      </c>
      <c r="CT199" s="118" t="s">
        <v>6415</v>
      </c>
      <c r="CU199" s="118" t="s">
        <v>6415</v>
      </c>
      <c r="CV199" s="118" t="s">
        <v>6415</v>
      </c>
      <c r="CW199" s="118">
        <v>23</v>
      </c>
      <c r="CX199" s="118" t="s">
        <v>1066</v>
      </c>
      <c r="CY199" s="118" t="s">
        <v>6151</v>
      </c>
      <c r="CZ199" s="118">
        <v>2</v>
      </c>
      <c r="DA199" s="118" t="s">
        <v>397</v>
      </c>
      <c r="DB199" s="118" t="s">
        <v>396</v>
      </c>
      <c r="DC199" s="118" t="s">
        <v>6415</v>
      </c>
      <c r="DD199" s="118" t="s">
        <v>6301</v>
      </c>
      <c r="DE199" s="118" t="s">
        <v>6303</v>
      </c>
      <c r="DF199" s="118" t="s">
        <v>398</v>
      </c>
      <c r="DG199" s="118" t="s">
        <v>6415</v>
      </c>
      <c r="DH199" s="118">
        <v>35</v>
      </c>
      <c r="DI199" s="118" t="s">
        <v>399</v>
      </c>
      <c r="DJ199" s="118" t="s">
        <v>398</v>
      </c>
      <c r="DK199" s="118" t="s">
        <v>400</v>
      </c>
      <c r="DL199" s="118" t="s">
        <v>6415</v>
      </c>
      <c r="DM199" s="118" t="s">
        <v>6415</v>
      </c>
      <c r="DN199" s="118" t="s">
        <v>6415</v>
      </c>
      <c r="DO199" s="118" t="s">
        <v>6415</v>
      </c>
      <c r="DP199" s="118" t="s">
        <v>6415</v>
      </c>
      <c r="DQ199" s="118" t="s">
        <v>6415</v>
      </c>
      <c r="DR199" s="118">
        <v>67</v>
      </c>
      <c r="DS199" s="118" t="s">
        <v>1066</v>
      </c>
      <c r="DT199" s="118" t="s">
        <v>6151</v>
      </c>
      <c r="DU199" s="118">
        <v>3</v>
      </c>
      <c r="DV199" s="118" t="s">
        <v>6300</v>
      </c>
      <c r="DW199" s="118" t="s">
        <v>6303</v>
      </c>
      <c r="DX199" s="118" t="s">
        <v>398</v>
      </c>
      <c r="DY199" s="118" t="s">
        <v>439</v>
      </c>
      <c r="DZ199" s="118" t="s">
        <v>6512</v>
      </c>
      <c r="EA199" s="118" t="s">
        <v>400</v>
      </c>
      <c r="EB199" s="118" t="s">
        <v>400</v>
      </c>
      <c r="EC199" s="118" t="s">
        <v>6415</v>
      </c>
      <c r="ED199" s="118" t="s">
        <v>6415</v>
      </c>
      <c r="EE199" s="118" t="s">
        <v>6415</v>
      </c>
      <c r="EF199" s="118" t="s">
        <v>6415</v>
      </c>
      <c r="EG199" s="118" t="s">
        <v>6994</v>
      </c>
      <c r="EH199" s="118" t="s">
        <v>7175</v>
      </c>
      <c r="EI199" s="118" t="s">
        <v>6415</v>
      </c>
      <c r="EJ199" s="118" t="s">
        <v>6415</v>
      </c>
      <c r="EK199" s="118" t="s">
        <v>6415</v>
      </c>
      <c r="EL199" s="118" t="s">
        <v>7467</v>
      </c>
      <c r="EM199" s="118" t="s">
        <v>7310</v>
      </c>
      <c r="EN199" s="118" t="s">
        <v>6415</v>
      </c>
      <c r="EO199" s="6" t="str">
        <f t="shared" si="18"/>
        <v>Pathweb</v>
      </c>
      <c r="EP199" s="6" t="str">
        <f t="shared" si="19"/>
        <v>Google Maps</v>
      </c>
      <c r="EQ199" s="6" t="str">
        <f t="shared" si="20"/>
        <v>Mashed Map</v>
      </c>
      <c r="ER199" s="118" t="s">
        <v>6727</v>
      </c>
      <c r="ES199" s="118" t="s">
        <v>6728</v>
      </c>
      <c r="ET199" s="4">
        <v>0</v>
      </c>
      <c r="EU199" s="4"/>
      <c r="EV199" s="4"/>
    </row>
    <row r="200" spans="1:152" x14ac:dyDescent="0.15">
      <c r="A200" s="581" t="str">
        <f t="shared" si="17"/>
        <v>Crash Report</v>
      </c>
      <c r="B200" s="118">
        <v>20233162882</v>
      </c>
      <c r="C200" s="118">
        <v>2023</v>
      </c>
      <c r="D200" s="118">
        <v>23091529371905</v>
      </c>
      <c r="F200" s="118" t="s">
        <v>6440</v>
      </c>
      <c r="G200" s="118" t="s">
        <v>230</v>
      </c>
      <c r="H200" s="118">
        <v>2</v>
      </c>
      <c r="I200" s="118" t="s">
        <v>6055</v>
      </c>
      <c r="J200" s="118" t="s">
        <v>391</v>
      </c>
      <c r="K200" s="118" t="s">
        <v>6985</v>
      </c>
      <c r="L200" s="118">
        <v>0.51</v>
      </c>
      <c r="M200" s="118">
        <v>0.51</v>
      </c>
      <c r="N200" s="118" t="s">
        <v>7465</v>
      </c>
      <c r="O200" s="118" t="s">
        <v>7468</v>
      </c>
      <c r="P200" s="118">
        <v>41.651823</v>
      </c>
      <c r="Q200" s="118">
        <v>-83.518079</v>
      </c>
      <c r="R200" s="118">
        <v>77000</v>
      </c>
      <c r="S200" s="118" t="s">
        <v>6988</v>
      </c>
      <c r="T200" s="118">
        <v>1</v>
      </c>
      <c r="U200" s="118">
        <v>0</v>
      </c>
      <c r="V200" s="118">
        <v>0</v>
      </c>
      <c r="W200" s="118">
        <v>2</v>
      </c>
      <c r="X200" s="118">
        <v>0</v>
      </c>
      <c r="Y200" s="118">
        <v>0</v>
      </c>
      <c r="Z200" s="118">
        <v>0</v>
      </c>
      <c r="AA200" s="118">
        <v>2</v>
      </c>
      <c r="AB200" s="118" t="s">
        <v>1067</v>
      </c>
      <c r="AC200" s="118" t="s">
        <v>6989</v>
      </c>
      <c r="AD200" s="118" t="s">
        <v>1034</v>
      </c>
      <c r="AE200" s="118" t="s">
        <v>943</v>
      </c>
      <c r="AF200" s="118" t="s">
        <v>1041</v>
      </c>
      <c r="AG200" s="118" t="s">
        <v>6415</v>
      </c>
      <c r="AH200" s="118" t="s">
        <v>393</v>
      </c>
      <c r="AI200" s="118">
        <v>4</v>
      </c>
      <c r="AJ200" s="118" t="s">
        <v>6415</v>
      </c>
      <c r="AK200" s="118" t="s">
        <v>393</v>
      </c>
      <c r="AL200" s="118" t="s">
        <v>393</v>
      </c>
      <c r="AM200" s="118" t="s">
        <v>393</v>
      </c>
      <c r="AN200" s="402" t="s">
        <v>5975</v>
      </c>
      <c r="AO200" s="402">
        <v>45184</v>
      </c>
      <c r="AP200" s="118">
        <v>9</v>
      </c>
      <c r="AQ200" s="118">
        <v>19</v>
      </c>
      <c r="AR200" s="118" t="s">
        <v>6448</v>
      </c>
      <c r="AS200" s="118" t="s">
        <v>392</v>
      </c>
      <c r="AT200" s="118" t="s">
        <v>500</v>
      </c>
      <c r="AU200" s="118" t="s">
        <v>6324</v>
      </c>
      <c r="AV200" s="118" t="s">
        <v>508</v>
      </c>
      <c r="AW200" s="118" t="s">
        <v>393</v>
      </c>
      <c r="AX200" s="118" t="s">
        <v>740</v>
      </c>
      <c r="AY200" s="118" t="s">
        <v>393</v>
      </c>
      <c r="AZ200" s="118" t="s">
        <v>393</v>
      </c>
      <c r="BA200" s="118" t="s">
        <v>393</v>
      </c>
      <c r="BB200" s="118" t="s">
        <v>393</v>
      </c>
      <c r="BC200" s="118" t="s">
        <v>393</v>
      </c>
      <c r="BD200" s="118" t="s">
        <v>393</v>
      </c>
      <c r="BE200" s="118" t="s">
        <v>393</v>
      </c>
      <c r="BF200" s="118" t="s">
        <v>393</v>
      </c>
      <c r="BG200" s="118" t="s">
        <v>393</v>
      </c>
      <c r="BH200" s="118" t="s">
        <v>394</v>
      </c>
      <c r="BI200" s="118" t="s">
        <v>394</v>
      </c>
      <c r="BJ200" s="118" t="s">
        <v>393</v>
      </c>
      <c r="BK200" s="118" t="s">
        <v>6988</v>
      </c>
      <c r="BL200" s="118" t="s">
        <v>6415</v>
      </c>
      <c r="BM200" s="118" t="s">
        <v>6990</v>
      </c>
      <c r="BN200" s="118" t="s">
        <v>6991</v>
      </c>
      <c r="BO200" s="118" t="s">
        <v>6415</v>
      </c>
      <c r="BP200" s="118" t="s">
        <v>6415</v>
      </c>
      <c r="BQ200" s="118" t="s">
        <v>6415</v>
      </c>
      <c r="BR200" s="118" t="s">
        <v>6415</v>
      </c>
      <c r="BS200" s="118" t="s">
        <v>261</v>
      </c>
      <c r="BT200" s="118" t="s">
        <v>1791</v>
      </c>
      <c r="BU200" s="118" t="s">
        <v>6991</v>
      </c>
      <c r="BV200" s="118" t="s">
        <v>6415</v>
      </c>
      <c r="BW200" s="118" t="s">
        <v>6415</v>
      </c>
      <c r="BX200" s="118" t="s">
        <v>6415</v>
      </c>
      <c r="BY200" s="118" t="s">
        <v>6415</v>
      </c>
      <c r="BZ200" s="118" t="s">
        <v>6415</v>
      </c>
      <c r="CA200" s="118" t="s">
        <v>6415</v>
      </c>
      <c r="CB200" s="118" t="s">
        <v>221</v>
      </c>
      <c r="CC200" s="118" t="s">
        <v>740</v>
      </c>
      <c r="CD200" s="118">
        <v>1</v>
      </c>
      <c r="CE200" s="118" t="s">
        <v>396</v>
      </c>
      <c r="CF200" s="118" t="s">
        <v>445</v>
      </c>
      <c r="CG200" s="118" t="s">
        <v>230</v>
      </c>
      <c r="CH200" s="118" t="s">
        <v>6300</v>
      </c>
      <c r="CI200" s="118" t="s">
        <v>417</v>
      </c>
      <c r="CJ200" s="118" t="s">
        <v>398</v>
      </c>
      <c r="CK200" s="118">
        <v>0</v>
      </c>
      <c r="CL200" s="118">
        <v>0</v>
      </c>
      <c r="CM200" s="118" t="s">
        <v>436</v>
      </c>
      <c r="CN200" s="118" t="s">
        <v>6327</v>
      </c>
      <c r="CO200" s="118" t="s">
        <v>1096</v>
      </c>
      <c r="CP200" s="118" t="s">
        <v>400</v>
      </c>
      <c r="CQ200" s="118" t="s">
        <v>452</v>
      </c>
      <c r="CR200" s="118" t="s">
        <v>6415</v>
      </c>
      <c r="CS200" s="118" t="s">
        <v>6415</v>
      </c>
      <c r="CT200" s="118" t="s">
        <v>6415</v>
      </c>
      <c r="CU200" s="118" t="s">
        <v>6415</v>
      </c>
      <c r="CV200" s="118" t="s">
        <v>6415</v>
      </c>
      <c r="CW200" s="118">
        <v>38</v>
      </c>
      <c r="CX200" s="118" t="s">
        <v>1066</v>
      </c>
      <c r="CY200" s="118" t="s">
        <v>6341</v>
      </c>
      <c r="CZ200" s="118">
        <v>2</v>
      </c>
      <c r="DA200" s="118" t="s">
        <v>397</v>
      </c>
      <c r="DB200" s="118" t="s">
        <v>396</v>
      </c>
      <c r="DC200" s="118" t="s">
        <v>6415</v>
      </c>
      <c r="DD200" s="118" t="s">
        <v>6300</v>
      </c>
      <c r="DE200" s="118" t="s">
        <v>417</v>
      </c>
      <c r="DF200" s="118" t="s">
        <v>398</v>
      </c>
      <c r="DG200" s="118" t="s">
        <v>6415</v>
      </c>
      <c r="DH200" s="118" t="s">
        <v>6415</v>
      </c>
      <c r="DI200" s="118" t="s">
        <v>399</v>
      </c>
      <c r="DJ200" s="118" t="s">
        <v>398</v>
      </c>
      <c r="DK200" s="118" t="s">
        <v>400</v>
      </c>
      <c r="DL200" s="118" t="s">
        <v>6415</v>
      </c>
      <c r="DM200" s="118" t="s">
        <v>6415</v>
      </c>
      <c r="DN200" s="118" t="s">
        <v>6415</v>
      </c>
      <c r="DO200" s="118" t="s">
        <v>6415</v>
      </c>
      <c r="DP200" s="118" t="s">
        <v>6415</v>
      </c>
      <c r="DQ200" s="118" t="s">
        <v>6415</v>
      </c>
      <c r="DR200" s="118">
        <v>43</v>
      </c>
      <c r="DS200" s="118" t="s">
        <v>1068</v>
      </c>
      <c r="DT200" s="118" t="s">
        <v>6341</v>
      </c>
      <c r="DU200" s="118" t="s">
        <v>6415</v>
      </c>
      <c r="DV200" s="118" t="s">
        <v>6415</v>
      </c>
      <c r="DW200" s="118" t="s">
        <v>6415</v>
      </c>
      <c r="DX200" s="118" t="s">
        <v>6415</v>
      </c>
      <c r="DY200" s="118" t="s">
        <v>6415</v>
      </c>
      <c r="DZ200" s="118" t="s">
        <v>6415</v>
      </c>
      <c r="EA200" s="118" t="s">
        <v>6415</v>
      </c>
      <c r="EB200" s="118" t="s">
        <v>6415</v>
      </c>
      <c r="EC200" s="118" t="s">
        <v>6415</v>
      </c>
      <c r="ED200" s="118" t="s">
        <v>6415</v>
      </c>
      <c r="EE200" s="118" t="s">
        <v>6415</v>
      </c>
      <c r="EF200" s="118" t="s">
        <v>6415</v>
      </c>
      <c r="EG200" s="118" t="s">
        <v>6994</v>
      </c>
      <c r="EH200" s="118" t="s">
        <v>7175</v>
      </c>
      <c r="EI200" s="118" t="s">
        <v>6415</v>
      </c>
      <c r="EJ200" s="118" t="s">
        <v>6415</v>
      </c>
      <c r="EK200" s="118" t="s">
        <v>6415</v>
      </c>
      <c r="EL200" s="118" t="s">
        <v>7467</v>
      </c>
      <c r="EM200" s="118" t="s">
        <v>7311</v>
      </c>
      <c r="EN200" s="118" t="s">
        <v>6415</v>
      </c>
      <c r="EO200" s="6" t="str">
        <f t="shared" si="18"/>
        <v>Pathweb</v>
      </c>
      <c r="EP200" s="6" t="str">
        <f t="shared" si="19"/>
        <v>Google Maps</v>
      </c>
      <c r="EQ200" s="6" t="str">
        <f t="shared" si="20"/>
        <v>Mashed Map</v>
      </c>
      <c r="ER200" s="118" t="s">
        <v>6727</v>
      </c>
      <c r="ES200" s="118" t="s">
        <v>6728</v>
      </c>
      <c r="ET200" s="4">
        <v>0</v>
      </c>
      <c r="EU200" s="4"/>
      <c r="EV200" s="4"/>
    </row>
    <row r="201" spans="1:152" x14ac:dyDescent="0.15">
      <c r="A201" s="581" t="str">
        <f t="shared" si="17"/>
        <v>Crash Report</v>
      </c>
      <c r="B201" s="14">
        <v>20233162886</v>
      </c>
      <c r="C201" s="118">
        <v>2023</v>
      </c>
      <c r="D201" s="14">
        <v>23092024050855</v>
      </c>
      <c r="F201" s="118" t="s">
        <v>6442</v>
      </c>
      <c r="G201" s="118" t="s">
        <v>402</v>
      </c>
      <c r="H201" s="118">
        <v>2</v>
      </c>
      <c r="I201" s="118" t="s">
        <v>6055</v>
      </c>
      <c r="J201" s="118" t="s">
        <v>391</v>
      </c>
      <c r="K201" s="118" t="s">
        <v>6985</v>
      </c>
      <c r="L201" s="118">
        <v>0.77</v>
      </c>
      <c r="M201" s="118">
        <v>0.77</v>
      </c>
      <c r="N201" s="118" t="s">
        <v>7465</v>
      </c>
      <c r="O201" s="118" t="s">
        <v>7473</v>
      </c>
      <c r="P201" s="118">
        <v>41.654192000000002</v>
      </c>
      <c r="Q201" s="118">
        <v>-83.514189999999999</v>
      </c>
      <c r="R201" s="118">
        <v>77000</v>
      </c>
      <c r="S201" s="118" t="s">
        <v>6988</v>
      </c>
      <c r="T201" s="118">
        <v>1</v>
      </c>
      <c r="U201" s="118">
        <v>0</v>
      </c>
      <c r="V201" s="118">
        <v>0</v>
      </c>
      <c r="W201" s="118">
        <v>0</v>
      </c>
      <c r="X201" s="118">
        <v>0</v>
      </c>
      <c r="Y201" s="118">
        <v>1</v>
      </c>
      <c r="Z201" s="118">
        <v>0</v>
      </c>
      <c r="AA201" s="118">
        <v>4</v>
      </c>
      <c r="AB201" s="118" t="s">
        <v>1067</v>
      </c>
      <c r="AC201" s="118" t="s">
        <v>6989</v>
      </c>
      <c r="AD201" s="118" t="s">
        <v>1034</v>
      </c>
      <c r="AE201" s="118" t="s">
        <v>943</v>
      </c>
      <c r="AF201" s="118" t="s">
        <v>1041</v>
      </c>
      <c r="AG201" s="118" t="s">
        <v>6415</v>
      </c>
      <c r="AH201" s="118" t="s">
        <v>393</v>
      </c>
      <c r="AI201" s="118">
        <v>4</v>
      </c>
      <c r="AJ201" s="118" t="s">
        <v>6415</v>
      </c>
      <c r="AK201" s="118" t="s">
        <v>393</v>
      </c>
      <c r="AL201" s="118" t="s">
        <v>393</v>
      </c>
      <c r="AM201" s="118" t="s">
        <v>393</v>
      </c>
      <c r="AN201" s="402" t="s">
        <v>5975</v>
      </c>
      <c r="AO201" s="402">
        <v>45189</v>
      </c>
      <c r="AP201" s="118">
        <v>9</v>
      </c>
      <c r="AQ201" s="118">
        <v>8</v>
      </c>
      <c r="AR201" s="118" t="s">
        <v>6446</v>
      </c>
      <c r="AS201" s="118" t="s">
        <v>392</v>
      </c>
      <c r="AT201" s="118" t="s">
        <v>500</v>
      </c>
      <c r="AU201" s="118" t="s">
        <v>404</v>
      </c>
      <c r="AV201" s="118" t="s">
        <v>508</v>
      </c>
      <c r="AW201" s="118" t="s">
        <v>393</v>
      </c>
      <c r="AX201" s="118" t="s">
        <v>393</v>
      </c>
      <c r="AY201" s="118" t="s">
        <v>393</v>
      </c>
      <c r="AZ201" s="118" t="s">
        <v>393</v>
      </c>
      <c r="BA201" s="118" t="s">
        <v>393</v>
      </c>
      <c r="BB201" s="118" t="s">
        <v>393</v>
      </c>
      <c r="BC201" s="118" t="s">
        <v>393</v>
      </c>
      <c r="BD201" s="118" t="s">
        <v>393</v>
      </c>
      <c r="BE201" s="118" t="s">
        <v>393</v>
      </c>
      <c r="BF201" s="118" t="s">
        <v>393</v>
      </c>
      <c r="BG201" s="118" t="s">
        <v>393</v>
      </c>
      <c r="BH201" s="118" t="s">
        <v>394</v>
      </c>
      <c r="BI201" s="118" t="s">
        <v>394</v>
      </c>
      <c r="BJ201" s="118" t="s">
        <v>393</v>
      </c>
      <c r="BK201" s="118" t="s">
        <v>6988</v>
      </c>
      <c r="BL201" s="118" t="s">
        <v>6415</v>
      </c>
      <c r="BM201" s="118" t="s">
        <v>7214</v>
      </c>
      <c r="BN201" s="118" t="s">
        <v>6991</v>
      </c>
      <c r="BO201" s="118" t="s">
        <v>6415</v>
      </c>
      <c r="BP201" s="118" t="s">
        <v>6415</v>
      </c>
      <c r="BQ201" s="118" t="s">
        <v>6415</v>
      </c>
      <c r="BR201" s="118" t="s">
        <v>6415</v>
      </c>
      <c r="BS201" s="118" t="s">
        <v>6415</v>
      </c>
      <c r="BT201" s="118" t="s">
        <v>6990</v>
      </c>
      <c r="BU201" s="118" t="s">
        <v>6991</v>
      </c>
      <c r="BV201" s="118" t="s">
        <v>6415</v>
      </c>
      <c r="BW201" s="118" t="s">
        <v>6415</v>
      </c>
      <c r="BX201" s="118" t="s">
        <v>6415</v>
      </c>
      <c r="BY201" s="118" t="s">
        <v>6415</v>
      </c>
      <c r="BZ201" s="118" t="s">
        <v>6415</v>
      </c>
      <c r="CA201" s="118" t="s">
        <v>6415</v>
      </c>
      <c r="CB201" s="118" t="s">
        <v>221</v>
      </c>
      <c r="CC201" s="118" t="s">
        <v>740</v>
      </c>
      <c r="CD201" s="118">
        <v>1</v>
      </c>
      <c r="CE201" s="118" t="s">
        <v>411</v>
      </c>
      <c r="CF201" s="118" t="s">
        <v>410</v>
      </c>
      <c r="CG201" s="118" t="s">
        <v>924</v>
      </c>
      <c r="CH201" s="118" t="s">
        <v>6302</v>
      </c>
      <c r="CI201" s="118" t="s">
        <v>417</v>
      </c>
      <c r="CJ201" s="118" t="s">
        <v>398</v>
      </c>
      <c r="CK201" s="14">
        <v>25</v>
      </c>
      <c r="CL201" s="118">
        <v>25</v>
      </c>
      <c r="CM201" s="118" t="s">
        <v>399</v>
      </c>
      <c r="CN201" s="118" t="s">
        <v>398</v>
      </c>
      <c r="CO201" s="118" t="s">
        <v>1096</v>
      </c>
      <c r="CP201" s="118" t="s">
        <v>450</v>
      </c>
      <c r="CQ201" s="118" t="s">
        <v>6415</v>
      </c>
      <c r="CR201" s="118" t="s">
        <v>6415</v>
      </c>
      <c r="CS201" s="118" t="s">
        <v>6415</v>
      </c>
      <c r="CT201" s="118" t="s">
        <v>6415</v>
      </c>
      <c r="CU201" s="118" t="s">
        <v>6415</v>
      </c>
      <c r="CV201" s="118" t="s">
        <v>6415</v>
      </c>
      <c r="CW201" s="14">
        <v>0</v>
      </c>
      <c r="CX201" s="118" t="s">
        <v>401</v>
      </c>
      <c r="CY201" s="118" t="s">
        <v>6151</v>
      </c>
      <c r="CZ201" s="118">
        <v>2</v>
      </c>
      <c r="DA201" s="118" t="s">
        <v>410</v>
      </c>
      <c r="DB201" s="118" t="s">
        <v>411</v>
      </c>
      <c r="DC201" s="118" t="s">
        <v>6415</v>
      </c>
      <c r="DD201" s="118" t="s">
        <v>6302</v>
      </c>
      <c r="DE201" s="118" t="s">
        <v>6306</v>
      </c>
      <c r="DF201" s="118" t="s">
        <v>398</v>
      </c>
      <c r="DG201" s="118">
        <v>0</v>
      </c>
      <c r="DH201" s="118">
        <v>25</v>
      </c>
      <c r="DI201" s="118" t="s">
        <v>429</v>
      </c>
      <c r="DJ201" s="118" t="s">
        <v>398</v>
      </c>
      <c r="DK201" s="118" t="s">
        <v>400</v>
      </c>
      <c r="DL201" s="118" t="s">
        <v>6415</v>
      </c>
      <c r="DM201" s="118" t="s">
        <v>6415</v>
      </c>
      <c r="DN201" s="118" t="s">
        <v>6415</v>
      </c>
      <c r="DO201" s="118" t="s">
        <v>6415</v>
      </c>
      <c r="DP201" s="118" t="s">
        <v>6415</v>
      </c>
      <c r="DQ201" s="118" t="s">
        <v>6415</v>
      </c>
      <c r="DR201" s="118">
        <v>0</v>
      </c>
      <c r="DS201" s="118" t="s">
        <v>6415</v>
      </c>
      <c r="DT201" s="118" t="s">
        <v>6415</v>
      </c>
      <c r="DU201" s="118">
        <v>3</v>
      </c>
      <c r="DV201" s="118" t="s">
        <v>6302</v>
      </c>
      <c r="DW201" s="118" t="s">
        <v>417</v>
      </c>
      <c r="DX201" s="118" t="s">
        <v>398</v>
      </c>
      <c r="DY201" s="118" t="s">
        <v>429</v>
      </c>
      <c r="DZ201" s="118" t="s">
        <v>398</v>
      </c>
      <c r="EA201" s="118" t="s">
        <v>400</v>
      </c>
      <c r="EB201" s="118" t="s">
        <v>6415</v>
      </c>
      <c r="EC201" s="118" t="s">
        <v>6415</v>
      </c>
      <c r="ED201" s="118" t="s">
        <v>6415</v>
      </c>
      <c r="EE201" s="118" t="s">
        <v>6415</v>
      </c>
      <c r="EF201" s="118" t="s">
        <v>6415</v>
      </c>
      <c r="EG201" s="118" t="s">
        <v>7164</v>
      </c>
      <c r="EH201" s="118" t="s">
        <v>7206</v>
      </c>
      <c r="EI201" s="118" t="s">
        <v>6415</v>
      </c>
      <c r="EJ201" s="118" t="s">
        <v>6415</v>
      </c>
      <c r="EK201" s="118" t="s">
        <v>6415</v>
      </c>
      <c r="EL201" s="118" t="s">
        <v>7467</v>
      </c>
      <c r="EM201" s="118" t="s">
        <v>7312</v>
      </c>
      <c r="EN201" s="118" t="s">
        <v>6415</v>
      </c>
      <c r="EO201" s="6" t="str">
        <f t="shared" si="18"/>
        <v>Pathweb</v>
      </c>
      <c r="EP201" s="6" t="str">
        <f t="shared" si="19"/>
        <v>Google Maps</v>
      </c>
      <c r="EQ201" s="6" t="str">
        <f t="shared" si="20"/>
        <v>Mashed Map</v>
      </c>
      <c r="ER201" s="118" t="s">
        <v>6727</v>
      </c>
      <c r="ES201" s="118" t="s">
        <v>71</v>
      </c>
      <c r="ET201" s="4">
        <v>0</v>
      </c>
      <c r="EU201" s="4"/>
      <c r="EV201" s="4"/>
    </row>
    <row r="202" spans="1:152" x14ac:dyDescent="0.15">
      <c r="A202" s="581" t="str">
        <f t="shared" si="17"/>
        <v>Crash Report</v>
      </c>
      <c r="B202" s="14">
        <v>20233163985</v>
      </c>
      <c r="C202" s="118">
        <v>2023</v>
      </c>
      <c r="D202" s="14">
        <v>23092124181314</v>
      </c>
      <c r="F202" s="118" t="s">
        <v>6441</v>
      </c>
      <c r="G202" s="118" t="s">
        <v>390</v>
      </c>
      <c r="H202" s="118">
        <v>2</v>
      </c>
      <c r="I202" s="118" t="s">
        <v>6055</v>
      </c>
      <c r="J202" s="118" t="s">
        <v>423</v>
      </c>
      <c r="K202" s="118" t="s">
        <v>6985</v>
      </c>
      <c r="L202" s="118">
        <v>0.50900000000000001</v>
      </c>
      <c r="M202" s="118">
        <v>0.50900000000000001</v>
      </c>
      <c r="N202" s="118" t="s">
        <v>7465</v>
      </c>
      <c r="O202" s="118" t="s">
        <v>7498</v>
      </c>
      <c r="P202" s="118">
        <v>41.651815999999997</v>
      </c>
      <c r="Q202" s="118">
        <v>-83.518089000000003</v>
      </c>
      <c r="R202" s="118">
        <v>77000</v>
      </c>
      <c r="S202" s="118" t="s">
        <v>6988</v>
      </c>
      <c r="T202" s="118">
        <v>1</v>
      </c>
      <c r="U202" s="118">
        <v>0</v>
      </c>
      <c r="V202" s="118">
        <v>0</v>
      </c>
      <c r="W202" s="118">
        <v>0</v>
      </c>
      <c r="X202" s="118">
        <v>1</v>
      </c>
      <c r="Y202" s="118">
        <v>2</v>
      </c>
      <c r="Z202" s="118">
        <v>0</v>
      </c>
      <c r="AA202" s="118">
        <v>3</v>
      </c>
      <c r="AB202" s="118" t="s">
        <v>1067</v>
      </c>
      <c r="AC202" s="118" t="s">
        <v>6989</v>
      </c>
      <c r="AD202" s="118" t="s">
        <v>1034</v>
      </c>
      <c r="AE202" s="118" t="s">
        <v>943</v>
      </c>
      <c r="AF202" s="118" t="s">
        <v>1041</v>
      </c>
      <c r="AG202" s="118" t="s">
        <v>6415</v>
      </c>
      <c r="AH202" s="118" t="s">
        <v>393</v>
      </c>
      <c r="AI202" s="118">
        <v>4</v>
      </c>
      <c r="AJ202" s="118" t="s">
        <v>6415</v>
      </c>
      <c r="AK202" s="118" t="s">
        <v>393</v>
      </c>
      <c r="AL202" s="118" t="s">
        <v>393</v>
      </c>
      <c r="AM202" s="118" t="s">
        <v>393</v>
      </c>
      <c r="AN202" s="402" t="s">
        <v>5975</v>
      </c>
      <c r="AO202" s="402">
        <v>45190</v>
      </c>
      <c r="AP202" s="118">
        <v>9</v>
      </c>
      <c r="AQ202" s="118">
        <v>13</v>
      </c>
      <c r="AR202" s="118" t="s">
        <v>6447</v>
      </c>
      <c r="AS202" s="118" t="s">
        <v>392</v>
      </c>
      <c r="AT202" s="118" t="s">
        <v>500</v>
      </c>
      <c r="AU202" s="118" t="s">
        <v>404</v>
      </c>
      <c r="AV202" s="118" t="s">
        <v>508</v>
      </c>
      <c r="AW202" s="118" t="s">
        <v>393</v>
      </c>
      <c r="AX202" s="118" t="s">
        <v>740</v>
      </c>
      <c r="AY202" s="118" t="s">
        <v>393</v>
      </c>
      <c r="AZ202" s="118" t="s">
        <v>393</v>
      </c>
      <c r="BA202" s="118" t="s">
        <v>393</v>
      </c>
      <c r="BB202" s="118" t="s">
        <v>393</v>
      </c>
      <c r="BC202" s="118" t="s">
        <v>393</v>
      </c>
      <c r="BD202" s="118" t="s">
        <v>393</v>
      </c>
      <c r="BE202" s="118" t="s">
        <v>740</v>
      </c>
      <c r="BF202" s="118" t="s">
        <v>740</v>
      </c>
      <c r="BG202" s="118" t="s">
        <v>393</v>
      </c>
      <c r="BH202" s="118" t="s">
        <v>394</v>
      </c>
      <c r="BI202" s="118" t="s">
        <v>394</v>
      </c>
      <c r="BJ202" s="118" t="s">
        <v>393</v>
      </c>
      <c r="BK202" s="118" t="s">
        <v>6988</v>
      </c>
      <c r="BL202" s="118" t="s">
        <v>261</v>
      </c>
      <c r="BM202" s="118" t="s">
        <v>6990</v>
      </c>
      <c r="BN202" s="118" t="s">
        <v>6991</v>
      </c>
      <c r="BO202" s="118" t="s">
        <v>6415</v>
      </c>
      <c r="BP202" s="118" t="s">
        <v>6415</v>
      </c>
      <c r="BQ202" s="118" t="s">
        <v>6415</v>
      </c>
      <c r="BR202" s="118" t="s">
        <v>6415</v>
      </c>
      <c r="BS202" s="118" t="s">
        <v>6415</v>
      </c>
      <c r="BT202" s="118" t="s">
        <v>1791</v>
      </c>
      <c r="BU202" s="118" t="s">
        <v>6991</v>
      </c>
      <c r="BV202" s="118" t="s">
        <v>6415</v>
      </c>
      <c r="BW202" s="118" t="s">
        <v>6415</v>
      </c>
      <c r="BX202" s="118" t="s">
        <v>6415</v>
      </c>
      <c r="BY202" s="118" t="s">
        <v>6415</v>
      </c>
      <c r="BZ202" s="118" t="s">
        <v>6415</v>
      </c>
      <c r="CA202" s="118" t="s">
        <v>6415</v>
      </c>
      <c r="CB202" s="118" t="s">
        <v>221</v>
      </c>
      <c r="CC202" s="118" t="s">
        <v>740</v>
      </c>
      <c r="CD202" s="118">
        <v>1</v>
      </c>
      <c r="CE202" s="118" t="s">
        <v>406</v>
      </c>
      <c r="CF202" s="118" t="s">
        <v>405</v>
      </c>
      <c r="CG202" s="118" t="s">
        <v>924</v>
      </c>
      <c r="CH202" s="118" t="s">
        <v>6302</v>
      </c>
      <c r="CI202" s="118" t="s">
        <v>6303</v>
      </c>
      <c r="CJ202" s="118" t="s">
        <v>398</v>
      </c>
      <c r="CK202" s="14">
        <v>20</v>
      </c>
      <c r="CL202" s="118">
        <v>40</v>
      </c>
      <c r="CM202" s="118" t="s">
        <v>399</v>
      </c>
      <c r="CN202" s="118" t="s">
        <v>6512</v>
      </c>
      <c r="CO202" s="118" t="s">
        <v>1096</v>
      </c>
      <c r="CP202" s="118" t="s">
        <v>400</v>
      </c>
      <c r="CQ202" s="118" t="s">
        <v>6415</v>
      </c>
      <c r="CR202" s="118" t="s">
        <v>6415</v>
      </c>
      <c r="CS202" s="118" t="s">
        <v>6415</v>
      </c>
      <c r="CT202" s="118" t="s">
        <v>6415</v>
      </c>
      <c r="CU202" s="118" t="s">
        <v>6415</v>
      </c>
      <c r="CV202" s="118" t="s">
        <v>6415</v>
      </c>
      <c r="CW202" s="14">
        <v>18</v>
      </c>
      <c r="CX202" s="118" t="s">
        <v>1066</v>
      </c>
      <c r="CY202" s="118" t="s">
        <v>6151</v>
      </c>
      <c r="CZ202" s="118">
        <v>2</v>
      </c>
      <c r="DA202" s="118" t="s">
        <v>406</v>
      </c>
      <c r="DB202" s="118" t="s">
        <v>405</v>
      </c>
      <c r="DC202" s="118" t="s">
        <v>6415</v>
      </c>
      <c r="DD202" s="118" t="s">
        <v>6302</v>
      </c>
      <c r="DE202" s="118" t="s">
        <v>6303</v>
      </c>
      <c r="DF202" s="118" t="s">
        <v>398</v>
      </c>
      <c r="DG202" s="118">
        <v>0</v>
      </c>
      <c r="DH202" s="118">
        <v>40</v>
      </c>
      <c r="DI202" s="118" t="s">
        <v>6355</v>
      </c>
      <c r="DJ202" s="118" t="s">
        <v>398</v>
      </c>
      <c r="DK202" s="118" t="s">
        <v>400</v>
      </c>
      <c r="DL202" s="118" t="s">
        <v>400</v>
      </c>
      <c r="DM202" s="118" t="s">
        <v>6415</v>
      </c>
      <c r="DN202" s="118" t="s">
        <v>6415</v>
      </c>
      <c r="DO202" s="118" t="s">
        <v>6415</v>
      </c>
      <c r="DP202" s="118" t="s">
        <v>6415</v>
      </c>
      <c r="DQ202" s="118" t="s">
        <v>6415</v>
      </c>
      <c r="DR202" s="118">
        <v>65</v>
      </c>
      <c r="DS202" s="118" t="s">
        <v>1066</v>
      </c>
      <c r="DT202" s="118" t="s">
        <v>6341</v>
      </c>
      <c r="DU202" s="118">
        <v>3</v>
      </c>
      <c r="DV202" s="118" t="s">
        <v>6302</v>
      </c>
      <c r="DW202" s="118" t="s">
        <v>6303</v>
      </c>
      <c r="DX202" s="118" t="s">
        <v>398</v>
      </c>
      <c r="DY202" s="118" t="s">
        <v>6355</v>
      </c>
      <c r="DZ202" s="118" t="s">
        <v>398</v>
      </c>
      <c r="EA202" s="118" t="s">
        <v>400</v>
      </c>
      <c r="EB202" s="118" t="s">
        <v>6415</v>
      </c>
      <c r="EC202" s="118" t="s">
        <v>6415</v>
      </c>
      <c r="ED202" s="118" t="s">
        <v>6415</v>
      </c>
      <c r="EE202" s="118" t="s">
        <v>6415</v>
      </c>
      <c r="EF202" s="118" t="s">
        <v>6415</v>
      </c>
      <c r="EG202" s="118" t="s">
        <v>6994</v>
      </c>
      <c r="EH202" s="118" t="s">
        <v>7175</v>
      </c>
      <c r="EI202" s="118" t="s">
        <v>6415</v>
      </c>
      <c r="EJ202" s="118" t="s">
        <v>6415</v>
      </c>
      <c r="EK202" s="118" t="s">
        <v>6415</v>
      </c>
      <c r="EL202" s="118" t="s">
        <v>7467</v>
      </c>
      <c r="EM202" s="118" t="s">
        <v>7313</v>
      </c>
      <c r="EN202" s="118" t="s">
        <v>6415</v>
      </c>
      <c r="EO202" s="6" t="str">
        <f t="shared" si="18"/>
        <v>Pathweb</v>
      </c>
      <c r="EP202" s="6" t="str">
        <f t="shared" si="19"/>
        <v>Google Maps</v>
      </c>
      <c r="EQ202" s="6" t="str">
        <f t="shared" si="20"/>
        <v>Mashed Map</v>
      </c>
      <c r="ER202" s="118" t="s">
        <v>6727</v>
      </c>
      <c r="ES202" s="118" t="s">
        <v>6728</v>
      </c>
      <c r="ET202" s="4">
        <v>0</v>
      </c>
      <c r="EU202" s="4"/>
      <c r="EV202" s="4"/>
    </row>
    <row r="203" spans="1:152" x14ac:dyDescent="0.15">
      <c r="A203" s="581" t="str">
        <f t="shared" si="17"/>
        <v>Crash Report</v>
      </c>
      <c r="B203" s="118">
        <v>20233166512</v>
      </c>
      <c r="C203" s="118">
        <v>2023</v>
      </c>
      <c r="D203" s="118">
        <v>23092527401845</v>
      </c>
      <c r="F203" s="118" t="s">
        <v>6442</v>
      </c>
      <c r="G203" s="118" t="s">
        <v>230</v>
      </c>
      <c r="H203" s="118">
        <v>2</v>
      </c>
      <c r="I203" s="118" t="s">
        <v>6055</v>
      </c>
      <c r="J203" s="118" t="s">
        <v>423</v>
      </c>
      <c r="K203" s="118" t="s">
        <v>6997</v>
      </c>
      <c r="L203" s="118">
        <v>0.71299999999999997</v>
      </c>
      <c r="M203" s="118">
        <v>0.71299999999999997</v>
      </c>
      <c r="N203" s="118" t="s">
        <v>7469</v>
      </c>
      <c r="O203" s="118" t="s">
        <v>7466</v>
      </c>
      <c r="P203" s="118">
        <v>41.648519</v>
      </c>
      <c r="Q203" s="118">
        <v>-83.523447000000004</v>
      </c>
      <c r="R203" s="118">
        <v>77000</v>
      </c>
      <c r="S203" s="118" t="s">
        <v>6988</v>
      </c>
      <c r="T203" s="118">
        <v>1</v>
      </c>
      <c r="U203" s="118">
        <v>0</v>
      </c>
      <c r="V203" s="118">
        <v>0</v>
      </c>
      <c r="W203" s="118">
        <v>0</v>
      </c>
      <c r="X203" s="118">
        <v>0</v>
      </c>
      <c r="Y203" s="118">
        <v>4</v>
      </c>
      <c r="Z203" s="118">
        <v>0</v>
      </c>
      <c r="AA203" s="118">
        <v>2</v>
      </c>
      <c r="AB203" s="118" t="s">
        <v>1067</v>
      </c>
      <c r="AC203" s="118" t="s">
        <v>6989</v>
      </c>
      <c r="AD203" s="118" t="s">
        <v>1034</v>
      </c>
      <c r="AE203" s="118" t="s">
        <v>943</v>
      </c>
      <c r="AF203" s="118" t="s">
        <v>1042</v>
      </c>
      <c r="AG203" s="118" t="s">
        <v>6415</v>
      </c>
      <c r="AH203" s="118" t="s">
        <v>393</v>
      </c>
      <c r="AI203" s="118">
        <v>2</v>
      </c>
      <c r="AJ203" s="118" t="s">
        <v>6415</v>
      </c>
      <c r="AK203" s="118" t="s">
        <v>393</v>
      </c>
      <c r="AL203" s="118" t="s">
        <v>393</v>
      </c>
      <c r="AM203" s="118" t="s">
        <v>393</v>
      </c>
      <c r="AN203" s="402" t="s">
        <v>5975</v>
      </c>
      <c r="AO203" s="402">
        <v>45194</v>
      </c>
      <c r="AP203" s="118">
        <v>9</v>
      </c>
      <c r="AQ203" s="118">
        <v>18</v>
      </c>
      <c r="AR203" s="118" t="s">
        <v>6444</v>
      </c>
      <c r="AS203" s="118" t="s">
        <v>420</v>
      </c>
      <c r="AT203" s="118" t="s">
        <v>225</v>
      </c>
      <c r="AU203" s="118" t="s">
        <v>404</v>
      </c>
      <c r="AV203" s="118" t="s">
        <v>508</v>
      </c>
      <c r="AW203" s="118" t="s">
        <v>393</v>
      </c>
      <c r="AX203" s="118" t="s">
        <v>740</v>
      </c>
      <c r="AY203" s="118" t="s">
        <v>393</v>
      </c>
      <c r="AZ203" s="118" t="s">
        <v>393</v>
      </c>
      <c r="BA203" s="118" t="s">
        <v>393</v>
      </c>
      <c r="BB203" s="118" t="s">
        <v>393</v>
      </c>
      <c r="BC203" s="118" t="s">
        <v>393</v>
      </c>
      <c r="BD203" s="118" t="s">
        <v>740</v>
      </c>
      <c r="BE203" s="118" t="s">
        <v>393</v>
      </c>
      <c r="BF203" s="118" t="s">
        <v>740</v>
      </c>
      <c r="BG203" s="118" t="s">
        <v>393</v>
      </c>
      <c r="BH203" s="118" t="s">
        <v>394</v>
      </c>
      <c r="BI203" s="118" t="s">
        <v>394</v>
      </c>
      <c r="BJ203" s="118" t="s">
        <v>393</v>
      </c>
      <c r="BK203" s="118" t="s">
        <v>6988</v>
      </c>
      <c r="BL203" s="118" t="s">
        <v>6415</v>
      </c>
      <c r="BM203" s="118" t="s">
        <v>6990</v>
      </c>
      <c r="BN203" s="118" t="s">
        <v>6991</v>
      </c>
      <c r="BO203" s="118" t="s">
        <v>6415</v>
      </c>
      <c r="BP203" s="118" t="s">
        <v>6415</v>
      </c>
      <c r="BQ203" s="118" t="s">
        <v>6415</v>
      </c>
      <c r="BR203" s="118" t="s">
        <v>6415</v>
      </c>
      <c r="BS203" s="118" t="s">
        <v>6415</v>
      </c>
      <c r="BT203" s="118" t="s">
        <v>6992</v>
      </c>
      <c r="BU203" s="118" t="s">
        <v>6991</v>
      </c>
      <c r="BV203" s="118" t="s">
        <v>6415</v>
      </c>
      <c r="BW203" s="118" t="s">
        <v>6415</v>
      </c>
      <c r="BX203" s="118" t="s">
        <v>6415</v>
      </c>
      <c r="BY203" s="118" t="s">
        <v>6415</v>
      </c>
      <c r="BZ203" s="118" t="s">
        <v>6415</v>
      </c>
      <c r="CA203" s="118" t="s">
        <v>6415</v>
      </c>
      <c r="CB203" s="118" t="s">
        <v>221</v>
      </c>
      <c r="CC203" s="118" t="s">
        <v>740</v>
      </c>
      <c r="CD203" s="118">
        <v>1</v>
      </c>
      <c r="CE203" s="118" t="s">
        <v>406</v>
      </c>
      <c r="CF203" s="118" t="s">
        <v>411</v>
      </c>
      <c r="CG203" s="118" t="s">
        <v>230</v>
      </c>
      <c r="CH203" s="118" t="s">
        <v>6300</v>
      </c>
      <c r="CI203" s="118" t="s">
        <v>417</v>
      </c>
      <c r="CJ203" s="118" t="s">
        <v>398</v>
      </c>
      <c r="CK203" s="118">
        <v>35</v>
      </c>
      <c r="CL203" s="118">
        <v>10</v>
      </c>
      <c r="CM203" s="118" t="s">
        <v>436</v>
      </c>
      <c r="CN203" s="118" t="s">
        <v>451</v>
      </c>
      <c r="CO203" s="118" t="s">
        <v>1096</v>
      </c>
      <c r="CP203" s="118" t="s">
        <v>400</v>
      </c>
      <c r="CQ203" s="118" t="s">
        <v>6415</v>
      </c>
      <c r="CR203" s="118" t="s">
        <v>6415</v>
      </c>
      <c r="CS203" s="118" t="s">
        <v>6415</v>
      </c>
      <c r="CT203" s="118" t="s">
        <v>6415</v>
      </c>
      <c r="CU203" s="118" t="s">
        <v>6415</v>
      </c>
      <c r="CV203" s="118" t="s">
        <v>6415</v>
      </c>
      <c r="CW203" s="118">
        <v>19</v>
      </c>
      <c r="CX203" s="118" t="s">
        <v>1066</v>
      </c>
      <c r="CY203" s="118" t="s">
        <v>6341</v>
      </c>
      <c r="CZ203" s="118">
        <v>2</v>
      </c>
      <c r="DA203" s="118" t="s">
        <v>405</v>
      </c>
      <c r="DB203" s="118" t="s">
        <v>406</v>
      </c>
      <c r="DC203" s="118" t="s">
        <v>6415</v>
      </c>
      <c r="DD203" s="118" t="s">
        <v>6300</v>
      </c>
      <c r="DE203" s="118" t="s">
        <v>417</v>
      </c>
      <c r="DF203" s="118" t="s">
        <v>398</v>
      </c>
      <c r="DG203" s="118">
        <v>35</v>
      </c>
      <c r="DH203" s="118">
        <v>35</v>
      </c>
      <c r="DI203" s="118" t="s">
        <v>399</v>
      </c>
      <c r="DJ203" s="118" t="s">
        <v>398</v>
      </c>
      <c r="DK203" s="118" t="s">
        <v>400</v>
      </c>
      <c r="DL203" s="118" t="s">
        <v>6415</v>
      </c>
      <c r="DM203" s="118" t="s">
        <v>6415</v>
      </c>
      <c r="DN203" s="118" t="s">
        <v>6415</v>
      </c>
      <c r="DO203" s="118" t="s">
        <v>6415</v>
      </c>
      <c r="DP203" s="118" t="s">
        <v>6415</v>
      </c>
      <c r="DQ203" s="118" t="s">
        <v>6415</v>
      </c>
      <c r="DR203" s="118">
        <v>47</v>
      </c>
      <c r="DS203" s="118" t="s">
        <v>1068</v>
      </c>
      <c r="DT203" s="118" t="s">
        <v>6341</v>
      </c>
      <c r="DU203" s="118" t="s">
        <v>6415</v>
      </c>
      <c r="DV203" s="118" t="s">
        <v>6415</v>
      </c>
      <c r="DW203" s="118" t="s">
        <v>6415</v>
      </c>
      <c r="DX203" s="118" t="s">
        <v>6415</v>
      </c>
      <c r="DY203" s="118" t="s">
        <v>6415</v>
      </c>
      <c r="DZ203" s="118" t="s">
        <v>6415</v>
      </c>
      <c r="EA203" s="118" t="s">
        <v>6415</v>
      </c>
      <c r="EB203" s="118" t="s">
        <v>6415</v>
      </c>
      <c r="EC203" s="118" t="s">
        <v>6415</v>
      </c>
      <c r="ED203" s="118" t="s">
        <v>6415</v>
      </c>
      <c r="EE203" s="118" t="s">
        <v>6415</v>
      </c>
      <c r="EF203" s="118" t="s">
        <v>6415</v>
      </c>
      <c r="EG203" s="118" t="s">
        <v>6986</v>
      </c>
      <c r="EH203" s="118" t="s">
        <v>7168</v>
      </c>
      <c r="EI203" s="118" t="s">
        <v>6415</v>
      </c>
      <c r="EJ203" s="118" t="s">
        <v>6415</v>
      </c>
      <c r="EK203" s="118" t="s">
        <v>6415</v>
      </c>
      <c r="EL203" s="118" t="s">
        <v>7467</v>
      </c>
      <c r="EM203" s="118" t="s">
        <v>7314</v>
      </c>
      <c r="EN203" s="118" t="s">
        <v>6415</v>
      </c>
      <c r="EO203" s="6" t="str">
        <f t="shared" si="18"/>
        <v>Pathweb</v>
      </c>
      <c r="EP203" s="6" t="str">
        <f t="shared" si="19"/>
        <v>Google Maps</v>
      </c>
      <c r="EQ203" s="6" t="str">
        <f t="shared" si="20"/>
        <v>Mashed Map</v>
      </c>
      <c r="ER203" s="118" t="s">
        <v>6727</v>
      </c>
      <c r="ES203" s="118" t="s">
        <v>71</v>
      </c>
      <c r="ET203" s="4">
        <v>0</v>
      </c>
      <c r="EU203" s="4"/>
      <c r="EV203" s="4"/>
    </row>
    <row r="204" spans="1:152" x14ac:dyDescent="0.15">
      <c r="A204" s="581" t="str">
        <f t="shared" si="17"/>
        <v>Crash Report</v>
      </c>
      <c r="B204" s="118">
        <v>20233166946</v>
      </c>
      <c r="C204" s="118">
        <v>2023</v>
      </c>
      <c r="D204" s="118">
        <v>23092628911512</v>
      </c>
      <c r="F204" s="118" t="s">
        <v>6442</v>
      </c>
      <c r="G204" s="118" t="s">
        <v>860</v>
      </c>
      <c r="H204" s="118">
        <v>2</v>
      </c>
      <c r="I204" s="118" t="s">
        <v>6055</v>
      </c>
      <c r="J204" s="118" t="s">
        <v>391</v>
      </c>
      <c r="K204" s="118" t="s">
        <v>6985</v>
      </c>
      <c r="L204" s="118">
        <v>0.28000000000000003</v>
      </c>
      <c r="M204" s="118">
        <v>0.28000000000000003</v>
      </c>
      <c r="N204" s="118" t="s">
        <v>7465</v>
      </c>
      <c r="O204" s="118">
        <v>808</v>
      </c>
      <c r="P204" s="118">
        <v>41.649724999999997</v>
      </c>
      <c r="Q204" s="118">
        <v>-83.521516000000005</v>
      </c>
      <c r="R204" s="118">
        <v>77000</v>
      </c>
      <c r="S204" s="118" t="s">
        <v>6988</v>
      </c>
      <c r="T204" s="118">
        <v>1</v>
      </c>
      <c r="U204" s="118">
        <v>0</v>
      </c>
      <c r="V204" s="118">
        <v>0</v>
      </c>
      <c r="W204" s="118">
        <v>0</v>
      </c>
      <c r="X204" s="118">
        <v>0</v>
      </c>
      <c r="Y204" s="118">
        <v>3</v>
      </c>
      <c r="Z204" s="118">
        <v>0</v>
      </c>
      <c r="AA204" s="118">
        <v>2</v>
      </c>
      <c r="AB204" s="118" t="s">
        <v>1067</v>
      </c>
      <c r="AC204" s="118" t="s">
        <v>6989</v>
      </c>
      <c r="AD204" s="118" t="s">
        <v>1034</v>
      </c>
      <c r="AE204" s="118" t="s">
        <v>943</v>
      </c>
      <c r="AF204" s="118" t="s">
        <v>1041</v>
      </c>
      <c r="AG204" s="118" t="s">
        <v>6415</v>
      </c>
      <c r="AH204" s="118" t="s">
        <v>393</v>
      </c>
      <c r="AI204" s="118">
        <v>4</v>
      </c>
      <c r="AJ204" s="118" t="s">
        <v>6415</v>
      </c>
      <c r="AK204" s="118" t="s">
        <v>393</v>
      </c>
      <c r="AL204" s="118" t="s">
        <v>393</v>
      </c>
      <c r="AM204" s="118" t="s">
        <v>393</v>
      </c>
      <c r="AN204" s="402" t="s">
        <v>5975</v>
      </c>
      <c r="AO204" s="402">
        <v>45195</v>
      </c>
      <c r="AP204" s="118">
        <v>9</v>
      </c>
      <c r="AQ204" s="118">
        <v>15</v>
      </c>
      <c r="AR204" s="118" t="s">
        <v>6445</v>
      </c>
      <c r="AS204" s="118" t="s">
        <v>403</v>
      </c>
      <c r="AT204" s="118" t="s">
        <v>500</v>
      </c>
      <c r="AU204" s="118" t="s">
        <v>404</v>
      </c>
      <c r="AV204" s="118" t="s">
        <v>508</v>
      </c>
      <c r="AW204" s="118" t="s">
        <v>393</v>
      </c>
      <c r="AX204" s="118" t="s">
        <v>393</v>
      </c>
      <c r="AY204" s="118" t="s">
        <v>393</v>
      </c>
      <c r="AZ204" s="118" t="s">
        <v>393</v>
      </c>
      <c r="BA204" s="118" t="s">
        <v>393</v>
      </c>
      <c r="BB204" s="118" t="s">
        <v>393</v>
      </c>
      <c r="BC204" s="118" t="s">
        <v>393</v>
      </c>
      <c r="BD204" s="118" t="s">
        <v>393</v>
      </c>
      <c r="BE204" s="118" t="s">
        <v>393</v>
      </c>
      <c r="BF204" s="118" t="s">
        <v>740</v>
      </c>
      <c r="BG204" s="118" t="s">
        <v>393</v>
      </c>
      <c r="BH204" s="118" t="s">
        <v>394</v>
      </c>
      <c r="BI204" s="118" t="s">
        <v>394</v>
      </c>
      <c r="BJ204" s="118" t="s">
        <v>393</v>
      </c>
      <c r="BK204" s="118" t="s">
        <v>6988</v>
      </c>
      <c r="BL204" s="118" t="s">
        <v>6415</v>
      </c>
      <c r="BM204" s="118" t="s">
        <v>6990</v>
      </c>
      <c r="BN204" s="118" t="s">
        <v>6991</v>
      </c>
      <c r="BO204" s="118" t="s">
        <v>6415</v>
      </c>
      <c r="BP204" s="118" t="s">
        <v>6415</v>
      </c>
      <c r="BQ204" s="118" t="s">
        <v>6415</v>
      </c>
      <c r="BR204" s="118" t="s">
        <v>6415</v>
      </c>
      <c r="BS204" s="118" t="s">
        <v>6415</v>
      </c>
      <c r="BT204" s="118" t="s">
        <v>7316</v>
      </c>
      <c r="BU204" s="118" t="s">
        <v>6415</v>
      </c>
      <c r="BV204" s="118" t="s">
        <v>6415</v>
      </c>
      <c r="BW204" s="118" t="s">
        <v>6415</v>
      </c>
      <c r="BX204" s="118" t="s">
        <v>6415</v>
      </c>
      <c r="BY204" s="118" t="s">
        <v>6415</v>
      </c>
      <c r="BZ204" s="118">
        <v>808</v>
      </c>
      <c r="CA204" s="118" t="s">
        <v>6415</v>
      </c>
      <c r="CB204" s="118" t="s">
        <v>422</v>
      </c>
      <c r="CC204" s="118" t="s">
        <v>740</v>
      </c>
      <c r="CD204" s="118">
        <v>1</v>
      </c>
      <c r="CE204" s="118" t="s">
        <v>446</v>
      </c>
      <c r="CF204" s="118" t="s">
        <v>397</v>
      </c>
      <c r="CG204" s="118" t="s">
        <v>860</v>
      </c>
      <c r="CH204" s="118" t="s">
        <v>6302</v>
      </c>
      <c r="CI204" s="118" t="s">
        <v>6303</v>
      </c>
      <c r="CJ204" s="118" t="s">
        <v>398</v>
      </c>
      <c r="CK204" s="118">
        <v>0</v>
      </c>
      <c r="CL204" s="118">
        <v>45</v>
      </c>
      <c r="CM204" s="118" t="s">
        <v>435</v>
      </c>
      <c r="CN204" s="118" t="s">
        <v>6327</v>
      </c>
      <c r="CO204" s="118" t="s">
        <v>1096</v>
      </c>
      <c r="CP204" s="118" t="s">
        <v>400</v>
      </c>
      <c r="CQ204" s="118" t="s">
        <v>6415</v>
      </c>
      <c r="CR204" s="118" t="s">
        <v>6415</v>
      </c>
      <c r="CS204" s="118" t="s">
        <v>6415</v>
      </c>
      <c r="CT204" s="118" t="s">
        <v>6415</v>
      </c>
      <c r="CU204" s="118" t="s">
        <v>6415</v>
      </c>
      <c r="CV204" s="118" t="s">
        <v>6415</v>
      </c>
      <c r="CW204" s="118">
        <v>61</v>
      </c>
      <c r="CX204" s="118" t="s">
        <v>1068</v>
      </c>
      <c r="CY204" s="118" t="s">
        <v>6341</v>
      </c>
      <c r="CZ204" s="118">
        <v>2</v>
      </c>
      <c r="DA204" s="118" t="s">
        <v>396</v>
      </c>
      <c r="DB204" s="118" t="s">
        <v>397</v>
      </c>
      <c r="DC204" s="118" t="s">
        <v>6415</v>
      </c>
      <c r="DD204" s="118" t="s">
        <v>6302</v>
      </c>
      <c r="DE204" s="118" t="s">
        <v>6303</v>
      </c>
      <c r="DF204" s="118" t="s">
        <v>398</v>
      </c>
      <c r="DG204" s="118" t="s">
        <v>6415</v>
      </c>
      <c r="DH204" s="118">
        <v>45</v>
      </c>
      <c r="DI204" s="118" t="s">
        <v>399</v>
      </c>
      <c r="DJ204" s="118" t="s">
        <v>398</v>
      </c>
      <c r="DK204" s="118" t="s">
        <v>400</v>
      </c>
      <c r="DL204" s="118" t="s">
        <v>6415</v>
      </c>
      <c r="DM204" s="118" t="s">
        <v>6415</v>
      </c>
      <c r="DN204" s="118" t="s">
        <v>6415</v>
      </c>
      <c r="DO204" s="118" t="s">
        <v>6415</v>
      </c>
      <c r="DP204" s="118" t="s">
        <v>6415</v>
      </c>
      <c r="DQ204" s="118" t="s">
        <v>6415</v>
      </c>
      <c r="DR204" s="118">
        <v>24</v>
      </c>
      <c r="DS204" s="118" t="s">
        <v>1068</v>
      </c>
      <c r="DT204" s="118" t="s">
        <v>6341</v>
      </c>
      <c r="DU204" s="118" t="s">
        <v>6415</v>
      </c>
      <c r="DV204" s="118" t="s">
        <v>6415</v>
      </c>
      <c r="DW204" s="118" t="s">
        <v>6415</v>
      </c>
      <c r="DX204" s="118" t="s">
        <v>6415</v>
      </c>
      <c r="DY204" s="118" t="s">
        <v>6415</v>
      </c>
      <c r="DZ204" s="118" t="s">
        <v>6415</v>
      </c>
      <c r="EA204" s="118" t="s">
        <v>6415</v>
      </c>
      <c r="EB204" s="118" t="s">
        <v>6415</v>
      </c>
      <c r="EC204" s="118" t="s">
        <v>6415</v>
      </c>
      <c r="ED204" s="118" t="s">
        <v>6415</v>
      </c>
      <c r="EE204" s="118" t="s">
        <v>6415</v>
      </c>
      <c r="EF204" s="118" t="s">
        <v>6415</v>
      </c>
      <c r="EG204" s="118" t="s">
        <v>7002</v>
      </c>
      <c r="EH204" s="118" t="s">
        <v>7286</v>
      </c>
      <c r="EI204" s="118" t="s">
        <v>6415</v>
      </c>
      <c r="EJ204" s="118" t="s">
        <v>6415</v>
      </c>
      <c r="EK204" s="118" t="s">
        <v>6415</v>
      </c>
      <c r="EL204" s="118" t="s">
        <v>7467</v>
      </c>
      <c r="EM204" s="118" t="s">
        <v>7315</v>
      </c>
      <c r="EN204" s="118" t="s">
        <v>6415</v>
      </c>
      <c r="EO204" s="6" t="str">
        <f t="shared" si="18"/>
        <v>Pathweb</v>
      </c>
      <c r="EP204" s="6" t="str">
        <f t="shared" si="19"/>
        <v>Google Maps</v>
      </c>
      <c r="EQ204" s="6" t="str">
        <f t="shared" si="20"/>
        <v>Mashed Map</v>
      </c>
      <c r="ER204" s="118" t="s">
        <v>6727</v>
      </c>
      <c r="ES204" s="118" t="s">
        <v>71</v>
      </c>
      <c r="ET204" s="4">
        <v>4.0000000000000001E-3</v>
      </c>
      <c r="EU204" s="4"/>
      <c r="EV204" s="4"/>
    </row>
    <row r="205" spans="1:152" x14ac:dyDescent="0.15">
      <c r="A205" s="581" t="str">
        <f t="shared" si="17"/>
        <v>Crash Report</v>
      </c>
      <c r="B205" s="14">
        <v>20233171442</v>
      </c>
      <c r="C205" s="118">
        <v>2023</v>
      </c>
      <c r="D205" s="14">
        <v>23100329131746</v>
      </c>
      <c r="F205" s="118" t="s">
        <v>6442</v>
      </c>
      <c r="G205" s="118" t="s">
        <v>230</v>
      </c>
      <c r="H205" s="118">
        <v>2</v>
      </c>
      <c r="I205" s="118" t="s">
        <v>6055</v>
      </c>
      <c r="J205" s="118" t="s">
        <v>423</v>
      </c>
      <c r="K205" s="118" t="s">
        <v>6985</v>
      </c>
      <c r="L205" s="118">
        <v>0.51</v>
      </c>
      <c r="M205" s="118">
        <v>0.51</v>
      </c>
      <c r="N205" s="118" t="s">
        <v>7465</v>
      </c>
      <c r="O205" s="118" t="s">
        <v>7473</v>
      </c>
      <c r="P205" s="118">
        <v>41.651823</v>
      </c>
      <c r="Q205" s="118">
        <v>-83.518079</v>
      </c>
      <c r="R205" s="118">
        <v>77000</v>
      </c>
      <c r="S205" s="118" t="s">
        <v>6988</v>
      </c>
      <c r="T205" s="118">
        <v>1</v>
      </c>
      <c r="U205" s="118">
        <v>0</v>
      </c>
      <c r="V205" s="118">
        <v>0</v>
      </c>
      <c r="W205" s="118">
        <v>0</v>
      </c>
      <c r="X205" s="118">
        <v>0</v>
      </c>
      <c r="Y205" s="118">
        <v>2</v>
      </c>
      <c r="Z205" s="118">
        <v>0</v>
      </c>
      <c r="AA205" s="118">
        <v>2</v>
      </c>
      <c r="AB205" s="118" t="s">
        <v>1067</v>
      </c>
      <c r="AC205" s="118" t="s">
        <v>6989</v>
      </c>
      <c r="AD205" s="118" t="s">
        <v>1034</v>
      </c>
      <c r="AE205" s="118" t="s">
        <v>943</v>
      </c>
      <c r="AF205" s="118" t="s">
        <v>1041</v>
      </c>
      <c r="AG205" s="118" t="s">
        <v>6415</v>
      </c>
      <c r="AH205" s="118" t="s">
        <v>393</v>
      </c>
      <c r="AI205" s="118">
        <v>4</v>
      </c>
      <c r="AJ205" s="118" t="s">
        <v>6415</v>
      </c>
      <c r="AK205" s="118" t="s">
        <v>393</v>
      </c>
      <c r="AL205" s="118" t="s">
        <v>393</v>
      </c>
      <c r="AM205" s="118" t="s">
        <v>393</v>
      </c>
      <c r="AN205" s="402" t="s">
        <v>5975</v>
      </c>
      <c r="AO205" s="402">
        <v>45202</v>
      </c>
      <c r="AP205" s="118">
        <v>10</v>
      </c>
      <c r="AQ205" s="118">
        <v>17</v>
      </c>
      <c r="AR205" s="118" t="s">
        <v>6445</v>
      </c>
      <c r="AS205" s="118" t="s">
        <v>392</v>
      </c>
      <c r="AT205" s="118" t="s">
        <v>500</v>
      </c>
      <c r="AU205" s="118" t="s">
        <v>404</v>
      </c>
      <c r="AV205" s="118" t="s">
        <v>508</v>
      </c>
      <c r="AW205" s="118" t="s">
        <v>393</v>
      </c>
      <c r="AX205" s="118" t="s">
        <v>740</v>
      </c>
      <c r="AY205" s="118" t="s">
        <v>393</v>
      </c>
      <c r="AZ205" s="118" t="s">
        <v>393</v>
      </c>
      <c r="BA205" s="118" t="s">
        <v>393</v>
      </c>
      <c r="BB205" s="118" t="s">
        <v>393</v>
      </c>
      <c r="BC205" s="118" t="s">
        <v>393</v>
      </c>
      <c r="BD205" s="118" t="s">
        <v>393</v>
      </c>
      <c r="BE205" s="118" t="s">
        <v>393</v>
      </c>
      <c r="BF205" s="118" t="s">
        <v>740</v>
      </c>
      <c r="BG205" s="118" t="s">
        <v>393</v>
      </c>
      <c r="BH205" s="118" t="s">
        <v>394</v>
      </c>
      <c r="BI205" s="118" t="s">
        <v>394</v>
      </c>
      <c r="BJ205" s="118" t="s">
        <v>393</v>
      </c>
      <c r="BK205" s="118" t="s">
        <v>6988</v>
      </c>
      <c r="BL205" s="118" t="s">
        <v>261</v>
      </c>
      <c r="BM205" s="118" t="s">
        <v>1791</v>
      </c>
      <c r="BN205" s="118" t="s">
        <v>6991</v>
      </c>
      <c r="BO205" s="118" t="s">
        <v>6415</v>
      </c>
      <c r="BP205" s="118" t="s">
        <v>6415</v>
      </c>
      <c r="BQ205" s="118" t="s">
        <v>6415</v>
      </c>
      <c r="BR205" s="118" t="s">
        <v>6415</v>
      </c>
      <c r="BS205" s="118" t="s">
        <v>6415</v>
      </c>
      <c r="BT205" s="118" t="s">
        <v>6990</v>
      </c>
      <c r="BU205" s="118" t="s">
        <v>6991</v>
      </c>
      <c r="BV205" s="118" t="s">
        <v>6415</v>
      </c>
      <c r="BW205" s="118" t="s">
        <v>6415</v>
      </c>
      <c r="BX205" s="118" t="s">
        <v>6415</v>
      </c>
      <c r="BY205" s="118" t="s">
        <v>6415</v>
      </c>
      <c r="BZ205" s="118" t="s">
        <v>6415</v>
      </c>
      <c r="CA205" s="118" t="s">
        <v>6415</v>
      </c>
      <c r="CB205" s="118" t="s">
        <v>221</v>
      </c>
      <c r="CC205" s="118" t="s">
        <v>740</v>
      </c>
      <c r="CD205" s="118">
        <v>1</v>
      </c>
      <c r="CE205" s="118" t="s">
        <v>411</v>
      </c>
      <c r="CF205" s="118" t="s">
        <v>445</v>
      </c>
      <c r="CG205" s="118" t="s">
        <v>230</v>
      </c>
      <c r="CH205" s="118" t="s">
        <v>6300</v>
      </c>
      <c r="CI205" s="118" t="s">
        <v>6303</v>
      </c>
      <c r="CJ205" s="118" t="s">
        <v>398</v>
      </c>
      <c r="CK205" s="14">
        <v>0</v>
      </c>
      <c r="CL205" s="118">
        <v>35</v>
      </c>
      <c r="CM205" s="118" t="s">
        <v>436</v>
      </c>
      <c r="CN205" s="118" t="s">
        <v>6327</v>
      </c>
      <c r="CO205" s="118" t="s">
        <v>1096</v>
      </c>
      <c r="CP205" s="118" t="s">
        <v>400</v>
      </c>
      <c r="CQ205" s="118" t="s">
        <v>6415</v>
      </c>
      <c r="CR205" s="118" t="s">
        <v>6415</v>
      </c>
      <c r="CS205" s="118" t="s">
        <v>6415</v>
      </c>
      <c r="CT205" s="118" t="s">
        <v>6415</v>
      </c>
      <c r="CU205" s="118" t="s">
        <v>6415</v>
      </c>
      <c r="CV205" s="118" t="s">
        <v>6415</v>
      </c>
      <c r="CW205" s="14">
        <v>25</v>
      </c>
      <c r="CX205" s="118" t="s">
        <v>1066</v>
      </c>
      <c r="CY205" s="118" t="s">
        <v>6151</v>
      </c>
      <c r="CZ205" s="118">
        <v>2</v>
      </c>
      <c r="DA205" s="118" t="s">
        <v>410</v>
      </c>
      <c r="DB205" s="118" t="s">
        <v>411</v>
      </c>
      <c r="DC205" s="118" t="s">
        <v>6415</v>
      </c>
      <c r="DD205" s="118" t="s">
        <v>6300</v>
      </c>
      <c r="DE205" s="118" t="s">
        <v>6303</v>
      </c>
      <c r="DF205" s="118" t="s">
        <v>398</v>
      </c>
      <c r="DG205" s="118" t="s">
        <v>6415</v>
      </c>
      <c r="DH205" s="118">
        <v>35</v>
      </c>
      <c r="DI205" s="118" t="s">
        <v>399</v>
      </c>
      <c r="DJ205" s="118" t="s">
        <v>398</v>
      </c>
      <c r="DK205" s="118" t="s">
        <v>400</v>
      </c>
      <c r="DL205" s="118" t="s">
        <v>6415</v>
      </c>
      <c r="DM205" s="118" t="s">
        <v>6415</v>
      </c>
      <c r="DN205" s="118" t="s">
        <v>6415</v>
      </c>
      <c r="DO205" s="118" t="s">
        <v>6415</v>
      </c>
      <c r="DP205" s="118" t="s">
        <v>6415</v>
      </c>
      <c r="DQ205" s="118" t="s">
        <v>6415</v>
      </c>
      <c r="DR205" s="118">
        <v>29</v>
      </c>
      <c r="DS205" s="118" t="s">
        <v>1068</v>
      </c>
      <c r="DT205" s="118" t="s">
        <v>6151</v>
      </c>
      <c r="DU205" s="118" t="s">
        <v>6415</v>
      </c>
      <c r="DV205" s="118" t="s">
        <v>6415</v>
      </c>
      <c r="DW205" s="118" t="s">
        <v>6415</v>
      </c>
      <c r="DX205" s="118" t="s">
        <v>6415</v>
      </c>
      <c r="DY205" s="118" t="s">
        <v>6415</v>
      </c>
      <c r="DZ205" s="118" t="s">
        <v>6415</v>
      </c>
      <c r="EA205" s="118" t="s">
        <v>6415</v>
      </c>
      <c r="EB205" s="118" t="s">
        <v>6415</v>
      </c>
      <c r="EC205" s="118" t="s">
        <v>6415</v>
      </c>
      <c r="ED205" s="118" t="s">
        <v>6415</v>
      </c>
      <c r="EE205" s="118" t="s">
        <v>6415</v>
      </c>
      <c r="EF205" s="118" t="s">
        <v>6415</v>
      </c>
      <c r="EG205" s="118" t="s">
        <v>6994</v>
      </c>
      <c r="EH205" s="118" t="s">
        <v>7175</v>
      </c>
      <c r="EI205" s="118" t="s">
        <v>6415</v>
      </c>
      <c r="EJ205" s="118" t="s">
        <v>6415</v>
      </c>
      <c r="EK205" s="118" t="s">
        <v>6415</v>
      </c>
      <c r="EL205" s="118" t="s">
        <v>7467</v>
      </c>
      <c r="EM205" s="118" t="s">
        <v>7317</v>
      </c>
      <c r="EN205" s="118" t="s">
        <v>6415</v>
      </c>
      <c r="EO205" s="6" t="str">
        <f t="shared" si="18"/>
        <v>Pathweb</v>
      </c>
      <c r="EP205" s="6" t="str">
        <f t="shared" si="19"/>
        <v>Google Maps</v>
      </c>
      <c r="EQ205" s="6" t="str">
        <f t="shared" si="20"/>
        <v>Mashed Map</v>
      </c>
      <c r="ER205" s="118" t="s">
        <v>6727</v>
      </c>
      <c r="ES205" s="118" t="s">
        <v>71</v>
      </c>
      <c r="ET205" s="4">
        <v>0</v>
      </c>
      <c r="EU205" s="4"/>
      <c r="EV205" s="4"/>
    </row>
    <row r="206" spans="1:152" x14ac:dyDescent="0.15">
      <c r="A206" s="581" t="str">
        <f t="shared" si="17"/>
        <v>Crash Report</v>
      </c>
      <c r="B206" s="14">
        <v>20233176629</v>
      </c>
      <c r="C206" s="118">
        <v>2023</v>
      </c>
      <c r="D206" s="14">
        <v>23100683092045</v>
      </c>
      <c r="F206" s="118" t="s">
        <v>6442</v>
      </c>
      <c r="G206" s="118" t="s">
        <v>402</v>
      </c>
      <c r="H206" s="118">
        <v>2</v>
      </c>
      <c r="I206" s="118" t="s">
        <v>6055</v>
      </c>
      <c r="J206" s="118" t="s">
        <v>391</v>
      </c>
      <c r="K206" s="118" t="s">
        <v>6985</v>
      </c>
      <c r="L206" s="118">
        <v>0.30299999999999999</v>
      </c>
      <c r="M206" s="118">
        <v>0.30299999999999999</v>
      </c>
      <c r="N206" s="118" t="s">
        <v>7465</v>
      </c>
      <c r="O206" s="118">
        <v>802</v>
      </c>
      <c r="P206" s="118">
        <v>41.649934000000002</v>
      </c>
      <c r="Q206" s="118">
        <v>-83.521170999999995</v>
      </c>
      <c r="R206" s="118">
        <v>77000</v>
      </c>
      <c r="S206" s="118" t="s">
        <v>6988</v>
      </c>
      <c r="T206" s="118">
        <v>1</v>
      </c>
      <c r="U206" s="118">
        <v>0</v>
      </c>
      <c r="V206" s="118">
        <v>0</v>
      </c>
      <c r="W206" s="118">
        <v>0</v>
      </c>
      <c r="X206" s="118">
        <v>0</v>
      </c>
      <c r="Y206" s="118">
        <v>3</v>
      </c>
      <c r="Z206" s="118">
        <v>1</v>
      </c>
      <c r="AA206" s="118">
        <v>2</v>
      </c>
      <c r="AB206" s="118" t="s">
        <v>1067</v>
      </c>
      <c r="AC206" s="118" t="s">
        <v>6989</v>
      </c>
      <c r="AD206" s="118" t="s">
        <v>1034</v>
      </c>
      <c r="AE206" s="118" t="s">
        <v>943</v>
      </c>
      <c r="AF206" s="118" t="s">
        <v>1041</v>
      </c>
      <c r="AG206" s="118" t="s">
        <v>6415</v>
      </c>
      <c r="AH206" s="118" t="s">
        <v>393</v>
      </c>
      <c r="AI206" s="118">
        <v>4</v>
      </c>
      <c r="AJ206" s="118" t="s">
        <v>6415</v>
      </c>
      <c r="AK206" s="118" t="s">
        <v>393</v>
      </c>
      <c r="AL206" s="118" t="s">
        <v>393</v>
      </c>
      <c r="AM206" s="118" t="s">
        <v>393</v>
      </c>
      <c r="AN206" s="402" t="s">
        <v>5975</v>
      </c>
      <c r="AO206" s="402">
        <v>45205</v>
      </c>
      <c r="AP206" s="118">
        <v>10</v>
      </c>
      <c r="AQ206" s="118">
        <v>20</v>
      </c>
      <c r="AR206" s="118" t="s">
        <v>6448</v>
      </c>
      <c r="AS206" s="118" t="s">
        <v>392</v>
      </c>
      <c r="AT206" s="118" t="s">
        <v>500</v>
      </c>
      <c r="AU206" s="118" t="s">
        <v>505</v>
      </c>
      <c r="AV206" s="118" t="s">
        <v>508</v>
      </c>
      <c r="AW206" s="118" t="s">
        <v>393</v>
      </c>
      <c r="AX206" s="118" t="s">
        <v>393</v>
      </c>
      <c r="AY206" s="118" t="s">
        <v>393</v>
      </c>
      <c r="AZ206" s="118" t="s">
        <v>393</v>
      </c>
      <c r="BA206" s="118" t="s">
        <v>393</v>
      </c>
      <c r="BB206" s="118" t="s">
        <v>393</v>
      </c>
      <c r="BC206" s="118" t="s">
        <v>393</v>
      </c>
      <c r="BD206" s="118" t="s">
        <v>393</v>
      </c>
      <c r="BE206" s="118" t="s">
        <v>393</v>
      </c>
      <c r="BF206" s="118" t="s">
        <v>393</v>
      </c>
      <c r="BG206" s="118" t="s">
        <v>393</v>
      </c>
      <c r="BH206" s="118" t="s">
        <v>394</v>
      </c>
      <c r="BI206" s="118" t="s">
        <v>394</v>
      </c>
      <c r="BJ206" s="118" t="s">
        <v>393</v>
      </c>
      <c r="BK206" s="118" t="s">
        <v>6988</v>
      </c>
      <c r="BL206" s="118" t="s">
        <v>6415</v>
      </c>
      <c r="BM206" s="118" t="s">
        <v>6990</v>
      </c>
      <c r="BN206" s="118" t="s">
        <v>6991</v>
      </c>
      <c r="BO206" s="118" t="s">
        <v>6415</v>
      </c>
      <c r="BP206" s="118" t="s">
        <v>6415</v>
      </c>
      <c r="BQ206" s="118" t="s">
        <v>6415</v>
      </c>
      <c r="BR206" s="118" t="s">
        <v>6415</v>
      </c>
      <c r="BS206" s="118" t="s">
        <v>6415</v>
      </c>
      <c r="BT206" s="118" t="s">
        <v>7012</v>
      </c>
      <c r="BU206" s="118" t="s">
        <v>6415</v>
      </c>
      <c r="BV206" s="118" t="s">
        <v>6415</v>
      </c>
      <c r="BW206" s="118" t="s">
        <v>6415</v>
      </c>
      <c r="BX206" s="118" t="s">
        <v>6415</v>
      </c>
      <c r="BY206" s="118" t="s">
        <v>6415</v>
      </c>
      <c r="BZ206" s="118">
        <v>802</v>
      </c>
      <c r="CA206" s="118" t="s">
        <v>6415</v>
      </c>
      <c r="CB206" s="118" t="s">
        <v>422</v>
      </c>
      <c r="CC206" s="118" t="s">
        <v>740</v>
      </c>
      <c r="CD206" s="118">
        <v>2</v>
      </c>
      <c r="CE206" s="118" t="s">
        <v>406</v>
      </c>
      <c r="CF206" s="118" t="s">
        <v>405</v>
      </c>
      <c r="CG206" s="118" t="s">
        <v>924</v>
      </c>
      <c r="CH206" s="118" t="s">
        <v>6302</v>
      </c>
      <c r="CI206" s="118" t="s">
        <v>6303</v>
      </c>
      <c r="CJ206" s="118" t="s">
        <v>398</v>
      </c>
      <c r="CK206" s="14">
        <v>3</v>
      </c>
      <c r="CL206" s="118">
        <v>10</v>
      </c>
      <c r="CM206" s="118" t="s">
        <v>6151</v>
      </c>
      <c r="CN206" s="118" t="s">
        <v>6512</v>
      </c>
      <c r="CO206" s="118" t="s">
        <v>1096</v>
      </c>
      <c r="CP206" s="118" t="s">
        <v>400</v>
      </c>
      <c r="CQ206" s="118" t="s">
        <v>6415</v>
      </c>
      <c r="CR206" s="118" t="s">
        <v>6415</v>
      </c>
      <c r="CS206" s="118" t="s">
        <v>6415</v>
      </c>
      <c r="CT206" s="118" t="s">
        <v>6415</v>
      </c>
      <c r="CU206" s="118" t="s">
        <v>6415</v>
      </c>
      <c r="CV206" s="118" t="s">
        <v>6415</v>
      </c>
      <c r="CW206" s="14">
        <v>0</v>
      </c>
      <c r="CX206" s="118" t="s">
        <v>1068</v>
      </c>
      <c r="CY206" s="118" t="s">
        <v>6151</v>
      </c>
      <c r="CZ206" s="118">
        <v>1</v>
      </c>
      <c r="DA206" s="118" t="s">
        <v>406</v>
      </c>
      <c r="DB206" s="118" t="s">
        <v>405</v>
      </c>
      <c r="DC206" s="118" t="s">
        <v>6415</v>
      </c>
      <c r="DD206" s="118" t="s">
        <v>6302</v>
      </c>
      <c r="DE206" s="118" t="s">
        <v>6303</v>
      </c>
      <c r="DF206" s="118" t="s">
        <v>398</v>
      </c>
      <c r="DG206" s="118">
        <v>0</v>
      </c>
      <c r="DH206" s="118">
        <v>10</v>
      </c>
      <c r="DI206" s="118" t="s">
        <v>399</v>
      </c>
      <c r="DJ206" s="118" t="s">
        <v>398</v>
      </c>
      <c r="DK206" s="118" t="s">
        <v>400</v>
      </c>
      <c r="DL206" s="118" t="s">
        <v>6415</v>
      </c>
      <c r="DM206" s="118" t="s">
        <v>6415</v>
      </c>
      <c r="DN206" s="118" t="s">
        <v>6415</v>
      </c>
      <c r="DO206" s="118" t="s">
        <v>6415</v>
      </c>
      <c r="DP206" s="118" t="s">
        <v>6415</v>
      </c>
      <c r="DQ206" s="118" t="s">
        <v>6415</v>
      </c>
      <c r="DR206" s="118">
        <v>39</v>
      </c>
      <c r="DS206" s="118" t="s">
        <v>1066</v>
      </c>
      <c r="DT206" s="118" t="s">
        <v>6341</v>
      </c>
      <c r="DU206" s="118" t="s">
        <v>6415</v>
      </c>
      <c r="DV206" s="118" t="s">
        <v>6415</v>
      </c>
      <c r="DW206" s="118" t="s">
        <v>6415</v>
      </c>
      <c r="DX206" s="118" t="s">
        <v>6415</v>
      </c>
      <c r="DY206" s="118" t="s">
        <v>6415</v>
      </c>
      <c r="DZ206" s="118" t="s">
        <v>6415</v>
      </c>
      <c r="EA206" s="118" t="s">
        <v>6415</v>
      </c>
      <c r="EB206" s="118" t="s">
        <v>6415</v>
      </c>
      <c r="EC206" s="118" t="s">
        <v>6415</v>
      </c>
      <c r="ED206" s="118" t="s">
        <v>6415</v>
      </c>
      <c r="EE206" s="118" t="s">
        <v>6415</v>
      </c>
      <c r="EF206" s="118" t="s">
        <v>6415</v>
      </c>
      <c r="EG206" s="118" t="s">
        <v>7002</v>
      </c>
      <c r="EH206" s="118" t="s">
        <v>7011</v>
      </c>
      <c r="EI206" s="118" t="s">
        <v>6415</v>
      </c>
      <c r="EJ206" s="118" t="s">
        <v>6415</v>
      </c>
      <c r="EK206" s="118" t="s">
        <v>6415</v>
      </c>
      <c r="EL206" s="118" t="s">
        <v>7467</v>
      </c>
      <c r="EM206" s="118" t="s">
        <v>7318</v>
      </c>
      <c r="EN206" s="118" t="s">
        <v>6415</v>
      </c>
      <c r="EO206" s="6" t="str">
        <f t="shared" si="18"/>
        <v>Pathweb</v>
      </c>
      <c r="EP206" s="6" t="str">
        <f t="shared" si="19"/>
        <v>Google Maps</v>
      </c>
      <c r="EQ206" s="6" t="str">
        <f t="shared" si="20"/>
        <v>Mashed Map</v>
      </c>
      <c r="ER206" s="118" t="s">
        <v>6727</v>
      </c>
      <c r="ES206" s="118" t="s">
        <v>71</v>
      </c>
      <c r="ET206" s="4">
        <v>0</v>
      </c>
      <c r="EU206" s="4"/>
      <c r="EV206" s="4"/>
    </row>
    <row r="207" spans="1:152" x14ac:dyDescent="0.15">
      <c r="A207" s="581" t="str">
        <f t="shared" si="17"/>
        <v>Crash Report</v>
      </c>
      <c r="B207" s="118">
        <v>20233180518</v>
      </c>
      <c r="C207" s="118">
        <v>2023</v>
      </c>
      <c r="D207" s="118">
        <v>23101628231615</v>
      </c>
      <c r="F207" s="118" t="s">
        <v>6442</v>
      </c>
      <c r="G207" s="118" t="s">
        <v>860</v>
      </c>
      <c r="H207" s="118">
        <v>2</v>
      </c>
      <c r="I207" s="118" t="s">
        <v>6055</v>
      </c>
      <c r="J207" s="118" t="s">
        <v>391</v>
      </c>
      <c r="K207" s="118" t="s">
        <v>6985</v>
      </c>
      <c r="L207" s="118">
        <v>0.27</v>
      </c>
      <c r="M207" s="118">
        <v>0.27</v>
      </c>
      <c r="N207" s="118" t="s">
        <v>7465</v>
      </c>
      <c r="O207" s="118" t="s">
        <v>7470</v>
      </c>
      <c r="P207" s="118">
        <v>41.649633999999999</v>
      </c>
      <c r="Q207" s="118">
        <v>-83.521665999999996</v>
      </c>
      <c r="R207" s="118">
        <v>77000</v>
      </c>
      <c r="S207" s="118" t="s">
        <v>6988</v>
      </c>
      <c r="T207" s="118">
        <v>1</v>
      </c>
      <c r="U207" s="118">
        <v>0</v>
      </c>
      <c r="V207" s="118">
        <v>0</v>
      </c>
      <c r="W207" s="118">
        <v>0</v>
      </c>
      <c r="X207" s="118">
        <v>0</v>
      </c>
      <c r="Y207" s="118">
        <v>3</v>
      </c>
      <c r="Z207" s="118">
        <v>0</v>
      </c>
      <c r="AA207" s="118">
        <v>2</v>
      </c>
      <c r="AB207" s="118" t="s">
        <v>1067</v>
      </c>
      <c r="AC207" s="118" t="s">
        <v>6989</v>
      </c>
      <c r="AD207" s="118" t="s">
        <v>1034</v>
      </c>
      <c r="AE207" s="118" t="s">
        <v>943</v>
      </c>
      <c r="AF207" s="118" t="s">
        <v>1041</v>
      </c>
      <c r="AG207" s="118" t="s">
        <v>6415</v>
      </c>
      <c r="AH207" s="118" t="s">
        <v>393</v>
      </c>
      <c r="AI207" s="118">
        <v>4</v>
      </c>
      <c r="AJ207" s="118" t="s">
        <v>6415</v>
      </c>
      <c r="AK207" s="118" t="s">
        <v>393</v>
      </c>
      <c r="AL207" s="118" t="s">
        <v>393</v>
      </c>
      <c r="AM207" s="118" t="s">
        <v>393</v>
      </c>
      <c r="AN207" s="402" t="s">
        <v>5975</v>
      </c>
      <c r="AO207" s="402">
        <v>45215</v>
      </c>
      <c r="AP207" s="118">
        <v>10</v>
      </c>
      <c r="AQ207" s="118">
        <v>16</v>
      </c>
      <c r="AR207" s="118" t="s">
        <v>6444</v>
      </c>
      <c r="AS207" s="118" t="s">
        <v>392</v>
      </c>
      <c r="AT207" s="118" t="s">
        <v>500</v>
      </c>
      <c r="AU207" s="118" t="s">
        <v>404</v>
      </c>
      <c r="AV207" s="118" t="s">
        <v>508</v>
      </c>
      <c r="AW207" s="118" t="s">
        <v>393</v>
      </c>
      <c r="AX207" s="118" t="s">
        <v>740</v>
      </c>
      <c r="AY207" s="118" t="s">
        <v>393</v>
      </c>
      <c r="AZ207" s="118" t="s">
        <v>393</v>
      </c>
      <c r="BA207" s="118" t="s">
        <v>393</v>
      </c>
      <c r="BB207" s="118" t="s">
        <v>393</v>
      </c>
      <c r="BC207" s="118" t="s">
        <v>393</v>
      </c>
      <c r="BD207" s="118" t="s">
        <v>393</v>
      </c>
      <c r="BE207" s="118" t="s">
        <v>740</v>
      </c>
      <c r="BF207" s="118" t="s">
        <v>393</v>
      </c>
      <c r="BG207" s="118" t="s">
        <v>393</v>
      </c>
      <c r="BH207" s="118" t="s">
        <v>394</v>
      </c>
      <c r="BI207" s="118" t="s">
        <v>394</v>
      </c>
      <c r="BJ207" s="118" t="s">
        <v>393</v>
      </c>
      <c r="BK207" s="118" t="s">
        <v>6988</v>
      </c>
      <c r="BL207" s="118" t="s">
        <v>6415</v>
      </c>
      <c r="BM207" s="118" t="s">
        <v>6990</v>
      </c>
      <c r="BN207" s="118" t="s">
        <v>6991</v>
      </c>
      <c r="BO207" s="118" t="s">
        <v>6415</v>
      </c>
      <c r="BP207" s="118" t="s">
        <v>6415</v>
      </c>
      <c r="BQ207" s="118" t="s">
        <v>6415</v>
      </c>
      <c r="BR207" s="118" t="s">
        <v>6415</v>
      </c>
      <c r="BS207" s="118" t="s">
        <v>6415</v>
      </c>
      <c r="BT207" s="118" t="s">
        <v>7004</v>
      </c>
      <c r="BU207" s="118" t="s">
        <v>6991</v>
      </c>
      <c r="BV207" s="118" t="s">
        <v>6415</v>
      </c>
      <c r="BW207" s="118" t="s">
        <v>6415</v>
      </c>
      <c r="BX207" s="118" t="s">
        <v>6415</v>
      </c>
      <c r="BY207" s="118" t="s">
        <v>6415</v>
      </c>
      <c r="BZ207" s="118" t="s">
        <v>6415</v>
      </c>
      <c r="CA207" s="118" t="s">
        <v>6415</v>
      </c>
      <c r="CB207" s="118" t="s">
        <v>221</v>
      </c>
      <c r="CC207" s="118" t="s">
        <v>740</v>
      </c>
      <c r="CD207" s="118">
        <v>2</v>
      </c>
      <c r="CE207" s="118" t="s">
        <v>411</v>
      </c>
      <c r="CF207" s="118" t="s">
        <v>397</v>
      </c>
      <c r="CG207" s="118" t="s">
        <v>860</v>
      </c>
      <c r="CH207" s="118" t="s">
        <v>433</v>
      </c>
      <c r="CI207" s="118" t="s">
        <v>6303</v>
      </c>
      <c r="CJ207" s="118" t="s">
        <v>398</v>
      </c>
      <c r="CK207" s="118">
        <v>5</v>
      </c>
      <c r="CL207" s="118">
        <v>35</v>
      </c>
      <c r="CM207" s="118" t="s">
        <v>435</v>
      </c>
      <c r="CN207" s="118" t="s">
        <v>6327</v>
      </c>
      <c r="CO207" s="118" t="s">
        <v>1096</v>
      </c>
      <c r="CP207" s="118" t="s">
        <v>400</v>
      </c>
      <c r="CQ207" s="118" t="s">
        <v>6415</v>
      </c>
      <c r="CR207" s="118" t="s">
        <v>6415</v>
      </c>
      <c r="CS207" s="118" t="s">
        <v>6415</v>
      </c>
      <c r="CT207" s="118" t="s">
        <v>6415</v>
      </c>
      <c r="CU207" s="118" t="s">
        <v>6415</v>
      </c>
      <c r="CV207" s="118" t="s">
        <v>6415</v>
      </c>
      <c r="CW207" s="118">
        <v>66</v>
      </c>
      <c r="CX207" s="118" t="s">
        <v>1068</v>
      </c>
      <c r="CY207" s="118" t="s">
        <v>6341</v>
      </c>
      <c r="CZ207" s="118">
        <v>1</v>
      </c>
      <c r="DA207" s="118" t="s">
        <v>405</v>
      </c>
      <c r="DB207" s="118" t="s">
        <v>406</v>
      </c>
      <c r="DC207" s="118" t="s">
        <v>6415</v>
      </c>
      <c r="DD207" s="118" t="s">
        <v>433</v>
      </c>
      <c r="DE207" s="118" t="s">
        <v>6306</v>
      </c>
      <c r="DF207" s="118" t="s">
        <v>398</v>
      </c>
      <c r="DG207" s="118">
        <v>5</v>
      </c>
      <c r="DH207" s="118">
        <v>35</v>
      </c>
      <c r="DI207" s="118" t="s">
        <v>399</v>
      </c>
      <c r="DJ207" s="118" t="s">
        <v>398</v>
      </c>
      <c r="DK207" s="118" t="s">
        <v>400</v>
      </c>
      <c r="DL207" s="118" t="s">
        <v>6415</v>
      </c>
      <c r="DM207" s="118" t="s">
        <v>6415</v>
      </c>
      <c r="DN207" s="118" t="s">
        <v>6415</v>
      </c>
      <c r="DO207" s="118" t="s">
        <v>6415</v>
      </c>
      <c r="DP207" s="118" t="s">
        <v>6415</v>
      </c>
      <c r="DQ207" s="118" t="s">
        <v>6415</v>
      </c>
      <c r="DR207" s="118">
        <v>74</v>
      </c>
      <c r="DS207" s="118" t="s">
        <v>1066</v>
      </c>
      <c r="DT207" s="118" t="s">
        <v>6341</v>
      </c>
      <c r="DU207" s="118" t="s">
        <v>6415</v>
      </c>
      <c r="DV207" s="118" t="s">
        <v>6415</v>
      </c>
      <c r="DW207" s="118" t="s">
        <v>6415</v>
      </c>
      <c r="DX207" s="118" t="s">
        <v>6415</v>
      </c>
      <c r="DY207" s="118" t="s">
        <v>6415</v>
      </c>
      <c r="DZ207" s="118" t="s">
        <v>6415</v>
      </c>
      <c r="EA207" s="118" t="s">
        <v>6415</v>
      </c>
      <c r="EB207" s="118" t="s">
        <v>6415</v>
      </c>
      <c r="EC207" s="118" t="s">
        <v>6415</v>
      </c>
      <c r="ED207" s="118" t="s">
        <v>6415</v>
      </c>
      <c r="EE207" s="118" t="s">
        <v>6415</v>
      </c>
      <c r="EF207" s="118" t="s">
        <v>6415</v>
      </c>
      <c r="EG207" s="118" t="s">
        <v>7002</v>
      </c>
      <c r="EH207" s="118" t="s">
        <v>7267</v>
      </c>
      <c r="EI207" s="118" t="s">
        <v>6415</v>
      </c>
      <c r="EJ207" s="118" t="s">
        <v>6415</v>
      </c>
      <c r="EK207" s="118" t="s">
        <v>6415</v>
      </c>
      <c r="EL207" s="118" t="s">
        <v>7467</v>
      </c>
      <c r="EM207" s="118" t="s">
        <v>7319</v>
      </c>
      <c r="EN207" s="118" t="s">
        <v>6415</v>
      </c>
      <c r="EO207" s="6" t="str">
        <f t="shared" si="18"/>
        <v>Pathweb</v>
      </c>
      <c r="EP207" s="6" t="str">
        <f t="shared" si="19"/>
        <v>Google Maps</v>
      </c>
      <c r="EQ207" s="6" t="str">
        <f t="shared" si="20"/>
        <v>Mashed Map</v>
      </c>
      <c r="ER207" s="118" t="s">
        <v>6727</v>
      </c>
      <c r="ES207" s="118" t="s">
        <v>71</v>
      </c>
      <c r="ET207" s="4">
        <v>0</v>
      </c>
      <c r="EU207" s="4"/>
      <c r="EV207" s="4"/>
    </row>
    <row r="208" spans="1:152" x14ac:dyDescent="0.15">
      <c r="A208" s="581" t="str">
        <f t="shared" si="17"/>
        <v>Crash Report</v>
      </c>
      <c r="B208" s="118">
        <v>20233180828</v>
      </c>
      <c r="C208" s="118">
        <v>2023</v>
      </c>
      <c r="D208" s="118">
        <v>23101322921022</v>
      </c>
      <c r="F208" s="118" t="s">
        <v>6441</v>
      </c>
      <c r="G208" s="118" t="s">
        <v>860</v>
      </c>
      <c r="H208" s="118">
        <v>2</v>
      </c>
      <c r="I208" s="118" t="s">
        <v>6055</v>
      </c>
      <c r="J208" s="118" t="s">
        <v>423</v>
      </c>
      <c r="K208" s="118" t="s">
        <v>6985</v>
      </c>
      <c r="L208" s="118">
        <v>0.77</v>
      </c>
      <c r="M208" s="118">
        <v>0.77</v>
      </c>
      <c r="N208" s="118" t="s">
        <v>7465</v>
      </c>
      <c r="O208" s="118" t="s">
        <v>7493</v>
      </c>
      <c r="P208" s="118">
        <v>41.654192000000002</v>
      </c>
      <c r="Q208" s="118">
        <v>-83.514189999999999</v>
      </c>
      <c r="R208" s="118">
        <v>77000</v>
      </c>
      <c r="S208" s="118" t="s">
        <v>6988</v>
      </c>
      <c r="T208" s="118">
        <v>1</v>
      </c>
      <c r="U208" s="118">
        <v>0</v>
      </c>
      <c r="V208" s="118">
        <v>0</v>
      </c>
      <c r="W208" s="118">
        <v>0</v>
      </c>
      <c r="X208" s="118">
        <v>1</v>
      </c>
      <c r="Y208" s="118">
        <v>1</v>
      </c>
      <c r="Z208" s="118">
        <v>0</v>
      </c>
      <c r="AA208" s="118">
        <v>2</v>
      </c>
      <c r="AB208" s="118" t="s">
        <v>1067</v>
      </c>
      <c r="AC208" s="118" t="s">
        <v>6989</v>
      </c>
      <c r="AD208" s="118" t="s">
        <v>1034</v>
      </c>
      <c r="AE208" s="118" t="s">
        <v>943</v>
      </c>
      <c r="AF208" s="118" t="s">
        <v>1041</v>
      </c>
      <c r="AG208" s="118" t="s">
        <v>6415</v>
      </c>
      <c r="AH208" s="118" t="s">
        <v>393</v>
      </c>
      <c r="AI208" s="118">
        <v>4</v>
      </c>
      <c r="AJ208" s="118" t="s">
        <v>6415</v>
      </c>
      <c r="AK208" s="118" t="s">
        <v>393</v>
      </c>
      <c r="AL208" s="118" t="s">
        <v>393</v>
      </c>
      <c r="AM208" s="118" t="s">
        <v>393</v>
      </c>
      <c r="AN208" s="402" t="s">
        <v>5975</v>
      </c>
      <c r="AO208" s="402">
        <v>45212</v>
      </c>
      <c r="AP208" s="118">
        <v>10</v>
      </c>
      <c r="AQ208" s="118">
        <v>10</v>
      </c>
      <c r="AR208" s="118" t="s">
        <v>6448</v>
      </c>
      <c r="AS208" s="118" t="s">
        <v>392</v>
      </c>
      <c r="AT208" s="118" t="s">
        <v>500</v>
      </c>
      <c r="AU208" s="118" t="s">
        <v>404</v>
      </c>
      <c r="AV208" s="118" t="s">
        <v>508</v>
      </c>
      <c r="AW208" s="118" t="s">
        <v>393</v>
      </c>
      <c r="AX208" s="118" t="s">
        <v>740</v>
      </c>
      <c r="AY208" s="118" t="s">
        <v>393</v>
      </c>
      <c r="AZ208" s="118" t="s">
        <v>393</v>
      </c>
      <c r="BA208" s="118" t="s">
        <v>393</v>
      </c>
      <c r="BB208" s="118" t="s">
        <v>393</v>
      </c>
      <c r="BC208" s="118" t="s">
        <v>393</v>
      </c>
      <c r="BD208" s="118" t="s">
        <v>393</v>
      </c>
      <c r="BE208" s="118" t="s">
        <v>740</v>
      </c>
      <c r="BF208" s="118" t="s">
        <v>393</v>
      </c>
      <c r="BG208" s="118" t="s">
        <v>393</v>
      </c>
      <c r="BH208" s="118" t="s">
        <v>394</v>
      </c>
      <c r="BI208" s="118" t="s">
        <v>394</v>
      </c>
      <c r="BJ208" s="118" t="s">
        <v>393</v>
      </c>
      <c r="BK208" s="118" t="s">
        <v>6988</v>
      </c>
      <c r="BL208" s="118" t="s">
        <v>6415</v>
      </c>
      <c r="BM208" s="118" t="s">
        <v>6990</v>
      </c>
      <c r="BN208" s="118" t="s">
        <v>6991</v>
      </c>
      <c r="BO208" s="118" t="s">
        <v>6415</v>
      </c>
      <c r="BP208" s="118" t="s">
        <v>6415</v>
      </c>
      <c r="BQ208" s="118" t="s">
        <v>6415</v>
      </c>
      <c r="BR208" s="118" t="s">
        <v>6415</v>
      </c>
      <c r="BS208" s="118" t="s">
        <v>6415</v>
      </c>
      <c r="BT208" s="118" t="s">
        <v>7214</v>
      </c>
      <c r="BU208" s="118" t="s">
        <v>6991</v>
      </c>
      <c r="BV208" s="118" t="s">
        <v>6415</v>
      </c>
      <c r="BW208" s="118" t="s">
        <v>6415</v>
      </c>
      <c r="BX208" s="118" t="s">
        <v>6415</v>
      </c>
      <c r="BY208" s="118" t="s">
        <v>6415</v>
      </c>
      <c r="BZ208" s="118" t="s">
        <v>6415</v>
      </c>
      <c r="CA208" s="118" t="s">
        <v>6415</v>
      </c>
      <c r="CB208" s="118" t="s">
        <v>221</v>
      </c>
      <c r="CC208" s="118" t="s">
        <v>740</v>
      </c>
      <c r="CD208" s="118">
        <v>1</v>
      </c>
      <c r="CE208" s="118" t="s">
        <v>411</v>
      </c>
      <c r="CF208" s="118" t="s">
        <v>406</v>
      </c>
      <c r="CG208" s="118" t="s">
        <v>860</v>
      </c>
      <c r="CH208" s="118" t="s">
        <v>433</v>
      </c>
      <c r="CI208" s="118" t="s">
        <v>6303</v>
      </c>
      <c r="CJ208" s="118" t="s">
        <v>398</v>
      </c>
      <c r="CK208" s="118">
        <v>10</v>
      </c>
      <c r="CL208" s="118">
        <v>35</v>
      </c>
      <c r="CM208" s="118" t="s">
        <v>435</v>
      </c>
      <c r="CN208" s="118" t="s">
        <v>6327</v>
      </c>
      <c r="CO208" s="118" t="s">
        <v>1096</v>
      </c>
      <c r="CP208" s="118" t="s">
        <v>400</v>
      </c>
      <c r="CQ208" s="118" t="s">
        <v>6415</v>
      </c>
      <c r="CR208" s="118" t="s">
        <v>6415</v>
      </c>
      <c r="CS208" s="118" t="s">
        <v>6415</v>
      </c>
      <c r="CT208" s="118" t="s">
        <v>6415</v>
      </c>
      <c r="CU208" s="118" t="s">
        <v>6415</v>
      </c>
      <c r="CV208" s="118" t="s">
        <v>6415</v>
      </c>
      <c r="CW208" s="118">
        <v>39</v>
      </c>
      <c r="CX208" s="118" t="s">
        <v>1066</v>
      </c>
      <c r="CY208" s="118" t="s">
        <v>6341</v>
      </c>
      <c r="CZ208" s="118">
        <v>2</v>
      </c>
      <c r="DA208" s="118" t="s">
        <v>406</v>
      </c>
      <c r="DB208" s="118" t="s">
        <v>405</v>
      </c>
      <c r="DC208" s="118" t="s">
        <v>6415</v>
      </c>
      <c r="DD208" s="118" t="s">
        <v>6302</v>
      </c>
      <c r="DE208" s="118" t="s">
        <v>6303</v>
      </c>
      <c r="DF208" s="118" t="s">
        <v>398</v>
      </c>
      <c r="DG208" s="118">
        <v>35</v>
      </c>
      <c r="DH208" s="118">
        <v>35</v>
      </c>
      <c r="DI208" s="118" t="s">
        <v>399</v>
      </c>
      <c r="DJ208" s="118" t="s">
        <v>398</v>
      </c>
      <c r="DK208" s="118" t="s">
        <v>400</v>
      </c>
      <c r="DL208" s="118" t="s">
        <v>6415</v>
      </c>
      <c r="DM208" s="118" t="s">
        <v>6415</v>
      </c>
      <c r="DN208" s="118" t="s">
        <v>6415</v>
      </c>
      <c r="DO208" s="118" t="s">
        <v>6415</v>
      </c>
      <c r="DP208" s="118" t="s">
        <v>6415</v>
      </c>
      <c r="DQ208" s="118" t="s">
        <v>6415</v>
      </c>
      <c r="DR208" s="118">
        <v>66</v>
      </c>
      <c r="DS208" s="118" t="s">
        <v>1068</v>
      </c>
      <c r="DT208" s="118" t="s">
        <v>6341</v>
      </c>
      <c r="DU208" s="118" t="s">
        <v>6415</v>
      </c>
      <c r="DV208" s="118" t="s">
        <v>6415</v>
      </c>
      <c r="DW208" s="118" t="s">
        <v>6415</v>
      </c>
      <c r="DX208" s="118" t="s">
        <v>6415</v>
      </c>
      <c r="DY208" s="118" t="s">
        <v>6415</v>
      </c>
      <c r="DZ208" s="118" t="s">
        <v>6415</v>
      </c>
      <c r="EA208" s="118" t="s">
        <v>6415</v>
      </c>
      <c r="EB208" s="118" t="s">
        <v>6415</v>
      </c>
      <c r="EC208" s="118" t="s">
        <v>6415</v>
      </c>
      <c r="ED208" s="118" t="s">
        <v>6415</v>
      </c>
      <c r="EE208" s="118" t="s">
        <v>6415</v>
      </c>
      <c r="EF208" s="118" t="s">
        <v>6415</v>
      </c>
      <c r="EG208" s="118" t="s">
        <v>7164</v>
      </c>
      <c r="EH208" s="118" t="s">
        <v>7206</v>
      </c>
      <c r="EI208" s="118" t="s">
        <v>6415</v>
      </c>
      <c r="EJ208" s="118" t="s">
        <v>6415</v>
      </c>
      <c r="EK208" s="118" t="s">
        <v>6415</v>
      </c>
      <c r="EL208" s="118" t="s">
        <v>7467</v>
      </c>
      <c r="EM208" s="118" t="s">
        <v>7320</v>
      </c>
      <c r="EN208" s="118" t="s">
        <v>6415</v>
      </c>
      <c r="EO208" s="6" t="str">
        <f t="shared" si="18"/>
        <v>Pathweb</v>
      </c>
      <c r="EP208" s="6" t="str">
        <f t="shared" si="19"/>
        <v>Google Maps</v>
      </c>
      <c r="EQ208" s="6" t="str">
        <f t="shared" si="20"/>
        <v>Mashed Map</v>
      </c>
      <c r="ER208" s="118" t="s">
        <v>6727</v>
      </c>
      <c r="ES208" s="118" t="s">
        <v>6728</v>
      </c>
      <c r="ET208" s="4">
        <v>0</v>
      </c>
      <c r="EU208" s="4"/>
      <c r="EV208" s="4"/>
    </row>
    <row r="209" spans="1:152" x14ac:dyDescent="0.15">
      <c r="A209" s="581" t="str">
        <f t="shared" si="17"/>
        <v>Crash Report</v>
      </c>
      <c r="B209" s="14">
        <v>20233189200</v>
      </c>
      <c r="C209" s="118">
        <v>2023</v>
      </c>
      <c r="D209" s="14">
        <v>23102628911506</v>
      </c>
      <c r="F209" s="118" t="s">
        <v>6442</v>
      </c>
      <c r="G209" s="118" t="s">
        <v>230</v>
      </c>
      <c r="H209" s="118">
        <v>2</v>
      </c>
      <c r="I209" s="118" t="s">
        <v>6055</v>
      </c>
      <c r="J209" s="118" t="s">
        <v>391</v>
      </c>
      <c r="K209" s="118" t="s">
        <v>6985</v>
      </c>
      <c r="L209" s="118">
        <v>0.51</v>
      </c>
      <c r="M209" s="118">
        <v>0.51</v>
      </c>
      <c r="N209" s="118" t="s">
        <v>7465</v>
      </c>
      <c r="O209" s="118" t="s">
        <v>7468</v>
      </c>
      <c r="P209" s="118">
        <v>41.651823</v>
      </c>
      <c r="Q209" s="118">
        <v>-83.518079</v>
      </c>
      <c r="R209" s="118">
        <v>77000</v>
      </c>
      <c r="S209" s="118" t="s">
        <v>6988</v>
      </c>
      <c r="T209" s="118">
        <v>1</v>
      </c>
      <c r="U209" s="118">
        <v>0</v>
      </c>
      <c r="V209" s="118">
        <v>0</v>
      </c>
      <c r="W209" s="118">
        <v>0</v>
      </c>
      <c r="X209" s="118">
        <v>0</v>
      </c>
      <c r="Y209" s="118">
        <v>3</v>
      </c>
      <c r="Z209" s="118">
        <v>0</v>
      </c>
      <c r="AA209" s="118">
        <v>2</v>
      </c>
      <c r="AB209" s="118" t="s">
        <v>1067</v>
      </c>
      <c r="AC209" s="118" t="s">
        <v>6989</v>
      </c>
      <c r="AD209" s="118" t="s">
        <v>1034</v>
      </c>
      <c r="AE209" s="118" t="s">
        <v>943</v>
      </c>
      <c r="AF209" s="118" t="s">
        <v>1041</v>
      </c>
      <c r="AG209" s="118" t="s">
        <v>6415</v>
      </c>
      <c r="AH209" s="118" t="s">
        <v>393</v>
      </c>
      <c r="AI209" s="118">
        <v>4</v>
      </c>
      <c r="AJ209" s="118" t="s">
        <v>6415</v>
      </c>
      <c r="AK209" s="118" t="s">
        <v>393</v>
      </c>
      <c r="AL209" s="118" t="s">
        <v>393</v>
      </c>
      <c r="AM209" s="118" t="s">
        <v>393</v>
      </c>
      <c r="AN209" s="402" t="s">
        <v>5975</v>
      </c>
      <c r="AO209" s="402">
        <v>45225</v>
      </c>
      <c r="AP209" s="118">
        <v>10</v>
      </c>
      <c r="AQ209" s="118">
        <v>15</v>
      </c>
      <c r="AR209" s="118" t="s">
        <v>6447</v>
      </c>
      <c r="AS209" s="118" t="s">
        <v>403</v>
      </c>
      <c r="AT209" s="118" t="s">
        <v>500</v>
      </c>
      <c r="AU209" s="118" t="s">
        <v>404</v>
      </c>
      <c r="AV209" s="118" t="s">
        <v>508</v>
      </c>
      <c r="AW209" s="118" t="s">
        <v>393</v>
      </c>
      <c r="AX209" s="118" t="s">
        <v>740</v>
      </c>
      <c r="AY209" s="118" t="s">
        <v>393</v>
      </c>
      <c r="AZ209" s="118" t="s">
        <v>393</v>
      </c>
      <c r="BA209" s="118" t="s">
        <v>393</v>
      </c>
      <c r="BB209" s="118" t="s">
        <v>393</v>
      </c>
      <c r="BC209" s="118" t="s">
        <v>393</v>
      </c>
      <c r="BD209" s="118" t="s">
        <v>393</v>
      </c>
      <c r="BE209" s="118" t="s">
        <v>393</v>
      </c>
      <c r="BF209" s="118" t="s">
        <v>740</v>
      </c>
      <c r="BG209" s="118" t="s">
        <v>393</v>
      </c>
      <c r="BH209" s="118" t="s">
        <v>394</v>
      </c>
      <c r="BI209" s="118" t="s">
        <v>394</v>
      </c>
      <c r="BJ209" s="118" t="s">
        <v>393</v>
      </c>
      <c r="BK209" s="118" t="s">
        <v>6988</v>
      </c>
      <c r="BL209" s="118" t="s">
        <v>6415</v>
      </c>
      <c r="BM209" s="118" t="s">
        <v>6990</v>
      </c>
      <c r="BN209" s="118" t="s">
        <v>6991</v>
      </c>
      <c r="BO209" s="118" t="s">
        <v>6415</v>
      </c>
      <c r="BP209" s="118" t="s">
        <v>6415</v>
      </c>
      <c r="BQ209" s="118" t="s">
        <v>6415</v>
      </c>
      <c r="BR209" s="118" t="s">
        <v>6415</v>
      </c>
      <c r="BS209" s="118" t="s">
        <v>261</v>
      </c>
      <c r="BT209" s="118" t="s">
        <v>1791</v>
      </c>
      <c r="BU209" s="118" t="s">
        <v>6991</v>
      </c>
      <c r="BV209" s="118" t="s">
        <v>6415</v>
      </c>
      <c r="BW209" s="118" t="s">
        <v>6415</v>
      </c>
      <c r="BX209" s="118" t="s">
        <v>6415</v>
      </c>
      <c r="BY209" s="118" t="s">
        <v>6415</v>
      </c>
      <c r="BZ209" s="118" t="s">
        <v>6415</v>
      </c>
      <c r="CA209" s="118" t="s">
        <v>6415</v>
      </c>
      <c r="CB209" s="118" t="s">
        <v>221</v>
      </c>
      <c r="CC209" s="118" t="s">
        <v>740</v>
      </c>
      <c r="CD209" s="118">
        <v>1</v>
      </c>
      <c r="CE209" s="118" t="s">
        <v>396</v>
      </c>
      <c r="CF209" s="118" t="s">
        <v>445</v>
      </c>
      <c r="CG209" s="118" t="s">
        <v>230</v>
      </c>
      <c r="CH209" s="118" t="s">
        <v>6300</v>
      </c>
      <c r="CI209" s="118" t="s">
        <v>6305</v>
      </c>
      <c r="CJ209" s="118" t="s">
        <v>398</v>
      </c>
      <c r="CK209" s="14">
        <v>0</v>
      </c>
      <c r="CL209" s="118">
        <v>40</v>
      </c>
      <c r="CM209" s="118" t="s">
        <v>436</v>
      </c>
      <c r="CN209" s="118" t="s">
        <v>6327</v>
      </c>
      <c r="CO209" s="118" t="s">
        <v>1096</v>
      </c>
      <c r="CP209" s="118" t="s">
        <v>400</v>
      </c>
      <c r="CQ209" s="118" t="s">
        <v>6415</v>
      </c>
      <c r="CR209" s="118" t="s">
        <v>6415</v>
      </c>
      <c r="CS209" s="118" t="s">
        <v>6415</v>
      </c>
      <c r="CT209" s="118" t="s">
        <v>6415</v>
      </c>
      <c r="CU209" s="118" t="s">
        <v>6415</v>
      </c>
      <c r="CV209" s="118" t="s">
        <v>6415</v>
      </c>
      <c r="CW209" s="14">
        <v>61</v>
      </c>
      <c r="CX209" s="118" t="s">
        <v>1066</v>
      </c>
      <c r="CY209" s="118" t="s">
        <v>6341</v>
      </c>
      <c r="CZ209" s="118">
        <v>2</v>
      </c>
      <c r="DA209" s="118" t="s">
        <v>397</v>
      </c>
      <c r="DB209" s="118" t="s">
        <v>396</v>
      </c>
      <c r="DC209" s="118" t="s">
        <v>6415</v>
      </c>
      <c r="DD209" s="118" t="s">
        <v>6300</v>
      </c>
      <c r="DE209" s="118" t="s">
        <v>417</v>
      </c>
      <c r="DF209" s="118" t="s">
        <v>398</v>
      </c>
      <c r="DG209" s="118" t="s">
        <v>6415</v>
      </c>
      <c r="DH209" s="118">
        <v>40</v>
      </c>
      <c r="DI209" s="118" t="s">
        <v>399</v>
      </c>
      <c r="DJ209" s="118" t="s">
        <v>398</v>
      </c>
      <c r="DK209" s="118" t="s">
        <v>400</v>
      </c>
      <c r="DL209" s="118" t="s">
        <v>6415</v>
      </c>
      <c r="DM209" s="118" t="s">
        <v>6415</v>
      </c>
      <c r="DN209" s="118" t="s">
        <v>6415</v>
      </c>
      <c r="DO209" s="118" t="s">
        <v>6415</v>
      </c>
      <c r="DP209" s="118" t="s">
        <v>6415</v>
      </c>
      <c r="DQ209" s="118" t="s">
        <v>6415</v>
      </c>
      <c r="DR209" s="118">
        <v>24</v>
      </c>
      <c r="DS209" s="118" t="s">
        <v>1068</v>
      </c>
      <c r="DT209" s="118" t="s">
        <v>6341</v>
      </c>
      <c r="DU209" s="118" t="s">
        <v>6415</v>
      </c>
      <c r="DV209" s="118" t="s">
        <v>6415</v>
      </c>
      <c r="DW209" s="118" t="s">
        <v>6415</v>
      </c>
      <c r="DX209" s="118" t="s">
        <v>6415</v>
      </c>
      <c r="DY209" s="118" t="s">
        <v>6415</v>
      </c>
      <c r="DZ209" s="118" t="s">
        <v>6415</v>
      </c>
      <c r="EA209" s="118" t="s">
        <v>6415</v>
      </c>
      <c r="EB209" s="118" t="s">
        <v>6415</v>
      </c>
      <c r="EC209" s="118" t="s">
        <v>6415</v>
      </c>
      <c r="ED209" s="118" t="s">
        <v>6415</v>
      </c>
      <c r="EE209" s="118" t="s">
        <v>6415</v>
      </c>
      <c r="EF209" s="118" t="s">
        <v>6415</v>
      </c>
      <c r="EG209" s="118" t="s">
        <v>6994</v>
      </c>
      <c r="EH209" s="118" t="s">
        <v>7175</v>
      </c>
      <c r="EI209" s="118" t="s">
        <v>6415</v>
      </c>
      <c r="EJ209" s="118" t="s">
        <v>6415</v>
      </c>
      <c r="EK209" s="118" t="s">
        <v>6415</v>
      </c>
      <c r="EL209" s="118" t="s">
        <v>7467</v>
      </c>
      <c r="EM209" s="118" t="s">
        <v>7321</v>
      </c>
      <c r="EN209" s="118" t="s">
        <v>6415</v>
      </c>
      <c r="EO209" s="6" t="str">
        <f t="shared" si="18"/>
        <v>Pathweb</v>
      </c>
      <c r="EP209" s="6" t="str">
        <f t="shared" si="19"/>
        <v>Google Maps</v>
      </c>
      <c r="EQ209" s="6" t="str">
        <f t="shared" si="20"/>
        <v>Mashed Map</v>
      </c>
      <c r="ER209" s="118" t="s">
        <v>6727</v>
      </c>
      <c r="ES209" s="118" t="s">
        <v>71</v>
      </c>
      <c r="ET209" s="4">
        <v>1E-3</v>
      </c>
      <c r="EU209" s="4"/>
      <c r="EV209" s="4"/>
    </row>
    <row r="210" spans="1:152" x14ac:dyDescent="0.15">
      <c r="A210" s="581" t="str">
        <f t="shared" si="17"/>
        <v>Crash Report</v>
      </c>
      <c r="B210" s="14">
        <v>20233192223</v>
      </c>
      <c r="C210" s="118">
        <v>2023</v>
      </c>
      <c r="D210" s="14">
        <v>23101926511530</v>
      </c>
      <c r="F210" s="118" t="s">
        <v>6442</v>
      </c>
      <c r="G210" s="118" t="s">
        <v>390</v>
      </c>
      <c r="H210" s="118">
        <v>2</v>
      </c>
      <c r="I210" s="118" t="s">
        <v>6055</v>
      </c>
      <c r="J210" s="118" t="s">
        <v>423</v>
      </c>
      <c r="K210" s="118" t="s">
        <v>6997</v>
      </c>
      <c r="L210" s="118">
        <v>0.71299999999999997</v>
      </c>
      <c r="M210" s="118">
        <v>0.71299999999999997</v>
      </c>
      <c r="N210" s="118" t="s">
        <v>7469</v>
      </c>
      <c r="O210" s="118" t="s">
        <v>7466</v>
      </c>
      <c r="P210" s="118">
        <v>41.648519</v>
      </c>
      <c r="Q210" s="118">
        <v>-83.523447000000004</v>
      </c>
      <c r="R210" s="118">
        <v>77000</v>
      </c>
      <c r="S210" s="118" t="s">
        <v>6988</v>
      </c>
      <c r="T210" s="118">
        <v>1</v>
      </c>
      <c r="U210" s="118">
        <v>0</v>
      </c>
      <c r="V210" s="118">
        <v>0</v>
      </c>
      <c r="W210" s="118">
        <v>0</v>
      </c>
      <c r="X210" s="118">
        <v>0</v>
      </c>
      <c r="Y210" s="118">
        <v>2</v>
      </c>
      <c r="Z210" s="118">
        <v>0</v>
      </c>
      <c r="AA210" s="118">
        <v>2</v>
      </c>
      <c r="AB210" s="118" t="s">
        <v>1067</v>
      </c>
      <c r="AC210" s="118" t="s">
        <v>6989</v>
      </c>
      <c r="AD210" s="118" t="s">
        <v>1034</v>
      </c>
      <c r="AE210" s="118" t="s">
        <v>943</v>
      </c>
      <c r="AF210" s="118" t="s">
        <v>1042</v>
      </c>
      <c r="AG210" s="118" t="s">
        <v>6415</v>
      </c>
      <c r="AH210" s="118" t="s">
        <v>393</v>
      </c>
      <c r="AI210" s="118">
        <v>2</v>
      </c>
      <c r="AJ210" s="118" t="s">
        <v>6415</v>
      </c>
      <c r="AK210" s="118" t="s">
        <v>393</v>
      </c>
      <c r="AL210" s="118" t="s">
        <v>393</v>
      </c>
      <c r="AM210" s="118" t="s">
        <v>393</v>
      </c>
      <c r="AN210" s="402" t="s">
        <v>5975</v>
      </c>
      <c r="AO210" s="402">
        <v>45218</v>
      </c>
      <c r="AP210" s="118">
        <v>10</v>
      </c>
      <c r="AQ210" s="118">
        <v>15</v>
      </c>
      <c r="AR210" s="118" t="s">
        <v>6447</v>
      </c>
      <c r="AS210" s="118" t="s">
        <v>420</v>
      </c>
      <c r="AT210" s="118" t="s">
        <v>225</v>
      </c>
      <c r="AU210" s="118" t="s">
        <v>404</v>
      </c>
      <c r="AV210" s="118" t="s">
        <v>508</v>
      </c>
      <c r="AW210" s="118" t="s">
        <v>393</v>
      </c>
      <c r="AX210" s="118" t="s">
        <v>740</v>
      </c>
      <c r="AY210" s="118" t="s">
        <v>393</v>
      </c>
      <c r="AZ210" s="118" t="s">
        <v>393</v>
      </c>
      <c r="BA210" s="118" t="s">
        <v>393</v>
      </c>
      <c r="BB210" s="118" t="s">
        <v>393</v>
      </c>
      <c r="BC210" s="118" t="s">
        <v>393</v>
      </c>
      <c r="BD210" s="118" t="s">
        <v>393</v>
      </c>
      <c r="BE210" s="118" t="s">
        <v>393</v>
      </c>
      <c r="BF210" s="118" t="s">
        <v>393</v>
      </c>
      <c r="BG210" s="118" t="s">
        <v>393</v>
      </c>
      <c r="BH210" s="118" t="s">
        <v>394</v>
      </c>
      <c r="BI210" s="118" t="s">
        <v>394</v>
      </c>
      <c r="BJ210" s="118" t="s">
        <v>393</v>
      </c>
      <c r="BK210" s="118" t="s">
        <v>6988</v>
      </c>
      <c r="BL210" s="118" t="s">
        <v>6415</v>
      </c>
      <c r="BM210" s="118" t="s">
        <v>6990</v>
      </c>
      <c r="BN210" s="118" t="s">
        <v>6991</v>
      </c>
      <c r="BO210" s="118" t="s">
        <v>6415</v>
      </c>
      <c r="BP210" s="118" t="s">
        <v>6415</v>
      </c>
      <c r="BQ210" s="118" t="s">
        <v>6415</v>
      </c>
      <c r="BR210" s="118" t="s">
        <v>6415</v>
      </c>
      <c r="BS210" s="118" t="s">
        <v>6415</v>
      </c>
      <c r="BT210" s="118" t="s">
        <v>6992</v>
      </c>
      <c r="BU210" s="118" t="s">
        <v>6991</v>
      </c>
      <c r="BV210" s="118" t="s">
        <v>6415</v>
      </c>
      <c r="BW210" s="118" t="s">
        <v>6415</v>
      </c>
      <c r="BX210" s="118" t="s">
        <v>6415</v>
      </c>
      <c r="BY210" s="118" t="s">
        <v>6415</v>
      </c>
      <c r="BZ210" s="118" t="s">
        <v>6415</v>
      </c>
      <c r="CA210" s="118" t="s">
        <v>6415</v>
      </c>
      <c r="CB210" s="118" t="s">
        <v>221</v>
      </c>
      <c r="CC210" s="118" t="s">
        <v>740</v>
      </c>
      <c r="CD210" s="118">
        <v>2</v>
      </c>
      <c r="CE210" s="118" t="s">
        <v>445</v>
      </c>
      <c r="CF210" s="118" t="s">
        <v>446</v>
      </c>
      <c r="CG210" s="118" t="s">
        <v>924</v>
      </c>
      <c r="CH210" s="118" t="s">
        <v>6300</v>
      </c>
      <c r="CI210" s="118" t="s">
        <v>6303</v>
      </c>
      <c r="CJ210" s="118" t="s">
        <v>398</v>
      </c>
      <c r="CK210" s="14">
        <v>10</v>
      </c>
      <c r="CL210" s="118">
        <v>35</v>
      </c>
      <c r="CM210" s="118" t="s">
        <v>399</v>
      </c>
      <c r="CN210" s="118" t="s">
        <v>6512</v>
      </c>
      <c r="CO210" s="118" t="s">
        <v>1096</v>
      </c>
      <c r="CP210" s="118" t="s">
        <v>400</v>
      </c>
      <c r="CQ210" s="118" t="s">
        <v>6415</v>
      </c>
      <c r="CR210" s="118" t="s">
        <v>6415</v>
      </c>
      <c r="CS210" s="118" t="s">
        <v>6415</v>
      </c>
      <c r="CT210" s="118" t="s">
        <v>6415</v>
      </c>
      <c r="CU210" s="118" t="s">
        <v>6415</v>
      </c>
      <c r="CV210" s="118" t="s">
        <v>6415</v>
      </c>
      <c r="CW210" s="14">
        <v>0</v>
      </c>
      <c r="CX210" s="118" t="s">
        <v>1066</v>
      </c>
      <c r="CY210" s="118" t="s">
        <v>6151</v>
      </c>
      <c r="CZ210" s="118">
        <v>1</v>
      </c>
      <c r="DA210" s="118" t="s">
        <v>445</v>
      </c>
      <c r="DB210" s="118" t="s">
        <v>446</v>
      </c>
      <c r="DC210" s="118" t="s">
        <v>6415</v>
      </c>
      <c r="DD210" s="118" t="s">
        <v>6300</v>
      </c>
      <c r="DE210" s="118" t="s">
        <v>6303</v>
      </c>
      <c r="DF210" s="118" t="s">
        <v>398</v>
      </c>
      <c r="DG210" s="118">
        <v>10</v>
      </c>
      <c r="DH210" s="118">
        <v>35</v>
      </c>
      <c r="DI210" s="118" t="s">
        <v>399</v>
      </c>
      <c r="DJ210" s="118" t="s">
        <v>398</v>
      </c>
      <c r="DK210" s="118" t="s">
        <v>400</v>
      </c>
      <c r="DL210" s="118" t="s">
        <v>6415</v>
      </c>
      <c r="DM210" s="118" t="s">
        <v>6415</v>
      </c>
      <c r="DN210" s="118" t="s">
        <v>6415</v>
      </c>
      <c r="DO210" s="118" t="s">
        <v>6415</v>
      </c>
      <c r="DP210" s="118" t="s">
        <v>6415</v>
      </c>
      <c r="DQ210" s="118" t="s">
        <v>6415</v>
      </c>
      <c r="DR210" s="118">
        <v>35</v>
      </c>
      <c r="DS210" s="118" t="s">
        <v>1066</v>
      </c>
      <c r="DT210" s="118" t="s">
        <v>6341</v>
      </c>
      <c r="DU210" s="118" t="s">
        <v>6415</v>
      </c>
      <c r="DV210" s="118" t="s">
        <v>6415</v>
      </c>
      <c r="DW210" s="118" t="s">
        <v>6415</v>
      </c>
      <c r="DX210" s="118" t="s">
        <v>6415</v>
      </c>
      <c r="DY210" s="118" t="s">
        <v>6415</v>
      </c>
      <c r="DZ210" s="118" t="s">
        <v>6415</v>
      </c>
      <c r="EA210" s="118" t="s">
        <v>6415</v>
      </c>
      <c r="EB210" s="118" t="s">
        <v>6415</v>
      </c>
      <c r="EC210" s="118" t="s">
        <v>6415</v>
      </c>
      <c r="ED210" s="118" t="s">
        <v>6415</v>
      </c>
      <c r="EE210" s="118" t="s">
        <v>6415</v>
      </c>
      <c r="EF210" s="118" t="s">
        <v>6415</v>
      </c>
      <c r="EG210" s="118" t="s">
        <v>6986</v>
      </c>
      <c r="EH210" s="118" t="s">
        <v>7168</v>
      </c>
      <c r="EI210" s="118" t="s">
        <v>6415</v>
      </c>
      <c r="EJ210" s="118" t="s">
        <v>6415</v>
      </c>
      <c r="EK210" s="118" t="s">
        <v>6415</v>
      </c>
      <c r="EL210" s="118" t="s">
        <v>7467</v>
      </c>
      <c r="EM210" s="118" t="s">
        <v>7322</v>
      </c>
      <c r="EN210" s="118" t="s">
        <v>6415</v>
      </c>
      <c r="EO210" s="6" t="str">
        <f t="shared" si="18"/>
        <v>Pathweb</v>
      </c>
      <c r="EP210" s="6" t="str">
        <f t="shared" si="19"/>
        <v>Google Maps</v>
      </c>
      <c r="EQ210" s="6" t="str">
        <f t="shared" si="20"/>
        <v>Mashed Map</v>
      </c>
      <c r="ER210" s="118" t="s">
        <v>6727</v>
      </c>
      <c r="ES210" s="118" t="s">
        <v>71</v>
      </c>
      <c r="ET210" s="4">
        <v>0</v>
      </c>
      <c r="EU210" s="4"/>
      <c r="EV210" s="4"/>
    </row>
    <row r="211" spans="1:152" x14ac:dyDescent="0.15">
      <c r="A211" s="581" t="str">
        <f t="shared" si="17"/>
        <v>Crash Report</v>
      </c>
      <c r="B211" s="118">
        <v>20233194783</v>
      </c>
      <c r="C211" s="118">
        <v>2023</v>
      </c>
      <c r="D211" s="118">
        <v>23110222701020</v>
      </c>
      <c r="F211" s="118" t="s">
        <v>6438</v>
      </c>
      <c r="G211" s="118" t="s">
        <v>211</v>
      </c>
      <c r="H211" s="118">
        <v>2</v>
      </c>
      <c r="I211" s="118" t="s">
        <v>6055</v>
      </c>
      <c r="J211" s="118" t="s">
        <v>423</v>
      </c>
      <c r="K211" s="118" t="s">
        <v>6985</v>
      </c>
      <c r="L211" s="118">
        <v>1.0660000000000001</v>
      </c>
      <c r="M211" s="118">
        <v>1.0660000000000001</v>
      </c>
      <c r="N211" s="118" t="s">
        <v>7465</v>
      </c>
      <c r="O211" s="118" t="s">
        <v>7488</v>
      </c>
      <c r="P211" s="118">
        <v>41.656852000000001</v>
      </c>
      <c r="Q211" s="118">
        <v>-83.509744999999995</v>
      </c>
      <c r="R211" s="118">
        <v>77000</v>
      </c>
      <c r="S211" s="118" t="s">
        <v>6988</v>
      </c>
      <c r="T211" s="118">
        <v>1</v>
      </c>
      <c r="U211" s="118">
        <v>1</v>
      </c>
      <c r="V211" s="118">
        <v>0</v>
      </c>
      <c r="W211" s="118">
        <v>0</v>
      </c>
      <c r="X211" s="118">
        <v>0</v>
      </c>
      <c r="Y211" s="118">
        <v>2</v>
      </c>
      <c r="Z211" s="118">
        <v>0</v>
      </c>
      <c r="AA211" s="118">
        <v>3</v>
      </c>
      <c r="AB211" s="118" t="s">
        <v>1067</v>
      </c>
      <c r="AC211" s="118" t="s">
        <v>6989</v>
      </c>
      <c r="AD211" s="118" t="s">
        <v>1034</v>
      </c>
      <c r="AE211" s="118" t="s">
        <v>943</v>
      </c>
      <c r="AF211" s="118" t="s">
        <v>1041</v>
      </c>
      <c r="AG211" s="118" t="s">
        <v>6415</v>
      </c>
      <c r="AH211" s="118" t="s">
        <v>393</v>
      </c>
      <c r="AI211" s="118">
        <v>4</v>
      </c>
      <c r="AJ211" s="118" t="s">
        <v>6415</v>
      </c>
      <c r="AK211" s="118" t="s">
        <v>393</v>
      </c>
      <c r="AL211" s="118" t="s">
        <v>393</v>
      </c>
      <c r="AM211" s="118" t="s">
        <v>393</v>
      </c>
      <c r="AN211" s="402" t="s">
        <v>5975</v>
      </c>
      <c r="AO211" s="402">
        <v>45232</v>
      </c>
      <c r="AP211" s="118">
        <v>11</v>
      </c>
      <c r="AQ211" s="118">
        <v>10</v>
      </c>
      <c r="AR211" s="118" t="s">
        <v>6447</v>
      </c>
      <c r="AS211" s="118" t="s">
        <v>392</v>
      </c>
      <c r="AT211" s="118" t="s">
        <v>500</v>
      </c>
      <c r="AU211" s="118" t="s">
        <v>404</v>
      </c>
      <c r="AV211" s="118" t="s">
        <v>509</v>
      </c>
      <c r="AW211" s="118" t="s">
        <v>740</v>
      </c>
      <c r="AX211" s="118" t="s">
        <v>740</v>
      </c>
      <c r="AY211" s="118" t="s">
        <v>393</v>
      </c>
      <c r="AZ211" s="118" t="s">
        <v>393</v>
      </c>
      <c r="BA211" s="118" t="s">
        <v>393</v>
      </c>
      <c r="BB211" s="118" t="s">
        <v>393</v>
      </c>
      <c r="BC211" s="118" t="s">
        <v>393</v>
      </c>
      <c r="BD211" s="118" t="s">
        <v>393</v>
      </c>
      <c r="BE211" s="118" t="s">
        <v>393</v>
      </c>
      <c r="BF211" s="118" t="s">
        <v>393</v>
      </c>
      <c r="BG211" s="118" t="s">
        <v>393</v>
      </c>
      <c r="BH211" s="118" t="s">
        <v>394</v>
      </c>
      <c r="BI211" s="118" t="s">
        <v>394</v>
      </c>
      <c r="BJ211" s="118" t="s">
        <v>393</v>
      </c>
      <c r="BK211" s="118" t="s">
        <v>6988</v>
      </c>
      <c r="BL211" s="118" t="s">
        <v>6415</v>
      </c>
      <c r="BM211" s="118" t="s">
        <v>6990</v>
      </c>
      <c r="BN211" s="118" t="s">
        <v>6991</v>
      </c>
      <c r="BO211" s="118" t="s">
        <v>6415</v>
      </c>
      <c r="BP211" s="118" t="s">
        <v>6415</v>
      </c>
      <c r="BQ211" s="118" t="s">
        <v>6415</v>
      </c>
      <c r="BR211" s="118" t="s">
        <v>6415</v>
      </c>
      <c r="BS211" s="118" t="s">
        <v>6415</v>
      </c>
      <c r="BT211" s="118" t="s">
        <v>7125</v>
      </c>
      <c r="BU211" s="118" t="s">
        <v>6415</v>
      </c>
      <c r="BV211" s="118" t="s">
        <v>6415</v>
      </c>
      <c r="BW211" s="118" t="s">
        <v>7126</v>
      </c>
      <c r="BX211" s="118">
        <v>280</v>
      </c>
      <c r="BY211" s="118" t="s">
        <v>6415</v>
      </c>
      <c r="BZ211" s="118" t="s">
        <v>6415</v>
      </c>
      <c r="CA211" s="118" t="s">
        <v>6415</v>
      </c>
      <c r="CB211" s="118" t="s">
        <v>221</v>
      </c>
      <c r="CC211" s="118" t="s">
        <v>740</v>
      </c>
      <c r="CD211" s="118">
        <v>1</v>
      </c>
      <c r="CE211" s="118" t="s">
        <v>411</v>
      </c>
      <c r="CF211" s="118" t="s">
        <v>410</v>
      </c>
      <c r="CG211" s="118" t="s">
        <v>924</v>
      </c>
      <c r="CH211" s="118" t="s">
        <v>6300</v>
      </c>
      <c r="CI211" s="118" t="s">
        <v>6305</v>
      </c>
      <c r="CJ211" s="118" t="s">
        <v>398</v>
      </c>
      <c r="CK211" s="118">
        <v>0</v>
      </c>
      <c r="CL211" s="118">
        <v>45</v>
      </c>
      <c r="CM211" s="118" t="s">
        <v>399</v>
      </c>
      <c r="CN211" s="118" t="s">
        <v>407</v>
      </c>
      <c r="CO211" s="118" t="s">
        <v>459</v>
      </c>
      <c r="CP211" s="118" t="s">
        <v>418</v>
      </c>
      <c r="CQ211" s="118" t="s">
        <v>459</v>
      </c>
      <c r="CR211" s="118" t="s">
        <v>535</v>
      </c>
      <c r="CS211" s="118" t="s">
        <v>400</v>
      </c>
      <c r="CT211" s="118" t="s">
        <v>400</v>
      </c>
      <c r="CU211" s="118" t="s">
        <v>6415</v>
      </c>
      <c r="CV211" s="118" t="s">
        <v>6415</v>
      </c>
      <c r="CW211" s="118">
        <v>55</v>
      </c>
      <c r="CX211" s="118" t="s">
        <v>1068</v>
      </c>
      <c r="CY211" s="118" t="s">
        <v>6151</v>
      </c>
      <c r="CZ211" s="118">
        <v>2</v>
      </c>
      <c r="DA211" s="118" t="s">
        <v>405</v>
      </c>
      <c r="DB211" s="118" t="s">
        <v>406</v>
      </c>
      <c r="DC211" s="118" t="s">
        <v>6415</v>
      </c>
      <c r="DD211" s="118" t="s">
        <v>6300</v>
      </c>
      <c r="DE211" s="118" t="s">
        <v>6315</v>
      </c>
      <c r="DF211" s="118" t="s">
        <v>398</v>
      </c>
      <c r="DG211" s="118">
        <v>0</v>
      </c>
      <c r="DH211" s="118">
        <v>35</v>
      </c>
      <c r="DI211" s="118" t="s">
        <v>6355</v>
      </c>
      <c r="DJ211" s="118" t="s">
        <v>398</v>
      </c>
      <c r="DK211" s="118" t="s">
        <v>400</v>
      </c>
      <c r="DL211" s="118" t="s">
        <v>6415</v>
      </c>
      <c r="DM211" s="118" t="s">
        <v>6415</v>
      </c>
      <c r="DN211" s="118" t="s">
        <v>6415</v>
      </c>
      <c r="DO211" s="118" t="s">
        <v>6415</v>
      </c>
      <c r="DP211" s="118" t="s">
        <v>6415</v>
      </c>
      <c r="DQ211" s="118" t="s">
        <v>6415</v>
      </c>
      <c r="DR211" s="118">
        <v>60</v>
      </c>
      <c r="DS211" s="118" t="s">
        <v>1068</v>
      </c>
      <c r="DT211" s="118" t="s">
        <v>6341</v>
      </c>
      <c r="DU211" s="118">
        <v>3</v>
      </c>
      <c r="DV211" s="118" t="s">
        <v>6300</v>
      </c>
      <c r="DW211" s="118" t="s">
        <v>6305</v>
      </c>
      <c r="DX211" s="118" t="s">
        <v>398</v>
      </c>
      <c r="DY211" s="118" t="s">
        <v>6355</v>
      </c>
      <c r="DZ211" s="118" t="s">
        <v>398</v>
      </c>
      <c r="EA211" s="118" t="s">
        <v>400</v>
      </c>
      <c r="EB211" s="118" t="s">
        <v>6415</v>
      </c>
      <c r="EC211" s="118" t="s">
        <v>6415</v>
      </c>
      <c r="ED211" s="118" t="s">
        <v>6415</v>
      </c>
      <c r="EE211" s="118" t="s">
        <v>6415</v>
      </c>
      <c r="EF211" s="118" t="s">
        <v>6415</v>
      </c>
      <c r="EG211" s="118" t="s">
        <v>7006</v>
      </c>
      <c r="EH211" s="118" t="s">
        <v>7007</v>
      </c>
      <c r="EI211" s="118" t="s">
        <v>6415</v>
      </c>
      <c r="EJ211" s="118" t="s">
        <v>6415</v>
      </c>
      <c r="EK211" s="118" t="s">
        <v>6415</v>
      </c>
      <c r="EL211" s="118" t="s">
        <v>7467</v>
      </c>
      <c r="EM211" s="118" t="s">
        <v>7323</v>
      </c>
      <c r="EN211" s="118" t="s">
        <v>6415</v>
      </c>
      <c r="EO211" s="6" t="str">
        <f t="shared" si="18"/>
        <v>Pathweb</v>
      </c>
      <c r="EP211" s="6" t="str">
        <f t="shared" si="19"/>
        <v>Google Maps</v>
      </c>
      <c r="EQ211" s="6" t="str">
        <f t="shared" si="20"/>
        <v>Mashed Map</v>
      </c>
      <c r="ER211" s="118" t="s">
        <v>6727</v>
      </c>
      <c r="ES211" s="118" t="s">
        <v>6728</v>
      </c>
      <c r="ET211" s="4">
        <v>0</v>
      </c>
      <c r="EU211" s="4"/>
      <c r="EV211" s="4"/>
    </row>
    <row r="212" spans="1:152" x14ac:dyDescent="0.15">
      <c r="A212" s="581" t="str">
        <f t="shared" si="17"/>
        <v>Crash Report</v>
      </c>
      <c r="B212" s="118">
        <v>20233194800</v>
      </c>
      <c r="C212" s="118">
        <v>2023</v>
      </c>
      <c r="D212" s="118">
        <v>23110228771451</v>
      </c>
      <c r="F212" s="118" t="s">
        <v>6442</v>
      </c>
      <c r="G212" s="118" t="s">
        <v>230</v>
      </c>
      <c r="H212" s="118">
        <v>2</v>
      </c>
      <c r="I212" s="118" t="s">
        <v>6055</v>
      </c>
      <c r="J212" s="118" t="s">
        <v>484</v>
      </c>
      <c r="K212" s="118" t="s">
        <v>6997</v>
      </c>
      <c r="L212" s="118">
        <v>0.71299999999999997</v>
      </c>
      <c r="M212" s="118">
        <v>0.71299999999999997</v>
      </c>
      <c r="N212" s="118" t="s">
        <v>7469</v>
      </c>
      <c r="O212" s="118" t="s">
        <v>7466</v>
      </c>
      <c r="P212" s="118">
        <v>41.648519</v>
      </c>
      <c r="Q212" s="118">
        <v>-83.523447000000004</v>
      </c>
      <c r="R212" s="118">
        <v>77000</v>
      </c>
      <c r="S212" s="118" t="s">
        <v>6988</v>
      </c>
      <c r="T212" s="118">
        <v>1</v>
      </c>
      <c r="U212" s="118">
        <v>0</v>
      </c>
      <c r="V212" s="118">
        <v>0</v>
      </c>
      <c r="W212" s="118">
        <v>0</v>
      </c>
      <c r="X212" s="118">
        <v>0</v>
      </c>
      <c r="Y212" s="118">
        <v>3</v>
      </c>
      <c r="Z212" s="118">
        <v>1</v>
      </c>
      <c r="AA212" s="118">
        <v>2</v>
      </c>
      <c r="AB212" s="118" t="s">
        <v>1067</v>
      </c>
      <c r="AC212" s="118" t="s">
        <v>6989</v>
      </c>
      <c r="AD212" s="118" t="s">
        <v>1034</v>
      </c>
      <c r="AE212" s="118" t="s">
        <v>943</v>
      </c>
      <c r="AF212" s="118" t="s">
        <v>1042</v>
      </c>
      <c r="AG212" s="118" t="s">
        <v>6415</v>
      </c>
      <c r="AH212" s="118" t="s">
        <v>393</v>
      </c>
      <c r="AI212" s="118">
        <v>2</v>
      </c>
      <c r="AJ212" s="118" t="s">
        <v>6415</v>
      </c>
      <c r="AK212" s="118" t="s">
        <v>393</v>
      </c>
      <c r="AL212" s="118" t="s">
        <v>393</v>
      </c>
      <c r="AM212" s="118" t="s">
        <v>393</v>
      </c>
      <c r="AN212" s="402" t="s">
        <v>5975</v>
      </c>
      <c r="AO212" s="402">
        <v>45232</v>
      </c>
      <c r="AP212" s="118">
        <v>11</v>
      </c>
      <c r="AQ212" s="118">
        <v>14</v>
      </c>
      <c r="AR212" s="118" t="s">
        <v>6447</v>
      </c>
      <c r="AS212" s="118" t="s">
        <v>392</v>
      </c>
      <c r="AT212" s="118" t="s">
        <v>500</v>
      </c>
      <c r="AU212" s="118" t="s">
        <v>404</v>
      </c>
      <c r="AV212" s="118" t="s">
        <v>508</v>
      </c>
      <c r="AW212" s="118" t="s">
        <v>393</v>
      </c>
      <c r="AX212" s="118" t="s">
        <v>740</v>
      </c>
      <c r="AY212" s="118" t="s">
        <v>393</v>
      </c>
      <c r="AZ212" s="118" t="s">
        <v>393</v>
      </c>
      <c r="BA212" s="118" t="s">
        <v>393</v>
      </c>
      <c r="BB212" s="118" t="s">
        <v>393</v>
      </c>
      <c r="BC212" s="118" t="s">
        <v>393</v>
      </c>
      <c r="BD212" s="118" t="s">
        <v>393</v>
      </c>
      <c r="BE212" s="118" t="s">
        <v>393</v>
      </c>
      <c r="BF212" s="118" t="s">
        <v>393</v>
      </c>
      <c r="BG212" s="118" t="s">
        <v>393</v>
      </c>
      <c r="BH212" s="118" t="s">
        <v>394</v>
      </c>
      <c r="BI212" s="118" t="s">
        <v>394</v>
      </c>
      <c r="BJ212" s="118" t="s">
        <v>393</v>
      </c>
      <c r="BK212" s="118" t="s">
        <v>6988</v>
      </c>
      <c r="BL212" s="118" t="s">
        <v>6415</v>
      </c>
      <c r="BM212" s="118" t="s">
        <v>6990</v>
      </c>
      <c r="BN212" s="118" t="s">
        <v>6991</v>
      </c>
      <c r="BO212" s="118" t="s">
        <v>6415</v>
      </c>
      <c r="BP212" s="118" t="s">
        <v>6415</v>
      </c>
      <c r="BQ212" s="118" t="s">
        <v>6415</v>
      </c>
      <c r="BR212" s="118" t="s">
        <v>6415</v>
      </c>
      <c r="BS212" s="118" t="s">
        <v>6415</v>
      </c>
      <c r="BT212" s="118" t="s">
        <v>6992</v>
      </c>
      <c r="BU212" s="118" t="s">
        <v>6991</v>
      </c>
      <c r="BV212" s="118" t="s">
        <v>6415</v>
      </c>
      <c r="BW212" s="118" t="s">
        <v>6415</v>
      </c>
      <c r="BX212" s="118" t="s">
        <v>6415</v>
      </c>
      <c r="BY212" s="118" t="s">
        <v>6415</v>
      </c>
      <c r="BZ212" s="118" t="s">
        <v>6415</v>
      </c>
      <c r="CA212" s="118" t="s">
        <v>6415</v>
      </c>
      <c r="CB212" s="118" t="s">
        <v>221</v>
      </c>
      <c r="CC212" s="118" t="s">
        <v>740</v>
      </c>
      <c r="CD212" s="118">
        <v>1</v>
      </c>
      <c r="CE212" s="118" t="s">
        <v>396</v>
      </c>
      <c r="CF212" s="118" t="s">
        <v>445</v>
      </c>
      <c r="CG212" s="118" t="s">
        <v>230</v>
      </c>
      <c r="CH212" s="118" t="s">
        <v>6299</v>
      </c>
      <c r="CI212" s="118" t="s">
        <v>417</v>
      </c>
      <c r="CJ212" s="118" t="s">
        <v>398</v>
      </c>
      <c r="CK212" s="118">
        <v>0</v>
      </c>
      <c r="CL212" s="118">
        <v>0</v>
      </c>
      <c r="CM212" s="118" t="s">
        <v>436</v>
      </c>
      <c r="CN212" s="118" t="s">
        <v>6327</v>
      </c>
      <c r="CO212" s="118" t="s">
        <v>1096</v>
      </c>
      <c r="CP212" s="118" t="s">
        <v>400</v>
      </c>
      <c r="CQ212" s="118" t="s">
        <v>6415</v>
      </c>
      <c r="CR212" s="118" t="s">
        <v>6415</v>
      </c>
      <c r="CS212" s="118" t="s">
        <v>6415</v>
      </c>
      <c r="CT212" s="118" t="s">
        <v>6415</v>
      </c>
      <c r="CU212" s="118" t="s">
        <v>6415</v>
      </c>
      <c r="CV212" s="118" t="s">
        <v>6415</v>
      </c>
      <c r="CW212" s="118">
        <v>51</v>
      </c>
      <c r="CX212" s="118" t="s">
        <v>1066</v>
      </c>
      <c r="CY212" s="118" t="s">
        <v>6151</v>
      </c>
      <c r="CZ212" s="118">
        <v>2</v>
      </c>
      <c r="DA212" s="118" t="s">
        <v>397</v>
      </c>
      <c r="DB212" s="118" t="s">
        <v>396</v>
      </c>
      <c r="DC212" s="118" t="s">
        <v>6415</v>
      </c>
      <c r="DD212" s="118" t="s">
        <v>6300</v>
      </c>
      <c r="DE212" s="118" t="s">
        <v>6303</v>
      </c>
      <c r="DF212" s="118" t="s">
        <v>398</v>
      </c>
      <c r="DG212" s="118" t="s">
        <v>6415</v>
      </c>
      <c r="DH212" s="118" t="s">
        <v>6415</v>
      </c>
      <c r="DI212" s="118" t="s">
        <v>399</v>
      </c>
      <c r="DJ212" s="118" t="s">
        <v>398</v>
      </c>
      <c r="DK212" s="118" t="s">
        <v>400</v>
      </c>
      <c r="DL212" s="118" t="s">
        <v>6415</v>
      </c>
      <c r="DM212" s="118" t="s">
        <v>6415</v>
      </c>
      <c r="DN212" s="118" t="s">
        <v>6415</v>
      </c>
      <c r="DO212" s="118" t="s">
        <v>6415</v>
      </c>
      <c r="DP212" s="118" t="s">
        <v>6415</v>
      </c>
      <c r="DQ212" s="118" t="s">
        <v>6415</v>
      </c>
      <c r="DR212" s="118">
        <v>51</v>
      </c>
      <c r="DS212" s="118" t="s">
        <v>1066</v>
      </c>
      <c r="DT212" s="118" t="s">
        <v>6341</v>
      </c>
      <c r="DU212" s="118" t="s">
        <v>6415</v>
      </c>
      <c r="DV212" s="118" t="s">
        <v>6415</v>
      </c>
      <c r="DW212" s="118" t="s">
        <v>6415</v>
      </c>
      <c r="DX212" s="118" t="s">
        <v>6415</v>
      </c>
      <c r="DY212" s="118" t="s">
        <v>6415</v>
      </c>
      <c r="DZ212" s="118" t="s">
        <v>6415</v>
      </c>
      <c r="EA212" s="118" t="s">
        <v>6415</v>
      </c>
      <c r="EB212" s="118" t="s">
        <v>6415</v>
      </c>
      <c r="EC212" s="118" t="s">
        <v>6415</v>
      </c>
      <c r="ED212" s="118" t="s">
        <v>6415</v>
      </c>
      <c r="EE212" s="118" t="s">
        <v>6415</v>
      </c>
      <c r="EF212" s="118" t="s">
        <v>6415</v>
      </c>
      <c r="EG212" s="118" t="s">
        <v>6986</v>
      </c>
      <c r="EH212" s="118" t="s">
        <v>7168</v>
      </c>
      <c r="EI212" s="118" t="s">
        <v>6415</v>
      </c>
      <c r="EJ212" s="118" t="s">
        <v>6415</v>
      </c>
      <c r="EK212" s="118" t="s">
        <v>6415</v>
      </c>
      <c r="EL212" s="118" t="s">
        <v>7467</v>
      </c>
      <c r="EM212" s="118" t="s">
        <v>7324</v>
      </c>
      <c r="EN212" s="118" t="s">
        <v>6415</v>
      </c>
      <c r="EO212" s="6" t="str">
        <f t="shared" si="18"/>
        <v>Pathweb</v>
      </c>
      <c r="EP212" s="6" t="str">
        <f t="shared" si="19"/>
        <v>Google Maps</v>
      </c>
      <c r="EQ212" s="6" t="str">
        <f t="shared" si="20"/>
        <v>Mashed Map</v>
      </c>
      <c r="ER212" s="118" t="s">
        <v>6727</v>
      </c>
      <c r="ES212" s="118" t="s">
        <v>71</v>
      </c>
      <c r="ET212" s="4">
        <v>0</v>
      </c>
      <c r="EU212" s="4"/>
      <c r="EV212" s="4"/>
    </row>
    <row r="213" spans="1:152" x14ac:dyDescent="0.15">
      <c r="A213" s="581" t="str">
        <f t="shared" ref="A213:A276" si="21">IF(C213*1&gt;2010,HYPERLINK(EM213,"Crash Report"),IF(EM213="","","Restricted Access"))</f>
        <v>Crash Report</v>
      </c>
      <c r="B213" s="14">
        <v>20233211229</v>
      </c>
      <c r="C213" s="118">
        <v>2023</v>
      </c>
      <c r="D213" s="14">
        <v>23103122792320</v>
      </c>
      <c r="F213" s="118" t="s">
        <v>6442</v>
      </c>
      <c r="G213" s="118" t="s">
        <v>416</v>
      </c>
      <c r="H213" s="118">
        <v>2</v>
      </c>
      <c r="I213" s="118" t="s">
        <v>6055</v>
      </c>
      <c r="J213" s="118" t="s">
        <v>391</v>
      </c>
      <c r="K213" s="118" t="s">
        <v>6997</v>
      </c>
      <c r="L213" s="118">
        <v>0.88400000000000001</v>
      </c>
      <c r="M213" s="118">
        <v>0.88400000000000001</v>
      </c>
      <c r="N213" s="118" t="s">
        <v>7469</v>
      </c>
      <c r="O213" s="118" t="s">
        <v>7486</v>
      </c>
      <c r="P213" s="118">
        <v>41.650441000000001</v>
      </c>
      <c r="Q213" s="118">
        <v>-83.525518000000005</v>
      </c>
      <c r="R213" s="118">
        <v>77000</v>
      </c>
      <c r="S213" s="118" t="s">
        <v>6988</v>
      </c>
      <c r="T213" s="118">
        <v>1</v>
      </c>
      <c r="U213" s="118">
        <v>0</v>
      </c>
      <c r="V213" s="118">
        <v>0</v>
      </c>
      <c r="W213" s="118">
        <v>0</v>
      </c>
      <c r="X213" s="118">
        <v>0</v>
      </c>
      <c r="Y213" s="118">
        <v>1</v>
      </c>
      <c r="Z213" s="118">
        <v>0</v>
      </c>
      <c r="AA213" s="118">
        <v>1</v>
      </c>
      <c r="AB213" s="118" t="s">
        <v>1067</v>
      </c>
      <c r="AC213" s="118" t="s">
        <v>6989</v>
      </c>
      <c r="AD213" s="118" t="s">
        <v>1034</v>
      </c>
      <c r="AE213" s="118" t="s">
        <v>943</v>
      </c>
      <c r="AF213" s="118" t="s">
        <v>1041</v>
      </c>
      <c r="AG213" s="118" t="s">
        <v>6415</v>
      </c>
      <c r="AH213" s="118" t="s">
        <v>393</v>
      </c>
      <c r="AI213" s="118">
        <v>2</v>
      </c>
      <c r="AJ213" s="118" t="s">
        <v>6415</v>
      </c>
      <c r="AK213" s="118" t="s">
        <v>393</v>
      </c>
      <c r="AL213" s="118" t="s">
        <v>393</v>
      </c>
      <c r="AM213" s="118" t="s">
        <v>393</v>
      </c>
      <c r="AN213" s="402" t="s">
        <v>5975</v>
      </c>
      <c r="AO213" s="402">
        <v>45230</v>
      </c>
      <c r="AP213" s="118">
        <v>10</v>
      </c>
      <c r="AQ213" s="118">
        <v>23</v>
      </c>
      <c r="AR213" s="118" t="s">
        <v>6445</v>
      </c>
      <c r="AS213" s="118" t="s">
        <v>430</v>
      </c>
      <c r="AT213" s="118" t="s">
        <v>430</v>
      </c>
      <c r="AU213" s="118" t="s">
        <v>505</v>
      </c>
      <c r="AV213" s="118" t="s">
        <v>509</v>
      </c>
      <c r="AW213" s="118" t="s">
        <v>740</v>
      </c>
      <c r="AX213" s="118" t="s">
        <v>393</v>
      </c>
      <c r="AY213" s="118" t="s">
        <v>393</v>
      </c>
      <c r="AZ213" s="118" t="s">
        <v>393</v>
      </c>
      <c r="BA213" s="118" t="s">
        <v>393</v>
      </c>
      <c r="BB213" s="118" t="s">
        <v>393</v>
      </c>
      <c r="BC213" s="118" t="s">
        <v>393</v>
      </c>
      <c r="BD213" s="118" t="s">
        <v>740</v>
      </c>
      <c r="BE213" s="118" t="s">
        <v>393</v>
      </c>
      <c r="BF213" s="118" t="s">
        <v>393</v>
      </c>
      <c r="BG213" s="118" t="s">
        <v>393</v>
      </c>
      <c r="BH213" s="118" t="s">
        <v>394</v>
      </c>
      <c r="BI213" s="118" t="s">
        <v>394</v>
      </c>
      <c r="BJ213" s="118" t="s">
        <v>393</v>
      </c>
      <c r="BK213" s="118" t="s">
        <v>6988</v>
      </c>
      <c r="BL213" s="118" t="s">
        <v>6415</v>
      </c>
      <c r="BM213" s="118" t="s">
        <v>6992</v>
      </c>
      <c r="BN213" s="118" t="s">
        <v>6991</v>
      </c>
      <c r="BO213" s="118" t="s">
        <v>6415</v>
      </c>
      <c r="BP213" s="118" t="s">
        <v>6415</v>
      </c>
      <c r="BQ213" s="118" t="s">
        <v>6415</v>
      </c>
      <c r="BR213" s="118" t="s">
        <v>6415</v>
      </c>
      <c r="BS213" s="118" t="s">
        <v>6415</v>
      </c>
      <c r="BT213" s="118" t="s">
        <v>7110</v>
      </c>
      <c r="BU213" s="118" t="s">
        <v>1390</v>
      </c>
      <c r="BV213" s="118" t="s">
        <v>6415</v>
      </c>
      <c r="BW213" s="118" t="s">
        <v>6415</v>
      </c>
      <c r="BX213" s="118" t="s">
        <v>6415</v>
      </c>
      <c r="BY213" s="118" t="s">
        <v>6415</v>
      </c>
      <c r="BZ213" s="118" t="s">
        <v>6415</v>
      </c>
      <c r="CA213" s="118" t="s">
        <v>6415</v>
      </c>
      <c r="CB213" s="118" t="s">
        <v>221</v>
      </c>
      <c r="CC213" s="118" t="s">
        <v>740</v>
      </c>
      <c r="CD213" s="118">
        <v>1</v>
      </c>
      <c r="CE213" s="118" t="s">
        <v>445</v>
      </c>
      <c r="CF213" s="118" t="s">
        <v>446</v>
      </c>
      <c r="CG213" s="118" t="s">
        <v>924</v>
      </c>
      <c r="CH213" s="118" t="s">
        <v>6302</v>
      </c>
      <c r="CI213" s="118" t="s">
        <v>6304</v>
      </c>
      <c r="CJ213" s="118" t="s">
        <v>6151</v>
      </c>
      <c r="CK213" s="14">
        <v>45</v>
      </c>
      <c r="CL213" s="118">
        <v>35</v>
      </c>
      <c r="CM213" s="118" t="s">
        <v>408</v>
      </c>
      <c r="CN213" s="118" t="s">
        <v>425</v>
      </c>
      <c r="CO213" s="118" t="s">
        <v>427</v>
      </c>
      <c r="CP213" s="118" t="s">
        <v>427</v>
      </c>
      <c r="CQ213" s="118" t="s">
        <v>460</v>
      </c>
      <c r="CR213" s="118" t="s">
        <v>6415</v>
      </c>
      <c r="CS213" s="118" t="s">
        <v>6415</v>
      </c>
      <c r="CT213" s="118" t="s">
        <v>6415</v>
      </c>
      <c r="CU213" s="118" t="s">
        <v>6415</v>
      </c>
      <c r="CV213" s="118" t="s">
        <v>6415</v>
      </c>
      <c r="CW213" s="14">
        <v>0</v>
      </c>
      <c r="CX213" s="118" t="s">
        <v>401</v>
      </c>
      <c r="CY213" s="118" t="s">
        <v>6151</v>
      </c>
      <c r="CZ213" s="118" t="s">
        <v>6415</v>
      </c>
      <c r="DA213" s="118" t="s">
        <v>6415</v>
      </c>
      <c r="DB213" s="118" t="s">
        <v>6415</v>
      </c>
      <c r="DC213" s="118" t="s">
        <v>6415</v>
      </c>
      <c r="DD213" s="118" t="s">
        <v>6415</v>
      </c>
      <c r="DE213" s="118" t="s">
        <v>6415</v>
      </c>
      <c r="DF213" s="118" t="s">
        <v>6415</v>
      </c>
      <c r="DG213" s="118" t="s">
        <v>6415</v>
      </c>
      <c r="DH213" s="118" t="s">
        <v>6415</v>
      </c>
      <c r="DI213" s="118" t="s">
        <v>6415</v>
      </c>
      <c r="DJ213" s="118" t="s">
        <v>6415</v>
      </c>
      <c r="DK213" s="118" t="s">
        <v>6415</v>
      </c>
      <c r="DL213" s="118" t="s">
        <v>6415</v>
      </c>
      <c r="DM213" s="118" t="s">
        <v>6415</v>
      </c>
      <c r="DN213" s="118" t="s">
        <v>6415</v>
      </c>
      <c r="DO213" s="118" t="s">
        <v>6415</v>
      </c>
      <c r="DP213" s="118" t="s">
        <v>6415</v>
      </c>
      <c r="DQ213" s="118" t="s">
        <v>6415</v>
      </c>
      <c r="DR213" s="118">
        <v>0</v>
      </c>
      <c r="DS213" s="118" t="s">
        <v>6415</v>
      </c>
      <c r="DT213" s="118" t="s">
        <v>6415</v>
      </c>
      <c r="DU213" s="118" t="s">
        <v>6415</v>
      </c>
      <c r="DV213" s="118" t="s">
        <v>6415</v>
      </c>
      <c r="DW213" s="118" t="s">
        <v>6415</v>
      </c>
      <c r="DX213" s="118" t="s">
        <v>6415</v>
      </c>
      <c r="DY213" s="118" t="s">
        <v>6415</v>
      </c>
      <c r="DZ213" s="118" t="s">
        <v>6415</v>
      </c>
      <c r="EA213" s="118" t="s">
        <v>6415</v>
      </c>
      <c r="EB213" s="118" t="s">
        <v>6415</v>
      </c>
      <c r="EC213" s="118" t="s">
        <v>6415</v>
      </c>
      <c r="ED213" s="118" t="s">
        <v>6415</v>
      </c>
      <c r="EE213" s="118" t="s">
        <v>6415</v>
      </c>
      <c r="EF213" s="118" t="s">
        <v>6415</v>
      </c>
      <c r="EG213" s="118" t="s">
        <v>7055</v>
      </c>
      <c r="EH213" s="118" t="s">
        <v>7056</v>
      </c>
      <c r="EI213" s="118" t="s">
        <v>6415</v>
      </c>
      <c r="EJ213" s="118" t="s">
        <v>6415</v>
      </c>
      <c r="EK213" s="118" t="s">
        <v>6415</v>
      </c>
      <c r="EL213" s="118" t="s">
        <v>7467</v>
      </c>
      <c r="EM213" s="118" t="s">
        <v>7325</v>
      </c>
      <c r="EN213" s="118" t="s">
        <v>6415</v>
      </c>
      <c r="EO213" s="6" t="str">
        <f t="shared" ref="EO213:EO276" si="22">+HYPERLINK(CONCATENATE("http://pathweb.pathwayservices.com/ohiopublic/?nlfid='",+K213,"'&amp;logpoint=",+L213),"Pathweb")</f>
        <v>Pathweb</v>
      </c>
      <c r="EP213" s="6" t="str">
        <f t="shared" ref="EP213:EP276" si="23">HYPERLINK(CONCATENATE("http://maps.google.com/maps?q=",+P213,",+",+Q213,"+(Crash+Location)&amp;iwloc=A&amp;hl=en"),"Google Maps")</f>
        <v>Google Maps</v>
      </c>
      <c r="EQ213" s="6" t="str">
        <f t="shared" ref="EQ213:EQ276" si="24">HYPERLINK(CONCATENATE("http://data.mashedworld.com/dualmaps/map.htm?x=",Q213,"&amp;y=",P213,"&amp;z=15&amp;gm=0&amp;ve=5&amp;gc=0&amp;bz=1&amp;bd=0&amp;mw=1&amp;sv=1&amp;svb=0&amp;svp=0&amp;svz=0&amp;svm=2&amp;svf=0"),"Mashed Map")</f>
        <v>Mashed Map</v>
      </c>
      <c r="ER213" s="118" t="s">
        <v>6726</v>
      </c>
      <c r="ES213" s="118" t="s">
        <v>71</v>
      </c>
      <c r="ET213" s="4">
        <v>0</v>
      </c>
      <c r="EU213" s="4"/>
      <c r="EV213" s="4"/>
    </row>
    <row r="214" spans="1:152" x14ac:dyDescent="0.15">
      <c r="A214" s="581" t="str">
        <f t="shared" si="21"/>
        <v>Crash Report</v>
      </c>
      <c r="B214" s="14">
        <v>20233214507</v>
      </c>
      <c r="C214" s="118">
        <v>2023</v>
      </c>
      <c r="D214" s="14">
        <v>23112629761242</v>
      </c>
      <c r="F214" s="118" t="s">
        <v>6442</v>
      </c>
      <c r="G214" s="118" t="s">
        <v>416</v>
      </c>
      <c r="H214" s="118">
        <v>2</v>
      </c>
      <c r="I214" s="118" t="s">
        <v>6055</v>
      </c>
      <c r="J214" s="118" t="s">
        <v>391</v>
      </c>
      <c r="K214" s="118" t="s">
        <v>6985</v>
      </c>
      <c r="L214" s="118">
        <v>3.4000000000000002E-2</v>
      </c>
      <c r="M214" s="118">
        <v>3.4000000000000002E-2</v>
      </c>
      <c r="N214" s="118" t="s">
        <v>7465</v>
      </c>
      <c r="O214" s="118">
        <v>412</v>
      </c>
      <c r="P214" s="118">
        <v>41.647478</v>
      </c>
      <c r="Q214" s="118">
        <v>-83.525188999999997</v>
      </c>
      <c r="R214" s="118">
        <v>77000</v>
      </c>
      <c r="S214" s="118" t="s">
        <v>6988</v>
      </c>
      <c r="T214" s="118">
        <v>1</v>
      </c>
      <c r="U214" s="118">
        <v>0</v>
      </c>
      <c r="V214" s="118">
        <v>0</v>
      </c>
      <c r="W214" s="118">
        <v>0</v>
      </c>
      <c r="X214" s="118">
        <v>0</v>
      </c>
      <c r="Y214" s="118">
        <v>2</v>
      </c>
      <c r="Z214" s="118">
        <v>0</v>
      </c>
      <c r="AA214" s="118">
        <v>1</v>
      </c>
      <c r="AB214" s="118" t="s">
        <v>1067</v>
      </c>
      <c r="AC214" s="118" t="s">
        <v>6989</v>
      </c>
      <c r="AD214" s="118" t="s">
        <v>1034</v>
      </c>
      <c r="AE214" s="118" t="s">
        <v>943</v>
      </c>
      <c r="AF214" s="118" t="s">
        <v>1042</v>
      </c>
      <c r="AG214" s="118" t="s">
        <v>6415</v>
      </c>
      <c r="AH214" s="118" t="s">
        <v>393</v>
      </c>
      <c r="AI214" s="118">
        <v>4</v>
      </c>
      <c r="AJ214" s="118" t="s">
        <v>6415</v>
      </c>
      <c r="AK214" s="118" t="s">
        <v>393</v>
      </c>
      <c r="AL214" s="118" t="s">
        <v>393</v>
      </c>
      <c r="AM214" s="118" t="s">
        <v>393</v>
      </c>
      <c r="AN214" s="402" t="s">
        <v>5975</v>
      </c>
      <c r="AO214" s="402">
        <v>45256</v>
      </c>
      <c r="AP214" s="118">
        <v>11</v>
      </c>
      <c r="AQ214" s="118">
        <v>12</v>
      </c>
      <c r="AR214" s="118" t="s">
        <v>6443</v>
      </c>
      <c r="AS214" s="118" t="s">
        <v>420</v>
      </c>
      <c r="AT214" s="118" t="s">
        <v>225</v>
      </c>
      <c r="AU214" s="118" t="s">
        <v>404</v>
      </c>
      <c r="AV214" s="118" t="s">
        <v>510</v>
      </c>
      <c r="AW214" s="118" t="s">
        <v>740</v>
      </c>
      <c r="AX214" s="118" t="s">
        <v>740</v>
      </c>
      <c r="AY214" s="118" t="s">
        <v>393</v>
      </c>
      <c r="AZ214" s="118" t="s">
        <v>393</v>
      </c>
      <c r="BA214" s="118" t="s">
        <v>393</v>
      </c>
      <c r="BB214" s="118" t="s">
        <v>393</v>
      </c>
      <c r="BC214" s="118" t="s">
        <v>393</v>
      </c>
      <c r="BD214" s="118" t="s">
        <v>740</v>
      </c>
      <c r="BE214" s="118" t="s">
        <v>393</v>
      </c>
      <c r="BF214" s="118" t="s">
        <v>740</v>
      </c>
      <c r="BG214" s="118" t="s">
        <v>393</v>
      </c>
      <c r="BH214" s="118" t="s">
        <v>394</v>
      </c>
      <c r="BI214" s="118" t="s">
        <v>394</v>
      </c>
      <c r="BJ214" s="118" t="s">
        <v>393</v>
      </c>
      <c r="BK214" s="118" t="s">
        <v>6988</v>
      </c>
      <c r="BL214" s="118" t="s">
        <v>6415</v>
      </c>
      <c r="BM214" s="118" t="s">
        <v>6990</v>
      </c>
      <c r="BN214" s="118" t="s">
        <v>6991</v>
      </c>
      <c r="BO214" s="118" t="s">
        <v>6415</v>
      </c>
      <c r="BP214" s="118" t="s">
        <v>6415</v>
      </c>
      <c r="BQ214" s="118" t="s">
        <v>6415</v>
      </c>
      <c r="BR214" s="118" t="s">
        <v>6415</v>
      </c>
      <c r="BS214" s="118" t="s">
        <v>6415</v>
      </c>
      <c r="BT214" s="118" t="s">
        <v>7327</v>
      </c>
      <c r="BU214" s="118" t="s">
        <v>6415</v>
      </c>
      <c r="BV214" s="118" t="s">
        <v>6415</v>
      </c>
      <c r="BW214" s="118" t="s">
        <v>6415</v>
      </c>
      <c r="BX214" s="118" t="s">
        <v>6415</v>
      </c>
      <c r="BY214" s="118" t="s">
        <v>6415</v>
      </c>
      <c r="BZ214" s="118">
        <v>412</v>
      </c>
      <c r="CA214" s="118" t="s">
        <v>6415</v>
      </c>
      <c r="CB214" s="118" t="s">
        <v>422</v>
      </c>
      <c r="CC214" s="118" t="s">
        <v>740</v>
      </c>
      <c r="CD214" s="118">
        <v>1</v>
      </c>
      <c r="CE214" s="118" t="s">
        <v>411</v>
      </c>
      <c r="CF214" s="118" t="s">
        <v>406</v>
      </c>
      <c r="CG214" s="118" t="s">
        <v>860</v>
      </c>
      <c r="CH214" s="118" t="s">
        <v>6302</v>
      </c>
      <c r="CI214" s="118" t="s">
        <v>6303</v>
      </c>
      <c r="CJ214" s="118" t="s">
        <v>398</v>
      </c>
      <c r="CK214" s="14">
        <v>0</v>
      </c>
      <c r="CL214" s="118">
        <v>35</v>
      </c>
      <c r="CM214" s="118" t="s">
        <v>6356</v>
      </c>
      <c r="CN214" s="118" t="s">
        <v>425</v>
      </c>
      <c r="CO214" s="118" t="s">
        <v>475</v>
      </c>
      <c r="CP214" s="118" t="s">
        <v>432</v>
      </c>
      <c r="CQ214" s="118" t="s">
        <v>461</v>
      </c>
      <c r="CR214" s="118" t="s">
        <v>475</v>
      </c>
      <c r="CS214" s="118" t="s">
        <v>6372</v>
      </c>
      <c r="CT214" s="118" t="s">
        <v>6415</v>
      </c>
      <c r="CU214" s="118" t="s">
        <v>6415</v>
      </c>
      <c r="CV214" s="118" t="s">
        <v>6415</v>
      </c>
      <c r="CW214" s="14">
        <v>17</v>
      </c>
      <c r="CX214" s="118" t="s">
        <v>1068</v>
      </c>
      <c r="CY214" s="118" t="s">
        <v>6341</v>
      </c>
      <c r="CZ214" s="118" t="s">
        <v>6415</v>
      </c>
      <c r="DA214" s="118" t="s">
        <v>6415</v>
      </c>
      <c r="DB214" s="118" t="s">
        <v>6415</v>
      </c>
      <c r="DC214" s="118" t="s">
        <v>6415</v>
      </c>
      <c r="DD214" s="118" t="s">
        <v>6415</v>
      </c>
      <c r="DE214" s="118" t="s">
        <v>6415</v>
      </c>
      <c r="DF214" s="118" t="s">
        <v>6415</v>
      </c>
      <c r="DG214" s="118" t="s">
        <v>6415</v>
      </c>
      <c r="DH214" s="118" t="s">
        <v>6415</v>
      </c>
      <c r="DI214" s="118" t="s">
        <v>6415</v>
      </c>
      <c r="DJ214" s="118" t="s">
        <v>6415</v>
      </c>
      <c r="DK214" s="118" t="s">
        <v>6415</v>
      </c>
      <c r="DL214" s="118" t="s">
        <v>6415</v>
      </c>
      <c r="DM214" s="118" t="s">
        <v>6415</v>
      </c>
      <c r="DN214" s="118" t="s">
        <v>6415</v>
      </c>
      <c r="DO214" s="118" t="s">
        <v>6415</v>
      </c>
      <c r="DP214" s="118" t="s">
        <v>6415</v>
      </c>
      <c r="DQ214" s="118" t="s">
        <v>6415</v>
      </c>
      <c r="DR214" s="118">
        <v>0</v>
      </c>
      <c r="DS214" s="118" t="s">
        <v>6415</v>
      </c>
      <c r="DT214" s="118" t="s">
        <v>6415</v>
      </c>
      <c r="DU214" s="118" t="s">
        <v>6415</v>
      </c>
      <c r="DV214" s="118" t="s">
        <v>6415</v>
      </c>
      <c r="DW214" s="118" t="s">
        <v>6415</v>
      </c>
      <c r="DX214" s="118" t="s">
        <v>6415</v>
      </c>
      <c r="DY214" s="118" t="s">
        <v>6415</v>
      </c>
      <c r="DZ214" s="118" t="s">
        <v>6415</v>
      </c>
      <c r="EA214" s="118" t="s">
        <v>6415</v>
      </c>
      <c r="EB214" s="118" t="s">
        <v>6415</v>
      </c>
      <c r="EC214" s="118" t="s">
        <v>6415</v>
      </c>
      <c r="ED214" s="118" t="s">
        <v>6415</v>
      </c>
      <c r="EE214" s="118" t="s">
        <v>6415</v>
      </c>
      <c r="EF214" s="118" t="s">
        <v>6415</v>
      </c>
      <c r="EG214" s="118" t="s">
        <v>6415</v>
      </c>
      <c r="EH214" s="118" t="s">
        <v>6415</v>
      </c>
      <c r="EI214" s="118" t="s">
        <v>6415</v>
      </c>
      <c r="EJ214" s="118" t="s">
        <v>6415</v>
      </c>
      <c r="EK214" s="118" t="s">
        <v>6415</v>
      </c>
      <c r="EL214" s="118" t="s">
        <v>7467</v>
      </c>
      <c r="EM214" s="118" t="s">
        <v>7326</v>
      </c>
      <c r="EN214" s="118" t="s">
        <v>6415</v>
      </c>
      <c r="EO214" s="6" t="str">
        <f t="shared" si="22"/>
        <v>Pathweb</v>
      </c>
      <c r="EP214" s="6" t="str">
        <f t="shared" si="23"/>
        <v>Google Maps</v>
      </c>
      <c r="EQ214" s="6" t="str">
        <f t="shared" si="24"/>
        <v>Mashed Map</v>
      </c>
      <c r="ER214" s="118" t="s">
        <v>6726</v>
      </c>
      <c r="ES214" s="118" t="s">
        <v>71</v>
      </c>
      <c r="ET214" s="4">
        <v>0</v>
      </c>
      <c r="EU214" s="4"/>
      <c r="EV214" s="4"/>
    </row>
    <row r="215" spans="1:152" x14ac:dyDescent="0.15">
      <c r="A215" s="581" t="str">
        <f t="shared" si="21"/>
        <v>Crash Report</v>
      </c>
      <c r="B215" s="118">
        <v>20233216088</v>
      </c>
      <c r="C215" s="118">
        <v>2023</v>
      </c>
      <c r="D215" s="118">
        <v>23112829900800</v>
      </c>
      <c r="F215" s="118" t="s">
        <v>6442</v>
      </c>
      <c r="G215" s="118" t="s">
        <v>390</v>
      </c>
      <c r="H215" s="118">
        <v>2</v>
      </c>
      <c r="I215" s="118" t="s">
        <v>6055</v>
      </c>
      <c r="J215" s="118" t="s">
        <v>423</v>
      </c>
      <c r="K215" s="118" t="s">
        <v>6997</v>
      </c>
      <c r="L215" s="118">
        <v>0.71299999999999997</v>
      </c>
      <c r="M215" s="118">
        <v>0.71299999999999997</v>
      </c>
      <c r="N215" s="118" t="s">
        <v>7469</v>
      </c>
      <c r="O215" s="118" t="s">
        <v>7473</v>
      </c>
      <c r="P215" s="118">
        <v>41.648519</v>
      </c>
      <c r="Q215" s="118">
        <v>-83.523447000000004</v>
      </c>
      <c r="R215" s="118">
        <v>77000</v>
      </c>
      <c r="S215" s="118" t="s">
        <v>6988</v>
      </c>
      <c r="T215" s="118">
        <v>1</v>
      </c>
      <c r="U215" s="118">
        <v>0</v>
      </c>
      <c r="V215" s="118">
        <v>0</v>
      </c>
      <c r="W215" s="118">
        <v>0</v>
      </c>
      <c r="X215" s="118">
        <v>0</v>
      </c>
      <c r="Y215" s="118">
        <v>2</v>
      </c>
      <c r="Z215" s="118">
        <v>0</v>
      </c>
      <c r="AA215" s="118">
        <v>2</v>
      </c>
      <c r="AB215" s="118" t="s">
        <v>1067</v>
      </c>
      <c r="AC215" s="118" t="s">
        <v>6989</v>
      </c>
      <c r="AD215" s="118" t="s">
        <v>1034</v>
      </c>
      <c r="AE215" s="118" t="s">
        <v>943</v>
      </c>
      <c r="AF215" s="118" t="s">
        <v>1042</v>
      </c>
      <c r="AG215" s="118" t="s">
        <v>6415</v>
      </c>
      <c r="AH215" s="118" t="s">
        <v>393</v>
      </c>
      <c r="AI215" s="118">
        <v>2</v>
      </c>
      <c r="AJ215" s="118" t="s">
        <v>6415</v>
      </c>
      <c r="AK215" s="118" t="s">
        <v>393</v>
      </c>
      <c r="AL215" s="118" t="s">
        <v>393</v>
      </c>
      <c r="AM215" s="118" t="s">
        <v>393</v>
      </c>
      <c r="AN215" s="402" t="s">
        <v>5975</v>
      </c>
      <c r="AO215" s="402">
        <v>45258</v>
      </c>
      <c r="AP215" s="118">
        <v>11</v>
      </c>
      <c r="AQ215" s="118">
        <v>8</v>
      </c>
      <c r="AR215" s="118" t="s">
        <v>6445</v>
      </c>
      <c r="AS215" s="118" t="s">
        <v>430</v>
      </c>
      <c r="AT215" s="118" t="s">
        <v>430</v>
      </c>
      <c r="AU215" s="118" t="s">
        <v>404</v>
      </c>
      <c r="AV215" s="118" t="s">
        <v>508</v>
      </c>
      <c r="AW215" s="118" t="s">
        <v>393</v>
      </c>
      <c r="AX215" s="118" t="s">
        <v>740</v>
      </c>
      <c r="AY215" s="118" t="s">
        <v>393</v>
      </c>
      <c r="AZ215" s="118" t="s">
        <v>393</v>
      </c>
      <c r="BA215" s="118" t="s">
        <v>393</v>
      </c>
      <c r="BB215" s="118" t="s">
        <v>393</v>
      </c>
      <c r="BC215" s="118" t="s">
        <v>393</v>
      </c>
      <c r="BD215" s="118" t="s">
        <v>393</v>
      </c>
      <c r="BE215" s="118" t="s">
        <v>393</v>
      </c>
      <c r="BF215" s="118" t="s">
        <v>740</v>
      </c>
      <c r="BG215" s="118" t="s">
        <v>393</v>
      </c>
      <c r="BH215" s="118" t="s">
        <v>394</v>
      </c>
      <c r="BI215" s="118" t="s">
        <v>394</v>
      </c>
      <c r="BJ215" s="118" t="s">
        <v>393</v>
      </c>
      <c r="BK215" s="118" t="s">
        <v>6988</v>
      </c>
      <c r="BL215" s="118" t="s">
        <v>6415</v>
      </c>
      <c r="BM215" s="118" t="s">
        <v>6992</v>
      </c>
      <c r="BN215" s="118" t="s">
        <v>6991</v>
      </c>
      <c r="BO215" s="118" t="s">
        <v>6415</v>
      </c>
      <c r="BP215" s="118" t="s">
        <v>6415</v>
      </c>
      <c r="BQ215" s="118" t="s">
        <v>6415</v>
      </c>
      <c r="BR215" s="118" t="s">
        <v>6415</v>
      </c>
      <c r="BS215" s="118" t="s">
        <v>6415</v>
      </c>
      <c r="BT215" s="118" t="s">
        <v>6990</v>
      </c>
      <c r="BU215" s="118" t="s">
        <v>6991</v>
      </c>
      <c r="BV215" s="118" t="s">
        <v>6415</v>
      </c>
      <c r="BW215" s="118" t="s">
        <v>6415</v>
      </c>
      <c r="BX215" s="118" t="s">
        <v>6415</v>
      </c>
      <c r="BY215" s="118" t="s">
        <v>6415</v>
      </c>
      <c r="BZ215" s="118" t="s">
        <v>6415</v>
      </c>
      <c r="CA215" s="118" t="s">
        <v>6415</v>
      </c>
      <c r="CB215" s="118" t="s">
        <v>221</v>
      </c>
      <c r="CC215" s="118" t="s">
        <v>740</v>
      </c>
      <c r="CD215" s="118">
        <v>2</v>
      </c>
      <c r="CE215" s="118" t="s">
        <v>411</v>
      </c>
      <c r="CF215" s="118" t="s">
        <v>397</v>
      </c>
      <c r="CG215" s="118" t="s">
        <v>860</v>
      </c>
      <c r="CH215" s="118" t="s">
        <v>6300</v>
      </c>
      <c r="CI215" s="118" t="s">
        <v>6303</v>
      </c>
      <c r="CJ215" s="118" t="s">
        <v>398</v>
      </c>
      <c r="CK215" s="118">
        <v>0</v>
      </c>
      <c r="CL215" s="118">
        <v>0</v>
      </c>
      <c r="CM215" s="118" t="s">
        <v>399</v>
      </c>
      <c r="CN215" s="118" t="s">
        <v>6512</v>
      </c>
      <c r="CO215" s="118" t="s">
        <v>1096</v>
      </c>
      <c r="CP215" s="118" t="s">
        <v>400</v>
      </c>
      <c r="CQ215" s="118" t="s">
        <v>6415</v>
      </c>
      <c r="CR215" s="118" t="s">
        <v>6415</v>
      </c>
      <c r="CS215" s="118" t="s">
        <v>6415</v>
      </c>
      <c r="CT215" s="118" t="s">
        <v>6415</v>
      </c>
      <c r="CU215" s="118" t="s">
        <v>6415</v>
      </c>
      <c r="CV215" s="118" t="s">
        <v>6415</v>
      </c>
      <c r="CW215" s="118">
        <v>19</v>
      </c>
      <c r="CX215" s="118" t="s">
        <v>1066</v>
      </c>
      <c r="CY215" s="118" t="s">
        <v>6151</v>
      </c>
      <c r="CZ215" s="118">
        <v>1</v>
      </c>
      <c r="DA215" s="118" t="s">
        <v>411</v>
      </c>
      <c r="DB215" s="118" t="s">
        <v>445</v>
      </c>
      <c r="DC215" s="118" t="s">
        <v>6415</v>
      </c>
      <c r="DD215" s="118" t="s">
        <v>6300</v>
      </c>
      <c r="DE215" s="118" t="s">
        <v>6303</v>
      </c>
      <c r="DF215" s="118" t="s">
        <v>398</v>
      </c>
      <c r="DG215" s="118" t="s">
        <v>6415</v>
      </c>
      <c r="DH215" s="118" t="s">
        <v>6415</v>
      </c>
      <c r="DI215" s="118" t="s">
        <v>436</v>
      </c>
      <c r="DJ215" s="118" t="s">
        <v>398</v>
      </c>
      <c r="DK215" s="118" t="s">
        <v>400</v>
      </c>
      <c r="DL215" s="118" t="s">
        <v>6415</v>
      </c>
      <c r="DM215" s="118" t="s">
        <v>6415</v>
      </c>
      <c r="DN215" s="118" t="s">
        <v>6415</v>
      </c>
      <c r="DO215" s="118" t="s">
        <v>6415</v>
      </c>
      <c r="DP215" s="118" t="s">
        <v>6415</v>
      </c>
      <c r="DQ215" s="118" t="s">
        <v>6415</v>
      </c>
      <c r="DR215" s="118">
        <v>64</v>
      </c>
      <c r="DS215" s="118" t="s">
        <v>1066</v>
      </c>
      <c r="DT215" s="118" t="s">
        <v>6341</v>
      </c>
      <c r="DU215" s="118" t="s">
        <v>6415</v>
      </c>
      <c r="DV215" s="118" t="s">
        <v>6415</v>
      </c>
      <c r="DW215" s="118" t="s">
        <v>6415</v>
      </c>
      <c r="DX215" s="118" t="s">
        <v>6415</v>
      </c>
      <c r="DY215" s="118" t="s">
        <v>6415</v>
      </c>
      <c r="DZ215" s="118" t="s">
        <v>6415</v>
      </c>
      <c r="EA215" s="118" t="s">
        <v>6415</v>
      </c>
      <c r="EB215" s="118" t="s">
        <v>6415</v>
      </c>
      <c r="EC215" s="118" t="s">
        <v>6415</v>
      </c>
      <c r="ED215" s="118" t="s">
        <v>6415</v>
      </c>
      <c r="EE215" s="118" t="s">
        <v>6415</v>
      </c>
      <c r="EF215" s="118" t="s">
        <v>6415</v>
      </c>
      <c r="EG215" s="118" t="s">
        <v>6986</v>
      </c>
      <c r="EH215" s="118" t="s">
        <v>7168</v>
      </c>
      <c r="EI215" s="118" t="s">
        <v>6415</v>
      </c>
      <c r="EJ215" s="118" t="s">
        <v>6415</v>
      </c>
      <c r="EK215" s="118" t="s">
        <v>6415</v>
      </c>
      <c r="EL215" s="118" t="s">
        <v>7467</v>
      </c>
      <c r="EM215" s="118" t="s">
        <v>7328</v>
      </c>
      <c r="EN215" s="118" t="s">
        <v>6415</v>
      </c>
      <c r="EO215" s="6" t="str">
        <f t="shared" si="22"/>
        <v>Pathweb</v>
      </c>
      <c r="EP215" s="6" t="str">
        <f t="shared" si="23"/>
        <v>Google Maps</v>
      </c>
      <c r="EQ215" s="6" t="str">
        <f t="shared" si="24"/>
        <v>Mashed Map</v>
      </c>
      <c r="ER215" s="118" t="s">
        <v>6727</v>
      </c>
      <c r="ES215" s="118" t="s">
        <v>71</v>
      </c>
      <c r="ET215" s="4">
        <v>0</v>
      </c>
      <c r="EU215" s="4"/>
      <c r="EV215" s="4"/>
    </row>
    <row r="216" spans="1:152" x14ac:dyDescent="0.15">
      <c r="A216" s="581" t="str">
        <f t="shared" si="21"/>
        <v>Crash Report</v>
      </c>
      <c r="B216" s="118">
        <v>20233220641</v>
      </c>
      <c r="C216" s="118">
        <v>2023</v>
      </c>
      <c r="D216" s="118">
        <v>23120227741530</v>
      </c>
      <c r="F216" s="118" t="s">
        <v>6442</v>
      </c>
      <c r="G216" s="118" t="s">
        <v>211</v>
      </c>
      <c r="H216" s="118">
        <v>2</v>
      </c>
      <c r="I216" s="118" t="s">
        <v>6055</v>
      </c>
      <c r="J216" s="118" t="s">
        <v>434</v>
      </c>
      <c r="K216" s="118" t="s">
        <v>6997</v>
      </c>
      <c r="L216" s="118">
        <v>0.71299999999999997</v>
      </c>
      <c r="M216" s="118">
        <v>0.71299999999999997</v>
      </c>
      <c r="N216" s="118" t="s">
        <v>7469</v>
      </c>
      <c r="O216" s="118" t="s">
        <v>7473</v>
      </c>
      <c r="P216" s="118">
        <v>41.648519</v>
      </c>
      <c r="Q216" s="118">
        <v>-83.523447000000004</v>
      </c>
      <c r="R216" s="118">
        <v>77000</v>
      </c>
      <c r="S216" s="118" t="s">
        <v>6988</v>
      </c>
      <c r="T216" s="118">
        <v>1</v>
      </c>
      <c r="U216" s="118">
        <v>0</v>
      </c>
      <c r="V216" s="118">
        <v>0</v>
      </c>
      <c r="W216" s="118">
        <v>0</v>
      </c>
      <c r="X216" s="118">
        <v>0</v>
      </c>
      <c r="Y216" s="118">
        <v>5</v>
      </c>
      <c r="Z216" s="118">
        <v>0</v>
      </c>
      <c r="AA216" s="118">
        <v>2</v>
      </c>
      <c r="AB216" s="118" t="s">
        <v>1067</v>
      </c>
      <c r="AC216" s="118" t="s">
        <v>6989</v>
      </c>
      <c r="AD216" s="118" t="s">
        <v>1034</v>
      </c>
      <c r="AE216" s="118" t="s">
        <v>943</v>
      </c>
      <c r="AF216" s="118" t="s">
        <v>1042</v>
      </c>
      <c r="AG216" s="118" t="s">
        <v>6415</v>
      </c>
      <c r="AH216" s="118" t="s">
        <v>393</v>
      </c>
      <c r="AI216" s="118">
        <v>2</v>
      </c>
      <c r="AJ216" s="118" t="s">
        <v>6415</v>
      </c>
      <c r="AK216" s="118" t="s">
        <v>393</v>
      </c>
      <c r="AL216" s="118" t="s">
        <v>393</v>
      </c>
      <c r="AM216" s="118" t="s">
        <v>393</v>
      </c>
      <c r="AN216" s="402" t="s">
        <v>5975</v>
      </c>
      <c r="AO216" s="402">
        <v>45262</v>
      </c>
      <c r="AP216" s="118">
        <v>12</v>
      </c>
      <c r="AQ216" s="118">
        <v>17</v>
      </c>
      <c r="AR216" s="118" t="s">
        <v>6449</v>
      </c>
      <c r="AS216" s="118" t="s">
        <v>392</v>
      </c>
      <c r="AT216" s="118" t="s">
        <v>225</v>
      </c>
      <c r="AU216" s="118" t="s">
        <v>505</v>
      </c>
      <c r="AV216" s="118" t="s">
        <v>508</v>
      </c>
      <c r="AW216" s="118" t="s">
        <v>393</v>
      </c>
      <c r="AX216" s="118" t="s">
        <v>740</v>
      </c>
      <c r="AY216" s="118" t="s">
        <v>393</v>
      </c>
      <c r="AZ216" s="118" t="s">
        <v>393</v>
      </c>
      <c r="BA216" s="118" t="s">
        <v>393</v>
      </c>
      <c r="BB216" s="118" t="s">
        <v>393</v>
      </c>
      <c r="BC216" s="118" t="s">
        <v>393</v>
      </c>
      <c r="BD216" s="118" t="s">
        <v>393</v>
      </c>
      <c r="BE216" s="118" t="s">
        <v>393</v>
      </c>
      <c r="BF216" s="118" t="s">
        <v>740</v>
      </c>
      <c r="BG216" s="118" t="s">
        <v>393</v>
      </c>
      <c r="BH216" s="118" t="s">
        <v>394</v>
      </c>
      <c r="BI216" s="118" t="s">
        <v>394</v>
      </c>
      <c r="BJ216" s="118" t="s">
        <v>393</v>
      </c>
      <c r="BK216" s="118" t="s">
        <v>6988</v>
      </c>
      <c r="BL216" s="118" t="s">
        <v>6415</v>
      </c>
      <c r="BM216" s="118" t="s">
        <v>6992</v>
      </c>
      <c r="BN216" s="118" t="s">
        <v>6991</v>
      </c>
      <c r="BO216" s="118" t="s">
        <v>6415</v>
      </c>
      <c r="BP216" s="118" t="s">
        <v>6415</v>
      </c>
      <c r="BQ216" s="118" t="s">
        <v>6415</v>
      </c>
      <c r="BR216" s="118" t="s">
        <v>6415</v>
      </c>
      <c r="BS216" s="118" t="s">
        <v>6415</v>
      </c>
      <c r="BT216" s="118" t="s">
        <v>6990</v>
      </c>
      <c r="BU216" s="118" t="s">
        <v>6991</v>
      </c>
      <c r="BV216" s="118" t="s">
        <v>6415</v>
      </c>
      <c r="BW216" s="118" t="s">
        <v>6415</v>
      </c>
      <c r="BX216" s="118" t="s">
        <v>6415</v>
      </c>
      <c r="BY216" s="118" t="s">
        <v>6415</v>
      </c>
      <c r="BZ216" s="118" t="s">
        <v>6415</v>
      </c>
      <c r="CA216" s="118" t="s">
        <v>6415</v>
      </c>
      <c r="CB216" s="118" t="s">
        <v>221</v>
      </c>
      <c r="CC216" s="118" t="s">
        <v>740</v>
      </c>
      <c r="CD216" s="118">
        <v>1</v>
      </c>
      <c r="CE216" s="118" t="s">
        <v>405</v>
      </c>
      <c r="CF216" s="118" t="s">
        <v>410</v>
      </c>
      <c r="CG216" s="118" t="s">
        <v>230</v>
      </c>
      <c r="CH216" s="118" t="s">
        <v>6302</v>
      </c>
      <c r="CI216" s="118" t="s">
        <v>6303</v>
      </c>
      <c r="CJ216" s="118" t="s">
        <v>398</v>
      </c>
      <c r="CK216" s="118">
        <v>0</v>
      </c>
      <c r="CL216" s="118">
        <v>35</v>
      </c>
      <c r="CM216" s="118" t="s">
        <v>436</v>
      </c>
      <c r="CN216" s="118" t="s">
        <v>6327</v>
      </c>
      <c r="CO216" s="118" t="s">
        <v>1096</v>
      </c>
      <c r="CP216" s="118" t="s">
        <v>400</v>
      </c>
      <c r="CQ216" s="118" t="s">
        <v>6415</v>
      </c>
      <c r="CR216" s="118" t="s">
        <v>6415</v>
      </c>
      <c r="CS216" s="118" t="s">
        <v>6415</v>
      </c>
      <c r="CT216" s="118" t="s">
        <v>6415</v>
      </c>
      <c r="CU216" s="118" t="s">
        <v>6415</v>
      </c>
      <c r="CV216" s="118" t="s">
        <v>6415</v>
      </c>
      <c r="CW216" s="118">
        <v>23</v>
      </c>
      <c r="CX216" s="118" t="s">
        <v>1066</v>
      </c>
      <c r="CY216" s="118" t="s">
        <v>6341</v>
      </c>
      <c r="CZ216" s="118">
        <v>2</v>
      </c>
      <c r="DA216" s="118" t="s">
        <v>410</v>
      </c>
      <c r="DB216" s="118" t="s">
        <v>411</v>
      </c>
      <c r="DC216" s="118" t="s">
        <v>6415</v>
      </c>
      <c r="DD216" s="118" t="s">
        <v>6302</v>
      </c>
      <c r="DE216" s="118" t="s">
        <v>6303</v>
      </c>
      <c r="DF216" s="118" t="s">
        <v>398</v>
      </c>
      <c r="DG216" s="118" t="s">
        <v>6415</v>
      </c>
      <c r="DH216" s="118">
        <v>35</v>
      </c>
      <c r="DI216" s="118" t="s">
        <v>399</v>
      </c>
      <c r="DJ216" s="118" t="s">
        <v>398</v>
      </c>
      <c r="DK216" s="118" t="s">
        <v>400</v>
      </c>
      <c r="DL216" s="118" t="s">
        <v>6415</v>
      </c>
      <c r="DM216" s="118" t="s">
        <v>6415</v>
      </c>
      <c r="DN216" s="118" t="s">
        <v>6415</v>
      </c>
      <c r="DO216" s="118" t="s">
        <v>6415</v>
      </c>
      <c r="DP216" s="118" t="s">
        <v>6415</v>
      </c>
      <c r="DQ216" s="118" t="s">
        <v>6415</v>
      </c>
      <c r="DR216" s="118">
        <v>22</v>
      </c>
      <c r="DS216" s="118" t="s">
        <v>1066</v>
      </c>
      <c r="DT216" s="118" t="s">
        <v>6341</v>
      </c>
      <c r="DU216" s="118" t="s">
        <v>6415</v>
      </c>
      <c r="DV216" s="118" t="s">
        <v>6415</v>
      </c>
      <c r="DW216" s="118" t="s">
        <v>6415</v>
      </c>
      <c r="DX216" s="118" t="s">
        <v>6415</v>
      </c>
      <c r="DY216" s="118" t="s">
        <v>6415</v>
      </c>
      <c r="DZ216" s="118" t="s">
        <v>6415</v>
      </c>
      <c r="EA216" s="118" t="s">
        <v>6415</v>
      </c>
      <c r="EB216" s="118" t="s">
        <v>6415</v>
      </c>
      <c r="EC216" s="118" t="s">
        <v>6415</v>
      </c>
      <c r="ED216" s="118" t="s">
        <v>6415</v>
      </c>
      <c r="EE216" s="118" t="s">
        <v>6415</v>
      </c>
      <c r="EF216" s="118" t="s">
        <v>6415</v>
      </c>
      <c r="EG216" s="118" t="s">
        <v>6986</v>
      </c>
      <c r="EH216" s="118" t="s">
        <v>7168</v>
      </c>
      <c r="EI216" s="118" t="s">
        <v>6415</v>
      </c>
      <c r="EJ216" s="118" t="s">
        <v>6415</v>
      </c>
      <c r="EK216" s="118" t="s">
        <v>6415</v>
      </c>
      <c r="EL216" s="118" t="s">
        <v>7467</v>
      </c>
      <c r="EM216" s="118" t="s">
        <v>7329</v>
      </c>
      <c r="EN216" s="118" t="s">
        <v>6415</v>
      </c>
      <c r="EO216" s="6" t="str">
        <f t="shared" si="22"/>
        <v>Pathweb</v>
      </c>
      <c r="EP216" s="6" t="str">
        <f t="shared" si="23"/>
        <v>Google Maps</v>
      </c>
      <c r="EQ216" s="6" t="str">
        <f t="shared" si="24"/>
        <v>Mashed Map</v>
      </c>
      <c r="ER216" s="118" t="s">
        <v>6727</v>
      </c>
      <c r="ES216" s="118" t="s">
        <v>71</v>
      </c>
      <c r="ET216" s="4">
        <v>1E-3</v>
      </c>
      <c r="EU216" s="4"/>
      <c r="EV216" s="4"/>
    </row>
    <row r="217" spans="1:152" x14ac:dyDescent="0.15">
      <c r="A217" s="581" t="str">
        <f t="shared" si="21"/>
        <v>Crash Report</v>
      </c>
      <c r="B217" s="14">
        <v>20233231709</v>
      </c>
      <c r="C217" s="118">
        <v>2023</v>
      </c>
      <c r="D217" s="14">
        <v>23121529721959</v>
      </c>
      <c r="F217" s="118" t="s">
        <v>6442</v>
      </c>
      <c r="G217" s="118" t="s">
        <v>230</v>
      </c>
      <c r="H217" s="118">
        <v>2</v>
      </c>
      <c r="I217" s="118" t="s">
        <v>6055</v>
      </c>
      <c r="J217" s="118" t="s">
        <v>391</v>
      </c>
      <c r="K217" s="118" t="s">
        <v>6997</v>
      </c>
      <c r="L217" s="118">
        <v>0.71299999999999997</v>
      </c>
      <c r="M217" s="118">
        <v>0.71299999999999997</v>
      </c>
      <c r="N217" s="118" t="s">
        <v>7469</v>
      </c>
      <c r="O217" s="118" t="s">
        <v>7466</v>
      </c>
      <c r="P217" s="118">
        <v>41.648519</v>
      </c>
      <c r="Q217" s="118">
        <v>-83.523447000000004</v>
      </c>
      <c r="R217" s="118">
        <v>77000</v>
      </c>
      <c r="S217" s="118" t="s">
        <v>6988</v>
      </c>
      <c r="T217" s="118">
        <v>1</v>
      </c>
      <c r="U217" s="118">
        <v>0</v>
      </c>
      <c r="V217" s="118">
        <v>0</v>
      </c>
      <c r="W217" s="118">
        <v>0</v>
      </c>
      <c r="X217" s="118">
        <v>0</v>
      </c>
      <c r="Y217" s="118">
        <v>3</v>
      </c>
      <c r="Z217" s="118">
        <v>0</v>
      </c>
      <c r="AA217" s="118">
        <v>2</v>
      </c>
      <c r="AB217" s="118" t="s">
        <v>1067</v>
      </c>
      <c r="AC217" s="118" t="s">
        <v>6989</v>
      </c>
      <c r="AD217" s="118" t="s">
        <v>1034</v>
      </c>
      <c r="AE217" s="118" t="s">
        <v>943</v>
      </c>
      <c r="AF217" s="118" t="s">
        <v>1042</v>
      </c>
      <c r="AG217" s="118" t="s">
        <v>6415</v>
      </c>
      <c r="AH217" s="118" t="s">
        <v>393</v>
      </c>
      <c r="AI217" s="118">
        <v>2</v>
      </c>
      <c r="AJ217" s="118" t="s">
        <v>6415</v>
      </c>
      <c r="AK217" s="118" t="s">
        <v>393</v>
      </c>
      <c r="AL217" s="118" t="s">
        <v>393</v>
      </c>
      <c r="AM217" s="118" t="s">
        <v>393</v>
      </c>
      <c r="AN217" s="402" t="s">
        <v>5975</v>
      </c>
      <c r="AO217" s="402">
        <v>45275</v>
      </c>
      <c r="AP217" s="118">
        <v>12</v>
      </c>
      <c r="AQ217" s="118">
        <v>19</v>
      </c>
      <c r="AR217" s="118" t="s">
        <v>6448</v>
      </c>
      <c r="AS217" s="118" t="s">
        <v>392</v>
      </c>
      <c r="AT217" s="118" t="s">
        <v>500</v>
      </c>
      <c r="AU217" s="118" t="s">
        <v>505</v>
      </c>
      <c r="AV217" s="118" t="s">
        <v>508</v>
      </c>
      <c r="AW217" s="118" t="s">
        <v>393</v>
      </c>
      <c r="AX217" s="118" t="s">
        <v>740</v>
      </c>
      <c r="AY217" s="118" t="s">
        <v>393</v>
      </c>
      <c r="AZ217" s="118" t="s">
        <v>393</v>
      </c>
      <c r="BA217" s="118" t="s">
        <v>393</v>
      </c>
      <c r="BB217" s="118" t="s">
        <v>393</v>
      </c>
      <c r="BC217" s="118" t="s">
        <v>393</v>
      </c>
      <c r="BD217" s="118" t="s">
        <v>393</v>
      </c>
      <c r="BE217" s="118" t="s">
        <v>393</v>
      </c>
      <c r="BF217" s="118" t="s">
        <v>740</v>
      </c>
      <c r="BG217" s="118" t="s">
        <v>393</v>
      </c>
      <c r="BH217" s="118" t="s">
        <v>394</v>
      </c>
      <c r="BI217" s="118" t="s">
        <v>394</v>
      </c>
      <c r="BJ217" s="118" t="s">
        <v>393</v>
      </c>
      <c r="BK217" s="118" t="s">
        <v>6988</v>
      </c>
      <c r="BL217" s="118" t="s">
        <v>6415</v>
      </c>
      <c r="BM217" s="118" t="s">
        <v>6990</v>
      </c>
      <c r="BN217" s="118" t="s">
        <v>6991</v>
      </c>
      <c r="BO217" s="118" t="s">
        <v>6415</v>
      </c>
      <c r="BP217" s="118" t="s">
        <v>6415</v>
      </c>
      <c r="BQ217" s="118" t="s">
        <v>6415</v>
      </c>
      <c r="BR217" s="118" t="s">
        <v>6415</v>
      </c>
      <c r="BS217" s="118" t="s">
        <v>6415</v>
      </c>
      <c r="BT217" s="118" t="s">
        <v>6992</v>
      </c>
      <c r="BU217" s="118" t="s">
        <v>6991</v>
      </c>
      <c r="BV217" s="118" t="s">
        <v>6415</v>
      </c>
      <c r="BW217" s="118" t="s">
        <v>6415</v>
      </c>
      <c r="BX217" s="118" t="s">
        <v>6415</v>
      </c>
      <c r="BY217" s="118" t="s">
        <v>6415</v>
      </c>
      <c r="BZ217" s="118" t="s">
        <v>6415</v>
      </c>
      <c r="CA217" s="118" t="s">
        <v>6415</v>
      </c>
      <c r="CB217" s="118" t="s">
        <v>221</v>
      </c>
      <c r="CC217" s="118" t="s">
        <v>740</v>
      </c>
      <c r="CD217" s="118">
        <v>2</v>
      </c>
      <c r="CE217" s="118" t="s">
        <v>405</v>
      </c>
      <c r="CF217" s="118" t="s">
        <v>410</v>
      </c>
      <c r="CG217" s="118" t="s">
        <v>230</v>
      </c>
      <c r="CH217" s="118" t="s">
        <v>6300</v>
      </c>
      <c r="CI217" s="118" t="s">
        <v>417</v>
      </c>
      <c r="CJ217" s="118" t="s">
        <v>398</v>
      </c>
      <c r="CK217" s="14">
        <v>35</v>
      </c>
      <c r="CL217" s="118">
        <v>35</v>
      </c>
      <c r="CM217" s="118" t="s">
        <v>436</v>
      </c>
      <c r="CN217" s="118" t="s">
        <v>451</v>
      </c>
      <c r="CO217" s="118" t="s">
        <v>1096</v>
      </c>
      <c r="CP217" s="118" t="s">
        <v>400</v>
      </c>
      <c r="CQ217" s="118" t="s">
        <v>6415</v>
      </c>
      <c r="CR217" s="118" t="s">
        <v>6415</v>
      </c>
      <c r="CS217" s="118" t="s">
        <v>6415</v>
      </c>
      <c r="CT217" s="118" t="s">
        <v>6415</v>
      </c>
      <c r="CU217" s="118" t="s">
        <v>6415</v>
      </c>
      <c r="CV217" s="118" t="s">
        <v>6415</v>
      </c>
      <c r="CW217" s="14">
        <v>25</v>
      </c>
      <c r="CX217" s="118" t="s">
        <v>1068</v>
      </c>
      <c r="CY217" s="118" t="s">
        <v>6151</v>
      </c>
      <c r="CZ217" s="118">
        <v>1</v>
      </c>
      <c r="DA217" s="118" t="s">
        <v>406</v>
      </c>
      <c r="DB217" s="118" t="s">
        <v>405</v>
      </c>
      <c r="DC217" s="118" t="s">
        <v>6415</v>
      </c>
      <c r="DD217" s="118" t="s">
        <v>6300</v>
      </c>
      <c r="DE217" s="118" t="s">
        <v>6303</v>
      </c>
      <c r="DF217" s="118" t="s">
        <v>398</v>
      </c>
      <c r="DG217" s="118">
        <v>35</v>
      </c>
      <c r="DH217" s="118">
        <v>35</v>
      </c>
      <c r="DI217" s="118" t="s">
        <v>399</v>
      </c>
      <c r="DJ217" s="118" t="s">
        <v>398</v>
      </c>
      <c r="DK217" s="118" t="s">
        <v>400</v>
      </c>
      <c r="DL217" s="118" t="s">
        <v>6415</v>
      </c>
      <c r="DM217" s="118" t="s">
        <v>6415</v>
      </c>
      <c r="DN217" s="118" t="s">
        <v>6415</v>
      </c>
      <c r="DO217" s="118" t="s">
        <v>6415</v>
      </c>
      <c r="DP217" s="118" t="s">
        <v>6415</v>
      </c>
      <c r="DQ217" s="118" t="s">
        <v>6415</v>
      </c>
      <c r="DR217" s="118">
        <v>35</v>
      </c>
      <c r="DS217" s="118" t="s">
        <v>1068</v>
      </c>
      <c r="DT217" s="118" t="s">
        <v>6341</v>
      </c>
      <c r="DU217" s="118" t="s">
        <v>6415</v>
      </c>
      <c r="DV217" s="118" t="s">
        <v>6415</v>
      </c>
      <c r="DW217" s="118" t="s">
        <v>6415</v>
      </c>
      <c r="DX217" s="118" t="s">
        <v>6415</v>
      </c>
      <c r="DY217" s="118" t="s">
        <v>6415</v>
      </c>
      <c r="DZ217" s="118" t="s">
        <v>6415</v>
      </c>
      <c r="EA217" s="118" t="s">
        <v>6415</v>
      </c>
      <c r="EB217" s="118" t="s">
        <v>6415</v>
      </c>
      <c r="EC217" s="118" t="s">
        <v>6415</v>
      </c>
      <c r="ED217" s="118" t="s">
        <v>6415</v>
      </c>
      <c r="EE217" s="118" t="s">
        <v>6415</v>
      </c>
      <c r="EF217" s="118" t="s">
        <v>6415</v>
      </c>
      <c r="EG217" s="118" t="s">
        <v>6986</v>
      </c>
      <c r="EH217" s="118" t="s">
        <v>7168</v>
      </c>
      <c r="EI217" s="118" t="s">
        <v>6415</v>
      </c>
      <c r="EJ217" s="118" t="s">
        <v>6415</v>
      </c>
      <c r="EK217" s="118" t="s">
        <v>6415</v>
      </c>
      <c r="EL217" s="118" t="s">
        <v>7467</v>
      </c>
      <c r="EM217" s="118" t="s">
        <v>7330</v>
      </c>
      <c r="EN217" s="118" t="s">
        <v>6415</v>
      </c>
      <c r="EO217" s="6" t="str">
        <f t="shared" si="22"/>
        <v>Pathweb</v>
      </c>
      <c r="EP217" s="6" t="str">
        <f t="shared" si="23"/>
        <v>Google Maps</v>
      </c>
      <c r="EQ217" s="6" t="str">
        <f t="shared" si="24"/>
        <v>Mashed Map</v>
      </c>
      <c r="ER217" s="118" t="s">
        <v>6727</v>
      </c>
      <c r="ES217" s="118" t="s">
        <v>71</v>
      </c>
      <c r="ET217" s="4">
        <v>0</v>
      </c>
      <c r="EU217" s="4"/>
      <c r="EV217" s="4"/>
    </row>
    <row r="218" spans="1:152" x14ac:dyDescent="0.15">
      <c r="A218" s="581" t="str">
        <f t="shared" si="21"/>
        <v>Crash Report</v>
      </c>
      <c r="B218" s="14">
        <v>20233234055</v>
      </c>
      <c r="C218" s="118">
        <v>2023</v>
      </c>
      <c r="D218" s="14">
        <v>23121929591755</v>
      </c>
      <c r="F218" s="118" t="s">
        <v>6440</v>
      </c>
      <c r="G218" s="118" t="s">
        <v>211</v>
      </c>
      <c r="H218" s="118">
        <v>2</v>
      </c>
      <c r="I218" s="118" t="s">
        <v>6055</v>
      </c>
      <c r="J218" s="118" t="s">
        <v>391</v>
      </c>
      <c r="K218" s="118" t="s">
        <v>6997</v>
      </c>
      <c r="L218" s="118">
        <v>0.249</v>
      </c>
      <c r="M218" s="118">
        <v>0.249</v>
      </c>
      <c r="N218" s="118" t="s">
        <v>7469</v>
      </c>
      <c r="O218" s="118" t="s">
        <v>7474</v>
      </c>
      <c r="P218" s="118">
        <v>41.643433999999999</v>
      </c>
      <c r="Q218" s="118">
        <v>-83.518270000000001</v>
      </c>
      <c r="R218" s="118">
        <v>77000</v>
      </c>
      <c r="S218" s="118" t="s">
        <v>6988</v>
      </c>
      <c r="T218" s="118">
        <v>1</v>
      </c>
      <c r="U218" s="118">
        <v>0</v>
      </c>
      <c r="V218" s="118">
        <v>0</v>
      </c>
      <c r="W218" s="118">
        <v>1</v>
      </c>
      <c r="X218" s="118">
        <v>0</v>
      </c>
      <c r="Y218" s="118">
        <v>2</v>
      </c>
      <c r="Z218" s="118">
        <v>0</v>
      </c>
      <c r="AA218" s="118">
        <v>2</v>
      </c>
      <c r="AB218" s="118" t="s">
        <v>1067</v>
      </c>
      <c r="AC218" s="118" t="s">
        <v>6989</v>
      </c>
      <c r="AD218" s="118" t="s">
        <v>1034</v>
      </c>
      <c r="AE218" s="118" t="s">
        <v>943</v>
      </c>
      <c r="AF218" s="118" t="s">
        <v>1045</v>
      </c>
      <c r="AG218" s="118" t="s">
        <v>6415</v>
      </c>
      <c r="AH218" s="118" t="s">
        <v>393</v>
      </c>
      <c r="AI218" s="118">
        <v>4</v>
      </c>
      <c r="AJ218" s="118" t="s">
        <v>6415</v>
      </c>
      <c r="AK218" s="118" t="s">
        <v>393</v>
      </c>
      <c r="AL218" s="118" t="s">
        <v>393</v>
      </c>
      <c r="AM218" s="118" t="s">
        <v>393</v>
      </c>
      <c r="AN218" s="402" t="s">
        <v>5975</v>
      </c>
      <c r="AO218" s="402">
        <v>45279</v>
      </c>
      <c r="AP218" s="118">
        <v>12</v>
      </c>
      <c r="AQ218" s="118">
        <v>17</v>
      </c>
      <c r="AR218" s="118" t="s">
        <v>6445</v>
      </c>
      <c r="AS218" s="118" t="s">
        <v>392</v>
      </c>
      <c r="AT218" s="118" t="s">
        <v>500</v>
      </c>
      <c r="AU218" s="118" t="s">
        <v>505</v>
      </c>
      <c r="AV218" s="118" t="s">
        <v>508</v>
      </c>
      <c r="AW218" s="118" t="s">
        <v>393</v>
      </c>
      <c r="AX218" s="118" t="s">
        <v>740</v>
      </c>
      <c r="AY218" s="118" t="s">
        <v>393</v>
      </c>
      <c r="AZ218" s="118" t="s">
        <v>393</v>
      </c>
      <c r="BA218" s="118" t="s">
        <v>393</v>
      </c>
      <c r="BB218" s="118" t="s">
        <v>393</v>
      </c>
      <c r="BC218" s="118" t="s">
        <v>393</v>
      </c>
      <c r="BD218" s="118" t="s">
        <v>393</v>
      </c>
      <c r="BE218" s="118" t="s">
        <v>393</v>
      </c>
      <c r="BF218" s="118" t="s">
        <v>740</v>
      </c>
      <c r="BG218" s="118" t="s">
        <v>393</v>
      </c>
      <c r="BH218" s="118" t="s">
        <v>394</v>
      </c>
      <c r="BI218" s="118" t="s">
        <v>394</v>
      </c>
      <c r="BJ218" s="118" t="s">
        <v>740</v>
      </c>
      <c r="BK218" s="118" t="s">
        <v>6988</v>
      </c>
      <c r="BL218" s="118" t="s">
        <v>6415</v>
      </c>
      <c r="BM218" s="118" t="s">
        <v>6992</v>
      </c>
      <c r="BN218" s="118" t="s">
        <v>6991</v>
      </c>
      <c r="BO218" s="118" t="s">
        <v>6415</v>
      </c>
      <c r="BP218" s="118" t="s">
        <v>6415</v>
      </c>
      <c r="BQ218" s="118" t="s">
        <v>6415</v>
      </c>
      <c r="BR218" s="118" t="s">
        <v>6415</v>
      </c>
      <c r="BS218" s="118" t="s">
        <v>6415</v>
      </c>
      <c r="BT218" s="118" t="s">
        <v>5179</v>
      </c>
      <c r="BU218" s="118" t="s">
        <v>7017</v>
      </c>
      <c r="BV218" s="118" t="s">
        <v>6415</v>
      </c>
      <c r="BW218" s="118" t="s">
        <v>6415</v>
      </c>
      <c r="BX218" s="118" t="s">
        <v>6415</v>
      </c>
      <c r="BY218" s="118" t="s">
        <v>6415</v>
      </c>
      <c r="BZ218" s="118" t="s">
        <v>6415</v>
      </c>
      <c r="CA218" s="118" t="s">
        <v>6415</v>
      </c>
      <c r="CB218" s="118" t="s">
        <v>221</v>
      </c>
      <c r="CC218" s="118" t="s">
        <v>740</v>
      </c>
      <c r="CD218" s="118">
        <v>1</v>
      </c>
      <c r="CE218" s="118" t="s">
        <v>406</v>
      </c>
      <c r="CF218" s="118" t="s">
        <v>405</v>
      </c>
      <c r="CG218" s="118" t="s">
        <v>924</v>
      </c>
      <c r="CH218" s="118" t="s">
        <v>6300</v>
      </c>
      <c r="CI218" s="118" t="s">
        <v>6303</v>
      </c>
      <c r="CJ218" s="118" t="s">
        <v>398</v>
      </c>
      <c r="CK218" s="14">
        <v>35</v>
      </c>
      <c r="CL218" s="118">
        <v>35</v>
      </c>
      <c r="CM218" s="118" t="s">
        <v>399</v>
      </c>
      <c r="CN218" s="118" t="s">
        <v>440</v>
      </c>
      <c r="CO218" s="118" t="s">
        <v>1096</v>
      </c>
      <c r="CP218" s="118" t="s">
        <v>400</v>
      </c>
      <c r="CQ218" s="118" t="s">
        <v>6415</v>
      </c>
      <c r="CR218" s="118" t="s">
        <v>6415</v>
      </c>
      <c r="CS218" s="118" t="s">
        <v>6415</v>
      </c>
      <c r="CT218" s="118" t="s">
        <v>6415</v>
      </c>
      <c r="CU218" s="118" t="s">
        <v>6415</v>
      </c>
      <c r="CV218" s="118" t="s">
        <v>6415</v>
      </c>
      <c r="CW218" s="14">
        <v>18</v>
      </c>
      <c r="CX218" s="118" t="s">
        <v>1068</v>
      </c>
      <c r="CY218" s="118" t="s">
        <v>6345</v>
      </c>
      <c r="CZ218" s="118">
        <v>2</v>
      </c>
      <c r="DA218" s="118" t="s">
        <v>445</v>
      </c>
      <c r="DB218" s="118" t="s">
        <v>406</v>
      </c>
      <c r="DC218" s="118" t="s">
        <v>6415</v>
      </c>
      <c r="DD218" s="118" t="s">
        <v>6300</v>
      </c>
      <c r="DE218" s="118" t="s">
        <v>417</v>
      </c>
      <c r="DF218" s="118" t="s">
        <v>398</v>
      </c>
      <c r="DG218" s="118">
        <v>10</v>
      </c>
      <c r="DH218" s="118">
        <v>25</v>
      </c>
      <c r="DI218" s="118" t="s">
        <v>436</v>
      </c>
      <c r="DJ218" s="118" t="s">
        <v>398</v>
      </c>
      <c r="DK218" s="118" t="s">
        <v>400</v>
      </c>
      <c r="DL218" s="118" t="s">
        <v>6415</v>
      </c>
      <c r="DM218" s="118" t="s">
        <v>6415</v>
      </c>
      <c r="DN218" s="118" t="s">
        <v>6415</v>
      </c>
      <c r="DO218" s="118" t="s">
        <v>6415</v>
      </c>
      <c r="DP218" s="118" t="s">
        <v>6415</v>
      </c>
      <c r="DQ218" s="118" t="s">
        <v>6415</v>
      </c>
      <c r="DR218" s="118">
        <v>25</v>
      </c>
      <c r="DS218" s="118" t="s">
        <v>1066</v>
      </c>
      <c r="DT218" s="118" t="s">
        <v>6341</v>
      </c>
      <c r="DU218" s="118" t="s">
        <v>6415</v>
      </c>
      <c r="DV218" s="118" t="s">
        <v>6415</v>
      </c>
      <c r="DW218" s="118" t="s">
        <v>6415</v>
      </c>
      <c r="DX218" s="118" t="s">
        <v>6415</v>
      </c>
      <c r="DY218" s="118" t="s">
        <v>6415</v>
      </c>
      <c r="DZ218" s="118" t="s">
        <v>6415</v>
      </c>
      <c r="EA218" s="118" t="s">
        <v>6415</v>
      </c>
      <c r="EB218" s="118" t="s">
        <v>6415</v>
      </c>
      <c r="EC218" s="118" t="s">
        <v>6415</v>
      </c>
      <c r="ED218" s="118" t="s">
        <v>6415</v>
      </c>
      <c r="EE218" s="118" t="s">
        <v>6415</v>
      </c>
      <c r="EF218" s="118" t="s">
        <v>6415</v>
      </c>
      <c r="EG218" s="118" t="s">
        <v>7025</v>
      </c>
      <c r="EH218" s="118" t="s">
        <v>7332</v>
      </c>
      <c r="EI218" s="118" t="s">
        <v>6415</v>
      </c>
      <c r="EJ218" s="118" t="s">
        <v>6415</v>
      </c>
      <c r="EK218" s="118" t="s">
        <v>6415</v>
      </c>
      <c r="EL218" s="118" t="s">
        <v>7467</v>
      </c>
      <c r="EM218" s="118" t="s">
        <v>7331</v>
      </c>
      <c r="EN218" s="118" t="s">
        <v>6415</v>
      </c>
      <c r="EO218" s="6" t="str">
        <f t="shared" si="22"/>
        <v>Pathweb</v>
      </c>
      <c r="EP218" s="6" t="str">
        <f t="shared" si="23"/>
        <v>Google Maps</v>
      </c>
      <c r="EQ218" s="6" t="str">
        <f t="shared" si="24"/>
        <v>Mashed Map</v>
      </c>
      <c r="ER218" s="118" t="s">
        <v>6727</v>
      </c>
      <c r="ES218" s="118" t="s">
        <v>6728</v>
      </c>
      <c r="ET218" s="4">
        <v>5</v>
      </c>
      <c r="EU218" s="4"/>
      <c r="EV218" s="4"/>
    </row>
    <row r="219" spans="1:152" x14ac:dyDescent="0.15">
      <c r="A219" s="581" t="str">
        <f t="shared" si="21"/>
        <v>Crash Report</v>
      </c>
      <c r="B219" s="118">
        <v>20233234073</v>
      </c>
      <c r="C219" s="118">
        <v>2023</v>
      </c>
      <c r="D219" s="118">
        <v>23121829021519</v>
      </c>
      <c r="F219" s="118" t="s">
        <v>6442</v>
      </c>
      <c r="G219" s="118" t="s">
        <v>416</v>
      </c>
      <c r="H219" s="118">
        <v>2</v>
      </c>
      <c r="I219" s="118" t="s">
        <v>6055</v>
      </c>
      <c r="J219" s="118" t="s">
        <v>391</v>
      </c>
      <c r="K219" s="118" t="s">
        <v>6985</v>
      </c>
      <c r="L219" s="118">
        <v>9.0999999999999998E-2</v>
      </c>
      <c r="M219" s="118">
        <v>9.0999999999999998E-2</v>
      </c>
      <c r="N219" s="118" t="s">
        <v>7465</v>
      </c>
      <c r="O219" s="118" t="s">
        <v>7475</v>
      </c>
      <c r="P219" s="118">
        <v>41.648000000000003</v>
      </c>
      <c r="Q219" s="118">
        <v>-83.524338999999998</v>
      </c>
      <c r="R219" s="118">
        <v>77000</v>
      </c>
      <c r="S219" s="118" t="s">
        <v>6988</v>
      </c>
      <c r="T219" s="118">
        <v>1</v>
      </c>
      <c r="U219" s="118">
        <v>0</v>
      </c>
      <c r="V219" s="118">
        <v>0</v>
      </c>
      <c r="W219" s="118">
        <v>0</v>
      </c>
      <c r="X219" s="118">
        <v>0</v>
      </c>
      <c r="Y219" s="118">
        <v>1</v>
      </c>
      <c r="Z219" s="118">
        <v>0</v>
      </c>
      <c r="AA219" s="118">
        <v>1</v>
      </c>
      <c r="AB219" s="118" t="s">
        <v>1067</v>
      </c>
      <c r="AC219" s="118" t="s">
        <v>6989</v>
      </c>
      <c r="AD219" s="118" t="s">
        <v>1034</v>
      </c>
      <c r="AE219" s="118" t="s">
        <v>943</v>
      </c>
      <c r="AF219" s="118" t="s">
        <v>1042</v>
      </c>
      <c r="AG219" s="118" t="s">
        <v>6415</v>
      </c>
      <c r="AH219" s="118" t="s">
        <v>393</v>
      </c>
      <c r="AI219" s="118">
        <v>4</v>
      </c>
      <c r="AJ219" s="118" t="s">
        <v>6415</v>
      </c>
      <c r="AK219" s="118" t="s">
        <v>393</v>
      </c>
      <c r="AL219" s="118" t="s">
        <v>393</v>
      </c>
      <c r="AM219" s="118" t="s">
        <v>393</v>
      </c>
      <c r="AN219" s="402" t="s">
        <v>5975</v>
      </c>
      <c r="AO219" s="402">
        <v>45278</v>
      </c>
      <c r="AP219" s="118">
        <v>12</v>
      </c>
      <c r="AQ219" s="118">
        <v>15</v>
      </c>
      <c r="AR219" s="118" t="s">
        <v>6444</v>
      </c>
      <c r="AS219" s="118" t="s">
        <v>420</v>
      </c>
      <c r="AT219" s="118" t="s">
        <v>225</v>
      </c>
      <c r="AU219" s="118" t="s">
        <v>404</v>
      </c>
      <c r="AV219" s="118" t="s">
        <v>510</v>
      </c>
      <c r="AW219" s="118" t="s">
        <v>393</v>
      </c>
      <c r="AX219" s="118" t="s">
        <v>393</v>
      </c>
      <c r="AY219" s="118" t="s">
        <v>393</v>
      </c>
      <c r="AZ219" s="118" t="s">
        <v>393</v>
      </c>
      <c r="BA219" s="118" t="s">
        <v>393</v>
      </c>
      <c r="BB219" s="118" t="s">
        <v>393</v>
      </c>
      <c r="BC219" s="118" t="s">
        <v>393</v>
      </c>
      <c r="BD219" s="118" t="s">
        <v>393</v>
      </c>
      <c r="BE219" s="118" t="s">
        <v>393</v>
      </c>
      <c r="BF219" s="118" t="s">
        <v>740</v>
      </c>
      <c r="BG219" s="118" t="s">
        <v>393</v>
      </c>
      <c r="BH219" s="118" t="s">
        <v>394</v>
      </c>
      <c r="BI219" s="118" t="s">
        <v>394</v>
      </c>
      <c r="BJ219" s="118" t="s">
        <v>393</v>
      </c>
      <c r="BK219" s="118" t="s">
        <v>6988</v>
      </c>
      <c r="BL219" s="118" t="s">
        <v>6415</v>
      </c>
      <c r="BM219" s="118" t="s">
        <v>6990</v>
      </c>
      <c r="BN219" s="118" t="s">
        <v>6991</v>
      </c>
      <c r="BO219" s="118" t="s">
        <v>6415</v>
      </c>
      <c r="BP219" s="118" t="s">
        <v>6415</v>
      </c>
      <c r="BQ219" s="118" t="s">
        <v>6415</v>
      </c>
      <c r="BR219" s="118" t="s">
        <v>6415</v>
      </c>
      <c r="BS219" s="118" t="s">
        <v>6415</v>
      </c>
      <c r="BT219" s="118" t="s">
        <v>2583</v>
      </c>
      <c r="BU219" s="118" t="s">
        <v>7017</v>
      </c>
      <c r="BV219" s="118" t="s">
        <v>6415</v>
      </c>
      <c r="BW219" s="118" t="s">
        <v>6415</v>
      </c>
      <c r="BX219" s="118" t="s">
        <v>6415</v>
      </c>
      <c r="BY219" s="118" t="s">
        <v>6415</v>
      </c>
      <c r="BZ219" s="118" t="s">
        <v>6415</v>
      </c>
      <c r="CA219" s="118" t="s">
        <v>6415</v>
      </c>
      <c r="CB219" s="118" t="s">
        <v>221</v>
      </c>
      <c r="CC219" s="118" t="s">
        <v>740</v>
      </c>
      <c r="CD219" s="118">
        <v>1</v>
      </c>
      <c r="CE219" s="118" t="s">
        <v>411</v>
      </c>
      <c r="CF219" s="118" t="s">
        <v>397</v>
      </c>
      <c r="CG219" s="118" t="s">
        <v>860</v>
      </c>
      <c r="CH219" s="118" t="s">
        <v>6302</v>
      </c>
      <c r="CI219" s="118" t="s">
        <v>6305</v>
      </c>
      <c r="CJ219" s="118" t="s">
        <v>398</v>
      </c>
      <c r="CK219" s="118">
        <v>0</v>
      </c>
      <c r="CL219" s="118">
        <v>0</v>
      </c>
      <c r="CM219" s="118" t="s">
        <v>6356</v>
      </c>
      <c r="CN219" s="118" t="s">
        <v>398</v>
      </c>
      <c r="CO219" s="118" t="s">
        <v>475</v>
      </c>
      <c r="CP219" s="118" t="s">
        <v>409</v>
      </c>
      <c r="CQ219" s="118" t="s">
        <v>475</v>
      </c>
      <c r="CR219" s="118" t="s">
        <v>6415</v>
      </c>
      <c r="CS219" s="118" t="s">
        <v>6415</v>
      </c>
      <c r="CT219" s="118" t="s">
        <v>6415</v>
      </c>
      <c r="CU219" s="118" t="s">
        <v>6415</v>
      </c>
      <c r="CV219" s="118" t="s">
        <v>6415</v>
      </c>
      <c r="CW219" s="118">
        <v>17</v>
      </c>
      <c r="CX219" s="118" t="s">
        <v>1068</v>
      </c>
      <c r="CY219" s="118" t="s">
        <v>6341</v>
      </c>
      <c r="CZ219" s="118" t="s">
        <v>6415</v>
      </c>
      <c r="DA219" s="118" t="s">
        <v>6415</v>
      </c>
      <c r="DB219" s="118" t="s">
        <v>6415</v>
      </c>
      <c r="DC219" s="118" t="s">
        <v>6415</v>
      </c>
      <c r="DD219" s="118" t="s">
        <v>6415</v>
      </c>
      <c r="DE219" s="118" t="s">
        <v>6415</v>
      </c>
      <c r="DF219" s="118" t="s">
        <v>6415</v>
      </c>
      <c r="DG219" s="118" t="s">
        <v>6415</v>
      </c>
      <c r="DH219" s="118" t="s">
        <v>6415</v>
      </c>
      <c r="DI219" s="118" t="s">
        <v>6415</v>
      </c>
      <c r="DJ219" s="118" t="s">
        <v>6415</v>
      </c>
      <c r="DK219" s="118" t="s">
        <v>6415</v>
      </c>
      <c r="DL219" s="118" t="s">
        <v>6415</v>
      </c>
      <c r="DM219" s="118" t="s">
        <v>6415</v>
      </c>
      <c r="DN219" s="118" t="s">
        <v>6415</v>
      </c>
      <c r="DO219" s="118" t="s">
        <v>6415</v>
      </c>
      <c r="DP219" s="118" t="s">
        <v>6415</v>
      </c>
      <c r="DQ219" s="118" t="s">
        <v>6415</v>
      </c>
      <c r="DR219" s="118">
        <v>0</v>
      </c>
      <c r="DS219" s="118" t="s">
        <v>6415</v>
      </c>
      <c r="DT219" s="118" t="s">
        <v>6415</v>
      </c>
      <c r="DU219" s="118" t="s">
        <v>6415</v>
      </c>
      <c r="DV219" s="118" t="s">
        <v>6415</v>
      </c>
      <c r="DW219" s="118" t="s">
        <v>6415</v>
      </c>
      <c r="DX219" s="118" t="s">
        <v>6415</v>
      </c>
      <c r="DY219" s="118" t="s">
        <v>6415</v>
      </c>
      <c r="DZ219" s="118" t="s">
        <v>6415</v>
      </c>
      <c r="EA219" s="118" t="s">
        <v>6415</v>
      </c>
      <c r="EB219" s="118" t="s">
        <v>6415</v>
      </c>
      <c r="EC219" s="118" t="s">
        <v>6415</v>
      </c>
      <c r="ED219" s="118" t="s">
        <v>6415</v>
      </c>
      <c r="EE219" s="118" t="s">
        <v>6415</v>
      </c>
      <c r="EF219" s="118" t="s">
        <v>6415</v>
      </c>
      <c r="EG219" s="118" t="s">
        <v>7028</v>
      </c>
      <c r="EH219" s="118" t="s">
        <v>7097</v>
      </c>
      <c r="EI219" s="118" t="s">
        <v>6415</v>
      </c>
      <c r="EJ219" s="118" t="s">
        <v>6415</v>
      </c>
      <c r="EK219" s="118" t="s">
        <v>6415</v>
      </c>
      <c r="EL219" s="118" t="s">
        <v>7467</v>
      </c>
      <c r="EM219" s="118" t="s">
        <v>7333</v>
      </c>
      <c r="EN219" s="118" t="s">
        <v>6415</v>
      </c>
      <c r="EO219" s="6" t="str">
        <f t="shared" si="22"/>
        <v>Pathweb</v>
      </c>
      <c r="EP219" s="6" t="str">
        <f t="shared" si="23"/>
        <v>Google Maps</v>
      </c>
      <c r="EQ219" s="6" t="str">
        <f t="shared" si="24"/>
        <v>Mashed Map</v>
      </c>
      <c r="ER219" s="118" t="s">
        <v>6726</v>
      </c>
      <c r="ES219" s="118" t="s">
        <v>71</v>
      </c>
      <c r="ET219" s="4">
        <v>0</v>
      </c>
      <c r="EU219" s="4"/>
      <c r="EV219" s="4"/>
    </row>
    <row r="220" spans="1:152" x14ac:dyDescent="0.15">
      <c r="A220" s="581" t="str">
        <f t="shared" si="21"/>
        <v>Crash Report</v>
      </c>
      <c r="B220" s="118">
        <v>20233239472</v>
      </c>
      <c r="C220" s="118">
        <v>2023</v>
      </c>
      <c r="D220" s="118">
        <v>23122724830940</v>
      </c>
      <c r="F220" s="118" t="s">
        <v>6442</v>
      </c>
      <c r="G220" s="118" t="s">
        <v>211</v>
      </c>
      <c r="H220" s="118">
        <v>2</v>
      </c>
      <c r="I220" s="118" t="s">
        <v>6055</v>
      </c>
      <c r="J220" s="118" t="s">
        <v>391</v>
      </c>
      <c r="K220" s="118" t="s">
        <v>6985</v>
      </c>
      <c r="L220" s="118">
        <v>0.77</v>
      </c>
      <c r="M220" s="118">
        <v>0.77</v>
      </c>
      <c r="N220" s="118" t="s">
        <v>7465</v>
      </c>
      <c r="O220" s="118" t="s">
        <v>7493</v>
      </c>
      <c r="P220" s="118">
        <v>41.654192000000002</v>
      </c>
      <c r="Q220" s="118">
        <v>-83.514189999999999</v>
      </c>
      <c r="R220" s="118">
        <v>77000</v>
      </c>
      <c r="S220" s="118" t="s">
        <v>6988</v>
      </c>
      <c r="T220" s="118">
        <v>1</v>
      </c>
      <c r="U220" s="118">
        <v>0</v>
      </c>
      <c r="V220" s="118">
        <v>0</v>
      </c>
      <c r="W220" s="118">
        <v>0</v>
      </c>
      <c r="X220" s="118">
        <v>0</v>
      </c>
      <c r="Y220" s="118">
        <v>2</v>
      </c>
      <c r="Z220" s="118">
        <v>0</v>
      </c>
      <c r="AA220" s="118">
        <v>2</v>
      </c>
      <c r="AB220" s="118" t="s">
        <v>1067</v>
      </c>
      <c r="AC220" s="118" t="s">
        <v>6989</v>
      </c>
      <c r="AD220" s="118" t="s">
        <v>1034</v>
      </c>
      <c r="AE220" s="118" t="s">
        <v>943</v>
      </c>
      <c r="AF220" s="118" t="s">
        <v>1041</v>
      </c>
      <c r="AG220" s="118" t="s">
        <v>6415</v>
      </c>
      <c r="AH220" s="118" t="s">
        <v>393</v>
      </c>
      <c r="AI220" s="118">
        <v>4</v>
      </c>
      <c r="AJ220" s="118" t="s">
        <v>6415</v>
      </c>
      <c r="AK220" s="118" t="s">
        <v>393</v>
      </c>
      <c r="AL220" s="118" t="s">
        <v>393</v>
      </c>
      <c r="AM220" s="118" t="s">
        <v>393</v>
      </c>
      <c r="AN220" s="402" t="s">
        <v>5975</v>
      </c>
      <c r="AO220" s="402">
        <v>45287</v>
      </c>
      <c r="AP220" s="118">
        <v>12</v>
      </c>
      <c r="AQ220" s="118">
        <v>9</v>
      </c>
      <c r="AR220" s="118" t="s">
        <v>6446</v>
      </c>
      <c r="AS220" s="118" t="s">
        <v>392</v>
      </c>
      <c r="AT220" s="118" t="s">
        <v>500</v>
      </c>
      <c r="AU220" s="118" t="s">
        <v>404</v>
      </c>
      <c r="AV220" s="118" t="s">
        <v>508</v>
      </c>
      <c r="AW220" s="118" t="s">
        <v>393</v>
      </c>
      <c r="AX220" s="118" t="s">
        <v>740</v>
      </c>
      <c r="AY220" s="118" t="s">
        <v>393</v>
      </c>
      <c r="AZ220" s="118" t="s">
        <v>393</v>
      </c>
      <c r="BA220" s="118" t="s">
        <v>393</v>
      </c>
      <c r="BB220" s="118" t="s">
        <v>393</v>
      </c>
      <c r="BC220" s="118" t="s">
        <v>393</v>
      </c>
      <c r="BD220" s="118" t="s">
        <v>393</v>
      </c>
      <c r="BE220" s="118" t="s">
        <v>393</v>
      </c>
      <c r="BF220" s="118" t="s">
        <v>393</v>
      </c>
      <c r="BG220" s="118" t="s">
        <v>393</v>
      </c>
      <c r="BH220" s="118" t="s">
        <v>394</v>
      </c>
      <c r="BI220" s="118" t="s">
        <v>394</v>
      </c>
      <c r="BJ220" s="118" t="s">
        <v>393</v>
      </c>
      <c r="BK220" s="118" t="s">
        <v>6988</v>
      </c>
      <c r="BL220" s="118" t="s">
        <v>6415</v>
      </c>
      <c r="BM220" s="118" t="s">
        <v>6990</v>
      </c>
      <c r="BN220" s="118" t="s">
        <v>6991</v>
      </c>
      <c r="BO220" s="118" t="s">
        <v>6415</v>
      </c>
      <c r="BP220" s="118" t="s">
        <v>6415</v>
      </c>
      <c r="BQ220" s="118" t="s">
        <v>6415</v>
      </c>
      <c r="BR220" s="118" t="s">
        <v>6415</v>
      </c>
      <c r="BS220" s="118" t="s">
        <v>6415</v>
      </c>
      <c r="BT220" s="118" t="s">
        <v>7214</v>
      </c>
      <c r="BU220" s="118" t="s">
        <v>6991</v>
      </c>
      <c r="BV220" s="118" t="s">
        <v>6415</v>
      </c>
      <c r="BW220" s="118" t="s">
        <v>6415</v>
      </c>
      <c r="BX220" s="118" t="s">
        <v>6415</v>
      </c>
      <c r="BY220" s="118" t="s">
        <v>6415</v>
      </c>
      <c r="BZ220" s="118" t="s">
        <v>6415</v>
      </c>
      <c r="CA220" s="118" t="s">
        <v>6415</v>
      </c>
      <c r="CB220" s="118" t="s">
        <v>221</v>
      </c>
      <c r="CC220" s="118" t="s">
        <v>740</v>
      </c>
      <c r="CD220" s="118">
        <v>2</v>
      </c>
      <c r="CE220" s="118" t="s">
        <v>410</v>
      </c>
      <c r="CF220" s="118" t="s">
        <v>406</v>
      </c>
      <c r="CG220" s="118" t="s">
        <v>230</v>
      </c>
      <c r="CH220" s="118" t="s">
        <v>433</v>
      </c>
      <c r="CI220" s="118" t="s">
        <v>6303</v>
      </c>
      <c r="CJ220" s="118" t="s">
        <v>398</v>
      </c>
      <c r="CK220" s="118">
        <v>20</v>
      </c>
      <c r="CL220" s="118">
        <v>35</v>
      </c>
      <c r="CM220" s="118" t="s">
        <v>444</v>
      </c>
      <c r="CN220" s="118" t="s">
        <v>6327</v>
      </c>
      <c r="CO220" s="118" t="s">
        <v>1096</v>
      </c>
      <c r="CP220" s="118" t="s">
        <v>400</v>
      </c>
      <c r="CQ220" s="118" t="s">
        <v>6415</v>
      </c>
      <c r="CR220" s="118" t="s">
        <v>6415</v>
      </c>
      <c r="CS220" s="118" t="s">
        <v>6415</v>
      </c>
      <c r="CT220" s="118" t="s">
        <v>6415</v>
      </c>
      <c r="CU220" s="118" t="s">
        <v>6415</v>
      </c>
      <c r="CV220" s="118" t="s">
        <v>6415</v>
      </c>
      <c r="CW220" s="118">
        <v>49</v>
      </c>
      <c r="CX220" s="118" t="s">
        <v>1066</v>
      </c>
      <c r="CY220" s="118" t="s">
        <v>6151</v>
      </c>
      <c r="CZ220" s="118">
        <v>1</v>
      </c>
      <c r="DA220" s="118" t="s">
        <v>405</v>
      </c>
      <c r="DB220" s="118" t="s">
        <v>406</v>
      </c>
      <c r="DC220" s="118" t="s">
        <v>6415</v>
      </c>
      <c r="DD220" s="118" t="s">
        <v>6302</v>
      </c>
      <c r="DE220" s="118" t="s">
        <v>6306</v>
      </c>
      <c r="DF220" s="118" t="s">
        <v>443</v>
      </c>
      <c r="DG220" s="118">
        <v>35</v>
      </c>
      <c r="DH220" s="118">
        <v>35</v>
      </c>
      <c r="DI220" s="118" t="s">
        <v>399</v>
      </c>
      <c r="DJ220" s="118" t="s">
        <v>398</v>
      </c>
      <c r="DK220" s="118" t="s">
        <v>400</v>
      </c>
      <c r="DL220" s="118" t="s">
        <v>6415</v>
      </c>
      <c r="DM220" s="118" t="s">
        <v>6415</v>
      </c>
      <c r="DN220" s="118" t="s">
        <v>6415</v>
      </c>
      <c r="DO220" s="118" t="s">
        <v>6415</v>
      </c>
      <c r="DP220" s="118" t="s">
        <v>6415</v>
      </c>
      <c r="DQ220" s="118" t="s">
        <v>6415</v>
      </c>
      <c r="DR220" s="118">
        <v>37</v>
      </c>
      <c r="DS220" s="118" t="s">
        <v>1068</v>
      </c>
      <c r="DT220" s="118" t="s">
        <v>6341</v>
      </c>
      <c r="DU220" s="118" t="s">
        <v>6415</v>
      </c>
      <c r="DV220" s="118" t="s">
        <v>6415</v>
      </c>
      <c r="DW220" s="118" t="s">
        <v>6415</v>
      </c>
      <c r="DX220" s="118" t="s">
        <v>6415</v>
      </c>
      <c r="DY220" s="118" t="s">
        <v>6415</v>
      </c>
      <c r="DZ220" s="118" t="s">
        <v>6415</v>
      </c>
      <c r="EA220" s="118" t="s">
        <v>6415</v>
      </c>
      <c r="EB220" s="118" t="s">
        <v>6415</v>
      </c>
      <c r="EC220" s="118" t="s">
        <v>6415</v>
      </c>
      <c r="ED220" s="118" t="s">
        <v>6415</v>
      </c>
      <c r="EE220" s="118" t="s">
        <v>6415</v>
      </c>
      <c r="EF220" s="118" t="s">
        <v>6415</v>
      </c>
      <c r="EG220" s="118" t="s">
        <v>7164</v>
      </c>
      <c r="EH220" s="118" t="s">
        <v>7206</v>
      </c>
      <c r="EI220" s="118" t="s">
        <v>6415</v>
      </c>
      <c r="EJ220" s="118" t="s">
        <v>6415</v>
      </c>
      <c r="EK220" s="118" t="s">
        <v>6415</v>
      </c>
      <c r="EL220" s="118" t="s">
        <v>7467</v>
      </c>
      <c r="EM220" s="118" t="s">
        <v>7334</v>
      </c>
      <c r="EN220" s="118" t="s">
        <v>6415</v>
      </c>
      <c r="EO220" s="6" t="str">
        <f t="shared" si="22"/>
        <v>Pathweb</v>
      </c>
      <c r="EP220" s="6" t="str">
        <f t="shared" si="23"/>
        <v>Google Maps</v>
      </c>
      <c r="EQ220" s="6" t="str">
        <f t="shared" si="24"/>
        <v>Mashed Map</v>
      </c>
      <c r="ER220" s="118" t="s">
        <v>6727</v>
      </c>
      <c r="ES220" s="118" t="s">
        <v>71</v>
      </c>
      <c r="ET220" s="4">
        <v>0</v>
      </c>
      <c r="EU220" s="4"/>
      <c r="EV220" s="4"/>
    </row>
    <row r="221" spans="1:152" x14ac:dyDescent="0.15">
      <c r="A221" s="581" t="str">
        <f t="shared" si="21"/>
        <v>Crash Report</v>
      </c>
      <c r="B221" s="14">
        <v>20243001556</v>
      </c>
      <c r="C221" s="118">
        <v>2024</v>
      </c>
      <c r="D221" s="14">
        <v>24010623450330</v>
      </c>
      <c r="F221" s="118" t="s">
        <v>6442</v>
      </c>
      <c r="G221" s="118" t="s">
        <v>402</v>
      </c>
      <c r="H221" s="118">
        <v>2</v>
      </c>
      <c r="I221" s="118" t="s">
        <v>6055</v>
      </c>
      <c r="J221" s="118" t="s">
        <v>423</v>
      </c>
      <c r="K221" s="118" t="s">
        <v>6985</v>
      </c>
      <c r="L221" s="118">
        <v>0.33200000000000002</v>
      </c>
      <c r="M221" s="118">
        <v>0.33200000000000002</v>
      </c>
      <c r="N221" s="118" t="s">
        <v>7465</v>
      </c>
      <c r="O221" s="118" t="s">
        <v>7487</v>
      </c>
      <c r="P221" s="118">
        <v>41.650196999999999</v>
      </c>
      <c r="Q221" s="118">
        <v>-83.520737999999994</v>
      </c>
      <c r="R221" s="118">
        <v>77000</v>
      </c>
      <c r="S221" s="118" t="s">
        <v>6988</v>
      </c>
      <c r="T221" s="118">
        <v>1</v>
      </c>
      <c r="U221" s="118">
        <v>0</v>
      </c>
      <c r="V221" s="118">
        <v>0</v>
      </c>
      <c r="W221" s="118">
        <v>0</v>
      </c>
      <c r="X221" s="118">
        <v>0</v>
      </c>
      <c r="Y221" s="118">
        <v>2</v>
      </c>
      <c r="Z221" s="118">
        <v>0</v>
      </c>
      <c r="AA221" s="118">
        <v>2</v>
      </c>
      <c r="AB221" s="118" t="s">
        <v>1067</v>
      </c>
      <c r="AC221" s="118" t="s">
        <v>6989</v>
      </c>
      <c r="AD221" s="118" t="s">
        <v>1034</v>
      </c>
      <c r="AE221" s="118" t="s">
        <v>943</v>
      </c>
      <c r="AF221" s="118" t="s">
        <v>1041</v>
      </c>
      <c r="AG221" s="118" t="s">
        <v>6415</v>
      </c>
      <c r="AH221" s="118" t="s">
        <v>393</v>
      </c>
      <c r="AI221" s="118">
        <v>4</v>
      </c>
      <c r="AJ221" s="118" t="s">
        <v>6415</v>
      </c>
      <c r="AK221" s="118" t="s">
        <v>393</v>
      </c>
      <c r="AL221" s="118" t="s">
        <v>393</v>
      </c>
      <c r="AM221" s="118" t="s">
        <v>393</v>
      </c>
      <c r="AN221" s="402" t="s">
        <v>5975</v>
      </c>
      <c r="AO221" s="402">
        <v>45297</v>
      </c>
      <c r="AP221" s="118">
        <v>1</v>
      </c>
      <c r="AQ221" s="118">
        <v>3</v>
      </c>
      <c r="AR221" s="118" t="s">
        <v>6449</v>
      </c>
      <c r="AS221" s="118" t="s">
        <v>392</v>
      </c>
      <c r="AT221" s="118" t="s">
        <v>500</v>
      </c>
      <c r="AU221" s="118" t="s">
        <v>505</v>
      </c>
      <c r="AV221" s="118" t="s">
        <v>508</v>
      </c>
      <c r="AW221" s="118" t="s">
        <v>393</v>
      </c>
      <c r="AX221" s="118" t="s">
        <v>740</v>
      </c>
      <c r="AY221" s="118" t="s">
        <v>393</v>
      </c>
      <c r="AZ221" s="118" t="s">
        <v>393</v>
      </c>
      <c r="BA221" s="118" t="s">
        <v>393</v>
      </c>
      <c r="BB221" s="118" t="s">
        <v>393</v>
      </c>
      <c r="BC221" s="118" t="s">
        <v>393</v>
      </c>
      <c r="BD221" s="118" t="s">
        <v>393</v>
      </c>
      <c r="BE221" s="118" t="s">
        <v>393</v>
      </c>
      <c r="BF221" s="118" t="s">
        <v>393</v>
      </c>
      <c r="BG221" s="118" t="s">
        <v>393</v>
      </c>
      <c r="BH221" s="118" t="s">
        <v>394</v>
      </c>
      <c r="BI221" s="118" t="s">
        <v>394</v>
      </c>
      <c r="BJ221" s="118" t="s">
        <v>393</v>
      </c>
      <c r="BK221" s="118" t="s">
        <v>6988</v>
      </c>
      <c r="BL221" s="118" t="s">
        <v>6415</v>
      </c>
      <c r="BM221" s="118" t="s">
        <v>6990</v>
      </c>
      <c r="BN221" s="118" t="s">
        <v>6991</v>
      </c>
      <c r="BO221" s="118" t="s">
        <v>6415</v>
      </c>
      <c r="BP221" s="118" t="s">
        <v>6415</v>
      </c>
      <c r="BQ221" s="118" t="s">
        <v>6415</v>
      </c>
      <c r="BR221" s="118" t="s">
        <v>6415</v>
      </c>
      <c r="BS221" s="118" t="s">
        <v>6415</v>
      </c>
      <c r="BT221" s="118" t="s">
        <v>7123</v>
      </c>
      <c r="BU221" s="118" t="s">
        <v>7057</v>
      </c>
      <c r="BV221" s="118" t="s">
        <v>6415</v>
      </c>
      <c r="BW221" s="118" t="s">
        <v>6415</v>
      </c>
      <c r="BX221" s="118" t="s">
        <v>6415</v>
      </c>
      <c r="BY221" s="118" t="s">
        <v>6415</v>
      </c>
      <c r="BZ221" s="118" t="s">
        <v>6415</v>
      </c>
      <c r="CA221" s="118" t="s">
        <v>6415</v>
      </c>
      <c r="CB221" s="118" t="s">
        <v>221</v>
      </c>
      <c r="CC221" s="118" t="s">
        <v>740</v>
      </c>
      <c r="CD221" s="118">
        <v>1</v>
      </c>
      <c r="CE221" s="118" t="s">
        <v>410</v>
      </c>
      <c r="CF221" s="118" t="s">
        <v>411</v>
      </c>
      <c r="CG221" s="118" t="s">
        <v>924</v>
      </c>
      <c r="CH221" s="118" t="s">
        <v>6302</v>
      </c>
      <c r="CI221" s="118" t="s">
        <v>6305</v>
      </c>
      <c r="CJ221" s="118" t="s">
        <v>398</v>
      </c>
      <c r="CK221" s="14">
        <v>0</v>
      </c>
      <c r="CL221" s="118">
        <v>45</v>
      </c>
      <c r="CM221" s="118" t="s">
        <v>408</v>
      </c>
      <c r="CN221" s="118" t="s">
        <v>6330</v>
      </c>
      <c r="CO221" s="118" t="s">
        <v>1096</v>
      </c>
      <c r="CP221" s="118" t="s">
        <v>400</v>
      </c>
      <c r="CQ221" s="118" t="s">
        <v>6415</v>
      </c>
      <c r="CR221" s="118" t="s">
        <v>6415</v>
      </c>
      <c r="CS221" s="118" t="s">
        <v>6415</v>
      </c>
      <c r="CT221" s="118" t="s">
        <v>6415</v>
      </c>
      <c r="CU221" s="118" t="s">
        <v>6415</v>
      </c>
      <c r="CV221" s="118" t="s">
        <v>6415</v>
      </c>
      <c r="CW221" s="14">
        <v>0</v>
      </c>
      <c r="CX221" s="118" t="s">
        <v>401</v>
      </c>
      <c r="CY221" s="118" t="s">
        <v>6151</v>
      </c>
      <c r="CZ221" s="118">
        <v>2</v>
      </c>
      <c r="DA221" s="118" t="s">
        <v>410</v>
      </c>
      <c r="DB221" s="118" t="s">
        <v>411</v>
      </c>
      <c r="DC221" s="118" t="s">
        <v>6415</v>
      </c>
      <c r="DD221" s="118" t="s">
        <v>6302</v>
      </c>
      <c r="DE221" s="118" t="s">
        <v>417</v>
      </c>
      <c r="DF221" s="118" t="s">
        <v>398</v>
      </c>
      <c r="DG221" s="118" t="s">
        <v>6415</v>
      </c>
      <c r="DH221" s="118">
        <v>45</v>
      </c>
      <c r="DI221" s="118" t="s">
        <v>6355</v>
      </c>
      <c r="DJ221" s="118" t="s">
        <v>398</v>
      </c>
      <c r="DK221" s="118" t="s">
        <v>400</v>
      </c>
      <c r="DL221" s="118" t="s">
        <v>6415</v>
      </c>
      <c r="DM221" s="118" t="s">
        <v>6415</v>
      </c>
      <c r="DN221" s="118" t="s">
        <v>6415</v>
      </c>
      <c r="DO221" s="118" t="s">
        <v>6415</v>
      </c>
      <c r="DP221" s="118" t="s">
        <v>6415</v>
      </c>
      <c r="DQ221" s="118" t="s">
        <v>6415</v>
      </c>
      <c r="DR221" s="118">
        <v>30</v>
      </c>
      <c r="DS221" s="118" t="s">
        <v>1066</v>
      </c>
      <c r="DT221" s="118" t="s">
        <v>6341</v>
      </c>
      <c r="DU221" s="118" t="s">
        <v>6415</v>
      </c>
      <c r="DV221" s="118" t="s">
        <v>6415</v>
      </c>
      <c r="DW221" s="118" t="s">
        <v>6415</v>
      </c>
      <c r="DX221" s="118" t="s">
        <v>6415</v>
      </c>
      <c r="DY221" s="118" t="s">
        <v>6415</v>
      </c>
      <c r="DZ221" s="118" t="s">
        <v>6415</v>
      </c>
      <c r="EA221" s="118" t="s">
        <v>6415</v>
      </c>
      <c r="EB221" s="118" t="s">
        <v>6415</v>
      </c>
      <c r="EC221" s="118" t="s">
        <v>6415</v>
      </c>
      <c r="ED221" s="118" t="s">
        <v>6415</v>
      </c>
      <c r="EE221" s="118" t="s">
        <v>6415</v>
      </c>
      <c r="EF221" s="118" t="s">
        <v>6415</v>
      </c>
      <c r="EG221" s="118" t="s">
        <v>7121</v>
      </c>
      <c r="EH221" s="118" t="s">
        <v>7281</v>
      </c>
      <c r="EI221" s="118" t="s">
        <v>6415</v>
      </c>
      <c r="EJ221" s="118" t="s">
        <v>6415</v>
      </c>
      <c r="EK221" s="118" t="s">
        <v>6415</v>
      </c>
      <c r="EL221" s="118" t="s">
        <v>7467</v>
      </c>
      <c r="EM221" s="118" t="s">
        <v>7335</v>
      </c>
      <c r="EN221" s="118" t="s">
        <v>6415</v>
      </c>
      <c r="EO221" s="6" t="str">
        <f t="shared" si="22"/>
        <v>Pathweb</v>
      </c>
      <c r="EP221" s="6" t="str">
        <f t="shared" si="23"/>
        <v>Google Maps</v>
      </c>
      <c r="EQ221" s="6" t="str">
        <f t="shared" si="24"/>
        <v>Mashed Map</v>
      </c>
      <c r="ER221" s="118" t="s">
        <v>6727</v>
      </c>
      <c r="ES221" s="118" t="s">
        <v>71</v>
      </c>
      <c r="ET221" s="4">
        <v>0</v>
      </c>
      <c r="EU221" s="4"/>
      <c r="EV221" s="4"/>
    </row>
    <row r="222" spans="1:152" x14ac:dyDescent="0.15">
      <c r="A222" s="581" t="str">
        <f t="shared" si="21"/>
        <v>Crash Report</v>
      </c>
      <c r="B222" s="14">
        <v>20243002597</v>
      </c>
      <c r="C222" s="118">
        <v>2024</v>
      </c>
      <c r="D222" s="14">
        <v>1082428962322</v>
      </c>
      <c r="F222" s="118" t="s">
        <v>6442</v>
      </c>
      <c r="G222" s="118" t="s">
        <v>409</v>
      </c>
      <c r="H222" s="118">
        <v>2</v>
      </c>
      <c r="I222" s="118" t="s">
        <v>6055</v>
      </c>
      <c r="J222" s="118" t="s">
        <v>391</v>
      </c>
      <c r="K222" s="118" t="s">
        <v>6985</v>
      </c>
      <c r="L222" s="118">
        <v>0.14899999999999999</v>
      </c>
      <c r="M222" s="118">
        <v>0.14899999999999999</v>
      </c>
      <c r="N222" s="118" t="s">
        <v>7465</v>
      </c>
      <c r="O222" s="118" t="s">
        <v>7466</v>
      </c>
      <c r="P222" s="118">
        <v>41.648522999999997</v>
      </c>
      <c r="Q222" s="118">
        <v>-83.523471000000001</v>
      </c>
      <c r="R222" s="118">
        <v>77000</v>
      </c>
      <c r="S222" s="118" t="s">
        <v>6988</v>
      </c>
      <c r="T222" s="118">
        <v>1</v>
      </c>
      <c r="U222" s="118">
        <v>0</v>
      </c>
      <c r="V222" s="118">
        <v>0</v>
      </c>
      <c r="W222" s="118">
        <v>0</v>
      </c>
      <c r="X222" s="118">
        <v>0</v>
      </c>
      <c r="Y222" s="118">
        <v>1</v>
      </c>
      <c r="Z222" s="118">
        <v>0</v>
      </c>
      <c r="AA222" s="118">
        <v>1</v>
      </c>
      <c r="AB222" s="118" t="s">
        <v>1067</v>
      </c>
      <c r="AC222" s="118" t="s">
        <v>6989</v>
      </c>
      <c r="AD222" s="118" t="s">
        <v>1034</v>
      </c>
      <c r="AE222" s="118" t="s">
        <v>943</v>
      </c>
      <c r="AF222" s="118" t="s">
        <v>1042</v>
      </c>
      <c r="AG222" s="118" t="s">
        <v>6415</v>
      </c>
      <c r="AH222" s="118" t="s">
        <v>393</v>
      </c>
      <c r="AI222" s="118">
        <v>4</v>
      </c>
      <c r="AJ222" s="118" t="s">
        <v>6415</v>
      </c>
      <c r="AK222" s="118" t="s">
        <v>393</v>
      </c>
      <c r="AL222" s="118" t="s">
        <v>393</v>
      </c>
      <c r="AM222" s="118" t="s">
        <v>393</v>
      </c>
      <c r="AN222" s="402" t="s">
        <v>5975</v>
      </c>
      <c r="AO222" s="402">
        <v>45299</v>
      </c>
      <c r="AP222" s="118">
        <v>1</v>
      </c>
      <c r="AQ222" s="118">
        <v>23</v>
      </c>
      <c r="AR222" s="118" t="s">
        <v>6444</v>
      </c>
      <c r="AS222" s="118" t="s">
        <v>392</v>
      </c>
      <c r="AT222" s="118" t="s">
        <v>500</v>
      </c>
      <c r="AU222" s="118" t="s">
        <v>505</v>
      </c>
      <c r="AV222" s="118" t="s">
        <v>508</v>
      </c>
      <c r="AW222" s="118" t="s">
        <v>740</v>
      </c>
      <c r="AX222" s="118" t="s">
        <v>393</v>
      </c>
      <c r="AY222" s="118" t="s">
        <v>393</v>
      </c>
      <c r="AZ222" s="118" t="s">
        <v>393</v>
      </c>
      <c r="BA222" s="118" t="s">
        <v>393</v>
      </c>
      <c r="BB222" s="118" t="s">
        <v>393</v>
      </c>
      <c r="BC222" s="118" t="s">
        <v>393</v>
      </c>
      <c r="BD222" s="118" t="s">
        <v>393</v>
      </c>
      <c r="BE222" s="118" t="s">
        <v>393</v>
      </c>
      <c r="BF222" s="118" t="s">
        <v>393</v>
      </c>
      <c r="BG222" s="118" t="s">
        <v>393</v>
      </c>
      <c r="BH222" s="118" t="s">
        <v>394</v>
      </c>
      <c r="BI222" s="118" t="s">
        <v>394</v>
      </c>
      <c r="BJ222" s="118" t="s">
        <v>393</v>
      </c>
      <c r="BK222" s="118" t="s">
        <v>6988</v>
      </c>
      <c r="BL222" s="118" t="s">
        <v>6415</v>
      </c>
      <c r="BM222" s="118" t="s">
        <v>6990</v>
      </c>
      <c r="BN222" s="118" t="s">
        <v>6991</v>
      </c>
      <c r="BO222" s="118" t="s">
        <v>6415</v>
      </c>
      <c r="BP222" s="118" t="s">
        <v>6415</v>
      </c>
      <c r="BQ222" s="118" t="s">
        <v>6415</v>
      </c>
      <c r="BR222" s="118" t="s">
        <v>6415</v>
      </c>
      <c r="BS222" s="118" t="s">
        <v>6415</v>
      </c>
      <c r="BT222" s="118" t="s">
        <v>6992</v>
      </c>
      <c r="BU222" s="118" t="s">
        <v>6991</v>
      </c>
      <c r="BV222" s="118" t="s">
        <v>6415</v>
      </c>
      <c r="BW222" s="118" t="s">
        <v>6415</v>
      </c>
      <c r="BX222" s="118" t="s">
        <v>6415</v>
      </c>
      <c r="BY222" s="118" t="s">
        <v>6415</v>
      </c>
      <c r="BZ222" s="118" t="s">
        <v>6415</v>
      </c>
      <c r="CA222" s="118" t="s">
        <v>6415</v>
      </c>
      <c r="CB222" s="118" t="s">
        <v>221</v>
      </c>
      <c r="CC222" s="118" t="s">
        <v>740</v>
      </c>
      <c r="CD222" s="118">
        <v>1</v>
      </c>
      <c r="CE222" s="118" t="s">
        <v>406</v>
      </c>
      <c r="CF222" s="118" t="s">
        <v>405</v>
      </c>
      <c r="CG222" s="118" t="s">
        <v>924</v>
      </c>
      <c r="CH222" s="118" t="s">
        <v>6302</v>
      </c>
      <c r="CI222" s="118" t="s">
        <v>417</v>
      </c>
      <c r="CJ222" s="118" t="s">
        <v>398</v>
      </c>
      <c r="CK222" s="14">
        <v>0</v>
      </c>
      <c r="CL222" s="118">
        <v>0</v>
      </c>
      <c r="CM222" s="118" t="s">
        <v>399</v>
      </c>
      <c r="CN222" s="118" t="s">
        <v>6331</v>
      </c>
      <c r="CO222" s="118" t="s">
        <v>1096</v>
      </c>
      <c r="CP222" s="118" t="s">
        <v>432</v>
      </c>
      <c r="CQ222" s="118" t="s">
        <v>6415</v>
      </c>
      <c r="CR222" s="118" t="s">
        <v>6415</v>
      </c>
      <c r="CS222" s="118" t="s">
        <v>6415</v>
      </c>
      <c r="CT222" s="118" t="s">
        <v>6415</v>
      </c>
      <c r="CU222" s="118" t="s">
        <v>6415</v>
      </c>
      <c r="CV222" s="118" t="s">
        <v>6415</v>
      </c>
      <c r="CW222" s="14">
        <v>0</v>
      </c>
      <c r="CX222" s="118" t="s">
        <v>401</v>
      </c>
      <c r="CY222" s="118" t="s">
        <v>6151</v>
      </c>
      <c r="CZ222" s="118" t="s">
        <v>6415</v>
      </c>
      <c r="DA222" s="118" t="s">
        <v>6415</v>
      </c>
      <c r="DB222" s="118" t="s">
        <v>6415</v>
      </c>
      <c r="DC222" s="118" t="s">
        <v>6415</v>
      </c>
      <c r="DD222" s="118" t="s">
        <v>6415</v>
      </c>
      <c r="DE222" s="118" t="s">
        <v>6415</v>
      </c>
      <c r="DF222" s="118" t="s">
        <v>6415</v>
      </c>
      <c r="DG222" s="118" t="s">
        <v>6415</v>
      </c>
      <c r="DH222" s="118" t="s">
        <v>6415</v>
      </c>
      <c r="DI222" s="118" t="s">
        <v>6415</v>
      </c>
      <c r="DJ222" s="118" t="s">
        <v>6415</v>
      </c>
      <c r="DK222" s="118" t="s">
        <v>6415</v>
      </c>
      <c r="DL222" s="118" t="s">
        <v>6415</v>
      </c>
      <c r="DM222" s="118" t="s">
        <v>6415</v>
      </c>
      <c r="DN222" s="118" t="s">
        <v>6415</v>
      </c>
      <c r="DO222" s="118" t="s">
        <v>6415</v>
      </c>
      <c r="DP222" s="118" t="s">
        <v>6415</v>
      </c>
      <c r="DQ222" s="118" t="s">
        <v>6415</v>
      </c>
      <c r="DR222" s="118">
        <v>0</v>
      </c>
      <c r="DS222" s="118" t="s">
        <v>6415</v>
      </c>
      <c r="DT222" s="118" t="s">
        <v>6415</v>
      </c>
      <c r="DU222" s="118" t="s">
        <v>6415</v>
      </c>
      <c r="DV222" s="118" t="s">
        <v>6415</v>
      </c>
      <c r="DW222" s="118" t="s">
        <v>6415</v>
      </c>
      <c r="DX222" s="118" t="s">
        <v>6415</v>
      </c>
      <c r="DY222" s="118" t="s">
        <v>6415</v>
      </c>
      <c r="DZ222" s="118" t="s">
        <v>6415</v>
      </c>
      <c r="EA222" s="118" t="s">
        <v>6415</v>
      </c>
      <c r="EB222" s="118" t="s">
        <v>6415</v>
      </c>
      <c r="EC222" s="118" t="s">
        <v>6415</v>
      </c>
      <c r="ED222" s="118" t="s">
        <v>6415</v>
      </c>
      <c r="EE222" s="118" t="s">
        <v>6415</v>
      </c>
      <c r="EF222" s="118" t="s">
        <v>6415</v>
      </c>
      <c r="EG222" s="118" t="s">
        <v>6986</v>
      </c>
      <c r="EH222" s="118" t="s">
        <v>6987</v>
      </c>
      <c r="EI222" s="118" t="s">
        <v>6415</v>
      </c>
      <c r="EJ222" s="118" t="s">
        <v>6415</v>
      </c>
      <c r="EK222" s="118" t="s">
        <v>6415</v>
      </c>
      <c r="EL222" s="118" t="s">
        <v>7467</v>
      </c>
      <c r="EM222" s="118" t="s">
        <v>7336</v>
      </c>
      <c r="EN222" s="118" t="s">
        <v>6415</v>
      </c>
      <c r="EO222" s="6" t="str">
        <f t="shared" si="22"/>
        <v>Pathweb</v>
      </c>
      <c r="EP222" s="6" t="str">
        <f t="shared" si="23"/>
        <v>Google Maps</v>
      </c>
      <c r="EQ222" s="6" t="str">
        <f t="shared" si="24"/>
        <v>Mashed Map</v>
      </c>
      <c r="ER222" s="118" t="s">
        <v>6726</v>
      </c>
      <c r="ES222" s="118" t="s">
        <v>71</v>
      </c>
      <c r="ET222" s="4">
        <v>4.2999999999999997E-2</v>
      </c>
      <c r="EU222" s="4"/>
      <c r="EV222" s="4"/>
    </row>
    <row r="223" spans="1:152" x14ac:dyDescent="0.15">
      <c r="A223" s="581" t="str">
        <f t="shared" si="21"/>
        <v>Crash Report</v>
      </c>
      <c r="B223" s="118">
        <v>20243002613</v>
      </c>
      <c r="C223" s="118">
        <v>2024</v>
      </c>
      <c r="D223" s="118">
        <v>24010829192251</v>
      </c>
      <c r="F223" s="118" t="s">
        <v>6442</v>
      </c>
      <c r="G223" s="118" t="s">
        <v>230</v>
      </c>
      <c r="H223" s="118">
        <v>2</v>
      </c>
      <c r="I223" s="118" t="s">
        <v>6055</v>
      </c>
      <c r="J223" s="118" t="s">
        <v>391</v>
      </c>
      <c r="K223" s="118" t="s">
        <v>6985</v>
      </c>
      <c r="L223" s="118">
        <v>0.57199999999999995</v>
      </c>
      <c r="M223" s="118">
        <v>0.57199999999999995</v>
      </c>
      <c r="N223" s="118" t="s">
        <v>7465</v>
      </c>
      <c r="O223" s="118" t="s">
        <v>7499</v>
      </c>
      <c r="P223" s="118">
        <v>41.652388000000002</v>
      </c>
      <c r="Q223" s="118">
        <v>-83.517151999999996</v>
      </c>
      <c r="R223" s="118">
        <v>77000</v>
      </c>
      <c r="S223" s="118" t="s">
        <v>6988</v>
      </c>
      <c r="T223" s="118">
        <v>1</v>
      </c>
      <c r="U223" s="118">
        <v>0</v>
      </c>
      <c r="V223" s="118">
        <v>0</v>
      </c>
      <c r="W223" s="118">
        <v>0</v>
      </c>
      <c r="X223" s="118">
        <v>0</v>
      </c>
      <c r="Y223" s="118">
        <v>4</v>
      </c>
      <c r="Z223" s="118">
        <v>0</v>
      </c>
      <c r="AA223" s="118">
        <v>2</v>
      </c>
      <c r="AB223" s="118" t="s">
        <v>1067</v>
      </c>
      <c r="AC223" s="118" t="s">
        <v>6989</v>
      </c>
      <c r="AD223" s="118" t="s">
        <v>1034</v>
      </c>
      <c r="AE223" s="118" t="s">
        <v>943</v>
      </c>
      <c r="AF223" s="118" t="s">
        <v>1041</v>
      </c>
      <c r="AG223" s="118" t="s">
        <v>6415</v>
      </c>
      <c r="AH223" s="118" t="s">
        <v>393</v>
      </c>
      <c r="AI223" s="118">
        <v>4</v>
      </c>
      <c r="AJ223" s="118" t="s">
        <v>6415</v>
      </c>
      <c r="AK223" s="118" t="s">
        <v>393</v>
      </c>
      <c r="AL223" s="118" t="s">
        <v>393</v>
      </c>
      <c r="AM223" s="118" t="s">
        <v>393</v>
      </c>
      <c r="AN223" s="402" t="s">
        <v>5975</v>
      </c>
      <c r="AO223" s="402">
        <v>45299</v>
      </c>
      <c r="AP223" s="118">
        <v>1</v>
      </c>
      <c r="AQ223" s="118">
        <v>22</v>
      </c>
      <c r="AR223" s="118" t="s">
        <v>6444</v>
      </c>
      <c r="AS223" s="118" t="s">
        <v>392</v>
      </c>
      <c r="AT223" s="118" t="s">
        <v>500</v>
      </c>
      <c r="AU223" s="118" t="s">
        <v>505</v>
      </c>
      <c r="AV223" s="118" t="s">
        <v>508</v>
      </c>
      <c r="AW223" s="118" t="s">
        <v>393</v>
      </c>
      <c r="AX223" s="118" t="s">
        <v>393</v>
      </c>
      <c r="AY223" s="118" t="s">
        <v>393</v>
      </c>
      <c r="AZ223" s="118" t="s">
        <v>393</v>
      </c>
      <c r="BA223" s="118" t="s">
        <v>393</v>
      </c>
      <c r="BB223" s="118" t="s">
        <v>393</v>
      </c>
      <c r="BC223" s="118" t="s">
        <v>393</v>
      </c>
      <c r="BD223" s="118" t="s">
        <v>393</v>
      </c>
      <c r="BE223" s="118" t="s">
        <v>393</v>
      </c>
      <c r="BF223" s="118" t="s">
        <v>393</v>
      </c>
      <c r="BG223" s="118" t="s">
        <v>393</v>
      </c>
      <c r="BH223" s="118" t="s">
        <v>394</v>
      </c>
      <c r="BI223" s="118" t="s">
        <v>394</v>
      </c>
      <c r="BJ223" s="118" t="s">
        <v>393</v>
      </c>
      <c r="BK223" s="118" t="s">
        <v>6988</v>
      </c>
      <c r="BL223" s="118" t="s">
        <v>6415</v>
      </c>
      <c r="BM223" s="118" t="s">
        <v>6990</v>
      </c>
      <c r="BN223" s="118" t="s">
        <v>6991</v>
      </c>
      <c r="BO223" s="118" t="s">
        <v>6415</v>
      </c>
      <c r="BP223" s="118" t="s">
        <v>6415</v>
      </c>
      <c r="BQ223" s="118" t="s">
        <v>6415</v>
      </c>
      <c r="BR223" s="118" t="s">
        <v>6415</v>
      </c>
      <c r="BS223" s="118" t="s">
        <v>6415</v>
      </c>
      <c r="BT223" s="118" t="s">
        <v>5832</v>
      </c>
      <c r="BU223" s="118" t="s">
        <v>6991</v>
      </c>
      <c r="BV223" s="118" t="s">
        <v>6415</v>
      </c>
      <c r="BW223" s="118" t="s">
        <v>6415</v>
      </c>
      <c r="BX223" s="118" t="s">
        <v>6415</v>
      </c>
      <c r="BY223" s="118" t="s">
        <v>6415</v>
      </c>
      <c r="BZ223" s="118" t="s">
        <v>6415</v>
      </c>
      <c r="CA223" s="118" t="s">
        <v>6415</v>
      </c>
      <c r="CB223" s="118" t="s">
        <v>221</v>
      </c>
      <c r="CC223" s="118" t="s">
        <v>740</v>
      </c>
      <c r="CD223" s="118">
        <v>1</v>
      </c>
      <c r="CE223" s="118" t="s">
        <v>405</v>
      </c>
      <c r="CF223" s="118" t="s">
        <v>406</v>
      </c>
      <c r="CG223" s="118" t="s">
        <v>924</v>
      </c>
      <c r="CH223" s="118" t="s">
        <v>6302</v>
      </c>
      <c r="CI223" s="118" t="s">
        <v>6305</v>
      </c>
      <c r="CJ223" s="118" t="s">
        <v>398</v>
      </c>
      <c r="CK223" s="118">
        <v>0</v>
      </c>
      <c r="CL223" s="118">
        <v>35</v>
      </c>
      <c r="CM223" s="118" t="s">
        <v>463</v>
      </c>
      <c r="CN223" s="118" t="s">
        <v>6328</v>
      </c>
      <c r="CO223" s="118" t="s">
        <v>1096</v>
      </c>
      <c r="CP223" s="118" t="s">
        <v>400</v>
      </c>
      <c r="CQ223" s="118" t="s">
        <v>6415</v>
      </c>
      <c r="CR223" s="118" t="s">
        <v>6415</v>
      </c>
      <c r="CS223" s="118" t="s">
        <v>6415</v>
      </c>
      <c r="CT223" s="118" t="s">
        <v>6415</v>
      </c>
      <c r="CU223" s="118" t="s">
        <v>6415</v>
      </c>
      <c r="CV223" s="118" t="s">
        <v>6415</v>
      </c>
      <c r="CW223" s="118">
        <v>30</v>
      </c>
      <c r="CX223" s="118" t="s">
        <v>1068</v>
      </c>
      <c r="CY223" s="118" t="s">
        <v>6341</v>
      </c>
      <c r="CZ223" s="118">
        <v>2</v>
      </c>
      <c r="DA223" s="118" t="s">
        <v>406</v>
      </c>
      <c r="DB223" s="118" t="s">
        <v>405</v>
      </c>
      <c r="DC223" s="118" t="s">
        <v>6415</v>
      </c>
      <c r="DD223" s="118" t="s">
        <v>6302</v>
      </c>
      <c r="DE223" s="118" t="s">
        <v>6314</v>
      </c>
      <c r="DF223" s="118" t="s">
        <v>481</v>
      </c>
      <c r="DG223" s="118" t="s">
        <v>6415</v>
      </c>
      <c r="DH223" s="118">
        <v>35</v>
      </c>
      <c r="DI223" s="118" t="s">
        <v>399</v>
      </c>
      <c r="DJ223" s="118" t="s">
        <v>398</v>
      </c>
      <c r="DK223" s="118" t="s">
        <v>400</v>
      </c>
      <c r="DL223" s="118" t="s">
        <v>6415</v>
      </c>
      <c r="DM223" s="118" t="s">
        <v>6415</v>
      </c>
      <c r="DN223" s="118" t="s">
        <v>6415</v>
      </c>
      <c r="DO223" s="118" t="s">
        <v>6415</v>
      </c>
      <c r="DP223" s="118" t="s">
        <v>6415</v>
      </c>
      <c r="DQ223" s="118" t="s">
        <v>6415</v>
      </c>
      <c r="DR223" s="118">
        <v>38</v>
      </c>
      <c r="DS223" s="118" t="s">
        <v>1066</v>
      </c>
      <c r="DT223" s="118" t="s">
        <v>6341</v>
      </c>
      <c r="DU223" s="118" t="s">
        <v>6415</v>
      </c>
      <c r="DV223" s="118" t="s">
        <v>6415</v>
      </c>
      <c r="DW223" s="118" t="s">
        <v>6415</v>
      </c>
      <c r="DX223" s="118" t="s">
        <v>6415</v>
      </c>
      <c r="DY223" s="118" t="s">
        <v>6415</v>
      </c>
      <c r="DZ223" s="118" t="s">
        <v>6415</v>
      </c>
      <c r="EA223" s="118" t="s">
        <v>6415</v>
      </c>
      <c r="EB223" s="118" t="s">
        <v>6415</v>
      </c>
      <c r="EC223" s="118" t="s">
        <v>6415</v>
      </c>
      <c r="ED223" s="118" t="s">
        <v>6415</v>
      </c>
      <c r="EE223" s="118" t="s">
        <v>6415</v>
      </c>
      <c r="EF223" s="118" t="s">
        <v>6415</v>
      </c>
      <c r="EG223" s="118" t="s">
        <v>7210</v>
      </c>
      <c r="EH223" s="118" t="s">
        <v>7338</v>
      </c>
      <c r="EI223" s="118" t="s">
        <v>6415</v>
      </c>
      <c r="EJ223" s="118" t="s">
        <v>6415</v>
      </c>
      <c r="EK223" s="118" t="s">
        <v>6415</v>
      </c>
      <c r="EL223" s="118" t="s">
        <v>7467</v>
      </c>
      <c r="EM223" s="118" t="s">
        <v>7337</v>
      </c>
      <c r="EN223" s="118" t="s">
        <v>6415</v>
      </c>
      <c r="EO223" s="6" t="str">
        <f t="shared" si="22"/>
        <v>Pathweb</v>
      </c>
      <c r="EP223" s="6" t="str">
        <f t="shared" si="23"/>
        <v>Google Maps</v>
      </c>
      <c r="EQ223" s="6" t="str">
        <f t="shared" si="24"/>
        <v>Mashed Map</v>
      </c>
      <c r="ER223" s="118" t="s">
        <v>6727</v>
      </c>
      <c r="ES223" s="118" t="s">
        <v>71</v>
      </c>
      <c r="ET223" s="4">
        <v>4.0000000000000001E-3</v>
      </c>
      <c r="EU223" s="4"/>
      <c r="EV223" s="4"/>
    </row>
    <row r="224" spans="1:152" x14ac:dyDescent="0.15">
      <c r="A224" s="581" t="str">
        <f t="shared" si="21"/>
        <v>Crash Report</v>
      </c>
      <c r="B224" s="118">
        <v>20243005121</v>
      </c>
      <c r="C224" s="118">
        <v>2024</v>
      </c>
      <c r="D224" s="118">
        <v>24011228861508</v>
      </c>
      <c r="F224" s="118" t="s">
        <v>6442</v>
      </c>
      <c r="G224" s="118" t="s">
        <v>390</v>
      </c>
      <c r="H224" s="118">
        <v>2</v>
      </c>
      <c r="I224" s="118" t="s">
        <v>6055</v>
      </c>
      <c r="J224" s="118" t="s">
        <v>434</v>
      </c>
      <c r="K224" s="118" t="s">
        <v>6985</v>
      </c>
      <c r="L224" s="118">
        <v>0.09</v>
      </c>
      <c r="M224" s="118">
        <v>0.09</v>
      </c>
      <c r="N224" s="118" t="s">
        <v>7465</v>
      </c>
      <c r="O224" s="118" t="s">
        <v>7475</v>
      </c>
      <c r="P224" s="118">
        <v>41.647990999999998</v>
      </c>
      <c r="Q224" s="118">
        <v>-83.524353000000005</v>
      </c>
      <c r="R224" s="118">
        <v>77000</v>
      </c>
      <c r="S224" s="118" t="s">
        <v>6988</v>
      </c>
      <c r="T224" s="118">
        <v>1</v>
      </c>
      <c r="U224" s="118">
        <v>0</v>
      </c>
      <c r="V224" s="118">
        <v>0</v>
      </c>
      <c r="W224" s="118">
        <v>0</v>
      </c>
      <c r="X224" s="118">
        <v>0</v>
      </c>
      <c r="Y224" s="118">
        <v>3</v>
      </c>
      <c r="Z224" s="118">
        <v>0</v>
      </c>
      <c r="AA224" s="118">
        <v>2</v>
      </c>
      <c r="AB224" s="118" t="s">
        <v>1067</v>
      </c>
      <c r="AC224" s="118" t="s">
        <v>6989</v>
      </c>
      <c r="AD224" s="118" t="s">
        <v>1034</v>
      </c>
      <c r="AE224" s="118" t="s">
        <v>943</v>
      </c>
      <c r="AF224" s="118" t="s">
        <v>1042</v>
      </c>
      <c r="AG224" s="118" t="s">
        <v>6415</v>
      </c>
      <c r="AH224" s="118" t="s">
        <v>393</v>
      </c>
      <c r="AI224" s="118">
        <v>4</v>
      </c>
      <c r="AJ224" s="118" t="s">
        <v>6415</v>
      </c>
      <c r="AK224" s="118" t="s">
        <v>393</v>
      </c>
      <c r="AL224" s="118" t="s">
        <v>393</v>
      </c>
      <c r="AM224" s="118" t="s">
        <v>393</v>
      </c>
      <c r="AN224" s="402" t="s">
        <v>5975</v>
      </c>
      <c r="AO224" s="402">
        <v>45303</v>
      </c>
      <c r="AP224" s="118">
        <v>1</v>
      </c>
      <c r="AQ224" s="118">
        <v>15</v>
      </c>
      <c r="AR224" s="118" t="s">
        <v>6448</v>
      </c>
      <c r="AS224" s="118" t="s">
        <v>430</v>
      </c>
      <c r="AT224" s="118" t="s">
        <v>430</v>
      </c>
      <c r="AU224" s="118" t="s">
        <v>404</v>
      </c>
      <c r="AV224" s="118" t="s">
        <v>508</v>
      </c>
      <c r="AW224" s="118" t="s">
        <v>393</v>
      </c>
      <c r="AX224" s="118" t="s">
        <v>740</v>
      </c>
      <c r="AY224" s="118" t="s">
        <v>393</v>
      </c>
      <c r="AZ224" s="118" t="s">
        <v>393</v>
      </c>
      <c r="BA224" s="118" t="s">
        <v>393</v>
      </c>
      <c r="BB224" s="118" t="s">
        <v>393</v>
      </c>
      <c r="BC224" s="118" t="s">
        <v>393</v>
      </c>
      <c r="BD224" s="118" t="s">
        <v>393</v>
      </c>
      <c r="BE224" s="118" t="s">
        <v>393</v>
      </c>
      <c r="BF224" s="118" t="s">
        <v>393</v>
      </c>
      <c r="BG224" s="118" t="s">
        <v>393</v>
      </c>
      <c r="BH224" s="118" t="s">
        <v>394</v>
      </c>
      <c r="BI224" s="118" t="s">
        <v>394</v>
      </c>
      <c r="BJ224" s="118" t="s">
        <v>393</v>
      </c>
      <c r="BK224" s="118" t="s">
        <v>6988</v>
      </c>
      <c r="BL224" s="118" t="s">
        <v>6415</v>
      </c>
      <c r="BM224" s="118" t="s">
        <v>6990</v>
      </c>
      <c r="BN224" s="118" t="s">
        <v>6991</v>
      </c>
      <c r="BO224" s="118" t="s">
        <v>6415</v>
      </c>
      <c r="BP224" s="118" t="s">
        <v>6415</v>
      </c>
      <c r="BQ224" s="118" t="s">
        <v>6415</v>
      </c>
      <c r="BR224" s="118" t="s">
        <v>6415</v>
      </c>
      <c r="BS224" s="118" t="s">
        <v>6415</v>
      </c>
      <c r="BT224" s="118" t="s">
        <v>2583</v>
      </c>
      <c r="BU224" s="118" t="s">
        <v>7017</v>
      </c>
      <c r="BV224" s="118" t="s">
        <v>6415</v>
      </c>
      <c r="BW224" s="118" t="s">
        <v>6415</v>
      </c>
      <c r="BX224" s="118" t="s">
        <v>6415</v>
      </c>
      <c r="BY224" s="118" t="s">
        <v>6415</v>
      </c>
      <c r="BZ224" s="118" t="s">
        <v>6415</v>
      </c>
      <c r="CA224" s="118" t="s">
        <v>6415</v>
      </c>
      <c r="CB224" s="118" t="s">
        <v>221</v>
      </c>
      <c r="CC224" s="118" t="s">
        <v>740</v>
      </c>
      <c r="CD224" s="118">
        <v>1</v>
      </c>
      <c r="CE224" s="118" t="s">
        <v>411</v>
      </c>
      <c r="CF224" s="118" t="s">
        <v>410</v>
      </c>
      <c r="CG224" s="118" t="s">
        <v>924</v>
      </c>
      <c r="CH224" s="118" t="s">
        <v>6302</v>
      </c>
      <c r="CI224" s="118" t="s">
        <v>6303</v>
      </c>
      <c r="CJ224" s="118" t="s">
        <v>398</v>
      </c>
      <c r="CK224" s="118">
        <v>0</v>
      </c>
      <c r="CL224" s="118">
        <v>0</v>
      </c>
      <c r="CM224" s="118" t="s">
        <v>399</v>
      </c>
      <c r="CN224" s="118" t="s">
        <v>6512</v>
      </c>
      <c r="CO224" s="118" t="s">
        <v>1096</v>
      </c>
      <c r="CP224" s="118" t="s">
        <v>400</v>
      </c>
      <c r="CQ224" s="118" t="s">
        <v>6415</v>
      </c>
      <c r="CR224" s="118" t="s">
        <v>6415</v>
      </c>
      <c r="CS224" s="118" t="s">
        <v>6415</v>
      </c>
      <c r="CT224" s="118" t="s">
        <v>6415</v>
      </c>
      <c r="CU224" s="118" t="s">
        <v>6415</v>
      </c>
      <c r="CV224" s="118" t="s">
        <v>6415</v>
      </c>
      <c r="CW224" s="118">
        <v>51</v>
      </c>
      <c r="CX224" s="118" t="s">
        <v>1068</v>
      </c>
      <c r="CY224" s="118" t="s">
        <v>6341</v>
      </c>
      <c r="CZ224" s="118">
        <v>2</v>
      </c>
      <c r="DA224" s="118" t="s">
        <v>411</v>
      </c>
      <c r="DB224" s="118" t="s">
        <v>410</v>
      </c>
      <c r="DC224" s="118" t="s">
        <v>6415</v>
      </c>
      <c r="DD224" s="118" t="s">
        <v>6302</v>
      </c>
      <c r="DE224" s="118" t="s">
        <v>6303</v>
      </c>
      <c r="DF224" s="118" t="s">
        <v>398</v>
      </c>
      <c r="DG224" s="118" t="s">
        <v>6415</v>
      </c>
      <c r="DH224" s="118" t="s">
        <v>6415</v>
      </c>
      <c r="DI224" s="118" t="s">
        <v>6355</v>
      </c>
      <c r="DJ224" s="118" t="s">
        <v>398</v>
      </c>
      <c r="DK224" s="118" t="s">
        <v>400</v>
      </c>
      <c r="DL224" s="118" t="s">
        <v>6415</v>
      </c>
      <c r="DM224" s="118" t="s">
        <v>6415</v>
      </c>
      <c r="DN224" s="118" t="s">
        <v>6415</v>
      </c>
      <c r="DO224" s="118" t="s">
        <v>6415</v>
      </c>
      <c r="DP224" s="118" t="s">
        <v>6415</v>
      </c>
      <c r="DQ224" s="118" t="s">
        <v>6415</v>
      </c>
      <c r="DR224" s="118">
        <v>54</v>
      </c>
      <c r="DS224" s="118" t="s">
        <v>1066</v>
      </c>
      <c r="DT224" s="118" t="s">
        <v>6341</v>
      </c>
      <c r="DU224" s="118" t="s">
        <v>6415</v>
      </c>
      <c r="DV224" s="118" t="s">
        <v>6415</v>
      </c>
      <c r="DW224" s="118" t="s">
        <v>6415</v>
      </c>
      <c r="DX224" s="118" t="s">
        <v>6415</v>
      </c>
      <c r="DY224" s="118" t="s">
        <v>6415</v>
      </c>
      <c r="DZ224" s="118" t="s">
        <v>6415</v>
      </c>
      <c r="EA224" s="118" t="s">
        <v>6415</v>
      </c>
      <c r="EB224" s="118" t="s">
        <v>6415</v>
      </c>
      <c r="EC224" s="118" t="s">
        <v>6415</v>
      </c>
      <c r="ED224" s="118" t="s">
        <v>6415</v>
      </c>
      <c r="EE224" s="118" t="s">
        <v>6415</v>
      </c>
      <c r="EF224" s="118" t="s">
        <v>6415</v>
      </c>
      <c r="EG224" s="118" t="s">
        <v>7028</v>
      </c>
      <c r="EH224" s="118" t="s">
        <v>7029</v>
      </c>
      <c r="EI224" s="118" t="s">
        <v>6415</v>
      </c>
      <c r="EJ224" s="118" t="s">
        <v>6415</v>
      </c>
      <c r="EK224" s="118" t="s">
        <v>6415</v>
      </c>
      <c r="EL224" s="118" t="s">
        <v>7467</v>
      </c>
      <c r="EM224" s="118" t="s">
        <v>7339</v>
      </c>
      <c r="EN224" s="118" t="s">
        <v>6415</v>
      </c>
      <c r="EO224" s="6" t="str">
        <f t="shared" si="22"/>
        <v>Pathweb</v>
      </c>
      <c r="EP224" s="6" t="str">
        <f t="shared" si="23"/>
        <v>Google Maps</v>
      </c>
      <c r="EQ224" s="6" t="str">
        <f t="shared" si="24"/>
        <v>Mashed Map</v>
      </c>
      <c r="ER224" s="118" t="s">
        <v>6727</v>
      </c>
      <c r="ES224" s="118" t="s">
        <v>71</v>
      </c>
      <c r="ET224" s="4">
        <v>0</v>
      </c>
      <c r="EU224" s="4"/>
      <c r="EV224" s="4"/>
    </row>
    <row r="225" spans="1:152" x14ac:dyDescent="0.15">
      <c r="A225" s="581" t="str">
        <f t="shared" si="21"/>
        <v>Crash Report</v>
      </c>
      <c r="B225" s="14">
        <v>20243010268</v>
      </c>
      <c r="C225" s="118">
        <v>2024</v>
      </c>
      <c r="D225" s="14">
        <v>24012028462007</v>
      </c>
      <c r="F225" s="118" t="s">
        <v>6442</v>
      </c>
      <c r="G225" s="118" t="s">
        <v>402</v>
      </c>
      <c r="H225" s="118">
        <v>2</v>
      </c>
      <c r="I225" s="118" t="s">
        <v>6055</v>
      </c>
      <c r="J225" s="118" t="s">
        <v>391</v>
      </c>
      <c r="K225" s="118" t="s">
        <v>6985</v>
      </c>
      <c r="L225" s="118">
        <v>0.09</v>
      </c>
      <c r="M225" s="118">
        <v>0.09</v>
      </c>
      <c r="N225" s="118" t="s">
        <v>7465</v>
      </c>
      <c r="O225" s="118" t="s">
        <v>7475</v>
      </c>
      <c r="P225" s="118">
        <v>41.647990999999998</v>
      </c>
      <c r="Q225" s="118">
        <v>-83.524353000000005</v>
      </c>
      <c r="R225" s="118">
        <v>77000</v>
      </c>
      <c r="S225" s="118" t="s">
        <v>6988</v>
      </c>
      <c r="T225" s="118">
        <v>1</v>
      </c>
      <c r="U225" s="118">
        <v>0</v>
      </c>
      <c r="V225" s="118">
        <v>0</v>
      </c>
      <c r="W225" s="118">
        <v>0</v>
      </c>
      <c r="X225" s="118">
        <v>0</v>
      </c>
      <c r="Y225" s="118">
        <v>2</v>
      </c>
      <c r="Z225" s="118">
        <v>0</v>
      </c>
      <c r="AA225" s="118">
        <v>2</v>
      </c>
      <c r="AB225" s="118" t="s">
        <v>1067</v>
      </c>
      <c r="AC225" s="118" t="s">
        <v>6989</v>
      </c>
      <c r="AD225" s="118" t="s">
        <v>1034</v>
      </c>
      <c r="AE225" s="118" t="s">
        <v>943</v>
      </c>
      <c r="AF225" s="118" t="s">
        <v>1042</v>
      </c>
      <c r="AG225" s="118" t="s">
        <v>6415</v>
      </c>
      <c r="AH225" s="118" t="s">
        <v>393</v>
      </c>
      <c r="AI225" s="118">
        <v>4</v>
      </c>
      <c r="AJ225" s="118" t="s">
        <v>6415</v>
      </c>
      <c r="AK225" s="118" t="s">
        <v>393</v>
      </c>
      <c r="AL225" s="118" t="s">
        <v>393</v>
      </c>
      <c r="AM225" s="118" t="s">
        <v>393</v>
      </c>
      <c r="AN225" s="402" t="s">
        <v>5975</v>
      </c>
      <c r="AO225" s="402">
        <v>45311</v>
      </c>
      <c r="AP225" s="118">
        <v>1</v>
      </c>
      <c r="AQ225" s="118">
        <v>20</v>
      </c>
      <c r="AR225" s="118" t="s">
        <v>6449</v>
      </c>
      <c r="AS225" s="118" t="s">
        <v>430</v>
      </c>
      <c r="AT225" s="118" t="s">
        <v>430</v>
      </c>
      <c r="AU225" s="118" t="s">
        <v>506</v>
      </c>
      <c r="AV225" s="118" t="s">
        <v>508</v>
      </c>
      <c r="AW225" s="118" t="s">
        <v>393</v>
      </c>
      <c r="AX225" s="118" t="s">
        <v>393</v>
      </c>
      <c r="AY225" s="118" t="s">
        <v>393</v>
      </c>
      <c r="AZ225" s="118" t="s">
        <v>393</v>
      </c>
      <c r="BA225" s="118" t="s">
        <v>393</v>
      </c>
      <c r="BB225" s="118" t="s">
        <v>393</v>
      </c>
      <c r="BC225" s="118" t="s">
        <v>393</v>
      </c>
      <c r="BD225" s="118" t="s">
        <v>393</v>
      </c>
      <c r="BE225" s="118" t="s">
        <v>740</v>
      </c>
      <c r="BF225" s="118" t="s">
        <v>393</v>
      </c>
      <c r="BG225" s="118" t="s">
        <v>393</v>
      </c>
      <c r="BH225" s="118" t="s">
        <v>394</v>
      </c>
      <c r="BI225" s="118" t="s">
        <v>394</v>
      </c>
      <c r="BJ225" s="118" t="s">
        <v>393</v>
      </c>
      <c r="BK225" s="118" t="s">
        <v>6988</v>
      </c>
      <c r="BL225" s="118" t="s">
        <v>6415</v>
      </c>
      <c r="BM225" s="118" t="s">
        <v>6990</v>
      </c>
      <c r="BN225" s="118" t="s">
        <v>6991</v>
      </c>
      <c r="BO225" s="118" t="s">
        <v>6415</v>
      </c>
      <c r="BP225" s="118" t="s">
        <v>6415</v>
      </c>
      <c r="BQ225" s="118" t="s">
        <v>6415</v>
      </c>
      <c r="BR225" s="118" t="s">
        <v>6415</v>
      </c>
      <c r="BS225" s="118" t="s">
        <v>6415</v>
      </c>
      <c r="BT225" s="118" t="s">
        <v>2583</v>
      </c>
      <c r="BU225" s="118" t="s">
        <v>7017</v>
      </c>
      <c r="BV225" s="118" t="s">
        <v>6415</v>
      </c>
      <c r="BW225" s="118" t="s">
        <v>6415</v>
      </c>
      <c r="BX225" s="118" t="s">
        <v>6415</v>
      </c>
      <c r="BY225" s="118" t="s">
        <v>6415</v>
      </c>
      <c r="BZ225" s="118" t="s">
        <v>6415</v>
      </c>
      <c r="CA225" s="118" t="s">
        <v>6415</v>
      </c>
      <c r="CB225" s="118" t="s">
        <v>221</v>
      </c>
      <c r="CC225" s="118" t="s">
        <v>740</v>
      </c>
      <c r="CD225" s="118">
        <v>2</v>
      </c>
      <c r="CE225" s="118" t="s">
        <v>405</v>
      </c>
      <c r="CF225" s="118" t="s">
        <v>406</v>
      </c>
      <c r="CG225" s="118" t="s">
        <v>924</v>
      </c>
      <c r="CH225" s="118" t="s">
        <v>6302</v>
      </c>
      <c r="CI225" s="118" t="s">
        <v>6303</v>
      </c>
      <c r="CJ225" s="118" t="s">
        <v>398</v>
      </c>
      <c r="CK225" s="14">
        <v>0</v>
      </c>
      <c r="CL225" s="118">
        <v>35</v>
      </c>
      <c r="CM225" s="118" t="s">
        <v>399</v>
      </c>
      <c r="CN225" s="118" t="s">
        <v>407</v>
      </c>
      <c r="CO225" s="118" t="s">
        <v>1096</v>
      </c>
      <c r="CP225" s="118" t="s">
        <v>400</v>
      </c>
      <c r="CQ225" s="118" t="s">
        <v>6415</v>
      </c>
      <c r="CR225" s="118" t="s">
        <v>6415</v>
      </c>
      <c r="CS225" s="118" t="s">
        <v>6415</v>
      </c>
      <c r="CT225" s="118" t="s">
        <v>6415</v>
      </c>
      <c r="CU225" s="118" t="s">
        <v>6415</v>
      </c>
      <c r="CV225" s="118" t="s">
        <v>6415</v>
      </c>
      <c r="CW225" s="14">
        <v>52</v>
      </c>
      <c r="CX225" s="118" t="s">
        <v>1068</v>
      </c>
      <c r="CY225" s="118" t="s">
        <v>6151</v>
      </c>
      <c r="CZ225" s="118">
        <v>1</v>
      </c>
      <c r="DA225" s="118" t="s">
        <v>405</v>
      </c>
      <c r="DB225" s="118" t="s">
        <v>406</v>
      </c>
      <c r="DC225" s="118" t="s">
        <v>6415</v>
      </c>
      <c r="DD225" s="118" t="s">
        <v>6302</v>
      </c>
      <c r="DE225" s="118" t="s">
        <v>417</v>
      </c>
      <c r="DF225" s="118" t="s">
        <v>398</v>
      </c>
      <c r="DG225" s="118" t="s">
        <v>6415</v>
      </c>
      <c r="DH225" s="118">
        <v>35</v>
      </c>
      <c r="DI225" s="118" t="s">
        <v>399</v>
      </c>
      <c r="DJ225" s="118" t="s">
        <v>407</v>
      </c>
      <c r="DK225" s="118" t="s">
        <v>400</v>
      </c>
      <c r="DL225" s="118" t="s">
        <v>6415</v>
      </c>
      <c r="DM225" s="118" t="s">
        <v>6415</v>
      </c>
      <c r="DN225" s="118" t="s">
        <v>6415</v>
      </c>
      <c r="DO225" s="118" t="s">
        <v>6415</v>
      </c>
      <c r="DP225" s="118" t="s">
        <v>6415</v>
      </c>
      <c r="DQ225" s="118" t="s">
        <v>6415</v>
      </c>
      <c r="DR225" s="118">
        <v>68</v>
      </c>
      <c r="DS225" s="118" t="s">
        <v>1068</v>
      </c>
      <c r="DT225" s="118" t="s">
        <v>6341</v>
      </c>
      <c r="DU225" s="118" t="s">
        <v>6415</v>
      </c>
      <c r="DV225" s="118" t="s">
        <v>6415</v>
      </c>
      <c r="DW225" s="118" t="s">
        <v>6415</v>
      </c>
      <c r="DX225" s="118" t="s">
        <v>6415</v>
      </c>
      <c r="DY225" s="118" t="s">
        <v>6415</v>
      </c>
      <c r="DZ225" s="118" t="s">
        <v>6415</v>
      </c>
      <c r="EA225" s="118" t="s">
        <v>6415</v>
      </c>
      <c r="EB225" s="118" t="s">
        <v>6415</v>
      </c>
      <c r="EC225" s="118" t="s">
        <v>6415</v>
      </c>
      <c r="ED225" s="118" t="s">
        <v>6415</v>
      </c>
      <c r="EE225" s="118" t="s">
        <v>6415</v>
      </c>
      <c r="EF225" s="118" t="s">
        <v>6415</v>
      </c>
      <c r="EG225" s="118" t="s">
        <v>7028</v>
      </c>
      <c r="EH225" s="118" t="s">
        <v>7029</v>
      </c>
      <c r="EI225" s="118" t="s">
        <v>6415</v>
      </c>
      <c r="EJ225" s="118" t="s">
        <v>6415</v>
      </c>
      <c r="EK225" s="118" t="s">
        <v>6415</v>
      </c>
      <c r="EL225" s="118" t="s">
        <v>7467</v>
      </c>
      <c r="EM225" s="118" t="s">
        <v>7340</v>
      </c>
      <c r="EN225" s="118" t="s">
        <v>6415</v>
      </c>
      <c r="EO225" s="6" t="str">
        <f t="shared" si="22"/>
        <v>Pathweb</v>
      </c>
      <c r="EP225" s="6" t="str">
        <f t="shared" si="23"/>
        <v>Google Maps</v>
      </c>
      <c r="EQ225" s="6" t="str">
        <f t="shared" si="24"/>
        <v>Mashed Map</v>
      </c>
      <c r="ER225" s="118" t="s">
        <v>6727</v>
      </c>
      <c r="ES225" s="118" t="s">
        <v>71</v>
      </c>
      <c r="ET225" s="4">
        <v>0</v>
      </c>
      <c r="EU225" s="4"/>
      <c r="EV225" s="4"/>
    </row>
    <row r="226" spans="1:152" x14ac:dyDescent="0.15">
      <c r="A226" s="581" t="str">
        <f t="shared" si="21"/>
        <v>Crash Report</v>
      </c>
      <c r="B226" s="14">
        <v>20243013292</v>
      </c>
      <c r="C226" s="118">
        <v>2024</v>
      </c>
      <c r="D226" s="14">
        <v>24012429021554</v>
      </c>
      <c r="F226" s="118" t="s">
        <v>6442</v>
      </c>
      <c r="G226" s="118" t="s">
        <v>390</v>
      </c>
      <c r="H226" s="118">
        <v>2</v>
      </c>
      <c r="I226" s="118" t="s">
        <v>6055</v>
      </c>
      <c r="J226" s="118" t="s">
        <v>391</v>
      </c>
      <c r="K226" s="118" t="s">
        <v>6997</v>
      </c>
      <c r="L226" s="118">
        <v>0.88500000000000001</v>
      </c>
      <c r="M226" s="118">
        <v>0.88500000000000001</v>
      </c>
      <c r="N226" s="118" t="s">
        <v>7469</v>
      </c>
      <c r="O226" s="118" t="s">
        <v>7483</v>
      </c>
      <c r="P226" s="118">
        <v>41.650458</v>
      </c>
      <c r="Q226" s="118">
        <v>-83.525535000000005</v>
      </c>
      <c r="R226" s="118">
        <v>77000</v>
      </c>
      <c r="S226" s="118" t="s">
        <v>6988</v>
      </c>
      <c r="T226" s="118">
        <v>1</v>
      </c>
      <c r="U226" s="118">
        <v>0</v>
      </c>
      <c r="V226" s="118">
        <v>0</v>
      </c>
      <c r="W226" s="118">
        <v>0</v>
      </c>
      <c r="X226" s="118">
        <v>0</v>
      </c>
      <c r="Y226" s="118">
        <v>2</v>
      </c>
      <c r="Z226" s="118">
        <v>0</v>
      </c>
      <c r="AA226" s="118">
        <v>2</v>
      </c>
      <c r="AB226" s="118" t="s">
        <v>1067</v>
      </c>
      <c r="AC226" s="118" t="s">
        <v>6989</v>
      </c>
      <c r="AD226" s="118" t="s">
        <v>1034</v>
      </c>
      <c r="AE226" s="118" t="s">
        <v>943</v>
      </c>
      <c r="AF226" s="118" t="s">
        <v>1041</v>
      </c>
      <c r="AG226" s="118" t="s">
        <v>6415</v>
      </c>
      <c r="AH226" s="118" t="s">
        <v>393</v>
      </c>
      <c r="AI226" s="118">
        <v>2</v>
      </c>
      <c r="AJ226" s="118" t="s">
        <v>6415</v>
      </c>
      <c r="AK226" s="118" t="s">
        <v>393</v>
      </c>
      <c r="AL226" s="118" t="s">
        <v>393</v>
      </c>
      <c r="AM226" s="118" t="s">
        <v>393</v>
      </c>
      <c r="AN226" s="402" t="s">
        <v>5975</v>
      </c>
      <c r="AO226" s="402">
        <v>45315</v>
      </c>
      <c r="AP226" s="118">
        <v>1</v>
      </c>
      <c r="AQ226" s="118">
        <v>15</v>
      </c>
      <c r="AR226" s="118" t="s">
        <v>6446</v>
      </c>
      <c r="AS226" s="118" t="s">
        <v>420</v>
      </c>
      <c r="AT226" s="118" t="s">
        <v>225</v>
      </c>
      <c r="AU226" s="118" t="s">
        <v>404</v>
      </c>
      <c r="AV226" s="118" t="s">
        <v>508</v>
      </c>
      <c r="AW226" s="118" t="s">
        <v>393</v>
      </c>
      <c r="AX226" s="118" t="s">
        <v>393</v>
      </c>
      <c r="AY226" s="118" t="s">
        <v>393</v>
      </c>
      <c r="AZ226" s="118" t="s">
        <v>393</v>
      </c>
      <c r="BA226" s="118" t="s">
        <v>393</v>
      </c>
      <c r="BB226" s="118" t="s">
        <v>393</v>
      </c>
      <c r="BC226" s="118" t="s">
        <v>393</v>
      </c>
      <c r="BD226" s="118" t="s">
        <v>393</v>
      </c>
      <c r="BE226" s="118" t="s">
        <v>393</v>
      </c>
      <c r="BF226" s="118" t="s">
        <v>393</v>
      </c>
      <c r="BG226" s="118" t="s">
        <v>393</v>
      </c>
      <c r="BH226" s="118" t="s">
        <v>394</v>
      </c>
      <c r="BI226" s="118" t="s">
        <v>394</v>
      </c>
      <c r="BJ226" s="118" t="s">
        <v>393</v>
      </c>
      <c r="BK226" s="118" t="s">
        <v>6988</v>
      </c>
      <c r="BL226" s="118" t="s">
        <v>6415</v>
      </c>
      <c r="BM226" s="118" t="s">
        <v>6992</v>
      </c>
      <c r="BN226" s="118" t="s">
        <v>6991</v>
      </c>
      <c r="BO226" s="118" t="s">
        <v>6415</v>
      </c>
      <c r="BP226" s="118" t="s">
        <v>6415</v>
      </c>
      <c r="BQ226" s="118" t="s">
        <v>6415</v>
      </c>
      <c r="BR226" s="118" t="s">
        <v>6415</v>
      </c>
      <c r="BS226" s="118" t="s">
        <v>6415</v>
      </c>
      <c r="BT226" s="118" t="s">
        <v>4748</v>
      </c>
      <c r="BU226" s="118" t="s">
        <v>7057</v>
      </c>
      <c r="BV226" s="118" t="s">
        <v>6415</v>
      </c>
      <c r="BW226" s="118" t="s">
        <v>6415</v>
      </c>
      <c r="BX226" s="118" t="s">
        <v>6415</v>
      </c>
      <c r="BY226" s="118" t="s">
        <v>6415</v>
      </c>
      <c r="BZ226" s="118" t="s">
        <v>6415</v>
      </c>
      <c r="CA226" s="118" t="s">
        <v>6415</v>
      </c>
      <c r="CB226" s="118" t="s">
        <v>221</v>
      </c>
      <c r="CC226" s="118" t="s">
        <v>740</v>
      </c>
      <c r="CD226" s="118">
        <v>2</v>
      </c>
      <c r="CE226" s="118" t="s">
        <v>410</v>
      </c>
      <c r="CF226" s="118" t="s">
        <v>411</v>
      </c>
      <c r="CG226" s="118" t="s">
        <v>924</v>
      </c>
      <c r="CH226" s="118" t="s">
        <v>6302</v>
      </c>
      <c r="CI226" s="118" t="s">
        <v>417</v>
      </c>
      <c r="CJ226" s="118" t="s">
        <v>398</v>
      </c>
      <c r="CK226" s="14">
        <v>0</v>
      </c>
      <c r="CL226" s="118">
        <v>0</v>
      </c>
      <c r="CM226" s="118" t="s">
        <v>399</v>
      </c>
      <c r="CN226" s="118" t="s">
        <v>6512</v>
      </c>
      <c r="CO226" s="118" t="s">
        <v>1096</v>
      </c>
      <c r="CP226" s="118" t="s">
        <v>400</v>
      </c>
      <c r="CQ226" s="118" t="s">
        <v>6415</v>
      </c>
      <c r="CR226" s="118" t="s">
        <v>6415</v>
      </c>
      <c r="CS226" s="118" t="s">
        <v>6415</v>
      </c>
      <c r="CT226" s="118" t="s">
        <v>6415</v>
      </c>
      <c r="CU226" s="118" t="s">
        <v>6415</v>
      </c>
      <c r="CV226" s="118" t="s">
        <v>6415</v>
      </c>
      <c r="CW226" s="14">
        <v>0</v>
      </c>
      <c r="CX226" s="118" t="s">
        <v>401</v>
      </c>
      <c r="CY226" s="118" t="s">
        <v>6151</v>
      </c>
      <c r="CZ226" s="118">
        <v>1</v>
      </c>
      <c r="DA226" s="118" t="s">
        <v>410</v>
      </c>
      <c r="DB226" s="118" t="s">
        <v>411</v>
      </c>
      <c r="DC226" s="118" t="s">
        <v>6415</v>
      </c>
      <c r="DD226" s="118" t="s">
        <v>6302</v>
      </c>
      <c r="DE226" s="118" t="s">
        <v>417</v>
      </c>
      <c r="DF226" s="118" t="s">
        <v>398</v>
      </c>
      <c r="DG226" s="118" t="s">
        <v>6415</v>
      </c>
      <c r="DH226" s="118" t="s">
        <v>6415</v>
      </c>
      <c r="DI226" s="118" t="s">
        <v>6355</v>
      </c>
      <c r="DJ226" s="118" t="s">
        <v>398</v>
      </c>
      <c r="DK226" s="118" t="s">
        <v>400</v>
      </c>
      <c r="DL226" s="118" t="s">
        <v>6415</v>
      </c>
      <c r="DM226" s="118" t="s">
        <v>6415</v>
      </c>
      <c r="DN226" s="118" t="s">
        <v>6415</v>
      </c>
      <c r="DO226" s="118" t="s">
        <v>6415</v>
      </c>
      <c r="DP226" s="118" t="s">
        <v>6415</v>
      </c>
      <c r="DQ226" s="118" t="s">
        <v>6415</v>
      </c>
      <c r="DR226" s="118">
        <v>36</v>
      </c>
      <c r="DS226" s="118" t="s">
        <v>1068</v>
      </c>
      <c r="DT226" s="118" t="s">
        <v>6341</v>
      </c>
      <c r="DU226" s="118" t="s">
        <v>6415</v>
      </c>
      <c r="DV226" s="118" t="s">
        <v>6415</v>
      </c>
      <c r="DW226" s="118" t="s">
        <v>6415</v>
      </c>
      <c r="DX226" s="118" t="s">
        <v>6415</v>
      </c>
      <c r="DY226" s="118" t="s">
        <v>6415</v>
      </c>
      <c r="DZ226" s="118" t="s">
        <v>6415</v>
      </c>
      <c r="EA226" s="118" t="s">
        <v>6415</v>
      </c>
      <c r="EB226" s="118" t="s">
        <v>6415</v>
      </c>
      <c r="EC226" s="118" t="s">
        <v>6415</v>
      </c>
      <c r="ED226" s="118" t="s">
        <v>6415</v>
      </c>
      <c r="EE226" s="118" t="s">
        <v>6415</v>
      </c>
      <c r="EF226" s="118" t="s">
        <v>6415</v>
      </c>
      <c r="EG226" s="118" t="s">
        <v>7055</v>
      </c>
      <c r="EH226" s="118" t="s">
        <v>7230</v>
      </c>
      <c r="EI226" s="118" t="s">
        <v>6415</v>
      </c>
      <c r="EJ226" s="118" t="s">
        <v>6415</v>
      </c>
      <c r="EK226" s="118" t="s">
        <v>6415</v>
      </c>
      <c r="EL226" s="118" t="s">
        <v>7467</v>
      </c>
      <c r="EM226" s="118" t="s">
        <v>7341</v>
      </c>
      <c r="EN226" s="118" t="s">
        <v>6415</v>
      </c>
      <c r="EO226" s="6" t="str">
        <f t="shared" si="22"/>
        <v>Pathweb</v>
      </c>
      <c r="EP226" s="6" t="str">
        <f t="shared" si="23"/>
        <v>Google Maps</v>
      </c>
      <c r="EQ226" s="6" t="str">
        <f t="shared" si="24"/>
        <v>Mashed Map</v>
      </c>
      <c r="ER226" s="118" t="s">
        <v>6727</v>
      </c>
      <c r="ES226" s="118" t="s">
        <v>71</v>
      </c>
      <c r="ET226" s="4">
        <v>2.8000000000000001E-2</v>
      </c>
      <c r="EU226" s="4"/>
      <c r="EV226" s="4"/>
    </row>
    <row r="227" spans="1:152" x14ac:dyDescent="0.15">
      <c r="A227" s="581" t="str">
        <f t="shared" si="21"/>
        <v>Crash Report</v>
      </c>
      <c r="B227" s="118">
        <v>20243018059</v>
      </c>
      <c r="C227" s="118">
        <v>2024</v>
      </c>
      <c r="D227" s="118">
        <v>24020123351150</v>
      </c>
      <c r="F227" s="118" t="s">
        <v>6441</v>
      </c>
      <c r="G227" s="118" t="s">
        <v>230</v>
      </c>
      <c r="H227" s="118">
        <v>2</v>
      </c>
      <c r="I227" s="118" t="s">
        <v>6055</v>
      </c>
      <c r="J227" s="118" t="s">
        <v>391</v>
      </c>
      <c r="K227" s="118" t="s">
        <v>6985</v>
      </c>
      <c r="L227" s="118">
        <v>0.51</v>
      </c>
      <c r="M227" s="118">
        <v>0.51</v>
      </c>
      <c r="N227" s="118" t="s">
        <v>7465</v>
      </c>
      <c r="O227" s="118" t="s">
        <v>7468</v>
      </c>
      <c r="P227" s="118">
        <v>41.651820999999998</v>
      </c>
      <c r="Q227" s="118">
        <v>-83.518082000000007</v>
      </c>
      <c r="R227" s="118">
        <v>77000</v>
      </c>
      <c r="S227" s="118" t="s">
        <v>6988</v>
      </c>
      <c r="T227" s="118">
        <v>1</v>
      </c>
      <c r="U227" s="118">
        <v>0</v>
      </c>
      <c r="V227" s="118">
        <v>0</v>
      </c>
      <c r="W227" s="118">
        <v>0</v>
      </c>
      <c r="X227" s="118">
        <v>3</v>
      </c>
      <c r="Y227" s="118">
        <v>0</v>
      </c>
      <c r="Z227" s="118">
        <v>0</v>
      </c>
      <c r="AA227" s="118">
        <v>2</v>
      </c>
      <c r="AB227" s="118" t="s">
        <v>1067</v>
      </c>
      <c r="AC227" s="118" t="s">
        <v>6989</v>
      </c>
      <c r="AD227" s="118" t="s">
        <v>1034</v>
      </c>
      <c r="AE227" s="118" t="s">
        <v>943</v>
      </c>
      <c r="AF227" s="118" t="s">
        <v>1041</v>
      </c>
      <c r="AG227" s="118" t="s">
        <v>6415</v>
      </c>
      <c r="AH227" s="118" t="s">
        <v>393</v>
      </c>
      <c r="AI227" s="118">
        <v>4</v>
      </c>
      <c r="AJ227" s="118" t="s">
        <v>6415</v>
      </c>
      <c r="AK227" s="118" t="s">
        <v>393</v>
      </c>
      <c r="AL227" s="118" t="s">
        <v>393</v>
      </c>
      <c r="AM227" s="118" t="s">
        <v>393</v>
      </c>
      <c r="AN227" s="402" t="s">
        <v>5975</v>
      </c>
      <c r="AO227" s="402">
        <v>45323</v>
      </c>
      <c r="AP227" s="118">
        <v>2</v>
      </c>
      <c r="AQ227" s="118">
        <v>11</v>
      </c>
      <c r="AR227" s="118" t="s">
        <v>6447</v>
      </c>
      <c r="AS227" s="118" t="s">
        <v>392</v>
      </c>
      <c r="AT227" s="118" t="s">
        <v>500</v>
      </c>
      <c r="AU227" s="118" t="s">
        <v>404</v>
      </c>
      <c r="AV227" s="118" t="s">
        <v>508</v>
      </c>
      <c r="AW227" s="118" t="s">
        <v>393</v>
      </c>
      <c r="AX227" s="118" t="s">
        <v>740</v>
      </c>
      <c r="AY227" s="118" t="s">
        <v>393</v>
      </c>
      <c r="AZ227" s="118" t="s">
        <v>393</v>
      </c>
      <c r="BA227" s="118" t="s">
        <v>393</v>
      </c>
      <c r="BB227" s="118" t="s">
        <v>393</v>
      </c>
      <c r="BC227" s="118" t="s">
        <v>393</v>
      </c>
      <c r="BD227" s="118" t="s">
        <v>393</v>
      </c>
      <c r="BE227" s="118" t="s">
        <v>740</v>
      </c>
      <c r="BF227" s="118" t="s">
        <v>393</v>
      </c>
      <c r="BG227" s="118" t="s">
        <v>393</v>
      </c>
      <c r="BH227" s="118" t="s">
        <v>394</v>
      </c>
      <c r="BI227" s="118" t="s">
        <v>394</v>
      </c>
      <c r="BJ227" s="118" t="s">
        <v>393</v>
      </c>
      <c r="BK227" s="118" t="s">
        <v>6988</v>
      </c>
      <c r="BL227" s="118" t="s">
        <v>6415</v>
      </c>
      <c r="BM227" s="118" t="s">
        <v>6990</v>
      </c>
      <c r="BN227" s="118" t="s">
        <v>6991</v>
      </c>
      <c r="BO227" s="118" t="s">
        <v>6415</v>
      </c>
      <c r="BP227" s="118" t="s">
        <v>6415</v>
      </c>
      <c r="BQ227" s="118" t="s">
        <v>6415</v>
      </c>
      <c r="BR227" s="118" t="s">
        <v>6415</v>
      </c>
      <c r="BS227" s="118" t="s">
        <v>261</v>
      </c>
      <c r="BT227" s="118" t="s">
        <v>1791</v>
      </c>
      <c r="BU227" s="118" t="s">
        <v>6991</v>
      </c>
      <c r="BV227" s="118" t="s">
        <v>6415</v>
      </c>
      <c r="BW227" s="118" t="s">
        <v>6415</v>
      </c>
      <c r="BX227" s="118" t="s">
        <v>6415</v>
      </c>
      <c r="BY227" s="118" t="s">
        <v>6415</v>
      </c>
      <c r="BZ227" s="118" t="s">
        <v>6415</v>
      </c>
      <c r="CA227" s="118" t="s">
        <v>6415</v>
      </c>
      <c r="CB227" s="118" t="s">
        <v>221</v>
      </c>
      <c r="CC227" s="118" t="s">
        <v>740</v>
      </c>
      <c r="CD227" s="118">
        <v>1</v>
      </c>
      <c r="CE227" s="118" t="s">
        <v>406</v>
      </c>
      <c r="CF227" s="118" t="s">
        <v>411</v>
      </c>
      <c r="CG227" s="118" t="s">
        <v>230</v>
      </c>
      <c r="CH227" s="118" t="s">
        <v>6300</v>
      </c>
      <c r="CI227" s="118" t="s">
        <v>6303</v>
      </c>
      <c r="CJ227" s="118" t="s">
        <v>398</v>
      </c>
      <c r="CK227" s="118">
        <v>0</v>
      </c>
      <c r="CL227" s="118">
        <v>35</v>
      </c>
      <c r="CM227" s="118" t="s">
        <v>436</v>
      </c>
      <c r="CN227" s="118" t="s">
        <v>451</v>
      </c>
      <c r="CO227" s="118" t="s">
        <v>1096</v>
      </c>
      <c r="CP227" s="118" t="s">
        <v>400</v>
      </c>
      <c r="CQ227" s="118" t="s">
        <v>6415</v>
      </c>
      <c r="CR227" s="118" t="s">
        <v>6415</v>
      </c>
      <c r="CS227" s="118" t="s">
        <v>6415</v>
      </c>
      <c r="CT227" s="118" t="s">
        <v>6415</v>
      </c>
      <c r="CU227" s="118" t="s">
        <v>6415</v>
      </c>
      <c r="CV227" s="118" t="s">
        <v>6415</v>
      </c>
      <c r="CW227" s="118">
        <v>32</v>
      </c>
      <c r="CX227" s="118" t="s">
        <v>1066</v>
      </c>
      <c r="CY227" s="118" t="s">
        <v>6341</v>
      </c>
      <c r="CZ227" s="118">
        <v>2</v>
      </c>
      <c r="DA227" s="118" t="s">
        <v>405</v>
      </c>
      <c r="DB227" s="118" t="s">
        <v>406</v>
      </c>
      <c r="DC227" s="118" t="s">
        <v>6415</v>
      </c>
      <c r="DD227" s="118" t="s">
        <v>6300</v>
      </c>
      <c r="DE227" s="118" t="s">
        <v>6303</v>
      </c>
      <c r="DF227" s="118" t="s">
        <v>398</v>
      </c>
      <c r="DG227" s="118" t="s">
        <v>6415</v>
      </c>
      <c r="DH227" s="118">
        <v>35</v>
      </c>
      <c r="DI227" s="118" t="s">
        <v>399</v>
      </c>
      <c r="DJ227" s="118" t="s">
        <v>398</v>
      </c>
      <c r="DK227" s="118" t="s">
        <v>400</v>
      </c>
      <c r="DL227" s="118" t="s">
        <v>6415</v>
      </c>
      <c r="DM227" s="118" t="s">
        <v>6415</v>
      </c>
      <c r="DN227" s="118" t="s">
        <v>6415</v>
      </c>
      <c r="DO227" s="118" t="s">
        <v>6415</v>
      </c>
      <c r="DP227" s="118" t="s">
        <v>6415</v>
      </c>
      <c r="DQ227" s="118" t="s">
        <v>6415</v>
      </c>
      <c r="DR227" s="118">
        <v>71</v>
      </c>
      <c r="DS227" s="118" t="s">
        <v>1068</v>
      </c>
      <c r="DT227" s="118" t="s">
        <v>6341</v>
      </c>
      <c r="DU227" s="118" t="s">
        <v>6415</v>
      </c>
      <c r="DV227" s="118" t="s">
        <v>6415</v>
      </c>
      <c r="DW227" s="118" t="s">
        <v>6415</v>
      </c>
      <c r="DX227" s="118" t="s">
        <v>6415</v>
      </c>
      <c r="DY227" s="118" t="s">
        <v>6415</v>
      </c>
      <c r="DZ227" s="118" t="s">
        <v>6415</v>
      </c>
      <c r="EA227" s="118" t="s">
        <v>6415</v>
      </c>
      <c r="EB227" s="118" t="s">
        <v>6415</v>
      </c>
      <c r="EC227" s="118" t="s">
        <v>6415</v>
      </c>
      <c r="ED227" s="118" t="s">
        <v>6415</v>
      </c>
      <c r="EE227" s="118" t="s">
        <v>6415</v>
      </c>
      <c r="EF227" s="118" t="s">
        <v>6415</v>
      </c>
      <c r="EG227" s="118" t="s">
        <v>6994</v>
      </c>
      <c r="EH227" s="118" t="s">
        <v>7175</v>
      </c>
      <c r="EI227" s="118" t="s">
        <v>6415</v>
      </c>
      <c r="EJ227" s="118" t="s">
        <v>6415</v>
      </c>
      <c r="EK227" s="118" t="s">
        <v>6415</v>
      </c>
      <c r="EL227" s="118" t="s">
        <v>7467</v>
      </c>
      <c r="EM227" s="118" t="s">
        <v>7342</v>
      </c>
      <c r="EN227" s="118" t="s">
        <v>6415</v>
      </c>
      <c r="EO227" s="6" t="str">
        <f t="shared" si="22"/>
        <v>Pathweb</v>
      </c>
      <c r="EP227" s="6" t="str">
        <f t="shared" si="23"/>
        <v>Google Maps</v>
      </c>
      <c r="EQ227" s="6" t="str">
        <f t="shared" si="24"/>
        <v>Mashed Map</v>
      </c>
      <c r="ER227" s="118" t="s">
        <v>6727</v>
      </c>
      <c r="ES227" s="118" t="s">
        <v>6728</v>
      </c>
      <c r="ET227" s="4">
        <v>0</v>
      </c>
      <c r="EU227" s="4"/>
      <c r="EV227" s="4"/>
    </row>
    <row r="228" spans="1:152" x14ac:dyDescent="0.15">
      <c r="A228" s="581" t="str">
        <f t="shared" si="21"/>
        <v>Crash Report</v>
      </c>
      <c r="B228" s="118">
        <v>20243023992</v>
      </c>
      <c r="C228" s="118">
        <v>2024</v>
      </c>
      <c r="D228" s="118">
        <v>24021229762205</v>
      </c>
      <c r="F228" s="118" t="s">
        <v>6442</v>
      </c>
      <c r="G228" s="118" t="s">
        <v>402</v>
      </c>
      <c r="H228" s="118">
        <v>2</v>
      </c>
      <c r="I228" s="118" t="s">
        <v>6055</v>
      </c>
      <c r="J228" s="118" t="s">
        <v>423</v>
      </c>
      <c r="K228" s="118" t="s">
        <v>6997</v>
      </c>
      <c r="L228" s="118">
        <v>0.71299999999999997</v>
      </c>
      <c r="M228" s="118">
        <v>0.71299999999999997</v>
      </c>
      <c r="N228" s="118" t="s">
        <v>7469</v>
      </c>
      <c r="O228" s="118" t="s">
        <v>7473</v>
      </c>
      <c r="P228" s="118">
        <v>41.648513000000001</v>
      </c>
      <c r="Q228" s="118">
        <v>-83.523441000000005</v>
      </c>
      <c r="R228" s="118">
        <v>77000</v>
      </c>
      <c r="S228" s="118" t="s">
        <v>6988</v>
      </c>
      <c r="T228" s="118">
        <v>1</v>
      </c>
      <c r="U228" s="118">
        <v>0</v>
      </c>
      <c r="V228" s="118">
        <v>0</v>
      </c>
      <c r="W228" s="118">
        <v>0</v>
      </c>
      <c r="X228" s="118">
        <v>0</v>
      </c>
      <c r="Y228" s="118">
        <v>2</v>
      </c>
      <c r="Z228" s="118">
        <v>0</v>
      </c>
      <c r="AA228" s="118">
        <v>2</v>
      </c>
      <c r="AB228" s="118" t="s">
        <v>1067</v>
      </c>
      <c r="AC228" s="118" t="s">
        <v>6989</v>
      </c>
      <c r="AD228" s="118" t="s">
        <v>1034</v>
      </c>
      <c r="AE228" s="118" t="s">
        <v>943</v>
      </c>
      <c r="AF228" s="118" t="s">
        <v>1042</v>
      </c>
      <c r="AG228" s="118" t="s">
        <v>6415</v>
      </c>
      <c r="AH228" s="118" t="s">
        <v>393</v>
      </c>
      <c r="AI228" s="118">
        <v>2</v>
      </c>
      <c r="AJ228" s="118" t="s">
        <v>6415</v>
      </c>
      <c r="AK228" s="118" t="s">
        <v>393</v>
      </c>
      <c r="AL228" s="118" t="s">
        <v>393</v>
      </c>
      <c r="AM228" s="118" t="s">
        <v>393</v>
      </c>
      <c r="AN228" s="402" t="s">
        <v>5975</v>
      </c>
      <c r="AO228" s="402">
        <v>45334</v>
      </c>
      <c r="AP228" s="118">
        <v>2</v>
      </c>
      <c r="AQ228" s="118">
        <v>22</v>
      </c>
      <c r="AR228" s="118" t="s">
        <v>6444</v>
      </c>
      <c r="AS228" s="118" t="s">
        <v>392</v>
      </c>
      <c r="AT228" s="118" t="s">
        <v>500</v>
      </c>
      <c r="AU228" s="118" t="s">
        <v>505</v>
      </c>
      <c r="AV228" s="118" t="s">
        <v>508</v>
      </c>
      <c r="AW228" s="118" t="s">
        <v>393</v>
      </c>
      <c r="AX228" s="118" t="s">
        <v>740</v>
      </c>
      <c r="AY228" s="118" t="s">
        <v>393</v>
      </c>
      <c r="AZ228" s="118" t="s">
        <v>393</v>
      </c>
      <c r="BA228" s="118" t="s">
        <v>393</v>
      </c>
      <c r="BB228" s="118" t="s">
        <v>393</v>
      </c>
      <c r="BC228" s="118" t="s">
        <v>393</v>
      </c>
      <c r="BD228" s="118" t="s">
        <v>393</v>
      </c>
      <c r="BE228" s="118" t="s">
        <v>393</v>
      </c>
      <c r="BF228" s="118" t="s">
        <v>393</v>
      </c>
      <c r="BG228" s="118" t="s">
        <v>393</v>
      </c>
      <c r="BH228" s="118" t="s">
        <v>394</v>
      </c>
      <c r="BI228" s="118" t="s">
        <v>394</v>
      </c>
      <c r="BJ228" s="118" t="s">
        <v>393</v>
      </c>
      <c r="BK228" s="118" t="s">
        <v>6988</v>
      </c>
      <c r="BL228" s="118" t="s">
        <v>6415</v>
      </c>
      <c r="BM228" s="118" t="s">
        <v>6992</v>
      </c>
      <c r="BN228" s="118" t="s">
        <v>6991</v>
      </c>
      <c r="BO228" s="118" t="s">
        <v>6415</v>
      </c>
      <c r="BP228" s="118" t="s">
        <v>6415</v>
      </c>
      <c r="BQ228" s="118" t="s">
        <v>6415</v>
      </c>
      <c r="BR228" s="118" t="s">
        <v>6415</v>
      </c>
      <c r="BS228" s="118" t="s">
        <v>6415</v>
      </c>
      <c r="BT228" s="118" t="s">
        <v>6990</v>
      </c>
      <c r="BU228" s="118" t="s">
        <v>6991</v>
      </c>
      <c r="BV228" s="118" t="s">
        <v>6415</v>
      </c>
      <c r="BW228" s="118" t="s">
        <v>6415</v>
      </c>
      <c r="BX228" s="118" t="s">
        <v>6415</v>
      </c>
      <c r="BY228" s="118" t="s">
        <v>6415</v>
      </c>
      <c r="BZ228" s="118" t="s">
        <v>6415</v>
      </c>
      <c r="CA228" s="118" t="s">
        <v>6415</v>
      </c>
      <c r="CB228" s="118" t="s">
        <v>221</v>
      </c>
      <c r="CC228" s="118" t="s">
        <v>740</v>
      </c>
      <c r="CD228" s="118">
        <v>1</v>
      </c>
      <c r="CE228" s="118" t="s">
        <v>410</v>
      </c>
      <c r="CF228" s="118" t="s">
        <v>411</v>
      </c>
      <c r="CG228" s="118" t="s">
        <v>924</v>
      </c>
      <c r="CH228" s="118" t="s">
        <v>6300</v>
      </c>
      <c r="CI228" s="118" t="s">
        <v>417</v>
      </c>
      <c r="CJ228" s="118" t="s">
        <v>398</v>
      </c>
      <c r="CK228" s="118">
        <v>25</v>
      </c>
      <c r="CL228" s="118">
        <v>35</v>
      </c>
      <c r="CM228" s="118" t="s">
        <v>399</v>
      </c>
      <c r="CN228" s="118" t="s">
        <v>6512</v>
      </c>
      <c r="CO228" s="118" t="s">
        <v>1096</v>
      </c>
      <c r="CP228" s="118" t="s">
        <v>400</v>
      </c>
      <c r="CQ228" s="118" t="s">
        <v>6415</v>
      </c>
      <c r="CR228" s="118" t="s">
        <v>6415</v>
      </c>
      <c r="CS228" s="118" t="s">
        <v>6415</v>
      </c>
      <c r="CT228" s="118" t="s">
        <v>6415</v>
      </c>
      <c r="CU228" s="118" t="s">
        <v>6415</v>
      </c>
      <c r="CV228" s="118" t="s">
        <v>6415</v>
      </c>
      <c r="CW228" s="118">
        <v>59</v>
      </c>
      <c r="CX228" s="118" t="s">
        <v>1066</v>
      </c>
      <c r="CY228" s="118" t="s">
        <v>6341</v>
      </c>
      <c r="CZ228" s="118">
        <v>2</v>
      </c>
      <c r="DA228" s="118" t="s">
        <v>410</v>
      </c>
      <c r="DB228" s="118" t="s">
        <v>406</v>
      </c>
      <c r="DC228" s="118" t="s">
        <v>6415</v>
      </c>
      <c r="DD228" s="118" t="s">
        <v>6300</v>
      </c>
      <c r="DE228" s="118" t="s">
        <v>6304</v>
      </c>
      <c r="DF228" s="118" t="s">
        <v>398</v>
      </c>
      <c r="DG228" s="118">
        <v>10</v>
      </c>
      <c r="DH228" s="118">
        <v>35</v>
      </c>
      <c r="DI228" s="118" t="s">
        <v>436</v>
      </c>
      <c r="DJ228" s="118" t="s">
        <v>398</v>
      </c>
      <c r="DK228" s="118" t="s">
        <v>400</v>
      </c>
      <c r="DL228" s="118" t="s">
        <v>6415</v>
      </c>
      <c r="DM228" s="118" t="s">
        <v>6415</v>
      </c>
      <c r="DN228" s="118" t="s">
        <v>6415</v>
      </c>
      <c r="DO228" s="118" t="s">
        <v>6415</v>
      </c>
      <c r="DP228" s="118" t="s">
        <v>6415</v>
      </c>
      <c r="DQ228" s="118" t="s">
        <v>6415</v>
      </c>
      <c r="DR228" s="118">
        <v>40</v>
      </c>
      <c r="DS228" s="118" t="s">
        <v>1066</v>
      </c>
      <c r="DT228" s="118" t="s">
        <v>6341</v>
      </c>
      <c r="DU228" s="118" t="s">
        <v>6415</v>
      </c>
      <c r="DV228" s="118" t="s">
        <v>6415</v>
      </c>
      <c r="DW228" s="118" t="s">
        <v>6415</v>
      </c>
      <c r="DX228" s="118" t="s">
        <v>6415</v>
      </c>
      <c r="DY228" s="118" t="s">
        <v>6415</v>
      </c>
      <c r="DZ228" s="118" t="s">
        <v>6415</v>
      </c>
      <c r="EA228" s="118" t="s">
        <v>6415</v>
      </c>
      <c r="EB228" s="118" t="s">
        <v>6415</v>
      </c>
      <c r="EC228" s="118" t="s">
        <v>6415</v>
      </c>
      <c r="ED228" s="118" t="s">
        <v>6415</v>
      </c>
      <c r="EE228" s="118" t="s">
        <v>6415</v>
      </c>
      <c r="EF228" s="118" t="s">
        <v>6415</v>
      </c>
      <c r="EG228" s="118" t="s">
        <v>6986</v>
      </c>
      <c r="EH228" s="118" t="s">
        <v>7168</v>
      </c>
      <c r="EI228" s="118" t="s">
        <v>6415</v>
      </c>
      <c r="EJ228" s="118" t="s">
        <v>6415</v>
      </c>
      <c r="EK228" s="118" t="s">
        <v>6415</v>
      </c>
      <c r="EL228" s="118" t="s">
        <v>7467</v>
      </c>
      <c r="EM228" s="118" t="s">
        <v>7343</v>
      </c>
      <c r="EN228" s="118" t="s">
        <v>6415</v>
      </c>
      <c r="EO228" s="6" t="str">
        <f t="shared" si="22"/>
        <v>Pathweb</v>
      </c>
      <c r="EP228" s="6" t="str">
        <f t="shared" si="23"/>
        <v>Google Maps</v>
      </c>
      <c r="EQ228" s="6" t="str">
        <f t="shared" si="24"/>
        <v>Mashed Map</v>
      </c>
      <c r="ER228" s="118" t="s">
        <v>6727</v>
      </c>
      <c r="ES228" s="118" t="s">
        <v>71</v>
      </c>
      <c r="ET228" s="4">
        <v>0</v>
      </c>
      <c r="EU228" s="4"/>
      <c r="EV228" s="4"/>
    </row>
    <row r="229" spans="1:152" x14ac:dyDescent="0.15">
      <c r="A229" s="581" t="str">
        <f t="shared" si="21"/>
        <v>Crash Report</v>
      </c>
      <c r="B229" s="14">
        <v>20243027996</v>
      </c>
      <c r="C229" s="118">
        <v>2024</v>
      </c>
      <c r="D229" s="14">
        <v>24021929811556</v>
      </c>
      <c r="F229" s="118" t="s">
        <v>6442</v>
      </c>
      <c r="G229" s="118" t="s">
        <v>402</v>
      </c>
      <c r="H229" s="118">
        <v>2</v>
      </c>
      <c r="I229" s="118" t="s">
        <v>6055</v>
      </c>
      <c r="J229" s="118" t="s">
        <v>423</v>
      </c>
      <c r="K229" s="118" t="s">
        <v>6997</v>
      </c>
      <c r="L229" s="118">
        <v>0.88500000000000001</v>
      </c>
      <c r="M229" s="118">
        <v>0.88500000000000001</v>
      </c>
      <c r="N229" s="118" t="s">
        <v>7469</v>
      </c>
      <c r="O229" s="118" t="s">
        <v>7483</v>
      </c>
      <c r="P229" s="118">
        <v>41.650458</v>
      </c>
      <c r="Q229" s="118">
        <v>-83.525535000000005</v>
      </c>
      <c r="R229" s="118">
        <v>77000</v>
      </c>
      <c r="S229" s="118" t="s">
        <v>6988</v>
      </c>
      <c r="T229" s="118">
        <v>1</v>
      </c>
      <c r="U229" s="118">
        <v>0</v>
      </c>
      <c r="V229" s="118">
        <v>0</v>
      </c>
      <c r="W229" s="118">
        <v>0</v>
      </c>
      <c r="X229" s="118">
        <v>0</v>
      </c>
      <c r="Y229" s="118">
        <v>3</v>
      </c>
      <c r="Z229" s="118">
        <v>0</v>
      </c>
      <c r="AA229" s="118">
        <v>2</v>
      </c>
      <c r="AB229" s="118" t="s">
        <v>1067</v>
      </c>
      <c r="AC229" s="118" t="s">
        <v>6989</v>
      </c>
      <c r="AD229" s="118" t="s">
        <v>1034</v>
      </c>
      <c r="AE229" s="118" t="s">
        <v>943</v>
      </c>
      <c r="AF229" s="118" t="s">
        <v>1041</v>
      </c>
      <c r="AG229" s="118" t="s">
        <v>6415</v>
      </c>
      <c r="AH229" s="118" t="s">
        <v>393</v>
      </c>
      <c r="AI229" s="118">
        <v>2</v>
      </c>
      <c r="AJ229" s="118" t="s">
        <v>6415</v>
      </c>
      <c r="AK229" s="118" t="s">
        <v>393</v>
      </c>
      <c r="AL229" s="118" t="s">
        <v>393</v>
      </c>
      <c r="AM229" s="118" t="s">
        <v>393</v>
      </c>
      <c r="AN229" s="402" t="s">
        <v>5975</v>
      </c>
      <c r="AO229" s="402">
        <v>45341</v>
      </c>
      <c r="AP229" s="118">
        <v>2</v>
      </c>
      <c r="AQ229" s="118">
        <v>15</v>
      </c>
      <c r="AR229" s="118" t="s">
        <v>6444</v>
      </c>
      <c r="AS229" s="118" t="s">
        <v>392</v>
      </c>
      <c r="AT229" s="118" t="s">
        <v>500</v>
      </c>
      <c r="AU229" s="118" t="s">
        <v>404</v>
      </c>
      <c r="AV229" s="118" t="s">
        <v>508</v>
      </c>
      <c r="AW229" s="118" t="s">
        <v>393</v>
      </c>
      <c r="AX229" s="118" t="s">
        <v>740</v>
      </c>
      <c r="AY229" s="118" t="s">
        <v>393</v>
      </c>
      <c r="AZ229" s="118" t="s">
        <v>393</v>
      </c>
      <c r="BA229" s="118" t="s">
        <v>393</v>
      </c>
      <c r="BB229" s="118" t="s">
        <v>393</v>
      </c>
      <c r="BC229" s="118" t="s">
        <v>393</v>
      </c>
      <c r="BD229" s="118" t="s">
        <v>393</v>
      </c>
      <c r="BE229" s="118" t="s">
        <v>393</v>
      </c>
      <c r="BF229" s="118" t="s">
        <v>740</v>
      </c>
      <c r="BG229" s="118" t="s">
        <v>393</v>
      </c>
      <c r="BH229" s="118" t="s">
        <v>394</v>
      </c>
      <c r="BI229" s="118" t="s">
        <v>394</v>
      </c>
      <c r="BJ229" s="118" t="s">
        <v>393</v>
      </c>
      <c r="BK229" s="118" t="s">
        <v>6988</v>
      </c>
      <c r="BL229" s="118" t="s">
        <v>6415</v>
      </c>
      <c r="BM229" s="118" t="s">
        <v>6992</v>
      </c>
      <c r="BN229" s="118" t="s">
        <v>6991</v>
      </c>
      <c r="BO229" s="118" t="s">
        <v>6415</v>
      </c>
      <c r="BP229" s="118" t="s">
        <v>6415</v>
      </c>
      <c r="BQ229" s="118" t="s">
        <v>6415</v>
      </c>
      <c r="BR229" s="118" t="s">
        <v>6415</v>
      </c>
      <c r="BS229" s="118" t="s">
        <v>6415</v>
      </c>
      <c r="BT229" s="118" t="s">
        <v>4748</v>
      </c>
      <c r="BU229" s="118" t="s">
        <v>7057</v>
      </c>
      <c r="BV229" s="118" t="s">
        <v>6415</v>
      </c>
      <c r="BW229" s="118" t="s">
        <v>6415</v>
      </c>
      <c r="BX229" s="118" t="s">
        <v>6415</v>
      </c>
      <c r="BY229" s="118" t="s">
        <v>6415</v>
      </c>
      <c r="BZ229" s="118" t="s">
        <v>6415</v>
      </c>
      <c r="CA229" s="118" t="s">
        <v>6415</v>
      </c>
      <c r="CB229" s="118" t="s">
        <v>221</v>
      </c>
      <c r="CC229" s="118" t="s">
        <v>740</v>
      </c>
      <c r="CD229" s="118">
        <v>2</v>
      </c>
      <c r="CE229" s="118" t="s">
        <v>411</v>
      </c>
      <c r="CF229" s="118" t="s">
        <v>410</v>
      </c>
      <c r="CG229" s="118" t="s">
        <v>924</v>
      </c>
      <c r="CH229" s="118" t="s">
        <v>6300</v>
      </c>
      <c r="CI229" s="118" t="s">
        <v>6303</v>
      </c>
      <c r="CJ229" s="118" t="s">
        <v>398</v>
      </c>
      <c r="CK229" s="14">
        <v>10</v>
      </c>
      <c r="CL229" s="118">
        <v>35</v>
      </c>
      <c r="CM229" s="118" t="s">
        <v>399</v>
      </c>
      <c r="CN229" s="118" t="s">
        <v>6512</v>
      </c>
      <c r="CO229" s="118" t="s">
        <v>1096</v>
      </c>
      <c r="CP229" s="118" t="s">
        <v>400</v>
      </c>
      <c r="CQ229" s="118" t="s">
        <v>6415</v>
      </c>
      <c r="CR229" s="118" t="s">
        <v>6415</v>
      </c>
      <c r="CS229" s="118" t="s">
        <v>6415</v>
      </c>
      <c r="CT229" s="118" t="s">
        <v>6415</v>
      </c>
      <c r="CU229" s="118" t="s">
        <v>6415</v>
      </c>
      <c r="CV229" s="118" t="s">
        <v>6415</v>
      </c>
      <c r="CW229" s="14">
        <v>21</v>
      </c>
      <c r="CX229" s="118" t="s">
        <v>1068</v>
      </c>
      <c r="CY229" s="118" t="s">
        <v>6341</v>
      </c>
      <c r="CZ229" s="118">
        <v>1</v>
      </c>
      <c r="DA229" s="118" t="s">
        <v>411</v>
      </c>
      <c r="DB229" s="118" t="s">
        <v>410</v>
      </c>
      <c r="DC229" s="118" t="s">
        <v>6415</v>
      </c>
      <c r="DD229" s="118" t="s">
        <v>6300</v>
      </c>
      <c r="DE229" s="118" t="s">
        <v>6303</v>
      </c>
      <c r="DF229" s="118" t="s">
        <v>398</v>
      </c>
      <c r="DG229" s="118">
        <v>5</v>
      </c>
      <c r="DH229" s="118">
        <v>35</v>
      </c>
      <c r="DI229" s="118" t="s">
        <v>399</v>
      </c>
      <c r="DJ229" s="118" t="s">
        <v>398</v>
      </c>
      <c r="DK229" s="118" t="s">
        <v>400</v>
      </c>
      <c r="DL229" s="118" t="s">
        <v>6415</v>
      </c>
      <c r="DM229" s="118" t="s">
        <v>6415</v>
      </c>
      <c r="DN229" s="118" t="s">
        <v>6415</v>
      </c>
      <c r="DO229" s="118" t="s">
        <v>6415</v>
      </c>
      <c r="DP229" s="118" t="s">
        <v>6415</v>
      </c>
      <c r="DQ229" s="118" t="s">
        <v>6415</v>
      </c>
      <c r="DR229" s="118">
        <v>44</v>
      </c>
      <c r="DS229" s="118" t="s">
        <v>1066</v>
      </c>
      <c r="DT229" s="118" t="s">
        <v>6341</v>
      </c>
      <c r="DU229" s="118" t="s">
        <v>6415</v>
      </c>
      <c r="DV229" s="118" t="s">
        <v>6415</v>
      </c>
      <c r="DW229" s="118" t="s">
        <v>6415</v>
      </c>
      <c r="DX229" s="118" t="s">
        <v>6415</v>
      </c>
      <c r="DY229" s="118" t="s">
        <v>6415</v>
      </c>
      <c r="DZ229" s="118" t="s">
        <v>6415</v>
      </c>
      <c r="EA229" s="118" t="s">
        <v>6415</v>
      </c>
      <c r="EB229" s="118" t="s">
        <v>6415</v>
      </c>
      <c r="EC229" s="118" t="s">
        <v>6415</v>
      </c>
      <c r="ED229" s="118" t="s">
        <v>6415</v>
      </c>
      <c r="EE229" s="118" t="s">
        <v>6415</v>
      </c>
      <c r="EF229" s="118" t="s">
        <v>6415</v>
      </c>
      <c r="EG229" s="118" t="s">
        <v>7241</v>
      </c>
      <c r="EH229" s="118" t="s">
        <v>7230</v>
      </c>
      <c r="EI229" s="118" t="s">
        <v>6415</v>
      </c>
      <c r="EJ229" s="118" t="s">
        <v>6415</v>
      </c>
      <c r="EK229" s="118" t="s">
        <v>6415</v>
      </c>
      <c r="EL229" s="118" t="s">
        <v>7467</v>
      </c>
      <c r="EM229" s="118" t="s">
        <v>7344</v>
      </c>
      <c r="EN229" s="118" t="s">
        <v>6415</v>
      </c>
      <c r="EO229" s="6" t="str">
        <f t="shared" si="22"/>
        <v>Pathweb</v>
      </c>
      <c r="EP229" s="6" t="str">
        <f t="shared" si="23"/>
        <v>Google Maps</v>
      </c>
      <c r="EQ229" s="6" t="str">
        <f t="shared" si="24"/>
        <v>Mashed Map</v>
      </c>
      <c r="ER229" s="118" t="s">
        <v>6727</v>
      </c>
      <c r="ES229" s="118" t="s">
        <v>71</v>
      </c>
      <c r="ET229" s="4">
        <v>0</v>
      </c>
      <c r="EU229" s="4"/>
      <c r="EV229" s="4"/>
    </row>
    <row r="230" spans="1:152" x14ac:dyDescent="0.15">
      <c r="A230" s="581" t="str">
        <f t="shared" si="21"/>
        <v>Crash Report</v>
      </c>
      <c r="B230" s="14">
        <v>20243031454</v>
      </c>
      <c r="C230" s="118">
        <v>2024</v>
      </c>
      <c r="D230" s="14">
        <v>24022523981014</v>
      </c>
      <c r="F230" s="118" t="s">
        <v>6440</v>
      </c>
      <c r="G230" s="118" t="s">
        <v>230</v>
      </c>
      <c r="H230" s="118">
        <v>2</v>
      </c>
      <c r="I230" s="118" t="s">
        <v>6055</v>
      </c>
      <c r="J230" s="118" t="s">
        <v>391</v>
      </c>
      <c r="K230" s="118" t="s">
        <v>6985</v>
      </c>
      <c r="L230" s="118">
        <v>0.09</v>
      </c>
      <c r="M230" s="118">
        <v>0.09</v>
      </c>
      <c r="N230" s="118" t="s">
        <v>7465</v>
      </c>
      <c r="O230" s="118" t="s">
        <v>7475</v>
      </c>
      <c r="P230" s="118">
        <v>41.647990999999998</v>
      </c>
      <c r="Q230" s="118">
        <v>-83.524353000000005</v>
      </c>
      <c r="R230" s="118">
        <v>77000</v>
      </c>
      <c r="S230" s="118" t="s">
        <v>6988</v>
      </c>
      <c r="T230" s="118">
        <v>1</v>
      </c>
      <c r="U230" s="118">
        <v>0</v>
      </c>
      <c r="V230" s="118">
        <v>0</v>
      </c>
      <c r="W230" s="118">
        <v>1</v>
      </c>
      <c r="X230" s="118">
        <v>0</v>
      </c>
      <c r="Y230" s="118">
        <v>2</v>
      </c>
      <c r="Z230" s="118">
        <v>0</v>
      </c>
      <c r="AA230" s="118">
        <v>2</v>
      </c>
      <c r="AB230" s="118" t="s">
        <v>1067</v>
      </c>
      <c r="AC230" s="118" t="s">
        <v>6989</v>
      </c>
      <c r="AD230" s="118" t="s">
        <v>1034</v>
      </c>
      <c r="AE230" s="118" t="s">
        <v>943</v>
      </c>
      <c r="AF230" s="118" t="s">
        <v>1042</v>
      </c>
      <c r="AG230" s="118" t="s">
        <v>6415</v>
      </c>
      <c r="AH230" s="118" t="s">
        <v>393</v>
      </c>
      <c r="AI230" s="118">
        <v>4</v>
      </c>
      <c r="AJ230" s="118" t="s">
        <v>6415</v>
      </c>
      <c r="AK230" s="118" t="s">
        <v>393</v>
      </c>
      <c r="AL230" s="118" t="s">
        <v>393</v>
      </c>
      <c r="AM230" s="118" t="s">
        <v>393</v>
      </c>
      <c r="AN230" s="402" t="s">
        <v>5975</v>
      </c>
      <c r="AO230" s="402">
        <v>45347</v>
      </c>
      <c r="AP230" s="118">
        <v>2</v>
      </c>
      <c r="AQ230" s="118">
        <v>10</v>
      </c>
      <c r="AR230" s="118" t="s">
        <v>6443</v>
      </c>
      <c r="AS230" s="118" t="s">
        <v>392</v>
      </c>
      <c r="AT230" s="118" t="s">
        <v>500</v>
      </c>
      <c r="AU230" s="118" t="s">
        <v>404</v>
      </c>
      <c r="AV230" s="118" t="s">
        <v>508</v>
      </c>
      <c r="AW230" s="118" t="s">
        <v>393</v>
      </c>
      <c r="AX230" s="118" t="s">
        <v>393</v>
      </c>
      <c r="AY230" s="118" t="s">
        <v>393</v>
      </c>
      <c r="AZ230" s="118" t="s">
        <v>393</v>
      </c>
      <c r="BA230" s="118" t="s">
        <v>393</v>
      </c>
      <c r="BB230" s="118" t="s">
        <v>393</v>
      </c>
      <c r="BC230" s="118" t="s">
        <v>393</v>
      </c>
      <c r="BD230" s="118" t="s">
        <v>393</v>
      </c>
      <c r="BE230" s="118" t="s">
        <v>393</v>
      </c>
      <c r="BF230" s="118" t="s">
        <v>740</v>
      </c>
      <c r="BG230" s="118" t="s">
        <v>393</v>
      </c>
      <c r="BH230" s="118" t="s">
        <v>394</v>
      </c>
      <c r="BI230" s="118" t="s">
        <v>394</v>
      </c>
      <c r="BJ230" s="118" t="s">
        <v>393</v>
      </c>
      <c r="BK230" s="118" t="s">
        <v>6988</v>
      </c>
      <c r="BL230" s="118" t="s">
        <v>6415</v>
      </c>
      <c r="BM230" s="118" t="s">
        <v>6990</v>
      </c>
      <c r="BN230" s="118" t="s">
        <v>6991</v>
      </c>
      <c r="BO230" s="118" t="s">
        <v>6415</v>
      </c>
      <c r="BP230" s="118" t="s">
        <v>6415</v>
      </c>
      <c r="BQ230" s="118" t="s">
        <v>6415</v>
      </c>
      <c r="BR230" s="118" t="s">
        <v>6415</v>
      </c>
      <c r="BS230" s="118" t="s">
        <v>6415</v>
      </c>
      <c r="BT230" s="118" t="s">
        <v>2583</v>
      </c>
      <c r="BU230" s="118" t="s">
        <v>7017</v>
      </c>
      <c r="BV230" s="118" t="s">
        <v>6415</v>
      </c>
      <c r="BW230" s="118" t="s">
        <v>6415</v>
      </c>
      <c r="BX230" s="118" t="s">
        <v>6415</v>
      </c>
      <c r="BY230" s="118" t="s">
        <v>6415</v>
      </c>
      <c r="BZ230" s="118" t="s">
        <v>6415</v>
      </c>
      <c r="CA230" s="118" t="s">
        <v>6415</v>
      </c>
      <c r="CB230" s="118" t="s">
        <v>221</v>
      </c>
      <c r="CC230" s="118" t="s">
        <v>740</v>
      </c>
      <c r="CD230" s="118">
        <v>2</v>
      </c>
      <c r="CE230" s="118" t="s">
        <v>397</v>
      </c>
      <c r="CF230" s="118" t="s">
        <v>406</v>
      </c>
      <c r="CG230" s="118" t="s">
        <v>230</v>
      </c>
      <c r="CH230" s="118" t="s">
        <v>6302</v>
      </c>
      <c r="CI230" s="118" t="s">
        <v>6303</v>
      </c>
      <c r="CJ230" s="118" t="s">
        <v>398</v>
      </c>
      <c r="CK230" s="14">
        <v>35</v>
      </c>
      <c r="CL230" s="118">
        <v>35</v>
      </c>
      <c r="CM230" s="118" t="s">
        <v>436</v>
      </c>
      <c r="CN230" s="118" t="s">
        <v>6327</v>
      </c>
      <c r="CO230" s="118" t="s">
        <v>1096</v>
      </c>
      <c r="CP230" s="118" t="s">
        <v>400</v>
      </c>
      <c r="CQ230" s="118" t="s">
        <v>6415</v>
      </c>
      <c r="CR230" s="118" t="s">
        <v>6415</v>
      </c>
      <c r="CS230" s="118" t="s">
        <v>6415</v>
      </c>
      <c r="CT230" s="118" t="s">
        <v>6415</v>
      </c>
      <c r="CU230" s="118" t="s">
        <v>6415</v>
      </c>
      <c r="CV230" s="118" t="s">
        <v>6415</v>
      </c>
      <c r="CW230" s="14">
        <v>29</v>
      </c>
      <c r="CX230" s="118" t="s">
        <v>1066</v>
      </c>
      <c r="CY230" s="118" t="s">
        <v>6341</v>
      </c>
      <c r="CZ230" s="118">
        <v>1</v>
      </c>
      <c r="DA230" s="118" t="s">
        <v>397</v>
      </c>
      <c r="DB230" s="118" t="s">
        <v>396</v>
      </c>
      <c r="DC230" s="118" t="s">
        <v>6415</v>
      </c>
      <c r="DD230" s="118" t="s">
        <v>6302</v>
      </c>
      <c r="DE230" s="118" t="s">
        <v>6303</v>
      </c>
      <c r="DF230" s="118" t="s">
        <v>398</v>
      </c>
      <c r="DG230" s="118">
        <v>35</v>
      </c>
      <c r="DH230" s="118">
        <v>35</v>
      </c>
      <c r="DI230" s="118" t="s">
        <v>399</v>
      </c>
      <c r="DJ230" s="118" t="s">
        <v>398</v>
      </c>
      <c r="DK230" s="118" t="s">
        <v>400</v>
      </c>
      <c r="DL230" s="118" t="s">
        <v>6415</v>
      </c>
      <c r="DM230" s="118" t="s">
        <v>6415</v>
      </c>
      <c r="DN230" s="118" t="s">
        <v>6415</v>
      </c>
      <c r="DO230" s="118" t="s">
        <v>6415</v>
      </c>
      <c r="DP230" s="118" t="s">
        <v>6415</v>
      </c>
      <c r="DQ230" s="118" t="s">
        <v>6415</v>
      </c>
      <c r="DR230" s="118">
        <v>20</v>
      </c>
      <c r="DS230" s="118" t="s">
        <v>1066</v>
      </c>
      <c r="DT230" s="118" t="s">
        <v>6341</v>
      </c>
      <c r="DU230" s="118" t="s">
        <v>6415</v>
      </c>
      <c r="DV230" s="118" t="s">
        <v>6415</v>
      </c>
      <c r="DW230" s="118" t="s">
        <v>6415</v>
      </c>
      <c r="DX230" s="118" t="s">
        <v>6415</v>
      </c>
      <c r="DY230" s="118" t="s">
        <v>6415</v>
      </c>
      <c r="DZ230" s="118" t="s">
        <v>6415</v>
      </c>
      <c r="EA230" s="118" t="s">
        <v>6415</v>
      </c>
      <c r="EB230" s="118" t="s">
        <v>6415</v>
      </c>
      <c r="EC230" s="118" t="s">
        <v>6415</v>
      </c>
      <c r="ED230" s="118" t="s">
        <v>6415</v>
      </c>
      <c r="EE230" s="118" t="s">
        <v>6415</v>
      </c>
      <c r="EF230" s="118" t="s">
        <v>6415</v>
      </c>
      <c r="EG230" s="118" t="s">
        <v>7028</v>
      </c>
      <c r="EH230" s="118" t="s">
        <v>7029</v>
      </c>
      <c r="EI230" s="118" t="s">
        <v>6415</v>
      </c>
      <c r="EJ230" s="118" t="s">
        <v>6415</v>
      </c>
      <c r="EK230" s="118" t="s">
        <v>6415</v>
      </c>
      <c r="EL230" s="118" t="s">
        <v>7467</v>
      </c>
      <c r="EM230" s="118" t="s">
        <v>7345</v>
      </c>
      <c r="EN230" s="118" t="s">
        <v>6415</v>
      </c>
      <c r="EO230" s="6" t="str">
        <f t="shared" si="22"/>
        <v>Pathweb</v>
      </c>
      <c r="EP230" s="6" t="str">
        <f t="shared" si="23"/>
        <v>Google Maps</v>
      </c>
      <c r="EQ230" s="6" t="str">
        <f t="shared" si="24"/>
        <v>Mashed Map</v>
      </c>
      <c r="ER230" s="118" t="s">
        <v>6727</v>
      </c>
      <c r="ES230" s="118" t="s">
        <v>6728</v>
      </c>
      <c r="ET230" s="4">
        <v>8.9999999999999993E-3</v>
      </c>
      <c r="EU230" s="4"/>
      <c r="EV230" s="4"/>
    </row>
    <row r="231" spans="1:152" x14ac:dyDescent="0.15">
      <c r="A231" s="581" t="str">
        <f t="shared" si="21"/>
        <v>Crash Report</v>
      </c>
      <c r="B231" s="118">
        <v>20243036409</v>
      </c>
      <c r="C231" s="118">
        <v>2024</v>
      </c>
      <c r="D231" s="118">
        <v>24030129092356</v>
      </c>
      <c r="F231" s="118" t="s">
        <v>6442</v>
      </c>
      <c r="G231" s="118" t="s">
        <v>211</v>
      </c>
      <c r="H231" s="118">
        <v>2</v>
      </c>
      <c r="I231" s="118" t="s">
        <v>6055</v>
      </c>
      <c r="J231" s="118" t="s">
        <v>423</v>
      </c>
      <c r="K231" s="118" t="s">
        <v>6997</v>
      </c>
      <c r="L231" s="118">
        <v>0.379</v>
      </c>
      <c r="M231" s="118">
        <v>0.379</v>
      </c>
      <c r="N231" s="118" t="s">
        <v>7469</v>
      </c>
      <c r="O231" s="118" t="s">
        <v>7489</v>
      </c>
      <c r="P231" s="118">
        <v>41.644768999999997</v>
      </c>
      <c r="Q231" s="118">
        <v>-83.519372000000004</v>
      </c>
      <c r="R231" s="118">
        <v>77000</v>
      </c>
      <c r="S231" s="118" t="s">
        <v>6988</v>
      </c>
      <c r="T231" s="118">
        <v>1</v>
      </c>
      <c r="U231" s="118">
        <v>0</v>
      </c>
      <c r="V231" s="118">
        <v>0</v>
      </c>
      <c r="W231" s="118">
        <v>0</v>
      </c>
      <c r="X231" s="118">
        <v>0</v>
      </c>
      <c r="Y231" s="118">
        <v>4</v>
      </c>
      <c r="Z231" s="118">
        <v>0</v>
      </c>
      <c r="AA231" s="118">
        <v>2</v>
      </c>
      <c r="AB231" s="118" t="s">
        <v>1067</v>
      </c>
      <c r="AC231" s="118" t="s">
        <v>6989</v>
      </c>
      <c r="AD231" s="118" t="s">
        <v>1034</v>
      </c>
      <c r="AE231" s="118" t="s">
        <v>943</v>
      </c>
      <c r="AF231" s="118" t="s">
        <v>1042</v>
      </c>
      <c r="AG231" s="118" t="s">
        <v>6415</v>
      </c>
      <c r="AH231" s="118" t="s">
        <v>393</v>
      </c>
      <c r="AI231" s="118">
        <v>2</v>
      </c>
      <c r="AJ231" s="118" t="s">
        <v>6415</v>
      </c>
      <c r="AK231" s="118" t="s">
        <v>393</v>
      </c>
      <c r="AL231" s="118" t="s">
        <v>393</v>
      </c>
      <c r="AM231" s="118" t="s">
        <v>393</v>
      </c>
      <c r="AN231" s="402" t="s">
        <v>5975</v>
      </c>
      <c r="AO231" s="402">
        <v>45352</v>
      </c>
      <c r="AP231" s="118">
        <v>3</v>
      </c>
      <c r="AQ231" s="118">
        <v>23</v>
      </c>
      <c r="AR231" s="118" t="s">
        <v>6448</v>
      </c>
      <c r="AS231" s="118" t="s">
        <v>392</v>
      </c>
      <c r="AT231" s="118" t="s">
        <v>225</v>
      </c>
      <c r="AU231" s="118" t="s">
        <v>505</v>
      </c>
      <c r="AV231" s="118" t="s">
        <v>508</v>
      </c>
      <c r="AW231" s="118" t="s">
        <v>393</v>
      </c>
      <c r="AX231" s="118" t="s">
        <v>740</v>
      </c>
      <c r="AY231" s="118" t="s">
        <v>393</v>
      </c>
      <c r="AZ231" s="118" t="s">
        <v>393</v>
      </c>
      <c r="BA231" s="118" t="s">
        <v>393</v>
      </c>
      <c r="BB231" s="118" t="s">
        <v>393</v>
      </c>
      <c r="BC231" s="118" t="s">
        <v>393</v>
      </c>
      <c r="BD231" s="118" t="s">
        <v>740</v>
      </c>
      <c r="BE231" s="118" t="s">
        <v>393</v>
      </c>
      <c r="BF231" s="118" t="s">
        <v>740</v>
      </c>
      <c r="BG231" s="118" t="s">
        <v>393</v>
      </c>
      <c r="BH231" s="118" t="s">
        <v>394</v>
      </c>
      <c r="BI231" s="118" t="s">
        <v>394</v>
      </c>
      <c r="BJ231" s="118" t="s">
        <v>393</v>
      </c>
      <c r="BK231" s="118" t="s">
        <v>6988</v>
      </c>
      <c r="BL231" s="118" t="s">
        <v>6415</v>
      </c>
      <c r="BM231" s="118" t="s">
        <v>6992</v>
      </c>
      <c r="BN231" s="118" t="s">
        <v>6991</v>
      </c>
      <c r="BO231" s="118" t="s">
        <v>6415</v>
      </c>
      <c r="BP231" s="118" t="s">
        <v>6415</v>
      </c>
      <c r="BQ231" s="118" t="s">
        <v>6415</v>
      </c>
      <c r="BR231" s="118" t="s">
        <v>6415</v>
      </c>
      <c r="BS231" s="118" t="s">
        <v>6415</v>
      </c>
      <c r="BT231" s="118" t="s">
        <v>7154</v>
      </c>
      <c r="BU231" s="118" t="s">
        <v>6991</v>
      </c>
      <c r="BV231" s="118" t="s">
        <v>6415</v>
      </c>
      <c r="BW231" s="118" t="s">
        <v>6415</v>
      </c>
      <c r="BX231" s="118" t="s">
        <v>6415</v>
      </c>
      <c r="BY231" s="118" t="s">
        <v>6415</v>
      </c>
      <c r="BZ231" s="118" t="s">
        <v>6415</v>
      </c>
      <c r="CA231" s="118" t="s">
        <v>6415</v>
      </c>
      <c r="CB231" s="118" t="s">
        <v>221</v>
      </c>
      <c r="CC231" s="118" t="s">
        <v>740</v>
      </c>
      <c r="CD231" s="118">
        <v>2</v>
      </c>
      <c r="CE231" s="118" t="s">
        <v>411</v>
      </c>
      <c r="CF231" s="118" t="s">
        <v>410</v>
      </c>
      <c r="CG231" s="118" t="s">
        <v>924</v>
      </c>
      <c r="CH231" s="118" t="s">
        <v>6300</v>
      </c>
      <c r="CI231" s="118" t="s">
        <v>6303</v>
      </c>
      <c r="CJ231" s="118" t="s">
        <v>6151</v>
      </c>
      <c r="CK231" s="118">
        <v>35</v>
      </c>
      <c r="CL231" s="118">
        <v>25</v>
      </c>
      <c r="CM231" s="118" t="s">
        <v>399</v>
      </c>
      <c r="CN231" s="118" t="s">
        <v>440</v>
      </c>
      <c r="CO231" s="118" t="s">
        <v>1096</v>
      </c>
      <c r="CP231" s="118" t="s">
        <v>400</v>
      </c>
      <c r="CQ231" s="118" t="s">
        <v>6415</v>
      </c>
      <c r="CR231" s="118" t="s">
        <v>6415</v>
      </c>
      <c r="CS231" s="118" t="s">
        <v>6415</v>
      </c>
      <c r="CT231" s="118" t="s">
        <v>6415</v>
      </c>
      <c r="CU231" s="118" t="s">
        <v>6415</v>
      </c>
      <c r="CV231" s="118" t="s">
        <v>6415</v>
      </c>
      <c r="CW231" s="118">
        <v>0</v>
      </c>
      <c r="CX231" s="118" t="s">
        <v>401</v>
      </c>
      <c r="CY231" s="118" t="s">
        <v>6151</v>
      </c>
      <c r="CZ231" s="118">
        <v>1</v>
      </c>
      <c r="DA231" s="118" t="s">
        <v>406</v>
      </c>
      <c r="DB231" s="118" t="s">
        <v>405</v>
      </c>
      <c r="DC231" s="118" t="s">
        <v>6415</v>
      </c>
      <c r="DD231" s="118" t="s">
        <v>6300</v>
      </c>
      <c r="DE231" s="118" t="s">
        <v>6303</v>
      </c>
      <c r="DF231" s="118" t="s">
        <v>398</v>
      </c>
      <c r="DG231" s="118">
        <v>25</v>
      </c>
      <c r="DH231" s="118">
        <v>25</v>
      </c>
      <c r="DI231" s="118" t="s">
        <v>399</v>
      </c>
      <c r="DJ231" s="118" t="s">
        <v>398</v>
      </c>
      <c r="DK231" s="118" t="s">
        <v>400</v>
      </c>
      <c r="DL231" s="118" t="s">
        <v>6415</v>
      </c>
      <c r="DM231" s="118" t="s">
        <v>6415</v>
      </c>
      <c r="DN231" s="118" t="s">
        <v>6415</v>
      </c>
      <c r="DO231" s="118" t="s">
        <v>6415</v>
      </c>
      <c r="DP231" s="118" t="s">
        <v>6415</v>
      </c>
      <c r="DQ231" s="118" t="s">
        <v>6415</v>
      </c>
      <c r="DR231" s="118">
        <v>21</v>
      </c>
      <c r="DS231" s="118" t="s">
        <v>1066</v>
      </c>
      <c r="DT231" s="118" t="s">
        <v>6341</v>
      </c>
      <c r="DU231" s="118" t="s">
        <v>6415</v>
      </c>
      <c r="DV231" s="118" t="s">
        <v>6415</v>
      </c>
      <c r="DW231" s="118" t="s">
        <v>6415</v>
      </c>
      <c r="DX231" s="118" t="s">
        <v>6415</v>
      </c>
      <c r="DY231" s="118" t="s">
        <v>6415</v>
      </c>
      <c r="DZ231" s="118" t="s">
        <v>6415</v>
      </c>
      <c r="EA231" s="118" t="s">
        <v>6415</v>
      </c>
      <c r="EB231" s="118" t="s">
        <v>6415</v>
      </c>
      <c r="EC231" s="118" t="s">
        <v>6415</v>
      </c>
      <c r="ED231" s="118" t="s">
        <v>6415</v>
      </c>
      <c r="EE231" s="118" t="s">
        <v>6415</v>
      </c>
      <c r="EF231" s="118" t="s">
        <v>6415</v>
      </c>
      <c r="EG231" s="118" t="s">
        <v>7051</v>
      </c>
      <c r="EH231" s="118" t="s">
        <v>7052</v>
      </c>
      <c r="EI231" s="118" t="s">
        <v>6415</v>
      </c>
      <c r="EJ231" s="118" t="s">
        <v>6415</v>
      </c>
      <c r="EK231" s="118" t="s">
        <v>6415</v>
      </c>
      <c r="EL231" s="118" t="s">
        <v>7467</v>
      </c>
      <c r="EM231" s="118" t="s">
        <v>7346</v>
      </c>
      <c r="EN231" s="118" t="s">
        <v>6415</v>
      </c>
      <c r="EO231" s="6" t="str">
        <f t="shared" si="22"/>
        <v>Pathweb</v>
      </c>
      <c r="EP231" s="6" t="str">
        <f t="shared" si="23"/>
        <v>Google Maps</v>
      </c>
      <c r="EQ231" s="6" t="str">
        <f t="shared" si="24"/>
        <v>Mashed Map</v>
      </c>
      <c r="ER231" s="118" t="s">
        <v>6727</v>
      </c>
      <c r="ES231" s="118" t="s">
        <v>71</v>
      </c>
      <c r="ET231" s="4">
        <v>2E-3</v>
      </c>
      <c r="EU231" s="4"/>
      <c r="EV231" s="4"/>
    </row>
    <row r="232" spans="1:152" x14ac:dyDescent="0.15">
      <c r="A232" s="581" t="str">
        <f t="shared" si="21"/>
        <v>Crash Report</v>
      </c>
      <c r="B232" s="118">
        <v>20243037001</v>
      </c>
      <c r="C232" s="118">
        <v>2024</v>
      </c>
      <c r="D232" s="118">
        <v>24030422870650</v>
      </c>
      <c r="F232" s="118" t="s">
        <v>6440</v>
      </c>
      <c r="G232" s="118" t="s">
        <v>211</v>
      </c>
      <c r="H232" s="118">
        <v>2</v>
      </c>
      <c r="I232" s="118" t="s">
        <v>6055</v>
      </c>
      <c r="J232" s="118" t="s">
        <v>423</v>
      </c>
      <c r="K232" s="118" t="s">
        <v>6997</v>
      </c>
      <c r="L232" s="118">
        <v>0.71299999999999997</v>
      </c>
      <c r="M232" s="118">
        <v>0.71299999999999997</v>
      </c>
      <c r="N232" s="118" t="s">
        <v>7469</v>
      </c>
      <c r="O232" s="118" t="s">
        <v>7473</v>
      </c>
      <c r="P232" s="118">
        <v>41.648513000000001</v>
      </c>
      <c r="Q232" s="118">
        <v>-83.523441000000005</v>
      </c>
      <c r="R232" s="118">
        <v>77000</v>
      </c>
      <c r="S232" s="118" t="s">
        <v>6988</v>
      </c>
      <c r="T232" s="118">
        <v>1</v>
      </c>
      <c r="U232" s="118">
        <v>0</v>
      </c>
      <c r="V232" s="118">
        <v>0</v>
      </c>
      <c r="W232" s="118">
        <v>1</v>
      </c>
      <c r="X232" s="118">
        <v>0</v>
      </c>
      <c r="Y232" s="118">
        <v>1</v>
      </c>
      <c r="Z232" s="118">
        <v>0</v>
      </c>
      <c r="AA232" s="118">
        <v>2</v>
      </c>
      <c r="AB232" s="118" t="s">
        <v>1067</v>
      </c>
      <c r="AC232" s="118" t="s">
        <v>6989</v>
      </c>
      <c r="AD232" s="118" t="s">
        <v>1034</v>
      </c>
      <c r="AE232" s="118" t="s">
        <v>943</v>
      </c>
      <c r="AF232" s="118" t="s">
        <v>1042</v>
      </c>
      <c r="AG232" s="118" t="s">
        <v>6415</v>
      </c>
      <c r="AH232" s="118" t="s">
        <v>393</v>
      </c>
      <c r="AI232" s="118">
        <v>2</v>
      </c>
      <c r="AJ232" s="118" t="s">
        <v>6415</v>
      </c>
      <c r="AK232" s="118" t="s">
        <v>393</v>
      </c>
      <c r="AL232" s="118" t="s">
        <v>393</v>
      </c>
      <c r="AM232" s="118" t="s">
        <v>393</v>
      </c>
      <c r="AN232" s="402" t="s">
        <v>5975</v>
      </c>
      <c r="AO232" s="402">
        <v>45355</v>
      </c>
      <c r="AP232" s="118">
        <v>3</v>
      </c>
      <c r="AQ232" s="118">
        <v>6</v>
      </c>
      <c r="AR232" s="118" t="s">
        <v>6444</v>
      </c>
      <c r="AS232" s="118" t="s">
        <v>392</v>
      </c>
      <c r="AT232" s="118" t="s">
        <v>500</v>
      </c>
      <c r="AU232" s="118" t="s">
        <v>404</v>
      </c>
      <c r="AV232" s="118" t="s">
        <v>508</v>
      </c>
      <c r="AW232" s="118" t="s">
        <v>393</v>
      </c>
      <c r="AX232" s="118" t="s">
        <v>740</v>
      </c>
      <c r="AY232" s="118" t="s">
        <v>393</v>
      </c>
      <c r="AZ232" s="118" t="s">
        <v>393</v>
      </c>
      <c r="BA232" s="118" t="s">
        <v>393</v>
      </c>
      <c r="BB232" s="118" t="s">
        <v>393</v>
      </c>
      <c r="BC232" s="118" t="s">
        <v>393</v>
      </c>
      <c r="BD232" s="118" t="s">
        <v>393</v>
      </c>
      <c r="BE232" s="118" t="s">
        <v>393</v>
      </c>
      <c r="BF232" s="118" t="s">
        <v>393</v>
      </c>
      <c r="BG232" s="118" t="s">
        <v>393</v>
      </c>
      <c r="BH232" s="118" t="s">
        <v>394</v>
      </c>
      <c r="BI232" s="118" t="s">
        <v>394</v>
      </c>
      <c r="BJ232" s="118" t="s">
        <v>393</v>
      </c>
      <c r="BK232" s="118" t="s">
        <v>6988</v>
      </c>
      <c r="BL232" s="118" t="s">
        <v>6415</v>
      </c>
      <c r="BM232" s="118" t="s">
        <v>6992</v>
      </c>
      <c r="BN232" s="118" t="s">
        <v>6991</v>
      </c>
      <c r="BO232" s="118" t="s">
        <v>6415</v>
      </c>
      <c r="BP232" s="118" t="s">
        <v>6415</v>
      </c>
      <c r="BQ232" s="118" t="s">
        <v>6415</v>
      </c>
      <c r="BR232" s="118" t="s">
        <v>6415</v>
      </c>
      <c r="BS232" s="118" t="s">
        <v>6415</v>
      </c>
      <c r="BT232" s="118" t="s">
        <v>6990</v>
      </c>
      <c r="BU232" s="118" t="s">
        <v>6991</v>
      </c>
      <c r="BV232" s="118" t="s">
        <v>6415</v>
      </c>
      <c r="BW232" s="118" t="s">
        <v>6415</v>
      </c>
      <c r="BX232" s="118" t="s">
        <v>6415</v>
      </c>
      <c r="BY232" s="118" t="s">
        <v>6415</v>
      </c>
      <c r="BZ232" s="118" t="s">
        <v>6415</v>
      </c>
      <c r="CA232" s="118" t="s">
        <v>6415</v>
      </c>
      <c r="CB232" s="118" t="s">
        <v>221</v>
      </c>
      <c r="CC232" s="118" t="s">
        <v>740</v>
      </c>
      <c r="CD232" s="118">
        <v>2</v>
      </c>
      <c r="CE232" s="118" t="s">
        <v>397</v>
      </c>
      <c r="CF232" s="118" t="s">
        <v>396</v>
      </c>
      <c r="CG232" s="118" t="s">
        <v>924</v>
      </c>
      <c r="CH232" s="118" t="s">
        <v>6300</v>
      </c>
      <c r="CI232" s="118" t="s">
        <v>6303</v>
      </c>
      <c r="CJ232" s="118" t="s">
        <v>398</v>
      </c>
      <c r="CK232" s="118">
        <v>35</v>
      </c>
      <c r="CL232" s="118">
        <v>35</v>
      </c>
      <c r="CM232" s="118" t="s">
        <v>399</v>
      </c>
      <c r="CN232" s="118" t="s">
        <v>440</v>
      </c>
      <c r="CO232" s="118" t="s">
        <v>1096</v>
      </c>
      <c r="CP232" s="118" t="s">
        <v>400</v>
      </c>
      <c r="CQ232" s="118" t="s">
        <v>6415</v>
      </c>
      <c r="CR232" s="118" t="s">
        <v>6415</v>
      </c>
      <c r="CS232" s="118" t="s">
        <v>6415</v>
      </c>
      <c r="CT232" s="118" t="s">
        <v>6415</v>
      </c>
      <c r="CU232" s="118" t="s">
        <v>6415</v>
      </c>
      <c r="CV232" s="118" t="s">
        <v>6415</v>
      </c>
      <c r="CW232" s="118">
        <v>55</v>
      </c>
      <c r="CX232" s="118" t="s">
        <v>1068</v>
      </c>
      <c r="CY232" s="118" t="s">
        <v>6341</v>
      </c>
      <c r="CZ232" s="118">
        <v>1</v>
      </c>
      <c r="DA232" s="118" t="s">
        <v>445</v>
      </c>
      <c r="DB232" s="118" t="s">
        <v>446</v>
      </c>
      <c r="DC232" s="118" t="s">
        <v>6415</v>
      </c>
      <c r="DD232" s="118" t="s">
        <v>6300</v>
      </c>
      <c r="DE232" s="118" t="s">
        <v>6303</v>
      </c>
      <c r="DF232" s="118" t="s">
        <v>398</v>
      </c>
      <c r="DG232" s="118">
        <v>25</v>
      </c>
      <c r="DH232" s="118">
        <v>25</v>
      </c>
      <c r="DI232" s="118" t="s">
        <v>399</v>
      </c>
      <c r="DJ232" s="118" t="s">
        <v>398</v>
      </c>
      <c r="DK232" s="118" t="s">
        <v>400</v>
      </c>
      <c r="DL232" s="118" t="s">
        <v>6415</v>
      </c>
      <c r="DM232" s="118" t="s">
        <v>6415</v>
      </c>
      <c r="DN232" s="118" t="s">
        <v>6415</v>
      </c>
      <c r="DO232" s="118" t="s">
        <v>6415</v>
      </c>
      <c r="DP232" s="118" t="s">
        <v>6415</v>
      </c>
      <c r="DQ232" s="118" t="s">
        <v>6415</v>
      </c>
      <c r="DR232" s="118">
        <v>39</v>
      </c>
      <c r="DS232" s="118" t="s">
        <v>1066</v>
      </c>
      <c r="DT232" s="118" t="s">
        <v>6341</v>
      </c>
      <c r="DU232" s="118" t="s">
        <v>6415</v>
      </c>
      <c r="DV232" s="118" t="s">
        <v>6415</v>
      </c>
      <c r="DW232" s="118" t="s">
        <v>6415</v>
      </c>
      <c r="DX232" s="118" t="s">
        <v>6415</v>
      </c>
      <c r="DY232" s="118" t="s">
        <v>6415</v>
      </c>
      <c r="DZ232" s="118" t="s">
        <v>6415</v>
      </c>
      <c r="EA232" s="118" t="s">
        <v>6415</v>
      </c>
      <c r="EB232" s="118" t="s">
        <v>6415</v>
      </c>
      <c r="EC232" s="118" t="s">
        <v>6415</v>
      </c>
      <c r="ED232" s="118" t="s">
        <v>6415</v>
      </c>
      <c r="EE232" s="118" t="s">
        <v>6415</v>
      </c>
      <c r="EF232" s="118" t="s">
        <v>6415</v>
      </c>
      <c r="EG232" s="118" t="s">
        <v>6986</v>
      </c>
      <c r="EH232" s="118" t="s">
        <v>7168</v>
      </c>
      <c r="EI232" s="118" t="s">
        <v>6415</v>
      </c>
      <c r="EJ232" s="118" t="s">
        <v>6415</v>
      </c>
      <c r="EK232" s="118" t="s">
        <v>6415</v>
      </c>
      <c r="EL232" s="118" t="s">
        <v>7467</v>
      </c>
      <c r="EM232" s="118" t="s">
        <v>7347</v>
      </c>
      <c r="EN232" s="118" t="s">
        <v>6415</v>
      </c>
      <c r="EO232" s="6" t="str">
        <f t="shared" si="22"/>
        <v>Pathweb</v>
      </c>
      <c r="EP232" s="6" t="str">
        <f t="shared" si="23"/>
        <v>Google Maps</v>
      </c>
      <c r="EQ232" s="6" t="str">
        <f t="shared" si="24"/>
        <v>Mashed Map</v>
      </c>
      <c r="ER232" s="118" t="s">
        <v>6727</v>
      </c>
      <c r="ES232" s="118" t="s">
        <v>6728</v>
      </c>
      <c r="ET232" s="4">
        <v>0</v>
      </c>
      <c r="EU232" s="4"/>
      <c r="EV232" s="4"/>
    </row>
    <row r="233" spans="1:152" x14ac:dyDescent="0.15">
      <c r="A233" s="581" t="str">
        <f t="shared" si="21"/>
        <v>Crash Report</v>
      </c>
      <c r="B233" s="14">
        <v>20243037121</v>
      </c>
      <c r="C233" s="118">
        <v>2024</v>
      </c>
      <c r="D233" s="14">
        <v>24022929181517</v>
      </c>
      <c r="F233" s="118" t="s">
        <v>6442</v>
      </c>
      <c r="G233" s="118" t="s">
        <v>402</v>
      </c>
      <c r="H233" s="118">
        <v>2</v>
      </c>
      <c r="I233" s="118" t="s">
        <v>6055</v>
      </c>
      <c r="J233" s="118" t="s">
        <v>391</v>
      </c>
      <c r="K233" s="118" t="s">
        <v>6997</v>
      </c>
      <c r="L233" s="118">
        <v>0.36399999999999999</v>
      </c>
      <c r="M233" s="118">
        <v>0.36399999999999999</v>
      </c>
      <c r="N233" s="118" t="s">
        <v>7469</v>
      </c>
      <c r="O233" s="118">
        <v>603</v>
      </c>
      <c r="P233" s="118">
        <v>41.644601000000002</v>
      </c>
      <c r="Q233" s="118">
        <v>-83.519194999999996</v>
      </c>
      <c r="R233" s="118">
        <v>77000</v>
      </c>
      <c r="S233" s="118" t="s">
        <v>6988</v>
      </c>
      <c r="T233" s="118">
        <v>1</v>
      </c>
      <c r="U233" s="118">
        <v>0</v>
      </c>
      <c r="V233" s="118">
        <v>0</v>
      </c>
      <c r="W233" s="118">
        <v>0</v>
      </c>
      <c r="X233" s="118">
        <v>0</v>
      </c>
      <c r="Y233" s="118">
        <v>5</v>
      </c>
      <c r="Z233" s="118">
        <v>0</v>
      </c>
      <c r="AA233" s="118">
        <v>2</v>
      </c>
      <c r="AB233" s="118" t="s">
        <v>1067</v>
      </c>
      <c r="AC233" s="118" t="s">
        <v>6989</v>
      </c>
      <c r="AD233" s="118" t="s">
        <v>1034</v>
      </c>
      <c r="AE233" s="118" t="s">
        <v>943</v>
      </c>
      <c r="AF233" s="118" t="s">
        <v>1042</v>
      </c>
      <c r="AG233" s="118" t="s">
        <v>6415</v>
      </c>
      <c r="AH233" s="118" t="s">
        <v>393</v>
      </c>
      <c r="AI233" s="118">
        <v>2</v>
      </c>
      <c r="AJ233" s="118" t="s">
        <v>6415</v>
      </c>
      <c r="AK233" s="118" t="s">
        <v>393</v>
      </c>
      <c r="AL233" s="118" t="s">
        <v>393</v>
      </c>
      <c r="AM233" s="118" t="s">
        <v>393</v>
      </c>
      <c r="AN233" s="402" t="s">
        <v>5975</v>
      </c>
      <c r="AO233" s="402">
        <v>45351</v>
      </c>
      <c r="AP233" s="118">
        <v>2</v>
      </c>
      <c r="AQ233" s="118">
        <v>15</v>
      </c>
      <c r="AR233" s="118" t="s">
        <v>6447</v>
      </c>
      <c r="AS233" s="118" t="s">
        <v>392</v>
      </c>
      <c r="AT233" s="118" t="s">
        <v>500</v>
      </c>
      <c r="AU233" s="118" t="s">
        <v>404</v>
      </c>
      <c r="AV233" s="118" t="s">
        <v>508</v>
      </c>
      <c r="AW233" s="118" t="s">
        <v>393</v>
      </c>
      <c r="AX233" s="118" t="s">
        <v>740</v>
      </c>
      <c r="AY233" s="118" t="s">
        <v>393</v>
      </c>
      <c r="AZ233" s="118" t="s">
        <v>393</v>
      </c>
      <c r="BA233" s="118" t="s">
        <v>393</v>
      </c>
      <c r="BB233" s="118" t="s">
        <v>393</v>
      </c>
      <c r="BC233" s="118" t="s">
        <v>393</v>
      </c>
      <c r="BD233" s="118" t="s">
        <v>393</v>
      </c>
      <c r="BE233" s="118" t="s">
        <v>393</v>
      </c>
      <c r="BF233" s="118" t="s">
        <v>393</v>
      </c>
      <c r="BG233" s="118" t="s">
        <v>393</v>
      </c>
      <c r="BH233" s="118" t="s">
        <v>394</v>
      </c>
      <c r="BI233" s="118" t="s">
        <v>394</v>
      </c>
      <c r="BJ233" s="118" t="s">
        <v>393</v>
      </c>
      <c r="BK233" s="118" t="s">
        <v>6988</v>
      </c>
      <c r="BL233" s="118" t="s">
        <v>6415</v>
      </c>
      <c r="BM233" s="118" t="s">
        <v>6992</v>
      </c>
      <c r="BN233" s="118" t="s">
        <v>6991</v>
      </c>
      <c r="BO233" s="118" t="s">
        <v>6415</v>
      </c>
      <c r="BP233" s="118" t="s">
        <v>6415</v>
      </c>
      <c r="BQ233" s="118" t="s">
        <v>6415</v>
      </c>
      <c r="BR233" s="118" t="s">
        <v>6415</v>
      </c>
      <c r="BS233" s="118" t="s">
        <v>6415</v>
      </c>
      <c r="BT233" s="118" t="s">
        <v>7350</v>
      </c>
      <c r="BU233" s="118" t="s">
        <v>6415</v>
      </c>
      <c r="BV233" s="118" t="s">
        <v>6415</v>
      </c>
      <c r="BW233" s="118" t="s">
        <v>6415</v>
      </c>
      <c r="BX233" s="118" t="s">
        <v>6415</v>
      </c>
      <c r="BY233" s="118" t="s">
        <v>6415</v>
      </c>
      <c r="BZ233" s="118">
        <v>603</v>
      </c>
      <c r="CA233" s="118" t="s">
        <v>6415</v>
      </c>
      <c r="CB233" s="118" t="s">
        <v>422</v>
      </c>
      <c r="CC233" s="118" t="s">
        <v>740</v>
      </c>
      <c r="CD233" s="118">
        <v>2</v>
      </c>
      <c r="CE233" s="118" t="s">
        <v>411</v>
      </c>
      <c r="CF233" s="118" t="s">
        <v>410</v>
      </c>
      <c r="CG233" s="118" t="s">
        <v>924</v>
      </c>
      <c r="CH233" s="118" t="s">
        <v>6300</v>
      </c>
      <c r="CI233" s="118" t="s">
        <v>6303</v>
      </c>
      <c r="CJ233" s="118" t="s">
        <v>398</v>
      </c>
      <c r="CK233" s="14">
        <v>0</v>
      </c>
      <c r="CL233" s="118">
        <v>25</v>
      </c>
      <c r="CM233" s="118" t="s">
        <v>399</v>
      </c>
      <c r="CN233" s="118" t="s">
        <v>398</v>
      </c>
      <c r="CO233" s="118" t="s">
        <v>1096</v>
      </c>
      <c r="CP233" s="118" t="s">
        <v>400</v>
      </c>
      <c r="CQ233" s="118" t="s">
        <v>6415</v>
      </c>
      <c r="CR233" s="118" t="s">
        <v>6415</v>
      </c>
      <c r="CS233" s="118" t="s">
        <v>6415</v>
      </c>
      <c r="CT233" s="118" t="s">
        <v>6415</v>
      </c>
      <c r="CU233" s="118" t="s">
        <v>6415</v>
      </c>
      <c r="CV233" s="118" t="s">
        <v>6415</v>
      </c>
      <c r="CW233" s="14">
        <v>54</v>
      </c>
      <c r="CX233" s="118" t="s">
        <v>1068</v>
      </c>
      <c r="CY233" s="118" t="s">
        <v>6341</v>
      </c>
      <c r="CZ233" s="118">
        <v>1</v>
      </c>
      <c r="DA233" s="118" t="s">
        <v>411</v>
      </c>
      <c r="DB233" s="118" t="s">
        <v>410</v>
      </c>
      <c r="DC233" s="118" t="s">
        <v>6415</v>
      </c>
      <c r="DD233" s="118" t="s">
        <v>6300</v>
      </c>
      <c r="DE233" s="118" t="s">
        <v>6319</v>
      </c>
      <c r="DF233" s="118" t="s">
        <v>443</v>
      </c>
      <c r="DG233" s="118" t="s">
        <v>6415</v>
      </c>
      <c r="DH233" s="118">
        <v>25</v>
      </c>
      <c r="DI233" s="118" t="s">
        <v>399</v>
      </c>
      <c r="DJ233" s="118" t="s">
        <v>6330</v>
      </c>
      <c r="DK233" s="118" t="s">
        <v>400</v>
      </c>
      <c r="DL233" s="118" t="s">
        <v>6415</v>
      </c>
      <c r="DM233" s="118" t="s">
        <v>6415</v>
      </c>
      <c r="DN233" s="118" t="s">
        <v>6415</v>
      </c>
      <c r="DO233" s="118" t="s">
        <v>6415</v>
      </c>
      <c r="DP233" s="118" t="s">
        <v>6415</v>
      </c>
      <c r="DQ233" s="118" t="s">
        <v>6415</v>
      </c>
      <c r="DR233" s="118">
        <v>58</v>
      </c>
      <c r="DS233" s="118" t="s">
        <v>1068</v>
      </c>
      <c r="DT233" s="118" t="s">
        <v>6341</v>
      </c>
      <c r="DU233" s="118" t="s">
        <v>6415</v>
      </c>
      <c r="DV233" s="118" t="s">
        <v>6415</v>
      </c>
      <c r="DW233" s="118" t="s">
        <v>6415</v>
      </c>
      <c r="DX233" s="118" t="s">
        <v>6415</v>
      </c>
      <c r="DY233" s="118" t="s">
        <v>6415</v>
      </c>
      <c r="DZ233" s="118" t="s">
        <v>6415</v>
      </c>
      <c r="EA233" s="118" t="s">
        <v>6415</v>
      </c>
      <c r="EB233" s="118" t="s">
        <v>6415</v>
      </c>
      <c r="EC233" s="118" t="s">
        <v>6415</v>
      </c>
      <c r="ED233" s="118" t="s">
        <v>6415</v>
      </c>
      <c r="EE233" s="118" t="s">
        <v>6415</v>
      </c>
      <c r="EF233" s="118" t="s">
        <v>6415</v>
      </c>
      <c r="EG233" s="118" t="s">
        <v>7051</v>
      </c>
      <c r="EH233" s="118" t="s">
        <v>7349</v>
      </c>
      <c r="EI233" s="118" t="s">
        <v>6415</v>
      </c>
      <c r="EJ233" s="118" t="s">
        <v>6415</v>
      </c>
      <c r="EK233" s="118" t="s">
        <v>6415</v>
      </c>
      <c r="EL233" s="118" t="s">
        <v>7467</v>
      </c>
      <c r="EM233" s="118" t="s">
        <v>7348</v>
      </c>
      <c r="EN233" s="118" t="s">
        <v>6415</v>
      </c>
      <c r="EO233" s="6" t="str">
        <f t="shared" si="22"/>
        <v>Pathweb</v>
      </c>
      <c r="EP233" s="6" t="str">
        <f t="shared" si="23"/>
        <v>Google Maps</v>
      </c>
      <c r="EQ233" s="6" t="str">
        <f t="shared" si="24"/>
        <v>Mashed Map</v>
      </c>
      <c r="ER233" s="118" t="s">
        <v>6727</v>
      </c>
      <c r="ES233" s="118" t="s">
        <v>71</v>
      </c>
      <c r="ET233" s="4">
        <v>0</v>
      </c>
      <c r="EU233" s="4"/>
      <c r="EV233" s="4"/>
    </row>
    <row r="234" spans="1:152" x14ac:dyDescent="0.15">
      <c r="A234" s="581" t="str">
        <f t="shared" si="21"/>
        <v>Crash Report</v>
      </c>
      <c r="B234" s="14">
        <v>20243039040</v>
      </c>
      <c r="C234" s="118">
        <v>2024</v>
      </c>
      <c r="D234" s="14">
        <v>24030321620539</v>
      </c>
      <c r="F234" s="118" t="s">
        <v>6442</v>
      </c>
      <c r="G234" s="118" t="s">
        <v>211</v>
      </c>
      <c r="H234" s="118">
        <v>2</v>
      </c>
      <c r="I234" s="118" t="s">
        <v>6055</v>
      </c>
      <c r="J234" s="118" t="s">
        <v>423</v>
      </c>
      <c r="K234" s="118" t="s">
        <v>6985</v>
      </c>
      <c r="L234" s="118">
        <v>0.14899999999999999</v>
      </c>
      <c r="M234" s="118">
        <v>0.14899999999999999</v>
      </c>
      <c r="N234" s="118" t="s">
        <v>7465</v>
      </c>
      <c r="O234" s="118" t="s">
        <v>7466</v>
      </c>
      <c r="P234" s="118">
        <v>41.648522999999997</v>
      </c>
      <c r="Q234" s="118">
        <v>-83.523471000000001</v>
      </c>
      <c r="R234" s="118">
        <v>77000</v>
      </c>
      <c r="S234" s="118" t="s">
        <v>6988</v>
      </c>
      <c r="T234" s="118">
        <v>1</v>
      </c>
      <c r="U234" s="118">
        <v>0</v>
      </c>
      <c r="V234" s="118">
        <v>0</v>
      </c>
      <c r="W234" s="118">
        <v>0</v>
      </c>
      <c r="X234" s="118">
        <v>0</v>
      </c>
      <c r="Y234" s="118">
        <v>3</v>
      </c>
      <c r="Z234" s="118">
        <v>0</v>
      </c>
      <c r="AA234" s="118">
        <v>3</v>
      </c>
      <c r="AB234" s="118" t="s">
        <v>1067</v>
      </c>
      <c r="AC234" s="118" t="s">
        <v>6989</v>
      </c>
      <c r="AD234" s="118" t="s">
        <v>1034</v>
      </c>
      <c r="AE234" s="118" t="s">
        <v>943</v>
      </c>
      <c r="AF234" s="118" t="s">
        <v>1042</v>
      </c>
      <c r="AG234" s="118" t="s">
        <v>6415</v>
      </c>
      <c r="AH234" s="118" t="s">
        <v>393</v>
      </c>
      <c r="AI234" s="118">
        <v>4</v>
      </c>
      <c r="AJ234" s="118" t="s">
        <v>6415</v>
      </c>
      <c r="AK234" s="118" t="s">
        <v>393</v>
      </c>
      <c r="AL234" s="118" t="s">
        <v>393</v>
      </c>
      <c r="AM234" s="118" t="s">
        <v>393</v>
      </c>
      <c r="AN234" s="402" t="s">
        <v>5975</v>
      </c>
      <c r="AO234" s="402">
        <v>45354</v>
      </c>
      <c r="AP234" s="118">
        <v>3</v>
      </c>
      <c r="AQ234" s="118">
        <v>5</v>
      </c>
      <c r="AR234" s="118" t="s">
        <v>6443</v>
      </c>
      <c r="AS234" s="118" t="s">
        <v>392</v>
      </c>
      <c r="AT234" s="118" t="s">
        <v>500</v>
      </c>
      <c r="AU234" s="118" t="s">
        <v>6324</v>
      </c>
      <c r="AV234" s="118" t="s">
        <v>508</v>
      </c>
      <c r="AW234" s="118" t="s">
        <v>393</v>
      </c>
      <c r="AX234" s="118" t="s">
        <v>740</v>
      </c>
      <c r="AY234" s="118" t="s">
        <v>393</v>
      </c>
      <c r="AZ234" s="118" t="s">
        <v>393</v>
      </c>
      <c r="BA234" s="118" t="s">
        <v>393</v>
      </c>
      <c r="BB234" s="118" t="s">
        <v>393</v>
      </c>
      <c r="BC234" s="118" t="s">
        <v>393</v>
      </c>
      <c r="BD234" s="118" t="s">
        <v>393</v>
      </c>
      <c r="BE234" s="118" t="s">
        <v>393</v>
      </c>
      <c r="BF234" s="118" t="s">
        <v>393</v>
      </c>
      <c r="BG234" s="118" t="s">
        <v>393</v>
      </c>
      <c r="BH234" s="118" t="s">
        <v>394</v>
      </c>
      <c r="BI234" s="118" t="s">
        <v>394</v>
      </c>
      <c r="BJ234" s="118" t="s">
        <v>393</v>
      </c>
      <c r="BK234" s="118" t="s">
        <v>6988</v>
      </c>
      <c r="BL234" s="118" t="s">
        <v>6415</v>
      </c>
      <c r="BM234" s="118" t="s">
        <v>6990</v>
      </c>
      <c r="BN234" s="118" t="s">
        <v>6991</v>
      </c>
      <c r="BO234" s="118" t="s">
        <v>6415</v>
      </c>
      <c r="BP234" s="118" t="s">
        <v>6415</v>
      </c>
      <c r="BQ234" s="118" t="s">
        <v>6415</v>
      </c>
      <c r="BR234" s="118" t="s">
        <v>6415</v>
      </c>
      <c r="BS234" s="118" t="s">
        <v>6415</v>
      </c>
      <c r="BT234" s="118" t="s">
        <v>6992</v>
      </c>
      <c r="BU234" s="118" t="s">
        <v>6991</v>
      </c>
      <c r="BV234" s="118" t="s">
        <v>6415</v>
      </c>
      <c r="BW234" s="118" t="s">
        <v>6415</v>
      </c>
      <c r="BX234" s="118" t="s">
        <v>6415</v>
      </c>
      <c r="BY234" s="118" t="s">
        <v>6415</v>
      </c>
      <c r="BZ234" s="118" t="s">
        <v>6415</v>
      </c>
      <c r="CA234" s="118" t="s">
        <v>6415</v>
      </c>
      <c r="CB234" s="118" t="s">
        <v>221</v>
      </c>
      <c r="CC234" s="118" t="s">
        <v>740</v>
      </c>
      <c r="CD234" s="118">
        <v>3</v>
      </c>
      <c r="CE234" s="118" t="s">
        <v>405</v>
      </c>
      <c r="CF234" s="118" t="s">
        <v>406</v>
      </c>
      <c r="CG234" s="118" t="s">
        <v>924</v>
      </c>
      <c r="CH234" s="118" t="s">
        <v>6300</v>
      </c>
      <c r="CI234" s="118" t="s">
        <v>6303</v>
      </c>
      <c r="CJ234" s="118" t="s">
        <v>398</v>
      </c>
      <c r="CK234" s="14">
        <v>0</v>
      </c>
      <c r="CL234" s="118">
        <v>0</v>
      </c>
      <c r="CM234" s="118" t="s">
        <v>399</v>
      </c>
      <c r="CN234" s="118" t="s">
        <v>440</v>
      </c>
      <c r="CO234" s="118" t="s">
        <v>1096</v>
      </c>
      <c r="CP234" s="118" t="s">
        <v>400</v>
      </c>
      <c r="CQ234" s="118" t="s">
        <v>6415</v>
      </c>
      <c r="CR234" s="118" t="s">
        <v>6415</v>
      </c>
      <c r="CS234" s="118" t="s">
        <v>6415</v>
      </c>
      <c r="CT234" s="118" t="s">
        <v>6415</v>
      </c>
      <c r="CU234" s="118" t="s">
        <v>6415</v>
      </c>
      <c r="CV234" s="118" t="s">
        <v>6415</v>
      </c>
      <c r="CW234" s="14">
        <v>28</v>
      </c>
      <c r="CX234" s="118" t="s">
        <v>1068</v>
      </c>
      <c r="CY234" s="118" t="s">
        <v>6341</v>
      </c>
      <c r="CZ234" s="118">
        <v>2</v>
      </c>
      <c r="DA234" s="118" t="s">
        <v>410</v>
      </c>
      <c r="DB234" s="118" t="s">
        <v>411</v>
      </c>
      <c r="DC234" s="118" t="s">
        <v>6415</v>
      </c>
      <c r="DD234" s="118" t="s">
        <v>6300</v>
      </c>
      <c r="DE234" s="118" t="s">
        <v>6303</v>
      </c>
      <c r="DF234" s="118" t="s">
        <v>398</v>
      </c>
      <c r="DG234" s="118" t="s">
        <v>6415</v>
      </c>
      <c r="DH234" s="118" t="s">
        <v>6415</v>
      </c>
      <c r="DI234" s="118" t="s">
        <v>399</v>
      </c>
      <c r="DJ234" s="118" t="s">
        <v>398</v>
      </c>
      <c r="DK234" s="118" t="s">
        <v>400</v>
      </c>
      <c r="DL234" s="118" t="s">
        <v>6415</v>
      </c>
      <c r="DM234" s="118" t="s">
        <v>6415</v>
      </c>
      <c r="DN234" s="118" t="s">
        <v>6415</v>
      </c>
      <c r="DO234" s="118" t="s">
        <v>6415</v>
      </c>
      <c r="DP234" s="118" t="s">
        <v>6415</v>
      </c>
      <c r="DQ234" s="118" t="s">
        <v>6415</v>
      </c>
      <c r="DR234" s="118">
        <v>46</v>
      </c>
      <c r="DS234" s="118" t="s">
        <v>1068</v>
      </c>
      <c r="DT234" s="118" t="s">
        <v>6341</v>
      </c>
      <c r="DU234" s="118">
        <v>1</v>
      </c>
      <c r="DV234" s="118" t="s">
        <v>6300</v>
      </c>
      <c r="DW234" s="118" t="s">
        <v>6305</v>
      </c>
      <c r="DX234" s="118" t="s">
        <v>398</v>
      </c>
      <c r="DY234" s="118" t="s">
        <v>399</v>
      </c>
      <c r="DZ234" s="118" t="s">
        <v>398</v>
      </c>
      <c r="EA234" s="118" t="s">
        <v>400</v>
      </c>
      <c r="EB234" s="118" t="s">
        <v>6415</v>
      </c>
      <c r="EC234" s="118" t="s">
        <v>6415</v>
      </c>
      <c r="ED234" s="118" t="s">
        <v>6415</v>
      </c>
      <c r="EE234" s="118" t="s">
        <v>6415</v>
      </c>
      <c r="EF234" s="118" t="s">
        <v>6415</v>
      </c>
      <c r="EG234" s="118" t="s">
        <v>6986</v>
      </c>
      <c r="EH234" s="118" t="s">
        <v>6987</v>
      </c>
      <c r="EI234" s="118" t="s">
        <v>6415</v>
      </c>
      <c r="EJ234" s="118" t="s">
        <v>6415</v>
      </c>
      <c r="EK234" s="118" t="s">
        <v>6415</v>
      </c>
      <c r="EL234" s="118" t="s">
        <v>7467</v>
      </c>
      <c r="EM234" s="118" t="s">
        <v>7351</v>
      </c>
      <c r="EN234" s="118" t="s">
        <v>6415</v>
      </c>
      <c r="EO234" s="6" t="str">
        <f t="shared" si="22"/>
        <v>Pathweb</v>
      </c>
      <c r="EP234" s="6" t="str">
        <f t="shared" si="23"/>
        <v>Google Maps</v>
      </c>
      <c r="EQ234" s="6" t="str">
        <f t="shared" si="24"/>
        <v>Mashed Map</v>
      </c>
      <c r="ER234" s="118" t="s">
        <v>6727</v>
      </c>
      <c r="ES234" s="118" t="s">
        <v>71</v>
      </c>
      <c r="ET234" s="4">
        <v>0</v>
      </c>
      <c r="EU234" s="4"/>
      <c r="EV234" s="4"/>
    </row>
    <row r="235" spans="1:152" x14ac:dyDescent="0.15">
      <c r="A235" s="581" t="str">
        <f t="shared" si="21"/>
        <v>Crash Report</v>
      </c>
      <c r="B235" s="118">
        <v>20243039925</v>
      </c>
      <c r="C235" s="118">
        <v>2024</v>
      </c>
      <c r="D235" s="118">
        <v>24030427841657</v>
      </c>
      <c r="F235" s="118" t="s">
        <v>6442</v>
      </c>
      <c r="G235" s="118" t="s">
        <v>230</v>
      </c>
      <c r="H235" s="118">
        <v>2</v>
      </c>
      <c r="I235" s="118" t="s">
        <v>6055</v>
      </c>
      <c r="J235" s="118" t="s">
        <v>423</v>
      </c>
      <c r="K235" s="118" t="s">
        <v>6985</v>
      </c>
      <c r="L235" s="118">
        <v>0.77</v>
      </c>
      <c r="M235" s="118">
        <v>0.77</v>
      </c>
      <c r="N235" s="118" t="s">
        <v>7465</v>
      </c>
      <c r="O235" s="118" t="s">
        <v>7493</v>
      </c>
      <c r="P235" s="118">
        <v>41.654187999999998</v>
      </c>
      <c r="Q235" s="118">
        <v>-83.514195999999998</v>
      </c>
      <c r="R235" s="118">
        <v>77000</v>
      </c>
      <c r="S235" s="118" t="s">
        <v>6988</v>
      </c>
      <c r="T235" s="118">
        <v>1</v>
      </c>
      <c r="U235" s="118">
        <v>0</v>
      </c>
      <c r="V235" s="118">
        <v>0</v>
      </c>
      <c r="W235" s="118">
        <v>0</v>
      </c>
      <c r="X235" s="118">
        <v>0</v>
      </c>
      <c r="Y235" s="118">
        <v>2</v>
      </c>
      <c r="Z235" s="118">
        <v>0</v>
      </c>
      <c r="AA235" s="118">
        <v>2</v>
      </c>
      <c r="AB235" s="118" t="s">
        <v>1067</v>
      </c>
      <c r="AC235" s="118" t="s">
        <v>6989</v>
      </c>
      <c r="AD235" s="118" t="s">
        <v>1034</v>
      </c>
      <c r="AE235" s="118" t="s">
        <v>943</v>
      </c>
      <c r="AF235" s="118" t="s">
        <v>1041</v>
      </c>
      <c r="AG235" s="118" t="s">
        <v>6415</v>
      </c>
      <c r="AH235" s="118" t="s">
        <v>393</v>
      </c>
      <c r="AI235" s="118">
        <v>4</v>
      </c>
      <c r="AJ235" s="118" t="s">
        <v>6415</v>
      </c>
      <c r="AK235" s="118" t="s">
        <v>393</v>
      </c>
      <c r="AL235" s="118" t="s">
        <v>393</v>
      </c>
      <c r="AM235" s="118" t="s">
        <v>393</v>
      </c>
      <c r="AN235" s="402" t="s">
        <v>5975</v>
      </c>
      <c r="AO235" s="402">
        <v>45355</v>
      </c>
      <c r="AP235" s="118">
        <v>3</v>
      </c>
      <c r="AQ235" s="118">
        <v>16</v>
      </c>
      <c r="AR235" s="118" t="s">
        <v>6444</v>
      </c>
      <c r="AS235" s="118" t="s">
        <v>392</v>
      </c>
      <c r="AT235" s="118" t="s">
        <v>500</v>
      </c>
      <c r="AU235" s="118" t="s">
        <v>404</v>
      </c>
      <c r="AV235" s="118" t="s">
        <v>508</v>
      </c>
      <c r="AW235" s="118" t="s">
        <v>393</v>
      </c>
      <c r="AX235" s="118" t="s">
        <v>740</v>
      </c>
      <c r="AY235" s="118" t="s">
        <v>393</v>
      </c>
      <c r="AZ235" s="118" t="s">
        <v>393</v>
      </c>
      <c r="BA235" s="118" t="s">
        <v>393</v>
      </c>
      <c r="BB235" s="118" t="s">
        <v>393</v>
      </c>
      <c r="BC235" s="118" t="s">
        <v>393</v>
      </c>
      <c r="BD235" s="118" t="s">
        <v>393</v>
      </c>
      <c r="BE235" s="118" t="s">
        <v>393</v>
      </c>
      <c r="BF235" s="118" t="s">
        <v>393</v>
      </c>
      <c r="BG235" s="118" t="s">
        <v>393</v>
      </c>
      <c r="BH235" s="118" t="s">
        <v>394</v>
      </c>
      <c r="BI235" s="118" t="s">
        <v>394</v>
      </c>
      <c r="BJ235" s="118" t="s">
        <v>393</v>
      </c>
      <c r="BK235" s="118" t="s">
        <v>6988</v>
      </c>
      <c r="BL235" s="118" t="s">
        <v>6415</v>
      </c>
      <c r="BM235" s="118" t="s">
        <v>6990</v>
      </c>
      <c r="BN235" s="118" t="s">
        <v>6991</v>
      </c>
      <c r="BO235" s="118" t="s">
        <v>6415</v>
      </c>
      <c r="BP235" s="118" t="s">
        <v>6415</v>
      </c>
      <c r="BQ235" s="118" t="s">
        <v>6415</v>
      </c>
      <c r="BR235" s="118" t="s">
        <v>6415</v>
      </c>
      <c r="BS235" s="118" t="s">
        <v>6415</v>
      </c>
      <c r="BT235" s="118" t="s">
        <v>7214</v>
      </c>
      <c r="BU235" s="118" t="s">
        <v>6991</v>
      </c>
      <c r="BV235" s="118" t="s">
        <v>6415</v>
      </c>
      <c r="BW235" s="118" t="s">
        <v>6415</v>
      </c>
      <c r="BX235" s="118" t="s">
        <v>6415</v>
      </c>
      <c r="BY235" s="118" t="s">
        <v>6415</v>
      </c>
      <c r="BZ235" s="118" t="s">
        <v>6415</v>
      </c>
      <c r="CA235" s="118" t="s">
        <v>6415</v>
      </c>
      <c r="CB235" s="118" t="s">
        <v>221</v>
      </c>
      <c r="CC235" s="118" t="s">
        <v>740</v>
      </c>
      <c r="CD235" s="118">
        <v>1</v>
      </c>
      <c r="CE235" s="118" t="s">
        <v>406</v>
      </c>
      <c r="CF235" s="118" t="s">
        <v>411</v>
      </c>
      <c r="CG235" s="118" t="s">
        <v>230</v>
      </c>
      <c r="CH235" s="118" t="s">
        <v>6302</v>
      </c>
      <c r="CI235" s="118" t="s">
        <v>417</v>
      </c>
      <c r="CJ235" s="118" t="s">
        <v>398</v>
      </c>
      <c r="CK235" s="118">
        <v>0</v>
      </c>
      <c r="CL235" s="118">
        <v>0</v>
      </c>
      <c r="CM235" s="118" t="s">
        <v>436</v>
      </c>
      <c r="CN235" s="118" t="s">
        <v>451</v>
      </c>
      <c r="CO235" s="118" t="s">
        <v>1096</v>
      </c>
      <c r="CP235" s="118" t="s">
        <v>400</v>
      </c>
      <c r="CQ235" s="118" t="s">
        <v>6415</v>
      </c>
      <c r="CR235" s="118" t="s">
        <v>6415</v>
      </c>
      <c r="CS235" s="118" t="s">
        <v>6415</v>
      </c>
      <c r="CT235" s="118" t="s">
        <v>6415</v>
      </c>
      <c r="CU235" s="118" t="s">
        <v>6415</v>
      </c>
      <c r="CV235" s="118" t="s">
        <v>6415</v>
      </c>
      <c r="CW235" s="118">
        <v>42</v>
      </c>
      <c r="CX235" s="118" t="s">
        <v>1066</v>
      </c>
      <c r="CY235" s="118" t="s">
        <v>6341</v>
      </c>
      <c r="CZ235" s="118">
        <v>2</v>
      </c>
      <c r="DA235" s="118" t="s">
        <v>405</v>
      </c>
      <c r="DB235" s="118" t="s">
        <v>406</v>
      </c>
      <c r="DC235" s="118" t="s">
        <v>6415</v>
      </c>
      <c r="DD235" s="118" t="s">
        <v>6302</v>
      </c>
      <c r="DE235" s="118" t="s">
        <v>6303</v>
      </c>
      <c r="DF235" s="118" t="s">
        <v>398</v>
      </c>
      <c r="DG235" s="118" t="s">
        <v>6415</v>
      </c>
      <c r="DH235" s="118" t="s">
        <v>6415</v>
      </c>
      <c r="DI235" s="118" t="s">
        <v>399</v>
      </c>
      <c r="DJ235" s="118" t="s">
        <v>398</v>
      </c>
      <c r="DK235" s="118" t="s">
        <v>400</v>
      </c>
      <c r="DL235" s="118" t="s">
        <v>6415</v>
      </c>
      <c r="DM235" s="118" t="s">
        <v>6415</v>
      </c>
      <c r="DN235" s="118" t="s">
        <v>6415</v>
      </c>
      <c r="DO235" s="118" t="s">
        <v>6415</v>
      </c>
      <c r="DP235" s="118" t="s">
        <v>6415</v>
      </c>
      <c r="DQ235" s="118" t="s">
        <v>6415</v>
      </c>
      <c r="DR235" s="118">
        <v>40</v>
      </c>
      <c r="DS235" s="118" t="s">
        <v>1066</v>
      </c>
      <c r="DT235" s="118" t="s">
        <v>6341</v>
      </c>
      <c r="DU235" s="118" t="s">
        <v>6415</v>
      </c>
      <c r="DV235" s="118" t="s">
        <v>6415</v>
      </c>
      <c r="DW235" s="118" t="s">
        <v>6415</v>
      </c>
      <c r="DX235" s="118" t="s">
        <v>6415</v>
      </c>
      <c r="DY235" s="118" t="s">
        <v>6415</v>
      </c>
      <c r="DZ235" s="118" t="s">
        <v>6415</v>
      </c>
      <c r="EA235" s="118" t="s">
        <v>6415</v>
      </c>
      <c r="EB235" s="118" t="s">
        <v>6415</v>
      </c>
      <c r="EC235" s="118" t="s">
        <v>6415</v>
      </c>
      <c r="ED235" s="118" t="s">
        <v>6415</v>
      </c>
      <c r="EE235" s="118" t="s">
        <v>6415</v>
      </c>
      <c r="EF235" s="118" t="s">
        <v>6415</v>
      </c>
      <c r="EG235" s="118" t="s">
        <v>7164</v>
      </c>
      <c r="EH235" s="118" t="s">
        <v>7206</v>
      </c>
      <c r="EI235" s="118" t="s">
        <v>6415</v>
      </c>
      <c r="EJ235" s="118" t="s">
        <v>6415</v>
      </c>
      <c r="EK235" s="118" t="s">
        <v>6415</v>
      </c>
      <c r="EL235" s="118" t="s">
        <v>7467</v>
      </c>
      <c r="EM235" s="118" t="s">
        <v>7352</v>
      </c>
      <c r="EN235" s="118" t="s">
        <v>6415</v>
      </c>
      <c r="EO235" s="6" t="str">
        <f t="shared" si="22"/>
        <v>Pathweb</v>
      </c>
      <c r="EP235" s="6" t="str">
        <f t="shared" si="23"/>
        <v>Google Maps</v>
      </c>
      <c r="EQ235" s="6" t="str">
        <f t="shared" si="24"/>
        <v>Mashed Map</v>
      </c>
      <c r="ER235" s="118" t="s">
        <v>6727</v>
      </c>
      <c r="ES235" s="118" t="s">
        <v>71</v>
      </c>
      <c r="ET235" s="4">
        <v>0</v>
      </c>
      <c r="EU235" s="4"/>
      <c r="EV235" s="4"/>
    </row>
    <row r="236" spans="1:152" x14ac:dyDescent="0.15">
      <c r="A236" s="581" t="str">
        <f t="shared" si="21"/>
        <v>Crash Report</v>
      </c>
      <c r="B236" s="118">
        <v>20243039929</v>
      </c>
      <c r="C236" s="118">
        <v>2024</v>
      </c>
      <c r="D236" s="118">
        <v>24022329750947</v>
      </c>
      <c r="F236" s="118" t="s">
        <v>6442</v>
      </c>
      <c r="G236" s="118" t="s">
        <v>211</v>
      </c>
      <c r="H236" s="118">
        <v>2</v>
      </c>
      <c r="I236" s="118" t="s">
        <v>6055</v>
      </c>
      <c r="J236" s="118" t="s">
        <v>423</v>
      </c>
      <c r="K236" s="118" t="s">
        <v>6997</v>
      </c>
      <c r="L236" s="118">
        <v>0.379</v>
      </c>
      <c r="M236" s="118">
        <v>0.379</v>
      </c>
      <c r="N236" s="118" t="s">
        <v>7469</v>
      </c>
      <c r="O236" s="118" t="s">
        <v>7489</v>
      </c>
      <c r="P236" s="118">
        <v>41.644768999999997</v>
      </c>
      <c r="Q236" s="118">
        <v>-83.519372000000004</v>
      </c>
      <c r="R236" s="118">
        <v>77000</v>
      </c>
      <c r="S236" s="118" t="s">
        <v>6988</v>
      </c>
      <c r="T236" s="118">
        <v>1</v>
      </c>
      <c r="U236" s="118">
        <v>0</v>
      </c>
      <c r="V236" s="118">
        <v>0</v>
      </c>
      <c r="W236" s="118">
        <v>0</v>
      </c>
      <c r="X236" s="118">
        <v>0</v>
      </c>
      <c r="Y236" s="118">
        <v>2</v>
      </c>
      <c r="Z236" s="118">
        <v>0</v>
      </c>
      <c r="AA236" s="118">
        <v>2</v>
      </c>
      <c r="AB236" s="118" t="s">
        <v>1067</v>
      </c>
      <c r="AC236" s="118" t="s">
        <v>6989</v>
      </c>
      <c r="AD236" s="118" t="s">
        <v>1034</v>
      </c>
      <c r="AE236" s="118" t="s">
        <v>943</v>
      </c>
      <c r="AF236" s="118" t="s">
        <v>1042</v>
      </c>
      <c r="AG236" s="118" t="s">
        <v>6415</v>
      </c>
      <c r="AH236" s="118" t="s">
        <v>393</v>
      </c>
      <c r="AI236" s="118">
        <v>2</v>
      </c>
      <c r="AJ236" s="118" t="s">
        <v>6415</v>
      </c>
      <c r="AK236" s="118" t="s">
        <v>393</v>
      </c>
      <c r="AL236" s="118" t="s">
        <v>393</v>
      </c>
      <c r="AM236" s="118" t="s">
        <v>393</v>
      </c>
      <c r="AN236" s="402" t="s">
        <v>5975</v>
      </c>
      <c r="AO236" s="402">
        <v>45345</v>
      </c>
      <c r="AP236" s="118">
        <v>2</v>
      </c>
      <c r="AQ236" s="118">
        <v>9</v>
      </c>
      <c r="AR236" s="118" t="s">
        <v>6448</v>
      </c>
      <c r="AS236" s="118" t="s">
        <v>392</v>
      </c>
      <c r="AT236" s="118" t="s">
        <v>500</v>
      </c>
      <c r="AU236" s="118" t="s">
        <v>404</v>
      </c>
      <c r="AV236" s="118" t="s">
        <v>508</v>
      </c>
      <c r="AW236" s="118" t="s">
        <v>740</v>
      </c>
      <c r="AX236" s="118" t="s">
        <v>740</v>
      </c>
      <c r="AY236" s="118" t="s">
        <v>393</v>
      </c>
      <c r="AZ236" s="118" t="s">
        <v>393</v>
      </c>
      <c r="BA236" s="118" t="s">
        <v>393</v>
      </c>
      <c r="BB236" s="118" t="s">
        <v>393</v>
      </c>
      <c r="BC236" s="118" t="s">
        <v>393</v>
      </c>
      <c r="BD236" s="118" t="s">
        <v>393</v>
      </c>
      <c r="BE236" s="118" t="s">
        <v>393</v>
      </c>
      <c r="BF236" s="118" t="s">
        <v>393</v>
      </c>
      <c r="BG236" s="118" t="s">
        <v>393</v>
      </c>
      <c r="BH236" s="118" t="s">
        <v>394</v>
      </c>
      <c r="BI236" s="118" t="s">
        <v>394</v>
      </c>
      <c r="BJ236" s="118" t="s">
        <v>393</v>
      </c>
      <c r="BK236" s="118" t="s">
        <v>6988</v>
      </c>
      <c r="BL236" s="118" t="s">
        <v>6415</v>
      </c>
      <c r="BM236" s="118" t="s">
        <v>6992</v>
      </c>
      <c r="BN236" s="118" t="s">
        <v>6991</v>
      </c>
      <c r="BO236" s="118" t="s">
        <v>6415</v>
      </c>
      <c r="BP236" s="118" t="s">
        <v>6415</v>
      </c>
      <c r="BQ236" s="118" t="s">
        <v>6415</v>
      </c>
      <c r="BR236" s="118" t="s">
        <v>6415</v>
      </c>
      <c r="BS236" s="118" t="s">
        <v>6415</v>
      </c>
      <c r="BT236" s="118" t="s">
        <v>7154</v>
      </c>
      <c r="BU236" s="118" t="s">
        <v>6991</v>
      </c>
      <c r="BV236" s="118" t="s">
        <v>6415</v>
      </c>
      <c r="BW236" s="118" t="s">
        <v>6415</v>
      </c>
      <c r="BX236" s="118" t="s">
        <v>6415</v>
      </c>
      <c r="BY236" s="118" t="s">
        <v>6415</v>
      </c>
      <c r="BZ236" s="118" t="s">
        <v>6415</v>
      </c>
      <c r="CA236" s="118" t="s">
        <v>6415</v>
      </c>
      <c r="CB236" s="118" t="s">
        <v>221</v>
      </c>
      <c r="CC236" s="118" t="s">
        <v>393</v>
      </c>
      <c r="CD236" s="118">
        <v>1</v>
      </c>
      <c r="CE236" s="118" t="s">
        <v>406</v>
      </c>
      <c r="CF236" s="118" t="s">
        <v>405</v>
      </c>
      <c r="CG236" s="118" t="s">
        <v>924</v>
      </c>
      <c r="CH236" s="118" t="s">
        <v>6300</v>
      </c>
      <c r="CI236" s="118" t="s">
        <v>417</v>
      </c>
      <c r="CJ236" s="118" t="s">
        <v>398</v>
      </c>
      <c r="CK236" s="118">
        <v>0</v>
      </c>
      <c r="CL236" s="118">
        <v>25</v>
      </c>
      <c r="CM236" s="118" t="s">
        <v>399</v>
      </c>
      <c r="CN236" s="118" t="s">
        <v>6334</v>
      </c>
      <c r="CO236" s="118" t="s">
        <v>6372</v>
      </c>
      <c r="CP236" s="118" t="s">
        <v>432</v>
      </c>
      <c r="CQ236" s="118" t="s">
        <v>6372</v>
      </c>
      <c r="CR236" s="118" t="s">
        <v>6415</v>
      </c>
      <c r="CS236" s="118" t="s">
        <v>6415</v>
      </c>
      <c r="CT236" s="118" t="s">
        <v>6415</v>
      </c>
      <c r="CU236" s="118" t="s">
        <v>6415</v>
      </c>
      <c r="CV236" s="118" t="s">
        <v>6415</v>
      </c>
      <c r="CW236" s="118">
        <v>34</v>
      </c>
      <c r="CX236" s="118" t="s">
        <v>1068</v>
      </c>
      <c r="CY236" s="118" t="s">
        <v>6341</v>
      </c>
      <c r="CZ236" s="118">
        <v>2</v>
      </c>
      <c r="DA236" s="118" t="s">
        <v>410</v>
      </c>
      <c r="DB236" s="118" t="s">
        <v>411</v>
      </c>
      <c r="DC236" s="118" t="s">
        <v>6415</v>
      </c>
      <c r="DD236" s="118" t="s">
        <v>6302</v>
      </c>
      <c r="DE236" s="118" t="s">
        <v>6304</v>
      </c>
      <c r="DF236" s="118" t="s">
        <v>398</v>
      </c>
      <c r="DG236" s="118" t="s">
        <v>6415</v>
      </c>
      <c r="DH236" s="118" t="s">
        <v>6415</v>
      </c>
      <c r="DI236" s="118" t="s">
        <v>399</v>
      </c>
      <c r="DJ236" s="118" t="s">
        <v>6338</v>
      </c>
      <c r="DK236" s="118" t="s">
        <v>409</v>
      </c>
      <c r="DL236" s="118" t="s">
        <v>6415</v>
      </c>
      <c r="DM236" s="118" t="s">
        <v>6415</v>
      </c>
      <c r="DN236" s="118" t="s">
        <v>6415</v>
      </c>
      <c r="DO236" s="118" t="s">
        <v>6415</v>
      </c>
      <c r="DP236" s="118" t="s">
        <v>6415</v>
      </c>
      <c r="DQ236" s="118" t="s">
        <v>6415</v>
      </c>
      <c r="DR236" s="118">
        <v>61</v>
      </c>
      <c r="DS236" s="118" t="s">
        <v>1066</v>
      </c>
      <c r="DT236" s="118" t="s">
        <v>6341</v>
      </c>
      <c r="DU236" s="118" t="s">
        <v>6415</v>
      </c>
      <c r="DV236" s="118" t="s">
        <v>6415</v>
      </c>
      <c r="DW236" s="118" t="s">
        <v>6415</v>
      </c>
      <c r="DX236" s="118" t="s">
        <v>6415</v>
      </c>
      <c r="DY236" s="118" t="s">
        <v>6415</v>
      </c>
      <c r="DZ236" s="118" t="s">
        <v>6415</v>
      </c>
      <c r="EA236" s="118" t="s">
        <v>6415</v>
      </c>
      <c r="EB236" s="118" t="s">
        <v>6415</v>
      </c>
      <c r="EC236" s="118" t="s">
        <v>6415</v>
      </c>
      <c r="ED236" s="118" t="s">
        <v>6415</v>
      </c>
      <c r="EE236" s="118" t="s">
        <v>6415</v>
      </c>
      <c r="EF236" s="118" t="s">
        <v>6415</v>
      </c>
      <c r="EG236" s="118" t="s">
        <v>7051</v>
      </c>
      <c r="EH236" s="118" t="s">
        <v>7052</v>
      </c>
      <c r="EI236" s="118" t="s">
        <v>6415</v>
      </c>
      <c r="EJ236" s="118" t="s">
        <v>6415</v>
      </c>
      <c r="EK236" s="118" t="s">
        <v>6415</v>
      </c>
      <c r="EL236" s="118" t="s">
        <v>7467</v>
      </c>
      <c r="EM236" s="118" t="s">
        <v>7353</v>
      </c>
      <c r="EN236" s="118" t="s">
        <v>6415</v>
      </c>
      <c r="EO236" s="6" t="str">
        <f t="shared" si="22"/>
        <v>Pathweb</v>
      </c>
      <c r="EP236" s="6" t="str">
        <f t="shared" si="23"/>
        <v>Google Maps</v>
      </c>
      <c r="EQ236" s="6" t="str">
        <f t="shared" si="24"/>
        <v>Mashed Map</v>
      </c>
      <c r="ER236" s="118" t="s">
        <v>6727</v>
      </c>
      <c r="ES236" s="118" t="s">
        <v>71</v>
      </c>
      <c r="ET236" s="4">
        <v>0</v>
      </c>
      <c r="EU236" s="4"/>
      <c r="EV236" s="4"/>
    </row>
    <row r="237" spans="1:152" x14ac:dyDescent="0.15">
      <c r="A237" s="581" t="str">
        <f t="shared" si="21"/>
        <v>Crash Report</v>
      </c>
      <c r="B237" s="14">
        <v>20243042851</v>
      </c>
      <c r="C237" s="118">
        <v>2024</v>
      </c>
      <c r="D237" s="14">
        <v>24031328931734</v>
      </c>
      <c r="F237" s="118" t="s">
        <v>6442</v>
      </c>
      <c r="G237" s="118" t="s">
        <v>390</v>
      </c>
      <c r="H237" s="118">
        <v>2</v>
      </c>
      <c r="I237" s="118" t="s">
        <v>6055</v>
      </c>
      <c r="J237" s="118" t="s">
        <v>423</v>
      </c>
      <c r="K237" s="118" t="s">
        <v>6985</v>
      </c>
      <c r="L237" s="118">
        <v>0.51</v>
      </c>
      <c r="M237" s="118">
        <v>0.51</v>
      </c>
      <c r="N237" s="118" t="s">
        <v>7465</v>
      </c>
      <c r="O237" s="118" t="s">
        <v>7468</v>
      </c>
      <c r="P237" s="118">
        <v>41.651820999999998</v>
      </c>
      <c r="Q237" s="118">
        <v>-83.518082000000007</v>
      </c>
      <c r="R237" s="118">
        <v>77000</v>
      </c>
      <c r="S237" s="118" t="s">
        <v>6988</v>
      </c>
      <c r="T237" s="118">
        <v>1</v>
      </c>
      <c r="U237" s="118">
        <v>0</v>
      </c>
      <c r="V237" s="118">
        <v>0</v>
      </c>
      <c r="W237" s="118">
        <v>0</v>
      </c>
      <c r="X237" s="118">
        <v>0</v>
      </c>
      <c r="Y237" s="118">
        <v>2</v>
      </c>
      <c r="Z237" s="118">
        <v>0</v>
      </c>
      <c r="AA237" s="118">
        <v>2</v>
      </c>
      <c r="AB237" s="118" t="s">
        <v>1067</v>
      </c>
      <c r="AC237" s="118" t="s">
        <v>6989</v>
      </c>
      <c r="AD237" s="118" t="s">
        <v>1034</v>
      </c>
      <c r="AE237" s="118" t="s">
        <v>943</v>
      </c>
      <c r="AF237" s="118" t="s">
        <v>1041</v>
      </c>
      <c r="AG237" s="118" t="s">
        <v>6415</v>
      </c>
      <c r="AH237" s="118" t="s">
        <v>393</v>
      </c>
      <c r="AI237" s="118">
        <v>4</v>
      </c>
      <c r="AJ237" s="118" t="s">
        <v>6415</v>
      </c>
      <c r="AK237" s="118" t="s">
        <v>393</v>
      </c>
      <c r="AL237" s="118" t="s">
        <v>393</v>
      </c>
      <c r="AM237" s="118" t="s">
        <v>393</v>
      </c>
      <c r="AN237" s="402" t="s">
        <v>5975</v>
      </c>
      <c r="AO237" s="402">
        <v>45364</v>
      </c>
      <c r="AP237" s="118">
        <v>3</v>
      </c>
      <c r="AQ237" s="118">
        <v>17</v>
      </c>
      <c r="AR237" s="118" t="s">
        <v>6446</v>
      </c>
      <c r="AS237" s="118" t="s">
        <v>392</v>
      </c>
      <c r="AT237" s="118" t="s">
        <v>500</v>
      </c>
      <c r="AU237" s="118" t="s">
        <v>404</v>
      </c>
      <c r="AV237" s="118" t="s">
        <v>508</v>
      </c>
      <c r="AW237" s="118" t="s">
        <v>393</v>
      </c>
      <c r="AX237" s="118" t="s">
        <v>740</v>
      </c>
      <c r="AY237" s="118" t="s">
        <v>393</v>
      </c>
      <c r="AZ237" s="118" t="s">
        <v>393</v>
      </c>
      <c r="BA237" s="118" t="s">
        <v>393</v>
      </c>
      <c r="BB237" s="118" t="s">
        <v>393</v>
      </c>
      <c r="BC237" s="118" t="s">
        <v>393</v>
      </c>
      <c r="BD237" s="118" t="s">
        <v>393</v>
      </c>
      <c r="BE237" s="118" t="s">
        <v>393</v>
      </c>
      <c r="BF237" s="118" t="s">
        <v>393</v>
      </c>
      <c r="BG237" s="118" t="s">
        <v>393</v>
      </c>
      <c r="BH237" s="118" t="s">
        <v>394</v>
      </c>
      <c r="BI237" s="118" t="s">
        <v>394</v>
      </c>
      <c r="BJ237" s="118" t="s">
        <v>393</v>
      </c>
      <c r="BK237" s="118" t="s">
        <v>6988</v>
      </c>
      <c r="BL237" s="118" t="s">
        <v>6415</v>
      </c>
      <c r="BM237" s="118" t="s">
        <v>6990</v>
      </c>
      <c r="BN237" s="118" t="s">
        <v>6991</v>
      </c>
      <c r="BO237" s="118" t="s">
        <v>6415</v>
      </c>
      <c r="BP237" s="118" t="s">
        <v>6415</v>
      </c>
      <c r="BQ237" s="118" t="s">
        <v>6415</v>
      </c>
      <c r="BR237" s="118" t="s">
        <v>6415</v>
      </c>
      <c r="BS237" s="118" t="s">
        <v>261</v>
      </c>
      <c r="BT237" s="118" t="s">
        <v>1791</v>
      </c>
      <c r="BU237" s="118" t="s">
        <v>6991</v>
      </c>
      <c r="BV237" s="118" t="s">
        <v>6415</v>
      </c>
      <c r="BW237" s="118" t="s">
        <v>6415</v>
      </c>
      <c r="BX237" s="118" t="s">
        <v>6415</v>
      </c>
      <c r="BY237" s="118" t="s">
        <v>6415</v>
      </c>
      <c r="BZ237" s="118" t="s">
        <v>6415</v>
      </c>
      <c r="CA237" s="118" t="s">
        <v>6415</v>
      </c>
      <c r="CB237" s="118" t="s">
        <v>221</v>
      </c>
      <c r="CC237" s="118" t="s">
        <v>740</v>
      </c>
      <c r="CD237" s="118">
        <v>1</v>
      </c>
      <c r="CE237" s="118" t="s">
        <v>406</v>
      </c>
      <c r="CF237" s="118" t="s">
        <v>405</v>
      </c>
      <c r="CG237" s="118" t="s">
        <v>924</v>
      </c>
      <c r="CH237" s="118" t="s">
        <v>6300</v>
      </c>
      <c r="CI237" s="118" t="s">
        <v>6305</v>
      </c>
      <c r="CJ237" s="118" t="s">
        <v>398</v>
      </c>
      <c r="CK237" s="14">
        <v>0</v>
      </c>
      <c r="CL237" s="118">
        <v>0</v>
      </c>
      <c r="CM237" s="118" t="s">
        <v>399</v>
      </c>
      <c r="CN237" s="118" t="s">
        <v>6512</v>
      </c>
      <c r="CO237" s="118" t="s">
        <v>1096</v>
      </c>
      <c r="CP237" s="118" t="s">
        <v>400</v>
      </c>
      <c r="CQ237" s="118" t="s">
        <v>6415</v>
      </c>
      <c r="CR237" s="118" t="s">
        <v>6415</v>
      </c>
      <c r="CS237" s="118" t="s">
        <v>6415</v>
      </c>
      <c r="CT237" s="118" t="s">
        <v>6415</v>
      </c>
      <c r="CU237" s="118" t="s">
        <v>6415</v>
      </c>
      <c r="CV237" s="118" t="s">
        <v>6415</v>
      </c>
      <c r="CW237" s="14">
        <v>26</v>
      </c>
      <c r="CX237" s="118" t="s">
        <v>1068</v>
      </c>
      <c r="CY237" s="118" t="s">
        <v>6341</v>
      </c>
      <c r="CZ237" s="118">
        <v>2</v>
      </c>
      <c r="DA237" s="118" t="s">
        <v>397</v>
      </c>
      <c r="DB237" s="118" t="s">
        <v>396</v>
      </c>
      <c r="DC237" s="118" t="s">
        <v>6415</v>
      </c>
      <c r="DD237" s="118" t="s">
        <v>6300</v>
      </c>
      <c r="DE237" s="118" t="s">
        <v>6305</v>
      </c>
      <c r="DF237" s="118" t="s">
        <v>398</v>
      </c>
      <c r="DG237" s="118" t="s">
        <v>6415</v>
      </c>
      <c r="DH237" s="118" t="s">
        <v>6415</v>
      </c>
      <c r="DI237" s="118" t="s">
        <v>399</v>
      </c>
      <c r="DJ237" s="118" t="s">
        <v>398</v>
      </c>
      <c r="DK237" s="118" t="s">
        <v>400</v>
      </c>
      <c r="DL237" s="118" t="s">
        <v>6415</v>
      </c>
      <c r="DM237" s="118" t="s">
        <v>6415</v>
      </c>
      <c r="DN237" s="118" t="s">
        <v>6415</v>
      </c>
      <c r="DO237" s="118" t="s">
        <v>6415</v>
      </c>
      <c r="DP237" s="118" t="s">
        <v>6415</v>
      </c>
      <c r="DQ237" s="118" t="s">
        <v>6415</v>
      </c>
      <c r="DR237" s="118">
        <v>57</v>
      </c>
      <c r="DS237" s="118" t="s">
        <v>1068</v>
      </c>
      <c r="DT237" s="118" t="s">
        <v>6341</v>
      </c>
      <c r="DU237" s="118" t="s">
        <v>6415</v>
      </c>
      <c r="DV237" s="118" t="s">
        <v>6415</v>
      </c>
      <c r="DW237" s="118" t="s">
        <v>6415</v>
      </c>
      <c r="DX237" s="118" t="s">
        <v>6415</v>
      </c>
      <c r="DY237" s="118" t="s">
        <v>6415</v>
      </c>
      <c r="DZ237" s="118" t="s">
        <v>6415</v>
      </c>
      <c r="EA237" s="118" t="s">
        <v>6415</v>
      </c>
      <c r="EB237" s="118" t="s">
        <v>6415</v>
      </c>
      <c r="EC237" s="118" t="s">
        <v>6415</v>
      </c>
      <c r="ED237" s="118" t="s">
        <v>6415</v>
      </c>
      <c r="EE237" s="118" t="s">
        <v>6415</v>
      </c>
      <c r="EF237" s="118" t="s">
        <v>6415</v>
      </c>
      <c r="EG237" s="118" t="s">
        <v>6994</v>
      </c>
      <c r="EH237" s="118" t="s">
        <v>7175</v>
      </c>
      <c r="EI237" s="118" t="s">
        <v>6415</v>
      </c>
      <c r="EJ237" s="118" t="s">
        <v>6415</v>
      </c>
      <c r="EK237" s="118" t="s">
        <v>6415</v>
      </c>
      <c r="EL237" s="118" t="s">
        <v>7467</v>
      </c>
      <c r="EM237" s="118" t="s">
        <v>7354</v>
      </c>
      <c r="EN237" s="118" t="s">
        <v>6415</v>
      </c>
      <c r="EO237" s="6" t="str">
        <f t="shared" si="22"/>
        <v>Pathweb</v>
      </c>
      <c r="EP237" s="6" t="str">
        <f t="shared" si="23"/>
        <v>Google Maps</v>
      </c>
      <c r="EQ237" s="6" t="str">
        <f t="shared" si="24"/>
        <v>Mashed Map</v>
      </c>
      <c r="ER237" s="118" t="s">
        <v>6727</v>
      </c>
      <c r="ES237" s="118" t="s">
        <v>71</v>
      </c>
      <c r="ET237" s="4">
        <v>0</v>
      </c>
      <c r="EU237" s="4"/>
      <c r="EV237" s="4"/>
    </row>
    <row r="238" spans="1:152" x14ac:dyDescent="0.15">
      <c r="A238" s="581" t="str">
        <f t="shared" si="21"/>
        <v>Crash Report</v>
      </c>
      <c r="B238" s="14">
        <v>20243050841</v>
      </c>
      <c r="C238" s="118">
        <v>2024</v>
      </c>
      <c r="D238" s="14">
        <v>24032623350901</v>
      </c>
      <c r="F238" s="118" t="s">
        <v>6442</v>
      </c>
      <c r="G238" s="118" t="s">
        <v>402</v>
      </c>
      <c r="H238" s="118">
        <v>2</v>
      </c>
      <c r="I238" s="118" t="s">
        <v>6055</v>
      </c>
      <c r="J238" s="118" t="s">
        <v>391</v>
      </c>
      <c r="K238" s="118" t="s">
        <v>6985</v>
      </c>
      <c r="L238" s="118">
        <v>2.1000000000000001E-2</v>
      </c>
      <c r="M238" s="118">
        <v>2.1000000000000001E-2</v>
      </c>
      <c r="N238" s="118" t="s">
        <v>7465</v>
      </c>
      <c r="O238" s="118">
        <v>406</v>
      </c>
      <c r="P238" s="118">
        <v>41.647357999999997</v>
      </c>
      <c r="Q238" s="118">
        <v>-83.525381999999993</v>
      </c>
      <c r="R238" s="118">
        <v>77000</v>
      </c>
      <c r="S238" s="118" t="s">
        <v>6988</v>
      </c>
      <c r="T238" s="118">
        <v>1</v>
      </c>
      <c r="U238" s="118">
        <v>0</v>
      </c>
      <c r="V238" s="118">
        <v>0</v>
      </c>
      <c r="W238" s="118">
        <v>0</v>
      </c>
      <c r="X238" s="118">
        <v>0</v>
      </c>
      <c r="Y238" s="118">
        <v>2</v>
      </c>
      <c r="Z238" s="118">
        <v>0</v>
      </c>
      <c r="AA238" s="118">
        <v>2</v>
      </c>
      <c r="AB238" s="118" t="s">
        <v>1067</v>
      </c>
      <c r="AC238" s="118" t="s">
        <v>6989</v>
      </c>
      <c r="AD238" s="118" t="s">
        <v>1034</v>
      </c>
      <c r="AE238" s="118" t="s">
        <v>943</v>
      </c>
      <c r="AF238" s="118" t="s">
        <v>1042</v>
      </c>
      <c r="AG238" s="118" t="s">
        <v>6415</v>
      </c>
      <c r="AH238" s="118" t="s">
        <v>393</v>
      </c>
      <c r="AI238" s="118">
        <v>4</v>
      </c>
      <c r="AJ238" s="118" t="s">
        <v>6415</v>
      </c>
      <c r="AK238" s="118" t="s">
        <v>393</v>
      </c>
      <c r="AL238" s="118" t="s">
        <v>393</v>
      </c>
      <c r="AM238" s="118" t="s">
        <v>393</v>
      </c>
      <c r="AN238" s="402" t="s">
        <v>5975</v>
      </c>
      <c r="AO238" s="402">
        <v>45377</v>
      </c>
      <c r="AP238" s="118">
        <v>3</v>
      </c>
      <c r="AQ238" s="118">
        <v>9</v>
      </c>
      <c r="AR238" s="118" t="s">
        <v>6445</v>
      </c>
      <c r="AS238" s="118" t="s">
        <v>403</v>
      </c>
      <c r="AT238" s="118" t="s">
        <v>225</v>
      </c>
      <c r="AU238" s="118" t="s">
        <v>404</v>
      </c>
      <c r="AV238" s="118" t="s">
        <v>510</v>
      </c>
      <c r="AW238" s="118" t="s">
        <v>393</v>
      </c>
      <c r="AX238" s="118" t="s">
        <v>393</v>
      </c>
      <c r="AY238" s="118" t="s">
        <v>393</v>
      </c>
      <c r="AZ238" s="118" t="s">
        <v>393</v>
      </c>
      <c r="BA238" s="118" t="s">
        <v>393</v>
      </c>
      <c r="BB238" s="118" t="s">
        <v>393</v>
      </c>
      <c r="BC238" s="118" t="s">
        <v>393</v>
      </c>
      <c r="BD238" s="118" t="s">
        <v>393</v>
      </c>
      <c r="BE238" s="118" t="s">
        <v>393</v>
      </c>
      <c r="BF238" s="118" t="s">
        <v>740</v>
      </c>
      <c r="BG238" s="118" t="s">
        <v>393</v>
      </c>
      <c r="BH238" s="118" t="s">
        <v>394</v>
      </c>
      <c r="BI238" s="118" t="s">
        <v>394</v>
      </c>
      <c r="BJ238" s="118" t="s">
        <v>393</v>
      </c>
      <c r="BK238" s="118" t="s">
        <v>6988</v>
      </c>
      <c r="BL238" s="118" t="s">
        <v>6415</v>
      </c>
      <c r="BM238" s="118" t="s">
        <v>6990</v>
      </c>
      <c r="BN238" s="118" t="s">
        <v>6991</v>
      </c>
      <c r="BO238" s="118" t="s">
        <v>6415</v>
      </c>
      <c r="BP238" s="118" t="s">
        <v>6415</v>
      </c>
      <c r="BQ238" s="118" t="s">
        <v>6415</v>
      </c>
      <c r="BR238" s="118" t="s">
        <v>6415</v>
      </c>
      <c r="BS238" s="118" t="s">
        <v>6415</v>
      </c>
      <c r="BT238" s="118" t="s">
        <v>7258</v>
      </c>
      <c r="BU238" s="118" t="s">
        <v>6415</v>
      </c>
      <c r="BV238" s="118" t="s">
        <v>6415</v>
      </c>
      <c r="BW238" s="118" t="s">
        <v>6415</v>
      </c>
      <c r="BX238" s="118" t="s">
        <v>6415</v>
      </c>
      <c r="BY238" s="118" t="s">
        <v>6415</v>
      </c>
      <c r="BZ238" s="118">
        <v>406</v>
      </c>
      <c r="CA238" s="118" t="s">
        <v>6415</v>
      </c>
      <c r="CB238" s="118" t="s">
        <v>422</v>
      </c>
      <c r="CC238" s="118" t="s">
        <v>740</v>
      </c>
      <c r="CD238" s="118">
        <v>1</v>
      </c>
      <c r="CE238" s="118" t="s">
        <v>405</v>
      </c>
      <c r="CF238" s="118" t="s">
        <v>406</v>
      </c>
      <c r="CG238" s="118" t="s">
        <v>924</v>
      </c>
      <c r="CH238" s="118" t="s">
        <v>6302</v>
      </c>
      <c r="CI238" s="118" t="s">
        <v>417</v>
      </c>
      <c r="CJ238" s="118" t="s">
        <v>398</v>
      </c>
      <c r="CK238" s="14">
        <v>0</v>
      </c>
      <c r="CL238" s="118">
        <v>35</v>
      </c>
      <c r="CM238" s="118" t="s">
        <v>6356</v>
      </c>
      <c r="CN238" s="118" t="s">
        <v>407</v>
      </c>
      <c r="CO238" s="118" t="s">
        <v>1096</v>
      </c>
      <c r="CP238" s="118" t="s">
        <v>400</v>
      </c>
      <c r="CQ238" s="118" t="s">
        <v>6415</v>
      </c>
      <c r="CR238" s="118" t="s">
        <v>6415</v>
      </c>
      <c r="CS238" s="118" t="s">
        <v>6415</v>
      </c>
      <c r="CT238" s="118" t="s">
        <v>6415</v>
      </c>
      <c r="CU238" s="118" t="s">
        <v>6415</v>
      </c>
      <c r="CV238" s="118" t="s">
        <v>6415</v>
      </c>
      <c r="CW238" s="14">
        <v>21</v>
      </c>
      <c r="CX238" s="118" t="s">
        <v>1068</v>
      </c>
      <c r="CY238" s="118" t="s">
        <v>6341</v>
      </c>
      <c r="CZ238" s="118">
        <v>2</v>
      </c>
      <c r="DA238" s="118" t="s">
        <v>405</v>
      </c>
      <c r="DB238" s="118" t="s">
        <v>406</v>
      </c>
      <c r="DC238" s="118" t="s">
        <v>6415</v>
      </c>
      <c r="DD238" s="118" t="s">
        <v>6302</v>
      </c>
      <c r="DE238" s="118" t="s">
        <v>6303</v>
      </c>
      <c r="DF238" s="118" t="s">
        <v>398</v>
      </c>
      <c r="DG238" s="118" t="s">
        <v>6415</v>
      </c>
      <c r="DH238" s="118">
        <v>35</v>
      </c>
      <c r="DI238" s="118" t="s">
        <v>6356</v>
      </c>
      <c r="DJ238" s="118" t="s">
        <v>398</v>
      </c>
      <c r="DK238" s="118" t="s">
        <v>400</v>
      </c>
      <c r="DL238" s="118" t="s">
        <v>6415</v>
      </c>
      <c r="DM238" s="118" t="s">
        <v>6415</v>
      </c>
      <c r="DN238" s="118" t="s">
        <v>6415</v>
      </c>
      <c r="DO238" s="118" t="s">
        <v>6415</v>
      </c>
      <c r="DP238" s="118" t="s">
        <v>6415</v>
      </c>
      <c r="DQ238" s="118" t="s">
        <v>6415</v>
      </c>
      <c r="DR238" s="118">
        <v>24</v>
      </c>
      <c r="DS238" s="118" t="s">
        <v>1066</v>
      </c>
      <c r="DT238" s="118" t="s">
        <v>6341</v>
      </c>
      <c r="DU238" s="118" t="s">
        <v>6415</v>
      </c>
      <c r="DV238" s="118" t="s">
        <v>6415</v>
      </c>
      <c r="DW238" s="118" t="s">
        <v>6415</v>
      </c>
      <c r="DX238" s="118" t="s">
        <v>6415</v>
      </c>
      <c r="DY238" s="118" t="s">
        <v>6415</v>
      </c>
      <c r="DZ238" s="118" t="s">
        <v>6415</v>
      </c>
      <c r="EA238" s="118" t="s">
        <v>6415</v>
      </c>
      <c r="EB238" s="118" t="s">
        <v>6415</v>
      </c>
      <c r="EC238" s="118" t="s">
        <v>6415</v>
      </c>
      <c r="ED238" s="118" t="s">
        <v>6415</v>
      </c>
      <c r="EE238" s="118" t="s">
        <v>6415</v>
      </c>
      <c r="EF238" s="118" t="s">
        <v>6415</v>
      </c>
      <c r="EG238" s="118" t="s">
        <v>6415</v>
      </c>
      <c r="EH238" s="118" t="s">
        <v>6415</v>
      </c>
      <c r="EI238" s="118" t="s">
        <v>6415</v>
      </c>
      <c r="EJ238" s="118" t="s">
        <v>6415</v>
      </c>
      <c r="EK238" s="118" t="s">
        <v>6415</v>
      </c>
      <c r="EL238" s="118" t="s">
        <v>7467</v>
      </c>
      <c r="EM238" s="118" t="s">
        <v>7355</v>
      </c>
      <c r="EN238" s="118" t="s">
        <v>6415</v>
      </c>
      <c r="EO238" s="6" t="str">
        <f t="shared" si="22"/>
        <v>Pathweb</v>
      </c>
      <c r="EP238" s="6" t="str">
        <f t="shared" si="23"/>
        <v>Google Maps</v>
      </c>
      <c r="EQ238" s="6" t="str">
        <f t="shared" si="24"/>
        <v>Mashed Map</v>
      </c>
      <c r="ER238" s="118" t="s">
        <v>6727</v>
      </c>
      <c r="ES238" s="118" t="s">
        <v>71</v>
      </c>
      <c r="ET238" s="4">
        <v>0</v>
      </c>
      <c r="EU238" s="4"/>
      <c r="EV238" s="4"/>
    </row>
    <row r="239" spans="1:152" x14ac:dyDescent="0.15">
      <c r="A239" s="581" t="str">
        <f t="shared" si="21"/>
        <v>Crash Report</v>
      </c>
      <c r="B239" s="118">
        <v>20243055410</v>
      </c>
      <c r="C239" s="118">
        <v>2024</v>
      </c>
      <c r="D239" s="118">
        <v>24040227811913</v>
      </c>
      <c r="F239" s="118" t="s">
        <v>6440</v>
      </c>
      <c r="G239" s="118" t="s">
        <v>390</v>
      </c>
      <c r="H239" s="118">
        <v>2</v>
      </c>
      <c r="I239" s="118" t="s">
        <v>6055</v>
      </c>
      <c r="J239" s="118" t="s">
        <v>391</v>
      </c>
      <c r="K239" s="118" t="s">
        <v>6985</v>
      </c>
      <c r="L239" s="118">
        <v>0.14899999999999999</v>
      </c>
      <c r="M239" s="118">
        <v>0.14899999999999999</v>
      </c>
      <c r="N239" s="118" t="s">
        <v>7465</v>
      </c>
      <c r="O239" s="118" t="s">
        <v>7466</v>
      </c>
      <c r="P239" s="118">
        <v>41.648522999999997</v>
      </c>
      <c r="Q239" s="118">
        <v>-83.523471000000001</v>
      </c>
      <c r="R239" s="118">
        <v>77000</v>
      </c>
      <c r="S239" s="118" t="s">
        <v>6988</v>
      </c>
      <c r="T239" s="118">
        <v>1</v>
      </c>
      <c r="U239" s="118">
        <v>0</v>
      </c>
      <c r="V239" s="118">
        <v>0</v>
      </c>
      <c r="W239" s="118">
        <v>1</v>
      </c>
      <c r="X239" s="118">
        <v>0</v>
      </c>
      <c r="Y239" s="118">
        <v>1</v>
      </c>
      <c r="Z239" s="118">
        <v>0</v>
      </c>
      <c r="AA239" s="118">
        <v>2</v>
      </c>
      <c r="AB239" s="118" t="s">
        <v>1067</v>
      </c>
      <c r="AC239" s="118" t="s">
        <v>6989</v>
      </c>
      <c r="AD239" s="118" t="s">
        <v>1034</v>
      </c>
      <c r="AE239" s="118" t="s">
        <v>943</v>
      </c>
      <c r="AF239" s="118" t="s">
        <v>1042</v>
      </c>
      <c r="AG239" s="118" t="s">
        <v>6415</v>
      </c>
      <c r="AH239" s="118" t="s">
        <v>393</v>
      </c>
      <c r="AI239" s="118">
        <v>4</v>
      </c>
      <c r="AJ239" s="118" t="s">
        <v>6415</v>
      </c>
      <c r="AK239" s="118" t="s">
        <v>393</v>
      </c>
      <c r="AL239" s="118" t="s">
        <v>393</v>
      </c>
      <c r="AM239" s="118" t="s">
        <v>393</v>
      </c>
      <c r="AN239" s="402" t="s">
        <v>5975</v>
      </c>
      <c r="AO239" s="402">
        <v>45384</v>
      </c>
      <c r="AP239" s="118">
        <v>4</v>
      </c>
      <c r="AQ239" s="118">
        <v>19</v>
      </c>
      <c r="AR239" s="118" t="s">
        <v>6445</v>
      </c>
      <c r="AS239" s="118" t="s">
        <v>403</v>
      </c>
      <c r="AT239" s="118" t="s">
        <v>225</v>
      </c>
      <c r="AU239" s="118" t="s">
        <v>6324</v>
      </c>
      <c r="AV239" s="118" t="s">
        <v>508</v>
      </c>
      <c r="AW239" s="118" t="s">
        <v>393</v>
      </c>
      <c r="AX239" s="118" t="s">
        <v>740</v>
      </c>
      <c r="AY239" s="118" t="s">
        <v>393</v>
      </c>
      <c r="AZ239" s="118" t="s">
        <v>393</v>
      </c>
      <c r="BA239" s="118" t="s">
        <v>393</v>
      </c>
      <c r="BB239" s="118" t="s">
        <v>393</v>
      </c>
      <c r="BC239" s="118" t="s">
        <v>393</v>
      </c>
      <c r="BD239" s="118" t="s">
        <v>740</v>
      </c>
      <c r="BE239" s="118" t="s">
        <v>740</v>
      </c>
      <c r="BF239" s="118" t="s">
        <v>393</v>
      </c>
      <c r="BG239" s="118" t="s">
        <v>393</v>
      </c>
      <c r="BH239" s="118" t="s">
        <v>394</v>
      </c>
      <c r="BI239" s="118" t="s">
        <v>394</v>
      </c>
      <c r="BJ239" s="118" t="s">
        <v>393</v>
      </c>
      <c r="BK239" s="118" t="s">
        <v>6988</v>
      </c>
      <c r="BL239" s="118" t="s">
        <v>6415</v>
      </c>
      <c r="BM239" s="118" t="s">
        <v>6990</v>
      </c>
      <c r="BN239" s="118" t="s">
        <v>6991</v>
      </c>
      <c r="BO239" s="118" t="s">
        <v>6415</v>
      </c>
      <c r="BP239" s="118" t="s">
        <v>6415</v>
      </c>
      <c r="BQ239" s="118" t="s">
        <v>6415</v>
      </c>
      <c r="BR239" s="118" t="s">
        <v>6415</v>
      </c>
      <c r="BS239" s="118" t="s">
        <v>6415</v>
      </c>
      <c r="BT239" s="118" t="s">
        <v>6992</v>
      </c>
      <c r="BU239" s="118" t="s">
        <v>6991</v>
      </c>
      <c r="BV239" s="118" t="s">
        <v>6415</v>
      </c>
      <c r="BW239" s="118" t="s">
        <v>6415</v>
      </c>
      <c r="BX239" s="118" t="s">
        <v>6415</v>
      </c>
      <c r="BY239" s="118" t="s">
        <v>6415</v>
      </c>
      <c r="BZ239" s="118" t="s">
        <v>6415</v>
      </c>
      <c r="CA239" s="118" t="s">
        <v>6415</v>
      </c>
      <c r="CB239" s="118" t="s">
        <v>221</v>
      </c>
      <c r="CC239" s="118" t="s">
        <v>740</v>
      </c>
      <c r="CD239" s="118">
        <v>2</v>
      </c>
      <c r="CE239" s="118" t="s">
        <v>410</v>
      </c>
      <c r="CF239" s="118" t="s">
        <v>411</v>
      </c>
      <c r="CG239" s="118" t="s">
        <v>924</v>
      </c>
      <c r="CH239" s="118" t="s">
        <v>6300</v>
      </c>
      <c r="CI239" s="118" t="s">
        <v>417</v>
      </c>
      <c r="CJ239" s="118" t="s">
        <v>398</v>
      </c>
      <c r="CK239" s="118">
        <v>0</v>
      </c>
      <c r="CL239" s="118">
        <v>35</v>
      </c>
      <c r="CM239" s="118" t="s">
        <v>399</v>
      </c>
      <c r="CN239" s="118" t="s">
        <v>425</v>
      </c>
      <c r="CO239" s="118" t="s">
        <v>1096</v>
      </c>
      <c r="CP239" s="118" t="s">
        <v>400</v>
      </c>
      <c r="CQ239" s="118" t="s">
        <v>6415</v>
      </c>
      <c r="CR239" s="118" t="s">
        <v>6415</v>
      </c>
      <c r="CS239" s="118" t="s">
        <v>6415</v>
      </c>
      <c r="CT239" s="118" t="s">
        <v>6415</v>
      </c>
      <c r="CU239" s="118" t="s">
        <v>6415</v>
      </c>
      <c r="CV239" s="118" t="s">
        <v>6415</v>
      </c>
      <c r="CW239" s="118">
        <v>32</v>
      </c>
      <c r="CX239" s="118" t="s">
        <v>1068</v>
      </c>
      <c r="CY239" s="118" t="s">
        <v>6341</v>
      </c>
      <c r="CZ239" s="118">
        <v>1</v>
      </c>
      <c r="DA239" s="118" t="s">
        <v>410</v>
      </c>
      <c r="DB239" s="118" t="s">
        <v>411</v>
      </c>
      <c r="DC239" s="118" t="s">
        <v>6415</v>
      </c>
      <c r="DD239" s="118" t="s">
        <v>6300</v>
      </c>
      <c r="DE239" s="118" t="s">
        <v>417</v>
      </c>
      <c r="DF239" s="118" t="s">
        <v>398</v>
      </c>
      <c r="DG239" s="118" t="s">
        <v>6415</v>
      </c>
      <c r="DH239" s="118">
        <v>35</v>
      </c>
      <c r="DI239" s="118" t="s">
        <v>399</v>
      </c>
      <c r="DJ239" s="118" t="s">
        <v>398</v>
      </c>
      <c r="DK239" s="118" t="s">
        <v>400</v>
      </c>
      <c r="DL239" s="118" t="s">
        <v>6415</v>
      </c>
      <c r="DM239" s="118" t="s">
        <v>6415</v>
      </c>
      <c r="DN239" s="118" t="s">
        <v>6415</v>
      </c>
      <c r="DO239" s="118" t="s">
        <v>6415</v>
      </c>
      <c r="DP239" s="118" t="s">
        <v>6415</v>
      </c>
      <c r="DQ239" s="118" t="s">
        <v>6415</v>
      </c>
      <c r="DR239" s="118">
        <v>71</v>
      </c>
      <c r="DS239" s="118" t="s">
        <v>1066</v>
      </c>
      <c r="DT239" s="118" t="s">
        <v>6341</v>
      </c>
      <c r="DU239" s="118" t="s">
        <v>6415</v>
      </c>
      <c r="DV239" s="118" t="s">
        <v>6415</v>
      </c>
      <c r="DW239" s="118" t="s">
        <v>6415</v>
      </c>
      <c r="DX239" s="118" t="s">
        <v>6415</v>
      </c>
      <c r="DY239" s="118" t="s">
        <v>6415</v>
      </c>
      <c r="DZ239" s="118" t="s">
        <v>6415</v>
      </c>
      <c r="EA239" s="118" t="s">
        <v>6415</v>
      </c>
      <c r="EB239" s="118" t="s">
        <v>6415</v>
      </c>
      <c r="EC239" s="118" t="s">
        <v>6415</v>
      </c>
      <c r="ED239" s="118" t="s">
        <v>6415</v>
      </c>
      <c r="EE239" s="118" t="s">
        <v>6415</v>
      </c>
      <c r="EF239" s="118" t="s">
        <v>6415</v>
      </c>
      <c r="EG239" s="118" t="s">
        <v>6986</v>
      </c>
      <c r="EH239" s="118" t="s">
        <v>6987</v>
      </c>
      <c r="EI239" s="118" t="s">
        <v>6415</v>
      </c>
      <c r="EJ239" s="118" t="s">
        <v>6415</v>
      </c>
      <c r="EK239" s="118" t="s">
        <v>6415</v>
      </c>
      <c r="EL239" s="118" t="s">
        <v>7467</v>
      </c>
      <c r="EM239" s="118" t="s">
        <v>7356</v>
      </c>
      <c r="EN239" s="118" t="s">
        <v>6415</v>
      </c>
      <c r="EO239" s="6" t="str">
        <f t="shared" si="22"/>
        <v>Pathweb</v>
      </c>
      <c r="EP239" s="6" t="str">
        <f t="shared" si="23"/>
        <v>Google Maps</v>
      </c>
      <c r="EQ239" s="6" t="str">
        <f t="shared" si="24"/>
        <v>Mashed Map</v>
      </c>
      <c r="ER239" s="118" t="s">
        <v>6727</v>
      </c>
      <c r="ES239" s="118" t="s">
        <v>6728</v>
      </c>
      <c r="ET239" s="4">
        <v>0</v>
      </c>
      <c r="EU239" s="4"/>
      <c r="EV239" s="4"/>
    </row>
    <row r="240" spans="1:152" x14ac:dyDescent="0.15">
      <c r="A240" s="581" t="str">
        <f t="shared" si="21"/>
        <v>Crash Report</v>
      </c>
      <c r="B240" s="118">
        <v>20243059855</v>
      </c>
      <c r="C240" s="118">
        <v>2024</v>
      </c>
      <c r="D240" s="118">
        <v>24040928461650</v>
      </c>
      <c r="F240" s="118" t="s">
        <v>6442</v>
      </c>
      <c r="G240" s="118" t="s">
        <v>390</v>
      </c>
      <c r="H240" s="118">
        <v>2</v>
      </c>
      <c r="I240" s="118" t="s">
        <v>6055</v>
      </c>
      <c r="J240" s="118" t="s">
        <v>391</v>
      </c>
      <c r="K240" s="118" t="s">
        <v>6997</v>
      </c>
      <c r="L240" s="118">
        <v>0.88500000000000001</v>
      </c>
      <c r="M240" s="118">
        <v>0.88500000000000001</v>
      </c>
      <c r="N240" s="118" t="s">
        <v>7469</v>
      </c>
      <c r="O240" s="118" t="s">
        <v>7483</v>
      </c>
      <c r="P240" s="118">
        <v>41.650458</v>
      </c>
      <c r="Q240" s="118">
        <v>-83.525535000000005</v>
      </c>
      <c r="R240" s="118">
        <v>77000</v>
      </c>
      <c r="S240" s="118" t="s">
        <v>6988</v>
      </c>
      <c r="T240" s="118">
        <v>1</v>
      </c>
      <c r="U240" s="118">
        <v>0</v>
      </c>
      <c r="V240" s="118">
        <v>0</v>
      </c>
      <c r="W240" s="118">
        <v>0</v>
      </c>
      <c r="X240" s="118">
        <v>0</v>
      </c>
      <c r="Y240" s="118">
        <v>3</v>
      </c>
      <c r="Z240" s="118">
        <v>1</v>
      </c>
      <c r="AA240" s="118">
        <v>2</v>
      </c>
      <c r="AB240" s="118" t="s">
        <v>1067</v>
      </c>
      <c r="AC240" s="118" t="s">
        <v>6989</v>
      </c>
      <c r="AD240" s="118" t="s">
        <v>1034</v>
      </c>
      <c r="AE240" s="118" t="s">
        <v>943</v>
      </c>
      <c r="AF240" s="118" t="s">
        <v>1041</v>
      </c>
      <c r="AG240" s="118" t="s">
        <v>6415</v>
      </c>
      <c r="AH240" s="118" t="s">
        <v>393</v>
      </c>
      <c r="AI240" s="118">
        <v>2</v>
      </c>
      <c r="AJ240" s="118" t="s">
        <v>6415</v>
      </c>
      <c r="AK240" s="118" t="s">
        <v>393</v>
      </c>
      <c r="AL240" s="118" t="s">
        <v>393</v>
      </c>
      <c r="AM240" s="118" t="s">
        <v>393</v>
      </c>
      <c r="AN240" s="402" t="s">
        <v>5975</v>
      </c>
      <c r="AO240" s="402">
        <v>45391</v>
      </c>
      <c r="AP240" s="118">
        <v>4</v>
      </c>
      <c r="AQ240" s="118">
        <v>16</v>
      </c>
      <c r="AR240" s="118" t="s">
        <v>6445</v>
      </c>
      <c r="AS240" s="118" t="s">
        <v>392</v>
      </c>
      <c r="AT240" s="118" t="s">
        <v>500</v>
      </c>
      <c r="AU240" s="118" t="s">
        <v>404</v>
      </c>
      <c r="AV240" s="118" t="s">
        <v>508</v>
      </c>
      <c r="AW240" s="118" t="s">
        <v>393</v>
      </c>
      <c r="AX240" s="118" t="s">
        <v>393</v>
      </c>
      <c r="AY240" s="118" t="s">
        <v>393</v>
      </c>
      <c r="AZ240" s="118" t="s">
        <v>393</v>
      </c>
      <c r="BA240" s="118" t="s">
        <v>393</v>
      </c>
      <c r="BB240" s="118" t="s">
        <v>393</v>
      </c>
      <c r="BC240" s="118" t="s">
        <v>393</v>
      </c>
      <c r="BD240" s="118" t="s">
        <v>393</v>
      </c>
      <c r="BE240" s="118" t="s">
        <v>393</v>
      </c>
      <c r="BF240" s="118" t="s">
        <v>393</v>
      </c>
      <c r="BG240" s="118" t="s">
        <v>393</v>
      </c>
      <c r="BH240" s="118" t="s">
        <v>394</v>
      </c>
      <c r="BI240" s="118" t="s">
        <v>394</v>
      </c>
      <c r="BJ240" s="118" t="s">
        <v>393</v>
      </c>
      <c r="BK240" s="118" t="s">
        <v>6988</v>
      </c>
      <c r="BL240" s="118" t="s">
        <v>6415</v>
      </c>
      <c r="BM240" s="118" t="s">
        <v>6992</v>
      </c>
      <c r="BN240" s="118" t="s">
        <v>6991</v>
      </c>
      <c r="BO240" s="118" t="s">
        <v>6415</v>
      </c>
      <c r="BP240" s="118" t="s">
        <v>6415</v>
      </c>
      <c r="BQ240" s="118" t="s">
        <v>6415</v>
      </c>
      <c r="BR240" s="118" t="s">
        <v>6415</v>
      </c>
      <c r="BS240" s="118" t="s">
        <v>6415</v>
      </c>
      <c r="BT240" s="118" t="s">
        <v>4748</v>
      </c>
      <c r="BU240" s="118" t="s">
        <v>7057</v>
      </c>
      <c r="BV240" s="118" t="s">
        <v>6415</v>
      </c>
      <c r="BW240" s="118" t="s">
        <v>6415</v>
      </c>
      <c r="BX240" s="118" t="s">
        <v>6415</v>
      </c>
      <c r="BY240" s="118" t="s">
        <v>6415</v>
      </c>
      <c r="BZ240" s="118" t="s">
        <v>6415</v>
      </c>
      <c r="CA240" s="118" t="s">
        <v>6415</v>
      </c>
      <c r="CB240" s="118" t="s">
        <v>221</v>
      </c>
      <c r="CC240" s="118" t="s">
        <v>740</v>
      </c>
      <c r="CD240" s="118">
        <v>2</v>
      </c>
      <c r="CE240" s="118" t="s">
        <v>405</v>
      </c>
      <c r="CF240" s="118" t="s">
        <v>406</v>
      </c>
      <c r="CG240" s="118" t="s">
        <v>924</v>
      </c>
      <c r="CH240" s="118" t="s">
        <v>6302</v>
      </c>
      <c r="CI240" s="118" t="s">
        <v>417</v>
      </c>
      <c r="CJ240" s="118" t="s">
        <v>398</v>
      </c>
      <c r="CK240" s="118">
        <v>0</v>
      </c>
      <c r="CL240" s="118">
        <v>35</v>
      </c>
      <c r="CM240" s="118" t="s">
        <v>399</v>
      </c>
      <c r="CN240" s="118" t="s">
        <v>6512</v>
      </c>
      <c r="CO240" s="118" t="s">
        <v>1096</v>
      </c>
      <c r="CP240" s="118" t="s">
        <v>400</v>
      </c>
      <c r="CQ240" s="118" t="s">
        <v>6415</v>
      </c>
      <c r="CR240" s="118" t="s">
        <v>6415</v>
      </c>
      <c r="CS240" s="118" t="s">
        <v>6415</v>
      </c>
      <c r="CT240" s="118" t="s">
        <v>6415</v>
      </c>
      <c r="CU240" s="118" t="s">
        <v>6415</v>
      </c>
      <c r="CV240" s="118" t="s">
        <v>6415</v>
      </c>
      <c r="CW240" s="118">
        <v>42</v>
      </c>
      <c r="CX240" s="118" t="s">
        <v>1066</v>
      </c>
      <c r="CY240" s="118" t="s">
        <v>6151</v>
      </c>
      <c r="CZ240" s="118">
        <v>1</v>
      </c>
      <c r="DA240" s="118" t="s">
        <v>405</v>
      </c>
      <c r="DB240" s="118" t="s">
        <v>406</v>
      </c>
      <c r="DC240" s="118" t="s">
        <v>6415</v>
      </c>
      <c r="DD240" s="118" t="s">
        <v>6302</v>
      </c>
      <c r="DE240" s="118" t="s">
        <v>6305</v>
      </c>
      <c r="DF240" s="118" t="s">
        <v>398</v>
      </c>
      <c r="DG240" s="118" t="s">
        <v>6415</v>
      </c>
      <c r="DH240" s="118">
        <v>35</v>
      </c>
      <c r="DI240" s="118" t="s">
        <v>399</v>
      </c>
      <c r="DJ240" s="118" t="s">
        <v>407</v>
      </c>
      <c r="DK240" s="118" t="s">
        <v>400</v>
      </c>
      <c r="DL240" s="118" t="s">
        <v>6415</v>
      </c>
      <c r="DM240" s="118" t="s">
        <v>6415</v>
      </c>
      <c r="DN240" s="118" t="s">
        <v>6415</v>
      </c>
      <c r="DO240" s="118" t="s">
        <v>6415</v>
      </c>
      <c r="DP240" s="118" t="s">
        <v>6415</v>
      </c>
      <c r="DQ240" s="118" t="s">
        <v>6415</v>
      </c>
      <c r="DR240" s="118">
        <v>53</v>
      </c>
      <c r="DS240" s="118" t="s">
        <v>1068</v>
      </c>
      <c r="DT240" s="118" t="s">
        <v>6151</v>
      </c>
      <c r="DU240" s="118" t="s">
        <v>6415</v>
      </c>
      <c r="DV240" s="118" t="s">
        <v>6415</v>
      </c>
      <c r="DW240" s="118" t="s">
        <v>6415</v>
      </c>
      <c r="DX240" s="118" t="s">
        <v>6415</v>
      </c>
      <c r="DY240" s="118" t="s">
        <v>6415</v>
      </c>
      <c r="DZ240" s="118" t="s">
        <v>6415</v>
      </c>
      <c r="EA240" s="118" t="s">
        <v>6415</v>
      </c>
      <c r="EB240" s="118" t="s">
        <v>6415</v>
      </c>
      <c r="EC240" s="118" t="s">
        <v>6415</v>
      </c>
      <c r="ED240" s="118" t="s">
        <v>6415</v>
      </c>
      <c r="EE240" s="118" t="s">
        <v>6415</v>
      </c>
      <c r="EF240" s="118" t="s">
        <v>6415</v>
      </c>
      <c r="EG240" s="118" t="s">
        <v>7055</v>
      </c>
      <c r="EH240" s="118" t="s">
        <v>7230</v>
      </c>
      <c r="EI240" s="118" t="s">
        <v>6415</v>
      </c>
      <c r="EJ240" s="118" t="s">
        <v>6415</v>
      </c>
      <c r="EK240" s="118" t="s">
        <v>6415</v>
      </c>
      <c r="EL240" s="118" t="s">
        <v>7467</v>
      </c>
      <c r="EM240" s="118" t="s">
        <v>7357</v>
      </c>
      <c r="EN240" s="118" t="s">
        <v>6415</v>
      </c>
      <c r="EO240" s="6" t="str">
        <f t="shared" si="22"/>
        <v>Pathweb</v>
      </c>
      <c r="EP240" s="6" t="str">
        <f t="shared" si="23"/>
        <v>Google Maps</v>
      </c>
      <c r="EQ240" s="6" t="str">
        <f t="shared" si="24"/>
        <v>Mashed Map</v>
      </c>
      <c r="ER240" s="118" t="s">
        <v>6727</v>
      </c>
      <c r="ES240" s="118" t="s">
        <v>71</v>
      </c>
      <c r="ET240" s="4">
        <v>0</v>
      </c>
      <c r="EU240" s="4"/>
      <c r="EV240" s="4"/>
    </row>
    <row r="241" spans="1:152" x14ac:dyDescent="0.15">
      <c r="A241" s="581" t="str">
        <f t="shared" si="21"/>
        <v>Crash Report</v>
      </c>
      <c r="B241" s="14">
        <v>20243061206</v>
      </c>
      <c r="C241" s="118">
        <v>2024</v>
      </c>
      <c r="D241" s="14">
        <v>24041121940909</v>
      </c>
      <c r="F241" s="118" t="s">
        <v>6441</v>
      </c>
      <c r="G241" s="118" t="s">
        <v>211</v>
      </c>
      <c r="H241" s="118">
        <v>2</v>
      </c>
      <c r="I241" s="118" t="s">
        <v>6055</v>
      </c>
      <c r="J241" s="118" t="s">
        <v>423</v>
      </c>
      <c r="K241" s="118" t="s">
        <v>6985</v>
      </c>
      <c r="L241" s="118">
        <v>0.77</v>
      </c>
      <c r="M241" s="118">
        <v>0.77</v>
      </c>
      <c r="N241" s="118" t="s">
        <v>7465</v>
      </c>
      <c r="O241" s="118" t="s">
        <v>7493</v>
      </c>
      <c r="P241" s="118">
        <v>41.654187999999998</v>
      </c>
      <c r="Q241" s="118">
        <v>-83.514195999999998</v>
      </c>
      <c r="R241" s="118">
        <v>77000</v>
      </c>
      <c r="S241" s="118" t="s">
        <v>6988</v>
      </c>
      <c r="T241" s="118">
        <v>1</v>
      </c>
      <c r="U241" s="118">
        <v>0</v>
      </c>
      <c r="V241" s="118">
        <v>0</v>
      </c>
      <c r="W241" s="118">
        <v>0</v>
      </c>
      <c r="X241" s="118">
        <v>2</v>
      </c>
      <c r="Y241" s="118">
        <v>1</v>
      </c>
      <c r="Z241" s="118">
        <v>0</v>
      </c>
      <c r="AA241" s="118">
        <v>2</v>
      </c>
      <c r="AB241" s="118" t="s">
        <v>1067</v>
      </c>
      <c r="AC241" s="118" t="s">
        <v>6989</v>
      </c>
      <c r="AD241" s="118" t="s">
        <v>1034</v>
      </c>
      <c r="AE241" s="118" t="s">
        <v>943</v>
      </c>
      <c r="AF241" s="118" t="s">
        <v>1041</v>
      </c>
      <c r="AG241" s="118" t="s">
        <v>6415</v>
      </c>
      <c r="AH241" s="118" t="s">
        <v>393</v>
      </c>
      <c r="AI241" s="118">
        <v>4</v>
      </c>
      <c r="AJ241" s="118" t="s">
        <v>6415</v>
      </c>
      <c r="AK241" s="118" t="s">
        <v>393</v>
      </c>
      <c r="AL241" s="118" t="s">
        <v>393</v>
      </c>
      <c r="AM241" s="118" t="s">
        <v>393</v>
      </c>
      <c r="AN241" s="402" t="s">
        <v>5975</v>
      </c>
      <c r="AO241" s="402">
        <v>45393</v>
      </c>
      <c r="AP241" s="118">
        <v>4</v>
      </c>
      <c r="AQ241" s="118">
        <v>9</v>
      </c>
      <c r="AR241" s="118" t="s">
        <v>6447</v>
      </c>
      <c r="AS241" s="118" t="s">
        <v>420</v>
      </c>
      <c r="AT241" s="118" t="s">
        <v>225</v>
      </c>
      <c r="AU241" s="118" t="s">
        <v>404</v>
      </c>
      <c r="AV241" s="118" t="s">
        <v>508</v>
      </c>
      <c r="AW241" s="118" t="s">
        <v>393</v>
      </c>
      <c r="AX241" s="118" t="s">
        <v>740</v>
      </c>
      <c r="AY241" s="118" t="s">
        <v>393</v>
      </c>
      <c r="AZ241" s="118" t="s">
        <v>393</v>
      </c>
      <c r="BA241" s="118" t="s">
        <v>393</v>
      </c>
      <c r="BB241" s="118" t="s">
        <v>393</v>
      </c>
      <c r="BC241" s="118" t="s">
        <v>393</v>
      </c>
      <c r="BD241" s="118" t="s">
        <v>393</v>
      </c>
      <c r="BE241" s="118" t="s">
        <v>393</v>
      </c>
      <c r="BF241" s="118" t="s">
        <v>393</v>
      </c>
      <c r="BG241" s="118" t="s">
        <v>393</v>
      </c>
      <c r="BH241" s="118" t="s">
        <v>394</v>
      </c>
      <c r="BI241" s="118" t="s">
        <v>394</v>
      </c>
      <c r="BJ241" s="118" t="s">
        <v>393</v>
      </c>
      <c r="BK241" s="118" t="s">
        <v>6988</v>
      </c>
      <c r="BL241" s="118" t="s">
        <v>6415</v>
      </c>
      <c r="BM241" s="118" t="s">
        <v>6990</v>
      </c>
      <c r="BN241" s="118" t="s">
        <v>6991</v>
      </c>
      <c r="BO241" s="118" t="s">
        <v>6415</v>
      </c>
      <c r="BP241" s="118" t="s">
        <v>6415</v>
      </c>
      <c r="BQ241" s="118" t="s">
        <v>6415</v>
      </c>
      <c r="BR241" s="118" t="s">
        <v>6415</v>
      </c>
      <c r="BS241" s="118" t="s">
        <v>6415</v>
      </c>
      <c r="BT241" s="118" t="s">
        <v>7214</v>
      </c>
      <c r="BU241" s="118" t="s">
        <v>6991</v>
      </c>
      <c r="BV241" s="118" t="s">
        <v>6415</v>
      </c>
      <c r="BW241" s="118" t="s">
        <v>6415</v>
      </c>
      <c r="BX241" s="118" t="s">
        <v>6415</v>
      </c>
      <c r="BY241" s="118" t="s">
        <v>6415</v>
      </c>
      <c r="BZ241" s="118" t="s">
        <v>6415</v>
      </c>
      <c r="CA241" s="118" t="s">
        <v>6415</v>
      </c>
      <c r="CB241" s="118" t="s">
        <v>221</v>
      </c>
      <c r="CC241" s="118" t="s">
        <v>740</v>
      </c>
      <c r="CD241" s="118">
        <v>2</v>
      </c>
      <c r="CE241" s="118" t="s">
        <v>446</v>
      </c>
      <c r="CF241" s="118" t="s">
        <v>445</v>
      </c>
      <c r="CG241" s="118" t="s">
        <v>924</v>
      </c>
      <c r="CH241" s="118" t="s">
        <v>433</v>
      </c>
      <c r="CI241" s="118" t="s">
        <v>6303</v>
      </c>
      <c r="CJ241" s="118" t="s">
        <v>398</v>
      </c>
      <c r="CK241" s="14">
        <v>10</v>
      </c>
      <c r="CL241" s="118">
        <v>25</v>
      </c>
      <c r="CM241" s="118" t="s">
        <v>399</v>
      </c>
      <c r="CN241" s="118" t="s">
        <v>6327</v>
      </c>
      <c r="CO241" s="118" t="s">
        <v>1096</v>
      </c>
      <c r="CP241" s="118" t="s">
        <v>400</v>
      </c>
      <c r="CQ241" s="118" t="s">
        <v>6415</v>
      </c>
      <c r="CR241" s="118" t="s">
        <v>6415</v>
      </c>
      <c r="CS241" s="118" t="s">
        <v>6415</v>
      </c>
      <c r="CT241" s="118" t="s">
        <v>6415</v>
      </c>
      <c r="CU241" s="118" t="s">
        <v>6415</v>
      </c>
      <c r="CV241" s="118" t="s">
        <v>6415</v>
      </c>
      <c r="CW241" s="14">
        <v>0</v>
      </c>
      <c r="CX241" s="118" t="s">
        <v>401</v>
      </c>
      <c r="CY241" s="118" t="s">
        <v>6151</v>
      </c>
      <c r="CZ241" s="118">
        <v>1</v>
      </c>
      <c r="DA241" s="118" t="s">
        <v>396</v>
      </c>
      <c r="DB241" s="118" t="s">
        <v>397</v>
      </c>
      <c r="DC241" s="118" t="s">
        <v>6415</v>
      </c>
      <c r="DD241" s="118" t="s">
        <v>6302</v>
      </c>
      <c r="DE241" s="118" t="s">
        <v>6303</v>
      </c>
      <c r="DF241" s="118" t="s">
        <v>398</v>
      </c>
      <c r="DG241" s="118">
        <v>35</v>
      </c>
      <c r="DH241" s="118">
        <v>40</v>
      </c>
      <c r="DI241" s="118" t="s">
        <v>399</v>
      </c>
      <c r="DJ241" s="118" t="s">
        <v>398</v>
      </c>
      <c r="DK241" s="118" t="s">
        <v>400</v>
      </c>
      <c r="DL241" s="118" t="s">
        <v>6415</v>
      </c>
      <c r="DM241" s="118" t="s">
        <v>6415</v>
      </c>
      <c r="DN241" s="118" t="s">
        <v>6415</v>
      </c>
      <c r="DO241" s="118" t="s">
        <v>6415</v>
      </c>
      <c r="DP241" s="118" t="s">
        <v>6415</v>
      </c>
      <c r="DQ241" s="118" t="s">
        <v>6415</v>
      </c>
      <c r="DR241" s="118">
        <v>30</v>
      </c>
      <c r="DS241" s="118" t="s">
        <v>1066</v>
      </c>
      <c r="DT241" s="118" t="s">
        <v>6341</v>
      </c>
      <c r="DU241" s="118" t="s">
        <v>6415</v>
      </c>
      <c r="DV241" s="118" t="s">
        <v>6415</v>
      </c>
      <c r="DW241" s="118" t="s">
        <v>6415</v>
      </c>
      <c r="DX241" s="118" t="s">
        <v>6415</v>
      </c>
      <c r="DY241" s="118" t="s">
        <v>6415</v>
      </c>
      <c r="DZ241" s="118" t="s">
        <v>6415</v>
      </c>
      <c r="EA241" s="118" t="s">
        <v>6415</v>
      </c>
      <c r="EB241" s="118" t="s">
        <v>6415</v>
      </c>
      <c r="EC241" s="118" t="s">
        <v>6415</v>
      </c>
      <c r="ED241" s="118" t="s">
        <v>6415</v>
      </c>
      <c r="EE241" s="118" t="s">
        <v>6415</v>
      </c>
      <c r="EF241" s="118" t="s">
        <v>6415</v>
      </c>
      <c r="EG241" s="118" t="s">
        <v>7164</v>
      </c>
      <c r="EH241" s="118" t="s">
        <v>7206</v>
      </c>
      <c r="EI241" s="118" t="s">
        <v>6415</v>
      </c>
      <c r="EJ241" s="118" t="s">
        <v>6415</v>
      </c>
      <c r="EK241" s="118" t="s">
        <v>6415</v>
      </c>
      <c r="EL241" s="118" t="s">
        <v>7467</v>
      </c>
      <c r="EM241" s="118" t="s">
        <v>7358</v>
      </c>
      <c r="EN241" s="118" t="s">
        <v>6415</v>
      </c>
      <c r="EO241" s="6" t="str">
        <f t="shared" si="22"/>
        <v>Pathweb</v>
      </c>
      <c r="EP241" s="6" t="str">
        <f t="shared" si="23"/>
        <v>Google Maps</v>
      </c>
      <c r="EQ241" s="6" t="str">
        <f t="shared" si="24"/>
        <v>Mashed Map</v>
      </c>
      <c r="ER241" s="118" t="s">
        <v>6727</v>
      </c>
      <c r="ES241" s="118" t="s">
        <v>6728</v>
      </c>
      <c r="ET241" s="4">
        <v>0</v>
      </c>
      <c r="EU241" s="4"/>
      <c r="EV241" s="4"/>
    </row>
    <row r="242" spans="1:152" x14ac:dyDescent="0.15">
      <c r="A242" s="581" t="str">
        <f t="shared" si="21"/>
        <v>Crash Report</v>
      </c>
      <c r="B242" s="14">
        <v>20243062784</v>
      </c>
      <c r="C242" s="118">
        <v>2024</v>
      </c>
      <c r="D242" s="14">
        <v>24041224050809</v>
      </c>
      <c r="F242" s="118" t="s">
        <v>6441</v>
      </c>
      <c r="G242" s="118" t="s">
        <v>211</v>
      </c>
      <c r="H242" s="118">
        <v>2</v>
      </c>
      <c r="I242" s="118" t="s">
        <v>6055</v>
      </c>
      <c r="J242" s="118" t="s">
        <v>391</v>
      </c>
      <c r="K242" s="118" t="s">
        <v>6985</v>
      </c>
      <c r="L242" s="118">
        <v>0.33200000000000002</v>
      </c>
      <c r="M242" s="118">
        <v>0.33200000000000002</v>
      </c>
      <c r="N242" s="118" t="s">
        <v>7465</v>
      </c>
      <c r="O242" s="118" t="s">
        <v>7487</v>
      </c>
      <c r="P242" s="118">
        <v>41.650196999999999</v>
      </c>
      <c r="Q242" s="118">
        <v>-83.520737999999994</v>
      </c>
      <c r="R242" s="118">
        <v>77000</v>
      </c>
      <c r="S242" s="118" t="s">
        <v>6988</v>
      </c>
      <c r="T242" s="118">
        <v>1</v>
      </c>
      <c r="U242" s="118">
        <v>0</v>
      </c>
      <c r="V242" s="118">
        <v>0</v>
      </c>
      <c r="W242" s="118">
        <v>0</v>
      </c>
      <c r="X242" s="118">
        <v>1</v>
      </c>
      <c r="Y242" s="118">
        <v>4</v>
      </c>
      <c r="Z242" s="118">
        <v>2</v>
      </c>
      <c r="AA242" s="118">
        <v>2</v>
      </c>
      <c r="AB242" s="118" t="s">
        <v>1067</v>
      </c>
      <c r="AC242" s="118" t="s">
        <v>6989</v>
      </c>
      <c r="AD242" s="118" t="s">
        <v>1034</v>
      </c>
      <c r="AE242" s="118" t="s">
        <v>943</v>
      </c>
      <c r="AF242" s="118" t="s">
        <v>1041</v>
      </c>
      <c r="AG242" s="118" t="s">
        <v>6415</v>
      </c>
      <c r="AH242" s="118" t="s">
        <v>393</v>
      </c>
      <c r="AI242" s="118">
        <v>4</v>
      </c>
      <c r="AJ242" s="118" t="s">
        <v>6415</v>
      </c>
      <c r="AK242" s="118" t="s">
        <v>393</v>
      </c>
      <c r="AL242" s="118" t="s">
        <v>393</v>
      </c>
      <c r="AM242" s="118" t="s">
        <v>393</v>
      </c>
      <c r="AN242" s="402" t="s">
        <v>5975</v>
      </c>
      <c r="AO242" s="402">
        <v>45394</v>
      </c>
      <c r="AP242" s="118">
        <v>4</v>
      </c>
      <c r="AQ242" s="118">
        <v>8</v>
      </c>
      <c r="AR242" s="118" t="s">
        <v>6448</v>
      </c>
      <c r="AS242" s="118" t="s">
        <v>403</v>
      </c>
      <c r="AT242" s="118" t="s">
        <v>225</v>
      </c>
      <c r="AU242" s="118" t="s">
        <v>404</v>
      </c>
      <c r="AV242" s="118" t="s">
        <v>508</v>
      </c>
      <c r="AW242" s="118" t="s">
        <v>393</v>
      </c>
      <c r="AX242" s="118" t="s">
        <v>740</v>
      </c>
      <c r="AY242" s="118" t="s">
        <v>393</v>
      </c>
      <c r="AZ242" s="118" t="s">
        <v>393</v>
      </c>
      <c r="BA242" s="118" t="s">
        <v>393</v>
      </c>
      <c r="BB242" s="118" t="s">
        <v>393</v>
      </c>
      <c r="BC242" s="118" t="s">
        <v>393</v>
      </c>
      <c r="BD242" s="118" t="s">
        <v>393</v>
      </c>
      <c r="BE242" s="118" t="s">
        <v>740</v>
      </c>
      <c r="BF242" s="118" t="s">
        <v>393</v>
      </c>
      <c r="BG242" s="118" t="s">
        <v>393</v>
      </c>
      <c r="BH242" s="118" t="s">
        <v>394</v>
      </c>
      <c r="BI242" s="118" t="s">
        <v>394</v>
      </c>
      <c r="BJ242" s="118" t="s">
        <v>393</v>
      </c>
      <c r="BK242" s="118" t="s">
        <v>6988</v>
      </c>
      <c r="BL242" s="118" t="s">
        <v>6415</v>
      </c>
      <c r="BM242" s="118" t="s">
        <v>6990</v>
      </c>
      <c r="BN242" s="118" t="s">
        <v>6991</v>
      </c>
      <c r="BO242" s="118" t="s">
        <v>6415</v>
      </c>
      <c r="BP242" s="118" t="s">
        <v>6415</v>
      </c>
      <c r="BQ242" s="118" t="s">
        <v>6415</v>
      </c>
      <c r="BR242" s="118" t="s">
        <v>6415</v>
      </c>
      <c r="BS242" s="118" t="s">
        <v>6415</v>
      </c>
      <c r="BT242" s="118" t="s">
        <v>7123</v>
      </c>
      <c r="BU242" s="118" t="s">
        <v>7057</v>
      </c>
      <c r="BV242" s="118" t="s">
        <v>6415</v>
      </c>
      <c r="BW242" s="118" t="s">
        <v>6415</v>
      </c>
      <c r="BX242" s="118" t="s">
        <v>6415</v>
      </c>
      <c r="BY242" s="118" t="s">
        <v>6415</v>
      </c>
      <c r="BZ242" s="118" t="s">
        <v>6415</v>
      </c>
      <c r="CA242" s="118" t="s">
        <v>6415</v>
      </c>
      <c r="CB242" s="118" t="s">
        <v>221</v>
      </c>
      <c r="CC242" s="118" t="s">
        <v>740</v>
      </c>
      <c r="CD242" s="118">
        <v>1</v>
      </c>
      <c r="CE242" s="118" t="s">
        <v>411</v>
      </c>
      <c r="CF242" s="118" t="s">
        <v>405</v>
      </c>
      <c r="CG242" s="118" t="s">
        <v>230</v>
      </c>
      <c r="CH242" s="118" t="s">
        <v>6302</v>
      </c>
      <c r="CI242" s="118" t="s">
        <v>6305</v>
      </c>
      <c r="CJ242" s="118" t="s">
        <v>398</v>
      </c>
      <c r="CK242" s="14">
        <v>10</v>
      </c>
      <c r="CL242" s="118">
        <v>35</v>
      </c>
      <c r="CM242" s="118" t="s">
        <v>436</v>
      </c>
      <c r="CN242" s="118" t="s">
        <v>6327</v>
      </c>
      <c r="CO242" s="118" t="s">
        <v>1096</v>
      </c>
      <c r="CP242" s="118" t="s">
        <v>400</v>
      </c>
      <c r="CQ242" s="118" t="s">
        <v>6415</v>
      </c>
      <c r="CR242" s="118" t="s">
        <v>6415</v>
      </c>
      <c r="CS242" s="118" t="s">
        <v>6415</v>
      </c>
      <c r="CT242" s="118" t="s">
        <v>6415</v>
      </c>
      <c r="CU242" s="118" t="s">
        <v>6415</v>
      </c>
      <c r="CV242" s="118" t="s">
        <v>6415</v>
      </c>
      <c r="CW242" s="14">
        <v>79</v>
      </c>
      <c r="CX242" s="118" t="s">
        <v>1066</v>
      </c>
      <c r="CY242" s="118" t="s">
        <v>6341</v>
      </c>
      <c r="CZ242" s="118">
        <v>2</v>
      </c>
      <c r="DA242" s="118" t="s">
        <v>406</v>
      </c>
      <c r="DB242" s="118" t="s">
        <v>405</v>
      </c>
      <c r="DC242" s="118" t="s">
        <v>6415</v>
      </c>
      <c r="DD242" s="118" t="s">
        <v>6302</v>
      </c>
      <c r="DE242" s="118" t="s">
        <v>417</v>
      </c>
      <c r="DF242" s="118" t="s">
        <v>398</v>
      </c>
      <c r="DG242" s="118">
        <v>35</v>
      </c>
      <c r="DH242" s="118">
        <v>35</v>
      </c>
      <c r="DI242" s="118" t="s">
        <v>399</v>
      </c>
      <c r="DJ242" s="118" t="s">
        <v>398</v>
      </c>
      <c r="DK242" s="118" t="s">
        <v>400</v>
      </c>
      <c r="DL242" s="118" t="s">
        <v>6415</v>
      </c>
      <c r="DM242" s="118" t="s">
        <v>6415</v>
      </c>
      <c r="DN242" s="118" t="s">
        <v>6415</v>
      </c>
      <c r="DO242" s="118" t="s">
        <v>6415</v>
      </c>
      <c r="DP242" s="118" t="s">
        <v>6415</v>
      </c>
      <c r="DQ242" s="118" t="s">
        <v>6415</v>
      </c>
      <c r="DR242" s="118">
        <v>42</v>
      </c>
      <c r="DS242" s="118" t="s">
        <v>1068</v>
      </c>
      <c r="DT242" s="118" t="s">
        <v>6341</v>
      </c>
      <c r="DU242" s="118" t="s">
        <v>6415</v>
      </c>
      <c r="DV242" s="118" t="s">
        <v>6415</v>
      </c>
      <c r="DW242" s="118" t="s">
        <v>6415</v>
      </c>
      <c r="DX242" s="118" t="s">
        <v>6415</v>
      </c>
      <c r="DY242" s="118" t="s">
        <v>6415</v>
      </c>
      <c r="DZ242" s="118" t="s">
        <v>6415</v>
      </c>
      <c r="EA242" s="118" t="s">
        <v>6415</v>
      </c>
      <c r="EB242" s="118" t="s">
        <v>6415</v>
      </c>
      <c r="EC242" s="118" t="s">
        <v>6415</v>
      </c>
      <c r="ED242" s="118" t="s">
        <v>6415</v>
      </c>
      <c r="EE242" s="118" t="s">
        <v>6415</v>
      </c>
      <c r="EF242" s="118" t="s">
        <v>6415</v>
      </c>
      <c r="EG242" s="118" t="s">
        <v>7121</v>
      </c>
      <c r="EH242" s="118" t="s">
        <v>7281</v>
      </c>
      <c r="EI242" s="118" t="s">
        <v>6415</v>
      </c>
      <c r="EJ242" s="118" t="s">
        <v>6415</v>
      </c>
      <c r="EK242" s="118" t="s">
        <v>6415</v>
      </c>
      <c r="EL242" s="118" t="s">
        <v>7467</v>
      </c>
      <c r="EM242" s="118" t="s">
        <v>7359</v>
      </c>
      <c r="EN242" s="118" t="s">
        <v>6415</v>
      </c>
      <c r="EO242" s="6" t="str">
        <f t="shared" si="22"/>
        <v>Pathweb</v>
      </c>
      <c r="EP242" s="6" t="str">
        <f t="shared" si="23"/>
        <v>Google Maps</v>
      </c>
      <c r="EQ242" s="6" t="str">
        <f t="shared" si="24"/>
        <v>Mashed Map</v>
      </c>
      <c r="ER242" s="118" t="s">
        <v>6727</v>
      </c>
      <c r="ES242" s="118" t="s">
        <v>6728</v>
      </c>
      <c r="ET242" s="4">
        <v>0</v>
      </c>
      <c r="EU242" s="4"/>
      <c r="EV242" s="4"/>
    </row>
    <row r="243" spans="1:152" x14ac:dyDescent="0.15">
      <c r="A243" s="581" t="str">
        <f t="shared" si="21"/>
        <v>Crash Report</v>
      </c>
      <c r="B243" s="118">
        <v>20243066062</v>
      </c>
      <c r="C243" s="118">
        <v>2024</v>
      </c>
      <c r="D243" s="118">
        <v>24041828931920</v>
      </c>
      <c r="F243" s="118" t="s">
        <v>6442</v>
      </c>
      <c r="G243" s="118" t="s">
        <v>211</v>
      </c>
      <c r="H243" s="118">
        <v>2</v>
      </c>
      <c r="I243" s="118" t="s">
        <v>6055</v>
      </c>
      <c r="J243" s="118" t="s">
        <v>434</v>
      </c>
      <c r="K243" s="118" t="s">
        <v>6997</v>
      </c>
      <c r="L243" s="118">
        <v>0.89</v>
      </c>
      <c r="M243" s="118">
        <v>0.89</v>
      </c>
      <c r="N243" s="118" t="s">
        <v>7469</v>
      </c>
      <c r="O243" s="118" t="s">
        <v>7486</v>
      </c>
      <c r="P243" s="118">
        <v>41.650519000000003</v>
      </c>
      <c r="Q243" s="118">
        <v>-83.525595999999993</v>
      </c>
      <c r="R243" s="118">
        <v>77000</v>
      </c>
      <c r="S243" s="118" t="s">
        <v>6988</v>
      </c>
      <c r="T243" s="118">
        <v>1</v>
      </c>
      <c r="U243" s="118">
        <v>0</v>
      </c>
      <c r="V243" s="118">
        <v>0</v>
      </c>
      <c r="W243" s="118">
        <v>0</v>
      </c>
      <c r="X243" s="118">
        <v>0</v>
      </c>
      <c r="Y243" s="118">
        <v>2</v>
      </c>
      <c r="Z243" s="118">
        <v>0</v>
      </c>
      <c r="AA243" s="118">
        <v>2</v>
      </c>
      <c r="AB243" s="118" t="s">
        <v>1067</v>
      </c>
      <c r="AC243" s="118" t="s">
        <v>6989</v>
      </c>
      <c r="AD243" s="118" t="s">
        <v>1034</v>
      </c>
      <c r="AE243" s="118" t="s">
        <v>943</v>
      </c>
      <c r="AF243" s="118" t="s">
        <v>1041</v>
      </c>
      <c r="AG243" s="118" t="s">
        <v>6415</v>
      </c>
      <c r="AH243" s="118" t="s">
        <v>393</v>
      </c>
      <c r="AI243" s="118">
        <v>2</v>
      </c>
      <c r="AJ243" s="118" t="s">
        <v>6415</v>
      </c>
      <c r="AK243" s="118" t="s">
        <v>393</v>
      </c>
      <c r="AL243" s="118" t="s">
        <v>393</v>
      </c>
      <c r="AM243" s="118" t="s">
        <v>393</v>
      </c>
      <c r="AN243" s="402" t="s">
        <v>5975</v>
      </c>
      <c r="AO243" s="402">
        <v>45400</v>
      </c>
      <c r="AP243" s="118">
        <v>4</v>
      </c>
      <c r="AQ243" s="118">
        <v>19</v>
      </c>
      <c r="AR243" s="118" t="s">
        <v>6447</v>
      </c>
      <c r="AS243" s="118" t="s">
        <v>392</v>
      </c>
      <c r="AT243" s="118" t="s">
        <v>500</v>
      </c>
      <c r="AU243" s="118" t="s">
        <v>404</v>
      </c>
      <c r="AV243" s="118" t="s">
        <v>508</v>
      </c>
      <c r="AW243" s="118" t="s">
        <v>393</v>
      </c>
      <c r="AX243" s="118" t="s">
        <v>740</v>
      </c>
      <c r="AY243" s="118" t="s">
        <v>393</v>
      </c>
      <c r="AZ243" s="118" t="s">
        <v>393</v>
      </c>
      <c r="BA243" s="118" t="s">
        <v>393</v>
      </c>
      <c r="BB243" s="118" t="s">
        <v>393</v>
      </c>
      <c r="BC243" s="118" t="s">
        <v>393</v>
      </c>
      <c r="BD243" s="118" t="s">
        <v>393</v>
      </c>
      <c r="BE243" s="118" t="s">
        <v>393</v>
      </c>
      <c r="BF243" s="118" t="s">
        <v>740</v>
      </c>
      <c r="BG243" s="118" t="s">
        <v>393</v>
      </c>
      <c r="BH243" s="118" t="s">
        <v>394</v>
      </c>
      <c r="BI243" s="118" t="s">
        <v>394</v>
      </c>
      <c r="BJ243" s="118" t="s">
        <v>393</v>
      </c>
      <c r="BK243" s="118" t="s">
        <v>6988</v>
      </c>
      <c r="BL243" s="118" t="s">
        <v>6415</v>
      </c>
      <c r="BM243" s="118" t="s">
        <v>6992</v>
      </c>
      <c r="BN243" s="118" t="s">
        <v>6991</v>
      </c>
      <c r="BO243" s="118" t="s">
        <v>6415</v>
      </c>
      <c r="BP243" s="118" t="s">
        <v>6415</v>
      </c>
      <c r="BQ243" s="118" t="s">
        <v>6415</v>
      </c>
      <c r="BR243" s="118" t="s">
        <v>6415</v>
      </c>
      <c r="BS243" s="118" t="s">
        <v>6415</v>
      </c>
      <c r="BT243" s="118" t="s">
        <v>7110</v>
      </c>
      <c r="BU243" s="118" t="s">
        <v>1390</v>
      </c>
      <c r="BV243" s="118" t="s">
        <v>6415</v>
      </c>
      <c r="BW243" s="118" t="s">
        <v>6415</v>
      </c>
      <c r="BX243" s="118" t="s">
        <v>6415</v>
      </c>
      <c r="BY243" s="118" t="s">
        <v>6415</v>
      </c>
      <c r="BZ243" s="118" t="s">
        <v>6415</v>
      </c>
      <c r="CA243" s="118" t="s">
        <v>6415</v>
      </c>
      <c r="CB243" s="118" t="s">
        <v>221</v>
      </c>
      <c r="CC243" s="118" t="s">
        <v>740</v>
      </c>
      <c r="CD243" s="118">
        <v>1</v>
      </c>
      <c r="CE243" s="118" t="s">
        <v>445</v>
      </c>
      <c r="CF243" s="118" t="s">
        <v>446</v>
      </c>
      <c r="CG243" s="118" t="s">
        <v>924</v>
      </c>
      <c r="CH243" s="118" t="s">
        <v>433</v>
      </c>
      <c r="CI243" s="118" t="s">
        <v>6303</v>
      </c>
      <c r="CJ243" s="118" t="s">
        <v>398</v>
      </c>
      <c r="CK243" s="118">
        <v>0</v>
      </c>
      <c r="CL243" s="118">
        <v>0</v>
      </c>
      <c r="CM243" s="118" t="s">
        <v>444</v>
      </c>
      <c r="CN243" s="118" t="s">
        <v>6327</v>
      </c>
      <c r="CO243" s="118" t="s">
        <v>1096</v>
      </c>
      <c r="CP243" s="118" t="s">
        <v>400</v>
      </c>
      <c r="CQ243" s="118" t="s">
        <v>6415</v>
      </c>
      <c r="CR243" s="118" t="s">
        <v>6415</v>
      </c>
      <c r="CS243" s="118" t="s">
        <v>6415</v>
      </c>
      <c r="CT243" s="118" t="s">
        <v>6415</v>
      </c>
      <c r="CU243" s="118" t="s">
        <v>6415</v>
      </c>
      <c r="CV243" s="118" t="s">
        <v>6415</v>
      </c>
      <c r="CW243" s="118">
        <v>18</v>
      </c>
      <c r="CX243" s="118" t="s">
        <v>1068</v>
      </c>
      <c r="CY243" s="118" t="s">
        <v>6341</v>
      </c>
      <c r="CZ243" s="118">
        <v>2</v>
      </c>
      <c r="DA243" s="118" t="s">
        <v>397</v>
      </c>
      <c r="DB243" s="118" t="s">
        <v>396</v>
      </c>
      <c r="DC243" s="118" t="s">
        <v>6415</v>
      </c>
      <c r="DD243" s="118" t="s">
        <v>6302</v>
      </c>
      <c r="DE243" s="118" t="s">
        <v>6303</v>
      </c>
      <c r="DF243" s="118" t="s">
        <v>398</v>
      </c>
      <c r="DG243" s="118" t="s">
        <v>6415</v>
      </c>
      <c r="DH243" s="118" t="s">
        <v>6415</v>
      </c>
      <c r="DI243" s="118" t="s">
        <v>399</v>
      </c>
      <c r="DJ243" s="118" t="s">
        <v>398</v>
      </c>
      <c r="DK243" s="118" t="s">
        <v>400</v>
      </c>
      <c r="DL243" s="118" t="s">
        <v>6415</v>
      </c>
      <c r="DM243" s="118" t="s">
        <v>6415</v>
      </c>
      <c r="DN243" s="118" t="s">
        <v>6415</v>
      </c>
      <c r="DO243" s="118" t="s">
        <v>6415</v>
      </c>
      <c r="DP243" s="118" t="s">
        <v>6415</v>
      </c>
      <c r="DQ243" s="118" t="s">
        <v>6415</v>
      </c>
      <c r="DR243" s="118">
        <v>17</v>
      </c>
      <c r="DS243" s="118" t="s">
        <v>1068</v>
      </c>
      <c r="DT243" s="118" t="s">
        <v>6341</v>
      </c>
      <c r="DU243" s="118" t="s">
        <v>6415</v>
      </c>
      <c r="DV243" s="118" t="s">
        <v>6415</v>
      </c>
      <c r="DW243" s="118" t="s">
        <v>6415</v>
      </c>
      <c r="DX243" s="118" t="s">
        <v>6415</v>
      </c>
      <c r="DY243" s="118" t="s">
        <v>6415</v>
      </c>
      <c r="DZ243" s="118" t="s">
        <v>6415</v>
      </c>
      <c r="EA243" s="118" t="s">
        <v>6415</v>
      </c>
      <c r="EB243" s="118" t="s">
        <v>6415</v>
      </c>
      <c r="EC243" s="118" t="s">
        <v>6415</v>
      </c>
      <c r="ED243" s="118" t="s">
        <v>6415</v>
      </c>
      <c r="EE243" s="118" t="s">
        <v>6415</v>
      </c>
      <c r="EF243" s="118" t="s">
        <v>6415</v>
      </c>
      <c r="EG243" s="118" t="s">
        <v>7055</v>
      </c>
      <c r="EH243" s="118" t="s">
        <v>7230</v>
      </c>
      <c r="EI243" s="118" t="s">
        <v>6415</v>
      </c>
      <c r="EJ243" s="118" t="s">
        <v>6415</v>
      </c>
      <c r="EK243" s="118" t="s">
        <v>6415</v>
      </c>
      <c r="EL243" s="118" t="s">
        <v>7467</v>
      </c>
      <c r="EM243" s="118" t="s">
        <v>7360</v>
      </c>
      <c r="EN243" s="118" t="s">
        <v>6415</v>
      </c>
      <c r="EO243" s="6" t="str">
        <f t="shared" si="22"/>
        <v>Pathweb</v>
      </c>
      <c r="EP243" s="6" t="str">
        <f t="shared" si="23"/>
        <v>Google Maps</v>
      </c>
      <c r="EQ243" s="6" t="str">
        <f t="shared" si="24"/>
        <v>Mashed Map</v>
      </c>
      <c r="ER243" s="118" t="s">
        <v>6727</v>
      </c>
      <c r="ES243" s="118" t="s">
        <v>71</v>
      </c>
      <c r="ET243" s="4">
        <v>5.7000000000000002E-2</v>
      </c>
      <c r="EU243" s="4"/>
      <c r="EV243" s="4"/>
    </row>
    <row r="244" spans="1:152" x14ac:dyDescent="0.15">
      <c r="A244" s="581" t="str">
        <f t="shared" si="21"/>
        <v>Crash Report</v>
      </c>
      <c r="B244" s="118">
        <v>20243066106</v>
      </c>
      <c r="C244" s="118">
        <v>2024</v>
      </c>
      <c r="D244" s="118">
        <v>24040620282000</v>
      </c>
      <c r="F244" s="118" t="s">
        <v>6442</v>
      </c>
      <c r="G244" s="118" t="s">
        <v>401</v>
      </c>
      <c r="H244" s="118">
        <v>2</v>
      </c>
      <c r="I244" s="118" t="s">
        <v>6055</v>
      </c>
      <c r="J244" s="118" t="s">
        <v>391</v>
      </c>
      <c r="K244" s="118" t="s">
        <v>6997</v>
      </c>
      <c r="L244" s="118">
        <v>0.71299999999999997</v>
      </c>
      <c r="M244" s="118">
        <v>0.71299999999999997</v>
      </c>
      <c r="N244" s="118" t="s">
        <v>7469</v>
      </c>
      <c r="O244" s="118" t="s">
        <v>7473</v>
      </c>
      <c r="P244" s="118">
        <v>41.648513999999999</v>
      </c>
      <c r="Q244" s="118">
        <v>-83.523442000000003</v>
      </c>
      <c r="R244" s="118">
        <v>77000</v>
      </c>
      <c r="S244" s="118" t="s">
        <v>6988</v>
      </c>
      <c r="T244" s="118">
        <v>1</v>
      </c>
      <c r="U244" s="118">
        <v>0</v>
      </c>
      <c r="V244" s="118">
        <v>0</v>
      </c>
      <c r="W244" s="118">
        <v>0</v>
      </c>
      <c r="X244" s="118">
        <v>0</v>
      </c>
      <c r="Y244" s="118">
        <v>2</v>
      </c>
      <c r="Z244" s="118">
        <v>0</v>
      </c>
      <c r="AA244" s="118">
        <v>2</v>
      </c>
      <c r="AB244" s="118" t="s">
        <v>1067</v>
      </c>
      <c r="AC244" s="118" t="s">
        <v>6989</v>
      </c>
      <c r="AD244" s="118" t="s">
        <v>1034</v>
      </c>
      <c r="AE244" s="118" t="s">
        <v>943</v>
      </c>
      <c r="AF244" s="118" t="s">
        <v>1042</v>
      </c>
      <c r="AG244" s="118" t="s">
        <v>6415</v>
      </c>
      <c r="AH244" s="118" t="s">
        <v>393</v>
      </c>
      <c r="AI244" s="118">
        <v>2</v>
      </c>
      <c r="AJ244" s="118" t="s">
        <v>6415</v>
      </c>
      <c r="AK244" s="118" t="s">
        <v>393</v>
      </c>
      <c r="AL244" s="118" t="s">
        <v>393</v>
      </c>
      <c r="AM244" s="118" t="s">
        <v>393</v>
      </c>
      <c r="AN244" s="402" t="s">
        <v>5975</v>
      </c>
      <c r="AO244" s="402">
        <v>45388</v>
      </c>
      <c r="AP244" s="118">
        <v>4</v>
      </c>
      <c r="AQ244" s="118">
        <v>20</v>
      </c>
      <c r="AR244" s="118" t="s">
        <v>6449</v>
      </c>
      <c r="AS244" s="118" t="s">
        <v>392</v>
      </c>
      <c r="AT244" s="118" t="s">
        <v>500</v>
      </c>
      <c r="AU244" s="118" t="s">
        <v>6324</v>
      </c>
      <c r="AV244" s="118" t="s">
        <v>508</v>
      </c>
      <c r="AW244" s="118" t="s">
        <v>393</v>
      </c>
      <c r="AX244" s="118" t="s">
        <v>740</v>
      </c>
      <c r="AY244" s="118" t="s">
        <v>393</v>
      </c>
      <c r="AZ244" s="118" t="s">
        <v>393</v>
      </c>
      <c r="BA244" s="118" t="s">
        <v>393</v>
      </c>
      <c r="BB244" s="118" t="s">
        <v>393</v>
      </c>
      <c r="BC244" s="118" t="s">
        <v>393</v>
      </c>
      <c r="BD244" s="118" t="s">
        <v>393</v>
      </c>
      <c r="BE244" s="118" t="s">
        <v>740</v>
      </c>
      <c r="BF244" s="118" t="s">
        <v>393</v>
      </c>
      <c r="BG244" s="118" t="s">
        <v>393</v>
      </c>
      <c r="BH244" s="118" t="s">
        <v>394</v>
      </c>
      <c r="BI244" s="118" t="s">
        <v>394</v>
      </c>
      <c r="BJ244" s="118" t="s">
        <v>393</v>
      </c>
      <c r="BK244" s="118" t="s">
        <v>6988</v>
      </c>
      <c r="BL244" s="118" t="s">
        <v>6415</v>
      </c>
      <c r="BM244" s="118" t="s">
        <v>6992</v>
      </c>
      <c r="BN244" s="118" t="s">
        <v>6991</v>
      </c>
      <c r="BO244" s="118" t="s">
        <v>6415</v>
      </c>
      <c r="BP244" s="118" t="s">
        <v>6415</v>
      </c>
      <c r="BQ244" s="118" t="s">
        <v>6415</v>
      </c>
      <c r="BR244" s="118" t="s">
        <v>6415</v>
      </c>
      <c r="BS244" s="118" t="s">
        <v>6415</v>
      </c>
      <c r="BT244" s="118" t="s">
        <v>6990</v>
      </c>
      <c r="BU244" s="118" t="s">
        <v>6991</v>
      </c>
      <c r="BV244" s="118" t="s">
        <v>6415</v>
      </c>
      <c r="BW244" s="118" t="s">
        <v>6415</v>
      </c>
      <c r="BX244" s="118" t="s">
        <v>6415</v>
      </c>
      <c r="BY244" s="118" t="s">
        <v>6415</v>
      </c>
      <c r="BZ244" s="118" t="s">
        <v>6415</v>
      </c>
      <c r="CA244" s="118" t="s">
        <v>6415</v>
      </c>
      <c r="CB244" s="118" t="s">
        <v>221</v>
      </c>
      <c r="CC244" s="118" t="s">
        <v>740</v>
      </c>
      <c r="CD244" s="118">
        <v>2</v>
      </c>
      <c r="CE244" s="118" t="s">
        <v>401</v>
      </c>
      <c r="CF244" s="118" t="s">
        <v>401</v>
      </c>
      <c r="CG244" s="118" t="s">
        <v>924</v>
      </c>
      <c r="CH244" s="118" t="s">
        <v>6300</v>
      </c>
      <c r="CI244" s="118" t="s">
        <v>6305</v>
      </c>
      <c r="CJ244" s="118" t="s">
        <v>398</v>
      </c>
      <c r="CK244" s="118">
        <v>19</v>
      </c>
      <c r="CL244" s="118">
        <v>35</v>
      </c>
      <c r="CM244" s="118" t="s">
        <v>399</v>
      </c>
      <c r="CN244" s="118" t="s">
        <v>6512</v>
      </c>
      <c r="CO244" s="118" t="s">
        <v>1096</v>
      </c>
      <c r="CP244" s="118" t="s">
        <v>400</v>
      </c>
      <c r="CQ244" s="118" t="s">
        <v>6415</v>
      </c>
      <c r="CR244" s="118" t="s">
        <v>6415</v>
      </c>
      <c r="CS244" s="118" t="s">
        <v>6415</v>
      </c>
      <c r="CT244" s="118" t="s">
        <v>6415</v>
      </c>
      <c r="CU244" s="118" t="s">
        <v>6415</v>
      </c>
      <c r="CV244" s="118" t="s">
        <v>6415</v>
      </c>
      <c r="CW244" s="118">
        <v>59</v>
      </c>
      <c r="CX244" s="118" t="s">
        <v>1068</v>
      </c>
      <c r="CY244" s="118" t="s">
        <v>6341</v>
      </c>
      <c r="CZ244" s="118">
        <v>1</v>
      </c>
      <c r="DA244" s="118" t="s">
        <v>401</v>
      </c>
      <c r="DB244" s="118" t="s">
        <v>401</v>
      </c>
      <c r="DC244" s="118" t="s">
        <v>6415</v>
      </c>
      <c r="DD244" s="118" t="s">
        <v>6300</v>
      </c>
      <c r="DE244" s="118" t="s">
        <v>6305</v>
      </c>
      <c r="DF244" s="118" t="s">
        <v>398</v>
      </c>
      <c r="DG244" s="118">
        <v>0</v>
      </c>
      <c r="DH244" s="118">
        <v>35</v>
      </c>
      <c r="DI244" s="118" t="s">
        <v>6355</v>
      </c>
      <c r="DJ244" s="118" t="s">
        <v>398</v>
      </c>
      <c r="DK244" s="118" t="s">
        <v>400</v>
      </c>
      <c r="DL244" s="118" t="s">
        <v>6415</v>
      </c>
      <c r="DM244" s="118" t="s">
        <v>6415</v>
      </c>
      <c r="DN244" s="118" t="s">
        <v>6415</v>
      </c>
      <c r="DO244" s="118" t="s">
        <v>6415</v>
      </c>
      <c r="DP244" s="118" t="s">
        <v>6415</v>
      </c>
      <c r="DQ244" s="118" t="s">
        <v>6415</v>
      </c>
      <c r="DR244" s="118">
        <v>72</v>
      </c>
      <c r="DS244" s="118" t="s">
        <v>1068</v>
      </c>
      <c r="DT244" s="118" t="s">
        <v>6341</v>
      </c>
      <c r="DU244" s="118" t="s">
        <v>6415</v>
      </c>
      <c r="DV244" s="118" t="s">
        <v>6415</v>
      </c>
      <c r="DW244" s="118" t="s">
        <v>6415</v>
      </c>
      <c r="DX244" s="118" t="s">
        <v>6415</v>
      </c>
      <c r="DY244" s="118" t="s">
        <v>6415</v>
      </c>
      <c r="DZ244" s="118" t="s">
        <v>6415</v>
      </c>
      <c r="EA244" s="118" t="s">
        <v>6415</v>
      </c>
      <c r="EB244" s="118" t="s">
        <v>6415</v>
      </c>
      <c r="EC244" s="118" t="s">
        <v>6415</v>
      </c>
      <c r="ED244" s="118" t="s">
        <v>6415</v>
      </c>
      <c r="EE244" s="118" t="s">
        <v>6415</v>
      </c>
      <c r="EF244" s="118" t="s">
        <v>6415</v>
      </c>
      <c r="EG244" s="118" t="s">
        <v>6986</v>
      </c>
      <c r="EH244" s="118" t="s">
        <v>7168</v>
      </c>
      <c r="EI244" s="118" t="s">
        <v>6415</v>
      </c>
      <c r="EJ244" s="118" t="s">
        <v>6415</v>
      </c>
      <c r="EK244" s="118" t="s">
        <v>6415</v>
      </c>
      <c r="EL244" s="118" t="s">
        <v>7467</v>
      </c>
      <c r="EM244" s="118" t="s">
        <v>7361</v>
      </c>
      <c r="EN244" s="118" t="s">
        <v>6415</v>
      </c>
      <c r="EO244" s="6" t="str">
        <f t="shared" si="22"/>
        <v>Pathweb</v>
      </c>
      <c r="EP244" s="6" t="str">
        <f t="shared" si="23"/>
        <v>Google Maps</v>
      </c>
      <c r="EQ244" s="6" t="str">
        <f t="shared" si="24"/>
        <v>Mashed Map</v>
      </c>
      <c r="ER244" s="118" t="s">
        <v>6726</v>
      </c>
      <c r="ES244" s="118" t="s">
        <v>71</v>
      </c>
      <c r="ET244" s="4">
        <v>0</v>
      </c>
      <c r="EU244" s="4"/>
      <c r="EV244" s="4"/>
    </row>
    <row r="245" spans="1:152" x14ac:dyDescent="0.15">
      <c r="A245" s="581" t="str">
        <f t="shared" si="21"/>
        <v>Crash Report</v>
      </c>
      <c r="B245" s="14">
        <v>20243068288</v>
      </c>
      <c r="C245" s="118">
        <v>2024</v>
      </c>
      <c r="D245" s="14">
        <v>24042227151905</v>
      </c>
      <c r="F245" s="118" t="s">
        <v>6441</v>
      </c>
      <c r="G245" s="118" t="s">
        <v>402</v>
      </c>
      <c r="H245" s="118">
        <v>2</v>
      </c>
      <c r="I245" s="118" t="s">
        <v>6055</v>
      </c>
      <c r="J245" s="118" t="s">
        <v>423</v>
      </c>
      <c r="K245" s="118" t="s">
        <v>6985</v>
      </c>
      <c r="L245" s="118">
        <v>0.14899999999999999</v>
      </c>
      <c r="M245" s="118">
        <v>0.14899999999999999</v>
      </c>
      <c r="N245" s="118" t="s">
        <v>7465</v>
      </c>
      <c r="O245" s="118" t="s">
        <v>7466</v>
      </c>
      <c r="P245" s="118">
        <v>41.648522</v>
      </c>
      <c r="Q245" s="118">
        <v>-83.523471999999998</v>
      </c>
      <c r="R245" s="118">
        <v>77000</v>
      </c>
      <c r="S245" s="118" t="s">
        <v>6988</v>
      </c>
      <c r="T245" s="118">
        <v>1</v>
      </c>
      <c r="U245" s="118">
        <v>0</v>
      </c>
      <c r="V245" s="118">
        <v>0</v>
      </c>
      <c r="W245" s="118">
        <v>0</v>
      </c>
      <c r="X245" s="118">
        <v>1</v>
      </c>
      <c r="Y245" s="118">
        <v>2</v>
      </c>
      <c r="Z245" s="118">
        <v>0</v>
      </c>
      <c r="AA245" s="118">
        <v>2</v>
      </c>
      <c r="AB245" s="118" t="s">
        <v>1067</v>
      </c>
      <c r="AC245" s="118" t="s">
        <v>6989</v>
      </c>
      <c r="AD245" s="118" t="s">
        <v>1034</v>
      </c>
      <c r="AE245" s="118" t="s">
        <v>943</v>
      </c>
      <c r="AF245" s="118" t="s">
        <v>1042</v>
      </c>
      <c r="AG245" s="118" t="s">
        <v>6415</v>
      </c>
      <c r="AH245" s="118" t="s">
        <v>393</v>
      </c>
      <c r="AI245" s="118">
        <v>4</v>
      </c>
      <c r="AJ245" s="118" t="s">
        <v>6415</v>
      </c>
      <c r="AK245" s="118" t="s">
        <v>393</v>
      </c>
      <c r="AL245" s="118" t="s">
        <v>393</v>
      </c>
      <c r="AM245" s="118" t="s">
        <v>393</v>
      </c>
      <c r="AN245" s="402" t="s">
        <v>5975</v>
      </c>
      <c r="AO245" s="402">
        <v>45404</v>
      </c>
      <c r="AP245" s="118">
        <v>4</v>
      </c>
      <c r="AQ245" s="118">
        <v>19</v>
      </c>
      <c r="AR245" s="118" t="s">
        <v>6444</v>
      </c>
      <c r="AS245" s="118" t="s">
        <v>392</v>
      </c>
      <c r="AT245" s="118" t="s">
        <v>500</v>
      </c>
      <c r="AU245" s="118" t="s">
        <v>404</v>
      </c>
      <c r="AV245" s="118" t="s">
        <v>508</v>
      </c>
      <c r="AW245" s="118" t="s">
        <v>393</v>
      </c>
      <c r="AX245" s="118" t="s">
        <v>740</v>
      </c>
      <c r="AY245" s="118" t="s">
        <v>393</v>
      </c>
      <c r="AZ245" s="118" t="s">
        <v>393</v>
      </c>
      <c r="BA245" s="118" t="s">
        <v>393</v>
      </c>
      <c r="BB245" s="118" t="s">
        <v>393</v>
      </c>
      <c r="BC245" s="118" t="s">
        <v>393</v>
      </c>
      <c r="BD245" s="118" t="s">
        <v>393</v>
      </c>
      <c r="BE245" s="118" t="s">
        <v>393</v>
      </c>
      <c r="BF245" s="118" t="s">
        <v>740</v>
      </c>
      <c r="BG245" s="118" t="s">
        <v>393</v>
      </c>
      <c r="BH245" s="118" t="s">
        <v>394</v>
      </c>
      <c r="BI245" s="118" t="s">
        <v>394</v>
      </c>
      <c r="BJ245" s="118" t="s">
        <v>393</v>
      </c>
      <c r="BK245" s="118" t="s">
        <v>6988</v>
      </c>
      <c r="BL245" s="118" t="s">
        <v>6415</v>
      </c>
      <c r="BM245" s="118" t="s">
        <v>6990</v>
      </c>
      <c r="BN245" s="118" t="s">
        <v>6991</v>
      </c>
      <c r="BO245" s="118" t="s">
        <v>6415</v>
      </c>
      <c r="BP245" s="118" t="s">
        <v>6415</v>
      </c>
      <c r="BQ245" s="118" t="s">
        <v>6415</v>
      </c>
      <c r="BR245" s="118" t="s">
        <v>6415</v>
      </c>
      <c r="BS245" s="118" t="s">
        <v>6415</v>
      </c>
      <c r="BT245" s="118" t="s">
        <v>6992</v>
      </c>
      <c r="BU245" s="118" t="s">
        <v>6991</v>
      </c>
      <c r="BV245" s="118" t="s">
        <v>6415</v>
      </c>
      <c r="BW245" s="118" t="s">
        <v>6415</v>
      </c>
      <c r="BX245" s="118" t="s">
        <v>6415</v>
      </c>
      <c r="BY245" s="118" t="s">
        <v>6415</v>
      </c>
      <c r="BZ245" s="118" t="s">
        <v>6415</v>
      </c>
      <c r="CA245" s="118" t="s">
        <v>6415</v>
      </c>
      <c r="CB245" s="118" t="s">
        <v>221</v>
      </c>
      <c r="CC245" s="118" t="s">
        <v>740</v>
      </c>
      <c r="CD245" s="118">
        <v>1</v>
      </c>
      <c r="CE245" s="118" t="s">
        <v>410</v>
      </c>
      <c r="CF245" s="118" t="s">
        <v>410</v>
      </c>
      <c r="CG245" s="118" t="s">
        <v>927</v>
      </c>
      <c r="CH245" s="118" t="s">
        <v>6300</v>
      </c>
      <c r="CI245" s="118" t="s">
        <v>6303</v>
      </c>
      <c r="CJ245" s="118" t="s">
        <v>398</v>
      </c>
      <c r="CK245" s="14">
        <v>25</v>
      </c>
      <c r="CL245" s="118">
        <v>35</v>
      </c>
      <c r="CM245" s="118" t="s">
        <v>486</v>
      </c>
      <c r="CN245" s="118" t="s">
        <v>6329</v>
      </c>
      <c r="CO245" s="118" t="s">
        <v>1096</v>
      </c>
      <c r="CP245" s="118" t="s">
        <v>400</v>
      </c>
      <c r="CQ245" s="118" t="s">
        <v>6415</v>
      </c>
      <c r="CR245" s="118" t="s">
        <v>6415</v>
      </c>
      <c r="CS245" s="118" t="s">
        <v>6415</v>
      </c>
      <c r="CT245" s="118" t="s">
        <v>6415</v>
      </c>
      <c r="CU245" s="118" t="s">
        <v>6415</v>
      </c>
      <c r="CV245" s="118" t="s">
        <v>6415</v>
      </c>
      <c r="CW245" s="14">
        <v>17</v>
      </c>
      <c r="CX245" s="118" t="s">
        <v>1068</v>
      </c>
      <c r="CY245" s="118" t="s">
        <v>6341</v>
      </c>
      <c r="CZ245" s="118">
        <v>2</v>
      </c>
      <c r="DA245" s="118" t="s">
        <v>410</v>
      </c>
      <c r="DB245" s="118" t="s">
        <v>411</v>
      </c>
      <c r="DC245" s="118" t="s">
        <v>6415</v>
      </c>
      <c r="DD245" s="118" t="s">
        <v>6300</v>
      </c>
      <c r="DE245" s="118" t="s">
        <v>6304</v>
      </c>
      <c r="DF245" s="118" t="s">
        <v>398</v>
      </c>
      <c r="DG245" s="118">
        <v>25</v>
      </c>
      <c r="DH245" s="118">
        <v>35</v>
      </c>
      <c r="DI245" s="118" t="s">
        <v>399</v>
      </c>
      <c r="DJ245" s="118" t="s">
        <v>398</v>
      </c>
      <c r="DK245" s="118" t="s">
        <v>400</v>
      </c>
      <c r="DL245" s="118" t="s">
        <v>6415</v>
      </c>
      <c r="DM245" s="118" t="s">
        <v>6415</v>
      </c>
      <c r="DN245" s="118" t="s">
        <v>6415</v>
      </c>
      <c r="DO245" s="118" t="s">
        <v>6415</v>
      </c>
      <c r="DP245" s="118" t="s">
        <v>6415</v>
      </c>
      <c r="DQ245" s="118" t="s">
        <v>6415</v>
      </c>
      <c r="DR245" s="118">
        <v>45</v>
      </c>
      <c r="DS245" s="118" t="s">
        <v>1066</v>
      </c>
      <c r="DT245" s="118" t="s">
        <v>6341</v>
      </c>
      <c r="DU245" s="118" t="s">
        <v>6415</v>
      </c>
      <c r="DV245" s="118" t="s">
        <v>6415</v>
      </c>
      <c r="DW245" s="118" t="s">
        <v>6415</v>
      </c>
      <c r="DX245" s="118" t="s">
        <v>6415</v>
      </c>
      <c r="DY245" s="118" t="s">
        <v>6415</v>
      </c>
      <c r="DZ245" s="118" t="s">
        <v>6415</v>
      </c>
      <c r="EA245" s="118" t="s">
        <v>6415</v>
      </c>
      <c r="EB245" s="118" t="s">
        <v>6415</v>
      </c>
      <c r="EC245" s="118" t="s">
        <v>6415</v>
      </c>
      <c r="ED245" s="118" t="s">
        <v>6415</v>
      </c>
      <c r="EE245" s="118" t="s">
        <v>6415</v>
      </c>
      <c r="EF245" s="118" t="s">
        <v>6415</v>
      </c>
      <c r="EG245" s="118" t="s">
        <v>6986</v>
      </c>
      <c r="EH245" s="118" t="s">
        <v>6987</v>
      </c>
      <c r="EI245" s="118" t="s">
        <v>6415</v>
      </c>
      <c r="EJ245" s="118" t="s">
        <v>6415</v>
      </c>
      <c r="EK245" s="118" t="s">
        <v>6415</v>
      </c>
      <c r="EL245" s="118" t="s">
        <v>7467</v>
      </c>
      <c r="EM245" s="118" t="s">
        <v>7362</v>
      </c>
      <c r="EN245" s="118" t="s">
        <v>6415</v>
      </c>
      <c r="EO245" s="6" t="str">
        <f t="shared" si="22"/>
        <v>Pathweb</v>
      </c>
      <c r="EP245" s="6" t="str">
        <f t="shared" si="23"/>
        <v>Google Maps</v>
      </c>
      <c r="EQ245" s="6" t="str">
        <f t="shared" si="24"/>
        <v>Mashed Map</v>
      </c>
      <c r="ER245" s="118" t="s">
        <v>6727</v>
      </c>
      <c r="ES245" s="118" t="s">
        <v>6728</v>
      </c>
      <c r="ET245" s="4">
        <v>0</v>
      </c>
      <c r="EU245" s="4"/>
      <c r="EV245" s="4"/>
    </row>
    <row r="246" spans="1:152" x14ac:dyDescent="0.15">
      <c r="A246" s="581" t="str">
        <f t="shared" si="21"/>
        <v>Crash Report</v>
      </c>
      <c r="B246" s="14">
        <v>20243068910</v>
      </c>
      <c r="C246" s="118">
        <v>2024</v>
      </c>
      <c r="D246" s="14">
        <v>24042329430900</v>
      </c>
      <c r="F246" s="118" t="s">
        <v>6442</v>
      </c>
      <c r="G246" s="118" t="s">
        <v>211</v>
      </c>
      <c r="H246" s="118">
        <v>2</v>
      </c>
      <c r="I246" s="118" t="s">
        <v>6055</v>
      </c>
      <c r="J246" s="118" t="s">
        <v>423</v>
      </c>
      <c r="K246" s="118" t="s">
        <v>6985</v>
      </c>
      <c r="L246" s="118">
        <v>0.14899999999999999</v>
      </c>
      <c r="M246" s="118">
        <v>0.14899999999999999</v>
      </c>
      <c r="N246" s="118" t="s">
        <v>7465</v>
      </c>
      <c r="O246" s="118" t="s">
        <v>7466</v>
      </c>
      <c r="P246" s="118">
        <v>41.648522</v>
      </c>
      <c r="Q246" s="118">
        <v>-83.523471999999998</v>
      </c>
      <c r="R246" s="118">
        <v>77000</v>
      </c>
      <c r="S246" s="118" t="s">
        <v>6988</v>
      </c>
      <c r="T246" s="118">
        <v>1</v>
      </c>
      <c r="U246" s="118">
        <v>0</v>
      </c>
      <c r="V246" s="118">
        <v>0</v>
      </c>
      <c r="W246" s="118">
        <v>0</v>
      </c>
      <c r="X246" s="118">
        <v>0</v>
      </c>
      <c r="Y246" s="118">
        <v>2</v>
      </c>
      <c r="Z246" s="118">
        <v>0</v>
      </c>
      <c r="AA246" s="118">
        <v>2</v>
      </c>
      <c r="AB246" s="118" t="s">
        <v>1067</v>
      </c>
      <c r="AC246" s="118" t="s">
        <v>6989</v>
      </c>
      <c r="AD246" s="118" t="s">
        <v>1034</v>
      </c>
      <c r="AE246" s="118" t="s">
        <v>943</v>
      </c>
      <c r="AF246" s="118" t="s">
        <v>1042</v>
      </c>
      <c r="AG246" s="118" t="s">
        <v>6415</v>
      </c>
      <c r="AH246" s="118" t="s">
        <v>393</v>
      </c>
      <c r="AI246" s="118">
        <v>4</v>
      </c>
      <c r="AJ246" s="118" t="s">
        <v>6415</v>
      </c>
      <c r="AK246" s="118" t="s">
        <v>393</v>
      </c>
      <c r="AL246" s="118" t="s">
        <v>393</v>
      </c>
      <c r="AM246" s="118" t="s">
        <v>393</v>
      </c>
      <c r="AN246" s="402" t="s">
        <v>5975</v>
      </c>
      <c r="AO246" s="402">
        <v>45405</v>
      </c>
      <c r="AP246" s="118">
        <v>4</v>
      </c>
      <c r="AQ246" s="118">
        <v>9</v>
      </c>
      <c r="AR246" s="118" t="s">
        <v>6445</v>
      </c>
      <c r="AS246" s="118" t="s">
        <v>403</v>
      </c>
      <c r="AT246" s="118" t="s">
        <v>500</v>
      </c>
      <c r="AU246" s="118" t="s">
        <v>404</v>
      </c>
      <c r="AV246" s="118" t="s">
        <v>508</v>
      </c>
      <c r="AW246" s="118" t="s">
        <v>393</v>
      </c>
      <c r="AX246" s="118" t="s">
        <v>740</v>
      </c>
      <c r="AY246" s="118" t="s">
        <v>393</v>
      </c>
      <c r="AZ246" s="118" t="s">
        <v>393</v>
      </c>
      <c r="BA246" s="118" t="s">
        <v>393</v>
      </c>
      <c r="BB246" s="118" t="s">
        <v>393</v>
      </c>
      <c r="BC246" s="118" t="s">
        <v>393</v>
      </c>
      <c r="BD246" s="118" t="s">
        <v>740</v>
      </c>
      <c r="BE246" s="118" t="s">
        <v>740</v>
      </c>
      <c r="BF246" s="118" t="s">
        <v>393</v>
      </c>
      <c r="BG246" s="118" t="s">
        <v>393</v>
      </c>
      <c r="BH246" s="118" t="s">
        <v>394</v>
      </c>
      <c r="BI246" s="118" t="s">
        <v>394</v>
      </c>
      <c r="BJ246" s="118" t="s">
        <v>393</v>
      </c>
      <c r="BK246" s="118" t="s">
        <v>6988</v>
      </c>
      <c r="BL246" s="118" t="s">
        <v>6415</v>
      </c>
      <c r="BM246" s="118" t="s">
        <v>6990</v>
      </c>
      <c r="BN246" s="118" t="s">
        <v>6991</v>
      </c>
      <c r="BO246" s="118" t="s">
        <v>6415</v>
      </c>
      <c r="BP246" s="118" t="s">
        <v>6415</v>
      </c>
      <c r="BQ246" s="118" t="s">
        <v>6415</v>
      </c>
      <c r="BR246" s="118" t="s">
        <v>6415</v>
      </c>
      <c r="BS246" s="118" t="s">
        <v>6415</v>
      </c>
      <c r="BT246" s="118" t="s">
        <v>6992</v>
      </c>
      <c r="BU246" s="118" t="s">
        <v>6991</v>
      </c>
      <c r="BV246" s="118" t="s">
        <v>6415</v>
      </c>
      <c r="BW246" s="118" t="s">
        <v>6415</v>
      </c>
      <c r="BX246" s="118" t="s">
        <v>6415</v>
      </c>
      <c r="BY246" s="118" t="s">
        <v>6415</v>
      </c>
      <c r="BZ246" s="118" t="s">
        <v>6415</v>
      </c>
      <c r="CA246" s="118" t="s">
        <v>6415</v>
      </c>
      <c r="CB246" s="118" t="s">
        <v>221</v>
      </c>
      <c r="CC246" s="118" t="s">
        <v>740</v>
      </c>
      <c r="CD246" s="118">
        <v>2</v>
      </c>
      <c r="CE246" s="118" t="s">
        <v>411</v>
      </c>
      <c r="CF246" s="118" t="s">
        <v>410</v>
      </c>
      <c r="CG246" s="118" t="s">
        <v>924</v>
      </c>
      <c r="CH246" s="118" t="s">
        <v>6300</v>
      </c>
      <c r="CI246" s="118" t="s">
        <v>6303</v>
      </c>
      <c r="CJ246" s="118" t="s">
        <v>398</v>
      </c>
      <c r="CK246" s="14">
        <v>0</v>
      </c>
      <c r="CL246" s="118">
        <v>0</v>
      </c>
      <c r="CM246" s="118" t="s">
        <v>399</v>
      </c>
      <c r="CN246" s="118" t="s">
        <v>425</v>
      </c>
      <c r="CO246" s="118" t="s">
        <v>1096</v>
      </c>
      <c r="CP246" s="118" t="s">
        <v>400</v>
      </c>
      <c r="CQ246" s="118" t="s">
        <v>432</v>
      </c>
      <c r="CR246" s="118" t="s">
        <v>6415</v>
      </c>
      <c r="CS246" s="118" t="s">
        <v>6415</v>
      </c>
      <c r="CT246" s="118" t="s">
        <v>6415</v>
      </c>
      <c r="CU246" s="118" t="s">
        <v>6415</v>
      </c>
      <c r="CV246" s="118" t="s">
        <v>6415</v>
      </c>
      <c r="CW246" s="14">
        <v>0</v>
      </c>
      <c r="CX246" s="118" t="s">
        <v>1068</v>
      </c>
      <c r="CY246" s="118" t="s">
        <v>6151</v>
      </c>
      <c r="CZ246" s="118">
        <v>1</v>
      </c>
      <c r="DA246" s="118" t="s">
        <v>406</v>
      </c>
      <c r="DB246" s="118" t="s">
        <v>405</v>
      </c>
      <c r="DC246" s="118" t="s">
        <v>6415</v>
      </c>
      <c r="DD246" s="118" t="s">
        <v>6300</v>
      </c>
      <c r="DE246" s="118" t="s">
        <v>6303</v>
      </c>
      <c r="DF246" s="118" t="s">
        <v>398</v>
      </c>
      <c r="DG246" s="118" t="s">
        <v>6415</v>
      </c>
      <c r="DH246" s="118" t="s">
        <v>6415</v>
      </c>
      <c r="DI246" s="118" t="s">
        <v>399</v>
      </c>
      <c r="DJ246" s="118" t="s">
        <v>398</v>
      </c>
      <c r="DK246" s="118" t="s">
        <v>400</v>
      </c>
      <c r="DL246" s="118" t="s">
        <v>6415</v>
      </c>
      <c r="DM246" s="118" t="s">
        <v>6415</v>
      </c>
      <c r="DN246" s="118" t="s">
        <v>6415</v>
      </c>
      <c r="DO246" s="118" t="s">
        <v>6415</v>
      </c>
      <c r="DP246" s="118" t="s">
        <v>6415</v>
      </c>
      <c r="DQ246" s="118" t="s">
        <v>6415</v>
      </c>
      <c r="DR246" s="118">
        <v>65</v>
      </c>
      <c r="DS246" s="118" t="s">
        <v>1068</v>
      </c>
      <c r="DT246" s="118" t="s">
        <v>6341</v>
      </c>
      <c r="DU246" s="118" t="s">
        <v>6415</v>
      </c>
      <c r="DV246" s="118" t="s">
        <v>6415</v>
      </c>
      <c r="DW246" s="118" t="s">
        <v>6415</v>
      </c>
      <c r="DX246" s="118" t="s">
        <v>6415</v>
      </c>
      <c r="DY246" s="118" t="s">
        <v>6415</v>
      </c>
      <c r="DZ246" s="118" t="s">
        <v>6415</v>
      </c>
      <c r="EA246" s="118" t="s">
        <v>6415</v>
      </c>
      <c r="EB246" s="118" t="s">
        <v>6415</v>
      </c>
      <c r="EC246" s="118" t="s">
        <v>6415</v>
      </c>
      <c r="ED246" s="118" t="s">
        <v>6415</v>
      </c>
      <c r="EE246" s="118" t="s">
        <v>6415</v>
      </c>
      <c r="EF246" s="118" t="s">
        <v>6415</v>
      </c>
      <c r="EG246" s="118" t="s">
        <v>6986</v>
      </c>
      <c r="EH246" s="118" t="s">
        <v>6987</v>
      </c>
      <c r="EI246" s="118" t="s">
        <v>6415</v>
      </c>
      <c r="EJ246" s="118" t="s">
        <v>6415</v>
      </c>
      <c r="EK246" s="118" t="s">
        <v>6415</v>
      </c>
      <c r="EL246" s="118" t="s">
        <v>7467</v>
      </c>
      <c r="EM246" s="118" t="s">
        <v>7363</v>
      </c>
      <c r="EN246" s="118" t="s">
        <v>6415</v>
      </c>
      <c r="EO246" s="6" t="str">
        <f t="shared" si="22"/>
        <v>Pathweb</v>
      </c>
      <c r="EP246" s="6" t="str">
        <f t="shared" si="23"/>
        <v>Google Maps</v>
      </c>
      <c r="EQ246" s="6" t="str">
        <f t="shared" si="24"/>
        <v>Mashed Map</v>
      </c>
      <c r="ER246" s="118" t="s">
        <v>6727</v>
      </c>
      <c r="ES246" s="118" t="s">
        <v>71</v>
      </c>
      <c r="ET246" s="4">
        <v>0</v>
      </c>
      <c r="EU246" s="4"/>
      <c r="EV246" s="4"/>
    </row>
    <row r="247" spans="1:152" x14ac:dyDescent="0.15">
      <c r="A247" s="581" t="str">
        <f t="shared" si="21"/>
        <v>Crash Report</v>
      </c>
      <c r="B247" s="118">
        <v>20243073257</v>
      </c>
      <c r="C247" s="118">
        <v>2024</v>
      </c>
      <c r="D247" s="118">
        <v>24042728231712</v>
      </c>
      <c r="F247" s="118" t="s">
        <v>6442</v>
      </c>
      <c r="G247" s="118" t="s">
        <v>230</v>
      </c>
      <c r="H247" s="118">
        <v>2</v>
      </c>
      <c r="I247" s="118" t="s">
        <v>6055</v>
      </c>
      <c r="J247" s="118" t="s">
        <v>423</v>
      </c>
      <c r="K247" s="118" t="s">
        <v>6985</v>
      </c>
      <c r="L247" s="118">
        <v>0.14899999999999999</v>
      </c>
      <c r="M247" s="118">
        <v>0.14899999999999999</v>
      </c>
      <c r="N247" s="118" t="s">
        <v>7465</v>
      </c>
      <c r="O247" s="118" t="s">
        <v>7466</v>
      </c>
      <c r="P247" s="118">
        <v>41.648522</v>
      </c>
      <c r="Q247" s="118">
        <v>-83.523471999999998</v>
      </c>
      <c r="R247" s="118">
        <v>77000</v>
      </c>
      <c r="S247" s="118" t="s">
        <v>6988</v>
      </c>
      <c r="T247" s="118">
        <v>1</v>
      </c>
      <c r="U247" s="118">
        <v>0</v>
      </c>
      <c r="V247" s="118">
        <v>0</v>
      </c>
      <c r="W247" s="118">
        <v>0</v>
      </c>
      <c r="X247" s="118">
        <v>0</v>
      </c>
      <c r="Y247" s="118">
        <v>3</v>
      </c>
      <c r="Z247" s="118">
        <v>0</v>
      </c>
      <c r="AA247" s="118">
        <v>2</v>
      </c>
      <c r="AB247" s="118" t="s">
        <v>1067</v>
      </c>
      <c r="AC247" s="118" t="s">
        <v>6989</v>
      </c>
      <c r="AD247" s="118" t="s">
        <v>1034</v>
      </c>
      <c r="AE247" s="118" t="s">
        <v>943</v>
      </c>
      <c r="AF247" s="118" t="s">
        <v>1042</v>
      </c>
      <c r="AG247" s="118" t="s">
        <v>6415</v>
      </c>
      <c r="AH247" s="118" t="s">
        <v>393</v>
      </c>
      <c r="AI247" s="118">
        <v>4</v>
      </c>
      <c r="AJ247" s="118" t="s">
        <v>6415</v>
      </c>
      <c r="AK247" s="118" t="s">
        <v>393</v>
      </c>
      <c r="AL247" s="118" t="s">
        <v>393</v>
      </c>
      <c r="AM247" s="118" t="s">
        <v>393</v>
      </c>
      <c r="AN247" s="402" t="s">
        <v>5975</v>
      </c>
      <c r="AO247" s="402">
        <v>45409</v>
      </c>
      <c r="AP247" s="118">
        <v>4</v>
      </c>
      <c r="AQ247" s="118">
        <v>17</v>
      </c>
      <c r="AR247" s="118" t="s">
        <v>6449</v>
      </c>
      <c r="AS247" s="118" t="s">
        <v>392</v>
      </c>
      <c r="AT247" s="118" t="s">
        <v>500</v>
      </c>
      <c r="AU247" s="118" t="s">
        <v>404</v>
      </c>
      <c r="AV247" s="118" t="s">
        <v>508</v>
      </c>
      <c r="AW247" s="118" t="s">
        <v>393</v>
      </c>
      <c r="AX247" s="118" t="s">
        <v>740</v>
      </c>
      <c r="AY247" s="118" t="s">
        <v>393</v>
      </c>
      <c r="AZ247" s="118" t="s">
        <v>393</v>
      </c>
      <c r="BA247" s="118" t="s">
        <v>393</v>
      </c>
      <c r="BB247" s="118" t="s">
        <v>393</v>
      </c>
      <c r="BC247" s="118" t="s">
        <v>393</v>
      </c>
      <c r="BD247" s="118" t="s">
        <v>393</v>
      </c>
      <c r="BE247" s="118" t="s">
        <v>393</v>
      </c>
      <c r="BF247" s="118" t="s">
        <v>740</v>
      </c>
      <c r="BG247" s="118" t="s">
        <v>393</v>
      </c>
      <c r="BH247" s="118" t="s">
        <v>394</v>
      </c>
      <c r="BI247" s="118" t="s">
        <v>394</v>
      </c>
      <c r="BJ247" s="118" t="s">
        <v>393</v>
      </c>
      <c r="BK247" s="118" t="s">
        <v>6988</v>
      </c>
      <c r="BL247" s="118" t="s">
        <v>6415</v>
      </c>
      <c r="BM247" s="118" t="s">
        <v>6990</v>
      </c>
      <c r="BN247" s="118" t="s">
        <v>6991</v>
      </c>
      <c r="BO247" s="118" t="s">
        <v>6415</v>
      </c>
      <c r="BP247" s="118" t="s">
        <v>6415</v>
      </c>
      <c r="BQ247" s="118" t="s">
        <v>6415</v>
      </c>
      <c r="BR247" s="118" t="s">
        <v>6415</v>
      </c>
      <c r="BS247" s="118" t="s">
        <v>6415</v>
      </c>
      <c r="BT247" s="118" t="s">
        <v>6992</v>
      </c>
      <c r="BU247" s="118" t="s">
        <v>6991</v>
      </c>
      <c r="BV247" s="118" t="s">
        <v>6415</v>
      </c>
      <c r="BW247" s="118" t="s">
        <v>6415</v>
      </c>
      <c r="BX247" s="118" t="s">
        <v>6415</v>
      </c>
      <c r="BY247" s="118" t="s">
        <v>6415</v>
      </c>
      <c r="BZ247" s="118" t="s">
        <v>6415</v>
      </c>
      <c r="CA247" s="118" t="s">
        <v>6415</v>
      </c>
      <c r="CB247" s="118" t="s">
        <v>221</v>
      </c>
      <c r="CC247" s="118" t="s">
        <v>740</v>
      </c>
      <c r="CD247" s="118">
        <v>2</v>
      </c>
      <c r="CE247" s="118" t="s">
        <v>405</v>
      </c>
      <c r="CF247" s="118" t="s">
        <v>410</v>
      </c>
      <c r="CG247" s="118" t="s">
        <v>230</v>
      </c>
      <c r="CH247" s="118" t="s">
        <v>6301</v>
      </c>
      <c r="CI247" s="118" t="s">
        <v>6303</v>
      </c>
      <c r="CJ247" s="118" t="s">
        <v>398</v>
      </c>
      <c r="CK247" s="118">
        <v>35</v>
      </c>
      <c r="CL247" s="118">
        <v>35</v>
      </c>
      <c r="CM247" s="118" t="s">
        <v>436</v>
      </c>
      <c r="CN247" s="118" t="s">
        <v>6327</v>
      </c>
      <c r="CO247" s="118" t="s">
        <v>1096</v>
      </c>
      <c r="CP247" s="118" t="s">
        <v>400</v>
      </c>
      <c r="CQ247" s="118" t="s">
        <v>6415</v>
      </c>
      <c r="CR247" s="118" t="s">
        <v>6415</v>
      </c>
      <c r="CS247" s="118" t="s">
        <v>6415</v>
      </c>
      <c r="CT247" s="118" t="s">
        <v>6415</v>
      </c>
      <c r="CU247" s="118" t="s">
        <v>6415</v>
      </c>
      <c r="CV247" s="118" t="s">
        <v>6415</v>
      </c>
      <c r="CW247" s="118">
        <v>16</v>
      </c>
      <c r="CX247" s="118" t="s">
        <v>1066</v>
      </c>
      <c r="CY247" s="118" t="s">
        <v>6341</v>
      </c>
      <c r="CZ247" s="118">
        <v>1</v>
      </c>
      <c r="DA247" s="118" t="s">
        <v>406</v>
      </c>
      <c r="DB247" s="118" t="s">
        <v>405</v>
      </c>
      <c r="DC247" s="118" t="s">
        <v>6415</v>
      </c>
      <c r="DD247" s="118" t="s">
        <v>6301</v>
      </c>
      <c r="DE247" s="118" t="s">
        <v>417</v>
      </c>
      <c r="DF247" s="118" t="s">
        <v>398</v>
      </c>
      <c r="DG247" s="118">
        <v>35</v>
      </c>
      <c r="DH247" s="118">
        <v>35</v>
      </c>
      <c r="DI247" s="118" t="s">
        <v>399</v>
      </c>
      <c r="DJ247" s="118" t="s">
        <v>6338</v>
      </c>
      <c r="DK247" s="118" t="s">
        <v>400</v>
      </c>
      <c r="DL247" s="118" t="s">
        <v>6415</v>
      </c>
      <c r="DM247" s="118" t="s">
        <v>6415</v>
      </c>
      <c r="DN247" s="118" t="s">
        <v>6415</v>
      </c>
      <c r="DO247" s="118" t="s">
        <v>6415</v>
      </c>
      <c r="DP247" s="118" t="s">
        <v>6415</v>
      </c>
      <c r="DQ247" s="118" t="s">
        <v>6415</v>
      </c>
      <c r="DR247" s="118">
        <v>28</v>
      </c>
      <c r="DS247" s="118" t="s">
        <v>1068</v>
      </c>
      <c r="DT247" s="118" t="s">
        <v>6341</v>
      </c>
      <c r="DU247" s="118" t="s">
        <v>6415</v>
      </c>
      <c r="DV247" s="118" t="s">
        <v>6415</v>
      </c>
      <c r="DW247" s="118" t="s">
        <v>6415</v>
      </c>
      <c r="DX247" s="118" t="s">
        <v>6415</v>
      </c>
      <c r="DY247" s="118" t="s">
        <v>6415</v>
      </c>
      <c r="DZ247" s="118" t="s">
        <v>6415</v>
      </c>
      <c r="EA247" s="118" t="s">
        <v>6415</v>
      </c>
      <c r="EB247" s="118" t="s">
        <v>6415</v>
      </c>
      <c r="EC247" s="118" t="s">
        <v>6415</v>
      </c>
      <c r="ED247" s="118" t="s">
        <v>6415</v>
      </c>
      <c r="EE247" s="118" t="s">
        <v>6415</v>
      </c>
      <c r="EF247" s="118" t="s">
        <v>6415</v>
      </c>
      <c r="EG247" s="118" t="s">
        <v>6986</v>
      </c>
      <c r="EH247" s="118" t="s">
        <v>6987</v>
      </c>
      <c r="EI247" s="118" t="s">
        <v>6415</v>
      </c>
      <c r="EJ247" s="118" t="s">
        <v>6415</v>
      </c>
      <c r="EK247" s="118" t="s">
        <v>6415</v>
      </c>
      <c r="EL247" s="118" t="s">
        <v>7467</v>
      </c>
      <c r="EM247" s="118" t="s">
        <v>7364</v>
      </c>
      <c r="EN247" s="118" t="s">
        <v>6415</v>
      </c>
      <c r="EO247" s="6" t="str">
        <f t="shared" si="22"/>
        <v>Pathweb</v>
      </c>
      <c r="EP247" s="6" t="str">
        <f t="shared" si="23"/>
        <v>Google Maps</v>
      </c>
      <c r="EQ247" s="6" t="str">
        <f t="shared" si="24"/>
        <v>Mashed Map</v>
      </c>
      <c r="ER247" s="118" t="s">
        <v>6727</v>
      </c>
      <c r="ES247" s="118" t="s">
        <v>71</v>
      </c>
      <c r="ET247" s="4">
        <v>0</v>
      </c>
      <c r="EU247" s="4"/>
      <c r="EV247" s="4"/>
    </row>
    <row r="248" spans="1:152" x14ac:dyDescent="0.15">
      <c r="A248" s="581" t="str">
        <f t="shared" si="21"/>
        <v>Crash Report</v>
      </c>
      <c r="B248" s="118">
        <v>20243077355</v>
      </c>
      <c r="C248" s="118">
        <v>2024</v>
      </c>
      <c r="D248" s="118">
        <v>24050429371947</v>
      </c>
      <c r="F248" s="118" t="s">
        <v>6442</v>
      </c>
      <c r="G248" s="118" t="s">
        <v>211</v>
      </c>
      <c r="H248" s="118">
        <v>2</v>
      </c>
      <c r="I248" s="118" t="s">
        <v>6055</v>
      </c>
      <c r="J248" s="118" t="s">
        <v>391</v>
      </c>
      <c r="K248" s="118" t="s">
        <v>6985</v>
      </c>
      <c r="L248" s="118">
        <v>0.14899999999999999</v>
      </c>
      <c r="M248" s="118">
        <v>0.14899999999999999</v>
      </c>
      <c r="N248" s="118" t="s">
        <v>7465</v>
      </c>
      <c r="O248" s="118" t="s">
        <v>7466</v>
      </c>
      <c r="P248" s="118">
        <v>41.648522</v>
      </c>
      <c r="Q248" s="118">
        <v>-83.523471999999998</v>
      </c>
      <c r="R248" s="118">
        <v>77000</v>
      </c>
      <c r="S248" s="118" t="s">
        <v>6988</v>
      </c>
      <c r="T248" s="118">
        <v>1</v>
      </c>
      <c r="U248" s="118">
        <v>0</v>
      </c>
      <c r="V248" s="118">
        <v>0</v>
      </c>
      <c r="W248" s="118">
        <v>0</v>
      </c>
      <c r="X248" s="118">
        <v>0</v>
      </c>
      <c r="Y248" s="118">
        <v>4</v>
      </c>
      <c r="Z248" s="118">
        <v>0</v>
      </c>
      <c r="AA248" s="118">
        <v>2</v>
      </c>
      <c r="AB248" s="118" t="s">
        <v>1067</v>
      </c>
      <c r="AC248" s="118" t="s">
        <v>6989</v>
      </c>
      <c r="AD248" s="118" t="s">
        <v>1034</v>
      </c>
      <c r="AE248" s="118" t="s">
        <v>943</v>
      </c>
      <c r="AF248" s="118" t="s">
        <v>1042</v>
      </c>
      <c r="AG248" s="118" t="s">
        <v>6415</v>
      </c>
      <c r="AH248" s="118" t="s">
        <v>393</v>
      </c>
      <c r="AI248" s="118">
        <v>4</v>
      </c>
      <c r="AJ248" s="118" t="s">
        <v>6415</v>
      </c>
      <c r="AK248" s="118" t="s">
        <v>393</v>
      </c>
      <c r="AL248" s="118" t="s">
        <v>393</v>
      </c>
      <c r="AM248" s="118" t="s">
        <v>393</v>
      </c>
      <c r="AN248" s="402" t="s">
        <v>5975</v>
      </c>
      <c r="AO248" s="402">
        <v>45416</v>
      </c>
      <c r="AP248" s="118">
        <v>5</v>
      </c>
      <c r="AQ248" s="118">
        <v>19</v>
      </c>
      <c r="AR248" s="118" t="s">
        <v>6449</v>
      </c>
      <c r="AS248" s="118" t="s">
        <v>420</v>
      </c>
      <c r="AT248" s="118" t="s">
        <v>225</v>
      </c>
      <c r="AU248" s="118" t="s">
        <v>6324</v>
      </c>
      <c r="AV248" s="118" t="s">
        <v>508</v>
      </c>
      <c r="AW248" s="118" t="s">
        <v>393</v>
      </c>
      <c r="AX248" s="118" t="s">
        <v>393</v>
      </c>
      <c r="AY248" s="118" t="s">
        <v>393</v>
      </c>
      <c r="AZ248" s="118" t="s">
        <v>393</v>
      </c>
      <c r="BA248" s="118" t="s">
        <v>393</v>
      </c>
      <c r="BB248" s="118" t="s">
        <v>393</v>
      </c>
      <c r="BC248" s="118" t="s">
        <v>393</v>
      </c>
      <c r="BD248" s="118" t="s">
        <v>393</v>
      </c>
      <c r="BE248" s="118" t="s">
        <v>393</v>
      </c>
      <c r="BF248" s="118" t="s">
        <v>740</v>
      </c>
      <c r="BG248" s="118" t="s">
        <v>393</v>
      </c>
      <c r="BH248" s="118" t="s">
        <v>394</v>
      </c>
      <c r="BI248" s="118" t="s">
        <v>394</v>
      </c>
      <c r="BJ248" s="118" t="s">
        <v>393</v>
      </c>
      <c r="BK248" s="118" t="s">
        <v>6988</v>
      </c>
      <c r="BL248" s="118" t="s">
        <v>6415</v>
      </c>
      <c r="BM248" s="118" t="s">
        <v>6990</v>
      </c>
      <c r="BN248" s="118" t="s">
        <v>6991</v>
      </c>
      <c r="BO248" s="118" t="s">
        <v>6415</v>
      </c>
      <c r="BP248" s="118" t="s">
        <v>6415</v>
      </c>
      <c r="BQ248" s="118" t="s">
        <v>6415</v>
      </c>
      <c r="BR248" s="118" t="s">
        <v>6415</v>
      </c>
      <c r="BS248" s="118" t="s">
        <v>6415</v>
      </c>
      <c r="BT248" s="118" t="s">
        <v>6992</v>
      </c>
      <c r="BU248" s="118" t="s">
        <v>6991</v>
      </c>
      <c r="BV248" s="118" t="s">
        <v>6415</v>
      </c>
      <c r="BW248" s="118" t="s">
        <v>6415</v>
      </c>
      <c r="BX248" s="118" t="s">
        <v>6415</v>
      </c>
      <c r="BY248" s="118" t="s">
        <v>6415</v>
      </c>
      <c r="BZ248" s="118" t="s">
        <v>6415</v>
      </c>
      <c r="CA248" s="118" t="s">
        <v>6415</v>
      </c>
      <c r="CB248" s="118" t="s">
        <v>221</v>
      </c>
      <c r="CC248" s="118" t="s">
        <v>740</v>
      </c>
      <c r="CD248" s="118">
        <v>1</v>
      </c>
      <c r="CE248" s="118" t="s">
        <v>396</v>
      </c>
      <c r="CF248" s="118" t="s">
        <v>445</v>
      </c>
      <c r="CG248" s="118" t="s">
        <v>230</v>
      </c>
      <c r="CH248" s="118" t="s">
        <v>6302</v>
      </c>
      <c r="CI248" s="118" t="s">
        <v>6305</v>
      </c>
      <c r="CJ248" s="118" t="s">
        <v>398</v>
      </c>
      <c r="CK248" s="118">
        <v>0</v>
      </c>
      <c r="CL248" s="118">
        <v>0</v>
      </c>
      <c r="CM248" s="118" t="s">
        <v>436</v>
      </c>
      <c r="CN248" s="118" t="s">
        <v>6327</v>
      </c>
      <c r="CO248" s="118" t="s">
        <v>1096</v>
      </c>
      <c r="CP248" s="118" t="s">
        <v>400</v>
      </c>
      <c r="CQ248" s="118" t="s">
        <v>6415</v>
      </c>
      <c r="CR248" s="118" t="s">
        <v>6415</v>
      </c>
      <c r="CS248" s="118" t="s">
        <v>6415</v>
      </c>
      <c r="CT248" s="118" t="s">
        <v>6415</v>
      </c>
      <c r="CU248" s="118" t="s">
        <v>6415</v>
      </c>
      <c r="CV248" s="118" t="s">
        <v>6415</v>
      </c>
      <c r="CW248" s="118">
        <v>20</v>
      </c>
      <c r="CX248" s="118" t="s">
        <v>1068</v>
      </c>
      <c r="CY248" s="118" t="s">
        <v>6341</v>
      </c>
      <c r="CZ248" s="118">
        <v>2</v>
      </c>
      <c r="DA248" s="118" t="s">
        <v>445</v>
      </c>
      <c r="DB248" s="118" t="s">
        <v>446</v>
      </c>
      <c r="DC248" s="118" t="s">
        <v>6415</v>
      </c>
      <c r="DD248" s="118" t="s">
        <v>6302</v>
      </c>
      <c r="DE248" s="118" t="s">
        <v>6303</v>
      </c>
      <c r="DF248" s="118" t="s">
        <v>398</v>
      </c>
      <c r="DG248" s="118" t="s">
        <v>6415</v>
      </c>
      <c r="DH248" s="118" t="s">
        <v>6415</v>
      </c>
      <c r="DI248" s="118" t="s">
        <v>399</v>
      </c>
      <c r="DJ248" s="118" t="s">
        <v>398</v>
      </c>
      <c r="DK248" s="118" t="s">
        <v>400</v>
      </c>
      <c r="DL248" s="118" t="s">
        <v>6415</v>
      </c>
      <c r="DM248" s="118" t="s">
        <v>6415</v>
      </c>
      <c r="DN248" s="118" t="s">
        <v>6415</v>
      </c>
      <c r="DO248" s="118" t="s">
        <v>6415</v>
      </c>
      <c r="DP248" s="118" t="s">
        <v>6415</v>
      </c>
      <c r="DQ248" s="118" t="s">
        <v>6415</v>
      </c>
      <c r="DR248" s="118">
        <v>18</v>
      </c>
      <c r="DS248" s="118" t="s">
        <v>1066</v>
      </c>
      <c r="DT248" s="118" t="s">
        <v>6341</v>
      </c>
      <c r="DU248" s="118" t="s">
        <v>6415</v>
      </c>
      <c r="DV248" s="118" t="s">
        <v>6415</v>
      </c>
      <c r="DW248" s="118" t="s">
        <v>6415</v>
      </c>
      <c r="DX248" s="118" t="s">
        <v>6415</v>
      </c>
      <c r="DY248" s="118" t="s">
        <v>6415</v>
      </c>
      <c r="DZ248" s="118" t="s">
        <v>6415</v>
      </c>
      <c r="EA248" s="118" t="s">
        <v>6415</v>
      </c>
      <c r="EB248" s="118" t="s">
        <v>6415</v>
      </c>
      <c r="EC248" s="118" t="s">
        <v>6415</v>
      </c>
      <c r="ED248" s="118" t="s">
        <v>6415</v>
      </c>
      <c r="EE248" s="118" t="s">
        <v>6415</v>
      </c>
      <c r="EF248" s="118" t="s">
        <v>6415</v>
      </c>
      <c r="EG248" s="118" t="s">
        <v>6986</v>
      </c>
      <c r="EH248" s="118" t="s">
        <v>6987</v>
      </c>
      <c r="EI248" s="118" t="s">
        <v>6415</v>
      </c>
      <c r="EJ248" s="118" t="s">
        <v>6415</v>
      </c>
      <c r="EK248" s="118" t="s">
        <v>6415</v>
      </c>
      <c r="EL248" s="118" t="s">
        <v>7467</v>
      </c>
      <c r="EM248" s="118" t="s">
        <v>7365</v>
      </c>
      <c r="EN248" s="118" t="s">
        <v>6415</v>
      </c>
      <c r="EO248" s="6" t="str">
        <f t="shared" si="22"/>
        <v>Pathweb</v>
      </c>
      <c r="EP248" s="6" t="str">
        <f t="shared" si="23"/>
        <v>Google Maps</v>
      </c>
      <c r="EQ248" s="6" t="str">
        <f t="shared" si="24"/>
        <v>Mashed Map</v>
      </c>
      <c r="ER248" s="118" t="s">
        <v>6727</v>
      </c>
      <c r="ES248" s="118" t="s">
        <v>71</v>
      </c>
      <c r="ET248" s="4">
        <v>0</v>
      </c>
      <c r="EU248" s="4"/>
      <c r="EV248" s="4"/>
    </row>
    <row r="249" spans="1:152" x14ac:dyDescent="0.15">
      <c r="A249" s="581" t="str">
        <f t="shared" si="21"/>
        <v>Crash Report</v>
      </c>
      <c r="B249" s="14">
        <v>20243081302</v>
      </c>
      <c r="C249" s="118">
        <v>2024</v>
      </c>
      <c r="D249" s="14">
        <v>24051224051303</v>
      </c>
      <c r="F249" s="118" t="s">
        <v>6441</v>
      </c>
      <c r="G249" s="118" t="s">
        <v>438</v>
      </c>
      <c r="H249" s="118">
        <v>2</v>
      </c>
      <c r="I249" s="118" t="s">
        <v>6055</v>
      </c>
      <c r="J249" s="118" t="s">
        <v>423</v>
      </c>
      <c r="K249" s="118" t="s">
        <v>6985</v>
      </c>
      <c r="L249" s="118">
        <v>0.14899999999999999</v>
      </c>
      <c r="M249" s="118">
        <v>0.14899999999999999</v>
      </c>
      <c r="N249" s="118" t="s">
        <v>7465</v>
      </c>
      <c r="O249" s="118" t="s">
        <v>7466</v>
      </c>
      <c r="P249" s="118">
        <v>41.648522</v>
      </c>
      <c r="Q249" s="118">
        <v>-83.523471999999998</v>
      </c>
      <c r="R249" s="118">
        <v>77000</v>
      </c>
      <c r="S249" s="118" t="s">
        <v>6988</v>
      </c>
      <c r="T249" s="118">
        <v>1</v>
      </c>
      <c r="U249" s="118">
        <v>0</v>
      </c>
      <c r="V249" s="118">
        <v>0</v>
      </c>
      <c r="W249" s="118">
        <v>0</v>
      </c>
      <c r="X249" s="118">
        <v>1</v>
      </c>
      <c r="Y249" s="118">
        <v>3</v>
      </c>
      <c r="Z249" s="118">
        <v>0</v>
      </c>
      <c r="AA249" s="118">
        <v>2</v>
      </c>
      <c r="AB249" s="118" t="s">
        <v>1067</v>
      </c>
      <c r="AC249" s="118" t="s">
        <v>6989</v>
      </c>
      <c r="AD249" s="118" t="s">
        <v>1034</v>
      </c>
      <c r="AE249" s="118" t="s">
        <v>943</v>
      </c>
      <c r="AF249" s="118" t="s">
        <v>1042</v>
      </c>
      <c r="AG249" s="118" t="s">
        <v>6415</v>
      </c>
      <c r="AH249" s="118" t="s">
        <v>393</v>
      </c>
      <c r="AI249" s="118">
        <v>4</v>
      </c>
      <c r="AJ249" s="118" t="s">
        <v>6415</v>
      </c>
      <c r="AK249" s="118" t="s">
        <v>393</v>
      </c>
      <c r="AL249" s="118" t="s">
        <v>393</v>
      </c>
      <c r="AM249" s="118" t="s">
        <v>393</v>
      </c>
      <c r="AN249" s="402" t="s">
        <v>5975</v>
      </c>
      <c r="AO249" s="402">
        <v>45424</v>
      </c>
      <c r="AP249" s="118">
        <v>5</v>
      </c>
      <c r="AQ249" s="118">
        <v>13</v>
      </c>
      <c r="AR249" s="118" t="s">
        <v>6443</v>
      </c>
      <c r="AS249" s="118" t="s">
        <v>392</v>
      </c>
      <c r="AT249" s="118" t="s">
        <v>500</v>
      </c>
      <c r="AU249" s="118" t="s">
        <v>404</v>
      </c>
      <c r="AV249" s="118" t="s">
        <v>508</v>
      </c>
      <c r="AW249" s="118" t="s">
        <v>393</v>
      </c>
      <c r="AX249" s="118" t="s">
        <v>740</v>
      </c>
      <c r="AY249" s="118" t="s">
        <v>393</v>
      </c>
      <c r="AZ249" s="118" t="s">
        <v>393</v>
      </c>
      <c r="BA249" s="118" t="s">
        <v>393</v>
      </c>
      <c r="BB249" s="118" t="s">
        <v>393</v>
      </c>
      <c r="BC249" s="118" t="s">
        <v>393</v>
      </c>
      <c r="BD249" s="118" t="s">
        <v>393</v>
      </c>
      <c r="BE249" s="118" t="s">
        <v>393</v>
      </c>
      <c r="BF249" s="118" t="s">
        <v>740</v>
      </c>
      <c r="BG249" s="118" t="s">
        <v>393</v>
      </c>
      <c r="BH249" s="118" t="s">
        <v>394</v>
      </c>
      <c r="BI249" s="118" t="s">
        <v>394</v>
      </c>
      <c r="BJ249" s="118" t="s">
        <v>393</v>
      </c>
      <c r="BK249" s="118" t="s">
        <v>6988</v>
      </c>
      <c r="BL249" s="118" t="s">
        <v>6415</v>
      </c>
      <c r="BM249" s="118" t="s">
        <v>6990</v>
      </c>
      <c r="BN249" s="118" t="s">
        <v>6991</v>
      </c>
      <c r="BO249" s="118" t="s">
        <v>6415</v>
      </c>
      <c r="BP249" s="118" t="s">
        <v>6415</v>
      </c>
      <c r="BQ249" s="118" t="s">
        <v>6415</v>
      </c>
      <c r="BR249" s="118" t="s">
        <v>6415</v>
      </c>
      <c r="BS249" s="118" t="s">
        <v>6415</v>
      </c>
      <c r="BT249" s="118" t="s">
        <v>6992</v>
      </c>
      <c r="BU249" s="118" t="s">
        <v>6991</v>
      </c>
      <c r="BV249" s="118" t="s">
        <v>6415</v>
      </c>
      <c r="BW249" s="118" t="s">
        <v>6415</v>
      </c>
      <c r="BX249" s="118" t="s">
        <v>6415</v>
      </c>
      <c r="BY249" s="118" t="s">
        <v>6415</v>
      </c>
      <c r="BZ249" s="118" t="s">
        <v>6415</v>
      </c>
      <c r="CA249" s="118" t="s">
        <v>6415</v>
      </c>
      <c r="CB249" s="118" t="s">
        <v>221</v>
      </c>
      <c r="CC249" s="118" t="s">
        <v>740</v>
      </c>
      <c r="CD249" s="118">
        <v>1</v>
      </c>
      <c r="CE249" s="118" t="s">
        <v>405</v>
      </c>
      <c r="CF249" s="118" t="s">
        <v>410</v>
      </c>
      <c r="CG249" s="118" t="s">
        <v>230</v>
      </c>
      <c r="CH249" s="118" t="s">
        <v>6300</v>
      </c>
      <c r="CI249" s="118" t="s">
        <v>6303</v>
      </c>
      <c r="CJ249" s="118" t="s">
        <v>398</v>
      </c>
      <c r="CK249" s="14">
        <v>10</v>
      </c>
      <c r="CL249" s="118">
        <v>35</v>
      </c>
      <c r="CM249" s="118" t="s">
        <v>436</v>
      </c>
      <c r="CN249" s="118" t="s">
        <v>6327</v>
      </c>
      <c r="CO249" s="118" t="s">
        <v>1096</v>
      </c>
      <c r="CP249" s="118" t="s">
        <v>400</v>
      </c>
      <c r="CQ249" s="118" t="s">
        <v>6415</v>
      </c>
      <c r="CR249" s="118" t="s">
        <v>6415</v>
      </c>
      <c r="CS249" s="118" t="s">
        <v>6415</v>
      </c>
      <c r="CT249" s="118" t="s">
        <v>6415</v>
      </c>
      <c r="CU249" s="118" t="s">
        <v>6415</v>
      </c>
      <c r="CV249" s="118" t="s">
        <v>6415</v>
      </c>
      <c r="CW249" s="14">
        <v>23</v>
      </c>
      <c r="CX249" s="118" t="s">
        <v>1066</v>
      </c>
      <c r="CY249" s="118" t="s">
        <v>6341</v>
      </c>
      <c r="CZ249" s="118">
        <v>2</v>
      </c>
      <c r="DA249" s="118" t="s">
        <v>406</v>
      </c>
      <c r="DB249" s="118" t="s">
        <v>405</v>
      </c>
      <c r="DC249" s="118" t="s">
        <v>6415</v>
      </c>
      <c r="DD249" s="118" t="s">
        <v>6300</v>
      </c>
      <c r="DE249" s="118" t="s">
        <v>6303</v>
      </c>
      <c r="DF249" s="118" t="s">
        <v>398</v>
      </c>
      <c r="DG249" s="118" t="s">
        <v>6415</v>
      </c>
      <c r="DH249" s="118" t="s">
        <v>6415</v>
      </c>
      <c r="DI249" s="118" t="s">
        <v>399</v>
      </c>
      <c r="DJ249" s="118" t="s">
        <v>398</v>
      </c>
      <c r="DK249" s="118" t="s">
        <v>400</v>
      </c>
      <c r="DL249" s="118" t="s">
        <v>6415</v>
      </c>
      <c r="DM249" s="118" t="s">
        <v>6415</v>
      </c>
      <c r="DN249" s="118" t="s">
        <v>6415</v>
      </c>
      <c r="DO249" s="118" t="s">
        <v>6415</v>
      </c>
      <c r="DP249" s="118" t="s">
        <v>6415</v>
      </c>
      <c r="DQ249" s="118" t="s">
        <v>6415</v>
      </c>
      <c r="DR249" s="118">
        <v>25</v>
      </c>
      <c r="DS249" s="118" t="s">
        <v>1068</v>
      </c>
      <c r="DT249" s="118" t="s">
        <v>6341</v>
      </c>
      <c r="DU249" s="118" t="s">
        <v>6415</v>
      </c>
      <c r="DV249" s="118" t="s">
        <v>6415</v>
      </c>
      <c r="DW249" s="118" t="s">
        <v>6415</v>
      </c>
      <c r="DX249" s="118" t="s">
        <v>6415</v>
      </c>
      <c r="DY249" s="118" t="s">
        <v>6415</v>
      </c>
      <c r="DZ249" s="118" t="s">
        <v>6415</v>
      </c>
      <c r="EA249" s="118" t="s">
        <v>6415</v>
      </c>
      <c r="EB249" s="118" t="s">
        <v>6415</v>
      </c>
      <c r="EC249" s="118" t="s">
        <v>6415</v>
      </c>
      <c r="ED249" s="118" t="s">
        <v>6415</v>
      </c>
      <c r="EE249" s="118" t="s">
        <v>6415</v>
      </c>
      <c r="EF249" s="118" t="s">
        <v>6415</v>
      </c>
      <c r="EG249" s="118" t="s">
        <v>6986</v>
      </c>
      <c r="EH249" s="118" t="s">
        <v>6987</v>
      </c>
      <c r="EI249" s="118" t="s">
        <v>6415</v>
      </c>
      <c r="EJ249" s="118" t="s">
        <v>6415</v>
      </c>
      <c r="EK249" s="118" t="s">
        <v>6415</v>
      </c>
      <c r="EL249" s="118" t="s">
        <v>7467</v>
      </c>
      <c r="EM249" s="118" t="s">
        <v>7366</v>
      </c>
      <c r="EN249" s="118" t="s">
        <v>6415</v>
      </c>
      <c r="EO249" s="6" t="str">
        <f t="shared" si="22"/>
        <v>Pathweb</v>
      </c>
      <c r="EP249" s="6" t="str">
        <f t="shared" si="23"/>
        <v>Google Maps</v>
      </c>
      <c r="EQ249" s="6" t="str">
        <f t="shared" si="24"/>
        <v>Mashed Map</v>
      </c>
      <c r="ER249" s="118" t="s">
        <v>6727</v>
      </c>
      <c r="ES249" s="118" t="s">
        <v>6728</v>
      </c>
      <c r="ET249" s="4">
        <v>0</v>
      </c>
      <c r="EU249" s="4"/>
      <c r="EV249" s="4"/>
    </row>
    <row r="250" spans="1:152" x14ac:dyDescent="0.15">
      <c r="A250" s="581" t="str">
        <f t="shared" si="21"/>
        <v>Crash Report</v>
      </c>
      <c r="B250" s="14">
        <v>20243085255</v>
      </c>
      <c r="C250" s="118">
        <v>2024</v>
      </c>
      <c r="D250" s="14">
        <v>24051722001200</v>
      </c>
      <c r="F250" s="118" t="s">
        <v>6442</v>
      </c>
      <c r="G250" s="118" t="s">
        <v>211</v>
      </c>
      <c r="H250" s="118">
        <v>2</v>
      </c>
      <c r="I250" s="118" t="s">
        <v>6055</v>
      </c>
      <c r="J250" s="118" t="s">
        <v>391</v>
      </c>
      <c r="K250" s="118" t="s">
        <v>6985</v>
      </c>
      <c r="L250" s="118">
        <v>0.77</v>
      </c>
      <c r="M250" s="118">
        <v>0.77</v>
      </c>
      <c r="N250" s="118" t="s">
        <v>7465</v>
      </c>
      <c r="O250" s="118" t="s">
        <v>7493</v>
      </c>
      <c r="P250" s="118">
        <v>41.654187999999998</v>
      </c>
      <c r="Q250" s="118">
        <v>-83.514195999999998</v>
      </c>
      <c r="R250" s="118">
        <v>77000</v>
      </c>
      <c r="S250" s="118" t="s">
        <v>6988</v>
      </c>
      <c r="T250" s="118">
        <v>1</v>
      </c>
      <c r="U250" s="118">
        <v>0</v>
      </c>
      <c r="V250" s="118">
        <v>0</v>
      </c>
      <c r="W250" s="118">
        <v>0</v>
      </c>
      <c r="X250" s="118">
        <v>0</v>
      </c>
      <c r="Y250" s="118">
        <v>2</v>
      </c>
      <c r="Z250" s="118">
        <v>0</v>
      </c>
      <c r="AA250" s="118">
        <v>2</v>
      </c>
      <c r="AB250" s="118" t="s">
        <v>1067</v>
      </c>
      <c r="AC250" s="118" t="s">
        <v>6989</v>
      </c>
      <c r="AD250" s="118" t="s">
        <v>1034</v>
      </c>
      <c r="AE250" s="118" t="s">
        <v>943</v>
      </c>
      <c r="AF250" s="118" t="s">
        <v>1041</v>
      </c>
      <c r="AG250" s="118" t="s">
        <v>6415</v>
      </c>
      <c r="AH250" s="118" t="s">
        <v>393</v>
      </c>
      <c r="AI250" s="118">
        <v>4</v>
      </c>
      <c r="AJ250" s="118" t="s">
        <v>6415</v>
      </c>
      <c r="AK250" s="118" t="s">
        <v>393</v>
      </c>
      <c r="AL250" s="118" t="s">
        <v>393</v>
      </c>
      <c r="AM250" s="118" t="s">
        <v>393</v>
      </c>
      <c r="AN250" s="402" t="s">
        <v>5975</v>
      </c>
      <c r="AO250" s="402">
        <v>45429</v>
      </c>
      <c r="AP250" s="118">
        <v>5</v>
      </c>
      <c r="AQ250" s="118">
        <v>12</v>
      </c>
      <c r="AR250" s="118" t="s">
        <v>6448</v>
      </c>
      <c r="AS250" s="118" t="s">
        <v>403</v>
      </c>
      <c r="AT250" s="118" t="s">
        <v>225</v>
      </c>
      <c r="AU250" s="118" t="s">
        <v>404</v>
      </c>
      <c r="AV250" s="118" t="s">
        <v>508</v>
      </c>
      <c r="AW250" s="118" t="s">
        <v>393</v>
      </c>
      <c r="AX250" s="118" t="s">
        <v>740</v>
      </c>
      <c r="AY250" s="118" t="s">
        <v>393</v>
      </c>
      <c r="AZ250" s="118" t="s">
        <v>393</v>
      </c>
      <c r="BA250" s="118" t="s">
        <v>393</v>
      </c>
      <c r="BB250" s="118" t="s">
        <v>393</v>
      </c>
      <c r="BC250" s="118" t="s">
        <v>393</v>
      </c>
      <c r="BD250" s="118" t="s">
        <v>393</v>
      </c>
      <c r="BE250" s="118" t="s">
        <v>740</v>
      </c>
      <c r="BF250" s="118" t="s">
        <v>393</v>
      </c>
      <c r="BG250" s="118" t="s">
        <v>393</v>
      </c>
      <c r="BH250" s="118" t="s">
        <v>394</v>
      </c>
      <c r="BI250" s="118" t="s">
        <v>394</v>
      </c>
      <c r="BJ250" s="118" t="s">
        <v>393</v>
      </c>
      <c r="BK250" s="118" t="s">
        <v>6988</v>
      </c>
      <c r="BL250" s="118" t="s">
        <v>6415</v>
      </c>
      <c r="BM250" s="118" t="s">
        <v>6990</v>
      </c>
      <c r="BN250" s="118" t="s">
        <v>6991</v>
      </c>
      <c r="BO250" s="118" t="s">
        <v>6415</v>
      </c>
      <c r="BP250" s="118" t="s">
        <v>6415</v>
      </c>
      <c r="BQ250" s="118" t="s">
        <v>6415</v>
      </c>
      <c r="BR250" s="118" t="s">
        <v>6415</v>
      </c>
      <c r="BS250" s="118" t="s">
        <v>6415</v>
      </c>
      <c r="BT250" s="118" t="s">
        <v>7214</v>
      </c>
      <c r="BU250" s="118" t="s">
        <v>6991</v>
      </c>
      <c r="BV250" s="118" t="s">
        <v>6415</v>
      </c>
      <c r="BW250" s="118" t="s">
        <v>6415</v>
      </c>
      <c r="BX250" s="118" t="s">
        <v>6415</v>
      </c>
      <c r="BY250" s="118" t="s">
        <v>6415</v>
      </c>
      <c r="BZ250" s="118" t="s">
        <v>6415</v>
      </c>
      <c r="CA250" s="118" t="s">
        <v>6415</v>
      </c>
      <c r="CB250" s="118" t="s">
        <v>221</v>
      </c>
      <c r="CC250" s="118" t="s">
        <v>740</v>
      </c>
      <c r="CD250" s="118">
        <v>2</v>
      </c>
      <c r="CE250" s="118" t="s">
        <v>446</v>
      </c>
      <c r="CF250" s="118" t="s">
        <v>396</v>
      </c>
      <c r="CG250" s="118" t="s">
        <v>230</v>
      </c>
      <c r="CH250" s="118" t="s">
        <v>433</v>
      </c>
      <c r="CI250" s="118" t="s">
        <v>6303</v>
      </c>
      <c r="CJ250" s="118" t="s">
        <v>398</v>
      </c>
      <c r="CK250" s="14">
        <v>15</v>
      </c>
      <c r="CL250" s="118">
        <v>40</v>
      </c>
      <c r="CM250" s="118" t="s">
        <v>436</v>
      </c>
      <c r="CN250" s="118" t="s">
        <v>6327</v>
      </c>
      <c r="CO250" s="118" t="s">
        <v>1096</v>
      </c>
      <c r="CP250" s="118" t="s">
        <v>400</v>
      </c>
      <c r="CQ250" s="118" t="s">
        <v>6415</v>
      </c>
      <c r="CR250" s="118" t="s">
        <v>6415</v>
      </c>
      <c r="CS250" s="118" t="s">
        <v>6415</v>
      </c>
      <c r="CT250" s="118" t="s">
        <v>6415</v>
      </c>
      <c r="CU250" s="118" t="s">
        <v>6415</v>
      </c>
      <c r="CV250" s="118" t="s">
        <v>6415</v>
      </c>
      <c r="CW250" s="14">
        <v>34</v>
      </c>
      <c r="CX250" s="118" t="s">
        <v>1066</v>
      </c>
      <c r="CY250" s="118" t="s">
        <v>6341</v>
      </c>
      <c r="CZ250" s="118">
        <v>1</v>
      </c>
      <c r="DA250" s="118" t="s">
        <v>396</v>
      </c>
      <c r="DB250" s="118" t="s">
        <v>397</v>
      </c>
      <c r="DC250" s="118" t="s">
        <v>6415</v>
      </c>
      <c r="DD250" s="118" t="s">
        <v>6302</v>
      </c>
      <c r="DE250" s="118" t="s">
        <v>6303</v>
      </c>
      <c r="DF250" s="118" t="s">
        <v>398</v>
      </c>
      <c r="DG250" s="118">
        <v>35</v>
      </c>
      <c r="DH250" s="118">
        <v>40</v>
      </c>
      <c r="DI250" s="118" t="s">
        <v>399</v>
      </c>
      <c r="DJ250" s="118" t="s">
        <v>398</v>
      </c>
      <c r="DK250" s="118" t="s">
        <v>400</v>
      </c>
      <c r="DL250" s="118" t="s">
        <v>6415</v>
      </c>
      <c r="DM250" s="118" t="s">
        <v>6415</v>
      </c>
      <c r="DN250" s="118" t="s">
        <v>6415</v>
      </c>
      <c r="DO250" s="118" t="s">
        <v>6415</v>
      </c>
      <c r="DP250" s="118" t="s">
        <v>6415</v>
      </c>
      <c r="DQ250" s="118" t="s">
        <v>6415</v>
      </c>
      <c r="DR250" s="118">
        <v>75</v>
      </c>
      <c r="DS250" s="118" t="s">
        <v>1068</v>
      </c>
      <c r="DT250" s="118" t="s">
        <v>6341</v>
      </c>
      <c r="DU250" s="118" t="s">
        <v>6415</v>
      </c>
      <c r="DV250" s="118" t="s">
        <v>6415</v>
      </c>
      <c r="DW250" s="118" t="s">
        <v>6415</v>
      </c>
      <c r="DX250" s="118" t="s">
        <v>6415</v>
      </c>
      <c r="DY250" s="118" t="s">
        <v>6415</v>
      </c>
      <c r="DZ250" s="118" t="s">
        <v>6415</v>
      </c>
      <c r="EA250" s="118" t="s">
        <v>6415</v>
      </c>
      <c r="EB250" s="118" t="s">
        <v>6415</v>
      </c>
      <c r="EC250" s="118" t="s">
        <v>6415</v>
      </c>
      <c r="ED250" s="118" t="s">
        <v>6415</v>
      </c>
      <c r="EE250" s="118" t="s">
        <v>6415</v>
      </c>
      <c r="EF250" s="118" t="s">
        <v>6415</v>
      </c>
      <c r="EG250" s="118" t="s">
        <v>7164</v>
      </c>
      <c r="EH250" s="118" t="s">
        <v>7206</v>
      </c>
      <c r="EI250" s="118" t="s">
        <v>6415</v>
      </c>
      <c r="EJ250" s="118" t="s">
        <v>6415</v>
      </c>
      <c r="EK250" s="118" t="s">
        <v>6415</v>
      </c>
      <c r="EL250" s="118" t="s">
        <v>7467</v>
      </c>
      <c r="EM250" s="118" t="s">
        <v>7367</v>
      </c>
      <c r="EN250" s="118" t="s">
        <v>6415</v>
      </c>
      <c r="EO250" s="6" t="str">
        <f t="shared" si="22"/>
        <v>Pathweb</v>
      </c>
      <c r="EP250" s="6" t="str">
        <f t="shared" si="23"/>
        <v>Google Maps</v>
      </c>
      <c r="EQ250" s="6" t="str">
        <f t="shared" si="24"/>
        <v>Mashed Map</v>
      </c>
      <c r="ER250" s="118" t="s">
        <v>6727</v>
      </c>
      <c r="ES250" s="118" t="s">
        <v>71</v>
      </c>
      <c r="ET250" s="4">
        <v>0</v>
      </c>
      <c r="EU250" s="4"/>
      <c r="EV250" s="4"/>
    </row>
    <row r="251" spans="1:152" x14ac:dyDescent="0.15">
      <c r="A251" s="581" t="str">
        <f t="shared" si="21"/>
        <v>Crash Report</v>
      </c>
      <c r="B251" s="118">
        <v>20243088631</v>
      </c>
      <c r="C251" s="118">
        <v>2024</v>
      </c>
      <c r="D251" s="118">
        <v>24052129751610</v>
      </c>
      <c r="F251" s="118" t="s">
        <v>6442</v>
      </c>
      <c r="G251" s="118" t="s">
        <v>230</v>
      </c>
      <c r="H251" s="118">
        <v>2</v>
      </c>
      <c r="I251" s="118" t="s">
        <v>6055</v>
      </c>
      <c r="J251" s="118" t="s">
        <v>434</v>
      </c>
      <c r="K251" s="118" t="s">
        <v>6985</v>
      </c>
      <c r="L251" s="118">
        <v>0.51</v>
      </c>
      <c r="M251" s="118">
        <v>0.51</v>
      </c>
      <c r="N251" s="118" t="s">
        <v>7465</v>
      </c>
      <c r="O251" s="118" t="s">
        <v>7498</v>
      </c>
      <c r="P251" s="118">
        <v>41.651820999999998</v>
      </c>
      <c r="Q251" s="118">
        <v>-83.518080999999995</v>
      </c>
      <c r="R251" s="118">
        <v>77000</v>
      </c>
      <c r="S251" s="118" t="s">
        <v>6988</v>
      </c>
      <c r="T251" s="118">
        <v>1</v>
      </c>
      <c r="U251" s="118">
        <v>0</v>
      </c>
      <c r="V251" s="118">
        <v>0</v>
      </c>
      <c r="W251" s="118">
        <v>0</v>
      </c>
      <c r="X251" s="118">
        <v>0</v>
      </c>
      <c r="Y251" s="118">
        <v>2</v>
      </c>
      <c r="Z251" s="118">
        <v>0</v>
      </c>
      <c r="AA251" s="118">
        <v>2</v>
      </c>
      <c r="AB251" s="118" t="s">
        <v>1067</v>
      </c>
      <c r="AC251" s="118" t="s">
        <v>6989</v>
      </c>
      <c r="AD251" s="118" t="s">
        <v>1034</v>
      </c>
      <c r="AE251" s="118" t="s">
        <v>943</v>
      </c>
      <c r="AF251" s="118" t="s">
        <v>1041</v>
      </c>
      <c r="AG251" s="118" t="s">
        <v>6415</v>
      </c>
      <c r="AH251" s="118" t="s">
        <v>393</v>
      </c>
      <c r="AI251" s="118">
        <v>4</v>
      </c>
      <c r="AJ251" s="118" t="s">
        <v>6415</v>
      </c>
      <c r="AK251" s="118" t="s">
        <v>393</v>
      </c>
      <c r="AL251" s="118" t="s">
        <v>393</v>
      </c>
      <c r="AM251" s="118" t="s">
        <v>393</v>
      </c>
      <c r="AN251" s="402" t="s">
        <v>5975</v>
      </c>
      <c r="AO251" s="402">
        <v>45433</v>
      </c>
      <c r="AP251" s="118">
        <v>5</v>
      </c>
      <c r="AQ251" s="118">
        <v>16</v>
      </c>
      <c r="AR251" s="118" t="s">
        <v>6445</v>
      </c>
      <c r="AS251" s="118" t="s">
        <v>392</v>
      </c>
      <c r="AT251" s="118" t="s">
        <v>500</v>
      </c>
      <c r="AU251" s="118" t="s">
        <v>404</v>
      </c>
      <c r="AV251" s="118" t="s">
        <v>508</v>
      </c>
      <c r="AW251" s="118" t="s">
        <v>393</v>
      </c>
      <c r="AX251" s="118" t="s">
        <v>740</v>
      </c>
      <c r="AY251" s="118" t="s">
        <v>393</v>
      </c>
      <c r="AZ251" s="118" t="s">
        <v>393</v>
      </c>
      <c r="BA251" s="118" t="s">
        <v>393</v>
      </c>
      <c r="BB251" s="118" t="s">
        <v>393</v>
      </c>
      <c r="BC251" s="118" t="s">
        <v>393</v>
      </c>
      <c r="BD251" s="118" t="s">
        <v>393</v>
      </c>
      <c r="BE251" s="118" t="s">
        <v>393</v>
      </c>
      <c r="BF251" s="118" t="s">
        <v>393</v>
      </c>
      <c r="BG251" s="118" t="s">
        <v>393</v>
      </c>
      <c r="BH251" s="118" t="s">
        <v>394</v>
      </c>
      <c r="BI251" s="118" t="s">
        <v>394</v>
      </c>
      <c r="BJ251" s="118" t="s">
        <v>393</v>
      </c>
      <c r="BK251" s="118" t="s">
        <v>6988</v>
      </c>
      <c r="BL251" s="118" t="s">
        <v>6415</v>
      </c>
      <c r="BM251" s="118" t="s">
        <v>6990</v>
      </c>
      <c r="BN251" s="118" t="s">
        <v>6991</v>
      </c>
      <c r="BO251" s="118" t="s">
        <v>6415</v>
      </c>
      <c r="BP251" s="118" t="s">
        <v>6415</v>
      </c>
      <c r="BQ251" s="118" t="s">
        <v>6415</v>
      </c>
      <c r="BR251" s="118" t="s">
        <v>6415</v>
      </c>
      <c r="BS251" s="118" t="s">
        <v>6415</v>
      </c>
      <c r="BT251" s="118" t="s">
        <v>1791</v>
      </c>
      <c r="BU251" s="118" t="s">
        <v>6991</v>
      </c>
      <c r="BV251" s="118" t="s">
        <v>6415</v>
      </c>
      <c r="BW251" s="118" t="s">
        <v>6415</v>
      </c>
      <c r="BX251" s="118" t="s">
        <v>6415</v>
      </c>
      <c r="BY251" s="118" t="s">
        <v>6415</v>
      </c>
      <c r="BZ251" s="118" t="s">
        <v>6415</v>
      </c>
      <c r="CA251" s="118" t="s">
        <v>6415</v>
      </c>
      <c r="CB251" s="118" t="s">
        <v>221</v>
      </c>
      <c r="CC251" s="118" t="s">
        <v>740</v>
      </c>
      <c r="CD251" s="118">
        <v>2</v>
      </c>
      <c r="CE251" s="118" t="s">
        <v>406</v>
      </c>
      <c r="CF251" s="118" t="s">
        <v>411</v>
      </c>
      <c r="CG251" s="118" t="s">
        <v>230</v>
      </c>
      <c r="CH251" s="118" t="s">
        <v>6302</v>
      </c>
      <c r="CI251" s="118" t="s">
        <v>6303</v>
      </c>
      <c r="CJ251" s="118" t="s">
        <v>398</v>
      </c>
      <c r="CK251" s="118">
        <v>0</v>
      </c>
      <c r="CL251" s="118">
        <v>0</v>
      </c>
      <c r="CM251" s="118" t="s">
        <v>436</v>
      </c>
      <c r="CN251" s="118" t="s">
        <v>6327</v>
      </c>
      <c r="CO251" s="118" t="s">
        <v>1096</v>
      </c>
      <c r="CP251" s="118" t="s">
        <v>400</v>
      </c>
      <c r="CQ251" s="118" t="s">
        <v>6415</v>
      </c>
      <c r="CR251" s="118" t="s">
        <v>6415</v>
      </c>
      <c r="CS251" s="118" t="s">
        <v>6415</v>
      </c>
      <c r="CT251" s="118" t="s">
        <v>6415</v>
      </c>
      <c r="CU251" s="118" t="s">
        <v>6415</v>
      </c>
      <c r="CV251" s="118" t="s">
        <v>6415</v>
      </c>
      <c r="CW251" s="118">
        <v>28</v>
      </c>
      <c r="CX251" s="118" t="s">
        <v>1068</v>
      </c>
      <c r="CY251" s="118" t="s">
        <v>6341</v>
      </c>
      <c r="CZ251" s="118">
        <v>1</v>
      </c>
      <c r="DA251" s="118" t="s">
        <v>405</v>
      </c>
      <c r="DB251" s="118" t="s">
        <v>406</v>
      </c>
      <c r="DC251" s="118" t="s">
        <v>6415</v>
      </c>
      <c r="DD251" s="118" t="s">
        <v>6302</v>
      </c>
      <c r="DE251" s="118" t="s">
        <v>417</v>
      </c>
      <c r="DF251" s="118" t="s">
        <v>398</v>
      </c>
      <c r="DG251" s="118" t="s">
        <v>6415</v>
      </c>
      <c r="DH251" s="118" t="s">
        <v>6415</v>
      </c>
      <c r="DI251" s="118" t="s">
        <v>399</v>
      </c>
      <c r="DJ251" s="118" t="s">
        <v>398</v>
      </c>
      <c r="DK251" s="118" t="s">
        <v>400</v>
      </c>
      <c r="DL251" s="118" t="s">
        <v>6415</v>
      </c>
      <c r="DM251" s="118" t="s">
        <v>6415</v>
      </c>
      <c r="DN251" s="118" t="s">
        <v>6415</v>
      </c>
      <c r="DO251" s="118" t="s">
        <v>6415</v>
      </c>
      <c r="DP251" s="118" t="s">
        <v>6415</v>
      </c>
      <c r="DQ251" s="118" t="s">
        <v>6415</v>
      </c>
      <c r="DR251" s="118">
        <v>64</v>
      </c>
      <c r="DS251" s="118" t="s">
        <v>1066</v>
      </c>
      <c r="DT251" s="118" t="s">
        <v>6341</v>
      </c>
      <c r="DU251" s="118" t="s">
        <v>6415</v>
      </c>
      <c r="DV251" s="118" t="s">
        <v>6415</v>
      </c>
      <c r="DW251" s="118" t="s">
        <v>6415</v>
      </c>
      <c r="DX251" s="118" t="s">
        <v>6415</v>
      </c>
      <c r="DY251" s="118" t="s">
        <v>6415</v>
      </c>
      <c r="DZ251" s="118" t="s">
        <v>6415</v>
      </c>
      <c r="EA251" s="118" t="s">
        <v>6415</v>
      </c>
      <c r="EB251" s="118" t="s">
        <v>6415</v>
      </c>
      <c r="EC251" s="118" t="s">
        <v>6415</v>
      </c>
      <c r="ED251" s="118" t="s">
        <v>6415</v>
      </c>
      <c r="EE251" s="118" t="s">
        <v>6415</v>
      </c>
      <c r="EF251" s="118" t="s">
        <v>6415</v>
      </c>
      <c r="EG251" s="118" t="s">
        <v>6994</v>
      </c>
      <c r="EH251" s="118" t="s">
        <v>7175</v>
      </c>
      <c r="EI251" s="118" t="s">
        <v>6415</v>
      </c>
      <c r="EJ251" s="118" t="s">
        <v>6415</v>
      </c>
      <c r="EK251" s="118" t="s">
        <v>6415</v>
      </c>
      <c r="EL251" s="118" t="s">
        <v>7467</v>
      </c>
      <c r="EM251" s="118" t="s">
        <v>7368</v>
      </c>
      <c r="EN251" s="118" t="s">
        <v>6415</v>
      </c>
      <c r="EO251" s="6" t="str">
        <f t="shared" si="22"/>
        <v>Pathweb</v>
      </c>
      <c r="EP251" s="6" t="str">
        <f t="shared" si="23"/>
        <v>Google Maps</v>
      </c>
      <c r="EQ251" s="6" t="str">
        <f t="shared" si="24"/>
        <v>Mashed Map</v>
      </c>
      <c r="ER251" s="118" t="s">
        <v>6727</v>
      </c>
      <c r="ES251" s="118" t="s">
        <v>71</v>
      </c>
      <c r="ET251" s="4">
        <v>0</v>
      </c>
      <c r="EU251" s="4"/>
      <c r="EV251" s="4"/>
    </row>
    <row r="252" spans="1:152" x14ac:dyDescent="0.15">
      <c r="A252" s="581" t="str">
        <f t="shared" si="21"/>
        <v>Crash Report</v>
      </c>
      <c r="B252" s="118">
        <v>20243092558</v>
      </c>
      <c r="C252" s="118">
        <v>2024</v>
      </c>
      <c r="D252" s="118">
        <v>24052829592015</v>
      </c>
      <c r="F252" s="118" t="s">
        <v>6442</v>
      </c>
      <c r="G252" s="118" t="s">
        <v>209</v>
      </c>
      <c r="H252" s="118">
        <v>2</v>
      </c>
      <c r="I252" s="118" t="s">
        <v>6055</v>
      </c>
      <c r="J252" s="118" t="s">
        <v>434</v>
      </c>
      <c r="K252" s="118" t="s">
        <v>6985</v>
      </c>
      <c r="L252" s="118">
        <v>0.51</v>
      </c>
      <c r="M252" s="118">
        <v>0.51</v>
      </c>
      <c r="N252" s="118" t="s">
        <v>7465</v>
      </c>
      <c r="O252" s="118" t="s">
        <v>7468</v>
      </c>
      <c r="P252" s="118">
        <v>41.651820999999998</v>
      </c>
      <c r="Q252" s="118">
        <v>-83.518082000000007</v>
      </c>
      <c r="R252" s="118">
        <v>77000</v>
      </c>
      <c r="S252" s="118" t="s">
        <v>6988</v>
      </c>
      <c r="T252" s="118">
        <v>1</v>
      </c>
      <c r="U252" s="118">
        <v>0</v>
      </c>
      <c r="V252" s="118">
        <v>0</v>
      </c>
      <c r="W252" s="118">
        <v>0</v>
      </c>
      <c r="X252" s="118">
        <v>0</v>
      </c>
      <c r="Y252" s="118">
        <v>2</v>
      </c>
      <c r="Z252" s="118">
        <v>0</v>
      </c>
      <c r="AA252" s="118">
        <v>2</v>
      </c>
      <c r="AB252" s="118" t="s">
        <v>1067</v>
      </c>
      <c r="AC252" s="118" t="s">
        <v>6989</v>
      </c>
      <c r="AD252" s="118" t="s">
        <v>1034</v>
      </c>
      <c r="AE252" s="118" t="s">
        <v>943</v>
      </c>
      <c r="AF252" s="118" t="s">
        <v>1041</v>
      </c>
      <c r="AG252" s="118" t="s">
        <v>6415</v>
      </c>
      <c r="AH252" s="118" t="s">
        <v>393</v>
      </c>
      <c r="AI252" s="118">
        <v>4</v>
      </c>
      <c r="AJ252" s="118" t="s">
        <v>6415</v>
      </c>
      <c r="AK252" s="118" t="s">
        <v>393</v>
      </c>
      <c r="AL252" s="118" t="s">
        <v>393</v>
      </c>
      <c r="AM252" s="118" t="s">
        <v>393</v>
      </c>
      <c r="AN252" s="402" t="s">
        <v>5975</v>
      </c>
      <c r="AO252" s="402">
        <v>45440</v>
      </c>
      <c r="AP252" s="118">
        <v>5</v>
      </c>
      <c r="AQ252" s="118">
        <v>9</v>
      </c>
      <c r="AR252" s="118" t="s">
        <v>6445</v>
      </c>
      <c r="AS252" s="118" t="s">
        <v>403</v>
      </c>
      <c r="AT252" s="118" t="s">
        <v>500</v>
      </c>
      <c r="AU252" s="118" t="s">
        <v>404</v>
      </c>
      <c r="AV252" s="118" t="s">
        <v>508</v>
      </c>
      <c r="AW252" s="118" t="s">
        <v>393</v>
      </c>
      <c r="AX252" s="118" t="s">
        <v>740</v>
      </c>
      <c r="AY252" s="118" t="s">
        <v>393</v>
      </c>
      <c r="AZ252" s="118" t="s">
        <v>393</v>
      </c>
      <c r="BA252" s="118" t="s">
        <v>393</v>
      </c>
      <c r="BB252" s="118" t="s">
        <v>393</v>
      </c>
      <c r="BC252" s="118" t="s">
        <v>393</v>
      </c>
      <c r="BD252" s="118" t="s">
        <v>393</v>
      </c>
      <c r="BE252" s="118" t="s">
        <v>740</v>
      </c>
      <c r="BF252" s="118" t="s">
        <v>393</v>
      </c>
      <c r="BG252" s="118" t="s">
        <v>393</v>
      </c>
      <c r="BH252" s="118" t="s">
        <v>394</v>
      </c>
      <c r="BI252" s="118" t="s">
        <v>394</v>
      </c>
      <c r="BJ252" s="118" t="s">
        <v>393</v>
      </c>
      <c r="BK252" s="118" t="s">
        <v>6988</v>
      </c>
      <c r="BL252" s="118" t="s">
        <v>6415</v>
      </c>
      <c r="BM252" s="118" t="s">
        <v>6990</v>
      </c>
      <c r="BN252" s="118" t="s">
        <v>6991</v>
      </c>
      <c r="BO252" s="118" t="s">
        <v>6415</v>
      </c>
      <c r="BP252" s="118" t="s">
        <v>6415</v>
      </c>
      <c r="BQ252" s="118" t="s">
        <v>6415</v>
      </c>
      <c r="BR252" s="118" t="s">
        <v>6415</v>
      </c>
      <c r="BS252" s="118" t="s">
        <v>261</v>
      </c>
      <c r="BT252" s="118" t="s">
        <v>1791</v>
      </c>
      <c r="BU252" s="118" t="s">
        <v>6991</v>
      </c>
      <c r="BV252" s="118" t="s">
        <v>6415</v>
      </c>
      <c r="BW252" s="118" t="s">
        <v>6415</v>
      </c>
      <c r="BX252" s="118" t="s">
        <v>6415</v>
      </c>
      <c r="BY252" s="118" t="s">
        <v>6415</v>
      </c>
      <c r="BZ252" s="118" t="s">
        <v>6415</v>
      </c>
      <c r="CA252" s="118" t="s">
        <v>6415</v>
      </c>
      <c r="CB252" s="118" t="s">
        <v>221</v>
      </c>
      <c r="CC252" s="118" t="s">
        <v>393</v>
      </c>
      <c r="CD252" s="118">
        <v>1</v>
      </c>
      <c r="CE252" s="118" t="s">
        <v>411</v>
      </c>
      <c r="CF252" s="118" t="s">
        <v>410</v>
      </c>
      <c r="CG252" s="118" t="s">
        <v>924</v>
      </c>
      <c r="CH252" s="118" t="s">
        <v>6300</v>
      </c>
      <c r="CI252" s="118" t="s">
        <v>6303</v>
      </c>
      <c r="CJ252" s="118" t="s">
        <v>398</v>
      </c>
      <c r="CK252" s="118">
        <v>5</v>
      </c>
      <c r="CL252" s="118">
        <v>35</v>
      </c>
      <c r="CM252" s="118" t="s">
        <v>399</v>
      </c>
      <c r="CN252" s="118" t="s">
        <v>398</v>
      </c>
      <c r="CO252" s="118" t="s">
        <v>1096</v>
      </c>
      <c r="CP252" s="118" t="s">
        <v>209</v>
      </c>
      <c r="CQ252" s="118" t="s">
        <v>6415</v>
      </c>
      <c r="CR252" s="118" t="s">
        <v>6415</v>
      </c>
      <c r="CS252" s="118" t="s">
        <v>6415</v>
      </c>
      <c r="CT252" s="118" t="s">
        <v>6415</v>
      </c>
      <c r="CU252" s="118" t="s">
        <v>6415</v>
      </c>
      <c r="CV252" s="118" t="s">
        <v>6415</v>
      </c>
      <c r="CW252" s="118">
        <v>71</v>
      </c>
      <c r="CX252" s="118" t="s">
        <v>1068</v>
      </c>
      <c r="CY252" s="118" t="s">
        <v>6151</v>
      </c>
      <c r="CZ252" s="118">
        <v>2</v>
      </c>
      <c r="DA252" s="118" t="s">
        <v>406</v>
      </c>
      <c r="DB252" s="118" t="s">
        <v>405</v>
      </c>
      <c r="DC252" s="118" t="s">
        <v>6415</v>
      </c>
      <c r="DD252" s="118" t="s">
        <v>6300</v>
      </c>
      <c r="DE252" s="118" t="s">
        <v>464</v>
      </c>
      <c r="DF252" s="118" t="s">
        <v>398</v>
      </c>
      <c r="DG252" s="118">
        <v>2</v>
      </c>
      <c r="DH252" s="118">
        <v>5</v>
      </c>
      <c r="DI252" s="118" t="s">
        <v>6358</v>
      </c>
      <c r="DJ252" s="118" t="s">
        <v>398</v>
      </c>
      <c r="DK252" s="118" t="s">
        <v>400</v>
      </c>
      <c r="DL252" s="118" t="s">
        <v>6415</v>
      </c>
      <c r="DM252" s="118" t="s">
        <v>6415</v>
      </c>
      <c r="DN252" s="118" t="s">
        <v>6415</v>
      </c>
      <c r="DO252" s="118" t="s">
        <v>6415</v>
      </c>
      <c r="DP252" s="118" t="s">
        <v>6415</v>
      </c>
      <c r="DQ252" s="118" t="s">
        <v>452</v>
      </c>
      <c r="DR252" s="118">
        <v>14</v>
      </c>
      <c r="DS252" s="118" t="s">
        <v>1068</v>
      </c>
      <c r="DT252" s="118" t="s">
        <v>6341</v>
      </c>
      <c r="DU252" s="118" t="s">
        <v>6415</v>
      </c>
      <c r="DV252" s="118" t="s">
        <v>6415</v>
      </c>
      <c r="DW252" s="118" t="s">
        <v>6415</v>
      </c>
      <c r="DX252" s="118" t="s">
        <v>6415</v>
      </c>
      <c r="DY252" s="118" t="s">
        <v>6415</v>
      </c>
      <c r="DZ252" s="118" t="s">
        <v>6415</v>
      </c>
      <c r="EA252" s="118" t="s">
        <v>6415</v>
      </c>
      <c r="EB252" s="118" t="s">
        <v>6415</v>
      </c>
      <c r="EC252" s="118" t="s">
        <v>6415</v>
      </c>
      <c r="ED252" s="118" t="s">
        <v>6415</v>
      </c>
      <c r="EE252" s="118" t="s">
        <v>6415</v>
      </c>
      <c r="EF252" s="118" t="s">
        <v>6415</v>
      </c>
      <c r="EG252" s="118" t="s">
        <v>6994</v>
      </c>
      <c r="EH252" s="118" t="s">
        <v>7175</v>
      </c>
      <c r="EI252" s="118" t="s">
        <v>6415</v>
      </c>
      <c r="EJ252" s="118" t="s">
        <v>6415</v>
      </c>
      <c r="EK252" s="118" t="s">
        <v>6415</v>
      </c>
      <c r="EL252" s="118" t="s">
        <v>7467</v>
      </c>
      <c r="EM252" s="118" t="s">
        <v>7369</v>
      </c>
      <c r="EN252" s="118" t="s">
        <v>6415</v>
      </c>
      <c r="EO252" s="6" t="str">
        <f t="shared" si="22"/>
        <v>Pathweb</v>
      </c>
      <c r="EP252" s="6" t="str">
        <f t="shared" si="23"/>
        <v>Google Maps</v>
      </c>
      <c r="EQ252" s="6" t="str">
        <f t="shared" si="24"/>
        <v>Mashed Map</v>
      </c>
      <c r="ER252" s="118" t="s">
        <v>6726</v>
      </c>
      <c r="ES252" s="118" t="s">
        <v>71</v>
      </c>
      <c r="ET252" s="4">
        <v>1E-3</v>
      </c>
      <c r="EU252" s="4"/>
      <c r="EV252" s="4"/>
    </row>
    <row r="253" spans="1:152" x14ac:dyDescent="0.15">
      <c r="A253" s="581" t="str">
        <f t="shared" si="21"/>
        <v>Crash Report</v>
      </c>
      <c r="B253" s="14">
        <v>20243100169</v>
      </c>
      <c r="C253" s="118">
        <v>2024</v>
      </c>
      <c r="D253" s="14">
        <v>24060728392257</v>
      </c>
      <c r="F253" s="118" t="s">
        <v>6442</v>
      </c>
      <c r="G253" s="118" t="s">
        <v>402</v>
      </c>
      <c r="H253" s="118">
        <v>2</v>
      </c>
      <c r="I253" s="118" t="s">
        <v>6055</v>
      </c>
      <c r="J253" s="118" t="s">
        <v>391</v>
      </c>
      <c r="K253" s="118" t="s">
        <v>6985</v>
      </c>
      <c r="L253" s="118">
        <v>1.2999999999999999E-2</v>
      </c>
      <c r="M253" s="118">
        <v>1.2999999999999999E-2</v>
      </c>
      <c r="N253" s="118" t="s">
        <v>7465</v>
      </c>
      <c r="O253" s="118">
        <v>404</v>
      </c>
      <c r="P253" s="118">
        <v>41.647281</v>
      </c>
      <c r="Q253" s="118">
        <v>-83.525497000000001</v>
      </c>
      <c r="R253" s="118">
        <v>77000</v>
      </c>
      <c r="S253" s="118" t="s">
        <v>6988</v>
      </c>
      <c r="T253" s="118">
        <v>1</v>
      </c>
      <c r="U253" s="118">
        <v>0</v>
      </c>
      <c r="V253" s="118">
        <v>0</v>
      </c>
      <c r="W253" s="118">
        <v>0</v>
      </c>
      <c r="X253" s="118">
        <v>0</v>
      </c>
      <c r="Y253" s="118">
        <v>2</v>
      </c>
      <c r="Z253" s="118">
        <v>0</v>
      </c>
      <c r="AA253" s="118">
        <v>2</v>
      </c>
      <c r="AB253" s="118" t="s">
        <v>1067</v>
      </c>
      <c r="AC253" s="118" t="s">
        <v>6989</v>
      </c>
      <c r="AD253" s="118" t="s">
        <v>1034</v>
      </c>
      <c r="AE253" s="118" t="s">
        <v>943</v>
      </c>
      <c r="AF253" s="118" t="s">
        <v>1042</v>
      </c>
      <c r="AG253" s="118" t="s">
        <v>6415</v>
      </c>
      <c r="AH253" s="118" t="s">
        <v>393</v>
      </c>
      <c r="AI253" s="118">
        <v>4</v>
      </c>
      <c r="AJ253" s="118" t="s">
        <v>6415</v>
      </c>
      <c r="AK253" s="118" t="s">
        <v>393</v>
      </c>
      <c r="AL253" s="118" t="s">
        <v>393</v>
      </c>
      <c r="AM253" s="118" t="s">
        <v>393</v>
      </c>
      <c r="AN253" s="402" t="s">
        <v>5975</v>
      </c>
      <c r="AO253" s="402">
        <v>45451</v>
      </c>
      <c r="AP253" s="118">
        <v>6</v>
      </c>
      <c r="AQ253" s="118">
        <v>22</v>
      </c>
      <c r="AR253" s="118" t="s">
        <v>6449</v>
      </c>
      <c r="AS253" s="118" t="s">
        <v>392</v>
      </c>
      <c r="AT253" s="118" t="s">
        <v>500</v>
      </c>
      <c r="AU253" s="118" t="s">
        <v>505</v>
      </c>
      <c r="AV253" s="118" t="s">
        <v>508</v>
      </c>
      <c r="AW253" s="118" t="s">
        <v>393</v>
      </c>
      <c r="AX253" s="118" t="s">
        <v>393</v>
      </c>
      <c r="AY253" s="118" t="s">
        <v>393</v>
      </c>
      <c r="AZ253" s="118" t="s">
        <v>393</v>
      </c>
      <c r="BA253" s="118" t="s">
        <v>393</v>
      </c>
      <c r="BB253" s="118" t="s">
        <v>393</v>
      </c>
      <c r="BC253" s="118" t="s">
        <v>393</v>
      </c>
      <c r="BD253" s="118" t="s">
        <v>393</v>
      </c>
      <c r="BE253" s="118" t="s">
        <v>393</v>
      </c>
      <c r="BF253" s="118" t="s">
        <v>740</v>
      </c>
      <c r="BG253" s="118" t="s">
        <v>393</v>
      </c>
      <c r="BH253" s="118" t="s">
        <v>394</v>
      </c>
      <c r="BI253" s="118" t="s">
        <v>394</v>
      </c>
      <c r="BJ253" s="118" t="s">
        <v>393</v>
      </c>
      <c r="BK253" s="118" t="s">
        <v>6988</v>
      </c>
      <c r="BL253" s="118" t="s">
        <v>6415</v>
      </c>
      <c r="BM253" s="118" t="s">
        <v>6990</v>
      </c>
      <c r="BN253" s="118" t="s">
        <v>6991</v>
      </c>
      <c r="BO253" s="118" t="s">
        <v>6415</v>
      </c>
      <c r="BP253" s="118" t="s">
        <v>6415</v>
      </c>
      <c r="BQ253" s="118" t="s">
        <v>6415</v>
      </c>
      <c r="BR253" s="118" t="s">
        <v>6415</v>
      </c>
      <c r="BS253" s="118" t="s">
        <v>6415</v>
      </c>
      <c r="BT253" s="118" t="s">
        <v>7371</v>
      </c>
      <c r="BU253" s="118" t="s">
        <v>6415</v>
      </c>
      <c r="BV253" s="118" t="s">
        <v>6415</v>
      </c>
      <c r="BW253" s="118" t="s">
        <v>6415</v>
      </c>
      <c r="BX253" s="118" t="s">
        <v>6415</v>
      </c>
      <c r="BY253" s="118" t="s">
        <v>6415</v>
      </c>
      <c r="BZ253" s="118">
        <v>404</v>
      </c>
      <c r="CA253" s="118" t="s">
        <v>6415</v>
      </c>
      <c r="CB253" s="118" t="s">
        <v>422</v>
      </c>
      <c r="CC253" s="118" t="s">
        <v>740</v>
      </c>
      <c r="CD253" s="118">
        <v>1</v>
      </c>
      <c r="CE253" s="118" t="s">
        <v>411</v>
      </c>
      <c r="CF253" s="118" t="s">
        <v>410</v>
      </c>
      <c r="CG253" s="118" t="s">
        <v>924</v>
      </c>
      <c r="CH253" s="118" t="s">
        <v>6302</v>
      </c>
      <c r="CI253" s="118" t="s">
        <v>6303</v>
      </c>
      <c r="CJ253" s="118" t="s">
        <v>398</v>
      </c>
      <c r="CK253" s="14">
        <v>35</v>
      </c>
      <c r="CL253" s="118">
        <v>35</v>
      </c>
      <c r="CM253" s="118" t="s">
        <v>399</v>
      </c>
      <c r="CN253" s="118" t="s">
        <v>6328</v>
      </c>
      <c r="CO253" s="118" t="s">
        <v>1096</v>
      </c>
      <c r="CP253" s="118" t="s">
        <v>400</v>
      </c>
      <c r="CQ253" s="118" t="s">
        <v>6415</v>
      </c>
      <c r="CR253" s="118" t="s">
        <v>6415</v>
      </c>
      <c r="CS253" s="118" t="s">
        <v>6415</v>
      </c>
      <c r="CT253" s="118" t="s">
        <v>6415</v>
      </c>
      <c r="CU253" s="118" t="s">
        <v>6415</v>
      </c>
      <c r="CV253" s="118" t="s">
        <v>6415</v>
      </c>
      <c r="CW253" s="14">
        <v>0</v>
      </c>
      <c r="CX253" s="118" t="s">
        <v>401</v>
      </c>
      <c r="CY253" s="118" t="s">
        <v>6151</v>
      </c>
      <c r="CZ253" s="118">
        <v>2</v>
      </c>
      <c r="DA253" s="118" t="s">
        <v>411</v>
      </c>
      <c r="DB253" s="118" t="s">
        <v>410</v>
      </c>
      <c r="DC253" s="118" t="s">
        <v>6415</v>
      </c>
      <c r="DD253" s="118" t="s">
        <v>6302</v>
      </c>
      <c r="DE253" s="118" t="s">
        <v>6303</v>
      </c>
      <c r="DF253" s="118" t="s">
        <v>398</v>
      </c>
      <c r="DG253" s="118">
        <v>35</v>
      </c>
      <c r="DH253" s="118">
        <v>35</v>
      </c>
      <c r="DI253" s="118" t="s">
        <v>399</v>
      </c>
      <c r="DJ253" s="118" t="s">
        <v>398</v>
      </c>
      <c r="DK253" s="118" t="s">
        <v>400</v>
      </c>
      <c r="DL253" s="118" t="s">
        <v>6415</v>
      </c>
      <c r="DM253" s="118" t="s">
        <v>6415</v>
      </c>
      <c r="DN253" s="118" t="s">
        <v>6415</v>
      </c>
      <c r="DO253" s="118" t="s">
        <v>6415</v>
      </c>
      <c r="DP253" s="118" t="s">
        <v>6415</v>
      </c>
      <c r="DQ253" s="118" t="s">
        <v>6415</v>
      </c>
      <c r="DR253" s="118">
        <v>23</v>
      </c>
      <c r="DS253" s="118" t="s">
        <v>1066</v>
      </c>
      <c r="DT253" s="118" t="s">
        <v>6341</v>
      </c>
      <c r="DU253" s="118" t="s">
        <v>6415</v>
      </c>
      <c r="DV253" s="118" t="s">
        <v>6415</v>
      </c>
      <c r="DW253" s="118" t="s">
        <v>6415</v>
      </c>
      <c r="DX253" s="118" t="s">
        <v>6415</v>
      </c>
      <c r="DY253" s="118" t="s">
        <v>6415</v>
      </c>
      <c r="DZ253" s="118" t="s">
        <v>6415</v>
      </c>
      <c r="EA253" s="118" t="s">
        <v>6415</v>
      </c>
      <c r="EB253" s="118" t="s">
        <v>6415</v>
      </c>
      <c r="EC253" s="118" t="s">
        <v>6415</v>
      </c>
      <c r="ED253" s="118" t="s">
        <v>6415</v>
      </c>
      <c r="EE253" s="118" t="s">
        <v>6415</v>
      </c>
      <c r="EF253" s="118" t="s">
        <v>6415</v>
      </c>
      <c r="EG253" s="118" t="s">
        <v>6415</v>
      </c>
      <c r="EH253" s="118" t="s">
        <v>6415</v>
      </c>
      <c r="EI253" s="118" t="s">
        <v>6415</v>
      </c>
      <c r="EJ253" s="118" t="s">
        <v>6415</v>
      </c>
      <c r="EK253" s="118" t="s">
        <v>6415</v>
      </c>
      <c r="EL253" s="118" t="s">
        <v>7467</v>
      </c>
      <c r="EM253" s="118" t="s">
        <v>7370</v>
      </c>
      <c r="EN253" s="118" t="s">
        <v>6415</v>
      </c>
      <c r="EO253" s="6" t="str">
        <f t="shared" si="22"/>
        <v>Pathweb</v>
      </c>
      <c r="EP253" s="6" t="str">
        <f t="shared" si="23"/>
        <v>Google Maps</v>
      </c>
      <c r="EQ253" s="6" t="str">
        <f t="shared" si="24"/>
        <v>Mashed Map</v>
      </c>
      <c r="ER253" s="118" t="s">
        <v>6727</v>
      </c>
      <c r="ES253" s="118" t="s">
        <v>71</v>
      </c>
      <c r="ET253" s="4">
        <v>0</v>
      </c>
      <c r="EU253" s="4"/>
      <c r="EV253" s="4"/>
    </row>
    <row r="254" spans="1:152" x14ac:dyDescent="0.15">
      <c r="A254" s="581" t="str">
        <f t="shared" si="21"/>
        <v>Crash Report</v>
      </c>
      <c r="B254" s="14">
        <v>20243104628</v>
      </c>
      <c r="C254" s="118">
        <v>2024</v>
      </c>
      <c r="D254" s="14">
        <v>24061528861500</v>
      </c>
      <c r="F254" s="118" t="s">
        <v>6441</v>
      </c>
      <c r="G254" s="118" t="s">
        <v>230</v>
      </c>
      <c r="H254" s="118">
        <v>2</v>
      </c>
      <c r="I254" s="118" t="s">
        <v>6055</v>
      </c>
      <c r="J254" s="118" t="s">
        <v>391</v>
      </c>
      <c r="K254" s="118" t="s">
        <v>6997</v>
      </c>
      <c r="L254" s="118">
        <v>0.748</v>
      </c>
      <c r="M254" s="118">
        <v>0.748</v>
      </c>
      <c r="N254" s="118" t="s">
        <v>7469</v>
      </c>
      <c r="O254" s="118">
        <v>90</v>
      </c>
      <c r="P254" s="118">
        <v>41.648913</v>
      </c>
      <c r="Q254" s="118">
        <v>-83.523871999999997</v>
      </c>
      <c r="R254" s="118">
        <v>77000</v>
      </c>
      <c r="S254" s="118" t="s">
        <v>6988</v>
      </c>
      <c r="T254" s="118">
        <v>1</v>
      </c>
      <c r="U254" s="118">
        <v>0</v>
      </c>
      <c r="V254" s="118">
        <v>0</v>
      </c>
      <c r="W254" s="118">
        <v>0</v>
      </c>
      <c r="X254" s="118">
        <v>1</v>
      </c>
      <c r="Y254" s="118">
        <v>1</v>
      </c>
      <c r="Z254" s="118">
        <v>0</v>
      </c>
      <c r="AA254" s="118">
        <v>2</v>
      </c>
      <c r="AB254" s="118" t="s">
        <v>1067</v>
      </c>
      <c r="AC254" s="118" t="s">
        <v>6989</v>
      </c>
      <c r="AD254" s="118" t="s">
        <v>1034</v>
      </c>
      <c r="AE254" s="118" t="s">
        <v>943</v>
      </c>
      <c r="AF254" s="118" t="s">
        <v>1041</v>
      </c>
      <c r="AG254" s="118" t="s">
        <v>6415</v>
      </c>
      <c r="AH254" s="118" t="s">
        <v>393</v>
      </c>
      <c r="AI254" s="118">
        <v>2</v>
      </c>
      <c r="AJ254" s="118" t="s">
        <v>6415</v>
      </c>
      <c r="AK254" s="118" t="s">
        <v>393</v>
      </c>
      <c r="AL254" s="118" t="s">
        <v>393</v>
      </c>
      <c r="AM254" s="118" t="s">
        <v>393</v>
      </c>
      <c r="AN254" s="402" t="s">
        <v>5975</v>
      </c>
      <c r="AO254" s="402">
        <v>45458</v>
      </c>
      <c r="AP254" s="118">
        <v>6</v>
      </c>
      <c r="AQ254" s="118">
        <v>15</v>
      </c>
      <c r="AR254" s="118" t="s">
        <v>6449</v>
      </c>
      <c r="AS254" s="118" t="s">
        <v>392</v>
      </c>
      <c r="AT254" s="118" t="s">
        <v>500</v>
      </c>
      <c r="AU254" s="118" t="s">
        <v>404</v>
      </c>
      <c r="AV254" s="118" t="s">
        <v>508</v>
      </c>
      <c r="AW254" s="118" t="s">
        <v>393</v>
      </c>
      <c r="AX254" s="118" t="s">
        <v>393</v>
      </c>
      <c r="AY254" s="118" t="s">
        <v>393</v>
      </c>
      <c r="AZ254" s="118" t="s">
        <v>393</v>
      </c>
      <c r="BA254" s="118" t="s">
        <v>393</v>
      </c>
      <c r="BB254" s="118" t="s">
        <v>393</v>
      </c>
      <c r="BC254" s="118" t="s">
        <v>393</v>
      </c>
      <c r="BD254" s="118" t="s">
        <v>393</v>
      </c>
      <c r="BE254" s="118" t="s">
        <v>393</v>
      </c>
      <c r="BF254" s="118" t="s">
        <v>393</v>
      </c>
      <c r="BG254" s="118" t="s">
        <v>393</v>
      </c>
      <c r="BH254" s="118" t="s">
        <v>394</v>
      </c>
      <c r="BI254" s="118" t="s">
        <v>394</v>
      </c>
      <c r="BJ254" s="118" t="s">
        <v>393</v>
      </c>
      <c r="BK254" s="118" t="s">
        <v>6988</v>
      </c>
      <c r="BL254" s="118" t="s">
        <v>6415</v>
      </c>
      <c r="BM254" s="118" t="s">
        <v>6992</v>
      </c>
      <c r="BN254" s="118" t="s">
        <v>6991</v>
      </c>
      <c r="BO254" s="118" t="s">
        <v>6415</v>
      </c>
      <c r="BP254" s="118" t="s">
        <v>6415</v>
      </c>
      <c r="BQ254" s="118" t="s">
        <v>6415</v>
      </c>
      <c r="BR254" s="118" t="s">
        <v>6415</v>
      </c>
      <c r="BS254" s="118" t="s">
        <v>6415</v>
      </c>
      <c r="BT254" s="118" t="s">
        <v>7373</v>
      </c>
      <c r="BU254" s="118" t="s">
        <v>6415</v>
      </c>
      <c r="BV254" s="118" t="s">
        <v>6415</v>
      </c>
      <c r="BW254" s="118" t="s">
        <v>6415</v>
      </c>
      <c r="BX254" s="118" t="s">
        <v>6415</v>
      </c>
      <c r="BY254" s="118" t="s">
        <v>6415</v>
      </c>
      <c r="BZ254" s="118">
        <v>90</v>
      </c>
      <c r="CA254" s="118" t="s">
        <v>6415</v>
      </c>
      <c r="CB254" s="118" t="s">
        <v>422</v>
      </c>
      <c r="CC254" s="118" t="s">
        <v>740</v>
      </c>
      <c r="CD254" s="118">
        <v>2</v>
      </c>
      <c r="CE254" s="118" t="s">
        <v>446</v>
      </c>
      <c r="CF254" s="118" t="s">
        <v>405</v>
      </c>
      <c r="CG254" s="118" t="s">
        <v>230</v>
      </c>
      <c r="CH254" s="118" t="s">
        <v>6302</v>
      </c>
      <c r="CI254" s="118" t="s">
        <v>6303</v>
      </c>
      <c r="CJ254" s="118" t="s">
        <v>398</v>
      </c>
      <c r="CK254" s="14">
        <v>0</v>
      </c>
      <c r="CL254" s="118">
        <v>0</v>
      </c>
      <c r="CM254" s="118" t="s">
        <v>436</v>
      </c>
      <c r="CN254" s="118" t="s">
        <v>6327</v>
      </c>
      <c r="CO254" s="118" t="s">
        <v>1096</v>
      </c>
      <c r="CP254" s="118" t="s">
        <v>400</v>
      </c>
      <c r="CQ254" s="118" t="s">
        <v>6415</v>
      </c>
      <c r="CR254" s="118" t="s">
        <v>6415</v>
      </c>
      <c r="CS254" s="118" t="s">
        <v>6415</v>
      </c>
      <c r="CT254" s="118" t="s">
        <v>6415</v>
      </c>
      <c r="CU254" s="118" t="s">
        <v>6415</v>
      </c>
      <c r="CV254" s="118" t="s">
        <v>6415</v>
      </c>
      <c r="CW254" s="14">
        <v>26</v>
      </c>
      <c r="CX254" s="118" t="s">
        <v>1068</v>
      </c>
      <c r="CY254" s="118" t="s">
        <v>6341</v>
      </c>
      <c r="CZ254" s="118">
        <v>1</v>
      </c>
      <c r="DA254" s="118" t="s">
        <v>445</v>
      </c>
      <c r="DB254" s="118" t="s">
        <v>446</v>
      </c>
      <c r="DC254" s="118" t="s">
        <v>6415</v>
      </c>
      <c r="DD254" s="118" t="s">
        <v>6302</v>
      </c>
      <c r="DE254" s="118" t="s">
        <v>6303</v>
      </c>
      <c r="DF254" s="118" t="s">
        <v>398</v>
      </c>
      <c r="DG254" s="118" t="s">
        <v>6415</v>
      </c>
      <c r="DH254" s="118" t="s">
        <v>6415</v>
      </c>
      <c r="DI254" s="118" t="s">
        <v>399</v>
      </c>
      <c r="DJ254" s="118" t="s">
        <v>398</v>
      </c>
      <c r="DK254" s="118" t="s">
        <v>400</v>
      </c>
      <c r="DL254" s="118" t="s">
        <v>6415</v>
      </c>
      <c r="DM254" s="118" t="s">
        <v>6415</v>
      </c>
      <c r="DN254" s="118" t="s">
        <v>6415</v>
      </c>
      <c r="DO254" s="118" t="s">
        <v>6415</v>
      </c>
      <c r="DP254" s="118" t="s">
        <v>6415</v>
      </c>
      <c r="DQ254" s="118" t="s">
        <v>6415</v>
      </c>
      <c r="DR254" s="118">
        <v>32</v>
      </c>
      <c r="DS254" s="118" t="s">
        <v>1068</v>
      </c>
      <c r="DT254" s="118" t="s">
        <v>6341</v>
      </c>
      <c r="DU254" s="118" t="s">
        <v>6415</v>
      </c>
      <c r="DV254" s="118" t="s">
        <v>6415</v>
      </c>
      <c r="DW254" s="118" t="s">
        <v>6415</v>
      </c>
      <c r="DX254" s="118" t="s">
        <v>6415</v>
      </c>
      <c r="DY254" s="118" t="s">
        <v>6415</v>
      </c>
      <c r="DZ254" s="118" t="s">
        <v>6415</v>
      </c>
      <c r="EA254" s="118" t="s">
        <v>6415</v>
      </c>
      <c r="EB254" s="118" t="s">
        <v>6415</v>
      </c>
      <c r="EC254" s="118" t="s">
        <v>6415</v>
      </c>
      <c r="ED254" s="118" t="s">
        <v>6415</v>
      </c>
      <c r="EE254" s="118" t="s">
        <v>6415</v>
      </c>
      <c r="EF254" s="118" t="s">
        <v>6415</v>
      </c>
      <c r="EG254" s="118" t="s">
        <v>6986</v>
      </c>
      <c r="EH254" s="118" t="s">
        <v>7145</v>
      </c>
      <c r="EI254" s="118" t="s">
        <v>6415</v>
      </c>
      <c r="EJ254" s="118" t="s">
        <v>6415</v>
      </c>
      <c r="EK254" s="118" t="s">
        <v>6415</v>
      </c>
      <c r="EL254" s="118" t="s">
        <v>7467</v>
      </c>
      <c r="EM254" s="118" t="s">
        <v>7372</v>
      </c>
      <c r="EN254" s="118" t="s">
        <v>6415</v>
      </c>
      <c r="EO254" s="6" t="str">
        <f t="shared" si="22"/>
        <v>Pathweb</v>
      </c>
      <c r="EP254" s="6" t="str">
        <f t="shared" si="23"/>
        <v>Google Maps</v>
      </c>
      <c r="EQ254" s="6" t="str">
        <f t="shared" si="24"/>
        <v>Mashed Map</v>
      </c>
      <c r="ER254" s="118" t="s">
        <v>6727</v>
      </c>
      <c r="ES254" s="118" t="s">
        <v>6728</v>
      </c>
      <c r="ET254" s="4">
        <v>0</v>
      </c>
      <c r="EU254" s="4"/>
      <c r="EV254" s="4"/>
    </row>
    <row r="255" spans="1:152" x14ac:dyDescent="0.15">
      <c r="A255" s="581" t="str">
        <f t="shared" si="21"/>
        <v>Crash Report</v>
      </c>
      <c r="B255" s="118">
        <v>20243114188</v>
      </c>
      <c r="C255" s="118">
        <v>2024</v>
      </c>
      <c r="D255" s="118">
        <v>24070122790901</v>
      </c>
      <c r="F255" s="118" t="s">
        <v>6442</v>
      </c>
      <c r="G255" s="118" t="s">
        <v>402</v>
      </c>
      <c r="H255" s="118">
        <v>2</v>
      </c>
      <c r="I255" s="118" t="s">
        <v>6055</v>
      </c>
      <c r="J255" s="118" t="s">
        <v>434</v>
      </c>
      <c r="K255" s="118" t="s">
        <v>6985</v>
      </c>
      <c r="L255" s="118">
        <v>0.09</v>
      </c>
      <c r="M255" s="118">
        <v>0.09</v>
      </c>
      <c r="N255" s="118" t="s">
        <v>7465</v>
      </c>
      <c r="O255" s="118" t="s">
        <v>7475</v>
      </c>
      <c r="P255" s="118">
        <v>41.64799</v>
      </c>
      <c r="Q255" s="118">
        <v>-83.524354000000002</v>
      </c>
      <c r="R255" s="118">
        <v>77000</v>
      </c>
      <c r="S255" s="118" t="s">
        <v>6988</v>
      </c>
      <c r="T255" s="118">
        <v>1</v>
      </c>
      <c r="U255" s="118">
        <v>0</v>
      </c>
      <c r="V255" s="118">
        <v>0</v>
      </c>
      <c r="W255" s="118">
        <v>0</v>
      </c>
      <c r="X255" s="118">
        <v>0</v>
      </c>
      <c r="Y255" s="118">
        <v>7</v>
      </c>
      <c r="Z255" s="118">
        <v>3</v>
      </c>
      <c r="AA255" s="118">
        <v>2</v>
      </c>
      <c r="AB255" s="118" t="s">
        <v>1067</v>
      </c>
      <c r="AC255" s="118" t="s">
        <v>6989</v>
      </c>
      <c r="AD255" s="118" t="s">
        <v>1034</v>
      </c>
      <c r="AE255" s="118" t="s">
        <v>943</v>
      </c>
      <c r="AF255" s="118" t="s">
        <v>1042</v>
      </c>
      <c r="AG255" s="118" t="s">
        <v>6415</v>
      </c>
      <c r="AH255" s="118" t="s">
        <v>393</v>
      </c>
      <c r="AI255" s="118">
        <v>4</v>
      </c>
      <c r="AJ255" s="118" t="s">
        <v>6415</v>
      </c>
      <c r="AK255" s="118" t="s">
        <v>393</v>
      </c>
      <c r="AL255" s="118" t="s">
        <v>393</v>
      </c>
      <c r="AM255" s="118" t="s">
        <v>393</v>
      </c>
      <c r="AN255" s="402" t="s">
        <v>5975</v>
      </c>
      <c r="AO255" s="402">
        <v>45474</v>
      </c>
      <c r="AP255" s="118">
        <v>7</v>
      </c>
      <c r="AQ255" s="118">
        <v>9</v>
      </c>
      <c r="AR255" s="118" t="s">
        <v>6444</v>
      </c>
      <c r="AS255" s="118" t="s">
        <v>392</v>
      </c>
      <c r="AT255" s="118" t="s">
        <v>500</v>
      </c>
      <c r="AU255" s="118" t="s">
        <v>404</v>
      </c>
      <c r="AV255" s="118" t="s">
        <v>508</v>
      </c>
      <c r="AW255" s="118" t="s">
        <v>393</v>
      </c>
      <c r="AX255" s="118" t="s">
        <v>740</v>
      </c>
      <c r="AY255" s="118" t="s">
        <v>393</v>
      </c>
      <c r="AZ255" s="118" t="s">
        <v>393</v>
      </c>
      <c r="BA255" s="118" t="s">
        <v>393</v>
      </c>
      <c r="BB255" s="118" t="s">
        <v>393</v>
      </c>
      <c r="BC255" s="118" t="s">
        <v>393</v>
      </c>
      <c r="BD255" s="118" t="s">
        <v>393</v>
      </c>
      <c r="BE255" s="118" t="s">
        <v>393</v>
      </c>
      <c r="BF255" s="118" t="s">
        <v>393</v>
      </c>
      <c r="BG255" s="118" t="s">
        <v>393</v>
      </c>
      <c r="BH255" s="118" t="s">
        <v>394</v>
      </c>
      <c r="BI255" s="118" t="s">
        <v>394</v>
      </c>
      <c r="BJ255" s="118" t="s">
        <v>393</v>
      </c>
      <c r="BK255" s="118" t="s">
        <v>6988</v>
      </c>
      <c r="BL255" s="118" t="s">
        <v>6415</v>
      </c>
      <c r="BM255" s="118" t="s">
        <v>6990</v>
      </c>
      <c r="BN255" s="118" t="s">
        <v>6991</v>
      </c>
      <c r="BO255" s="118" t="s">
        <v>6415</v>
      </c>
      <c r="BP255" s="118" t="s">
        <v>6415</v>
      </c>
      <c r="BQ255" s="118" t="s">
        <v>6415</v>
      </c>
      <c r="BR255" s="118" t="s">
        <v>6415</v>
      </c>
      <c r="BS255" s="118" t="s">
        <v>6415</v>
      </c>
      <c r="BT255" s="118" t="s">
        <v>2583</v>
      </c>
      <c r="BU255" s="118" t="s">
        <v>7017</v>
      </c>
      <c r="BV255" s="118" t="s">
        <v>6415</v>
      </c>
      <c r="BW255" s="118" t="s">
        <v>6415</v>
      </c>
      <c r="BX255" s="118" t="s">
        <v>6415</v>
      </c>
      <c r="BY255" s="118" t="s">
        <v>6415</v>
      </c>
      <c r="BZ255" s="118" t="s">
        <v>6415</v>
      </c>
      <c r="CA255" s="118" t="s">
        <v>6415</v>
      </c>
      <c r="CB255" s="118" t="s">
        <v>221</v>
      </c>
      <c r="CC255" s="118" t="s">
        <v>740</v>
      </c>
      <c r="CD255" s="118">
        <v>2</v>
      </c>
      <c r="CE255" s="118" t="s">
        <v>406</v>
      </c>
      <c r="CF255" s="118" t="s">
        <v>405</v>
      </c>
      <c r="CG255" s="118" t="s">
        <v>924</v>
      </c>
      <c r="CH255" s="118" t="s">
        <v>6302</v>
      </c>
      <c r="CI255" s="118" t="s">
        <v>6323</v>
      </c>
      <c r="CJ255" s="118" t="s">
        <v>6384</v>
      </c>
      <c r="CK255" s="118">
        <v>35</v>
      </c>
      <c r="CL255" s="118">
        <v>35</v>
      </c>
      <c r="CM255" s="118" t="s">
        <v>399</v>
      </c>
      <c r="CN255" s="118" t="s">
        <v>6330</v>
      </c>
      <c r="CO255" s="118" t="s">
        <v>1096</v>
      </c>
      <c r="CP255" s="118" t="s">
        <v>400</v>
      </c>
      <c r="CQ255" s="118" t="s">
        <v>6415</v>
      </c>
      <c r="CR255" s="118" t="s">
        <v>6415</v>
      </c>
      <c r="CS255" s="118" t="s">
        <v>6415</v>
      </c>
      <c r="CT255" s="118" t="s">
        <v>6415</v>
      </c>
      <c r="CU255" s="118" t="s">
        <v>6415</v>
      </c>
      <c r="CV255" s="118" t="s">
        <v>6415</v>
      </c>
      <c r="CW255" s="118">
        <v>0</v>
      </c>
      <c r="CX255" s="118" t="s">
        <v>401</v>
      </c>
      <c r="CY255" s="118" t="s">
        <v>6151</v>
      </c>
      <c r="CZ255" s="118">
        <v>1</v>
      </c>
      <c r="DA255" s="118" t="s">
        <v>406</v>
      </c>
      <c r="DB255" s="118" t="s">
        <v>405</v>
      </c>
      <c r="DC255" s="118" t="s">
        <v>6415</v>
      </c>
      <c r="DD255" s="118" t="s">
        <v>6302</v>
      </c>
      <c r="DE255" s="118" t="s">
        <v>6303</v>
      </c>
      <c r="DF255" s="118" t="s">
        <v>398</v>
      </c>
      <c r="DG255" s="118">
        <v>5</v>
      </c>
      <c r="DH255" s="118">
        <v>35</v>
      </c>
      <c r="DI255" s="118" t="s">
        <v>399</v>
      </c>
      <c r="DJ255" s="118" t="s">
        <v>398</v>
      </c>
      <c r="DK255" s="118" t="s">
        <v>400</v>
      </c>
      <c r="DL255" s="118" t="s">
        <v>6415</v>
      </c>
      <c r="DM255" s="118" t="s">
        <v>6415</v>
      </c>
      <c r="DN255" s="118" t="s">
        <v>6415</v>
      </c>
      <c r="DO255" s="118" t="s">
        <v>6415</v>
      </c>
      <c r="DP255" s="118" t="s">
        <v>6415</v>
      </c>
      <c r="DQ255" s="118" t="s">
        <v>6415</v>
      </c>
      <c r="DR255" s="118">
        <v>30</v>
      </c>
      <c r="DS255" s="118" t="s">
        <v>1066</v>
      </c>
      <c r="DT255" s="118" t="s">
        <v>6341</v>
      </c>
      <c r="DU255" s="118" t="s">
        <v>6415</v>
      </c>
      <c r="DV255" s="118" t="s">
        <v>6415</v>
      </c>
      <c r="DW255" s="118" t="s">
        <v>6415</v>
      </c>
      <c r="DX255" s="118" t="s">
        <v>6415</v>
      </c>
      <c r="DY255" s="118" t="s">
        <v>6415</v>
      </c>
      <c r="DZ255" s="118" t="s">
        <v>6415</v>
      </c>
      <c r="EA255" s="118" t="s">
        <v>6415</v>
      </c>
      <c r="EB255" s="118" t="s">
        <v>6415</v>
      </c>
      <c r="EC255" s="118" t="s">
        <v>6415</v>
      </c>
      <c r="ED255" s="118" t="s">
        <v>6415</v>
      </c>
      <c r="EE255" s="118" t="s">
        <v>6415</v>
      </c>
      <c r="EF255" s="118" t="s">
        <v>6415</v>
      </c>
      <c r="EG255" s="118" t="s">
        <v>7028</v>
      </c>
      <c r="EH255" s="118" t="s">
        <v>7029</v>
      </c>
      <c r="EI255" s="118" t="s">
        <v>6415</v>
      </c>
      <c r="EJ255" s="118" t="s">
        <v>6415</v>
      </c>
      <c r="EK255" s="118" t="s">
        <v>6415</v>
      </c>
      <c r="EL255" s="118" t="s">
        <v>7467</v>
      </c>
      <c r="EM255" s="118" t="s">
        <v>7374</v>
      </c>
      <c r="EN255" s="118" t="s">
        <v>6415</v>
      </c>
      <c r="EO255" s="6" t="str">
        <f t="shared" si="22"/>
        <v>Pathweb</v>
      </c>
      <c r="EP255" s="6" t="str">
        <f t="shared" si="23"/>
        <v>Google Maps</v>
      </c>
      <c r="EQ255" s="6" t="str">
        <f t="shared" si="24"/>
        <v>Mashed Map</v>
      </c>
      <c r="ER255" s="118" t="s">
        <v>6727</v>
      </c>
      <c r="ES255" s="118" t="s">
        <v>71</v>
      </c>
      <c r="ET255" s="4">
        <v>0</v>
      </c>
      <c r="EU255" s="4"/>
      <c r="EV255" s="4"/>
    </row>
    <row r="256" spans="1:152" x14ac:dyDescent="0.15">
      <c r="A256" s="581" t="str">
        <f t="shared" si="21"/>
        <v>Crash Report</v>
      </c>
      <c r="B256" s="118">
        <v>20243116315</v>
      </c>
      <c r="C256" s="118">
        <v>2024</v>
      </c>
      <c r="D256" s="118">
        <v>24070520910630</v>
      </c>
      <c r="F256" s="118" t="s">
        <v>6442</v>
      </c>
      <c r="G256" s="118" t="s">
        <v>211</v>
      </c>
      <c r="H256" s="118">
        <v>2</v>
      </c>
      <c r="I256" s="118" t="s">
        <v>6055</v>
      </c>
      <c r="J256" s="118" t="s">
        <v>423</v>
      </c>
      <c r="K256" s="118" t="s">
        <v>6985</v>
      </c>
      <c r="L256" s="118">
        <v>1.0740000000000001</v>
      </c>
      <c r="M256" s="118">
        <v>1.0740000000000001</v>
      </c>
      <c r="N256" s="118" t="s">
        <v>7465</v>
      </c>
      <c r="O256" s="118" t="s">
        <v>7473</v>
      </c>
      <c r="P256" s="118">
        <v>41.656911000000001</v>
      </c>
      <c r="Q256" s="118">
        <v>-83.509613000000002</v>
      </c>
      <c r="R256" s="118">
        <v>77000</v>
      </c>
      <c r="S256" s="118" t="s">
        <v>6988</v>
      </c>
      <c r="T256" s="118">
        <v>1</v>
      </c>
      <c r="U256" s="118">
        <v>0</v>
      </c>
      <c r="V256" s="118">
        <v>0</v>
      </c>
      <c r="W256" s="118">
        <v>0</v>
      </c>
      <c r="X256" s="118">
        <v>0</v>
      </c>
      <c r="Y256" s="118">
        <v>2</v>
      </c>
      <c r="Z256" s="118">
        <v>0</v>
      </c>
      <c r="AA256" s="118">
        <v>2</v>
      </c>
      <c r="AB256" s="118" t="s">
        <v>1067</v>
      </c>
      <c r="AC256" s="118" t="s">
        <v>6989</v>
      </c>
      <c r="AD256" s="118" t="s">
        <v>1034</v>
      </c>
      <c r="AE256" s="118" t="s">
        <v>943</v>
      </c>
      <c r="AF256" s="118" t="s">
        <v>1041</v>
      </c>
      <c r="AG256" s="118" t="s">
        <v>6415</v>
      </c>
      <c r="AH256" s="118" t="s">
        <v>393</v>
      </c>
      <c r="AI256" s="118">
        <v>4</v>
      </c>
      <c r="AJ256" s="118" t="s">
        <v>6415</v>
      </c>
      <c r="AK256" s="118" t="s">
        <v>393</v>
      </c>
      <c r="AL256" s="118" t="s">
        <v>393</v>
      </c>
      <c r="AM256" s="118" t="s">
        <v>393</v>
      </c>
      <c r="AN256" s="402" t="s">
        <v>5975</v>
      </c>
      <c r="AO256" s="402">
        <v>45478</v>
      </c>
      <c r="AP256" s="118">
        <v>7</v>
      </c>
      <c r="AQ256" s="118">
        <v>6</v>
      </c>
      <c r="AR256" s="118" t="s">
        <v>6448</v>
      </c>
      <c r="AS256" s="118" t="s">
        <v>392</v>
      </c>
      <c r="AT256" s="118" t="s">
        <v>500</v>
      </c>
      <c r="AU256" s="118" t="s">
        <v>505</v>
      </c>
      <c r="AV256" s="118" t="s">
        <v>509</v>
      </c>
      <c r="AW256" s="118" t="s">
        <v>393</v>
      </c>
      <c r="AX256" s="118" t="s">
        <v>740</v>
      </c>
      <c r="AY256" s="118" t="s">
        <v>393</v>
      </c>
      <c r="AZ256" s="118" t="s">
        <v>393</v>
      </c>
      <c r="BA256" s="118" t="s">
        <v>393</v>
      </c>
      <c r="BB256" s="118" t="s">
        <v>393</v>
      </c>
      <c r="BC256" s="118" t="s">
        <v>393</v>
      </c>
      <c r="BD256" s="118" t="s">
        <v>393</v>
      </c>
      <c r="BE256" s="118" t="s">
        <v>393</v>
      </c>
      <c r="BF256" s="118" t="s">
        <v>393</v>
      </c>
      <c r="BG256" s="118" t="s">
        <v>393</v>
      </c>
      <c r="BH256" s="118" t="s">
        <v>394</v>
      </c>
      <c r="BI256" s="118" t="s">
        <v>394</v>
      </c>
      <c r="BJ256" s="118" t="s">
        <v>393</v>
      </c>
      <c r="BK256" s="118" t="s">
        <v>6988</v>
      </c>
      <c r="BL256" s="118" t="s">
        <v>6415</v>
      </c>
      <c r="BM256" s="118" t="s">
        <v>7008</v>
      </c>
      <c r="BN256" s="118" t="s">
        <v>6991</v>
      </c>
      <c r="BO256" s="118" t="s">
        <v>6415</v>
      </c>
      <c r="BP256" s="118" t="s">
        <v>6415</v>
      </c>
      <c r="BQ256" s="118" t="s">
        <v>6415</v>
      </c>
      <c r="BR256" s="118" t="s">
        <v>6415</v>
      </c>
      <c r="BS256" s="118" t="s">
        <v>6415</v>
      </c>
      <c r="BT256" s="118" t="s">
        <v>6990</v>
      </c>
      <c r="BU256" s="118" t="s">
        <v>6991</v>
      </c>
      <c r="BV256" s="118" t="s">
        <v>6415</v>
      </c>
      <c r="BW256" s="118" t="s">
        <v>6415</v>
      </c>
      <c r="BX256" s="118" t="s">
        <v>6415</v>
      </c>
      <c r="BY256" s="118" t="s">
        <v>6415</v>
      </c>
      <c r="BZ256" s="118" t="s">
        <v>6415</v>
      </c>
      <c r="CA256" s="118" t="s">
        <v>6415</v>
      </c>
      <c r="CB256" s="118" t="s">
        <v>221</v>
      </c>
      <c r="CC256" s="118" t="s">
        <v>740</v>
      </c>
      <c r="CD256" s="118">
        <v>2</v>
      </c>
      <c r="CE256" s="118" t="s">
        <v>410</v>
      </c>
      <c r="CF256" s="118" t="s">
        <v>411</v>
      </c>
      <c r="CG256" s="118" t="s">
        <v>924</v>
      </c>
      <c r="CH256" s="118" t="s">
        <v>6300</v>
      </c>
      <c r="CI256" s="118" t="s">
        <v>417</v>
      </c>
      <c r="CJ256" s="118" t="s">
        <v>398</v>
      </c>
      <c r="CK256" s="118">
        <v>0</v>
      </c>
      <c r="CL256" s="118">
        <v>35</v>
      </c>
      <c r="CM256" s="118" t="s">
        <v>399</v>
      </c>
      <c r="CN256" s="118" t="s">
        <v>398</v>
      </c>
      <c r="CO256" s="118" t="s">
        <v>1096</v>
      </c>
      <c r="CP256" s="118" t="s">
        <v>400</v>
      </c>
      <c r="CQ256" s="118" t="s">
        <v>6415</v>
      </c>
      <c r="CR256" s="118" t="s">
        <v>6415</v>
      </c>
      <c r="CS256" s="118" t="s">
        <v>6415</v>
      </c>
      <c r="CT256" s="118" t="s">
        <v>6415</v>
      </c>
      <c r="CU256" s="118" t="s">
        <v>6415</v>
      </c>
      <c r="CV256" s="118" t="s">
        <v>6415</v>
      </c>
      <c r="CW256" s="118">
        <v>0</v>
      </c>
      <c r="CX256" s="118" t="s">
        <v>1068</v>
      </c>
      <c r="CY256" s="118" t="s">
        <v>6151</v>
      </c>
      <c r="CZ256" s="118">
        <v>1</v>
      </c>
      <c r="DA256" s="118" t="s">
        <v>406</v>
      </c>
      <c r="DB256" s="118" t="s">
        <v>405</v>
      </c>
      <c r="DC256" s="118" t="s">
        <v>6415</v>
      </c>
      <c r="DD256" s="118" t="s">
        <v>6300</v>
      </c>
      <c r="DE256" s="118" t="s">
        <v>417</v>
      </c>
      <c r="DF256" s="118" t="s">
        <v>398</v>
      </c>
      <c r="DG256" s="118">
        <v>35</v>
      </c>
      <c r="DH256" s="118">
        <v>35</v>
      </c>
      <c r="DI256" s="118" t="s">
        <v>399</v>
      </c>
      <c r="DJ256" s="118" t="s">
        <v>398</v>
      </c>
      <c r="DK256" s="118" t="s">
        <v>400</v>
      </c>
      <c r="DL256" s="118" t="s">
        <v>6415</v>
      </c>
      <c r="DM256" s="118" t="s">
        <v>6415</v>
      </c>
      <c r="DN256" s="118" t="s">
        <v>6415</v>
      </c>
      <c r="DO256" s="118" t="s">
        <v>6415</v>
      </c>
      <c r="DP256" s="118" t="s">
        <v>6415</v>
      </c>
      <c r="DQ256" s="118" t="s">
        <v>6415</v>
      </c>
      <c r="DR256" s="118">
        <v>42</v>
      </c>
      <c r="DS256" s="118" t="s">
        <v>1066</v>
      </c>
      <c r="DT256" s="118" t="s">
        <v>6341</v>
      </c>
      <c r="DU256" s="118" t="s">
        <v>6415</v>
      </c>
      <c r="DV256" s="118" t="s">
        <v>6415</v>
      </c>
      <c r="DW256" s="118" t="s">
        <v>6415</v>
      </c>
      <c r="DX256" s="118" t="s">
        <v>6415</v>
      </c>
      <c r="DY256" s="118" t="s">
        <v>6415</v>
      </c>
      <c r="DZ256" s="118" t="s">
        <v>6415</v>
      </c>
      <c r="EA256" s="118" t="s">
        <v>6415</v>
      </c>
      <c r="EB256" s="118" t="s">
        <v>6415</v>
      </c>
      <c r="EC256" s="118" t="s">
        <v>6415</v>
      </c>
      <c r="ED256" s="118" t="s">
        <v>6415</v>
      </c>
      <c r="EE256" s="118" t="s">
        <v>6415</v>
      </c>
      <c r="EF256" s="118" t="s">
        <v>6415</v>
      </c>
      <c r="EG256" s="118" t="s">
        <v>7006</v>
      </c>
      <c r="EH256" s="118" t="s">
        <v>7007</v>
      </c>
      <c r="EI256" s="118" t="s">
        <v>6415</v>
      </c>
      <c r="EJ256" s="118" t="s">
        <v>6415</v>
      </c>
      <c r="EK256" s="118" t="s">
        <v>6415</v>
      </c>
      <c r="EL256" s="118" t="s">
        <v>7467</v>
      </c>
      <c r="EM256" s="118" t="s">
        <v>7375</v>
      </c>
      <c r="EN256" s="118" t="s">
        <v>6415</v>
      </c>
      <c r="EO256" s="6" t="str">
        <f t="shared" si="22"/>
        <v>Pathweb</v>
      </c>
      <c r="EP256" s="6" t="str">
        <f t="shared" si="23"/>
        <v>Google Maps</v>
      </c>
      <c r="EQ256" s="6" t="str">
        <f t="shared" si="24"/>
        <v>Mashed Map</v>
      </c>
      <c r="ER256" s="118" t="s">
        <v>6727</v>
      </c>
      <c r="ES256" s="118" t="s">
        <v>71</v>
      </c>
      <c r="ET256" s="4">
        <v>0</v>
      </c>
      <c r="EU256" s="4"/>
      <c r="EV256" s="4"/>
    </row>
    <row r="257" spans="1:152" x14ac:dyDescent="0.15">
      <c r="A257" s="581" t="str">
        <f t="shared" si="21"/>
        <v>Crash Report</v>
      </c>
      <c r="B257" s="14">
        <v>20243119905</v>
      </c>
      <c r="C257" s="118">
        <v>2024</v>
      </c>
      <c r="D257" s="14">
        <v>24071025031310</v>
      </c>
      <c r="F257" s="118" t="s">
        <v>6442</v>
      </c>
      <c r="G257" s="118" t="s">
        <v>230</v>
      </c>
      <c r="H257" s="118">
        <v>2</v>
      </c>
      <c r="I257" s="118" t="s">
        <v>6055</v>
      </c>
      <c r="J257" s="118" t="s">
        <v>434</v>
      </c>
      <c r="K257" s="118" t="s">
        <v>6985</v>
      </c>
      <c r="L257" s="118">
        <v>0.72</v>
      </c>
      <c r="M257" s="118">
        <v>0.72</v>
      </c>
      <c r="N257" s="118" t="s">
        <v>7465</v>
      </c>
      <c r="O257" s="118" t="s">
        <v>7476</v>
      </c>
      <c r="P257" s="118">
        <v>41.653736000000002</v>
      </c>
      <c r="Q257" s="118">
        <v>-83.514938000000001</v>
      </c>
      <c r="R257" s="118">
        <v>77000</v>
      </c>
      <c r="S257" s="118" t="s">
        <v>6988</v>
      </c>
      <c r="T257" s="118">
        <v>1</v>
      </c>
      <c r="U257" s="118">
        <v>0</v>
      </c>
      <c r="V257" s="118">
        <v>0</v>
      </c>
      <c r="W257" s="118">
        <v>0</v>
      </c>
      <c r="X257" s="118">
        <v>0</v>
      </c>
      <c r="Y257" s="118">
        <v>4</v>
      </c>
      <c r="Z257" s="118">
        <v>0</v>
      </c>
      <c r="AA257" s="118">
        <v>3</v>
      </c>
      <c r="AB257" s="118" t="s">
        <v>1067</v>
      </c>
      <c r="AC257" s="118" t="s">
        <v>6989</v>
      </c>
      <c r="AD257" s="118" t="s">
        <v>1034</v>
      </c>
      <c r="AE257" s="118" t="s">
        <v>943</v>
      </c>
      <c r="AF257" s="118" t="s">
        <v>1041</v>
      </c>
      <c r="AG257" s="118" t="s">
        <v>6415</v>
      </c>
      <c r="AH257" s="118" t="s">
        <v>393</v>
      </c>
      <c r="AI257" s="118">
        <v>4</v>
      </c>
      <c r="AJ257" s="118" t="s">
        <v>6415</v>
      </c>
      <c r="AK257" s="118" t="s">
        <v>393</v>
      </c>
      <c r="AL257" s="118" t="s">
        <v>393</v>
      </c>
      <c r="AM257" s="118" t="s">
        <v>393</v>
      </c>
      <c r="AN257" s="402" t="s">
        <v>5975</v>
      </c>
      <c r="AO257" s="402">
        <v>45483</v>
      </c>
      <c r="AP257" s="118">
        <v>7</v>
      </c>
      <c r="AQ257" s="118">
        <v>13</v>
      </c>
      <c r="AR257" s="118" t="s">
        <v>6446</v>
      </c>
      <c r="AS257" s="118" t="s">
        <v>420</v>
      </c>
      <c r="AT257" s="118" t="s">
        <v>225</v>
      </c>
      <c r="AU257" s="118" t="s">
        <v>404</v>
      </c>
      <c r="AV257" s="118" t="s">
        <v>508</v>
      </c>
      <c r="AW257" s="118" t="s">
        <v>393</v>
      </c>
      <c r="AX257" s="118" t="s">
        <v>740</v>
      </c>
      <c r="AY257" s="118" t="s">
        <v>393</v>
      </c>
      <c r="AZ257" s="118" t="s">
        <v>393</v>
      </c>
      <c r="BA257" s="118" t="s">
        <v>393</v>
      </c>
      <c r="BB257" s="118" t="s">
        <v>393</v>
      </c>
      <c r="BC257" s="118" t="s">
        <v>393</v>
      </c>
      <c r="BD257" s="118" t="s">
        <v>393</v>
      </c>
      <c r="BE257" s="118" t="s">
        <v>393</v>
      </c>
      <c r="BF257" s="118" t="s">
        <v>740</v>
      </c>
      <c r="BG257" s="118" t="s">
        <v>393</v>
      </c>
      <c r="BH257" s="118" t="s">
        <v>394</v>
      </c>
      <c r="BI257" s="118" t="s">
        <v>394</v>
      </c>
      <c r="BJ257" s="118" t="s">
        <v>393</v>
      </c>
      <c r="BK257" s="118" t="s">
        <v>6988</v>
      </c>
      <c r="BL257" s="118" t="s">
        <v>6415</v>
      </c>
      <c r="BM257" s="118" t="s">
        <v>6990</v>
      </c>
      <c r="BN257" s="118" t="s">
        <v>6991</v>
      </c>
      <c r="BO257" s="118" t="s">
        <v>6415</v>
      </c>
      <c r="BP257" s="118" t="s">
        <v>6415</v>
      </c>
      <c r="BQ257" s="118" t="s">
        <v>6415</v>
      </c>
      <c r="BR257" s="118" t="s">
        <v>6415</v>
      </c>
      <c r="BS257" s="118" t="s">
        <v>6415</v>
      </c>
      <c r="BT257" s="118" t="s">
        <v>7033</v>
      </c>
      <c r="BU257" s="118" t="s">
        <v>6991</v>
      </c>
      <c r="BV257" s="118" t="s">
        <v>6415</v>
      </c>
      <c r="BW257" s="118" t="s">
        <v>6415</v>
      </c>
      <c r="BX257" s="118" t="s">
        <v>6415</v>
      </c>
      <c r="BY257" s="118" t="s">
        <v>6415</v>
      </c>
      <c r="BZ257" s="118" t="s">
        <v>6415</v>
      </c>
      <c r="CA257" s="118" t="s">
        <v>6415</v>
      </c>
      <c r="CB257" s="118" t="s">
        <v>221</v>
      </c>
      <c r="CC257" s="118" t="s">
        <v>740</v>
      </c>
      <c r="CD257" s="118">
        <v>1</v>
      </c>
      <c r="CE257" s="118" t="s">
        <v>406</v>
      </c>
      <c r="CF257" s="118" t="s">
        <v>411</v>
      </c>
      <c r="CG257" s="118" t="s">
        <v>230</v>
      </c>
      <c r="CH257" s="118" t="s">
        <v>433</v>
      </c>
      <c r="CI257" s="118" t="s">
        <v>6305</v>
      </c>
      <c r="CJ257" s="118" t="s">
        <v>398</v>
      </c>
      <c r="CK257" s="14">
        <v>10</v>
      </c>
      <c r="CL257" s="118">
        <v>35</v>
      </c>
      <c r="CM257" s="118" t="s">
        <v>436</v>
      </c>
      <c r="CN257" s="118" t="s">
        <v>6327</v>
      </c>
      <c r="CO257" s="118" t="s">
        <v>1096</v>
      </c>
      <c r="CP257" s="118" t="s">
        <v>400</v>
      </c>
      <c r="CQ257" s="118" t="s">
        <v>400</v>
      </c>
      <c r="CR257" s="118" t="s">
        <v>6415</v>
      </c>
      <c r="CS257" s="118" t="s">
        <v>6415</v>
      </c>
      <c r="CT257" s="118" t="s">
        <v>6415</v>
      </c>
      <c r="CU257" s="118" t="s">
        <v>6415</v>
      </c>
      <c r="CV257" s="118" t="s">
        <v>6415</v>
      </c>
      <c r="CW257" s="14">
        <v>21</v>
      </c>
      <c r="CX257" s="118" t="s">
        <v>1068</v>
      </c>
      <c r="CY257" s="118" t="s">
        <v>6341</v>
      </c>
      <c r="CZ257" s="118">
        <v>2</v>
      </c>
      <c r="DA257" s="118" t="s">
        <v>397</v>
      </c>
      <c r="DB257" s="118" t="s">
        <v>396</v>
      </c>
      <c r="DC257" s="118" t="s">
        <v>6415</v>
      </c>
      <c r="DD257" s="118" t="s">
        <v>6302</v>
      </c>
      <c r="DE257" s="118" t="s">
        <v>6303</v>
      </c>
      <c r="DF257" s="118" t="s">
        <v>398</v>
      </c>
      <c r="DG257" s="118">
        <v>20</v>
      </c>
      <c r="DH257" s="118">
        <v>35</v>
      </c>
      <c r="DI257" s="118" t="s">
        <v>399</v>
      </c>
      <c r="DJ257" s="118" t="s">
        <v>398</v>
      </c>
      <c r="DK257" s="118" t="s">
        <v>400</v>
      </c>
      <c r="DL257" s="118" t="s">
        <v>6415</v>
      </c>
      <c r="DM257" s="118" t="s">
        <v>6415</v>
      </c>
      <c r="DN257" s="118" t="s">
        <v>6415</v>
      </c>
      <c r="DO257" s="118" t="s">
        <v>6415</v>
      </c>
      <c r="DP257" s="118" t="s">
        <v>6415</v>
      </c>
      <c r="DQ257" s="118" t="s">
        <v>6415</v>
      </c>
      <c r="DR257" s="118">
        <v>27</v>
      </c>
      <c r="DS257" s="118" t="s">
        <v>1068</v>
      </c>
      <c r="DT257" s="118" t="s">
        <v>6341</v>
      </c>
      <c r="DU257" s="118">
        <v>3</v>
      </c>
      <c r="DV257" s="118" t="s">
        <v>6302</v>
      </c>
      <c r="DW257" s="118" t="s">
        <v>417</v>
      </c>
      <c r="DX257" s="118" t="s">
        <v>398</v>
      </c>
      <c r="DY257" s="118" t="s">
        <v>6355</v>
      </c>
      <c r="DZ257" s="118" t="s">
        <v>398</v>
      </c>
      <c r="EA257" s="118" t="s">
        <v>400</v>
      </c>
      <c r="EB257" s="118" t="s">
        <v>6415</v>
      </c>
      <c r="EC257" s="118" t="s">
        <v>6415</v>
      </c>
      <c r="ED257" s="118" t="s">
        <v>6415</v>
      </c>
      <c r="EE257" s="118" t="s">
        <v>6415</v>
      </c>
      <c r="EF257" s="118" t="s">
        <v>6415</v>
      </c>
      <c r="EG257" s="118" t="s">
        <v>7031</v>
      </c>
      <c r="EH257" s="118" t="s">
        <v>7184</v>
      </c>
      <c r="EI257" s="118" t="s">
        <v>6415</v>
      </c>
      <c r="EJ257" s="118" t="s">
        <v>6415</v>
      </c>
      <c r="EK257" s="118" t="s">
        <v>6415</v>
      </c>
      <c r="EL257" s="118" t="s">
        <v>7467</v>
      </c>
      <c r="EM257" s="118" t="s">
        <v>7376</v>
      </c>
      <c r="EN257" s="118" t="s">
        <v>6415</v>
      </c>
      <c r="EO257" s="6" t="str">
        <f t="shared" si="22"/>
        <v>Pathweb</v>
      </c>
      <c r="EP257" s="6" t="str">
        <f t="shared" si="23"/>
        <v>Google Maps</v>
      </c>
      <c r="EQ257" s="6" t="str">
        <f t="shared" si="24"/>
        <v>Mashed Map</v>
      </c>
      <c r="ER257" s="118" t="s">
        <v>6727</v>
      </c>
      <c r="ES257" s="118" t="s">
        <v>71</v>
      </c>
      <c r="ET257" s="4">
        <v>0</v>
      </c>
      <c r="EU257" s="4"/>
      <c r="EV257" s="4"/>
    </row>
    <row r="258" spans="1:152" x14ac:dyDescent="0.15">
      <c r="A258" s="581" t="str">
        <f t="shared" si="21"/>
        <v>Crash Report</v>
      </c>
      <c r="B258" s="14">
        <v>20243123403</v>
      </c>
      <c r="C258" s="118">
        <v>2024</v>
      </c>
      <c r="D258" s="14">
        <v>24070980342025</v>
      </c>
      <c r="F258" s="118" t="s">
        <v>6442</v>
      </c>
      <c r="G258" s="118" t="s">
        <v>230</v>
      </c>
      <c r="H258" s="118">
        <v>2</v>
      </c>
      <c r="I258" s="118" t="s">
        <v>6055</v>
      </c>
      <c r="J258" s="118" t="s">
        <v>391</v>
      </c>
      <c r="K258" s="118" t="s">
        <v>6997</v>
      </c>
      <c r="L258" s="118">
        <v>0.379</v>
      </c>
      <c r="M258" s="118">
        <v>0.379</v>
      </c>
      <c r="N258" s="118" t="s">
        <v>7469</v>
      </c>
      <c r="O258" s="118" t="s">
        <v>7489</v>
      </c>
      <c r="P258" s="118">
        <v>41.644770999999999</v>
      </c>
      <c r="Q258" s="118">
        <v>-83.519373999999999</v>
      </c>
      <c r="R258" s="118">
        <v>77000</v>
      </c>
      <c r="S258" s="118" t="s">
        <v>6988</v>
      </c>
      <c r="T258" s="118">
        <v>1</v>
      </c>
      <c r="U258" s="118">
        <v>0</v>
      </c>
      <c r="V258" s="118">
        <v>0</v>
      </c>
      <c r="W258" s="118">
        <v>0</v>
      </c>
      <c r="X258" s="118">
        <v>0</v>
      </c>
      <c r="Y258" s="118">
        <v>4</v>
      </c>
      <c r="Z258" s="118">
        <v>0</v>
      </c>
      <c r="AA258" s="118">
        <v>2</v>
      </c>
      <c r="AB258" s="118" t="s">
        <v>1067</v>
      </c>
      <c r="AC258" s="118" t="s">
        <v>6989</v>
      </c>
      <c r="AD258" s="118" t="s">
        <v>1034</v>
      </c>
      <c r="AE258" s="118" t="s">
        <v>943</v>
      </c>
      <c r="AF258" s="118" t="s">
        <v>1042</v>
      </c>
      <c r="AG258" s="118" t="s">
        <v>6415</v>
      </c>
      <c r="AH258" s="118" t="s">
        <v>393</v>
      </c>
      <c r="AI258" s="118">
        <v>2</v>
      </c>
      <c r="AJ258" s="118" t="s">
        <v>6415</v>
      </c>
      <c r="AK258" s="118" t="s">
        <v>393</v>
      </c>
      <c r="AL258" s="118" t="s">
        <v>393</v>
      </c>
      <c r="AM258" s="118" t="s">
        <v>393</v>
      </c>
      <c r="AN258" s="402" t="s">
        <v>5975</v>
      </c>
      <c r="AO258" s="402">
        <v>45482</v>
      </c>
      <c r="AP258" s="118">
        <v>7</v>
      </c>
      <c r="AQ258" s="118">
        <v>20</v>
      </c>
      <c r="AR258" s="118" t="s">
        <v>6445</v>
      </c>
      <c r="AS258" s="118" t="s">
        <v>420</v>
      </c>
      <c r="AT258" s="118" t="s">
        <v>225</v>
      </c>
      <c r="AU258" s="118" t="s">
        <v>6324</v>
      </c>
      <c r="AV258" s="118" t="s">
        <v>508</v>
      </c>
      <c r="AW258" s="118" t="s">
        <v>393</v>
      </c>
      <c r="AX258" s="118" t="s">
        <v>393</v>
      </c>
      <c r="AY258" s="118" t="s">
        <v>393</v>
      </c>
      <c r="AZ258" s="118" t="s">
        <v>393</v>
      </c>
      <c r="BA258" s="118" t="s">
        <v>393</v>
      </c>
      <c r="BB258" s="118" t="s">
        <v>393</v>
      </c>
      <c r="BC258" s="118" t="s">
        <v>393</v>
      </c>
      <c r="BD258" s="118" t="s">
        <v>393</v>
      </c>
      <c r="BE258" s="118" t="s">
        <v>393</v>
      </c>
      <c r="BF258" s="118" t="s">
        <v>393</v>
      </c>
      <c r="BG258" s="118" t="s">
        <v>393</v>
      </c>
      <c r="BH258" s="118" t="s">
        <v>394</v>
      </c>
      <c r="BI258" s="118" t="s">
        <v>394</v>
      </c>
      <c r="BJ258" s="118" t="s">
        <v>393</v>
      </c>
      <c r="BK258" s="118" t="s">
        <v>6988</v>
      </c>
      <c r="BL258" s="118" t="s">
        <v>6415</v>
      </c>
      <c r="BM258" s="118" t="s">
        <v>6992</v>
      </c>
      <c r="BN258" s="118" t="s">
        <v>6991</v>
      </c>
      <c r="BO258" s="118" t="s">
        <v>6415</v>
      </c>
      <c r="BP258" s="118" t="s">
        <v>6415</v>
      </c>
      <c r="BQ258" s="118" t="s">
        <v>6415</v>
      </c>
      <c r="BR258" s="118" t="s">
        <v>6415</v>
      </c>
      <c r="BS258" s="118" t="s">
        <v>6415</v>
      </c>
      <c r="BT258" s="118" t="s">
        <v>7154</v>
      </c>
      <c r="BU258" s="118" t="s">
        <v>6991</v>
      </c>
      <c r="BV258" s="118" t="s">
        <v>6415</v>
      </c>
      <c r="BW258" s="118" t="s">
        <v>6415</v>
      </c>
      <c r="BX258" s="118" t="s">
        <v>6415</v>
      </c>
      <c r="BY258" s="118" t="s">
        <v>6415</v>
      </c>
      <c r="BZ258" s="118" t="s">
        <v>6415</v>
      </c>
      <c r="CA258" s="118" t="s">
        <v>6415</v>
      </c>
      <c r="CB258" s="118" t="s">
        <v>221</v>
      </c>
      <c r="CC258" s="118" t="s">
        <v>740</v>
      </c>
      <c r="CD258" s="118">
        <v>2</v>
      </c>
      <c r="CE258" s="118" t="s">
        <v>410</v>
      </c>
      <c r="CF258" s="118" t="s">
        <v>397</v>
      </c>
      <c r="CG258" s="118" t="s">
        <v>230</v>
      </c>
      <c r="CH258" s="118" t="s">
        <v>6302</v>
      </c>
      <c r="CI258" s="118" t="s">
        <v>6303</v>
      </c>
      <c r="CJ258" s="118" t="s">
        <v>398</v>
      </c>
      <c r="CK258" s="14">
        <v>35</v>
      </c>
      <c r="CL258" s="118">
        <v>35</v>
      </c>
      <c r="CM258" s="118" t="s">
        <v>408</v>
      </c>
      <c r="CN258" s="118" t="s">
        <v>6330</v>
      </c>
      <c r="CO258" s="118" t="s">
        <v>1096</v>
      </c>
      <c r="CP258" s="118" t="s">
        <v>400</v>
      </c>
      <c r="CQ258" s="118" t="s">
        <v>6415</v>
      </c>
      <c r="CR258" s="118" t="s">
        <v>6415</v>
      </c>
      <c r="CS258" s="118" t="s">
        <v>6415</v>
      </c>
      <c r="CT258" s="118" t="s">
        <v>6415</v>
      </c>
      <c r="CU258" s="118" t="s">
        <v>6415</v>
      </c>
      <c r="CV258" s="118" t="s">
        <v>6415</v>
      </c>
      <c r="CW258" s="14">
        <v>0</v>
      </c>
      <c r="CX258" s="118" t="s">
        <v>1068</v>
      </c>
      <c r="CY258" s="118" t="s">
        <v>6151</v>
      </c>
      <c r="CZ258" s="118">
        <v>1</v>
      </c>
      <c r="DA258" s="118" t="s">
        <v>396</v>
      </c>
      <c r="DB258" s="118" t="s">
        <v>406</v>
      </c>
      <c r="DC258" s="118" t="s">
        <v>6415</v>
      </c>
      <c r="DD258" s="118" t="s">
        <v>6302</v>
      </c>
      <c r="DE258" s="118" t="s">
        <v>417</v>
      </c>
      <c r="DF258" s="118" t="s">
        <v>398</v>
      </c>
      <c r="DG258" s="118">
        <v>35</v>
      </c>
      <c r="DH258" s="118">
        <v>35</v>
      </c>
      <c r="DI258" s="118" t="s">
        <v>399</v>
      </c>
      <c r="DJ258" s="118" t="s">
        <v>398</v>
      </c>
      <c r="DK258" s="118" t="s">
        <v>400</v>
      </c>
      <c r="DL258" s="118" t="s">
        <v>6415</v>
      </c>
      <c r="DM258" s="118" t="s">
        <v>6415</v>
      </c>
      <c r="DN258" s="118" t="s">
        <v>6415</v>
      </c>
      <c r="DO258" s="118" t="s">
        <v>6415</v>
      </c>
      <c r="DP258" s="118" t="s">
        <v>6415</v>
      </c>
      <c r="DQ258" s="118" t="s">
        <v>6415</v>
      </c>
      <c r="DR258" s="118">
        <v>37</v>
      </c>
      <c r="DS258" s="118" t="s">
        <v>1068</v>
      </c>
      <c r="DT258" s="118" t="s">
        <v>6341</v>
      </c>
      <c r="DU258" s="118" t="s">
        <v>6415</v>
      </c>
      <c r="DV258" s="118" t="s">
        <v>6415</v>
      </c>
      <c r="DW258" s="118" t="s">
        <v>6415</v>
      </c>
      <c r="DX258" s="118" t="s">
        <v>6415</v>
      </c>
      <c r="DY258" s="118" t="s">
        <v>6415</v>
      </c>
      <c r="DZ258" s="118" t="s">
        <v>6415</v>
      </c>
      <c r="EA258" s="118" t="s">
        <v>6415</v>
      </c>
      <c r="EB258" s="118" t="s">
        <v>6415</v>
      </c>
      <c r="EC258" s="118" t="s">
        <v>6415</v>
      </c>
      <c r="ED258" s="118" t="s">
        <v>6415</v>
      </c>
      <c r="EE258" s="118" t="s">
        <v>6415</v>
      </c>
      <c r="EF258" s="118" t="s">
        <v>6415</v>
      </c>
      <c r="EG258" s="118" t="s">
        <v>7051</v>
      </c>
      <c r="EH258" s="118" t="s">
        <v>7052</v>
      </c>
      <c r="EI258" s="118" t="s">
        <v>6415</v>
      </c>
      <c r="EJ258" s="118" t="s">
        <v>6415</v>
      </c>
      <c r="EK258" s="118" t="s">
        <v>6415</v>
      </c>
      <c r="EL258" s="118" t="s">
        <v>7467</v>
      </c>
      <c r="EM258" s="118" t="s">
        <v>7377</v>
      </c>
      <c r="EN258" s="118" t="s">
        <v>6415</v>
      </c>
      <c r="EO258" s="6" t="str">
        <f t="shared" si="22"/>
        <v>Pathweb</v>
      </c>
      <c r="EP258" s="6" t="str">
        <f t="shared" si="23"/>
        <v>Google Maps</v>
      </c>
      <c r="EQ258" s="6" t="str">
        <f t="shared" si="24"/>
        <v>Mashed Map</v>
      </c>
      <c r="ER258" s="118" t="s">
        <v>6727</v>
      </c>
      <c r="ES258" s="118" t="s">
        <v>71</v>
      </c>
      <c r="ET258" s="4">
        <v>0</v>
      </c>
      <c r="EU258" s="4"/>
      <c r="EV258" s="4"/>
    </row>
    <row r="259" spans="1:152" x14ac:dyDescent="0.15">
      <c r="A259" s="581" t="str">
        <f t="shared" si="21"/>
        <v>Crash Report</v>
      </c>
      <c r="B259" s="118">
        <v>20243128060</v>
      </c>
      <c r="C259" s="118">
        <v>2024</v>
      </c>
      <c r="D259" s="118">
        <v>24072421941237</v>
      </c>
      <c r="F259" s="118" t="s">
        <v>6442</v>
      </c>
      <c r="G259" s="118" t="s">
        <v>860</v>
      </c>
      <c r="H259" s="118">
        <v>2</v>
      </c>
      <c r="I259" s="118" t="s">
        <v>6055</v>
      </c>
      <c r="J259" s="118" t="s">
        <v>391</v>
      </c>
      <c r="K259" s="118" t="s">
        <v>6985</v>
      </c>
      <c r="L259" s="118">
        <v>0.79400000000000004</v>
      </c>
      <c r="M259" s="118">
        <v>0.79400000000000004</v>
      </c>
      <c r="N259" s="118" t="s">
        <v>7465</v>
      </c>
      <c r="O259" s="118">
        <v>1540</v>
      </c>
      <c r="P259" s="118">
        <v>41.654409000000001</v>
      </c>
      <c r="Q259" s="118">
        <v>-83.513829999999999</v>
      </c>
      <c r="R259" s="118">
        <v>77000</v>
      </c>
      <c r="S259" s="118" t="s">
        <v>6988</v>
      </c>
      <c r="T259" s="118">
        <v>1</v>
      </c>
      <c r="U259" s="118">
        <v>0</v>
      </c>
      <c r="V259" s="118">
        <v>0</v>
      </c>
      <c r="W259" s="118">
        <v>0</v>
      </c>
      <c r="X259" s="118">
        <v>0</v>
      </c>
      <c r="Y259" s="118">
        <v>3</v>
      </c>
      <c r="Z259" s="118">
        <v>0</v>
      </c>
      <c r="AA259" s="118">
        <v>2</v>
      </c>
      <c r="AB259" s="118" t="s">
        <v>1067</v>
      </c>
      <c r="AC259" s="118" t="s">
        <v>6989</v>
      </c>
      <c r="AD259" s="118" t="s">
        <v>1034</v>
      </c>
      <c r="AE259" s="118" t="s">
        <v>943</v>
      </c>
      <c r="AF259" s="118" t="s">
        <v>1041</v>
      </c>
      <c r="AG259" s="118" t="s">
        <v>6415</v>
      </c>
      <c r="AH259" s="118" t="s">
        <v>393</v>
      </c>
      <c r="AI259" s="118">
        <v>4</v>
      </c>
      <c r="AJ259" s="118" t="s">
        <v>6415</v>
      </c>
      <c r="AK259" s="118" t="s">
        <v>393</v>
      </c>
      <c r="AL259" s="118" t="s">
        <v>393</v>
      </c>
      <c r="AM259" s="118" t="s">
        <v>393</v>
      </c>
      <c r="AN259" s="402" t="s">
        <v>5975</v>
      </c>
      <c r="AO259" s="402">
        <v>45497</v>
      </c>
      <c r="AP259" s="118">
        <v>7</v>
      </c>
      <c r="AQ259" s="118">
        <v>12</v>
      </c>
      <c r="AR259" s="118" t="s">
        <v>6446</v>
      </c>
      <c r="AS259" s="118" t="s">
        <v>403</v>
      </c>
      <c r="AT259" s="118" t="s">
        <v>500</v>
      </c>
      <c r="AU259" s="118" t="s">
        <v>404</v>
      </c>
      <c r="AV259" s="118" t="s">
        <v>508</v>
      </c>
      <c r="AW259" s="118" t="s">
        <v>393</v>
      </c>
      <c r="AX259" s="118" t="s">
        <v>393</v>
      </c>
      <c r="AY259" s="118" t="s">
        <v>393</v>
      </c>
      <c r="AZ259" s="118" t="s">
        <v>393</v>
      </c>
      <c r="BA259" s="118" t="s">
        <v>393</v>
      </c>
      <c r="BB259" s="118" t="s">
        <v>393</v>
      </c>
      <c r="BC259" s="118" t="s">
        <v>393</v>
      </c>
      <c r="BD259" s="118" t="s">
        <v>393</v>
      </c>
      <c r="BE259" s="118" t="s">
        <v>740</v>
      </c>
      <c r="BF259" s="118" t="s">
        <v>393</v>
      </c>
      <c r="BG259" s="118" t="s">
        <v>393</v>
      </c>
      <c r="BH259" s="118" t="s">
        <v>394</v>
      </c>
      <c r="BI259" s="118" t="s">
        <v>394</v>
      </c>
      <c r="BJ259" s="118" t="s">
        <v>393</v>
      </c>
      <c r="BK259" s="118" t="s">
        <v>6988</v>
      </c>
      <c r="BL259" s="118" t="s">
        <v>6415</v>
      </c>
      <c r="BM259" s="118" t="s">
        <v>6990</v>
      </c>
      <c r="BN259" s="118" t="s">
        <v>6991</v>
      </c>
      <c r="BO259" s="118" t="s">
        <v>6415</v>
      </c>
      <c r="BP259" s="118" t="s">
        <v>6415</v>
      </c>
      <c r="BQ259" s="118" t="s">
        <v>6415</v>
      </c>
      <c r="BR259" s="118" t="s">
        <v>6415</v>
      </c>
      <c r="BS259" s="118" t="s">
        <v>6415</v>
      </c>
      <c r="BT259" s="118" t="s">
        <v>7309</v>
      </c>
      <c r="BU259" s="118" t="s">
        <v>6415</v>
      </c>
      <c r="BV259" s="118" t="s">
        <v>6415</v>
      </c>
      <c r="BW259" s="118" t="s">
        <v>6415</v>
      </c>
      <c r="BX259" s="118" t="s">
        <v>6415</v>
      </c>
      <c r="BY259" s="118" t="s">
        <v>6415</v>
      </c>
      <c r="BZ259" s="118">
        <v>1540</v>
      </c>
      <c r="CA259" s="118" t="s">
        <v>6415</v>
      </c>
      <c r="CB259" s="118" t="s">
        <v>422</v>
      </c>
      <c r="CC259" s="118" t="s">
        <v>740</v>
      </c>
      <c r="CD259" s="118">
        <v>2</v>
      </c>
      <c r="CE259" s="118" t="s">
        <v>406</v>
      </c>
      <c r="CF259" s="118" t="s">
        <v>410</v>
      </c>
      <c r="CG259" s="118" t="s">
        <v>860</v>
      </c>
      <c r="CH259" s="118" t="s">
        <v>6302</v>
      </c>
      <c r="CI259" s="118" t="s">
        <v>417</v>
      </c>
      <c r="CJ259" s="118" t="s">
        <v>398</v>
      </c>
      <c r="CK259" s="118">
        <v>5</v>
      </c>
      <c r="CL259" s="118">
        <v>40</v>
      </c>
      <c r="CM259" s="118" t="s">
        <v>444</v>
      </c>
      <c r="CN259" s="118" t="s">
        <v>6327</v>
      </c>
      <c r="CO259" s="118" t="s">
        <v>1096</v>
      </c>
      <c r="CP259" s="118" t="s">
        <v>400</v>
      </c>
      <c r="CQ259" s="118" t="s">
        <v>6415</v>
      </c>
      <c r="CR259" s="118" t="s">
        <v>6415</v>
      </c>
      <c r="CS259" s="118" t="s">
        <v>6415</v>
      </c>
      <c r="CT259" s="118" t="s">
        <v>6415</v>
      </c>
      <c r="CU259" s="118" t="s">
        <v>6415</v>
      </c>
      <c r="CV259" s="118" t="s">
        <v>6415</v>
      </c>
      <c r="CW259" s="118">
        <v>77</v>
      </c>
      <c r="CX259" s="118" t="s">
        <v>1068</v>
      </c>
      <c r="CY259" s="118" t="s">
        <v>6341</v>
      </c>
      <c r="CZ259" s="118">
        <v>1</v>
      </c>
      <c r="DA259" s="118" t="s">
        <v>411</v>
      </c>
      <c r="DB259" s="118" t="s">
        <v>410</v>
      </c>
      <c r="DC259" s="118" t="s">
        <v>6415</v>
      </c>
      <c r="DD259" s="118" t="s">
        <v>6302</v>
      </c>
      <c r="DE259" s="118" t="s">
        <v>6303</v>
      </c>
      <c r="DF259" s="118" t="s">
        <v>398</v>
      </c>
      <c r="DG259" s="118">
        <v>35</v>
      </c>
      <c r="DH259" s="118">
        <v>40</v>
      </c>
      <c r="DI259" s="118" t="s">
        <v>399</v>
      </c>
      <c r="DJ259" s="118" t="s">
        <v>398</v>
      </c>
      <c r="DK259" s="118" t="s">
        <v>400</v>
      </c>
      <c r="DL259" s="118" t="s">
        <v>6415</v>
      </c>
      <c r="DM259" s="118" t="s">
        <v>6415</v>
      </c>
      <c r="DN259" s="118" t="s">
        <v>6415</v>
      </c>
      <c r="DO259" s="118" t="s">
        <v>6415</v>
      </c>
      <c r="DP259" s="118" t="s">
        <v>6415</v>
      </c>
      <c r="DQ259" s="118" t="s">
        <v>6415</v>
      </c>
      <c r="DR259" s="118">
        <v>35</v>
      </c>
      <c r="DS259" s="118" t="s">
        <v>1066</v>
      </c>
      <c r="DT259" s="118" t="s">
        <v>6341</v>
      </c>
      <c r="DU259" s="118" t="s">
        <v>6415</v>
      </c>
      <c r="DV259" s="118" t="s">
        <v>6415</v>
      </c>
      <c r="DW259" s="118" t="s">
        <v>6415</v>
      </c>
      <c r="DX259" s="118" t="s">
        <v>6415</v>
      </c>
      <c r="DY259" s="118" t="s">
        <v>6415</v>
      </c>
      <c r="DZ259" s="118" t="s">
        <v>6415</v>
      </c>
      <c r="EA259" s="118" t="s">
        <v>6415</v>
      </c>
      <c r="EB259" s="118" t="s">
        <v>6415</v>
      </c>
      <c r="EC259" s="118" t="s">
        <v>6415</v>
      </c>
      <c r="ED259" s="118" t="s">
        <v>6415</v>
      </c>
      <c r="EE259" s="118" t="s">
        <v>6415</v>
      </c>
      <c r="EF259" s="118" t="s">
        <v>6415</v>
      </c>
      <c r="EG259" s="118" t="s">
        <v>7164</v>
      </c>
      <c r="EH259" s="118" t="s">
        <v>7308</v>
      </c>
      <c r="EI259" s="118" t="s">
        <v>6415</v>
      </c>
      <c r="EJ259" s="118" t="s">
        <v>6415</v>
      </c>
      <c r="EK259" s="118" t="s">
        <v>6415</v>
      </c>
      <c r="EL259" s="118" t="s">
        <v>7467</v>
      </c>
      <c r="EM259" s="118" t="s">
        <v>7378</v>
      </c>
      <c r="EN259" s="118" t="s">
        <v>6415</v>
      </c>
      <c r="EO259" s="6" t="str">
        <f t="shared" si="22"/>
        <v>Pathweb</v>
      </c>
      <c r="EP259" s="6" t="str">
        <f t="shared" si="23"/>
        <v>Google Maps</v>
      </c>
      <c r="EQ259" s="6" t="str">
        <f t="shared" si="24"/>
        <v>Mashed Map</v>
      </c>
      <c r="ER259" s="118" t="s">
        <v>6727</v>
      </c>
      <c r="ES259" s="118" t="s">
        <v>71</v>
      </c>
      <c r="ET259" s="4">
        <v>0</v>
      </c>
      <c r="EU259" s="4"/>
      <c r="EV259" s="4"/>
    </row>
    <row r="260" spans="1:152" x14ac:dyDescent="0.15">
      <c r="A260" s="581" t="str">
        <f t="shared" si="21"/>
        <v>Crash Report</v>
      </c>
      <c r="B260" s="118">
        <v>20243130075</v>
      </c>
      <c r="C260" s="118">
        <v>2024</v>
      </c>
      <c r="D260" s="118">
        <v>24072725821338</v>
      </c>
      <c r="F260" s="118" t="s">
        <v>6442</v>
      </c>
      <c r="G260" s="118" t="s">
        <v>230</v>
      </c>
      <c r="H260" s="118">
        <v>2</v>
      </c>
      <c r="I260" s="118" t="s">
        <v>6055</v>
      </c>
      <c r="J260" s="118" t="s">
        <v>423</v>
      </c>
      <c r="K260" s="118" t="s">
        <v>6985</v>
      </c>
      <c r="L260" s="118">
        <v>0.51100000000000001</v>
      </c>
      <c r="M260" s="118">
        <v>0.51100000000000001</v>
      </c>
      <c r="N260" s="118" t="s">
        <v>7465</v>
      </c>
      <c r="O260" s="118" t="s">
        <v>7468</v>
      </c>
      <c r="P260" s="118">
        <v>41.651831999999999</v>
      </c>
      <c r="Q260" s="118">
        <v>-83.518063999999995</v>
      </c>
      <c r="R260" s="118">
        <v>77000</v>
      </c>
      <c r="S260" s="118" t="s">
        <v>6988</v>
      </c>
      <c r="T260" s="118">
        <v>1</v>
      </c>
      <c r="U260" s="118">
        <v>0</v>
      </c>
      <c r="V260" s="118">
        <v>0</v>
      </c>
      <c r="W260" s="118">
        <v>0</v>
      </c>
      <c r="X260" s="118">
        <v>0</v>
      </c>
      <c r="Y260" s="118">
        <v>6</v>
      </c>
      <c r="Z260" s="118">
        <v>0</v>
      </c>
      <c r="AA260" s="118">
        <v>2</v>
      </c>
      <c r="AB260" s="118" t="s">
        <v>1067</v>
      </c>
      <c r="AC260" s="118" t="s">
        <v>6989</v>
      </c>
      <c r="AD260" s="118" t="s">
        <v>1034</v>
      </c>
      <c r="AE260" s="118" t="s">
        <v>943</v>
      </c>
      <c r="AF260" s="118" t="s">
        <v>1041</v>
      </c>
      <c r="AG260" s="118" t="s">
        <v>6415</v>
      </c>
      <c r="AH260" s="118" t="s">
        <v>393</v>
      </c>
      <c r="AI260" s="118">
        <v>4</v>
      </c>
      <c r="AJ260" s="118" t="s">
        <v>6415</v>
      </c>
      <c r="AK260" s="118" t="s">
        <v>393</v>
      </c>
      <c r="AL260" s="118" t="s">
        <v>393</v>
      </c>
      <c r="AM260" s="118" t="s">
        <v>393</v>
      </c>
      <c r="AN260" s="402" t="s">
        <v>5975</v>
      </c>
      <c r="AO260" s="402">
        <v>45500</v>
      </c>
      <c r="AP260" s="118">
        <v>7</v>
      </c>
      <c r="AQ260" s="118">
        <v>13</v>
      </c>
      <c r="AR260" s="118" t="s">
        <v>6449</v>
      </c>
      <c r="AS260" s="118" t="s">
        <v>392</v>
      </c>
      <c r="AT260" s="118" t="s">
        <v>500</v>
      </c>
      <c r="AU260" s="118" t="s">
        <v>404</v>
      </c>
      <c r="AV260" s="118" t="s">
        <v>508</v>
      </c>
      <c r="AW260" s="118" t="s">
        <v>393</v>
      </c>
      <c r="AX260" s="118" t="s">
        <v>740</v>
      </c>
      <c r="AY260" s="118" t="s">
        <v>393</v>
      </c>
      <c r="AZ260" s="118" t="s">
        <v>393</v>
      </c>
      <c r="BA260" s="118" t="s">
        <v>393</v>
      </c>
      <c r="BB260" s="118" t="s">
        <v>393</v>
      </c>
      <c r="BC260" s="118" t="s">
        <v>393</v>
      </c>
      <c r="BD260" s="118" t="s">
        <v>393</v>
      </c>
      <c r="BE260" s="118" t="s">
        <v>393</v>
      </c>
      <c r="BF260" s="118" t="s">
        <v>740</v>
      </c>
      <c r="BG260" s="118" t="s">
        <v>393</v>
      </c>
      <c r="BH260" s="118" t="s">
        <v>394</v>
      </c>
      <c r="BI260" s="118" t="s">
        <v>394</v>
      </c>
      <c r="BJ260" s="118" t="s">
        <v>393</v>
      </c>
      <c r="BK260" s="118" t="s">
        <v>6988</v>
      </c>
      <c r="BL260" s="118" t="s">
        <v>6415</v>
      </c>
      <c r="BM260" s="118" t="s">
        <v>6990</v>
      </c>
      <c r="BN260" s="118" t="s">
        <v>6991</v>
      </c>
      <c r="BO260" s="118" t="s">
        <v>6415</v>
      </c>
      <c r="BP260" s="118" t="s">
        <v>6415</v>
      </c>
      <c r="BQ260" s="118" t="s">
        <v>6415</v>
      </c>
      <c r="BR260" s="118" t="s">
        <v>6415</v>
      </c>
      <c r="BS260" s="118" t="s">
        <v>261</v>
      </c>
      <c r="BT260" s="118" t="s">
        <v>1791</v>
      </c>
      <c r="BU260" s="118" t="s">
        <v>6991</v>
      </c>
      <c r="BV260" s="118" t="s">
        <v>6415</v>
      </c>
      <c r="BW260" s="118" t="s">
        <v>6415</v>
      </c>
      <c r="BX260" s="118" t="s">
        <v>6415</v>
      </c>
      <c r="BY260" s="118" t="s">
        <v>6415</v>
      </c>
      <c r="BZ260" s="118" t="s">
        <v>6415</v>
      </c>
      <c r="CA260" s="118" t="s">
        <v>6415</v>
      </c>
      <c r="CB260" s="118" t="s">
        <v>221</v>
      </c>
      <c r="CC260" s="118" t="s">
        <v>740</v>
      </c>
      <c r="CD260" s="118">
        <v>2</v>
      </c>
      <c r="CE260" s="118" t="s">
        <v>396</v>
      </c>
      <c r="CF260" s="118" t="s">
        <v>410</v>
      </c>
      <c r="CG260" s="118" t="s">
        <v>230</v>
      </c>
      <c r="CH260" s="118" t="s">
        <v>6300</v>
      </c>
      <c r="CI260" s="118" t="s">
        <v>6303</v>
      </c>
      <c r="CJ260" s="118" t="s">
        <v>398</v>
      </c>
      <c r="CK260" s="118">
        <v>15</v>
      </c>
      <c r="CL260" s="118">
        <v>35</v>
      </c>
      <c r="CM260" s="118" t="s">
        <v>436</v>
      </c>
      <c r="CN260" s="118" t="s">
        <v>6327</v>
      </c>
      <c r="CO260" s="118" t="s">
        <v>1096</v>
      </c>
      <c r="CP260" s="118" t="s">
        <v>400</v>
      </c>
      <c r="CQ260" s="118" t="s">
        <v>6415</v>
      </c>
      <c r="CR260" s="118" t="s">
        <v>6415</v>
      </c>
      <c r="CS260" s="118" t="s">
        <v>6415</v>
      </c>
      <c r="CT260" s="118" t="s">
        <v>6415</v>
      </c>
      <c r="CU260" s="118" t="s">
        <v>6415</v>
      </c>
      <c r="CV260" s="118" t="s">
        <v>6415</v>
      </c>
      <c r="CW260" s="118">
        <v>17</v>
      </c>
      <c r="CX260" s="118" t="s">
        <v>1068</v>
      </c>
      <c r="CY260" s="118" t="s">
        <v>6151</v>
      </c>
      <c r="CZ260" s="118">
        <v>1</v>
      </c>
      <c r="DA260" s="118" t="s">
        <v>397</v>
      </c>
      <c r="DB260" s="118" t="s">
        <v>396</v>
      </c>
      <c r="DC260" s="118" t="s">
        <v>6415</v>
      </c>
      <c r="DD260" s="118" t="s">
        <v>6300</v>
      </c>
      <c r="DE260" s="118" t="s">
        <v>6303</v>
      </c>
      <c r="DF260" s="118" t="s">
        <v>398</v>
      </c>
      <c r="DG260" s="118">
        <v>35</v>
      </c>
      <c r="DH260" s="118">
        <v>35</v>
      </c>
      <c r="DI260" s="118" t="s">
        <v>399</v>
      </c>
      <c r="DJ260" s="118" t="s">
        <v>398</v>
      </c>
      <c r="DK260" s="118" t="s">
        <v>400</v>
      </c>
      <c r="DL260" s="118" t="s">
        <v>6415</v>
      </c>
      <c r="DM260" s="118" t="s">
        <v>6415</v>
      </c>
      <c r="DN260" s="118" t="s">
        <v>6415</v>
      </c>
      <c r="DO260" s="118" t="s">
        <v>6415</v>
      </c>
      <c r="DP260" s="118" t="s">
        <v>6415</v>
      </c>
      <c r="DQ260" s="118" t="s">
        <v>6415</v>
      </c>
      <c r="DR260" s="118">
        <v>36</v>
      </c>
      <c r="DS260" s="118" t="s">
        <v>1068</v>
      </c>
      <c r="DT260" s="118" t="s">
        <v>6341</v>
      </c>
      <c r="DU260" s="118" t="s">
        <v>6415</v>
      </c>
      <c r="DV260" s="118" t="s">
        <v>6415</v>
      </c>
      <c r="DW260" s="118" t="s">
        <v>6415</v>
      </c>
      <c r="DX260" s="118" t="s">
        <v>6415</v>
      </c>
      <c r="DY260" s="118" t="s">
        <v>6415</v>
      </c>
      <c r="DZ260" s="118" t="s">
        <v>6415</v>
      </c>
      <c r="EA260" s="118" t="s">
        <v>6415</v>
      </c>
      <c r="EB260" s="118" t="s">
        <v>6415</v>
      </c>
      <c r="EC260" s="118" t="s">
        <v>6415</v>
      </c>
      <c r="ED260" s="118" t="s">
        <v>6415</v>
      </c>
      <c r="EE260" s="118" t="s">
        <v>6415</v>
      </c>
      <c r="EF260" s="118" t="s">
        <v>6415</v>
      </c>
      <c r="EG260" s="118" t="s">
        <v>6994</v>
      </c>
      <c r="EH260" s="118" t="s">
        <v>7175</v>
      </c>
      <c r="EI260" s="118" t="s">
        <v>6415</v>
      </c>
      <c r="EJ260" s="118" t="s">
        <v>6415</v>
      </c>
      <c r="EK260" s="118" t="s">
        <v>6415</v>
      </c>
      <c r="EL260" s="118" t="s">
        <v>7467</v>
      </c>
      <c r="EM260" s="118" t="s">
        <v>7379</v>
      </c>
      <c r="EN260" s="118" t="s">
        <v>6415</v>
      </c>
      <c r="EO260" s="6" t="str">
        <f t="shared" si="22"/>
        <v>Pathweb</v>
      </c>
      <c r="EP260" s="6" t="str">
        <f t="shared" si="23"/>
        <v>Google Maps</v>
      </c>
      <c r="EQ260" s="6" t="str">
        <f t="shared" si="24"/>
        <v>Mashed Map</v>
      </c>
      <c r="ER260" s="118" t="s">
        <v>6727</v>
      </c>
      <c r="ES260" s="118" t="s">
        <v>71</v>
      </c>
      <c r="ET260" s="4">
        <v>0</v>
      </c>
      <c r="EU260" s="4"/>
      <c r="EV260" s="4"/>
    </row>
    <row r="261" spans="1:152" x14ac:dyDescent="0.15">
      <c r="A261" s="581" t="str">
        <f t="shared" si="21"/>
        <v>Crash Report</v>
      </c>
      <c r="B261" s="14">
        <v>20243131445</v>
      </c>
      <c r="C261" s="118">
        <v>2024</v>
      </c>
      <c r="D261" s="14">
        <v>24073027241526</v>
      </c>
      <c r="F261" s="118" t="s">
        <v>6442</v>
      </c>
      <c r="G261" s="118" t="s">
        <v>390</v>
      </c>
      <c r="H261" s="118">
        <v>2</v>
      </c>
      <c r="I261" s="118" t="s">
        <v>6055</v>
      </c>
      <c r="J261" s="118" t="s">
        <v>391</v>
      </c>
      <c r="K261" s="118" t="s">
        <v>6997</v>
      </c>
      <c r="L261" s="118">
        <v>0.71299999999999997</v>
      </c>
      <c r="M261" s="118">
        <v>0.71299999999999997</v>
      </c>
      <c r="N261" s="118" t="s">
        <v>7469</v>
      </c>
      <c r="O261" s="118" t="s">
        <v>7466</v>
      </c>
      <c r="P261" s="118">
        <v>41.648519</v>
      </c>
      <c r="Q261" s="118">
        <v>-83.523447000000004</v>
      </c>
      <c r="R261" s="118">
        <v>77000</v>
      </c>
      <c r="S261" s="118" t="s">
        <v>6988</v>
      </c>
      <c r="T261" s="118">
        <v>1</v>
      </c>
      <c r="U261" s="118">
        <v>0</v>
      </c>
      <c r="V261" s="118">
        <v>0</v>
      </c>
      <c r="W261" s="118">
        <v>0</v>
      </c>
      <c r="X261" s="118">
        <v>0</v>
      </c>
      <c r="Y261" s="118">
        <v>2</v>
      </c>
      <c r="Z261" s="118">
        <v>0</v>
      </c>
      <c r="AA261" s="118">
        <v>2</v>
      </c>
      <c r="AB261" s="118" t="s">
        <v>1067</v>
      </c>
      <c r="AC261" s="118" t="s">
        <v>6989</v>
      </c>
      <c r="AD261" s="118" t="s">
        <v>1034</v>
      </c>
      <c r="AE261" s="118" t="s">
        <v>943</v>
      </c>
      <c r="AF261" s="118" t="s">
        <v>1042</v>
      </c>
      <c r="AG261" s="118" t="s">
        <v>6415</v>
      </c>
      <c r="AH261" s="118" t="s">
        <v>393</v>
      </c>
      <c r="AI261" s="118">
        <v>2</v>
      </c>
      <c r="AJ261" s="118" t="s">
        <v>6415</v>
      </c>
      <c r="AK261" s="118" t="s">
        <v>393</v>
      </c>
      <c r="AL261" s="118" t="s">
        <v>393</v>
      </c>
      <c r="AM261" s="118" t="s">
        <v>393</v>
      </c>
      <c r="AN261" s="402" t="s">
        <v>5975</v>
      </c>
      <c r="AO261" s="402">
        <v>45503</v>
      </c>
      <c r="AP261" s="118">
        <v>7</v>
      </c>
      <c r="AQ261" s="118">
        <v>15</v>
      </c>
      <c r="AR261" s="118" t="s">
        <v>6445</v>
      </c>
      <c r="AS261" s="118" t="s">
        <v>392</v>
      </c>
      <c r="AT261" s="118" t="s">
        <v>500</v>
      </c>
      <c r="AU261" s="118" t="s">
        <v>404</v>
      </c>
      <c r="AV261" s="118" t="s">
        <v>508</v>
      </c>
      <c r="AW261" s="118" t="s">
        <v>393</v>
      </c>
      <c r="AX261" s="118" t="s">
        <v>740</v>
      </c>
      <c r="AY261" s="118" t="s">
        <v>393</v>
      </c>
      <c r="AZ261" s="118" t="s">
        <v>393</v>
      </c>
      <c r="BA261" s="118" t="s">
        <v>393</v>
      </c>
      <c r="BB261" s="118" t="s">
        <v>393</v>
      </c>
      <c r="BC261" s="118" t="s">
        <v>393</v>
      </c>
      <c r="BD261" s="118" t="s">
        <v>393</v>
      </c>
      <c r="BE261" s="118" t="s">
        <v>393</v>
      </c>
      <c r="BF261" s="118" t="s">
        <v>740</v>
      </c>
      <c r="BG261" s="118" t="s">
        <v>393</v>
      </c>
      <c r="BH261" s="118" t="s">
        <v>394</v>
      </c>
      <c r="BI261" s="118" t="s">
        <v>394</v>
      </c>
      <c r="BJ261" s="118" t="s">
        <v>393</v>
      </c>
      <c r="BK261" s="118" t="s">
        <v>6988</v>
      </c>
      <c r="BL261" s="118" t="s">
        <v>6415</v>
      </c>
      <c r="BM261" s="118" t="s">
        <v>6990</v>
      </c>
      <c r="BN261" s="118" t="s">
        <v>6991</v>
      </c>
      <c r="BO261" s="118" t="s">
        <v>6415</v>
      </c>
      <c r="BP261" s="118" t="s">
        <v>6415</v>
      </c>
      <c r="BQ261" s="118" t="s">
        <v>6415</v>
      </c>
      <c r="BR261" s="118" t="s">
        <v>6415</v>
      </c>
      <c r="BS261" s="118" t="s">
        <v>6415</v>
      </c>
      <c r="BT261" s="118" t="s">
        <v>6992</v>
      </c>
      <c r="BU261" s="118" t="s">
        <v>6991</v>
      </c>
      <c r="BV261" s="118" t="s">
        <v>6415</v>
      </c>
      <c r="BW261" s="118" t="s">
        <v>6415</v>
      </c>
      <c r="BX261" s="118" t="s">
        <v>6415</v>
      </c>
      <c r="BY261" s="118" t="s">
        <v>6415</v>
      </c>
      <c r="BZ261" s="118" t="s">
        <v>6415</v>
      </c>
      <c r="CA261" s="118" t="s">
        <v>6415</v>
      </c>
      <c r="CB261" s="118" t="s">
        <v>221</v>
      </c>
      <c r="CC261" s="118" t="s">
        <v>740</v>
      </c>
      <c r="CD261" s="118">
        <v>2</v>
      </c>
      <c r="CE261" s="118" t="s">
        <v>406</v>
      </c>
      <c r="CF261" s="118" t="s">
        <v>405</v>
      </c>
      <c r="CG261" s="118" t="s">
        <v>924</v>
      </c>
      <c r="CH261" s="118" t="s">
        <v>6300</v>
      </c>
      <c r="CI261" s="118" t="s">
        <v>6303</v>
      </c>
      <c r="CJ261" s="118" t="s">
        <v>398</v>
      </c>
      <c r="CK261" s="14">
        <v>0</v>
      </c>
      <c r="CL261" s="118">
        <v>35</v>
      </c>
      <c r="CM261" s="118" t="s">
        <v>399</v>
      </c>
      <c r="CN261" s="118" t="s">
        <v>6512</v>
      </c>
      <c r="CO261" s="118" t="s">
        <v>1096</v>
      </c>
      <c r="CP261" s="118" t="s">
        <v>400</v>
      </c>
      <c r="CQ261" s="118" t="s">
        <v>6415</v>
      </c>
      <c r="CR261" s="118" t="s">
        <v>6415</v>
      </c>
      <c r="CS261" s="118" t="s">
        <v>6415</v>
      </c>
      <c r="CT261" s="118" t="s">
        <v>6415</v>
      </c>
      <c r="CU261" s="118" t="s">
        <v>6415</v>
      </c>
      <c r="CV261" s="118" t="s">
        <v>6415</v>
      </c>
      <c r="CW261" s="14">
        <v>0</v>
      </c>
      <c r="CX261" s="118" t="s">
        <v>1068</v>
      </c>
      <c r="CY261" s="118" t="s">
        <v>6151</v>
      </c>
      <c r="CZ261" s="118">
        <v>1</v>
      </c>
      <c r="DA261" s="118" t="s">
        <v>406</v>
      </c>
      <c r="DB261" s="118" t="s">
        <v>405</v>
      </c>
      <c r="DC261" s="118" t="s">
        <v>6415</v>
      </c>
      <c r="DD261" s="118" t="s">
        <v>6300</v>
      </c>
      <c r="DE261" s="118" t="s">
        <v>6303</v>
      </c>
      <c r="DF261" s="118" t="s">
        <v>398</v>
      </c>
      <c r="DG261" s="118">
        <v>0</v>
      </c>
      <c r="DH261" s="118">
        <v>35</v>
      </c>
      <c r="DI261" s="118" t="s">
        <v>6355</v>
      </c>
      <c r="DJ261" s="118" t="s">
        <v>398</v>
      </c>
      <c r="DK261" s="118" t="s">
        <v>400</v>
      </c>
      <c r="DL261" s="118" t="s">
        <v>6415</v>
      </c>
      <c r="DM261" s="118" t="s">
        <v>6415</v>
      </c>
      <c r="DN261" s="118" t="s">
        <v>6415</v>
      </c>
      <c r="DO261" s="118" t="s">
        <v>6415</v>
      </c>
      <c r="DP261" s="118" t="s">
        <v>6415</v>
      </c>
      <c r="DQ261" s="118" t="s">
        <v>6415</v>
      </c>
      <c r="DR261" s="118">
        <v>24</v>
      </c>
      <c r="DS261" s="118" t="s">
        <v>1066</v>
      </c>
      <c r="DT261" s="118" t="s">
        <v>6341</v>
      </c>
      <c r="DU261" s="118" t="s">
        <v>6415</v>
      </c>
      <c r="DV261" s="118" t="s">
        <v>6415</v>
      </c>
      <c r="DW261" s="118" t="s">
        <v>6415</v>
      </c>
      <c r="DX261" s="118" t="s">
        <v>6415</v>
      </c>
      <c r="DY261" s="118" t="s">
        <v>6415</v>
      </c>
      <c r="DZ261" s="118" t="s">
        <v>6415</v>
      </c>
      <c r="EA261" s="118" t="s">
        <v>6415</v>
      </c>
      <c r="EB261" s="118" t="s">
        <v>6415</v>
      </c>
      <c r="EC261" s="118" t="s">
        <v>6415</v>
      </c>
      <c r="ED261" s="118" t="s">
        <v>6415</v>
      </c>
      <c r="EE261" s="118" t="s">
        <v>6415</v>
      </c>
      <c r="EF261" s="118" t="s">
        <v>6415</v>
      </c>
      <c r="EG261" s="118" t="s">
        <v>6986</v>
      </c>
      <c r="EH261" s="118" t="s">
        <v>7168</v>
      </c>
      <c r="EI261" s="118" t="s">
        <v>6415</v>
      </c>
      <c r="EJ261" s="118" t="s">
        <v>6415</v>
      </c>
      <c r="EK261" s="118" t="s">
        <v>6415</v>
      </c>
      <c r="EL261" s="118" t="s">
        <v>7467</v>
      </c>
      <c r="EM261" s="118" t="s">
        <v>7380</v>
      </c>
      <c r="EN261" s="118" t="s">
        <v>6415</v>
      </c>
      <c r="EO261" s="6" t="str">
        <f t="shared" si="22"/>
        <v>Pathweb</v>
      </c>
      <c r="EP261" s="6" t="str">
        <f t="shared" si="23"/>
        <v>Google Maps</v>
      </c>
      <c r="EQ261" s="6" t="str">
        <f t="shared" si="24"/>
        <v>Mashed Map</v>
      </c>
      <c r="ER261" s="118" t="s">
        <v>6727</v>
      </c>
      <c r="ES261" s="118" t="s">
        <v>71</v>
      </c>
      <c r="ET261" s="4">
        <v>0</v>
      </c>
      <c r="EU261" s="4"/>
      <c r="EV261" s="4"/>
    </row>
    <row r="262" spans="1:152" x14ac:dyDescent="0.15">
      <c r="A262" s="581" t="str">
        <f t="shared" si="21"/>
        <v>Crash Report</v>
      </c>
      <c r="B262" s="14">
        <v>20243132247</v>
      </c>
      <c r="C262" s="118">
        <v>2024</v>
      </c>
      <c r="D262" s="14">
        <v>24071724051328</v>
      </c>
      <c r="F262" s="118" t="s">
        <v>6440</v>
      </c>
      <c r="G262" s="118" t="s">
        <v>211</v>
      </c>
      <c r="H262" s="118">
        <v>2</v>
      </c>
      <c r="I262" s="118" t="s">
        <v>6055</v>
      </c>
      <c r="J262" s="118" t="s">
        <v>391</v>
      </c>
      <c r="K262" s="118" t="s">
        <v>6985</v>
      </c>
      <c r="L262" s="118">
        <v>0.45200000000000001</v>
      </c>
      <c r="M262" s="118">
        <v>0.45200000000000001</v>
      </c>
      <c r="N262" s="118" t="s">
        <v>7465</v>
      </c>
      <c r="O262" s="118" t="s">
        <v>7490</v>
      </c>
      <c r="P262" s="118">
        <v>41.651294</v>
      </c>
      <c r="Q262" s="118">
        <v>-83.518946</v>
      </c>
      <c r="R262" s="118">
        <v>77000</v>
      </c>
      <c r="S262" s="118" t="s">
        <v>6988</v>
      </c>
      <c r="T262" s="118">
        <v>1</v>
      </c>
      <c r="U262" s="118">
        <v>0</v>
      </c>
      <c r="V262" s="118">
        <v>0</v>
      </c>
      <c r="W262" s="118">
        <v>1</v>
      </c>
      <c r="X262" s="118">
        <v>0</v>
      </c>
      <c r="Y262" s="118">
        <v>3</v>
      </c>
      <c r="Z262" s="118">
        <v>0</v>
      </c>
      <c r="AA262" s="118">
        <v>2</v>
      </c>
      <c r="AB262" s="118" t="s">
        <v>1067</v>
      </c>
      <c r="AC262" s="118" t="s">
        <v>6989</v>
      </c>
      <c r="AD262" s="118" t="s">
        <v>1034</v>
      </c>
      <c r="AE262" s="118" t="s">
        <v>943</v>
      </c>
      <c r="AF262" s="118" t="s">
        <v>1041</v>
      </c>
      <c r="AG262" s="118" t="s">
        <v>6415</v>
      </c>
      <c r="AH262" s="118" t="s">
        <v>393</v>
      </c>
      <c r="AI262" s="118">
        <v>4</v>
      </c>
      <c r="AJ262" s="118" t="s">
        <v>6415</v>
      </c>
      <c r="AK262" s="118" t="s">
        <v>393</v>
      </c>
      <c r="AL262" s="118" t="s">
        <v>393</v>
      </c>
      <c r="AM262" s="118" t="s">
        <v>393</v>
      </c>
      <c r="AN262" s="402" t="s">
        <v>5975</v>
      </c>
      <c r="AO262" s="402">
        <v>45490</v>
      </c>
      <c r="AP262" s="118">
        <v>7</v>
      </c>
      <c r="AQ262" s="118">
        <v>13</v>
      </c>
      <c r="AR262" s="118" t="s">
        <v>6446</v>
      </c>
      <c r="AS262" s="118" t="s">
        <v>392</v>
      </c>
      <c r="AT262" s="118" t="s">
        <v>500</v>
      </c>
      <c r="AU262" s="118" t="s">
        <v>404</v>
      </c>
      <c r="AV262" s="118" t="s">
        <v>508</v>
      </c>
      <c r="AW262" s="118" t="s">
        <v>393</v>
      </c>
      <c r="AX262" s="118" t="s">
        <v>740</v>
      </c>
      <c r="AY262" s="118" t="s">
        <v>393</v>
      </c>
      <c r="AZ262" s="118" t="s">
        <v>393</v>
      </c>
      <c r="BA262" s="118" t="s">
        <v>393</v>
      </c>
      <c r="BB262" s="118" t="s">
        <v>393</v>
      </c>
      <c r="BC262" s="118" t="s">
        <v>393</v>
      </c>
      <c r="BD262" s="118" t="s">
        <v>393</v>
      </c>
      <c r="BE262" s="118" t="s">
        <v>393</v>
      </c>
      <c r="BF262" s="118" t="s">
        <v>740</v>
      </c>
      <c r="BG262" s="118" t="s">
        <v>393</v>
      </c>
      <c r="BH262" s="118" t="s">
        <v>394</v>
      </c>
      <c r="BI262" s="118" t="s">
        <v>394</v>
      </c>
      <c r="BJ262" s="118" t="s">
        <v>393</v>
      </c>
      <c r="BK262" s="118" t="s">
        <v>6988</v>
      </c>
      <c r="BL262" s="118" t="s">
        <v>6415</v>
      </c>
      <c r="BM262" s="118" t="s">
        <v>6990</v>
      </c>
      <c r="BN262" s="118" t="s">
        <v>6991</v>
      </c>
      <c r="BO262" s="118" t="s">
        <v>6415</v>
      </c>
      <c r="BP262" s="118" t="s">
        <v>6415</v>
      </c>
      <c r="BQ262" s="118" t="s">
        <v>6415</v>
      </c>
      <c r="BR262" s="118" t="s">
        <v>6415</v>
      </c>
      <c r="BS262" s="118" t="s">
        <v>6415</v>
      </c>
      <c r="BT262" s="118" t="s">
        <v>2579</v>
      </c>
      <c r="BU262" s="118" t="s">
        <v>6991</v>
      </c>
      <c r="BV262" s="118" t="s">
        <v>6415</v>
      </c>
      <c r="BW262" s="118" t="s">
        <v>6415</v>
      </c>
      <c r="BX262" s="118" t="s">
        <v>6415</v>
      </c>
      <c r="BY262" s="118" t="s">
        <v>6415</v>
      </c>
      <c r="BZ262" s="118" t="s">
        <v>6415</v>
      </c>
      <c r="CA262" s="118" t="s">
        <v>6415</v>
      </c>
      <c r="CB262" s="118" t="s">
        <v>221</v>
      </c>
      <c r="CC262" s="118" t="s">
        <v>740</v>
      </c>
      <c r="CD262" s="118">
        <v>1</v>
      </c>
      <c r="CE262" s="118" t="s">
        <v>406</v>
      </c>
      <c r="CF262" s="118" t="s">
        <v>406</v>
      </c>
      <c r="CG262" s="118" t="s">
        <v>927</v>
      </c>
      <c r="CH262" s="118" t="s">
        <v>6302</v>
      </c>
      <c r="CI262" s="118" t="s">
        <v>6303</v>
      </c>
      <c r="CJ262" s="118" t="s">
        <v>398</v>
      </c>
      <c r="CK262" s="14">
        <v>20</v>
      </c>
      <c r="CL262" s="118">
        <v>35</v>
      </c>
      <c r="CM262" s="118" t="s">
        <v>439</v>
      </c>
      <c r="CN262" s="118" t="s">
        <v>6329</v>
      </c>
      <c r="CO262" s="118" t="s">
        <v>1096</v>
      </c>
      <c r="CP262" s="118" t="s">
        <v>400</v>
      </c>
      <c r="CQ262" s="118" t="s">
        <v>6415</v>
      </c>
      <c r="CR262" s="118" t="s">
        <v>6415</v>
      </c>
      <c r="CS262" s="118" t="s">
        <v>6415</v>
      </c>
      <c r="CT262" s="118" t="s">
        <v>6415</v>
      </c>
      <c r="CU262" s="118" t="s">
        <v>6415</v>
      </c>
      <c r="CV262" s="118" t="s">
        <v>6415</v>
      </c>
      <c r="CW262" s="14">
        <v>38</v>
      </c>
      <c r="CX262" s="118" t="s">
        <v>1066</v>
      </c>
      <c r="CY262" s="118" t="s">
        <v>6341</v>
      </c>
      <c r="CZ262" s="118">
        <v>2</v>
      </c>
      <c r="DA262" s="118" t="s">
        <v>405</v>
      </c>
      <c r="DB262" s="118" t="s">
        <v>410</v>
      </c>
      <c r="DC262" s="118" t="s">
        <v>6415</v>
      </c>
      <c r="DD262" s="118" t="s">
        <v>6302</v>
      </c>
      <c r="DE262" s="118" t="s">
        <v>6303</v>
      </c>
      <c r="DF262" s="118" t="s">
        <v>398</v>
      </c>
      <c r="DG262" s="118">
        <v>20</v>
      </c>
      <c r="DH262" s="118">
        <v>35</v>
      </c>
      <c r="DI262" s="118" t="s">
        <v>436</v>
      </c>
      <c r="DJ262" s="118" t="s">
        <v>398</v>
      </c>
      <c r="DK262" s="118" t="s">
        <v>400</v>
      </c>
      <c r="DL262" s="118" t="s">
        <v>6415</v>
      </c>
      <c r="DM262" s="118" t="s">
        <v>6415</v>
      </c>
      <c r="DN262" s="118" t="s">
        <v>6415</v>
      </c>
      <c r="DO262" s="118" t="s">
        <v>6415</v>
      </c>
      <c r="DP262" s="118" t="s">
        <v>6415</v>
      </c>
      <c r="DQ262" s="118" t="s">
        <v>6415</v>
      </c>
      <c r="DR262" s="118">
        <v>23</v>
      </c>
      <c r="DS262" s="118" t="s">
        <v>1066</v>
      </c>
      <c r="DT262" s="118" t="s">
        <v>6341</v>
      </c>
      <c r="DU262" s="118" t="s">
        <v>6415</v>
      </c>
      <c r="DV262" s="118" t="s">
        <v>6415</v>
      </c>
      <c r="DW262" s="118" t="s">
        <v>6415</v>
      </c>
      <c r="DX262" s="118" t="s">
        <v>6415</v>
      </c>
      <c r="DY262" s="118" t="s">
        <v>6415</v>
      </c>
      <c r="DZ262" s="118" t="s">
        <v>6415</v>
      </c>
      <c r="EA262" s="118" t="s">
        <v>6415</v>
      </c>
      <c r="EB262" s="118" t="s">
        <v>6415</v>
      </c>
      <c r="EC262" s="118" t="s">
        <v>6415</v>
      </c>
      <c r="ED262" s="118" t="s">
        <v>6415</v>
      </c>
      <c r="EE262" s="118" t="s">
        <v>6415</v>
      </c>
      <c r="EF262" s="118" t="s">
        <v>6415</v>
      </c>
      <c r="EG262" s="118" t="s">
        <v>7160</v>
      </c>
      <c r="EH262" s="118" t="s">
        <v>7382</v>
      </c>
      <c r="EI262" s="118" t="s">
        <v>6415</v>
      </c>
      <c r="EJ262" s="118" t="s">
        <v>6415</v>
      </c>
      <c r="EK262" s="118" t="s">
        <v>6415</v>
      </c>
      <c r="EL262" s="118" t="s">
        <v>7467</v>
      </c>
      <c r="EM262" s="118" t="s">
        <v>7381</v>
      </c>
      <c r="EN262" s="118" t="s">
        <v>6415</v>
      </c>
      <c r="EO262" s="6" t="str">
        <f t="shared" si="22"/>
        <v>Pathweb</v>
      </c>
      <c r="EP262" s="6" t="str">
        <f t="shared" si="23"/>
        <v>Google Maps</v>
      </c>
      <c r="EQ262" s="6" t="str">
        <f t="shared" si="24"/>
        <v>Mashed Map</v>
      </c>
      <c r="ER262" s="118" t="s">
        <v>6727</v>
      </c>
      <c r="ES262" s="118" t="s">
        <v>6728</v>
      </c>
      <c r="ET262" s="4">
        <v>0</v>
      </c>
      <c r="EU262" s="4"/>
      <c r="EV262" s="4"/>
    </row>
    <row r="263" spans="1:152" x14ac:dyDescent="0.15">
      <c r="A263" s="581" t="str">
        <f t="shared" si="21"/>
        <v>Crash Report</v>
      </c>
      <c r="B263" s="118">
        <v>20243135830</v>
      </c>
      <c r="C263" s="118">
        <v>2024</v>
      </c>
      <c r="D263" s="118">
        <v>24080628931600</v>
      </c>
      <c r="F263" s="118" t="s">
        <v>6442</v>
      </c>
      <c r="G263" s="118" t="s">
        <v>402</v>
      </c>
      <c r="H263" s="118">
        <v>2</v>
      </c>
      <c r="I263" s="118" t="s">
        <v>6055</v>
      </c>
      <c r="J263" s="118" t="s">
        <v>391</v>
      </c>
      <c r="K263" s="118" t="s">
        <v>6997</v>
      </c>
      <c r="L263" s="118">
        <v>0.71299999999999997</v>
      </c>
      <c r="M263" s="118">
        <v>0.71299999999999997</v>
      </c>
      <c r="N263" s="118" t="s">
        <v>7469</v>
      </c>
      <c r="O263" s="118" t="s">
        <v>7473</v>
      </c>
      <c r="P263" s="118">
        <v>41.648519</v>
      </c>
      <c r="Q263" s="118">
        <v>-83.523447000000004</v>
      </c>
      <c r="R263" s="118">
        <v>77000</v>
      </c>
      <c r="S263" s="118" t="s">
        <v>6988</v>
      </c>
      <c r="T263" s="118">
        <v>1</v>
      </c>
      <c r="U263" s="118">
        <v>0</v>
      </c>
      <c r="V263" s="118">
        <v>0</v>
      </c>
      <c r="W263" s="118">
        <v>0</v>
      </c>
      <c r="X263" s="118">
        <v>0</v>
      </c>
      <c r="Y263" s="118">
        <v>3</v>
      </c>
      <c r="Z263" s="118">
        <v>0</v>
      </c>
      <c r="AA263" s="118">
        <v>2</v>
      </c>
      <c r="AB263" s="118" t="s">
        <v>1067</v>
      </c>
      <c r="AC263" s="118" t="s">
        <v>6989</v>
      </c>
      <c r="AD263" s="118" t="s">
        <v>1034</v>
      </c>
      <c r="AE263" s="118" t="s">
        <v>943</v>
      </c>
      <c r="AF263" s="118" t="s">
        <v>1042</v>
      </c>
      <c r="AG263" s="118" t="s">
        <v>6415</v>
      </c>
      <c r="AH263" s="118" t="s">
        <v>393</v>
      </c>
      <c r="AI263" s="118">
        <v>2</v>
      </c>
      <c r="AJ263" s="118" t="s">
        <v>6415</v>
      </c>
      <c r="AK263" s="118" t="s">
        <v>393</v>
      </c>
      <c r="AL263" s="118" t="s">
        <v>393</v>
      </c>
      <c r="AM263" s="118" t="s">
        <v>393</v>
      </c>
      <c r="AN263" s="402" t="s">
        <v>5975</v>
      </c>
      <c r="AO263" s="402">
        <v>45510</v>
      </c>
      <c r="AP263" s="118">
        <v>8</v>
      </c>
      <c r="AQ263" s="118">
        <v>16</v>
      </c>
      <c r="AR263" s="118" t="s">
        <v>6445</v>
      </c>
      <c r="AS263" s="118" t="s">
        <v>420</v>
      </c>
      <c r="AT263" s="118" t="s">
        <v>225</v>
      </c>
      <c r="AU263" s="118" t="s">
        <v>404</v>
      </c>
      <c r="AV263" s="118" t="s">
        <v>508</v>
      </c>
      <c r="AW263" s="118" t="s">
        <v>393</v>
      </c>
      <c r="AX263" s="118" t="s">
        <v>393</v>
      </c>
      <c r="AY263" s="118" t="s">
        <v>393</v>
      </c>
      <c r="AZ263" s="118" t="s">
        <v>393</v>
      </c>
      <c r="BA263" s="118" t="s">
        <v>393</v>
      </c>
      <c r="BB263" s="118" t="s">
        <v>393</v>
      </c>
      <c r="BC263" s="118" t="s">
        <v>393</v>
      </c>
      <c r="BD263" s="118" t="s">
        <v>393</v>
      </c>
      <c r="BE263" s="118" t="s">
        <v>393</v>
      </c>
      <c r="BF263" s="118" t="s">
        <v>393</v>
      </c>
      <c r="BG263" s="118" t="s">
        <v>393</v>
      </c>
      <c r="BH263" s="118" t="s">
        <v>394</v>
      </c>
      <c r="BI263" s="118" t="s">
        <v>394</v>
      </c>
      <c r="BJ263" s="118" t="s">
        <v>393</v>
      </c>
      <c r="BK263" s="118" t="s">
        <v>6988</v>
      </c>
      <c r="BL263" s="118" t="s">
        <v>6415</v>
      </c>
      <c r="BM263" s="118" t="s">
        <v>6992</v>
      </c>
      <c r="BN263" s="118" t="s">
        <v>6991</v>
      </c>
      <c r="BO263" s="118" t="s">
        <v>6415</v>
      </c>
      <c r="BP263" s="118" t="s">
        <v>6415</v>
      </c>
      <c r="BQ263" s="118" t="s">
        <v>6415</v>
      </c>
      <c r="BR263" s="118" t="s">
        <v>6415</v>
      </c>
      <c r="BS263" s="118" t="s">
        <v>6415</v>
      </c>
      <c r="BT263" s="118" t="s">
        <v>6990</v>
      </c>
      <c r="BU263" s="118" t="s">
        <v>6991</v>
      </c>
      <c r="BV263" s="118" t="s">
        <v>6415</v>
      </c>
      <c r="BW263" s="118" t="s">
        <v>6415</v>
      </c>
      <c r="BX263" s="118" t="s">
        <v>6415</v>
      </c>
      <c r="BY263" s="118" t="s">
        <v>6415</v>
      </c>
      <c r="BZ263" s="118" t="s">
        <v>6415</v>
      </c>
      <c r="CA263" s="118" t="s">
        <v>6415</v>
      </c>
      <c r="CB263" s="118" t="s">
        <v>221</v>
      </c>
      <c r="CC263" s="118" t="s">
        <v>740</v>
      </c>
      <c r="CD263" s="118">
        <v>1</v>
      </c>
      <c r="CE263" s="118" t="s">
        <v>445</v>
      </c>
      <c r="CF263" s="118" t="s">
        <v>446</v>
      </c>
      <c r="CG263" s="118" t="s">
        <v>924</v>
      </c>
      <c r="CH263" s="118" t="s">
        <v>6302</v>
      </c>
      <c r="CI263" s="118" t="s">
        <v>6323</v>
      </c>
      <c r="CJ263" s="118" t="s">
        <v>6151</v>
      </c>
      <c r="CK263" s="118">
        <v>0</v>
      </c>
      <c r="CL263" s="118">
        <v>0</v>
      </c>
      <c r="CM263" s="118" t="s">
        <v>444</v>
      </c>
      <c r="CN263" s="118" t="s">
        <v>6329</v>
      </c>
      <c r="CO263" s="118" t="s">
        <v>1096</v>
      </c>
      <c r="CP263" s="118" t="s">
        <v>400</v>
      </c>
      <c r="CQ263" s="118" t="s">
        <v>6415</v>
      </c>
      <c r="CR263" s="118" t="s">
        <v>6415</v>
      </c>
      <c r="CS263" s="118" t="s">
        <v>6415</v>
      </c>
      <c r="CT263" s="118" t="s">
        <v>6415</v>
      </c>
      <c r="CU263" s="118" t="s">
        <v>6415</v>
      </c>
      <c r="CV263" s="118" t="s">
        <v>6415</v>
      </c>
      <c r="CW263" s="118">
        <v>0</v>
      </c>
      <c r="CX263" s="118" t="s">
        <v>1068</v>
      </c>
      <c r="CY263" s="118" t="s">
        <v>6151</v>
      </c>
      <c r="CZ263" s="118">
        <v>2</v>
      </c>
      <c r="DA263" s="118" t="s">
        <v>445</v>
      </c>
      <c r="DB263" s="118" t="s">
        <v>446</v>
      </c>
      <c r="DC263" s="118" t="s">
        <v>6415</v>
      </c>
      <c r="DD263" s="118" t="s">
        <v>6302</v>
      </c>
      <c r="DE263" s="118" t="s">
        <v>6303</v>
      </c>
      <c r="DF263" s="118" t="s">
        <v>398</v>
      </c>
      <c r="DG263" s="118" t="s">
        <v>6415</v>
      </c>
      <c r="DH263" s="118" t="s">
        <v>6415</v>
      </c>
      <c r="DI263" s="118" t="s">
        <v>399</v>
      </c>
      <c r="DJ263" s="118" t="s">
        <v>398</v>
      </c>
      <c r="DK263" s="118" t="s">
        <v>400</v>
      </c>
      <c r="DL263" s="118" t="s">
        <v>6415</v>
      </c>
      <c r="DM263" s="118" t="s">
        <v>6415</v>
      </c>
      <c r="DN263" s="118" t="s">
        <v>6415</v>
      </c>
      <c r="DO263" s="118" t="s">
        <v>6415</v>
      </c>
      <c r="DP263" s="118" t="s">
        <v>6415</v>
      </c>
      <c r="DQ263" s="118" t="s">
        <v>6415</v>
      </c>
      <c r="DR263" s="118">
        <v>52</v>
      </c>
      <c r="DS263" s="118" t="s">
        <v>1066</v>
      </c>
      <c r="DT263" s="118" t="s">
        <v>6341</v>
      </c>
      <c r="DU263" s="118" t="s">
        <v>6415</v>
      </c>
      <c r="DV263" s="118" t="s">
        <v>6415</v>
      </c>
      <c r="DW263" s="118" t="s">
        <v>6415</v>
      </c>
      <c r="DX263" s="118" t="s">
        <v>6415</v>
      </c>
      <c r="DY263" s="118" t="s">
        <v>6415</v>
      </c>
      <c r="DZ263" s="118" t="s">
        <v>6415</v>
      </c>
      <c r="EA263" s="118" t="s">
        <v>6415</v>
      </c>
      <c r="EB263" s="118" t="s">
        <v>6415</v>
      </c>
      <c r="EC263" s="118" t="s">
        <v>6415</v>
      </c>
      <c r="ED263" s="118" t="s">
        <v>6415</v>
      </c>
      <c r="EE263" s="118" t="s">
        <v>6415</v>
      </c>
      <c r="EF263" s="118" t="s">
        <v>6415</v>
      </c>
      <c r="EG263" s="118" t="s">
        <v>6986</v>
      </c>
      <c r="EH263" s="118" t="s">
        <v>7168</v>
      </c>
      <c r="EI263" s="118" t="s">
        <v>6415</v>
      </c>
      <c r="EJ263" s="118" t="s">
        <v>6415</v>
      </c>
      <c r="EK263" s="118" t="s">
        <v>6415</v>
      </c>
      <c r="EL263" s="118" t="s">
        <v>7467</v>
      </c>
      <c r="EM263" s="118" t="s">
        <v>7383</v>
      </c>
      <c r="EN263" s="118" t="s">
        <v>6415</v>
      </c>
      <c r="EO263" s="6" t="str">
        <f t="shared" si="22"/>
        <v>Pathweb</v>
      </c>
      <c r="EP263" s="6" t="str">
        <f t="shared" si="23"/>
        <v>Google Maps</v>
      </c>
      <c r="EQ263" s="6" t="str">
        <f t="shared" si="24"/>
        <v>Mashed Map</v>
      </c>
      <c r="ER263" s="118" t="s">
        <v>6727</v>
      </c>
      <c r="ES263" s="118" t="s">
        <v>71</v>
      </c>
      <c r="ET263" s="4">
        <v>2E-3</v>
      </c>
      <c r="EU263" s="4"/>
      <c r="EV263" s="4"/>
    </row>
    <row r="264" spans="1:152" x14ac:dyDescent="0.15">
      <c r="A264" s="581" t="str">
        <f t="shared" si="21"/>
        <v>Crash Report</v>
      </c>
      <c r="B264" s="118">
        <v>20243139528</v>
      </c>
      <c r="C264" s="118">
        <v>2024</v>
      </c>
      <c r="D264" s="118">
        <v>24081226541245</v>
      </c>
      <c r="F264" s="118" t="s">
        <v>6442</v>
      </c>
      <c r="G264" s="118" t="s">
        <v>390</v>
      </c>
      <c r="H264" s="118">
        <v>2</v>
      </c>
      <c r="I264" s="118" t="s">
        <v>6055</v>
      </c>
      <c r="J264" s="118" t="s">
        <v>423</v>
      </c>
      <c r="K264" s="118" t="s">
        <v>6997</v>
      </c>
      <c r="L264" s="118">
        <v>0.379</v>
      </c>
      <c r="M264" s="118">
        <v>0.379</v>
      </c>
      <c r="N264" s="118" t="s">
        <v>7469</v>
      </c>
      <c r="O264" s="118" t="s">
        <v>7466</v>
      </c>
      <c r="P264" s="118">
        <v>41.644770999999999</v>
      </c>
      <c r="Q264" s="118">
        <v>-83.519373999999999</v>
      </c>
      <c r="R264" s="118">
        <v>77000</v>
      </c>
      <c r="S264" s="118" t="s">
        <v>6988</v>
      </c>
      <c r="T264" s="118">
        <v>1</v>
      </c>
      <c r="U264" s="118">
        <v>0</v>
      </c>
      <c r="V264" s="118">
        <v>0</v>
      </c>
      <c r="W264" s="118">
        <v>0</v>
      </c>
      <c r="X264" s="118">
        <v>0</v>
      </c>
      <c r="Y264" s="118">
        <v>4</v>
      </c>
      <c r="Z264" s="118">
        <v>0</v>
      </c>
      <c r="AA264" s="118">
        <v>2</v>
      </c>
      <c r="AB264" s="118" t="s">
        <v>1067</v>
      </c>
      <c r="AC264" s="118" t="s">
        <v>6989</v>
      </c>
      <c r="AD264" s="118" t="s">
        <v>1034</v>
      </c>
      <c r="AE264" s="118" t="s">
        <v>943</v>
      </c>
      <c r="AF264" s="118" t="s">
        <v>1042</v>
      </c>
      <c r="AG264" s="118" t="s">
        <v>6415</v>
      </c>
      <c r="AH264" s="118" t="s">
        <v>393</v>
      </c>
      <c r="AI264" s="118">
        <v>2</v>
      </c>
      <c r="AJ264" s="118" t="s">
        <v>6415</v>
      </c>
      <c r="AK264" s="118" t="s">
        <v>393</v>
      </c>
      <c r="AL264" s="118" t="s">
        <v>393</v>
      </c>
      <c r="AM264" s="118" t="s">
        <v>393</v>
      </c>
      <c r="AN264" s="402" t="s">
        <v>5975</v>
      </c>
      <c r="AO264" s="402">
        <v>45516</v>
      </c>
      <c r="AP264" s="118">
        <v>8</v>
      </c>
      <c r="AQ264" s="118">
        <v>12</v>
      </c>
      <c r="AR264" s="118" t="s">
        <v>6444</v>
      </c>
      <c r="AS264" s="118" t="s">
        <v>392</v>
      </c>
      <c r="AT264" s="118" t="s">
        <v>500</v>
      </c>
      <c r="AU264" s="118" t="s">
        <v>404</v>
      </c>
      <c r="AV264" s="118" t="s">
        <v>508</v>
      </c>
      <c r="AW264" s="118" t="s">
        <v>393</v>
      </c>
      <c r="AX264" s="118" t="s">
        <v>740</v>
      </c>
      <c r="AY264" s="118" t="s">
        <v>393</v>
      </c>
      <c r="AZ264" s="118" t="s">
        <v>393</v>
      </c>
      <c r="BA264" s="118" t="s">
        <v>393</v>
      </c>
      <c r="BB264" s="118" t="s">
        <v>393</v>
      </c>
      <c r="BC264" s="118" t="s">
        <v>393</v>
      </c>
      <c r="BD264" s="118" t="s">
        <v>393</v>
      </c>
      <c r="BE264" s="118" t="s">
        <v>393</v>
      </c>
      <c r="BF264" s="118" t="s">
        <v>393</v>
      </c>
      <c r="BG264" s="118" t="s">
        <v>393</v>
      </c>
      <c r="BH264" s="118" t="s">
        <v>394</v>
      </c>
      <c r="BI264" s="118" t="s">
        <v>394</v>
      </c>
      <c r="BJ264" s="118" t="s">
        <v>740</v>
      </c>
      <c r="BK264" s="118" t="s">
        <v>6988</v>
      </c>
      <c r="BL264" s="118" t="s">
        <v>6415</v>
      </c>
      <c r="BM264" s="118" t="s">
        <v>7154</v>
      </c>
      <c r="BN264" s="118" t="s">
        <v>6991</v>
      </c>
      <c r="BO264" s="118" t="s">
        <v>6415</v>
      </c>
      <c r="BP264" s="118" t="s">
        <v>6415</v>
      </c>
      <c r="BQ264" s="118" t="s">
        <v>6415</v>
      </c>
      <c r="BR264" s="118" t="s">
        <v>6415</v>
      </c>
      <c r="BS264" s="118" t="s">
        <v>6415</v>
      </c>
      <c r="BT264" s="118" t="s">
        <v>6992</v>
      </c>
      <c r="BU264" s="118" t="s">
        <v>6991</v>
      </c>
      <c r="BV264" s="118" t="s">
        <v>6415</v>
      </c>
      <c r="BW264" s="118" t="s">
        <v>6415</v>
      </c>
      <c r="BX264" s="118" t="s">
        <v>6415</v>
      </c>
      <c r="BY264" s="118" t="s">
        <v>6415</v>
      </c>
      <c r="BZ264" s="118" t="s">
        <v>6415</v>
      </c>
      <c r="CA264" s="118" t="s">
        <v>6415</v>
      </c>
      <c r="CB264" s="118" t="s">
        <v>221</v>
      </c>
      <c r="CC264" s="118" t="s">
        <v>740</v>
      </c>
      <c r="CD264" s="118">
        <v>1</v>
      </c>
      <c r="CE264" s="118" t="s">
        <v>396</v>
      </c>
      <c r="CF264" s="118" t="s">
        <v>397</v>
      </c>
      <c r="CG264" s="118" t="s">
        <v>924</v>
      </c>
      <c r="CH264" s="118" t="s">
        <v>6300</v>
      </c>
      <c r="CI264" s="118" t="s">
        <v>6303</v>
      </c>
      <c r="CJ264" s="118" t="s">
        <v>398</v>
      </c>
      <c r="CK264" s="118">
        <v>15</v>
      </c>
      <c r="CL264" s="118">
        <v>25</v>
      </c>
      <c r="CM264" s="118" t="s">
        <v>399</v>
      </c>
      <c r="CN264" s="118" t="s">
        <v>6512</v>
      </c>
      <c r="CO264" s="118" t="s">
        <v>1096</v>
      </c>
      <c r="CP264" s="118" t="s">
        <v>400</v>
      </c>
      <c r="CQ264" s="118" t="s">
        <v>6415</v>
      </c>
      <c r="CR264" s="118" t="s">
        <v>6415</v>
      </c>
      <c r="CS264" s="118" t="s">
        <v>6415</v>
      </c>
      <c r="CT264" s="118" t="s">
        <v>6415</v>
      </c>
      <c r="CU264" s="118" t="s">
        <v>6415</v>
      </c>
      <c r="CV264" s="118" t="s">
        <v>6415</v>
      </c>
      <c r="CW264" s="118">
        <v>42</v>
      </c>
      <c r="CX264" s="118" t="s">
        <v>1068</v>
      </c>
      <c r="CY264" s="118" t="s">
        <v>6347</v>
      </c>
      <c r="CZ264" s="118">
        <v>2</v>
      </c>
      <c r="DA264" s="118" t="s">
        <v>396</v>
      </c>
      <c r="DB264" s="118" t="s">
        <v>397</v>
      </c>
      <c r="DC264" s="118" t="s">
        <v>6415</v>
      </c>
      <c r="DD264" s="118" t="s">
        <v>6300</v>
      </c>
      <c r="DE264" s="118" t="s">
        <v>6303</v>
      </c>
      <c r="DF264" s="118" t="s">
        <v>398</v>
      </c>
      <c r="DG264" s="118">
        <v>0</v>
      </c>
      <c r="DH264" s="118">
        <v>25</v>
      </c>
      <c r="DI264" s="118" t="s">
        <v>6355</v>
      </c>
      <c r="DJ264" s="118" t="s">
        <v>398</v>
      </c>
      <c r="DK264" s="118" t="s">
        <v>400</v>
      </c>
      <c r="DL264" s="118" t="s">
        <v>6415</v>
      </c>
      <c r="DM264" s="118" t="s">
        <v>6415</v>
      </c>
      <c r="DN264" s="118" t="s">
        <v>6415</v>
      </c>
      <c r="DO264" s="118" t="s">
        <v>6415</v>
      </c>
      <c r="DP264" s="118" t="s">
        <v>6415</v>
      </c>
      <c r="DQ264" s="118" t="s">
        <v>6415</v>
      </c>
      <c r="DR264" s="118">
        <v>56</v>
      </c>
      <c r="DS264" s="118" t="s">
        <v>1068</v>
      </c>
      <c r="DT264" s="118" t="s">
        <v>6341</v>
      </c>
      <c r="DU264" s="118" t="s">
        <v>6415</v>
      </c>
      <c r="DV264" s="118" t="s">
        <v>6415</v>
      </c>
      <c r="DW264" s="118" t="s">
        <v>6415</v>
      </c>
      <c r="DX264" s="118" t="s">
        <v>6415</v>
      </c>
      <c r="DY264" s="118" t="s">
        <v>6415</v>
      </c>
      <c r="DZ264" s="118" t="s">
        <v>6415</v>
      </c>
      <c r="EA264" s="118" t="s">
        <v>6415</v>
      </c>
      <c r="EB264" s="118" t="s">
        <v>6415</v>
      </c>
      <c r="EC264" s="118" t="s">
        <v>6415</v>
      </c>
      <c r="ED264" s="118" t="s">
        <v>6415</v>
      </c>
      <c r="EE264" s="118" t="s">
        <v>6415</v>
      </c>
      <c r="EF264" s="118" t="s">
        <v>6415</v>
      </c>
      <c r="EG264" s="118" t="s">
        <v>7051</v>
      </c>
      <c r="EH264" s="118" t="s">
        <v>7052</v>
      </c>
      <c r="EI264" s="118" t="s">
        <v>6415</v>
      </c>
      <c r="EJ264" s="118" t="s">
        <v>6415</v>
      </c>
      <c r="EK264" s="118" t="s">
        <v>6415</v>
      </c>
      <c r="EL264" s="118" t="s">
        <v>7467</v>
      </c>
      <c r="EM264" s="118" t="s">
        <v>7384</v>
      </c>
      <c r="EN264" s="118" t="s">
        <v>6415</v>
      </c>
      <c r="EO264" s="6" t="str">
        <f t="shared" si="22"/>
        <v>Pathweb</v>
      </c>
      <c r="EP264" s="6" t="str">
        <f t="shared" si="23"/>
        <v>Google Maps</v>
      </c>
      <c r="EQ264" s="6" t="str">
        <f t="shared" si="24"/>
        <v>Mashed Map</v>
      </c>
      <c r="ER264" s="118" t="s">
        <v>6727</v>
      </c>
      <c r="ES264" s="118" t="s">
        <v>71</v>
      </c>
      <c r="ET264" s="4">
        <v>2E-3</v>
      </c>
      <c r="EU264" s="4"/>
      <c r="EV264" s="4"/>
    </row>
    <row r="265" spans="1:152" x14ac:dyDescent="0.15">
      <c r="A265" s="581" t="str">
        <f t="shared" si="21"/>
        <v>Crash Report</v>
      </c>
      <c r="B265" s="14">
        <v>20243149835</v>
      </c>
      <c r="C265" s="118">
        <v>2024</v>
      </c>
      <c r="D265" s="14">
        <v>24082729041623</v>
      </c>
      <c r="F265" s="118" t="s">
        <v>6442</v>
      </c>
      <c r="G265" s="118" t="s">
        <v>230</v>
      </c>
      <c r="H265" s="118">
        <v>2</v>
      </c>
      <c r="I265" s="118" t="s">
        <v>6055</v>
      </c>
      <c r="J265" s="118" t="s">
        <v>391</v>
      </c>
      <c r="K265" s="118" t="s">
        <v>6985</v>
      </c>
      <c r="L265" s="118">
        <v>0.33300000000000002</v>
      </c>
      <c r="M265" s="118">
        <v>0.33300000000000002</v>
      </c>
      <c r="N265" s="118" t="s">
        <v>7465</v>
      </c>
      <c r="O265" s="118" t="s">
        <v>7487</v>
      </c>
      <c r="P265" s="118">
        <v>41.650205999999997</v>
      </c>
      <c r="Q265" s="118">
        <v>-83.520722000000006</v>
      </c>
      <c r="R265" s="118">
        <v>77000</v>
      </c>
      <c r="S265" s="118" t="s">
        <v>6988</v>
      </c>
      <c r="T265" s="118">
        <v>1</v>
      </c>
      <c r="U265" s="118">
        <v>0</v>
      </c>
      <c r="V265" s="118">
        <v>0</v>
      </c>
      <c r="W265" s="118">
        <v>0</v>
      </c>
      <c r="X265" s="118">
        <v>0</v>
      </c>
      <c r="Y265" s="118">
        <v>2</v>
      </c>
      <c r="Z265" s="118">
        <v>0</v>
      </c>
      <c r="AA265" s="118">
        <v>2</v>
      </c>
      <c r="AB265" s="118" t="s">
        <v>1067</v>
      </c>
      <c r="AC265" s="118" t="s">
        <v>6989</v>
      </c>
      <c r="AD265" s="118" t="s">
        <v>1034</v>
      </c>
      <c r="AE265" s="118" t="s">
        <v>943</v>
      </c>
      <c r="AF265" s="118" t="s">
        <v>1041</v>
      </c>
      <c r="AG265" s="118" t="s">
        <v>6415</v>
      </c>
      <c r="AH265" s="118" t="s">
        <v>393</v>
      </c>
      <c r="AI265" s="118">
        <v>4</v>
      </c>
      <c r="AJ265" s="118" t="s">
        <v>6415</v>
      </c>
      <c r="AK265" s="118" t="s">
        <v>393</v>
      </c>
      <c r="AL265" s="118" t="s">
        <v>393</v>
      </c>
      <c r="AM265" s="118" t="s">
        <v>393</v>
      </c>
      <c r="AN265" s="402" t="s">
        <v>5975</v>
      </c>
      <c r="AO265" s="402">
        <v>45531</v>
      </c>
      <c r="AP265" s="118">
        <v>8</v>
      </c>
      <c r="AQ265" s="118">
        <v>16</v>
      </c>
      <c r="AR265" s="118" t="s">
        <v>6445</v>
      </c>
      <c r="AS265" s="118" t="s">
        <v>392</v>
      </c>
      <c r="AT265" s="118" t="s">
        <v>500</v>
      </c>
      <c r="AU265" s="118" t="s">
        <v>404</v>
      </c>
      <c r="AV265" s="118" t="s">
        <v>508</v>
      </c>
      <c r="AW265" s="118" t="s">
        <v>393</v>
      </c>
      <c r="AX265" s="118" t="s">
        <v>393</v>
      </c>
      <c r="AY265" s="118" t="s">
        <v>393</v>
      </c>
      <c r="AZ265" s="118" t="s">
        <v>393</v>
      </c>
      <c r="BA265" s="118" t="s">
        <v>393</v>
      </c>
      <c r="BB265" s="118" t="s">
        <v>393</v>
      </c>
      <c r="BC265" s="118" t="s">
        <v>393</v>
      </c>
      <c r="BD265" s="118" t="s">
        <v>393</v>
      </c>
      <c r="BE265" s="118" t="s">
        <v>393</v>
      </c>
      <c r="BF265" s="118" t="s">
        <v>393</v>
      </c>
      <c r="BG265" s="118" t="s">
        <v>393</v>
      </c>
      <c r="BH265" s="118" t="s">
        <v>394</v>
      </c>
      <c r="BI265" s="118" t="s">
        <v>394</v>
      </c>
      <c r="BJ265" s="118" t="s">
        <v>393</v>
      </c>
      <c r="BK265" s="118" t="s">
        <v>6988</v>
      </c>
      <c r="BL265" s="118" t="s">
        <v>6415</v>
      </c>
      <c r="BM265" s="118" t="s">
        <v>6990</v>
      </c>
      <c r="BN265" s="118" t="s">
        <v>6991</v>
      </c>
      <c r="BO265" s="118" t="s">
        <v>6415</v>
      </c>
      <c r="BP265" s="118" t="s">
        <v>6415</v>
      </c>
      <c r="BQ265" s="118" t="s">
        <v>6415</v>
      </c>
      <c r="BR265" s="118" t="s">
        <v>6415</v>
      </c>
      <c r="BS265" s="118" t="s">
        <v>6415</v>
      </c>
      <c r="BT265" s="118" t="s">
        <v>7123</v>
      </c>
      <c r="BU265" s="118" t="s">
        <v>7057</v>
      </c>
      <c r="BV265" s="118" t="s">
        <v>6415</v>
      </c>
      <c r="BW265" s="118" t="s">
        <v>6415</v>
      </c>
      <c r="BX265" s="118" t="s">
        <v>6415</v>
      </c>
      <c r="BY265" s="118" t="s">
        <v>6415</v>
      </c>
      <c r="BZ265" s="118" t="s">
        <v>6415</v>
      </c>
      <c r="CA265" s="118" t="s">
        <v>6415</v>
      </c>
      <c r="CB265" s="118" t="s">
        <v>221</v>
      </c>
      <c r="CC265" s="118" t="s">
        <v>740</v>
      </c>
      <c r="CD265" s="118">
        <v>2</v>
      </c>
      <c r="CE265" s="118" t="s">
        <v>406</v>
      </c>
      <c r="CF265" s="118" t="s">
        <v>405</v>
      </c>
      <c r="CG265" s="118" t="s">
        <v>924</v>
      </c>
      <c r="CH265" s="118" t="s">
        <v>6302</v>
      </c>
      <c r="CI265" s="118" t="s">
        <v>6305</v>
      </c>
      <c r="CJ265" s="118" t="s">
        <v>6151</v>
      </c>
      <c r="CK265" s="14">
        <v>0</v>
      </c>
      <c r="CL265" s="118">
        <v>0</v>
      </c>
      <c r="CM265" s="118" t="s">
        <v>399</v>
      </c>
      <c r="CN265" s="118" t="s">
        <v>407</v>
      </c>
      <c r="CO265" s="118" t="s">
        <v>1096</v>
      </c>
      <c r="CP265" s="118" t="s">
        <v>400</v>
      </c>
      <c r="CQ265" s="118" t="s">
        <v>6415</v>
      </c>
      <c r="CR265" s="118" t="s">
        <v>6415</v>
      </c>
      <c r="CS265" s="118" t="s">
        <v>6415</v>
      </c>
      <c r="CT265" s="118" t="s">
        <v>6415</v>
      </c>
      <c r="CU265" s="118" t="s">
        <v>6415</v>
      </c>
      <c r="CV265" s="118" t="s">
        <v>6415</v>
      </c>
      <c r="CW265" s="14">
        <v>50</v>
      </c>
      <c r="CX265" s="118" t="s">
        <v>1068</v>
      </c>
      <c r="CY265" s="118" t="s">
        <v>6348</v>
      </c>
      <c r="CZ265" s="118">
        <v>1</v>
      </c>
      <c r="DA265" s="118" t="s">
        <v>405</v>
      </c>
      <c r="DB265" s="118" t="s">
        <v>406</v>
      </c>
      <c r="DC265" s="118" t="s">
        <v>6415</v>
      </c>
      <c r="DD265" s="118" t="s">
        <v>6302</v>
      </c>
      <c r="DE265" s="118" t="s">
        <v>6305</v>
      </c>
      <c r="DF265" s="118" t="s">
        <v>6151</v>
      </c>
      <c r="DG265" s="118" t="s">
        <v>6415</v>
      </c>
      <c r="DH265" s="118" t="s">
        <v>6415</v>
      </c>
      <c r="DI265" s="118" t="s">
        <v>399</v>
      </c>
      <c r="DJ265" s="118" t="s">
        <v>398</v>
      </c>
      <c r="DK265" s="118" t="s">
        <v>400</v>
      </c>
      <c r="DL265" s="118" t="s">
        <v>6415</v>
      </c>
      <c r="DM265" s="118" t="s">
        <v>6415</v>
      </c>
      <c r="DN265" s="118" t="s">
        <v>6415</v>
      </c>
      <c r="DO265" s="118" t="s">
        <v>6415</v>
      </c>
      <c r="DP265" s="118" t="s">
        <v>6415</v>
      </c>
      <c r="DQ265" s="118" t="s">
        <v>6415</v>
      </c>
      <c r="DR265" s="118">
        <v>48</v>
      </c>
      <c r="DS265" s="118" t="s">
        <v>1068</v>
      </c>
      <c r="DT265" s="118" t="s">
        <v>6341</v>
      </c>
      <c r="DU265" s="118" t="s">
        <v>6415</v>
      </c>
      <c r="DV265" s="118" t="s">
        <v>6415</v>
      </c>
      <c r="DW265" s="118" t="s">
        <v>6415</v>
      </c>
      <c r="DX265" s="118" t="s">
        <v>6415</v>
      </c>
      <c r="DY265" s="118" t="s">
        <v>6415</v>
      </c>
      <c r="DZ265" s="118" t="s">
        <v>6415</v>
      </c>
      <c r="EA265" s="118" t="s">
        <v>6415</v>
      </c>
      <c r="EB265" s="118" t="s">
        <v>6415</v>
      </c>
      <c r="EC265" s="118" t="s">
        <v>6415</v>
      </c>
      <c r="ED265" s="118" t="s">
        <v>6415</v>
      </c>
      <c r="EE265" s="118" t="s">
        <v>6415</v>
      </c>
      <c r="EF265" s="118" t="s">
        <v>6415</v>
      </c>
      <c r="EG265" s="118" t="s">
        <v>7121</v>
      </c>
      <c r="EH265" s="118" t="s">
        <v>7122</v>
      </c>
      <c r="EI265" s="118" t="s">
        <v>6415</v>
      </c>
      <c r="EJ265" s="118" t="s">
        <v>6415</v>
      </c>
      <c r="EK265" s="118" t="s">
        <v>6415</v>
      </c>
      <c r="EL265" s="118" t="s">
        <v>7467</v>
      </c>
      <c r="EM265" s="118" t="s">
        <v>7385</v>
      </c>
      <c r="EN265" s="118" t="s">
        <v>6415</v>
      </c>
      <c r="EO265" s="6" t="str">
        <f t="shared" si="22"/>
        <v>Pathweb</v>
      </c>
      <c r="EP265" s="6" t="str">
        <f t="shared" si="23"/>
        <v>Google Maps</v>
      </c>
      <c r="EQ265" s="6" t="str">
        <f t="shared" si="24"/>
        <v>Mashed Map</v>
      </c>
      <c r="ER265" s="118" t="s">
        <v>6727</v>
      </c>
      <c r="ES265" s="118" t="s">
        <v>71</v>
      </c>
      <c r="ET265" s="4">
        <v>0</v>
      </c>
      <c r="EU265" s="4"/>
      <c r="EV265" s="4"/>
    </row>
    <row r="266" spans="1:152" x14ac:dyDescent="0.15">
      <c r="A266" s="581" t="str">
        <f t="shared" si="21"/>
        <v>Crash Report</v>
      </c>
      <c r="B266" s="14">
        <v>20243149838</v>
      </c>
      <c r="C266" s="118">
        <v>2024</v>
      </c>
      <c r="D266" s="14">
        <v>24082729851708</v>
      </c>
      <c r="F266" s="118" t="s">
        <v>6441</v>
      </c>
      <c r="G266" s="118" t="s">
        <v>211</v>
      </c>
      <c r="H266" s="118">
        <v>2</v>
      </c>
      <c r="I266" s="118" t="s">
        <v>6055</v>
      </c>
      <c r="J266" s="118" t="s">
        <v>391</v>
      </c>
      <c r="K266" s="118" t="s">
        <v>6985</v>
      </c>
      <c r="L266" s="118">
        <v>0.23699999999999999</v>
      </c>
      <c r="M266" s="118">
        <v>0.23699999999999999</v>
      </c>
      <c r="N266" s="118" t="s">
        <v>7465</v>
      </c>
      <c r="O266" s="118">
        <v>705</v>
      </c>
      <c r="P266" s="118">
        <v>41.649332000000001</v>
      </c>
      <c r="Q266" s="118">
        <v>-83.522158000000005</v>
      </c>
      <c r="R266" s="118">
        <v>77000</v>
      </c>
      <c r="S266" s="118" t="s">
        <v>6988</v>
      </c>
      <c r="T266" s="118">
        <v>1</v>
      </c>
      <c r="U266" s="118">
        <v>0</v>
      </c>
      <c r="V266" s="118">
        <v>0</v>
      </c>
      <c r="W266" s="118">
        <v>0</v>
      </c>
      <c r="X266" s="118">
        <v>2</v>
      </c>
      <c r="Y266" s="118">
        <v>1</v>
      </c>
      <c r="Z266" s="118">
        <v>0</v>
      </c>
      <c r="AA266" s="118">
        <v>2</v>
      </c>
      <c r="AB266" s="118" t="s">
        <v>1067</v>
      </c>
      <c r="AC266" s="118" t="s">
        <v>6989</v>
      </c>
      <c r="AD266" s="118" t="s">
        <v>1034</v>
      </c>
      <c r="AE266" s="118" t="s">
        <v>943</v>
      </c>
      <c r="AF266" s="118" t="s">
        <v>1041</v>
      </c>
      <c r="AG266" s="118" t="s">
        <v>6415</v>
      </c>
      <c r="AH266" s="118" t="s">
        <v>393</v>
      </c>
      <c r="AI266" s="118">
        <v>4</v>
      </c>
      <c r="AJ266" s="118" t="s">
        <v>6415</v>
      </c>
      <c r="AK266" s="118" t="s">
        <v>393</v>
      </c>
      <c r="AL266" s="118" t="s">
        <v>393</v>
      </c>
      <c r="AM266" s="118" t="s">
        <v>393</v>
      </c>
      <c r="AN266" s="402" t="s">
        <v>5975</v>
      </c>
      <c r="AO266" s="402">
        <v>45531</v>
      </c>
      <c r="AP266" s="118">
        <v>8</v>
      </c>
      <c r="AQ266" s="118">
        <v>17</v>
      </c>
      <c r="AR266" s="118" t="s">
        <v>6445</v>
      </c>
      <c r="AS266" s="118" t="s">
        <v>392</v>
      </c>
      <c r="AT266" s="118" t="s">
        <v>500</v>
      </c>
      <c r="AU266" s="118" t="s">
        <v>404</v>
      </c>
      <c r="AV266" s="118" t="s">
        <v>508</v>
      </c>
      <c r="AW266" s="118" t="s">
        <v>393</v>
      </c>
      <c r="AX266" s="118" t="s">
        <v>393</v>
      </c>
      <c r="AY266" s="118" t="s">
        <v>393</v>
      </c>
      <c r="AZ266" s="118" t="s">
        <v>393</v>
      </c>
      <c r="BA266" s="118" t="s">
        <v>393</v>
      </c>
      <c r="BB266" s="118" t="s">
        <v>393</v>
      </c>
      <c r="BC266" s="118" t="s">
        <v>393</v>
      </c>
      <c r="BD266" s="118" t="s">
        <v>393</v>
      </c>
      <c r="BE266" s="118" t="s">
        <v>393</v>
      </c>
      <c r="BF266" s="118" t="s">
        <v>740</v>
      </c>
      <c r="BG266" s="118" t="s">
        <v>393</v>
      </c>
      <c r="BH266" s="118" t="s">
        <v>394</v>
      </c>
      <c r="BI266" s="118" t="s">
        <v>394</v>
      </c>
      <c r="BJ266" s="118" t="s">
        <v>393</v>
      </c>
      <c r="BK266" s="118" t="s">
        <v>6988</v>
      </c>
      <c r="BL266" s="118" t="s">
        <v>6415</v>
      </c>
      <c r="BM266" s="118" t="s">
        <v>6990</v>
      </c>
      <c r="BN266" s="118" t="s">
        <v>6991</v>
      </c>
      <c r="BO266" s="118" t="s">
        <v>6415</v>
      </c>
      <c r="BP266" s="118" t="s">
        <v>6415</v>
      </c>
      <c r="BQ266" s="118" t="s">
        <v>6415</v>
      </c>
      <c r="BR266" s="118" t="s">
        <v>6415</v>
      </c>
      <c r="BS266" s="118" t="s">
        <v>6415</v>
      </c>
      <c r="BT266" s="118" t="s">
        <v>7387</v>
      </c>
      <c r="BU266" s="118" t="s">
        <v>6415</v>
      </c>
      <c r="BV266" s="118" t="s">
        <v>6415</v>
      </c>
      <c r="BW266" s="118" t="s">
        <v>6415</v>
      </c>
      <c r="BX266" s="118" t="s">
        <v>6415</v>
      </c>
      <c r="BY266" s="118" t="s">
        <v>6415</v>
      </c>
      <c r="BZ266" s="118">
        <v>705</v>
      </c>
      <c r="CA266" s="118" t="s">
        <v>6415</v>
      </c>
      <c r="CB266" s="118" t="s">
        <v>422</v>
      </c>
      <c r="CC266" s="118" t="s">
        <v>740</v>
      </c>
      <c r="CD266" s="118">
        <v>1</v>
      </c>
      <c r="CE266" s="118" t="s">
        <v>445</v>
      </c>
      <c r="CF266" s="118" t="s">
        <v>397</v>
      </c>
      <c r="CG266" s="118" t="s">
        <v>230</v>
      </c>
      <c r="CH266" s="118" t="s">
        <v>6302</v>
      </c>
      <c r="CI266" s="118" t="s">
        <v>417</v>
      </c>
      <c r="CJ266" s="118" t="s">
        <v>398</v>
      </c>
      <c r="CK266" s="14">
        <v>0</v>
      </c>
      <c r="CL266" s="118">
        <v>35</v>
      </c>
      <c r="CM266" s="118" t="s">
        <v>436</v>
      </c>
      <c r="CN266" s="118" t="s">
        <v>6327</v>
      </c>
      <c r="CO266" s="118" t="s">
        <v>1096</v>
      </c>
      <c r="CP266" s="118" t="s">
        <v>400</v>
      </c>
      <c r="CQ266" s="118" t="s">
        <v>6415</v>
      </c>
      <c r="CR266" s="118" t="s">
        <v>6415</v>
      </c>
      <c r="CS266" s="118" t="s">
        <v>6415</v>
      </c>
      <c r="CT266" s="118" t="s">
        <v>6415</v>
      </c>
      <c r="CU266" s="118" t="s">
        <v>6415</v>
      </c>
      <c r="CV266" s="118" t="s">
        <v>6415</v>
      </c>
      <c r="CW266" s="14">
        <v>39</v>
      </c>
      <c r="CX266" s="118" t="s">
        <v>1068</v>
      </c>
      <c r="CY266" s="118" t="s">
        <v>6341</v>
      </c>
      <c r="CZ266" s="118">
        <v>2</v>
      </c>
      <c r="DA266" s="118" t="s">
        <v>397</v>
      </c>
      <c r="DB266" s="118" t="s">
        <v>396</v>
      </c>
      <c r="DC266" s="118" t="s">
        <v>6415</v>
      </c>
      <c r="DD266" s="118" t="s">
        <v>6302</v>
      </c>
      <c r="DE266" s="118" t="s">
        <v>417</v>
      </c>
      <c r="DF266" s="118" t="s">
        <v>398</v>
      </c>
      <c r="DG266" s="118" t="s">
        <v>6415</v>
      </c>
      <c r="DH266" s="118">
        <v>35</v>
      </c>
      <c r="DI266" s="118" t="s">
        <v>399</v>
      </c>
      <c r="DJ266" s="118" t="s">
        <v>398</v>
      </c>
      <c r="DK266" s="118" t="s">
        <v>400</v>
      </c>
      <c r="DL266" s="118" t="s">
        <v>6415</v>
      </c>
      <c r="DM266" s="118" t="s">
        <v>6415</v>
      </c>
      <c r="DN266" s="118" t="s">
        <v>6415</v>
      </c>
      <c r="DO266" s="118" t="s">
        <v>6415</v>
      </c>
      <c r="DP266" s="118" t="s">
        <v>6415</v>
      </c>
      <c r="DQ266" s="118" t="s">
        <v>6415</v>
      </c>
      <c r="DR266" s="118">
        <v>21</v>
      </c>
      <c r="DS266" s="118" t="s">
        <v>1068</v>
      </c>
      <c r="DT266" s="118" t="s">
        <v>6341</v>
      </c>
      <c r="DU266" s="118" t="s">
        <v>6415</v>
      </c>
      <c r="DV266" s="118" t="s">
        <v>6415</v>
      </c>
      <c r="DW266" s="118" t="s">
        <v>6415</v>
      </c>
      <c r="DX266" s="118" t="s">
        <v>6415</v>
      </c>
      <c r="DY266" s="118" t="s">
        <v>6415</v>
      </c>
      <c r="DZ266" s="118" t="s">
        <v>6415</v>
      </c>
      <c r="EA266" s="118" t="s">
        <v>6415</v>
      </c>
      <c r="EB266" s="118" t="s">
        <v>6415</v>
      </c>
      <c r="EC266" s="118" t="s">
        <v>6415</v>
      </c>
      <c r="ED266" s="118" t="s">
        <v>6415</v>
      </c>
      <c r="EE266" s="118" t="s">
        <v>6415</v>
      </c>
      <c r="EF266" s="118" t="s">
        <v>6415</v>
      </c>
      <c r="EG266" s="118" t="s">
        <v>7002</v>
      </c>
      <c r="EH266" s="118" t="s">
        <v>7082</v>
      </c>
      <c r="EI266" s="118" t="s">
        <v>6415</v>
      </c>
      <c r="EJ266" s="118" t="s">
        <v>6415</v>
      </c>
      <c r="EK266" s="118" t="s">
        <v>6415</v>
      </c>
      <c r="EL266" s="118" t="s">
        <v>7467</v>
      </c>
      <c r="EM266" s="118" t="s">
        <v>7386</v>
      </c>
      <c r="EN266" s="118" t="s">
        <v>6415</v>
      </c>
      <c r="EO266" s="6" t="str">
        <f t="shared" si="22"/>
        <v>Pathweb</v>
      </c>
      <c r="EP266" s="6" t="str">
        <f t="shared" si="23"/>
        <v>Google Maps</v>
      </c>
      <c r="EQ266" s="6" t="str">
        <f t="shared" si="24"/>
        <v>Mashed Map</v>
      </c>
      <c r="ER266" s="118" t="s">
        <v>6727</v>
      </c>
      <c r="ES266" s="118" t="s">
        <v>6728</v>
      </c>
      <c r="ET266" s="4">
        <v>0</v>
      </c>
      <c r="EU266" s="4"/>
      <c r="EV266" s="4"/>
    </row>
    <row r="267" spans="1:152" x14ac:dyDescent="0.15">
      <c r="A267" s="581" t="str">
        <f t="shared" si="21"/>
        <v>Crash Report</v>
      </c>
      <c r="B267" s="118">
        <v>20243151429</v>
      </c>
      <c r="C267" s="118">
        <v>2024</v>
      </c>
      <c r="D267" s="118">
        <v>24082029752026</v>
      </c>
      <c r="F267" s="118" t="s">
        <v>6440</v>
      </c>
      <c r="G267" s="118" t="s">
        <v>209</v>
      </c>
      <c r="H267" s="118">
        <v>2</v>
      </c>
      <c r="I267" s="118" t="s">
        <v>6055</v>
      </c>
      <c r="J267" s="118" t="s">
        <v>391</v>
      </c>
      <c r="K267" s="118" t="s">
        <v>6985</v>
      </c>
      <c r="L267" s="118">
        <v>0.79400000000000004</v>
      </c>
      <c r="M267" s="118">
        <v>0.79400000000000004</v>
      </c>
      <c r="N267" s="118" t="s">
        <v>7465</v>
      </c>
      <c r="O267" s="118">
        <v>1540</v>
      </c>
      <c r="P267" s="118">
        <v>41.654409000000001</v>
      </c>
      <c r="Q267" s="118">
        <v>-83.513829999999999</v>
      </c>
      <c r="R267" s="118">
        <v>77000</v>
      </c>
      <c r="S267" s="118" t="s">
        <v>6988</v>
      </c>
      <c r="T267" s="118">
        <v>1</v>
      </c>
      <c r="U267" s="118">
        <v>0</v>
      </c>
      <c r="V267" s="118">
        <v>0</v>
      </c>
      <c r="W267" s="118">
        <v>1</v>
      </c>
      <c r="X267" s="118">
        <v>0</v>
      </c>
      <c r="Y267" s="118">
        <v>2</v>
      </c>
      <c r="Z267" s="118">
        <v>1</v>
      </c>
      <c r="AA267" s="118">
        <v>3</v>
      </c>
      <c r="AB267" s="118" t="s">
        <v>1067</v>
      </c>
      <c r="AC267" s="118" t="s">
        <v>6989</v>
      </c>
      <c r="AD267" s="118" t="s">
        <v>1034</v>
      </c>
      <c r="AE267" s="118" t="s">
        <v>943</v>
      </c>
      <c r="AF267" s="118" t="s">
        <v>1041</v>
      </c>
      <c r="AG267" s="118" t="s">
        <v>6415</v>
      </c>
      <c r="AH267" s="118" t="s">
        <v>393</v>
      </c>
      <c r="AI267" s="118">
        <v>4</v>
      </c>
      <c r="AJ267" s="118" t="s">
        <v>6415</v>
      </c>
      <c r="AK267" s="118" t="s">
        <v>393</v>
      </c>
      <c r="AL267" s="118" t="s">
        <v>393</v>
      </c>
      <c r="AM267" s="118" t="s">
        <v>393</v>
      </c>
      <c r="AN267" s="402" t="s">
        <v>5975</v>
      </c>
      <c r="AO267" s="402">
        <v>45524</v>
      </c>
      <c r="AP267" s="118">
        <v>8</v>
      </c>
      <c r="AQ267" s="118">
        <v>20</v>
      </c>
      <c r="AR267" s="118" t="s">
        <v>6445</v>
      </c>
      <c r="AS267" s="118" t="s">
        <v>392</v>
      </c>
      <c r="AT267" s="118" t="s">
        <v>500</v>
      </c>
      <c r="AU267" s="118" t="s">
        <v>6324</v>
      </c>
      <c r="AV267" s="118" t="s">
        <v>508</v>
      </c>
      <c r="AW267" s="118" t="s">
        <v>393</v>
      </c>
      <c r="AX267" s="118" t="s">
        <v>393</v>
      </c>
      <c r="AY267" s="118" t="s">
        <v>393</v>
      </c>
      <c r="AZ267" s="118" t="s">
        <v>393</v>
      </c>
      <c r="BA267" s="118" t="s">
        <v>393</v>
      </c>
      <c r="BB267" s="118" t="s">
        <v>393</v>
      </c>
      <c r="BC267" s="118" t="s">
        <v>393</v>
      </c>
      <c r="BD267" s="118" t="s">
        <v>393</v>
      </c>
      <c r="BE267" s="118" t="s">
        <v>393</v>
      </c>
      <c r="BF267" s="118" t="s">
        <v>393</v>
      </c>
      <c r="BG267" s="118" t="s">
        <v>393</v>
      </c>
      <c r="BH267" s="118" t="s">
        <v>394</v>
      </c>
      <c r="BI267" s="118" t="s">
        <v>394</v>
      </c>
      <c r="BJ267" s="118" t="s">
        <v>393</v>
      </c>
      <c r="BK267" s="118" t="s">
        <v>6988</v>
      </c>
      <c r="BL267" s="118" t="s">
        <v>6415</v>
      </c>
      <c r="BM267" s="118" t="s">
        <v>6990</v>
      </c>
      <c r="BN267" s="118" t="s">
        <v>6991</v>
      </c>
      <c r="BO267" s="118" t="s">
        <v>6415</v>
      </c>
      <c r="BP267" s="118" t="s">
        <v>6415</v>
      </c>
      <c r="BQ267" s="118" t="s">
        <v>6415</v>
      </c>
      <c r="BR267" s="118" t="s">
        <v>6415</v>
      </c>
      <c r="BS267" s="118" t="s">
        <v>6415</v>
      </c>
      <c r="BT267" s="118" t="s">
        <v>7309</v>
      </c>
      <c r="BU267" s="118" t="s">
        <v>6415</v>
      </c>
      <c r="BV267" s="118" t="s">
        <v>6415</v>
      </c>
      <c r="BW267" s="118" t="s">
        <v>6415</v>
      </c>
      <c r="BX267" s="118" t="s">
        <v>6415</v>
      </c>
      <c r="BY267" s="118" t="s">
        <v>6415</v>
      </c>
      <c r="BZ267" s="118">
        <v>1540</v>
      </c>
      <c r="CA267" s="118" t="s">
        <v>6415</v>
      </c>
      <c r="CB267" s="118" t="s">
        <v>422</v>
      </c>
      <c r="CC267" s="118" t="s">
        <v>740</v>
      </c>
      <c r="CD267" s="118">
        <v>2</v>
      </c>
      <c r="CE267" s="118" t="s">
        <v>410</v>
      </c>
      <c r="CF267" s="118" t="s">
        <v>411</v>
      </c>
      <c r="CG267" s="118" t="s">
        <v>924</v>
      </c>
      <c r="CH267" s="118" t="s">
        <v>6302</v>
      </c>
      <c r="CI267" s="118" t="s">
        <v>417</v>
      </c>
      <c r="CJ267" s="118" t="s">
        <v>398</v>
      </c>
      <c r="CK267" s="118">
        <v>0</v>
      </c>
      <c r="CL267" s="118">
        <v>0</v>
      </c>
      <c r="CM267" s="118" t="s">
        <v>212</v>
      </c>
      <c r="CN267" s="118" t="s">
        <v>407</v>
      </c>
      <c r="CO267" s="118" t="s">
        <v>1096</v>
      </c>
      <c r="CP267" s="118" t="s">
        <v>450</v>
      </c>
      <c r="CQ267" s="118" t="s">
        <v>6415</v>
      </c>
      <c r="CR267" s="118" t="s">
        <v>6415</v>
      </c>
      <c r="CS267" s="118" t="s">
        <v>6415</v>
      </c>
      <c r="CT267" s="118" t="s">
        <v>6415</v>
      </c>
      <c r="CU267" s="118" t="s">
        <v>6415</v>
      </c>
      <c r="CV267" s="118" t="s">
        <v>6415</v>
      </c>
      <c r="CW267" s="118">
        <v>0</v>
      </c>
      <c r="CX267" s="118" t="s">
        <v>401</v>
      </c>
      <c r="CY267" s="118" t="s">
        <v>6151</v>
      </c>
      <c r="CZ267" s="118">
        <v>1</v>
      </c>
      <c r="DA267" s="118" t="s">
        <v>410</v>
      </c>
      <c r="DB267" s="118" t="s">
        <v>411</v>
      </c>
      <c r="DC267" s="118" t="s">
        <v>6415</v>
      </c>
      <c r="DD267" s="118" t="s">
        <v>6302</v>
      </c>
      <c r="DE267" s="118" t="s">
        <v>6304</v>
      </c>
      <c r="DF267" s="118" t="s">
        <v>398</v>
      </c>
      <c r="DG267" s="118" t="s">
        <v>6415</v>
      </c>
      <c r="DH267" s="118" t="s">
        <v>6415</v>
      </c>
      <c r="DI267" s="118" t="s">
        <v>429</v>
      </c>
      <c r="DJ267" s="118" t="s">
        <v>398</v>
      </c>
      <c r="DK267" s="118" t="s">
        <v>400</v>
      </c>
      <c r="DL267" s="118" t="s">
        <v>209</v>
      </c>
      <c r="DM267" s="118" t="s">
        <v>455</v>
      </c>
      <c r="DN267" s="118" t="s">
        <v>455</v>
      </c>
      <c r="DO267" s="118" t="s">
        <v>6415</v>
      </c>
      <c r="DP267" s="118" t="s">
        <v>6415</v>
      </c>
      <c r="DQ267" s="118" t="s">
        <v>6415</v>
      </c>
      <c r="DR267" s="118">
        <v>0</v>
      </c>
      <c r="DS267" s="118" t="s">
        <v>6415</v>
      </c>
      <c r="DT267" s="118" t="s">
        <v>6415</v>
      </c>
      <c r="DU267" s="118">
        <v>3</v>
      </c>
      <c r="DV267" s="118" t="s">
        <v>6302</v>
      </c>
      <c r="DW267" s="118" t="s">
        <v>464</v>
      </c>
      <c r="DX267" s="118" t="s">
        <v>6415</v>
      </c>
      <c r="DY267" s="118" t="s">
        <v>526</v>
      </c>
      <c r="DZ267" s="118" t="s">
        <v>398</v>
      </c>
      <c r="EA267" s="118" t="s">
        <v>400</v>
      </c>
      <c r="EB267" s="118" t="s">
        <v>6415</v>
      </c>
      <c r="EC267" s="118" t="s">
        <v>6415</v>
      </c>
      <c r="ED267" s="118" t="s">
        <v>6415</v>
      </c>
      <c r="EE267" s="118" t="s">
        <v>6415</v>
      </c>
      <c r="EF267" s="118" t="s">
        <v>6415</v>
      </c>
      <c r="EG267" s="118" t="s">
        <v>7164</v>
      </c>
      <c r="EH267" s="118" t="s">
        <v>7308</v>
      </c>
      <c r="EI267" s="118" t="s">
        <v>6415</v>
      </c>
      <c r="EJ267" s="118" t="s">
        <v>6415</v>
      </c>
      <c r="EK267" s="118" t="s">
        <v>6415</v>
      </c>
      <c r="EL267" s="118" t="s">
        <v>7467</v>
      </c>
      <c r="EM267" s="118" t="s">
        <v>7388</v>
      </c>
      <c r="EN267" s="118" t="s">
        <v>6415</v>
      </c>
      <c r="EO267" s="6" t="str">
        <f t="shared" si="22"/>
        <v>Pathweb</v>
      </c>
      <c r="EP267" s="6" t="str">
        <f t="shared" si="23"/>
        <v>Google Maps</v>
      </c>
      <c r="EQ267" s="6" t="str">
        <f t="shared" si="24"/>
        <v>Mashed Map</v>
      </c>
      <c r="ER267" s="118" t="s">
        <v>6726</v>
      </c>
      <c r="ES267" s="118" t="s">
        <v>6728</v>
      </c>
      <c r="ET267" s="4">
        <v>0</v>
      </c>
      <c r="EU267" s="4"/>
      <c r="EV267" s="4"/>
    </row>
    <row r="268" spans="1:152" x14ac:dyDescent="0.15">
      <c r="A268" s="581" t="str">
        <f t="shared" si="21"/>
        <v>Crash Report</v>
      </c>
      <c r="B268" s="118">
        <v>20243153260</v>
      </c>
      <c r="C268" s="118">
        <v>2024</v>
      </c>
      <c r="D268" s="118">
        <v>24083024951510</v>
      </c>
      <c r="F268" s="118" t="s">
        <v>6440</v>
      </c>
      <c r="G268" s="118" t="s">
        <v>211</v>
      </c>
      <c r="H268" s="118">
        <v>2</v>
      </c>
      <c r="I268" s="118" t="s">
        <v>6055</v>
      </c>
      <c r="J268" s="118" t="s">
        <v>434</v>
      </c>
      <c r="K268" s="118" t="s">
        <v>6997</v>
      </c>
      <c r="L268" s="118">
        <v>0.71299999999999997</v>
      </c>
      <c r="M268" s="118">
        <v>0.71299999999999997</v>
      </c>
      <c r="N268" s="118" t="s">
        <v>7469</v>
      </c>
      <c r="O268" s="118" t="s">
        <v>7466</v>
      </c>
      <c r="P268" s="118">
        <v>41.648519</v>
      </c>
      <c r="Q268" s="118">
        <v>-83.523447000000004</v>
      </c>
      <c r="R268" s="118">
        <v>77000</v>
      </c>
      <c r="S268" s="118" t="s">
        <v>6988</v>
      </c>
      <c r="T268" s="118">
        <v>1</v>
      </c>
      <c r="U268" s="118">
        <v>0</v>
      </c>
      <c r="V268" s="118">
        <v>0</v>
      </c>
      <c r="W268" s="118">
        <v>1</v>
      </c>
      <c r="X268" s="118">
        <v>0</v>
      </c>
      <c r="Y268" s="118">
        <v>1</v>
      </c>
      <c r="Z268" s="118">
        <v>0</v>
      </c>
      <c r="AA268" s="118">
        <v>2</v>
      </c>
      <c r="AB268" s="118" t="s">
        <v>1067</v>
      </c>
      <c r="AC268" s="118" t="s">
        <v>6989</v>
      </c>
      <c r="AD268" s="118" t="s">
        <v>1034</v>
      </c>
      <c r="AE268" s="118" t="s">
        <v>943</v>
      </c>
      <c r="AF268" s="118" t="s">
        <v>1042</v>
      </c>
      <c r="AG268" s="118" t="s">
        <v>6415</v>
      </c>
      <c r="AH268" s="118" t="s">
        <v>393</v>
      </c>
      <c r="AI268" s="118">
        <v>2</v>
      </c>
      <c r="AJ268" s="118" t="s">
        <v>6415</v>
      </c>
      <c r="AK268" s="118" t="s">
        <v>393</v>
      </c>
      <c r="AL268" s="118" t="s">
        <v>393</v>
      </c>
      <c r="AM268" s="118" t="s">
        <v>393</v>
      </c>
      <c r="AN268" s="402" t="s">
        <v>5975</v>
      </c>
      <c r="AO268" s="402">
        <v>45534</v>
      </c>
      <c r="AP268" s="118">
        <v>8</v>
      </c>
      <c r="AQ268" s="118">
        <v>15</v>
      </c>
      <c r="AR268" s="118" t="s">
        <v>6448</v>
      </c>
      <c r="AS268" s="118" t="s">
        <v>392</v>
      </c>
      <c r="AT268" s="118" t="s">
        <v>500</v>
      </c>
      <c r="AU268" s="118" t="s">
        <v>404</v>
      </c>
      <c r="AV268" s="118" t="s">
        <v>508</v>
      </c>
      <c r="AW268" s="118" t="s">
        <v>393</v>
      </c>
      <c r="AX268" s="118" t="s">
        <v>740</v>
      </c>
      <c r="AY268" s="118" t="s">
        <v>393</v>
      </c>
      <c r="AZ268" s="118" t="s">
        <v>393</v>
      </c>
      <c r="BA268" s="118" t="s">
        <v>393</v>
      </c>
      <c r="BB268" s="118" t="s">
        <v>393</v>
      </c>
      <c r="BC268" s="118" t="s">
        <v>393</v>
      </c>
      <c r="BD268" s="118" t="s">
        <v>393</v>
      </c>
      <c r="BE268" s="118" t="s">
        <v>393</v>
      </c>
      <c r="BF268" s="118" t="s">
        <v>740</v>
      </c>
      <c r="BG268" s="118" t="s">
        <v>393</v>
      </c>
      <c r="BH268" s="118" t="s">
        <v>394</v>
      </c>
      <c r="BI268" s="118" t="s">
        <v>394</v>
      </c>
      <c r="BJ268" s="118" t="s">
        <v>393</v>
      </c>
      <c r="BK268" s="118" t="s">
        <v>6988</v>
      </c>
      <c r="BL268" s="118" t="s">
        <v>6415</v>
      </c>
      <c r="BM268" s="118" t="s">
        <v>6990</v>
      </c>
      <c r="BN268" s="118" t="s">
        <v>6991</v>
      </c>
      <c r="BO268" s="118" t="s">
        <v>6415</v>
      </c>
      <c r="BP268" s="118" t="s">
        <v>6415</v>
      </c>
      <c r="BQ268" s="118" t="s">
        <v>6415</v>
      </c>
      <c r="BR268" s="118" t="s">
        <v>6415</v>
      </c>
      <c r="BS268" s="118" t="s">
        <v>6415</v>
      </c>
      <c r="BT268" s="118" t="s">
        <v>6992</v>
      </c>
      <c r="BU268" s="118" t="s">
        <v>6991</v>
      </c>
      <c r="BV268" s="118" t="s">
        <v>6415</v>
      </c>
      <c r="BW268" s="118" t="s">
        <v>6415</v>
      </c>
      <c r="BX268" s="118" t="s">
        <v>6415</v>
      </c>
      <c r="BY268" s="118" t="s">
        <v>6415</v>
      </c>
      <c r="BZ268" s="118" t="s">
        <v>6415</v>
      </c>
      <c r="CA268" s="118" t="s">
        <v>6415</v>
      </c>
      <c r="CB268" s="118" t="s">
        <v>221</v>
      </c>
      <c r="CC268" s="118" t="s">
        <v>740</v>
      </c>
      <c r="CD268" s="118">
        <v>1</v>
      </c>
      <c r="CE268" s="118" t="s">
        <v>411</v>
      </c>
      <c r="CF268" s="118" t="s">
        <v>410</v>
      </c>
      <c r="CG268" s="118" t="s">
        <v>924</v>
      </c>
      <c r="CH268" s="118" t="s">
        <v>6300</v>
      </c>
      <c r="CI268" s="118" t="s">
        <v>6303</v>
      </c>
      <c r="CJ268" s="118" t="s">
        <v>398</v>
      </c>
      <c r="CK268" s="118">
        <v>0</v>
      </c>
      <c r="CL268" s="118">
        <v>35</v>
      </c>
      <c r="CM268" s="118" t="s">
        <v>399</v>
      </c>
      <c r="CN268" s="118" t="s">
        <v>6327</v>
      </c>
      <c r="CO268" s="118" t="s">
        <v>1096</v>
      </c>
      <c r="CP268" s="118" t="s">
        <v>400</v>
      </c>
      <c r="CQ268" s="118" t="s">
        <v>6415</v>
      </c>
      <c r="CR268" s="118" t="s">
        <v>6415</v>
      </c>
      <c r="CS268" s="118" t="s">
        <v>6415</v>
      </c>
      <c r="CT268" s="118" t="s">
        <v>6415</v>
      </c>
      <c r="CU268" s="118" t="s">
        <v>6415</v>
      </c>
      <c r="CV268" s="118" t="s">
        <v>6415</v>
      </c>
      <c r="CW268" s="118">
        <v>18</v>
      </c>
      <c r="CX268" s="118" t="s">
        <v>1068</v>
      </c>
      <c r="CY268" s="118" t="s">
        <v>6151</v>
      </c>
      <c r="CZ268" s="118">
        <v>2</v>
      </c>
      <c r="DA268" s="118" t="s">
        <v>405</v>
      </c>
      <c r="DB268" s="118" t="s">
        <v>406</v>
      </c>
      <c r="DC268" s="118" t="s">
        <v>6415</v>
      </c>
      <c r="DD268" s="118" t="s">
        <v>6300</v>
      </c>
      <c r="DE268" s="118" t="s">
        <v>6303</v>
      </c>
      <c r="DF268" s="118" t="s">
        <v>6151</v>
      </c>
      <c r="DG268" s="118" t="s">
        <v>6415</v>
      </c>
      <c r="DH268" s="118">
        <v>35</v>
      </c>
      <c r="DI268" s="118" t="s">
        <v>399</v>
      </c>
      <c r="DJ268" s="118" t="s">
        <v>407</v>
      </c>
      <c r="DK268" s="118" t="s">
        <v>400</v>
      </c>
      <c r="DL268" s="118" t="s">
        <v>6415</v>
      </c>
      <c r="DM268" s="118" t="s">
        <v>6415</v>
      </c>
      <c r="DN268" s="118" t="s">
        <v>6415</v>
      </c>
      <c r="DO268" s="118" t="s">
        <v>6415</v>
      </c>
      <c r="DP268" s="118" t="s">
        <v>6415</v>
      </c>
      <c r="DQ268" s="118" t="s">
        <v>6415</v>
      </c>
      <c r="DR268" s="118">
        <v>58</v>
      </c>
      <c r="DS268" s="118" t="s">
        <v>1068</v>
      </c>
      <c r="DT268" s="118" t="s">
        <v>6341</v>
      </c>
      <c r="DU268" s="118" t="s">
        <v>6415</v>
      </c>
      <c r="DV268" s="118" t="s">
        <v>6415</v>
      </c>
      <c r="DW268" s="118" t="s">
        <v>6415</v>
      </c>
      <c r="DX268" s="118" t="s">
        <v>6415</v>
      </c>
      <c r="DY268" s="118" t="s">
        <v>6415</v>
      </c>
      <c r="DZ268" s="118" t="s">
        <v>6415</v>
      </c>
      <c r="EA268" s="118" t="s">
        <v>6415</v>
      </c>
      <c r="EB268" s="118" t="s">
        <v>6415</v>
      </c>
      <c r="EC268" s="118" t="s">
        <v>6415</v>
      </c>
      <c r="ED268" s="118" t="s">
        <v>6415</v>
      </c>
      <c r="EE268" s="118" t="s">
        <v>6415</v>
      </c>
      <c r="EF268" s="118" t="s">
        <v>6415</v>
      </c>
      <c r="EG268" s="118" t="s">
        <v>6986</v>
      </c>
      <c r="EH268" s="118" t="s">
        <v>7168</v>
      </c>
      <c r="EI268" s="118" t="s">
        <v>6415</v>
      </c>
      <c r="EJ268" s="118" t="s">
        <v>6415</v>
      </c>
      <c r="EK268" s="118" t="s">
        <v>6415</v>
      </c>
      <c r="EL268" s="118" t="s">
        <v>7467</v>
      </c>
      <c r="EM268" s="118" t="s">
        <v>7389</v>
      </c>
      <c r="EN268" s="118" t="s">
        <v>6415</v>
      </c>
      <c r="EO268" s="6" t="str">
        <f t="shared" si="22"/>
        <v>Pathweb</v>
      </c>
      <c r="EP268" s="6" t="str">
        <f t="shared" si="23"/>
        <v>Google Maps</v>
      </c>
      <c r="EQ268" s="6" t="str">
        <f t="shared" si="24"/>
        <v>Mashed Map</v>
      </c>
      <c r="ER268" s="118" t="s">
        <v>6727</v>
      </c>
      <c r="ES268" s="118" t="s">
        <v>6728</v>
      </c>
      <c r="ET268" s="4">
        <v>2E-3</v>
      </c>
      <c r="EU268" s="4"/>
      <c r="EV268" s="4"/>
    </row>
    <row r="269" spans="1:152" x14ac:dyDescent="0.15">
      <c r="A269" s="581" t="str">
        <f t="shared" si="21"/>
        <v>Crash Report</v>
      </c>
      <c r="B269" s="14">
        <v>20243155157</v>
      </c>
      <c r="C269" s="118">
        <v>2024</v>
      </c>
      <c r="D269" s="14">
        <v>24090428932121</v>
      </c>
      <c r="F269" s="118" t="s">
        <v>6441</v>
      </c>
      <c r="G269" s="118" t="s">
        <v>313</v>
      </c>
      <c r="H269" s="118">
        <v>2</v>
      </c>
      <c r="I269" s="118" t="s">
        <v>6055</v>
      </c>
      <c r="J269" s="118" t="s">
        <v>423</v>
      </c>
      <c r="K269" s="118" t="s">
        <v>6997</v>
      </c>
      <c r="L269" s="118">
        <v>0.125</v>
      </c>
      <c r="M269" s="118">
        <v>0.125</v>
      </c>
      <c r="N269" s="118" t="s">
        <v>7469</v>
      </c>
      <c r="O269" s="118" t="s">
        <v>7466</v>
      </c>
      <c r="P269" s="118">
        <v>41.641641</v>
      </c>
      <c r="Q269" s="118">
        <v>-83.518208000000001</v>
      </c>
      <c r="R269" s="118">
        <v>77000</v>
      </c>
      <c r="S269" s="118" t="s">
        <v>6988</v>
      </c>
      <c r="T269" s="118">
        <v>1</v>
      </c>
      <c r="U269" s="118">
        <v>0</v>
      </c>
      <c r="V269" s="118">
        <v>0</v>
      </c>
      <c r="W269" s="118">
        <v>0</v>
      </c>
      <c r="X269" s="118">
        <v>1</v>
      </c>
      <c r="Y269" s="118">
        <v>1</v>
      </c>
      <c r="Z269" s="118">
        <v>0</v>
      </c>
      <c r="AA269" s="118">
        <v>2</v>
      </c>
      <c r="AB269" s="118" t="s">
        <v>1067</v>
      </c>
      <c r="AC269" s="118" t="s">
        <v>6989</v>
      </c>
      <c r="AD269" s="118" t="s">
        <v>1034</v>
      </c>
      <c r="AE269" s="118" t="s">
        <v>943</v>
      </c>
      <c r="AF269" s="118" t="s">
        <v>1045</v>
      </c>
      <c r="AG269" s="118" t="s">
        <v>6415</v>
      </c>
      <c r="AH269" s="118" t="s">
        <v>393</v>
      </c>
      <c r="AI269" s="118">
        <v>4</v>
      </c>
      <c r="AJ269" s="118" t="s">
        <v>6415</v>
      </c>
      <c r="AK269" s="118" t="s">
        <v>393</v>
      </c>
      <c r="AL269" s="118" t="s">
        <v>393</v>
      </c>
      <c r="AM269" s="118" t="s">
        <v>393</v>
      </c>
      <c r="AN269" s="402" t="s">
        <v>5975</v>
      </c>
      <c r="AO269" s="402">
        <v>45539</v>
      </c>
      <c r="AP269" s="118">
        <v>9</v>
      </c>
      <c r="AQ269" s="118">
        <v>21</v>
      </c>
      <c r="AR269" s="118" t="s">
        <v>6446</v>
      </c>
      <c r="AS269" s="118" t="s">
        <v>392</v>
      </c>
      <c r="AT269" s="118" t="s">
        <v>500</v>
      </c>
      <c r="AU269" s="118" t="s">
        <v>506</v>
      </c>
      <c r="AV269" s="118" t="s">
        <v>508</v>
      </c>
      <c r="AW269" s="118" t="s">
        <v>393</v>
      </c>
      <c r="AX269" s="118" t="s">
        <v>740</v>
      </c>
      <c r="AY269" s="118" t="s">
        <v>393</v>
      </c>
      <c r="AZ269" s="118" t="s">
        <v>393</v>
      </c>
      <c r="BA269" s="118" t="s">
        <v>393</v>
      </c>
      <c r="BB269" s="118" t="s">
        <v>393</v>
      </c>
      <c r="BC269" s="118" t="s">
        <v>393</v>
      </c>
      <c r="BD269" s="118" t="s">
        <v>393</v>
      </c>
      <c r="BE269" s="118" t="s">
        <v>393</v>
      </c>
      <c r="BF269" s="118" t="s">
        <v>740</v>
      </c>
      <c r="BG269" s="118" t="s">
        <v>393</v>
      </c>
      <c r="BH269" s="118" t="s">
        <v>394</v>
      </c>
      <c r="BI269" s="118" t="s">
        <v>394</v>
      </c>
      <c r="BJ269" s="118" t="s">
        <v>393</v>
      </c>
      <c r="BK269" s="118" t="s">
        <v>6988</v>
      </c>
      <c r="BL269" s="118" t="s">
        <v>6415</v>
      </c>
      <c r="BM269" s="118" t="s">
        <v>2930</v>
      </c>
      <c r="BN269" s="118" t="s">
        <v>7017</v>
      </c>
      <c r="BO269" s="118" t="s">
        <v>6415</v>
      </c>
      <c r="BP269" s="118" t="s">
        <v>6415</v>
      </c>
      <c r="BQ269" s="118" t="s">
        <v>6415</v>
      </c>
      <c r="BR269" s="118" t="s">
        <v>6415</v>
      </c>
      <c r="BS269" s="118" t="s">
        <v>6415</v>
      </c>
      <c r="BT269" s="118" t="s">
        <v>6992</v>
      </c>
      <c r="BU269" s="118" t="s">
        <v>6991</v>
      </c>
      <c r="BV269" s="118" t="s">
        <v>6415</v>
      </c>
      <c r="BW269" s="118" t="s">
        <v>6415</v>
      </c>
      <c r="BX269" s="118" t="s">
        <v>6415</v>
      </c>
      <c r="BY269" s="118" t="s">
        <v>6415</v>
      </c>
      <c r="BZ269" s="118" t="s">
        <v>6415</v>
      </c>
      <c r="CA269" s="118" t="s">
        <v>6415</v>
      </c>
      <c r="CB269" s="118" t="s">
        <v>221</v>
      </c>
      <c r="CC269" s="118" t="s">
        <v>740</v>
      </c>
      <c r="CD269" s="118">
        <v>1</v>
      </c>
      <c r="CE269" s="118" t="s">
        <v>410</v>
      </c>
      <c r="CF269" s="118" t="s">
        <v>411</v>
      </c>
      <c r="CG269" s="118" t="s">
        <v>924</v>
      </c>
      <c r="CH269" s="118" t="s">
        <v>6302</v>
      </c>
      <c r="CI269" s="118" t="s">
        <v>6303</v>
      </c>
      <c r="CJ269" s="118" t="s">
        <v>398</v>
      </c>
      <c r="CK269" s="14">
        <v>0</v>
      </c>
      <c r="CL269" s="118">
        <v>0</v>
      </c>
      <c r="CM269" s="118" t="s">
        <v>399</v>
      </c>
      <c r="CN269" s="118" t="s">
        <v>6327</v>
      </c>
      <c r="CO269" s="118" t="s">
        <v>1096</v>
      </c>
      <c r="CP269" s="118" t="s">
        <v>480</v>
      </c>
      <c r="CQ269" s="118" t="s">
        <v>6415</v>
      </c>
      <c r="CR269" s="118" t="s">
        <v>6415</v>
      </c>
      <c r="CS269" s="118" t="s">
        <v>6415</v>
      </c>
      <c r="CT269" s="118" t="s">
        <v>6415</v>
      </c>
      <c r="CU269" s="118" t="s">
        <v>6415</v>
      </c>
      <c r="CV269" s="118" t="s">
        <v>6415</v>
      </c>
      <c r="CW269" s="14">
        <v>0</v>
      </c>
      <c r="CX269" s="118" t="s">
        <v>401</v>
      </c>
      <c r="CY269" s="118" t="s">
        <v>6151</v>
      </c>
      <c r="CZ269" s="118">
        <v>2</v>
      </c>
      <c r="DA269" s="118" t="s">
        <v>406</v>
      </c>
      <c r="DB269" s="118" t="s">
        <v>405</v>
      </c>
      <c r="DC269" s="118" t="s">
        <v>6415</v>
      </c>
      <c r="DD269" s="118" t="s">
        <v>6302</v>
      </c>
      <c r="DE269" s="118" t="s">
        <v>6322</v>
      </c>
      <c r="DF269" s="118" t="s">
        <v>398</v>
      </c>
      <c r="DG269" s="118" t="s">
        <v>6415</v>
      </c>
      <c r="DH269" s="118" t="s">
        <v>6415</v>
      </c>
      <c r="DI269" s="118" t="s">
        <v>399</v>
      </c>
      <c r="DJ269" s="118" t="s">
        <v>398</v>
      </c>
      <c r="DK269" s="118" t="s">
        <v>480</v>
      </c>
      <c r="DL269" s="118" t="s">
        <v>6415</v>
      </c>
      <c r="DM269" s="118" t="s">
        <v>6415</v>
      </c>
      <c r="DN269" s="118" t="s">
        <v>6415</v>
      </c>
      <c r="DO269" s="118" t="s">
        <v>6415</v>
      </c>
      <c r="DP269" s="118" t="s">
        <v>6415</v>
      </c>
      <c r="DQ269" s="118" t="s">
        <v>467</v>
      </c>
      <c r="DR269" s="118">
        <v>17</v>
      </c>
      <c r="DS269" s="118" t="s">
        <v>1068</v>
      </c>
      <c r="DT269" s="118" t="s">
        <v>6151</v>
      </c>
      <c r="DU269" s="118" t="s">
        <v>6415</v>
      </c>
      <c r="DV269" s="118" t="s">
        <v>6415</v>
      </c>
      <c r="DW269" s="118" t="s">
        <v>6415</v>
      </c>
      <c r="DX269" s="118" t="s">
        <v>6415</v>
      </c>
      <c r="DY269" s="118" t="s">
        <v>6415</v>
      </c>
      <c r="DZ269" s="118" t="s">
        <v>6415</v>
      </c>
      <c r="EA269" s="118" t="s">
        <v>6415</v>
      </c>
      <c r="EB269" s="118" t="s">
        <v>6415</v>
      </c>
      <c r="EC269" s="118" t="s">
        <v>6415</v>
      </c>
      <c r="ED269" s="118" t="s">
        <v>6415</v>
      </c>
      <c r="EE269" s="118" t="s">
        <v>6415</v>
      </c>
      <c r="EF269" s="118" t="s">
        <v>6415</v>
      </c>
      <c r="EG269" s="118" t="s">
        <v>7062</v>
      </c>
      <c r="EH269" s="118" t="s">
        <v>7158</v>
      </c>
      <c r="EI269" s="118" t="s">
        <v>6415</v>
      </c>
      <c r="EJ269" s="118" t="s">
        <v>6415</v>
      </c>
      <c r="EK269" s="118" t="s">
        <v>6415</v>
      </c>
      <c r="EL269" s="118" t="s">
        <v>7467</v>
      </c>
      <c r="EM269" s="118" t="s">
        <v>7390</v>
      </c>
      <c r="EN269" s="118" t="s">
        <v>6415</v>
      </c>
      <c r="EO269" s="6" t="str">
        <f t="shared" si="22"/>
        <v>Pathweb</v>
      </c>
      <c r="EP269" s="6" t="str">
        <f t="shared" si="23"/>
        <v>Google Maps</v>
      </c>
      <c r="EQ269" s="6" t="str">
        <f t="shared" si="24"/>
        <v>Mashed Map</v>
      </c>
      <c r="ER269" s="118" t="s">
        <v>6726</v>
      </c>
      <c r="ES269" s="118" t="s">
        <v>6728</v>
      </c>
      <c r="ET269" s="4">
        <v>0</v>
      </c>
      <c r="EU269" s="4"/>
      <c r="EV269" s="4"/>
    </row>
    <row r="270" spans="1:152" x14ac:dyDescent="0.15">
      <c r="A270" s="581" t="str">
        <f t="shared" si="21"/>
        <v>Crash Report</v>
      </c>
      <c r="B270" s="14">
        <v>20243165321</v>
      </c>
      <c r="C270" s="118">
        <v>2024</v>
      </c>
      <c r="D270" s="14">
        <v>24091830062215</v>
      </c>
      <c r="F270" s="118" t="s">
        <v>6442</v>
      </c>
      <c r="G270" s="118" t="s">
        <v>438</v>
      </c>
      <c r="H270" s="118">
        <v>2</v>
      </c>
      <c r="I270" s="118" t="s">
        <v>6055</v>
      </c>
      <c r="J270" s="118" t="s">
        <v>391</v>
      </c>
      <c r="K270" s="118" t="s">
        <v>6997</v>
      </c>
      <c r="L270" s="118">
        <v>0.379</v>
      </c>
      <c r="M270" s="118">
        <v>0.379</v>
      </c>
      <c r="N270" s="118" t="s">
        <v>7469</v>
      </c>
      <c r="O270" s="118" t="s">
        <v>7489</v>
      </c>
      <c r="P270" s="118">
        <v>41.644770999999999</v>
      </c>
      <c r="Q270" s="118">
        <v>-83.519373999999999</v>
      </c>
      <c r="R270" s="118">
        <v>77000</v>
      </c>
      <c r="S270" s="118" t="s">
        <v>6988</v>
      </c>
      <c r="T270" s="118">
        <v>1</v>
      </c>
      <c r="U270" s="118">
        <v>0</v>
      </c>
      <c r="V270" s="118">
        <v>0</v>
      </c>
      <c r="W270" s="118">
        <v>0</v>
      </c>
      <c r="X270" s="118">
        <v>0</v>
      </c>
      <c r="Y270" s="118">
        <v>2</v>
      </c>
      <c r="Z270" s="118">
        <v>0</v>
      </c>
      <c r="AA270" s="118">
        <v>2</v>
      </c>
      <c r="AB270" s="118" t="s">
        <v>1067</v>
      </c>
      <c r="AC270" s="118" t="s">
        <v>6989</v>
      </c>
      <c r="AD270" s="118" t="s">
        <v>1034</v>
      </c>
      <c r="AE270" s="118" t="s">
        <v>943</v>
      </c>
      <c r="AF270" s="118" t="s">
        <v>1042</v>
      </c>
      <c r="AG270" s="118" t="s">
        <v>6415</v>
      </c>
      <c r="AH270" s="118" t="s">
        <v>393</v>
      </c>
      <c r="AI270" s="118">
        <v>2</v>
      </c>
      <c r="AJ270" s="118" t="s">
        <v>6415</v>
      </c>
      <c r="AK270" s="118" t="s">
        <v>393</v>
      </c>
      <c r="AL270" s="118" t="s">
        <v>393</v>
      </c>
      <c r="AM270" s="118" t="s">
        <v>393</v>
      </c>
      <c r="AN270" s="402" t="s">
        <v>5975</v>
      </c>
      <c r="AO270" s="402">
        <v>45553</v>
      </c>
      <c r="AP270" s="118">
        <v>9</v>
      </c>
      <c r="AQ270" s="118">
        <v>22</v>
      </c>
      <c r="AR270" s="118" t="s">
        <v>6446</v>
      </c>
      <c r="AS270" s="118" t="s">
        <v>392</v>
      </c>
      <c r="AT270" s="118" t="s">
        <v>500</v>
      </c>
      <c r="AU270" s="118" t="s">
        <v>505</v>
      </c>
      <c r="AV270" s="118" t="s">
        <v>508</v>
      </c>
      <c r="AW270" s="118" t="s">
        <v>393</v>
      </c>
      <c r="AX270" s="118" t="s">
        <v>740</v>
      </c>
      <c r="AY270" s="118" t="s">
        <v>393</v>
      </c>
      <c r="AZ270" s="118" t="s">
        <v>393</v>
      </c>
      <c r="BA270" s="118" t="s">
        <v>393</v>
      </c>
      <c r="BB270" s="118" t="s">
        <v>393</v>
      </c>
      <c r="BC270" s="118" t="s">
        <v>393</v>
      </c>
      <c r="BD270" s="118" t="s">
        <v>740</v>
      </c>
      <c r="BE270" s="118" t="s">
        <v>393</v>
      </c>
      <c r="BF270" s="118" t="s">
        <v>740</v>
      </c>
      <c r="BG270" s="118" t="s">
        <v>393</v>
      </c>
      <c r="BH270" s="118" t="s">
        <v>394</v>
      </c>
      <c r="BI270" s="118" t="s">
        <v>394</v>
      </c>
      <c r="BJ270" s="118" t="s">
        <v>393</v>
      </c>
      <c r="BK270" s="118" t="s">
        <v>6988</v>
      </c>
      <c r="BL270" s="118" t="s">
        <v>6415</v>
      </c>
      <c r="BM270" s="118" t="s">
        <v>6992</v>
      </c>
      <c r="BN270" s="118" t="s">
        <v>6991</v>
      </c>
      <c r="BO270" s="118" t="s">
        <v>6415</v>
      </c>
      <c r="BP270" s="118" t="s">
        <v>6415</v>
      </c>
      <c r="BQ270" s="118" t="s">
        <v>6415</v>
      </c>
      <c r="BR270" s="118" t="s">
        <v>6415</v>
      </c>
      <c r="BS270" s="118" t="s">
        <v>6415</v>
      </c>
      <c r="BT270" s="118" t="s">
        <v>7154</v>
      </c>
      <c r="BU270" s="118" t="s">
        <v>6991</v>
      </c>
      <c r="BV270" s="118" t="s">
        <v>6415</v>
      </c>
      <c r="BW270" s="118" t="s">
        <v>6415</v>
      </c>
      <c r="BX270" s="118" t="s">
        <v>6415</v>
      </c>
      <c r="BY270" s="118" t="s">
        <v>6415</v>
      </c>
      <c r="BZ270" s="118" t="s">
        <v>6415</v>
      </c>
      <c r="CA270" s="118" t="s">
        <v>6415</v>
      </c>
      <c r="CB270" s="118" t="s">
        <v>221</v>
      </c>
      <c r="CC270" s="118" t="s">
        <v>740</v>
      </c>
      <c r="CD270" s="118">
        <v>2</v>
      </c>
      <c r="CE270" s="118" t="s">
        <v>406</v>
      </c>
      <c r="CF270" s="118" t="s">
        <v>405</v>
      </c>
      <c r="CG270" s="118" t="s">
        <v>924</v>
      </c>
      <c r="CH270" s="118" t="s">
        <v>6302</v>
      </c>
      <c r="CI270" s="118" t="s">
        <v>6303</v>
      </c>
      <c r="CJ270" s="118" t="s">
        <v>398</v>
      </c>
      <c r="CK270" s="14">
        <v>35</v>
      </c>
      <c r="CL270" s="118">
        <v>25</v>
      </c>
      <c r="CM270" s="118" t="s">
        <v>399</v>
      </c>
      <c r="CN270" s="118" t="s">
        <v>6338</v>
      </c>
      <c r="CO270" s="118" t="s">
        <v>1096</v>
      </c>
      <c r="CP270" s="118" t="s">
        <v>400</v>
      </c>
      <c r="CQ270" s="118" t="s">
        <v>6415</v>
      </c>
      <c r="CR270" s="118" t="s">
        <v>6415</v>
      </c>
      <c r="CS270" s="118" t="s">
        <v>6415</v>
      </c>
      <c r="CT270" s="118" t="s">
        <v>6415</v>
      </c>
      <c r="CU270" s="118" t="s">
        <v>6415</v>
      </c>
      <c r="CV270" s="118" t="s">
        <v>6415</v>
      </c>
      <c r="CW270" s="14">
        <v>25</v>
      </c>
      <c r="CX270" s="118" t="s">
        <v>1066</v>
      </c>
      <c r="CY270" s="118" t="s">
        <v>6151</v>
      </c>
      <c r="CZ270" s="118">
        <v>1</v>
      </c>
      <c r="DA270" s="118" t="s">
        <v>405</v>
      </c>
      <c r="DB270" s="118" t="s">
        <v>406</v>
      </c>
      <c r="DC270" s="118" t="s">
        <v>6415</v>
      </c>
      <c r="DD270" s="118" t="s">
        <v>6302</v>
      </c>
      <c r="DE270" s="118" t="s">
        <v>6303</v>
      </c>
      <c r="DF270" s="118" t="s">
        <v>398</v>
      </c>
      <c r="DG270" s="118">
        <v>2</v>
      </c>
      <c r="DH270" s="118">
        <v>25</v>
      </c>
      <c r="DI270" s="118" t="s">
        <v>399</v>
      </c>
      <c r="DJ270" s="118" t="s">
        <v>398</v>
      </c>
      <c r="DK270" s="118" t="s">
        <v>400</v>
      </c>
      <c r="DL270" s="118" t="s">
        <v>6415</v>
      </c>
      <c r="DM270" s="118" t="s">
        <v>6415</v>
      </c>
      <c r="DN270" s="118" t="s">
        <v>6415</v>
      </c>
      <c r="DO270" s="118" t="s">
        <v>6415</v>
      </c>
      <c r="DP270" s="118" t="s">
        <v>6415</v>
      </c>
      <c r="DQ270" s="118" t="s">
        <v>6415</v>
      </c>
      <c r="DR270" s="118">
        <v>50</v>
      </c>
      <c r="DS270" s="118" t="s">
        <v>1066</v>
      </c>
      <c r="DT270" s="118" t="s">
        <v>6341</v>
      </c>
      <c r="DU270" s="118" t="s">
        <v>6415</v>
      </c>
      <c r="DV270" s="118" t="s">
        <v>6415</v>
      </c>
      <c r="DW270" s="118" t="s">
        <v>6415</v>
      </c>
      <c r="DX270" s="118" t="s">
        <v>6415</v>
      </c>
      <c r="DY270" s="118" t="s">
        <v>6415</v>
      </c>
      <c r="DZ270" s="118" t="s">
        <v>6415</v>
      </c>
      <c r="EA270" s="118" t="s">
        <v>6415</v>
      </c>
      <c r="EB270" s="118" t="s">
        <v>6415</v>
      </c>
      <c r="EC270" s="118" t="s">
        <v>6415</v>
      </c>
      <c r="ED270" s="118" t="s">
        <v>6415</v>
      </c>
      <c r="EE270" s="118" t="s">
        <v>6415</v>
      </c>
      <c r="EF270" s="118" t="s">
        <v>6415</v>
      </c>
      <c r="EG270" s="118" t="s">
        <v>7051</v>
      </c>
      <c r="EH270" s="118" t="s">
        <v>7052</v>
      </c>
      <c r="EI270" s="118" t="s">
        <v>6415</v>
      </c>
      <c r="EJ270" s="118" t="s">
        <v>6415</v>
      </c>
      <c r="EK270" s="118" t="s">
        <v>6415</v>
      </c>
      <c r="EL270" s="118" t="s">
        <v>7467</v>
      </c>
      <c r="EM270" s="118" t="s">
        <v>7391</v>
      </c>
      <c r="EN270" s="118" t="s">
        <v>6415</v>
      </c>
      <c r="EO270" s="6" t="str">
        <f t="shared" si="22"/>
        <v>Pathweb</v>
      </c>
      <c r="EP270" s="6" t="str">
        <f t="shared" si="23"/>
        <v>Google Maps</v>
      </c>
      <c r="EQ270" s="6" t="str">
        <f t="shared" si="24"/>
        <v>Mashed Map</v>
      </c>
      <c r="ER270" s="118" t="s">
        <v>6727</v>
      </c>
      <c r="ES270" s="118" t="s">
        <v>71</v>
      </c>
      <c r="ET270" s="4">
        <v>0</v>
      </c>
      <c r="EU270" s="4"/>
      <c r="EV270" s="4"/>
    </row>
    <row r="271" spans="1:152" x14ac:dyDescent="0.15">
      <c r="A271" s="581" t="str">
        <f t="shared" si="21"/>
        <v>Crash Report</v>
      </c>
      <c r="B271" s="118">
        <v>20243167077</v>
      </c>
      <c r="C271" s="118">
        <v>2024</v>
      </c>
      <c r="D271" s="118">
        <v>24091829721925</v>
      </c>
      <c r="F271" s="118" t="s">
        <v>6442</v>
      </c>
      <c r="G271" s="118" t="s">
        <v>390</v>
      </c>
      <c r="H271" s="118">
        <v>2</v>
      </c>
      <c r="I271" s="118" t="s">
        <v>6055</v>
      </c>
      <c r="J271" s="118" t="s">
        <v>391</v>
      </c>
      <c r="K271" s="118" t="s">
        <v>6985</v>
      </c>
      <c r="L271" s="118">
        <v>1.0740000000000001</v>
      </c>
      <c r="M271" s="118">
        <v>1.0740000000000001</v>
      </c>
      <c r="N271" s="118" t="s">
        <v>7465</v>
      </c>
      <c r="O271" s="118" t="s">
        <v>7471</v>
      </c>
      <c r="P271" s="118">
        <v>41.656911000000001</v>
      </c>
      <c r="Q271" s="118">
        <v>-83.509613000000002</v>
      </c>
      <c r="R271" s="118">
        <v>77000</v>
      </c>
      <c r="S271" s="118" t="s">
        <v>6988</v>
      </c>
      <c r="T271" s="118">
        <v>1</v>
      </c>
      <c r="U271" s="118">
        <v>0</v>
      </c>
      <c r="V271" s="118">
        <v>0</v>
      </c>
      <c r="W271" s="118">
        <v>0</v>
      </c>
      <c r="X271" s="118">
        <v>0</v>
      </c>
      <c r="Y271" s="118">
        <v>5</v>
      </c>
      <c r="Z271" s="118">
        <v>0</v>
      </c>
      <c r="AA271" s="118">
        <v>2</v>
      </c>
      <c r="AB271" s="118" t="s">
        <v>1067</v>
      </c>
      <c r="AC271" s="118" t="s">
        <v>6989</v>
      </c>
      <c r="AD271" s="118" t="s">
        <v>1034</v>
      </c>
      <c r="AE271" s="118" t="s">
        <v>943</v>
      </c>
      <c r="AF271" s="118" t="s">
        <v>1041</v>
      </c>
      <c r="AG271" s="118" t="s">
        <v>6415</v>
      </c>
      <c r="AH271" s="118" t="s">
        <v>393</v>
      </c>
      <c r="AI271" s="118">
        <v>4</v>
      </c>
      <c r="AJ271" s="118" t="s">
        <v>6415</v>
      </c>
      <c r="AK271" s="118" t="s">
        <v>393</v>
      </c>
      <c r="AL271" s="118" t="s">
        <v>393</v>
      </c>
      <c r="AM271" s="118" t="s">
        <v>393</v>
      </c>
      <c r="AN271" s="402" t="s">
        <v>5975</v>
      </c>
      <c r="AO271" s="402">
        <v>45553</v>
      </c>
      <c r="AP271" s="118">
        <v>9</v>
      </c>
      <c r="AQ271" s="118">
        <v>19</v>
      </c>
      <c r="AR271" s="118" t="s">
        <v>6446</v>
      </c>
      <c r="AS271" s="118" t="s">
        <v>392</v>
      </c>
      <c r="AT271" s="118" t="s">
        <v>500</v>
      </c>
      <c r="AU271" s="118" t="s">
        <v>6324</v>
      </c>
      <c r="AV271" s="118" t="s">
        <v>508</v>
      </c>
      <c r="AW271" s="118" t="s">
        <v>393</v>
      </c>
      <c r="AX271" s="118" t="s">
        <v>740</v>
      </c>
      <c r="AY271" s="118" t="s">
        <v>393</v>
      </c>
      <c r="AZ271" s="118" t="s">
        <v>393</v>
      </c>
      <c r="BA271" s="118" t="s">
        <v>393</v>
      </c>
      <c r="BB271" s="118" t="s">
        <v>393</v>
      </c>
      <c r="BC271" s="118" t="s">
        <v>393</v>
      </c>
      <c r="BD271" s="118" t="s">
        <v>393</v>
      </c>
      <c r="BE271" s="118" t="s">
        <v>393</v>
      </c>
      <c r="BF271" s="118" t="s">
        <v>393</v>
      </c>
      <c r="BG271" s="118" t="s">
        <v>393</v>
      </c>
      <c r="BH271" s="118" t="s">
        <v>394</v>
      </c>
      <c r="BI271" s="118" t="s">
        <v>394</v>
      </c>
      <c r="BJ271" s="118" t="s">
        <v>393</v>
      </c>
      <c r="BK271" s="118" t="s">
        <v>6988</v>
      </c>
      <c r="BL271" s="118" t="s">
        <v>6415</v>
      </c>
      <c r="BM271" s="118" t="s">
        <v>6990</v>
      </c>
      <c r="BN271" s="118" t="s">
        <v>6991</v>
      </c>
      <c r="BO271" s="118" t="s">
        <v>6415</v>
      </c>
      <c r="BP271" s="118" t="s">
        <v>6415</v>
      </c>
      <c r="BQ271" s="118" t="s">
        <v>6415</v>
      </c>
      <c r="BR271" s="118" t="s">
        <v>6415</v>
      </c>
      <c r="BS271" s="118" t="s">
        <v>6415</v>
      </c>
      <c r="BT271" s="118" t="s">
        <v>7008</v>
      </c>
      <c r="BU271" s="118" t="s">
        <v>6991</v>
      </c>
      <c r="BV271" s="118" t="s">
        <v>6415</v>
      </c>
      <c r="BW271" s="118" t="s">
        <v>6415</v>
      </c>
      <c r="BX271" s="118" t="s">
        <v>6415</v>
      </c>
      <c r="BY271" s="118" t="s">
        <v>6415</v>
      </c>
      <c r="BZ271" s="118" t="s">
        <v>6415</v>
      </c>
      <c r="CA271" s="118" t="s">
        <v>6415</v>
      </c>
      <c r="CB271" s="118" t="s">
        <v>221</v>
      </c>
      <c r="CC271" s="118" t="s">
        <v>740</v>
      </c>
      <c r="CD271" s="118">
        <v>1</v>
      </c>
      <c r="CE271" s="118" t="s">
        <v>411</v>
      </c>
      <c r="CF271" s="118" t="s">
        <v>410</v>
      </c>
      <c r="CG271" s="118" t="s">
        <v>924</v>
      </c>
      <c r="CH271" s="118" t="s">
        <v>6300</v>
      </c>
      <c r="CI271" s="118" t="s">
        <v>6303</v>
      </c>
      <c r="CJ271" s="118" t="s">
        <v>398</v>
      </c>
      <c r="CK271" s="118">
        <v>0</v>
      </c>
      <c r="CL271" s="118">
        <v>35</v>
      </c>
      <c r="CM271" s="118" t="s">
        <v>399</v>
      </c>
      <c r="CN271" s="118" t="s">
        <v>407</v>
      </c>
      <c r="CO271" s="118" t="s">
        <v>1096</v>
      </c>
      <c r="CP271" s="118" t="s">
        <v>400</v>
      </c>
      <c r="CQ271" s="118" t="s">
        <v>6415</v>
      </c>
      <c r="CR271" s="118" t="s">
        <v>6415</v>
      </c>
      <c r="CS271" s="118" t="s">
        <v>6415</v>
      </c>
      <c r="CT271" s="118" t="s">
        <v>6415</v>
      </c>
      <c r="CU271" s="118" t="s">
        <v>6415</v>
      </c>
      <c r="CV271" s="118" t="s">
        <v>6415</v>
      </c>
      <c r="CW271" s="118">
        <v>0</v>
      </c>
      <c r="CX271" s="118" t="s">
        <v>401</v>
      </c>
      <c r="CY271" s="118" t="s">
        <v>6151</v>
      </c>
      <c r="CZ271" s="118">
        <v>2</v>
      </c>
      <c r="DA271" s="118" t="s">
        <v>411</v>
      </c>
      <c r="DB271" s="118" t="s">
        <v>410</v>
      </c>
      <c r="DC271" s="118" t="s">
        <v>6415</v>
      </c>
      <c r="DD271" s="118" t="s">
        <v>6300</v>
      </c>
      <c r="DE271" s="118" t="s">
        <v>6307</v>
      </c>
      <c r="DF271" s="118" t="s">
        <v>398</v>
      </c>
      <c r="DG271" s="118">
        <v>0</v>
      </c>
      <c r="DH271" s="118">
        <v>35</v>
      </c>
      <c r="DI271" s="118" t="s">
        <v>6355</v>
      </c>
      <c r="DJ271" s="118" t="s">
        <v>407</v>
      </c>
      <c r="DK271" s="118" t="s">
        <v>400</v>
      </c>
      <c r="DL271" s="118" t="s">
        <v>6415</v>
      </c>
      <c r="DM271" s="118" t="s">
        <v>6415</v>
      </c>
      <c r="DN271" s="118" t="s">
        <v>6415</v>
      </c>
      <c r="DO271" s="118" t="s">
        <v>6415</v>
      </c>
      <c r="DP271" s="118" t="s">
        <v>6415</v>
      </c>
      <c r="DQ271" s="118" t="s">
        <v>6415</v>
      </c>
      <c r="DR271" s="118">
        <v>37</v>
      </c>
      <c r="DS271" s="118" t="s">
        <v>1068</v>
      </c>
      <c r="DT271" s="118" t="s">
        <v>6341</v>
      </c>
      <c r="DU271" s="118" t="s">
        <v>6415</v>
      </c>
      <c r="DV271" s="118" t="s">
        <v>6415</v>
      </c>
      <c r="DW271" s="118" t="s">
        <v>6415</v>
      </c>
      <c r="DX271" s="118" t="s">
        <v>6415</v>
      </c>
      <c r="DY271" s="118" t="s">
        <v>6415</v>
      </c>
      <c r="DZ271" s="118" t="s">
        <v>6415</v>
      </c>
      <c r="EA271" s="118" t="s">
        <v>6415</v>
      </c>
      <c r="EB271" s="118" t="s">
        <v>6415</v>
      </c>
      <c r="EC271" s="118" t="s">
        <v>6415</v>
      </c>
      <c r="ED271" s="118" t="s">
        <v>6415</v>
      </c>
      <c r="EE271" s="118" t="s">
        <v>6415</v>
      </c>
      <c r="EF271" s="118" t="s">
        <v>6415</v>
      </c>
      <c r="EG271" s="118" t="s">
        <v>7006</v>
      </c>
      <c r="EH271" s="118" t="s">
        <v>7007</v>
      </c>
      <c r="EI271" s="118" t="s">
        <v>6415</v>
      </c>
      <c r="EJ271" s="118" t="s">
        <v>6415</v>
      </c>
      <c r="EK271" s="118" t="s">
        <v>6415</v>
      </c>
      <c r="EL271" s="118" t="s">
        <v>7467</v>
      </c>
      <c r="EM271" s="118" t="s">
        <v>7392</v>
      </c>
      <c r="EN271" s="118" t="s">
        <v>6415</v>
      </c>
      <c r="EO271" s="6" t="str">
        <f t="shared" si="22"/>
        <v>Pathweb</v>
      </c>
      <c r="EP271" s="6" t="str">
        <f t="shared" si="23"/>
        <v>Google Maps</v>
      </c>
      <c r="EQ271" s="6" t="str">
        <f t="shared" si="24"/>
        <v>Mashed Map</v>
      </c>
      <c r="ER271" s="118" t="s">
        <v>6727</v>
      </c>
      <c r="ES271" s="118" t="s">
        <v>71</v>
      </c>
      <c r="ET271" s="4">
        <v>0</v>
      </c>
      <c r="EU271" s="4"/>
      <c r="EV271" s="4"/>
    </row>
    <row r="272" spans="1:152" x14ac:dyDescent="0.15">
      <c r="A272" s="581" t="str">
        <f t="shared" si="21"/>
        <v>Crash Report</v>
      </c>
      <c r="B272" s="118">
        <v>20243169512</v>
      </c>
      <c r="C272" s="118">
        <v>2024</v>
      </c>
      <c r="D272" s="118">
        <v>24092524831200</v>
      </c>
      <c r="F272" s="118" t="s">
        <v>6441</v>
      </c>
      <c r="G272" s="118" t="s">
        <v>230</v>
      </c>
      <c r="H272" s="118">
        <v>2</v>
      </c>
      <c r="I272" s="118" t="s">
        <v>6055</v>
      </c>
      <c r="J272" s="118" t="s">
        <v>423</v>
      </c>
      <c r="K272" s="118" t="s">
        <v>6985</v>
      </c>
      <c r="L272" s="118">
        <v>0.51100000000000001</v>
      </c>
      <c r="M272" s="118">
        <v>0.51100000000000001</v>
      </c>
      <c r="N272" s="118" t="s">
        <v>7465</v>
      </c>
      <c r="O272" s="118" t="s">
        <v>7468</v>
      </c>
      <c r="P272" s="118">
        <v>41.651831999999999</v>
      </c>
      <c r="Q272" s="118">
        <v>-83.518063999999995</v>
      </c>
      <c r="R272" s="118">
        <v>77000</v>
      </c>
      <c r="S272" s="118" t="s">
        <v>6988</v>
      </c>
      <c r="T272" s="118">
        <v>1</v>
      </c>
      <c r="U272" s="118">
        <v>0</v>
      </c>
      <c r="V272" s="118">
        <v>0</v>
      </c>
      <c r="W272" s="118">
        <v>0</v>
      </c>
      <c r="X272" s="118">
        <v>2</v>
      </c>
      <c r="Y272" s="118">
        <v>0</v>
      </c>
      <c r="Z272" s="118">
        <v>0</v>
      </c>
      <c r="AA272" s="118">
        <v>2</v>
      </c>
      <c r="AB272" s="118" t="s">
        <v>1067</v>
      </c>
      <c r="AC272" s="118" t="s">
        <v>6989</v>
      </c>
      <c r="AD272" s="118" t="s">
        <v>1034</v>
      </c>
      <c r="AE272" s="118" t="s">
        <v>943</v>
      </c>
      <c r="AF272" s="118" t="s">
        <v>1041</v>
      </c>
      <c r="AG272" s="118" t="s">
        <v>6415</v>
      </c>
      <c r="AH272" s="118" t="s">
        <v>393</v>
      </c>
      <c r="AI272" s="118">
        <v>4</v>
      </c>
      <c r="AJ272" s="118" t="s">
        <v>6415</v>
      </c>
      <c r="AK272" s="118" t="s">
        <v>393</v>
      </c>
      <c r="AL272" s="118" t="s">
        <v>393</v>
      </c>
      <c r="AM272" s="118" t="s">
        <v>393</v>
      </c>
      <c r="AN272" s="402" t="s">
        <v>5975</v>
      </c>
      <c r="AO272" s="402">
        <v>45560</v>
      </c>
      <c r="AP272" s="118">
        <v>9</v>
      </c>
      <c r="AQ272" s="118">
        <v>12</v>
      </c>
      <c r="AR272" s="118" t="s">
        <v>6446</v>
      </c>
      <c r="AS272" s="118" t="s">
        <v>392</v>
      </c>
      <c r="AT272" s="118" t="s">
        <v>500</v>
      </c>
      <c r="AU272" s="118" t="s">
        <v>404</v>
      </c>
      <c r="AV272" s="118" t="s">
        <v>508</v>
      </c>
      <c r="AW272" s="118" t="s">
        <v>393</v>
      </c>
      <c r="AX272" s="118" t="s">
        <v>740</v>
      </c>
      <c r="AY272" s="118" t="s">
        <v>393</v>
      </c>
      <c r="AZ272" s="118" t="s">
        <v>393</v>
      </c>
      <c r="BA272" s="118" t="s">
        <v>393</v>
      </c>
      <c r="BB272" s="118" t="s">
        <v>393</v>
      </c>
      <c r="BC272" s="118" t="s">
        <v>393</v>
      </c>
      <c r="BD272" s="118" t="s">
        <v>393</v>
      </c>
      <c r="BE272" s="118" t="s">
        <v>393</v>
      </c>
      <c r="BF272" s="118" t="s">
        <v>740</v>
      </c>
      <c r="BG272" s="118" t="s">
        <v>393</v>
      </c>
      <c r="BH272" s="118" t="s">
        <v>394</v>
      </c>
      <c r="BI272" s="118" t="s">
        <v>394</v>
      </c>
      <c r="BJ272" s="118" t="s">
        <v>393</v>
      </c>
      <c r="BK272" s="118" t="s">
        <v>6988</v>
      </c>
      <c r="BL272" s="118" t="s">
        <v>6415</v>
      </c>
      <c r="BM272" s="118" t="s">
        <v>6990</v>
      </c>
      <c r="BN272" s="118" t="s">
        <v>6991</v>
      </c>
      <c r="BO272" s="118" t="s">
        <v>6415</v>
      </c>
      <c r="BP272" s="118" t="s">
        <v>6415</v>
      </c>
      <c r="BQ272" s="118" t="s">
        <v>6415</v>
      </c>
      <c r="BR272" s="118" t="s">
        <v>6415</v>
      </c>
      <c r="BS272" s="118" t="s">
        <v>261</v>
      </c>
      <c r="BT272" s="118" t="s">
        <v>1791</v>
      </c>
      <c r="BU272" s="118" t="s">
        <v>6991</v>
      </c>
      <c r="BV272" s="118" t="s">
        <v>6415</v>
      </c>
      <c r="BW272" s="118" t="s">
        <v>6415</v>
      </c>
      <c r="BX272" s="118" t="s">
        <v>6415</v>
      </c>
      <c r="BY272" s="118" t="s">
        <v>6415</v>
      </c>
      <c r="BZ272" s="118" t="s">
        <v>6415</v>
      </c>
      <c r="CA272" s="118" t="s">
        <v>6415</v>
      </c>
      <c r="CB272" s="118" t="s">
        <v>221</v>
      </c>
      <c r="CC272" s="118" t="s">
        <v>740</v>
      </c>
      <c r="CD272" s="118">
        <v>1</v>
      </c>
      <c r="CE272" s="118" t="s">
        <v>410</v>
      </c>
      <c r="CF272" s="118" t="s">
        <v>397</v>
      </c>
      <c r="CG272" s="118" t="s">
        <v>230</v>
      </c>
      <c r="CH272" s="118" t="s">
        <v>6300</v>
      </c>
      <c r="CI272" s="118" t="s">
        <v>417</v>
      </c>
      <c r="CJ272" s="118" t="s">
        <v>398</v>
      </c>
      <c r="CK272" s="118">
        <v>10</v>
      </c>
      <c r="CL272" s="118">
        <v>40</v>
      </c>
      <c r="CM272" s="118" t="s">
        <v>436</v>
      </c>
      <c r="CN272" s="118" t="s">
        <v>398</v>
      </c>
      <c r="CO272" s="118" t="s">
        <v>1096</v>
      </c>
      <c r="CP272" s="118" t="s">
        <v>400</v>
      </c>
      <c r="CQ272" s="118" t="s">
        <v>6415</v>
      </c>
      <c r="CR272" s="118" t="s">
        <v>6415</v>
      </c>
      <c r="CS272" s="118" t="s">
        <v>6415</v>
      </c>
      <c r="CT272" s="118" t="s">
        <v>6415</v>
      </c>
      <c r="CU272" s="118" t="s">
        <v>6415</v>
      </c>
      <c r="CV272" s="118" t="s">
        <v>6415</v>
      </c>
      <c r="CW272" s="118">
        <v>25</v>
      </c>
      <c r="CX272" s="118" t="s">
        <v>1066</v>
      </c>
      <c r="CY272" s="118" t="s">
        <v>6341</v>
      </c>
      <c r="CZ272" s="118">
        <v>2</v>
      </c>
      <c r="DA272" s="118" t="s">
        <v>411</v>
      </c>
      <c r="DB272" s="118" t="s">
        <v>410</v>
      </c>
      <c r="DC272" s="118" t="s">
        <v>6415</v>
      </c>
      <c r="DD272" s="118" t="s">
        <v>6300</v>
      </c>
      <c r="DE272" s="118" t="s">
        <v>6305</v>
      </c>
      <c r="DF272" s="118" t="s">
        <v>398</v>
      </c>
      <c r="DG272" s="118">
        <v>40</v>
      </c>
      <c r="DH272" s="118">
        <v>40</v>
      </c>
      <c r="DI272" s="118" t="s">
        <v>399</v>
      </c>
      <c r="DJ272" s="118" t="s">
        <v>398</v>
      </c>
      <c r="DK272" s="118" t="s">
        <v>400</v>
      </c>
      <c r="DL272" s="118" t="s">
        <v>6415</v>
      </c>
      <c r="DM272" s="118" t="s">
        <v>6415</v>
      </c>
      <c r="DN272" s="118" t="s">
        <v>6415</v>
      </c>
      <c r="DO272" s="118" t="s">
        <v>6415</v>
      </c>
      <c r="DP272" s="118" t="s">
        <v>6415</v>
      </c>
      <c r="DQ272" s="118" t="s">
        <v>6415</v>
      </c>
      <c r="DR272" s="118">
        <v>50</v>
      </c>
      <c r="DS272" s="118" t="s">
        <v>1068</v>
      </c>
      <c r="DT272" s="118" t="s">
        <v>6341</v>
      </c>
      <c r="DU272" s="118" t="s">
        <v>6415</v>
      </c>
      <c r="DV272" s="118" t="s">
        <v>6415</v>
      </c>
      <c r="DW272" s="118" t="s">
        <v>6415</v>
      </c>
      <c r="DX272" s="118" t="s">
        <v>6415</v>
      </c>
      <c r="DY272" s="118" t="s">
        <v>6415</v>
      </c>
      <c r="DZ272" s="118" t="s">
        <v>6415</v>
      </c>
      <c r="EA272" s="118" t="s">
        <v>6415</v>
      </c>
      <c r="EB272" s="118" t="s">
        <v>6415</v>
      </c>
      <c r="EC272" s="118" t="s">
        <v>6415</v>
      </c>
      <c r="ED272" s="118" t="s">
        <v>6415</v>
      </c>
      <c r="EE272" s="118" t="s">
        <v>6415</v>
      </c>
      <c r="EF272" s="118" t="s">
        <v>6415</v>
      </c>
      <c r="EG272" s="118" t="s">
        <v>6994</v>
      </c>
      <c r="EH272" s="118" t="s">
        <v>7175</v>
      </c>
      <c r="EI272" s="118" t="s">
        <v>6415</v>
      </c>
      <c r="EJ272" s="118" t="s">
        <v>6415</v>
      </c>
      <c r="EK272" s="118" t="s">
        <v>6415</v>
      </c>
      <c r="EL272" s="118" t="s">
        <v>7467</v>
      </c>
      <c r="EM272" s="118" t="s">
        <v>7393</v>
      </c>
      <c r="EN272" s="118" t="s">
        <v>6415</v>
      </c>
      <c r="EO272" s="6" t="str">
        <f t="shared" si="22"/>
        <v>Pathweb</v>
      </c>
      <c r="EP272" s="6" t="str">
        <f t="shared" si="23"/>
        <v>Google Maps</v>
      </c>
      <c r="EQ272" s="6" t="str">
        <f t="shared" si="24"/>
        <v>Mashed Map</v>
      </c>
      <c r="ER272" s="118" t="s">
        <v>6727</v>
      </c>
      <c r="ES272" s="118" t="s">
        <v>6728</v>
      </c>
      <c r="ET272" s="4">
        <v>0</v>
      </c>
      <c r="EU272" s="4"/>
      <c r="EV272" s="4"/>
    </row>
    <row r="273" spans="1:152" x14ac:dyDescent="0.15">
      <c r="A273" s="581" t="str">
        <f t="shared" si="21"/>
        <v>Crash Report</v>
      </c>
      <c r="B273" s="14">
        <v>20243174355</v>
      </c>
      <c r="C273" s="118">
        <v>2024</v>
      </c>
      <c r="D273" s="14">
        <v>24100129631830</v>
      </c>
      <c r="F273" s="118" t="s">
        <v>6442</v>
      </c>
      <c r="G273" s="118" t="s">
        <v>402</v>
      </c>
      <c r="H273" s="118">
        <v>2</v>
      </c>
      <c r="I273" s="118" t="s">
        <v>6055</v>
      </c>
      <c r="J273" s="118" t="s">
        <v>434</v>
      </c>
      <c r="K273" s="118" t="s">
        <v>6985</v>
      </c>
      <c r="L273" s="118">
        <v>0.09</v>
      </c>
      <c r="M273" s="118">
        <v>0.09</v>
      </c>
      <c r="N273" s="118" t="s">
        <v>7465</v>
      </c>
      <c r="O273" s="118" t="s">
        <v>7475</v>
      </c>
      <c r="P273" s="118">
        <v>41.64799</v>
      </c>
      <c r="Q273" s="118">
        <v>-83.524354000000002</v>
      </c>
      <c r="R273" s="118">
        <v>77000</v>
      </c>
      <c r="S273" s="118" t="s">
        <v>6988</v>
      </c>
      <c r="T273" s="118">
        <v>1</v>
      </c>
      <c r="U273" s="118">
        <v>0</v>
      </c>
      <c r="V273" s="118">
        <v>0</v>
      </c>
      <c r="W273" s="118">
        <v>0</v>
      </c>
      <c r="X273" s="118">
        <v>0</v>
      </c>
      <c r="Y273" s="118">
        <v>3</v>
      </c>
      <c r="Z273" s="118">
        <v>0</v>
      </c>
      <c r="AA273" s="118">
        <v>2</v>
      </c>
      <c r="AB273" s="118" t="s">
        <v>1067</v>
      </c>
      <c r="AC273" s="118" t="s">
        <v>6989</v>
      </c>
      <c r="AD273" s="118" t="s">
        <v>1034</v>
      </c>
      <c r="AE273" s="118" t="s">
        <v>943</v>
      </c>
      <c r="AF273" s="118" t="s">
        <v>1042</v>
      </c>
      <c r="AG273" s="118" t="s">
        <v>6415</v>
      </c>
      <c r="AH273" s="118" t="s">
        <v>393</v>
      </c>
      <c r="AI273" s="118">
        <v>4</v>
      </c>
      <c r="AJ273" s="118" t="s">
        <v>6415</v>
      </c>
      <c r="AK273" s="118" t="s">
        <v>393</v>
      </c>
      <c r="AL273" s="118" t="s">
        <v>393</v>
      </c>
      <c r="AM273" s="118" t="s">
        <v>393</v>
      </c>
      <c r="AN273" s="402" t="s">
        <v>5975</v>
      </c>
      <c r="AO273" s="402">
        <v>45566</v>
      </c>
      <c r="AP273" s="118">
        <v>10</v>
      </c>
      <c r="AQ273" s="118">
        <v>18</v>
      </c>
      <c r="AR273" s="118" t="s">
        <v>6445</v>
      </c>
      <c r="AS273" s="118" t="s">
        <v>392</v>
      </c>
      <c r="AT273" s="118" t="s">
        <v>500</v>
      </c>
      <c r="AU273" s="118" t="s">
        <v>6324</v>
      </c>
      <c r="AV273" s="118" t="s">
        <v>508</v>
      </c>
      <c r="AW273" s="118" t="s">
        <v>393</v>
      </c>
      <c r="AX273" s="118" t="s">
        <v>740</v>
      </c>
      <c r="AY273" s="118" t="s">
        <v>393</v>
      </c>
      <c r="AZ273" s="118" t="s">
        <v>393</v>
      </c>
      <c r="BA273" s="118" t="s">
        <v>393</v>
      </c>
      <c r="BB273" s="118" t="s">
        <v>393</v>
      </c>
      <c r="BC273" s="118" t="s">
        <v>393</v>
      </c>
      <c r="BD273" s="118" t="s">
        <v>393</v>
      </c>
      <c r="BE273" s="118" t="s">
        <v>393</v>
      </c>
      <c r="BF273" s="118" t="s">
        <v>393</v>
      </c>
      <c r="BG273" s="118" t="s">
        <v>393</v>
      </c>
      <c r="BH273" s="118" t="s">
        <v>394</v>
      </c>
      <c r="BI273" s="118" t="s">
        <v>394</v>
      </c>
      <c r="BJ273" s="118" t="s">
        <v>393</v>
      </c>
      <c r="BK273" s="118" t="s">
        <v>6988</v>
      </c>
      <c r="BL273" s="118" t="s">
        <v>6415</v>
      </c>
      <c r="BM273" s="118" t="s">
        <v>6990</v>
      </c>
      <c r="BN273" s="118" t="s">
        <v>6991</v>
      </c>
      <c r="BO273" s="118" t="s">
        <v>6415</v>
      </c>
      <c r="BP273" s="118" t="s">
        <v>6415</v>
      </c>
      <c r="BQ273" s="118" t="s">
        <v>6415</v>
      </c>
      <c r="BR273" s="118" t="s">
        <v>6415</v>
      </c>
      <c r="BS273" s="118" t="s">
        <v>6415</v>
      </c>
      <c r="BT273" s="118" t="s">
        <v>2583</v>
      </c>
      <c r="BU273" s="118" t="s">
        <v>7017</v>
      </c>
      <c r="BV273" s="118" t="s">
        <v>6415</v>
      </c>
      <c r="BW273" s="118" t="s">
        <v>6415</v>
      </c>
      <c r="BX273" s="118" t="s">
        <v>6415</v>
      </c>
      <c r="BY273" s="118" t="s">
        <v>6415</v>
      </c>
      <c r="BZ273" s="118" t="s">
        <v>6415</v>
      </c>
      <c r="CA273" s="118" t="s">
        <v>6415</v>
      </c>
      <c r="CB273" s="118" t="s">
        <v>221</v>
      </c>
      <c r="CC273" s="118" t="s">
        <v>740</v>
      </c>
      <c r="CD273" s="118">
        <v>1</v>
      </c>
      <c r="CE273" s="118" t="s">
        <v>396</v>
      </c>
      <c r="CF273" s="118" t="s">
        <v>405</v>
      </c>
      <c r="CG273" s="118" t="s">
        <v>230</v>
      </c>
      <c r="CH273" s="118" t="s">
        <v>6302</v>
      </c>
      <c r="CI273" s="118" t="s">
        <v>6303</v>
      </c>
      <c r="CJ273" s="118" t="s">
        <v>398</v>
      </c>
      <c r="CK273" s="14">
        <v>0</v>
      </c>
      <c r="CL273" s="118">
        <v>40</v>
      </c>
      <c r="CM273" s="118" t="s">
        <v>436</v>
      </c>
      <c r="CN273" s="118" t="s">
        <v>6327</v>
      </c>
      <c r="CO273" s="118" t="s">
        <v>1096</v>
      </c>
      <c r="CP273" s="118" t="s">
        <v>400</v>
      </c>
      <c r="CQ273" s="118" t="s">
        <v>6415</v>
      </c>
      <c r="CR273" s="118" t="s">
        <v>6415</v>
      </c>
      <c r="CS273" s="118" t="s">
        <v>6415</v>
      </c>
      <c r="CT273" s="118" t="s">
        <v>6415</v>
      </c>
      <c r="CU273" s="118" t="s">
        <v>6415</v>
      </c>
      <c r="CV273" s="118" t="s">
        <v>6415</v>
      </c>
      <c r="CW273" s="14">
        <v>41</v>
      </c>
      <c r="CX273" s="118" t="s">
        <v>1068</v>
      </c>
      <c r="CY273" s="118" t="s">
        <v>6341</v>
      </c>
      <c r="CZ273" s="118">
        <v>2</v>
      </c>
      <c r="DA273" s="118" t="s">
        <v>411</v>
      </c>
      <c r="DB273" s="118" t="s">
        <v>410</v>
      </c>
      <c r="DC273" s="118" t="s">
        <v>6415</v>
      </c>
      <c r="DD273" s="118" t="s">
        <v>6302</v>
      </c>
      <c r="DE273" s="118" t="s">
        <v>6303</v>
      </c>
      <c r="DF273" s="118" t="s">
        <v>398</v>
      </c>
      <c r="DG273" s="118" t="s">
        <v>6415</v>
      </c>
      <c r="DH273" s="118">
        <v>40</v>
      </c>
      <c r="DI273" s="118" t="s">
        <v>399</v>
      </c>
      <c r="DJ273" s="118" t="s">
        <v>398</v>
      </c>
      <c r="DK273" s="118" t="s">
        <v>400</v>
      </c>
      <c r="DL273" s="118" t="s">
        <v>6415</v>
      </c>
      <c r="DM273" s="118" t="s">
        <v>6415</v>
      </c>
      <c r="DN273" s="118" t="s">
        <v>6415</v>
      </c>
      <c r="DO273" s="118" t="s">
        <v>6415</v>
      </c>
      <c r="DP273" s="118" t="s">
        <v>6415</v>
      </c>
      <c r="DQ273" s="118" t="s">
        <v>6415</v>
      </c>
      <c r="DR273" s="118">
        <v>54</v>
      </c>
      <c r="DS273" s="118" t="s">
        <v>1068</v>
      </c>
      <c r="DT273" s="118" t="s">
        <v>6341</v>
      </c>
      <c r="DU273" s="118" t="s">
        <v>6415</v>
      </c>
      <c r="DV273" s="118" t="s">
        <v>6415</v>
      </c>
      <c r="DW273" s="118" t="s">
        <v>6415</v>
      </c>
      <c r="DX273" s="118" t="s">
        <v>6415</v>
      </c>
      <c r="DY273" s="118" t="s">
        <v>6415</v>
      </c>
      <c r="DZ273" s="118" t="s">
        <v>6415</v>
      </c>
      <c r="EA273" s="118" t="s">
        <v>6415</v>
      </c>
      <c r="EB273" s="118" t="s">
        <v>6415</v>
      </c>
      <c r="EC273" s="118" t="s">
        <v>6415</v>
      </c>
      <c r="ED273" s="118" t="s">
        <v>6415</v>
      </c>
      <c r="EE273" s="118" t="s">
        <v>6415</v>
      </c>
      <c r="EF273" s="118" t="s">
        <v>6415</v>
      </c>
      <c r="EG273" s="118" t="s">
        <v>7028</v>
      </c>
      <c r="EH273" s="118" t="s">
        <v>7029</v>
      </c>
      <c r="EI273" s="118" t="s">
        <v>6415</v>
      </c>
      <c r="EJ273" s="118" t="s">
        <v>6415</v>
      </c>
      <c r="EK273" s="118" t="s">
        <v>6415</v>
      </c>
      <c r="EL273" s="118" t="s">
        <v>7467</v>
      </c>
      <c r="EM273" s="118" t="s">
        <v>7394</v>
      </c>
      <c r="EN273" s="118" t="s">
        <v>6415</v>
      </c>
      <c r="EO273" s="6" t="str">
        <f t="shared" si="22"/>
        <v>Pathweb</v>
      </c>
      <c r="EP273" s="6" t="str">
        <f t="shared" si="23"/>
        <v>Google Maps</v>
      </c>
      <c r="EQ273" s="6" t="str">
        <f t="shared" si="24"/>
        <v>Mashed Map</v>
      </c>
      <c r="ER273" s="118" t="s">
        <v>6727</v>
      </c>
      <c r="ES273" s="118" t="s">
        <v>71</v>
      </c>
      <c r="ET273" s="4">
        <v>0</v>
      </c>
      <c r="EU273" s="4"/>
      <c r="EV273" s="4"/>
    </row>
    <row r="274" spans="1:152" x14ac:dyDescent="0.15">
      <c r="A274" s="581" t="str">
        <f t="shared" si="21"/>
        <v>Crash Report</v>
      </c>
      <c r="B274" s="14">
        <v>20243175929</v>
      </c>
      <c r="C274" s="118">
        <v>2024</v>
      </c>
      <c r="D274" s="14">
        <v>24092724051157</v>
      </c>
      <c r="F274" s="118" t="s">
        <v>6442</v>
      </c>
      <c r="G274" s="118" t="s">
        <v>230</v>
      </c>
      <c r="H274" s="118">
        <v>2</v>
      </c>
      <c r="I274" s="118" t="s">
        <v>6055</v>
      </c>
      <c r="J274" s="118" t="s">
        <v>391</v>
      </c>
      <c r="K274" s="118" t="s">
        <v>6997</v>
      </c>
      <c r="L274" s="118">
        <v>0.71299999999999997</v>
      </c>
      <c r="M274" s="118">
        <v>0.71299999999999997</v>
      </c>
      <c r="N274" s="118" t="s">
        <v>7469</v>
      </c>
      <c r="O274" s="118" t="s">
        <v>7466</v>
      </c>
      <c r="P274" s="118">
        <v>41.648519</v>
      </c>
      <c r="Q274" s="118">
        <v>-83.523447000000004</v>
      </c>
      <c r="R274" s="118">
        <v>77000</v>
      </c>
      <c r="S274" s="118" t="s">
        <v>6988</v>
      </c>
      <c r="T274" s="118">
        <v>1</v>
      </c>
      <c r="U274" s="118">
        <v>0</v>
      </c>
      <c r="V274" s="118">
        <v>0</v>
      </c>
      <c r="W274" s="118">
        <v>0</v>
      </c>
      <c r="X274" s="118">
        <v>0</v>
      </c>
      <c r="Y274" s="118">
        <v>2</v>
      </c>
      <c r="Z274" s="118">
        <v>0</v>
      </c>
      <c r="AA274" s="118">
        <v>2</v>
      </c>
      <c r="AB274" s="118" t="s">
        <v>1067</v>
      </c>
      <c r="AC274" s="118" t="s">
        <v>6989</v>
      </c>
      <c r="AD274" s="118" t="s">
        <v>1034</v>
      </c>
      <c r="AE274" s="118" t="s">
        <v>943</v>
      </c>
      <c r="AF274" s="118" t="s">
        <v>1042</v>
      </c>
      <c r="AG274" s="118" t="s">
        <v>6415</v>
      </c>
      <c r="AH274" s="118" t="s">
        <v>393</v>
      </c>
      <c r="AI274" s="118">
        <v>2</v>
      </c>
      <c r="AJ274" s="118" t="s">
        <v>6415</v>
      </c>
      <c r="AK274" s="118" t="s">
        <v>393</v>
      </c>
      <c r="AL274" s="118" t="s">
        <v>393</v>
      </c>
      <c r="AM274" s="118" t="s">
        <v>393</v>
      </c>
      <c r="AN274" s="402" t="s">
        <v>5975</v>
      </c>
      <c r="AO274" s="402">
        <v>45562</v>
      </c>
      <c r="AP274" s="118">
        <v>9</v>
      </c>
      <c r="AQ274" s="118">
        <v>11</v>
      </c>
      <c r="AR274" s="118" t="s">
        <v>6448</v>
      </c>
      <c r="AS274" s="118" t="s">
        <v>403</v>
      </c>
      <c r="AT274" s="118" t="s">
        <v>500</v>
      </c>
      <c r="AU274" s="118" t="s">
        <v>404</v>
      </c>
      <c r="AV274" s="118" t="s">
        <v>508</v>
      </c>
      <c r="AW274" s="118" t="s">
        <v>393</v>
      </c>
      <c r="AX274" s="118" t="s">
        <v>740</v>
      </c>
      <c r="AY274" s="118" t="s">
        <v>393</v>
      </c>
      <c r="AZ274" s="118" t="s">
        <v>393</v>
      </c>
      <c r="BA274" s="118" t="s">
        <v>393</v>
      </c>
      <c r="BB274" s="118" t="s">
        <v>393</v>
      </c>
      <c r="BC274" s="118" t="s">
        <v>393</v>
      </c>
      <c r="BD274" s="118" t="s">
        <v>393</v>
      </c>
      <c r="BE274" s="118" t="s">
        <v>393</v>
      </c>
      <c r="BF274" s="118" t="s">
        <v>393</v>
      </c>
      <c r="BG274" s="118" t="s">
        <v>393</v>
      </c>
      <c r="BH274" s="118" t="s">
        <v>394</v>
      </c>
      <c r="BI274" s="118" t="s">
        <v>394</v>
      </c>
      <c r="BJ274" s="118" t="s">
        <v>393</v>
      </c>
      <c r="BK274" s="118" t="s">
        <v>6988</v>
      </c>
      <c r="BL274" s="118" t="s">
        <v>6415</v>
      </c>
      <c r="BM274" s="118" t="s">
        <v>6990</v>
      </c>
      <c r="BN274" s="118" t="s">
        <v>6991</v>
      </c>
      <c r="BO274" s="118" t="s">
        <v>6415</v>
      </c>
      <c r="BP274" s="118" t="s">
        <v>6415</v>
      </c>
      <c r="BQ274" s="118" t="s">
        <v>6415</v>
      </c>
      <c r="BR274" s="118" t="s">
        <v>6415</v>
      </c>
      <c r="BS274" s="118" t="s">
        <v>6415</v>
      </c>
      <c r="BT274" s="118" t="s">
        <v>6992</v>
      </c>
      <c r="BU274" s="118" t="s">
        <v>6991</v>
      </c>
      <c r="BV274" s="118" t="s">
        <v>6415</v>
      </c>
      <c r="BW274" s="118" t="s">
        <v>6415</v>
      </c>
      <c r="BX274" s="118" t="s">
        <v>6415</v>
      </c>
      <c r="BY274" s="118" t="s">
        <v>6415</v>
      </c>
      <c r="BZ274" s="118" t="s">
        <v>6415</v>
      </c>
      <c r="CA274" s="118" t="s">
        <v>6415</v>
      </c>
      <c r="CB274" s="118" t="s">
        <v>221</v>
      </c>
      <c r="CC274" s="118" t="s">
        <v>740</v>
      </c>
      <c r="CD274" s="118">
        <v>1</v>
      </c>
      <c r="CE274" s="118" t="s">
        <v>405</v>
      </c>
      <c r="CF274" s="118" t="s">
        <v>410</v>
      </c>
      <c r="CG274" s="118" t="s">
        <v>230</v>
      </c>
      <c r="CH274" s="118" t="s">
        <v>6300</v>
      </c>
      <c r="CI274" s="118" t="s">
        <v>417</v>
      </c>
      <c r="CJ274" s="118" t="s">
        <v>398</v>
      </c>
      <c r="CK274" s="14">
        <v>5</v>
      </c>
      <c r="CL274" s="118">
        <v>35</v>
      </c>
      <c r="CM274" s="118" t="s">
        <v>436</v>
      </c>
      <c r="CN274" s="118" t="s">
        <v>6327</v>
      </c>
      <c r="CO274" s="118" t="s">
        <v>1096</v>
      </c>
      <c r="CP274" s="118" t="s">
        <v>400</v>
      </c>
      <c r="CQ274" s="118" t="s">
        <v>6415</v>
      </c>
      <c r="CR274" s="118" t="s">
        <v>6415</v>
      </c>
      <c r="CS274" s="118" t="s">
        <v>6415</v>
      </c>
      <c r="CT274" s="118" t="s">
        <v>6415</v>
      </c>
      <c r="CU274" s="118" t="s">
        <v>6415</v>
      </c>
      <c r="CV274" s="118" t="s">
        <v>6415</v>
      </c>
      <c r="CW274" s="14">
        <v>59</v>
      </c>
      <c r="CX274" s="118" t="s">
        <v>1066</v>
      </c>
      <c r="CY274" s="118" t="s">
        <v>6341</v>
      </c>
      <c r="CZ274" s="118">
        <v>2</v>
      </c>
      <c r="DA274" s="118" t="s">
        <v>406</v>
      </c>
      <c r="DB274" s="118" t="s">
        <v>405</v>
      </c>
      <c r="DC274" s="118" t="s">
        <v>6415</v>
      </c>
      <c r="DD274" s="118" t="s">
        <v>6300</v>
      </c>
      <c r="DE274" s="118" t="s">
        <v>6303</v>
      </c>
      <c r="DF274" s="118" t="s">
        <v>398</v>
      </c>
      <c r="DG274" s="118">
        <v>35</v>
      </c>
      <c r="DH274" s="118">
        <v>35</v>
      </c>
      <c r="DI274" s="118" t="s">
        <v>399</v>
      </c>
      <c r="DJ274" s="118" t="s">
        <v>398</v>
      </c>
      <c r="DK274" s="118" t="s">
        <v>400</v>
      </c>
      <c r="DL274" s="118" t="s">
        <v>6415</v>
      </c>
      <c r="DM274" s="118" t="s">
        <v>6415</v>
      </c>
      <c r="DN274" s="118" t="s">
        <v>6415</v>
      </c>
      <c r="DO274" s="118" t="s">
        <v>6415</v>
      </c>
      <c r="DP274" s="118" t="s">
        <v>6415</v>
      </c>
      <c r="DQ274" s="118" t="s">
        <v>6415</v>
      </c>
      <c r="DR274" s="118">
        <v>45</v>
      </c>
      <c r="DS274" s="118" t="s">
        <v>1066</v>
      </c>
      <c r="DT274" s="118" t="s">
        <v>6341</v>
      </c>
      <c r="DU274" s="118" t="s">
        <v>6415</v>
      </c>
      <c r="DV274" s="118" t="s">
        <v>6415</v>
      </c>
      <c r="DW274" s="118" t="s">
        <v>6415</v>
      </c>
      <c r="DX274" s="118" t="s">
        <v>6415</v>
      </c>
      <c r="DY274" s="118" t="s">
        <v>6415</v>
      </c>
      <c r="DZ274" s="118" t="s">
        <v>6415</v>
      </c>
      <c r="EA274" s="118" t="s">
        <v>6415</v>
      </c>
      <c r="EB274" s="118" t="s">
        <v>6415</v>
      </c>
      <c r="EC274" s="118" t="s">
        <v>6415</v>
      </c>
      <c r="ED274" s="118" t="s">
        <v>6415</v>
      </c>
      <c r="EE274" s="118" t="s">
        <v>6415</v>
      </c>
      <c r="EF274" s="118" t="s">
        <v>6415</v>
      </c>
      <c r="EG274" s="118" t="s">
        <v>6986</v>
      </c>
      <c r="EH274" s="118" t="s">
        <v>7168</v>
      </c>
      <c r="EI274" s="118" t="s">
        <v>6415</v>
      </c>
      <c r="EJ274" s="118" t="s">
        <v>6415</v>
      </c>
      <c r="EK274" s="118" t="s">
        <v>6415</v>
      </c>
      <c r="EL274" s="118" t="s">
        <v>7467</v>
      </c>
      <c r="EM274" s="118" t="s">
        <v>7395</v>
      </c>
      <c r="EN274" s="118" t="s">
        <v>6415</v>
      </c>
      <c r="EO274" s="6" t="str">
        <f t="shared" si="22"/>
        <v>Pathweb</v>
      </c>
      <c r="EP274" s="6" t="str">
        <f t="shared" si="23"/>
        <v>Google Maps</v>
      </c>
      <c r="EQ274" s="6" t="str">
        <f t="shared" si="24"/>
        <v>Mashed Map</v>
      </c>
      <c r="ER274" s="118" t="s">
        <v>6727</v>
      </c>
      <c r="ES274" s="118" t="s">
        <v>71</v>
      </c>
      <c r="ET274" s="4">
        <v>0</v>
      </c>
      <c r="EU274" s="4"/>
      <c r="EV274" s="4"/>
    </row>
    <row r="275" spans="1:152" x14ac:dyDescent="0.15">
      <c r="A275" s="581" t="str">
        <f t="shared" si="21"/>
        <v>Crash Report</v>
      </c>
      <c r="B275" s="118">
        <v>20243182773</v>
      </c>
      <c r="C275" s="118">
        <v>2024</v>
      </c>
      <c r="D275" s="118">
        <v>24101126541500</v>
      </c>
      <c r="F275" s="118" t="s">
        <v>6442</v>
      </c>
      <c r="G275" s="118" t="s">
        <v>211</v>
      </c>
      <c r="H275" s="118">
        <v>2</v>
      </c>
      <c r="I275" s="118" t="s">
        <v>6055</v>
      </c>
      <c r="J275" s="118" t="s">
        <v>434</v>
      </c>
      <c r="K275" s="118" t="s">
        <v>6985</v>
      </c>
      <c r="L275" s="118">
        <v>0.874</v>
      </c>
      <c r="M275" s="118">
        <v>0.874</v>
      </c>
      <c r="N275" s="118" t="s">
        <v>7465</v>
      </c>
      <c r="O275" s="118" t="s">
        <v>7481</v>
      </c>
      <c r="P275" s="118">
        <v>41.655144</v>
      </c>
      <c r="Q275" s="118">
        <v>-83.512640000000005</v>
      </c>
      <c r="R275" s="118">
        <v>77000</v>
      </c>
      <c r="S275" s="118" t="s">
        <v>6988</v>
      </c>
      <c r="T275" s="118">
        <v>1</v>
      </c>
      <c r="U275" s="118">
        <v>0</v>
      </c>
      <c r="V275" s="118">
        <v>0</v>
      </c>
      <c r="W275" s="118">
        <v>0</v>
      </c>
      <c r="X275" s="118">
        <v>0</v>
      </c>
      <c r="Y275" s="118">
        <v>3</v>
      </c>
      <c r="Z275" s="118">
        <v>0</v>
      </c>
      <c r="AA275" s="118">
        <v>2</v>
      </c>
      <c r="AB275" s="118" t="s">
        <v>1067</v>
      </c>
      <c r="AC275" s="118" t="s">
        <v>6989</v>
      </c>
      <c r="AD275" s="118" t="s">
        <v>1034</v>
      </c>
      <c r="AE275" s="118" t="s">
        <v>943</v>
      </c>
      <c r="AF275" s="118" t="s">
        <v>1041</v>
      </c>
      <c r="AG275" s="118" t="s">
        <v>6415</v>
      </c>
      <c r="AH275" s="118" t="s">
        <v>393</v>
      </c>
      <c r="AI275" s="118">
        <v>4</v>
      </c>
      <c r="AJ275" s="118" t="s">
        <v>6415</v>
      </c>
      <c r="AK275" s="118" t="s">
        <v>393</v>
      </c>
      <c r="AL275" s="118" t="s">
        <v>393</v>
      </c>
      <c r="AM275" s="118" t="s">
        <v>393</v>
      </c>
      <c r="AN275" s="402" t="s">
        <v>5975</v>
      </c>
      <c r="AO275" s="402">
        <v>45576</v>
      </c>
      <c r="AP275" s="118">
        <v>10</v>
      </c>
      <c r="AQ275" s="118">
        <v>15</v>
      </c>
      <c r="AR275" s="118" t="s">
        <v>6448</v>
      </c>
      <c r="AS275" s="118" t="s">
        <v>392</v>
      </c>
      <c r="AT275" s="118" t="s">
        <v>500</v>
      </c>
      <c r="AU275" s="118" t="s">
        <v>404</v>
      </c>
      <c r="AV275" s="118" t="s">
        <v>508</v>
      </c>
      <c r="AW275" s="118" t="s">
        <v>393</v>
      </c>
      <c r="AX275" s="118" t="s">
        <v>740</v>
      </c>
      <c r="AY275" s="118" t="s">
        <v>393</v>
      </c>
      <c r="AZ275" s="118" t="s">
        <v>393</v>
      </c>
      <c r="BA275" s="118" t="s">
        <v>393</v>
      </c>
      <c r="BB275" s="118" t="s">
        <v>393</v>
      </c>
      <c r="BC275" s="118" t="s">
        <v>393</v>
      </c>
      <c r="BD275" s="118" t="s">
        <v>393</v>
      </c>
      <c r="BE275" s="118" t="s">
        <v>393</v>
      </c>
      <c r="BF275" s="118" t="s">
        <v>393</v>
      </c>
      <c r="BG275" s="118" t="s">
        <v>393</v>
      </c>
      <c r="BH275" s="118" t="s">
        <v>394</v>
      </c>
      <c r="BI275" s="118" t="s">
        <v>394</v>
      </c>
      <c r="BJ275" s="118" t="s">
        <v>393</v>
      </c>
      <c r="BK275" s="118" t="s">
        <v>6988</v>
      </c>
      <c r="BL275" s="118" t="s">
        <v>6415</v>
      </c>
      <c r="BM275" s="118" t="s">
        <v>6990</v>
      </c>
      <c r="BN275" s="118" t="s">
        <v>6991</v>
      </c>
      <c r="BO275" s="118" t="s">
        <v>6415</v>
      </c>
      <c r="BP275" s="118" t="s">
        <v>6415</v>
      </c>
      <c r="BQ275" s="118" t="s">
        <v>6415</v>
      </c>
      <c r="BR275" s="118" t="s">
        <v>6415</v>
      </c>
      <c r="BS275" s="118" t="s">
        <v>6415</v>
      </c>
      <c r="BT275" s="118" t="s">
        <v>7067</v>
      </c>
      <c r="BU275" s="118" t="s">
        <v>7017</v>
      </c>
      <c r="BV275" s="118" t="s">
        <v>6415</v>
      </c>
      <c r="BW275" s="118" t="s">
        <v>6415</v>
      </c>
      <c r="BX275" s="118" t="s">
        <v>6415</v>
      </c>
      <c r="BY275" s="118" t="s">
        <v>6415</v>
      </c>
      <c r="BZ275" s="118" t="s">
        <v>6415</v>
      </c>
      <c r="CA275" s="118" t="s">
        <v>6415</v>
      </c>
      <c r="CB275" s="118" t="s">
        <v>221</v>
      </c>
      <c r="CC275" s="118" t="s">
        <v>740</v>
      </c>
      <c r="CD275" s="118">
        <v>1</v>
      </c>
      <c r="CE275" s="118" t="s">
        <v>446</v>
      </c>
      <c r="CF275" s="118" t="s">
        <v>396</v>
      </c>
      <c r="CG275" s="118" t="s">
        <v>230</v>
      </c>
      <c r="CH275" s="118" t="s">
        <v>433</v>
      </c>
      <c r="CI275" s="118" t="s">
        <v>6305</v>
      </c>
      <c r="CJ275" s="118" t="s">
        <v>398</v>
      </c>
      <c r="CK275" s="118">
        <v>15</v>
      </c>
      <c r="CL275" s="118">
        <v>35</v>
      </c>
      <c r="CM275" s="118" t="s">
        <v>436</v>
      </c>
      <c r="CN275" s="118" t="s">
        <v>6327</v>
      </c>
      <c r="CO275" s="118" t="s">
        <v>1096</v>
      </c>
      <c r="CP275" s="118" t="s">
        <v>400</v>
      </c>
      <c r="CQ275" s="118" t="s">
        <v>6415</v>
      </c>
      <c r="CR275" s="118" t="s">
        <v>6415</v>
      </c>
      <c r="CS275" s="118" t="s">
        <v>6415</v>
      </c>
      <c r="CT275" s="118" t="s">
        <v>6415</v>
      </c>
      <c r="CU275" s="118" t="s">
        <v>6415</v>
      </c>
      <c r="CV275" s="118" t="s">
        <v>6415</v>
      </c>
      <c r="CW275" s="118">
        <v>51</v>
      </c>
      <c r="CX275" s="118" t="s">
        <v>1068</v>
      </c>
      <c r="CY275" s="118" t="s">
        <v>6341</v>
      </c>
      <c r="CZ275" s="118">
        <v>2</v>
      </c>
      <c r="DA275" s="118" t="s">
        <v>397</v>
      </c>
      <c r="DB275" s="118" t="s">
        <v>396</v>
      </c>
      <c r="DC275" s="118" t="s">
        <v>6415</v>
      </c>
      <c r="DD275" s="118" t="s">
        <v>6302</v>
      </c>
      <c r="DE275" s="118" t="s">
        <v>6303</v>
      </c>
      <c r="DF275" s="118" t="s">
        <v>398</v>
      </c>
      <c r="DG275" s="118">
        <v>35</v>
      </c>
      <c r="DH275" s="118">
        <v>35</v>
      </c>
      <c r="DI275" s="118" t="s">
        <v>399</v>
      </c>
      <c r="DJ275" s="118" t="s">
        <v>398</v>
      </c>
      <c r="DK275" s="118" t="s">
        <v>400</v>
      </c>
      <c r="DL275" s="118" t="s">
        <v>6415</v>
      </c>
      <c r="DM275" s="118" t="s">
        <v>6415</v>
      </c>
      <c r="DN275" s="118" t="s">
        <v>6415</v>
      </c>
      <c r="DO275" s="118" t="s">
        <v>6415</v>
      </c>
      <c r="DP275" s="118" t="s">
        <v>6415</v>
      </c>
      <c r="DQ275" s="118" t="s">
        <v>6415</v>
      </c>
      <c r="DR275" s="118">
        <v>56</v>
      </c>
      <c r="DS275" s="118" t="s">
        <v>1068</v>
      </c>
      <c r="DT275" s="118" t="s">
        <v>6341</v>
      </c>
      <c r="DU275" s="118" t="s">
        <v>6415</v>
      </c>
      <c r="DV275" s="118" t="s">
        <v>6415</v>
      </c>
      <c r="DW275" s="118" t="s">
        <v>6415</v>
      </c>
      <c r="DX275" s="118" t="s">
        <v>6415</v>
      </c>
      <c r="DY275" s="118" t="s">
        <v>6415</v>
      </c>
      <c r="DZ275" s="118" t="s">
        <v>6415</v>
      </c>
      <c r="EA275" s="118" t="s">
        <v>6415</v>
      </c>
      <c r="EB275" s="118" t="s">
        <v>6415</v>
      </c>
      <c r="EC275" s="118" t="s">
        <v>6415</v>
      </c>
      <c r="ED275" s="118" t="s">
        <v>6415</v>
      </c>
      <c r="EE275" s="118" t="s">
        <v>6415</v>
      </c>
      <c r="EF275" s="118" t="s">
        <v>6415</v>
      </c>
      <c r="EG275" s="118" t="s">
        <v>7065</v>
      </c>
      <c r="EH275" s="118" t="s">
        <v>7066</v>
      </c>
      <c r="EI275" s="118" t="s">
        <v>6415</v>
      </c>
      <c r="EJ275" s="118" t="s">
        <v>6415</v>
      </c>
      <c r="EK275" s="118" t="s">
        <v>6415</v>
      </c>
      <c r="EL275" s="118" t="s">
        <v>7467</v>
      </c>
      <c r="EM275" s="118" t="s">
        <v>7396</v>
      </c>
      <c r="EN275" s="118" t="s">
        <v>6415</v>
      </c>
      <c r="EO275" s="6" t="str">
        <f t="shared" si="22"/>
        <v>Pathweb</v>
      </c>
      <c r="EP275" s="6" t="str">
        <f t="shared" si="23"/>
        <v>Google Maps</v>
      </c>
      <c r="EQ275" s="6" t="str">
        <f t="shared" si="24"/>
        <v>Mashed Map</v>
      </c>
      <c r="ER275" s="118" t="s">
        <v>6727</v>
      </c>
      <c r="ES275" s="118" t="s">
        <v>71</v>
      </c>
      <c r="ET275" s="4">
        <v>0</v>
      </c>
      <c r="EU275" s="4"/>
      <c r="EV275" s="4"/>
    </row>
    <row r="276" spans="1:152" x14ac:dyDescent="0.15">
      <c r="A276" s="581" t="str">
        <f t="shared" si="21"/>
        <v>Crash Report</v>
      </c>
      <c r="B276" s="118">
        <v>20243182839</v>
      </c>
      <c r="C276" s="118">
        <v>2024</v>
      </c>
      <c r="D276" s="118">
        <v>24101129751552</v>
      </c>
      <c r="F276" s="118" t="s">
        <v>6440</v>
      </c>
      <c r="G276" s="118" t="s">
        <v>313</v>
      </c>
      <c r="H276" s="118">
        <v>2</v>
      </c>
      <c r="I276" s="118" t="s">
        <v>6055</v>
      </c>
      <c r="J276" s="118" t="s">
        <v>423</v>
      </c>
      <c r="K276" s="118" t="s">
        <v>6985</v>
      </c>
      <c r="L276" s="118">
        <v>1.0740000000000001</v>
      </c>
      <c r="M276" s="118">
        <v>1.0740000000000001</v>
      </c>
      <c r="N276" s="118" t="s">
        <v>7465</v>
      </c>
      <c r="O276" s="118" t="s">
        <v>7473</v>
      </c>
      <c r="P276" s="118">
        <v>41.656911000000001</v>
      </c>
      <c r="Q276" s="118">
        <v>-83.509613000000002</v>
      </c>
      <c r="R276" s="118">
        <v>77000</v>
      </c>
      <c r="S276" s="118" t="s">
        <v>6988</v>
      </c>
      <c r="T276" s="118">
        <v>1</v>
      </c>
      <c r="U276" s="118">
        <v>0</v>
      </c>
      <c r="V276" s="118">
        <v>0</v>
      </c>
      <c r="W276" s="118">
        <v>1</v>
      </c>
      <c r="X276" s="118">
        <v>0</v>
      </c>
      <c r="Y276" s="118">
        <v>1</v>
      </c>
      <c r="Z276" s="118">
        <v>0</v>
      </c>
      <c r="AA276" s="118">
        <v>2</v>
      </c>
      <c r="AB276" s="118" t="s">
        <v>1067</v>
      </c>
      <c r="AC276" s="118" t="s">
        <v>6989</v>
      </c>
      <c r="AD276" s="118" t="s">
        <v>1034</v>
      </c>
      <c r="AE276" s="118" t="s">
        <v>943</v>
      </c>
      <c r="AF276" s="118" t="s">
        <v>1041</v>
      </c>
      <c r="AG276" s="118" t="s">
        <v>6415</v>
      </c>
      <c r="AH276" s="118" t="s">
        <v>393</v>
      </c>
      <c r="AI276" s="118">
        <v>4</v>
      </c>
      <c r="AJ276" s="118" t="s">
        <v>6415</v>
      </c>
      <c r="AK276" s="118" t="s">
        <v>393</v>
      </c>
      <c r="AL276" s="118" t="s">
        <v>393</v>
      </c>
      <c r="AM276" s="118" t="s">
        <v>393</v>
      </c>
      <c r="AN276" s="402" t="s">
        <v>5975</v>
      </c>
      <c r="AO276" s="402">
        <v>45576</v>
      </c>
      <c r="AP276" s="118">
        <v>10</v>
      </c>
      <c r="AQ276" s="118">
        <v>15</v>
      </c>
      <c r="AR276" s="118" t="s">
        <v>6448</v>
      </c>
      <c r="AS276" s="118" t="s">
        <v>392</v>
      </c>
      <c r="AT276" s="118" t="s">
        <v>500</v>
      </c>
      <c r="AU276" s="118" t="s">
        <v>404</v>
      </c>
      <c r="AV276" s="118" t="s">
        <v>508</v>
      </c>
      <c r="AW276" s="118" t="s">
        <v>393</v>
      </c>
      <c r="AX276" s="118" t="s">
        <v>740</v>
      </c>
      <c r="AY276" s="118" t="s">
        <v>393</v>
      </c>
      <c r="AZ276" s="118" t="s">
        <v>393</v>
      </c>
      <c r="BA276" s="118" t="s">
        <v>393</v>
      </c>
      <c r="BB276" s="118" t="s">
        <v>393</v>
      </c>
      <c r="BC276" s="118" t="s">
        <v>393</v>
      </c>
      <c r="BD276" s="118" t="s">
        <v>393</v>
      </c>
      <c r="BE276" s="118" t="s">
        <v>393</v>
      </c>
      <c r="BF276" s="118" t="s">
        <v>740</v>
      </c>
      <c r="BG276" s="118" t="s">
        <v>393</v>
      </c>
      <c r="BH276" s="118" t="s">
        <v>394</v>
      </c>
      <c r="BI276" s="118" t="s">
        <v>394</v>
      </c>
      <c r="BJ276" s="118" t="s">
        <v>393</v>
      </c>
      <c r="BK276" s="118" t="s">
        <v>6988</v>
      </c>
      <c r="BL276" s="118" t="s">
        <v>6415</v>
      </c>
      <c r="BM276" s="118" t="s">
        <v>7008</v>
      </c>
      <c r="BN276" s="118" t="s">
        <v>6991</v>
      </c>
      <c r="BO276" s="118" t="s">
        <v>6415</v>
      </c>
      <c r="BP276" s="118" t="s">
        <v>6415</v>
      </c>
      <c r="BQ276" s="118" t="s">
        <v>6415</v>
      </c>
      <c r="BR276" s="118" t="s">
        <v>6415</v>
      </c>
      <c r="BS276" s="118" t="s">
        <v>6415</v>
      </c>
      <c r="BT276" s="118" t="s">
        <v>6990</v>
      </c>
      <c r="BU276" s="118" t="s">
        <v>6991</v>
      </c>
      <c r="BV276" s="118" t="s">
        <v>6415</v>
      </c>
      <c r="BW276" s="118" t="s">
        <v>6415</v>
      </c>
      <c r="BX276" s="118" t="s">
        <v>6415</v>
      </c>
      <c r="BY276" s="118" t="s">
        <v>6415</v>
      </c>
      <c r="BZ276" s="118" t="s">
        <v>6415</v>
      </c>
      <c r="CA276" s="118" t="s">
        <v>6415</v>
      </c>
      <c r="CB276" s="118" t="s">
        <v>221</v>
      </c>
      <c r="CC276" s="118" t="s">
        <v>740</v>
      </c>
      <c r="CD276" s="118">
        <v>1</v>
      </c>
      <c r="CE276" s="118" t="s">
        <v>405</v>
      </c>
      <c r="CF276" s="118" t="s">
        <v>446</v>
      </c>
      <c r="CG276" s="118" t="s">
        <v>860</v>
      </c>
      <c r="CH276" s="118" t="s">
        <v>6300</v>
      </c>
      <c r="CI276" s="118" t="s">
        <v>6303</v>
      </c>
      <c r="CJ276" s="118" t="s">
        <v>398</v>
      </c>
      <c r="CK276" s="118">
        <v>0</v>
      </c>
      <c r="CL276" s="118">
        <v>0</v>
      </c>
      <c r="CM276" s="118" t="s">
        <v>435</v>
      </c>
      <c r="CN276" s="118" t="s">
        <v>6327</v>
      </c>
      <c r="CO276" s="118" t="s">
        <v>1096</v>
      </c>
      <c r="CP276" s="118" t="s">
        <v>480</v>
      </c>
      <c r="CQ276" s="118" t="s">
        <v>6415</v>
      </c>
      <c r="CR276" s="118" t="s">
        <v>6415</v>
      </c>
      <c r="CS276" s="118" t="s">
        <v>6415</v>
      </c>
      <c r="CT276" s="118" t="s">
        <v>6415</v>
      </c>
      <c r="CU276" s="118" t="s">
        <v>6415</v>
      </c>
      <c r="CV276" s="118" t="s">
        <v>6415</v>
      </c>
      <c r="CW276" s="118">
        <v>42</v>
      </c>
      <c r="CX276" s="118" t="s">
        <v>1068</v>
      </c>
      <c r="CY276" s="118" t="s">
        <v>6341</v>
      </c>
      <c r="CZ276" s="118">
        <v>2</v>
      </c>
      <c r="DA276" s="118" t="s">
        <v>411</v>
      </c>
      <c r="DB276" s="118" t="s">
        <v>410</v>
      </c>
      <c r="DC276" s="118" t="s">
        <v>6415</v>
      </c>
      <c r="DD276" s="118" t="s">
        <v>6300</v>
      </c>
      <c r="DE276" s="118" t="s">
        <v>6322</v>
      </c>
      <c r="DF276" s="118" t="s">
        <v>398</v>
      </c>
      <c r="DG276" s="118" t="s">
        <v>6415</v>
      </c>
      <c r="DH276" s="118" t="s">
        <v>6415</v>
      </c>
      <c r="DI276" s="118" t="s">
        <v>399</v>
      </c>
      <c r="DJ276" s="118" t="s">
        <v>398</v>
      </c>
      <c r="DK276" s="118" t="s">
        <v>480</v>
      </c>
      <c r="DL276" s="118" t="s">
        <v>6415</v>
      </c>
      <c r="DM276" s="118" t="s">
        <v>6415</v>
      </c>
      <c r="DN276" s="118" t="s">
        <v>6415</v>
      </c>
      <c r="DO276" s="118" t="s">
        <v>6415</v>
      </c>
      <c r="DP276" s="118" t="s">
        <v>6415</v>
      </c>
      <c r="DQ276" s="118" t="s">
        <v>489</v>
      </c>
      <c r="DR276" s="118">
        <v>22</v>
      </c>
      <c r="DS276" s="118" t="s">
        <v>1068</v>
      </c>
      <c r="DT276" s="118" t="s">
        <v>6341</v>
      </c>
      <c r="DU276" s="118" t="s">
        <v>6415</v>
      </c>
      <c r="DV276" s="118" t="s">
        <v>6415</v>
      </c>
      <c r="DW276" s="118" t="s">
        <v>6415</v>
      </c>
      <c r="DX276" s="118" t="s">
        <v>6415</v>
      </c>
      <c r="DY276" s="118" t="s">
        <v>6415</v>
      </c>
      <c r="DZ276" s="118" t="s">
        <v>6415</v>
      </c>
      <c r="EA276" s="118" t="s">
        <v>6415</v>
      </c>
      <c r="EB276" s="118" t="s">
        <v>6415</v>
      </c>
      <c r="EC276" s="118" t="s">
        <v>6415</v>
      </c>
      <c r="ED276" s="118" t="s">
        <v>6415</v>
      </c>
      <c r="EE276" s="118" t="s">
        <v>6415</v>
      </c>
      <c r="EF276" s="118" t="s">
        <v>6415</v>
      </c>
      <c r="EG276" s="118" t="s">
        <v>7006</v>
      </c>
      <c r="EH276" s="118" t="s">
        <v>7007</v>
      </c>
      <c r="EI276" s="118" t="s">
        <v>6415</v>
      </c>
      <c r="EJ276" s="118" t="s">
        <v>6415</v>
      </c>
      <c r="EK276" s="118" t="s">
        <v>6415</v>
      </c>
      <c r="EL276" s="118" t="s">
        <v>7467</v>
      </c>
      <c r="EM276" s="118" t="s">
        <v>7397</v>
      </c>
      <c r="EN276" s="118" t="s">
        <v>6415</v>
      </c>
      <c r="EO276" s="6" t="str">
        <f t="shared" si="22"/>
        <v>Pathweb</v>
      </c>
      <c r="EP276" s="6" t="str">
        <f t="shared" si="23"/>
        <v>Google Maps</v>
      </c>
      <c r="EQ276" s="6" t="str">
        <f t="shared" si="24"/>
        <v>Mashed Map</v>
      </c>
      <c r="ER276" s="118" t="s">
        <v>6726</v>
      </c>
      <c r="ES276" s="118" t="s">
        <v>6728</v>
      </c>
      <c r="ET276" s="4">
        <v>0</v>
      </c>
      <c r="EU276" s="4"/>
      <c r="EV276" s="4"/>
    </row>
    <row r="277" spans="1:152" x14ac:dyDescent="0.15">
      <c r="A277" s="581" t="str">
        <f t="shared" ref="A277:A328" si="25">IF(C277*1&gt;2010,HYPERLINK(EM277,"Crash Report"),IF(EM277="","","Restricted Access"))</f>
        <v>Crash Report</v>
      </c>
      <c r="B277" s="14">
        <v>20243185618</v>
      </c>
      <c r="C277" s="118">
        <v>2024</v>
      </c>
      <c r="D277" s="14">
        <v>24101629781543</v>
      </c>
      <c r="F277" s="118" t="s">
        <v>6442</v>
      </c>
      <c r="G277" s="118" t="s">
        <v>390</v>
      </c>
      <c r="H277" s="118">
        <v>2</v>
      </c>
      <c r="I277" s="118" t="s">
        <v>6055</v>
      </c>
      <c r="J277" s="118" t="s">
        <v>434</v>
      </c>
      <c r="K277" s="118" t="s">
        <v>6985</v>
      </c>
      <c r="L277" s="118">
        <v>0.27</v>
      </c>
      <c r="M277" s="118">
        <v>0.27</v>
      </c>
      <c r="N277" s="118" t="s">
        <v>7465</v>
      </c>
      <c r="O277" s="118" t="s">
        <v>7470</v>
      </c>
      <c r="P277" s="118">
        <v>41.649633999999999</v>
      </c>
      <c r="Q277" s="118">
        <v>-83.521665999999996</v>
      </c>
      <c r="R277" s="118">
        <v>77000</v>
      </c>
      <c r="S277" s="118" t="s">
        <v>6988</v>
      </c>
      <c r="T277" s="118">
        <v>1</v>
      </c>
      <c r="U277" s="118">
        <v>0</v>
      </c>
      <c r="V277" s="118">
        <v>0</v>
      </c>
      <c r="W277" s="118">
        <v>0</v>
      </c>
      <c r="X277" s="118">
        <v>0</v>
      </c>
      <c r="Y277" s="118">
        <v>3</v>
      </c>
      <c r="Z277" s="118">
        <v>0</v>
      </c>
      <c r="AA277" s="118">
        <v>2</v>
      </c>
      <c r="AB277" s="118" t="s">
        <v>1067</v>
      </c>
      <c r="AC277" s="118" t="s">
        <v>6989</v>
      </c>
      <c r="AD277" s="118" t="s">
        <v>1034</v>
      </c>
      <c r="AE277" s="118" t="s">
        <v>943</v>
      </c>
      <c r="AF277" s="118" t="s">
        <v>1041</v>
      </c>
      <c r="AG277" s="118" t="s">
        <v>6415</v>
      </c>
      <c r="AH277" s="118" t="s">
        <v>393</v>
      </c>
      <c r="AI277" s="118">
        <v>4</v>
      </c>
      <c r="AJ277" s="118" t="s">
        <v>6415</v>
      </c>
      <c r="AK277" s="118" t="s">
        <v>393</v>
      </c>
      <c r="AL277" s="118" t="s">
        <v>393</v>
      </c>
      <c r="AM277" s="118" t="s">
        <v>393</v>
      </c>
      <c r="AN277" s="402" t="s">
        <v>5975</v>
      </c>
      <c r="AO277" s="402">
        <v>45581</v>
      </c>
      <c r="AP277" s="118">
        <v>10</v>
      </c>
      <c r="AQ277" s="118">
        <v>15</v>
      </c>
      <c r="AR277" s="118" t="s">
        <v>6446</v>
      </c>
      <c r="AS277" s="118" t="s">
        <v>392</v>
      </c>
      <c r="AT277" s="118" t="s">
        <v>500</v>
      </c>
      <c r="AU277" s="118" t="s">
        <v>404</v>
      </c>
      <c r="AV277" s="118" t="s">
        <v>508</v>
      </c>
      <c r="AW277" s="118" t="s">
        <v>393</v>
      </c>
      <c r="AX277" s="118" t="s">
        <v>740</v>
      </c>
      <c r="AY277" s="118" t="s">
        <v>393</v>
      </c>
      <c r="AZ277" s="118" t="s">
        <v>393</v>
      </c>
      <c r="BA277" s="118" t="s">
        <v>393</v>
      </c>
      <c r="BB277" s="118" t="s">
        <v>393</v>
      </c>
      <c r="BC277" s="118" t="s">
        <v>393</v>
      </c>
      <c r="BD277" s="118" t="s">
        <v>393</v>
      </c>
      <c r="BE277" s="118" t="s">
        <v>393</v>
      </c>
      <c r="BF277" s="118" t="s">
        <v>393</v>
      </c>
      <c r="BG277" s="118" t="s">
        <v>393</v>
      </c>
      <c r="BH277" s="118" t="s">
        <v>394</v>
      </c>
      <c r="BI277" s="118" t="s">
        <v>394</v>
      </c>
      <c r="BJ277" s="118" t="s">
        <v>393</v>
      </c>
      <c r="BK277" s="118" t="s">
        <v>6988</v>
      </c>
      <c r="BL277" s="118" t="s">
        <v>6415</v>
      </c>
      <c r="BM277" s="118" t="s">
        <v>6990</v>
      </c>
      <c r="BN277" s="118" t="s">
        <v>6991</v>
      </c>
      <c r="BO277" s="118" t="s">
        <v>6415</v>
      </c>
      <c r="BP277" s="118" t="s">
        <v>6415</v>
      </c>
      <c r="BQ277" s="118" t="s">
        <v>6415</v>
      </c>
      <c r="BR277" s="118" t="s">
        <v>6415</v>
      </c>
      <c r="BS277" s="118" t="s">
        <v>6415</v>
      </c>
      <c r="BT277" s="118" t="s">
        <v>7004</v>
      </c>
      <c r="BU277" s="118" t="s">
        <v>6991</v>
      </c>
      <c r="BV277" s="118" t="s">
        <v>6415</v>
      </c>
      <c r="BW277" s="118" t="s">
        <v>6415</v>
      </c>
      <c r="BX277" s="118" t="s">
        <v>6415</v>
      </c>
      <c r="BY277" s="118" t="s">
        <v>6415</v>
      </c>
      <c r="BZ277" s="118" t="s">
        <v>6415</v>
      </c>
      <c r="CA277" s="118" t="s">
        <v>6415</v>
      </c>
      <c r="CB277" s="118" t="s">
        <v>221</v>
      </c>
      <c r="CC277" s="118" t="s">
        <v>740</v>
      </c>
      <c r="CD277" s="118">
        <v>2</v>
      </c>
      <c r="CE277" s="118" t="s">
        <v>405</v>
      </c>
      <c r="CF277" s="118" t="s">
        <v>406</v>
      </c>
      <c r="CG277" s="118" t="s">
        <v>924</v>
      </c>
      <c r="CH277" s="118" t="s">
        <v>6302</v>
      </c>
      <c r="CI277" s="118" t="s">
        <v>417</v>
      </c>
      <c r="CJ277" s="118" t="s">
        <v>398</v>
      </c>
      <c r="CK277" s="14">
        <v>0</v>
      </c>
      <c r="CL277" s="118">
        <v>35</v>
      </c>
      <c r="CM277" s="118" t="s">
        <v>399</v>
      </c>
      <c r="CN277" s="118" t="s">
        <v>6512</v>
      </c>
      <c r="CO277" s="118" t="s">
        <v>1096</v>
      </c>
      <c r="CP277" s="118" t="s">
        <v>400</v>
      </c>
      <c r="CQ277" s="118" t="s">
        <v>6415</v>
      </c>
      <c r="CR277" s="118" t="s">
        <v>6415</v>
      </c>
      <c r="CS277" s="118" t="s">
        <v>6415</v>
      </c>
      <c r="CT277" s="118" t="s">
        <v>6415</v>
      </c>
      <c r="CU277" s="118" t="s">
        <v>6415</v>
      </c>
      <c r="CV277" s="118" t="s">
        <v>6415</v>
      </c>
      <c r="CW277" s="14">
        <v>61</v>
      </c>
      <c r="CX277" s="118" t="s">
        <v>1066</v>
      </c>
      <c r="CY277" s="118" t="s">
        <v>6341</v>
      </c>
      <c r="CZ277" s="118">
        <v>1</v>
      </c>
      <c r="DA277" s="118" t="s">
        <v>405</v>
      </c>
      <c r="DB277" s="118" t="s">
        <v>397</v>
      </c>
      <c r="DC277" s="118" t="s">
        <v>6415</v>
      </c>
      <c r="DD277" s="118" t="s">
        <v>6302</v>
      </c>
      <c r="DE277" s="118" t="s">
        <v>417</v>
      </c>
      <c r="DF277" s="118" t="s">
        <v>398</v>
      </c>
      <c r="DG277" s="118" t="s">
        <v>6415</v>
      </c>
      <c r="DH277" s="118">
        <v>35</v>
      </c>
      <c r="DI277" s="118" t="s">
        <v>436</v>
      </c>
      <c r="DJ277" s="118" t="s">
        <v>398</v>
      </c>
      <c r="DK277" s="118" t="s">
        <v>400</v>
      </c>
      <c r="DL277" s="118" t="s">
        <v>6415</v>
      </c>
      <c r="DM277" s="118" t="s">
        <v>6415</v>
      </c>
      <c r="DN277" s="118" t="s">
        <v>6415</v>
      </c>
      <c r="DO277" s="118" t="s">
        <v>6415</v>
      </c>
      <c r="DP277" s="118" t="s">
        <v>6415</v>
      </c>
      <c r="DQ277" s="118" t="s">
        <v>6415</v>
      </c>
      <c r="DR277" s="118">
        <v>28</v>
      </c>
      <c r="DS277" s="118" t="s">
        <v>1068</v>
      </c>
      <c r="DT277" s="118" t="s">
        <v>6341</v>
      </c>
      <c r="DU277" s="118" t="s">
        <v>6415</v>
      </c>
      <c r="DV277" s="118" t="s">
        <v>6415</v>
      </c>
      <c r="DW277" s="118" t="s">
        <v>6415</v>
      </c>
      <c r="DX277" s="118" t="s">
        <v>6415</v>
      </c>
      <c r="DY277" s="118" t="s">
        <v>6415</v>
      </c>
      <c r="DZ277" s="118" t="s">
        <v>6415</v>
      </c>
      <c r="EA277" s="118" t="s">
        <v>6415</v>
      </c>
      <c r="EB277" s="118" t="s">
        <v>6415</v>
      </c>
      <c r="EC277" s="118" t="s">
        <v>6415</v>
      </c>
      <c r="ED277" s="118" t="s">
        <v>6415</v>
      </c>
      <c r="EE277" s="118" t="s">
        <v>6415</v>
      </c>
      <c r="EF277" s="118" t="s">
        <v>6415</v>
      </c>
      <c r="EG277" s="118" t="s">
        <v>7002</v>
      </c>
      <c r="EH277" s="118" t="s">
        <v>7267</v>
      </c>
      <c r="EI277" s="118" t="s">
        <v>6415</v>
      </c>
      <c r="EJ277" s="118" t="s">
        <v>6415</v>
      </c>
      <c r="EK277" s="118" t="s">
        <v>6415</v>
      </c>
      <c r="EL277" s="118" t="s">
        <v>7467</v>
      </c>
      <c r="EM277" s="118" t="s">
        <v>7398</v>
      </c>
      <c r="EN277" s="118" t="s">
        <v>6415</v>
      </c>
      <c r="EO277" s="6" t="str">
        <f t="shared" ref="EO277:EO328" si="26">+HYPERLINK(CONCATENATE("http://pathweb.pathwayservices.com/ohiopublic/?nlfid='",+K277,"'&amp;logpoint=",+L277),"Pathweb")</f>
        <v>Pathweb</v>
      </c>
      <c r="EP277" s="6" t="str">
        <f t="shared" ref="EP277:EP328" si="27">HYPERLINK(CONCATENATE("http://maps.google.com/maps?q=",+P277,",+",+Q277,"+(Crash+Location)&amp;iwloc=A&amp;hl=en"),"Google Maps")</f>
        <v>Google Maps</v>
      </c>
      <c r="EQ277" s="6" t="str">
        <f t="shared" ref="EQ277:EQ328" si="28">HYPERLINK(CONCATENATE("http://data.mashedworld.com/dualmaps/map.htm?x=",Q277,"&amp;y=",P277,"&amp;z=15&amp;gm=0&amp;ve=5&amp;gc=0&amp;bz=1&amp;bd=0&amp;mw=1&amp;sv=1&amp;svb=0&amp;svp=0&amp;svz=0&amp;svm=2&amp;svf=0"),"Mashed Map")</f>
        <v>Mashed Map</v>
      </c>
      <c r="ER277" s="118" t="s">
        <v>6727</v>
      </c>
      <c r="ES277" s="118" t="s">
        <v>71</v>
      </c>
      <c r="ET277" s="4">
        <v>2E-3</v>
      </c>
      <c r="EU277" s="4"/>
      <c r="EV277" s="4"/>
    </row>
    <row r="278" spans="1:152" x14ac:dyDescent="0.15">
      <c r="A278" s="581" t="str">
        <f t="shared" si="25"/>
        <v>Crash Report</v>
      </c>
      <c r="B278" s="14">
        <v>20243188447</v>
      </c>
      <c r="C278" s="118">
        <v>2024</v>
      </c>
      <c r="D278" s="14">
        <v>24101325221305</v>
      </c>
      <c r="F278" s="118" t="s">
        <v>6442</v>
      </c>
      <c r="G278" s="118" t="s">
        <v>860</v>
      </c>
      <c r="H278" s="118">
        <v>2</v>
      </c>
      <c r="I278" s="118" t="s">
        <v>6055</v>
      </c>
      <c r="J278" s="118" t="s">
        <v>423</v>
      </c>
      <c r="K278" s="118" t="s">
        <v>6985</v>
      </c>
      <c r="L278" s="118">
        <v>1.0740000000000001</v>
      </c>
      <c r="M278" s="118">
        <v>1.0740000000000001</v>
      </c>
      <c r="N278" s="118" t="s">
        <v>7465</v>
      </c>
      <c r="O278" s="118" t="s">
        <v>7471</v>
      </c>
      <c r="P278" s="118">
        <v>41.656911000000001</v>
      </c>
      <c r="Q278" s="118">
        <v>-83.509613000000002</v>
      </c>
      <c r="R278" s="118">
        <v>77000</v>
      </c>
      <c r="S278" s="118" t="s">
        <v>6988</v>
      </c>
      <c r="T278" s="118">
        <v>1</v>
      </c>
      <c r="U278" s="118">
        <v>0</v>
      </c>
      <c r="V278" s="118">
        <v>0</v>
      </c>
      <c r="W278" s="118">
        <v>0</v>
      </c>
      <c r="X278" s="118">
        <v>0</v>
      </c>
      <c r="Y278" s="118">
        <v>2</v>
      </c>
      <c r="Z278" s="118">
        <v>0</v>
      </c>
      <c r="AA278" s="118">
        <v>2</v>
      </c>
      <c r="AB278" s="118" t="s">
        <v>1067</v>
      </c>
      <c r="AC278" s="118" t="s">
        <v>6989</v>
      </c>
      <c r="AD278" s="118" t="s">
        <v>1034</v>
      </c>
      <c r="AE278" s="118" t="s">
        <v>943</v>
      </c>
      <c r="AF278" s="118" t="s">
        <v>1041</v>
      </c>
      <c r="AG278" s="118" t="s">
        <v>6415</v>
      </c>
      <c r="AH278" s="118" t="s">
        <v>393</v>
      </c>
      <c r="AI278" s="118">
        <v>4</v>
      </c>
      <c r="AJ278" s="118" t="s">
        <v>6415</v>
      </c>
      <c r="AK278" s="118" t="s">
        <v>393</v>
      </c>
      <c r="AL278" s="118" t="s">
        <v>393</v>
      </c>
      <c r="AM278" s="118" t="s">
        <v>393</v>
      </c>
      <c r="AN278" s="402" t="s">
        <v>5975</v>
      </c>
      <c r="AO278" s="402">
        <v>45578</v>
      </c>
      <c r="AP278" s="118">
        <v>10</v>
      </c>
      <c r="AQ278" s="118">
        <v>13</v>
      </c>
      <c r="AR278" s="118" t="s">
        <v>6443</v>
      </c>
      <c r="AS278" s="118" t="s">
        <v>403</v>
      </c>
      <c r="AT278" s="118" t="s">
        <v>500</v>
      </c>
      <c r="AU278" s="118" t="s">
        <v>404</v>
      </c>
      <c r="AV278" s="118" t="s">
        <v>508</v>
      </c>
      <c r="AW278" s="118" t="s">
        <v>393</v>
      </c>
      <c r="AX278" s="118" t="s">
        <v>740</v>
      </c>
      <c r="AY278" s="118" t="s">
        <v>393</v>
      </c>
      <c r="AZ278" s="118" t="s">
        <v>393</v>
      </c>
      <c r="BA278" s="118" t="s">
        <v>393</v>
      </c>
      <c r="BB278" s="118" t="s">
        <v>393</v>
      </c>
      <c r="BC278" s="118" t="s">
        <v>393</v>
      </c>
      <c r="BD278" s="118" t="s">
        <v>393</v>
      </c>
      <c r="BE278" s="118" t="s">
        <v>393</v>
      </c>
      <c r="BF278" s="118" t="s">
        <v>393</v>
      </c>
      <c r="BG278" s="118" t="s">
        <v>393</v>
      </c>
      <c r="BH278" s="118" t="s">
        <v>394</v>
      </c>
      <c r="BI278" s="118" t="s">
        <v>394</v>
      </c>
      <c r="BJ278" s="118" t="s">
        <v>393</v>
      </c>
      <c r="BK278" s="118" t="s">
        <v>6988</v>
      </c>
      <c r="BL278" s="118" t="s">
        <v>6415</v>
      </c>
      <c r="BM278" s="118" t="s">
        <v>6990</v>
      </c>
      <c r="BN278" s="118" t="s">
        <v>6991</v>
      </c>
      <c r="BO278" s="118" t="s">
        <v>6415</v>
      </c>
      <c r="BP278" s="118" t="s">
        <v>6415</v>
      </c>
      <c r="BQ278" s="118" t="s">
        <v>6415</v>
      </c>
      <c r="BR278" s="118" t="s">
        <v>6415</v>
      </c>
      <c r="BS278" s="118" t="s">
        <v>6415</v>
      </c>
      <c r="BT278" s="118" t="s">
        <v>7008</v>
      </c>
      <c r="BU278" s="118" t="s">
        <v>6991</v>
      </c>
      <c r="BV278" s="118" t="s">
        <v>6415</v>
      </c>
      <c r="BW278" s="118" t="s">
        <v>6415</v>
      </c>
      <c r="BX278" s="118" t="s">
        <v>6415</v>
      </c>
      <c r="BY278" s="118" t="s">
        <v>6415</v>
      </c>
      <c r="BZ278" s="118" t="s">
        <v>6415</v>
      </c>
      <c r="CA278" s="118" t="s">
        <v>6415</v>
      </c>
      <c r="CB278" s="118" t="s">
        <v>221</v>
      </c>
      <c r="CC278" s="118" t="s">
        <v>740</v>
      </c>
      <c r="CD278" s="118">
        <v>2</v>
      </c>
      <c r="CE278" s="118" t="s">
        <v>405</v>
      </c>
      <c r="CF278" s="118" t="s">
        <v>411</v>
      </c>
      <c r="CG278" s="118" t="s">
        <v>860</v>
      </c>
      <c r="CH278" s="118" t="s">
        <v>6300</v>
      </c>
      <c r="CI278" s="118" t="s">
        <v>417</v>
      </c>
      <c r="CJ278" s="118" t="s">
        <v>6151</v>
      </c>
      <c r="CK278" s="14">
        <v>25</v>
      </c>
      <c r="CL278" s="118">
        <v>35</v>
      </c>
      <c r="CM278" s="118" t="s">
        <v>435</v>
      </c>
      <c r="CN278" s="118" t="s">
        <v>407</v>
      </c>
      <c r="CO278" s="118" t="s">
        <v>1096</v>
      </c>
      <c r="CP278" s="118" t="s">
        <v>400</v>
      </c>
      <c r="CQ278" s="118" t="s">
        <v>6415</v>
      </c>
      <c r="CR278" s="118" t="s">
        <v>6415</v>
      </c>
      <c r="CS278" s="118" t="s">
        <v>6415</v>
      </c>
      <c r="CT278" s="118" t="s">
        <v>6415</v>
      </c>
      <c r="CU278" s="118" t="s">
        <v>6415</v>
      </c>
      <c r="CV278" s="118" t="s">
        <v>6415</v>
      </c>
      <c r="CW278" s="14">
        <v>0</v>
      </c>
      <c r="CX278" s="118" t="s">
        <v>401</v>
      </c>
      <c r="CY278" s="118" t="s">
        <v>6151</v>
      </c>
      <c r="CZ278" s="118">
        <v>1</v>
      </c>
      <c r="DA278" s="118" t="s">
        <v>411</v>
      </c>
      <c r="DB278" s="118" t="s">
        <v>405</v>
      </c>
      <c r="DC278" s="118" t="s">
        <v>6415</v>
      </c>
      <c r="DD278" s="118" t="s">
        <v>6300</v>
      </c>
      <c r="DE278" s="118" t="s">
        <v>6305</v>
      </c>
      <c r="DF278" s="118" t="s">
        <v>398</v>
      </c>
      <c r="DG278" s="118">
        <v>0</v>
      </c>
      <c r="DH278" s="118">
        <v>35</v>
      </c>
      <c r="DI278" s="118" t="s">
        <v>6355</v>
      </c>
      <c r="DJ278" s="118" t="s">
        <v>398</v>
      </c>
      <c r="DK278" s="118" t="s">
        <v>400</v>
      </c>
      <c r="DL278" s="118" t="s">
        <v>6415</v>
      </c>
      <c r="DM278" s="118" t="s">
        <v>6415</v>
      </c>
      <c r="DN278" s="118" t="s">
        <v>6415</v>
      </c>
      <c r="DO278" s="118" t="s">
        <v>6415</v>
      </c>
      <c r="DP278" s="118" t="s">
        <v>6415</v>
      </c>
      <c r="DQ278" s="118" t="s">
        <v>6415</v>
      </c>
      <c r="DR278" s="118">
        <v>60</v>
      </c>
      <c r="DS278" s="118" t="s">
        <v>1068</v>
      </c>
      <c r="DT278" s="118" t="s">
        <v>6341</v>
      </c>
      <c r="DU278" s="118" t="s">
        <v>6415</v>
      </c>
      <c r="DV278" s="118" t="s">
        <v>6415</v>
      </c>
      <c r="DW278" s="118" t="s">
        <v>6415</v>
      </c>
      <c r="DX278" s="118" t="s">
        <v>6415</v>
      </c>
      <c r="DY278" s="118" t="s">
        <v>6415</v>
      </c>
      <c r="DZ278" s="118" t="s">
        <v>6415</v>
      </c>
      <c r="EA278" s="118" t="s">
        <v>6415</v>
      </c>
      <c r="EB278" s="118" t="s">
        <v>6415</v>
      </c>
      <c r="EC278" s="118" t="s">
        <v>6415</v>
      </c>
      <c r="ED278" s="118" t="s">
        <v>6415</v>
      </c>
      <c r="EE278" s="118" t="s">
        <v>6415</v>
      </c>
      <c r="EF278" s="118" t="s">
        <v>6415</v>
      </c>
      <c r="EG278" s="118" t="s">
        <v>7006</v>
      </c>
      <c r="EH278" s="118" t="s">
        <v>7007</v>
      </c>
      <c r="EI278" s="118" t="s">
        <v>6415</v>
      </c>
      <c r="EJ278" s="118" t="s">
        <v>6415</v>
      </c>
      <c r="EK278" s="118" t="s">
        <v>6415</v>
      </c>
      <c r="EL278" s="118" t="s">
        <v>7467</v>
      </c>
      <c r="EM278" s="118" t="s">
        <v>7399</v>
      </c>
      <c r="EN278" s="118" t="s">
        <v>6415</v>
      </c>
      <c r="EO278" s="6" t="str">
        <f t="shared" si="26"/>
        <v>Pathweb</v>
      </c>
      <c r="EP278" s="6" t="str">
        <f t="shared" si="27"/>
        <v>Google Maps</v>
      </c>
      <c r="EQ278" s="6" t="str">
        <f t="shared" si="28"/>
        <v>Mashed Map</v>
      </c>
      <c r="ER278" s="118" t="s">
        <v>6727</v>
      </c>
      <c r="ES278" s="118" t="s">
        <v>71</v>
      </c>
      <c r="ET278" s="4">
        <v>0</v>
      </c>
      <c r="EU278" s="4"/>
      <c r="EV278" s="4"/>
    </row>
    <row r="279" spans="1:152" x14ac:dyDescent="0.15">
      <c r="A279" s="581" t="str">
        <f t="shared" si="25"/>
        <v>Crash Report</v>
      </c>
      <c r="B279" s="118">
        <v>20243193876</v>
      </c>
      <c r="C279" s="118">
        <v>2024</v>
      </c>
      <c r="D279" s="118">
        <v>24102629200336</v>
      </c>
      <c r="F279" s="118" t="s">
        <v>6442</v>
      </c>
      <c r="G279" s="118" t="s">
        <v>211</v>
      </c>
      <c r="H279" s="118">
        <v>2</v>
      </c>
      <c r="I279" s="118" t="s">
        <v>6055</v>
      </c>
      <c r="J279" s="118" t="s">
        <v>391</v>
      </c>
      <c r="K279" s="118" t="s">
        <v>6985</v>
      </c>
      <c r="L279" s="118">
        <v>1.0740000000000001</v>
      </c>
      <c r="M279" s="118">
        <v>1.0740000000000001</v>
      </c>
      <c r="N279" s="118" t="s">
        <v>7465</v>
      </c>
      <c r="O279" s="118" t="s">
        <v>7500</v>
      </c>
      <c r="P279" s="118">
        <v>41.656911000000001</v>
      </c>
      <c r="Q279" s="118">
        <v>-83.509613000000002</v>
      </c>
      <c r="R279" s="118">
        <v>77000</v>
      </c>
      <c r="S279" s="118" t="s">
        <v>6988</v>
      </c>
      <c r="T279" s="118">
        <v>1</v>
      </c>
      <c r="U279" s="118">
        <v>0</v>
      </c>
      <c r="V279" s="118">
        <v>0</v>
      </c>
      <c r="W279" s="118">
        <v>0</v>
      </c>
      <c r="X279" s="118">
        <v>0</v>
      </c>
      <c r="Y279" s="118">
        <v>2</v>
      </c>
      <c r="Z279" s="118">
        <v>0</v>
      </c>
      <c r="AA279" s="118">
        <v>2</v>
      </c>
      <c r="AB279" s="118" t="s">
        <v>1067</v>
      </c>
      <c r="AC279" s="118" t="s">
        <v>6989</v>
      </c>
      <c r="AD279" s="118" t="s">
        <v>1034</v>
      </c>
      <c r="AE279" s="118" t="s">
        <v>943</v>
      </c>
      <c r="AF279" s="118" t="s">
        <v>1041</v>
      </c>
      <c r="AG279" s="118" t="s">
        <v>6415</v>
      </c>
      <c r="AH279" s="118" t="s">
        <v>393</v>
      </c>
      <c r="AI279" s="118">
        <v>4</v>
      </c>
      <c r="AJ279" s="118" t="s">
        <v>6415</v>
      </c>
      <c r="AK279" s="118" t="s">
        <v>393</v>
      </c>
      <c r="AL279" s="118" t="s">
        <v>393</v>
      </c>
      <c r="AM279" s="118" t="s">
        <v>393</v>
      </c>
      <c r="AN279" s="402" t="s">
        <v>5975</v>
      </c>
      <c r="AO279" s="402">
        <v>45591</v>
      </c>
      <c r="AP279" s="118">
        <v>10</v>
      </c>
      <c r="AQ279" s="118">
        <v>3</v>
      </c>
      <c r="AR279" s="118" t="s">
        <v>6449</v>
      </c>
      <c r="AS279" s="118" t="s">
        <v>392</v>
      </c>
      <c r="AT279" s="118" t="s">
        <v>500</v>
      </c>
      <c r="AU279" s="118" t="s">
        <v>505</v>
      </c>
      <c r="AV279" s="118" t="s">
        <v>508</v>
      </c>
      <c r="AW279" s="118" t="s">
        <v>393</v>
      </c>
      <c r="AX279" s="118" t="s">
        <v>740</v>
      </c>
      <c r="AY279" s="118" t="s">
        <v>393</v>
      </c>
      <c r="AZ279" s="118" t="s">
        <v>393</v>
      </c>
      <c r="BA279" s="118" t="s">
        <v>393</v>
      </c>
      <c r="BB279" s="118" t="s">
        <v>393</v>
      </c>
      <c r="BC279" s="118" t="s">
        <v>393</v>
      </c>
      <c r="BD279" s="118" t="s">
        <v>740</v>
      </c>
      <c r="BE279" s="118" t="s">
        <v>393</v>
      </c>
      <c r="BF279" s="118" t="s">
        <v>393</v>
      </c>
      <c r="BG279" s="118" t="s">
        <v>393</v>
      </c>
      <c r="BH279" s="118" t="s">
        <v>394</v>
      </c>
      <c r="BI279" s="118" t="s">
        <v>394</v>
      </c>
      <c r="BJ279" s="118" t="s">
        <v>393</v>
      </c>
      <c r="BK279" s="118" t="s">
        <v>6988</v>
      </c>
      <c r="BL279" s="118" t="s">
        <v>6415</v>
      </c>
      <c r="BM279" s="118" t="s">
        <v>6990</v>
      </c>
      <c r="BN279" s="118" t="s">
        <v>6991</v>
      </c>
      <c r="BO279" s="118" t="s">
        <v>6415</v>
      </c>
      <c r="BP279" s="118" t="s">
        <v>6415</v>
      </c>
      <c r="BQ279" s="118" t="s">
        <v>6415</v>
      </c>
      <c r="BR279" s="118" t="s">
        <v>6415</v>
      </c>
      <c r="BS279" s="118" t="s">
        <v>6415</v>
      </c>
      <c r="BT279" s="118" t="s">
        <v>7008</v>
      </c>
      <c r="BU279" s="118" t="s">
        <v>6991</v>
      </c>
      <c r="BV279" s="118" t="s">
        <v>6415</v>
      </c>
      <c r="BW279" s="118" t="s">
        <v>7401</v>
      </c>
      <c r="BX279" s="118">
        <v>65</v>
      </c>
      <c r="BY279" s="118" t="s">
        <v>6415</v>
      </c>
      <c r="BZ279" s="118" t="s">
        <v>6415</v>
      </c>
      <c r="CA279" s="118" t="s">
        <v>6415</v>
      </c>
      <c r="CB279" s="118" t="s">
        <v>221</v>
      </c>
      <c r="CC279" s="118" t="s">
        <v>740</v>
      </c>
      <c r="CD279" s="118">
        <v>2</v>
      </c>
      <c r="CE279" s="118" t="s">
        <v>406</v>
      </c>
      <c r="CF279" s="118" t="s">
        <v>405</v>
      </c>
      <c r="CG279" s="118" t="s">
        <v>924</v>
      </c>
      <c r="CH279" s="118" t="s">
        <v>6300</v>
      </c>
      <c r="CI279" s="118" t="s">
        <v>6323</v>
      </c>
      <c r="CJ279" s="118" t="s">
        <v>6151</v>
      </c>
      <c r="CK279" s="118">
        <v>0</v>
      </c>
      <c r="CL279" s="118">
        <v>35</v>
      </c>
      <c r="CM279" s="118" t="s">
        <v>6151</v>
      </c>
      <c r="CN279" s="118" t="s">
        <v>440</v>
      </c>
      <c r="CO279" s="118" t="s">
        <v>1096</v>
      </c>
      <c r="CP279" s="118" t="s">
        <v>400</v>
      </c>
      <c r="CQ279" s="118" t="s">
        <v>6415</v>
      </c>
      <c r="CR279" s="118" t="s">
        <v>6415</v>
      </c>
      <c r="CS279" s="118" t="s">
        <v>6415</v>
      </c>
      <c r="CT279" s="118" t="s">
        <v>6415</v>
      </c>
      <c r="CU279" s="118" t="s">
        <v>6415</v>
      </c>
      <c r="CV279" s="118" t="s">
        <v>6415</v>
      </c>
      <c r="CW279" s="118">
        <v>0</v>
      </c>
      <c r="CX279" s="118" t="s">
        <v>401</v>
      </c>
      <c r="CY279" s="118" t="s">
        <v>6151</v>
      </c>
      <c r="CZ279" s="118">
        <v>1</v>
      </c>
      <c r="DA279" s="118" t="s">
        <v>410</v>
      </c>
      <c r="DB279" s="118" t="s">
        <v>411</v>
      </c>
      <c r="DC279" s="118" t="s">
        <v>6415</v>
      </c>
      <c r="DD279" s="118" t="s">
        <v>6300</v>
      </c>
      <c r="DE279" s="118" t="s">
        <v>6303</v>
      </c>
      <c r="DF279" s="118" t="s">
        <v>398</v>
      </c>
      <c r="DG279" s="118">
        <v>40</v>
      </c>
      <c r="DH279" s="118">
        <v>35</v>
      </c>
      <c r="DI279" s="118" t="s">
        <v>399</v>
      </c>
      <c r="DJ279" s="118" t="s">
        <v>398</v>
      </c>
      <c r="DK279" s="118" t="s">
        <v>400</v>
      </c>
      <c r="DL279" s="118" t="s">
        <v>6415</v>
      </c>
      <c r="DM279" s="118" t="s">
        <v>6415</v>
      </c>
      <c r="DN279" s="118" t="s">
        <v>6415</v>
      </c>
      <c r="DO279" s="118" t="s">
        <v>6415</v>
      </c>
      <c r="DP279" s="118" t="s">
        <v>6415</v>
      </c>
      <c r="DQ279" s="118" t="s">
        <v>6415</v>
      </c>
      <c r="DR279" s="118">
        <v>27</v>
      </c>
      <c r="DS279" s="118" t="s">
        <v>1066</v>
      </c>
      <c r="DT279" s="118" t="s">
        <v>6341</v>
      </c>
      <c r="DU279" s="118" t="s">
        <v>6415</v>
      </c>
      <c r="DV279" s="118" t="s">
        <v>6415</v>
      </c>
      <c r="DW279" s="118" t="s">
        <v>6415</v>
      </c>
      <c r="DX279" s="118" t="s">
        <v>6415</v>
      </c>
      <c r="DY279" s="118" t="s">
        <v>6415</v>
      </c>
      <c r="DZ279" s="118" t="s">
        <v>6415</v>
      </c>
      <c r="EA279" s="118" t="s">
        <v>6415</v>
      </c>
      <c r="EB279" s="118" t="s">
        <v>6415</v>
      </c>
      <c r="EC279" s="118" t="s">
        <v>6415</v>
      </c>
      <c r="ED279" s="118" t="s">
        <v>6415</v>
      </c>
      <c r="EE279" s="118" t="s">
        <v>6415</v>
      </c>
      <c r="EF279" s="118" t="s">
        <v>6415</v>
      </c>
      <c r="EG279" s="118" t="s">
        <v>7006</v>
      </c>
      <c r="EH279" s="118" t="s">
        <v>7007</v>
      </c>
      <c r="EI279" s="118" t="s">
        <v>6415</v>
      </c>
      <c r="EJ279" s="118" t="s">
        <v>6415</v>
      </c>
      <c r="EK279" s="118" t="s">
        <v>6415</v>
      </c>
      <c r="EL279" s="118" t="s">
        <v>7467</v>
      </c>
      <c r="EM279" s="118" t="s">
        <v>7400</v>
      </c>
      <c r="EN279" s="118" t="s">
        <v>6415</v>
      </c>
      <c r="EO279" s="6" t="str">
        <f t="shared" si="26"/>
        <v>Pathweb</v>
      </c>
      <c r="EP279" s="6" t="str">
        <f t="shared" si="27"/>
        <v>Google Maps</v>
      </c>
      <c r="EQ279" s="6" t="str">
        <f t="shared" si="28"/>
        <v>Mashed Map</v>
      </c>
      <c r="ER279" s="118" t="s">
        <v>6727</v>
      </c>
      <c r="ES279" s="118" t="s">
        <v>71</v>
      </c>
      <c r="ET279" s="4">
        <v>0</v>
      </c>
      <c r="EU279" s="4"/>
      <c r="EV279" s="4"/>
    </row>
    <row r="280" spans="1:152" x14ac:dyDescent="0.15">
      <c r="A280" s="581" t="str">
        <f t="shared" si="25"/>
        <v>Crash Report</v>
      </c>
      <c r="B280" s="118">
        <v>20243201023</v>
      </c>
      <c r="C280" s="118">
        <v>2024</v>
      </c>
      <c r="D280" s="118">
        <v>24110422481434</v>
      </c>
      <c r="F280" s="118" t="s">
        <v>6442</v>
      </c>
      <c r="G280" s="118" t="s">
        <v>416</v>
      </c>
      <c r="H280" s="118">
        <v>2</v>
      </c>
      <c r="I280" s="118" t="s">
        <v>6055</v>
      </c>
      <c r="J280" s="118" t="s">
        <v>423</v>
      </c>
      <c r="K280" s="118" t="s">
        <v>6997</v>
      </c>
      <c r="L280" s="118">
        <v>0.71299999999999997</v>
      </c>
      <c r="M280" s="118">
        <v>0.71299999999999997</v>
      </c>
      <c r="N280" s="118" t="s">
        <v>7469</v>
      </c>
      <c r="O280" s="118" t="s">
        <v>7473</v>
      </c>
      <c r="P280" s="118">
        <v>41.648519</v>
      </c>
      <c r="Q280" s="118">
        <v>-83.523447000000004</v>
      </c>
      <c r="R280" s="118">
        <v>77000</v>
      </c>
      <c r="S280" s="118" t="s">
        <v>6988</v>
      </c>
      <c r="T280" s="118">
        <v>1</v>
      </c>
      <c r="U280" s="118">
        <v>0</v>
      </c>
      <c r="V280" s="118">
        <v>0</v>
      </c>
      <c r="W280" s="118">
        <v>0</v>
      </c>
      <c r="X280" s="118">
        <v>0</v>
      </c>
      <c r="Y280" s="118">
        <v>1</v>
      </c>
      <c r="Z280" s="118">
        <v>0</v>
      </c>
      <c r="AA280" s="118">
        <v>1</v>
      </c>
      <c r="AB280" s="118" t="s">
        <v>1067</v>
      </c>
      <c r="AC280" s="118" t="s">
        <v>6989</v>
      </c>
      <c r="AD280" s="118" t="s">
        <v>1034</v>
      </c>
      <c r="AE280" s="118" t="s">
        <v>943</v>
      </c>
      <c r="AF280" s="118" t="s">
        <v>1042</v>
      </c>
      <c r="AG280" s="118" t="s">
        <v>6415</v>
      </c>
      <c r="AH280" s="118" t="s">
        <v>393</v>
      </c>
      <c r="AI280" s="118">
        <v>2</v>
      </c>
      <c r="AJ280" s="118" t="s">
        <v>6415</v>
      </c>
      <c r="AK280" s="118" t="s">
        <v>393</v>
      </c>
      <c r="AL280" s="118" t="s">
        <v>393</v>
      </c>
      <c r="AM280" s="118" t="s">
        <v>393</v>
      </c>
      <c r="AN280" s="402" t="s">
        <v>5975</v>
      </c>
      <c r="AO280" s="402">
        <v>45600</v>
      </c>
      <c r="AP280" s="118">
        <v>11</v>
      </c>
      <c r="AQ280" s="118">
        <v>14</v>
      </c>
      <c r="AR280" s="118" t="s">
        <v>6444</v>
      </c>
      <c r="AS280" s="118" t="s">
        <v>403</v>
      </c>
      <c r="AT280" s="118" t="s">
        <v>500</v>
      </c>
      <c r="AU280" s="118" t="s">
        <v>404</v>
      </c>
      <c r="AV280" s="118" t="s">
        <v>508</v>
      </c>
      <c r="AW280" s="118" t="s">
        <v>740</v>
      </c>
      <c r="AX280" s="118" t="s">
        <v>740</v>
      </c>
      <c r="AY280" s="118" t="s">
        <v>393</v>
      </c>
      <c r="AZ280" s="118" t="s">
        <v>393</v>
      </c>
      <c r="BA280" s="118" t="s">
        <v>393</v>
      </c>
      <c r="BB280" s="118" t="s">
        <v>393</v>
      </c>
      <c r="BC280" s="118" t="s">
        <v>393</v>
      </c>
      <c r="BD280" s="118" t="s">
        <v>393</v>
      </c>
      <c r="BE280" s="118" t="s">
        <v>393</v>
      </c>
      <c r="BF280" s="118" t="s">
        <v>393</v>
      </c>
      <c r="BG280" s="118" t="s">
        <v>393</v>
      </c>
      <c r="BH280" s="118" t="s">
        <v>394</v>
      </c>
      <c r="BI280" s="118" t="s">
        <v>394</v>
      </c>
      <c r="BJ280" s="118" t="s">
        <v>393</v>
      </c>
      <c r="BK280" s="118" t="s">
        <v>6988</v>
      </c>
      <c r="BL280" s="118" t="s">
        <v>6415</v>
      </c>
      <c r="BM280" s="118" t="s">
        <v>6992</v>
      </c>
      <c r="BN280" s="118" t="s">
        <v>6991</v>
      </c>
      <c r="BO280" s="118" t="s">
        <v>6415</v>
      </c>
      <c r="BP280" s="118" t="s">
        <v>6415</v>
      </c>
      <c r="BQ280" s="118" t="s">
        <v>6415</v>
      </c>
      <c r="BR280" s="118" t="s">
        <v>6415</v>
      </c>
      <c r="BS280" s="118" t="s">
        <v>6415</v>
      </c>
      <c r="BT280" s="118" t="s">
        <v>6990</v>
      </c>
      <c r="BU280" s="118" t="s">
        <v>6991</v>
      </c>
      <c r="BV280" s="118" t="s">
        <v>6415</v>
      </c>
      <c r="BW280" s="118" t="s">
        <v>6415</v>
      </c>
      <c r="BX280" s="118" t="s">
        <v>6415</v>
      </c>
      <c r="BY280" s="118" t="s">
        <v>6415</v>
      </c>
      <c r="BZ280" s="118" t="s">
        <v>6415</v>
      </c>
      <c r="CA280" s="118" t="s">
        <v>6415</v>
      </c>
      <c r="CB280" s="118" t="s">
        <v>221</v>
      </c>
      <c r="CC280" s="118" t="s">
        <v>740</v>
      </c>
      <c r="CD280" s="118">
        <v>1</v>
      </c>
      <c r="CE280" s="118" t="s">
        <v>401</v>
      </c>
      <c r="CF280" s="118" t="s">
        <v>401</v>
      </c>
      <c r="CG280" s="118" t="s">
        <v>924</v>
      </c>
      <c r="CH280" s="118" t="s">
        <v>6300</v>
      </c>
      <c r="CI280" s="118" t="s">
        <v>6303</v>
      </c>
      <c r="CJ280" s="118" t="s">
        <v>398</v>
      </c>
      <c r="CK280" s="118">
        <v>25</v>
      </c>
      <c r="CL280" s="118">
        <v>35</v>
      </c>
      <c r="CM280" s="118" t="s">
        <v>6151</v>
      </c>
      <c r="CN280" s="118" t="s">
        <v>6338</v>
      </c>
      <c r="CO280" s="118" t="s">
        <v>542</v>
      </c>
      <c r="CP280" s="118" t="s">
        <v>461</v>
      </c>
      <c r="CQ280" s="118" t="s">
        <v>542</v>
      </c>
      <c r="CR280" s="118" t="s">
        <v>475</v>
      </c>
      <c r="CS280" s="118" t="s">
        <v>6415</v>
      </c>
      <c r="CT280" s="118" t="s">
        <v>6415</v>
      </c>
      <c r="CU280" s="118" t="s">
        <v>6415</v>
      </c>
      <c r="CV280" s="118" t="s">
        <v>6415</v>
      </c>
      <c r="CW280" s="118">
        <v>0</v>
      </c>
      <c r="CX280" s="118" t="s">
        <v>401</v>
      </c>
      <c r="CY280" s="118" t="s">
        <v>6151</v>
      </c>
      <c r="CZ280" s="118" t="s">
        <v>6415</v>
      </c>
      <c r="DA280" s="118" t="s">
        <v>6415</v>
      </c>
      <c r="DB280" s="118" t="s">
        <v>6415</v>
      </c>
      <c r="DC280" s="118" t="s">
        <v>6415</v>
      </c>
      <c r="DD280" s="118" t="s">
        <v>6415</v>
      </c>
      <c r="DE280" s="118" t="s">
        <v>6415</v>
      </c>
      <c r="DF280" s="118" t="s">
        <v>6415</v>
      </c>
      <c r="DG280" s="118" t="s">
        <v>6415</v>
      </c>
      <c r="DH280" s="118" t="s">
        <v>6415</v>
      </c>
      <c r="DI280" s="118" t="s">
        <v>6415</v>
      </c>
      <c r="DJ280" s="118" t="s">
        <v>6415</v>
      </c>
      <c r="DK280" s="118" t="s">
        <v>6415</v>
      </c>
      <c r="DL280" s="118" t="s">
        <v>6415</v>
      </c>
      <c r="DM280" s="118" t="s">
        <v>6415</v>
      </c>
      <c r="DN280" s="118" t="s">
        <v>6415</v>
      </c>
      <c r="DO280" s="118" t="s">
        <v>6415</v>
      </c>
      <c r="DP280" s="118" t="s">
        <v>6415</v>
      </c>
      <c r="DQ280" s="118" t="s">
        <v>6415</v>
      </c>
      <c r="DR280" s="118">
        <v>0</v>
      </c>
      <c r="DS280" s="118" t="s">
        <v>6415</v>
      </c>
      <c r="DT280" s="118" t="s">
        <v>6415</v>
      </c>
      <c r="DU280" s="118" t="s">
        <v>6415</v>
      </c>
      <c r="DV280" s="118" t="s">
        <v>6415</v>
      </c>
      <c r="DW280" s="118" t="s">
        <v>6415</v>
      </c>
      <c r="DX280" s="118" t="s">
        <v>6415</v>
      </c>
      <c r="DY280" s="118" t="s">
        <v>6415</v>
      </c>
      <c r="DZ280" s="118" t="s">
        <v>6415</v>
      </c>
      <c r="EA280" s="118" t="s">
        <v>6415</v>
      </c>
      <c r="EB280" s="118" t="s">
        <v>6415</v>
      </c>
      <c r="EC280" s="118" t="s">
        <v>6415</v>
      </c>
      <c r="ED280" s="118" t="s">
        <v>6415</v>
      </c>
      <c r="EE280" s="118" t="s">
        <v>6415</v>
      </c>
      <c r="EF280" s="118" t="s">
        <v>6415</v>
      </c>
      <c r="EG280" s="118" t="s">
        <v>6986</v>
      </c>
      <c r="EH280" s="118" t="s">
        <v>7168</v>
      </c>
      <c r="EI280" s="118" t="s">
        <v>6415</v>
      </c>
      <c r="EJ280" s="118" t="s">
        <v>6415</v>
      </c>
      <c r="EK280" s="118" t="s">
        <v>6415</v>
      </c>
      <c r="EL280" s="118" t="s">
        <v>7467</v>
      </c>
      <c r="EM280" s="118" t="s">
        <v>7402</v>
      </c>
      <c r="EN280" s="118" t="s">
        <v>6415</v>
      </c>
      <c r="EO280" s="6" t="str">
        <f t="shared" si="26"/>
        <v>Pathweb</v>
      </c>
      <c r="EP280" s="6" t="str">
        <f t="shared" si="27"/>
        <v>Google Maps</v>
      </c>
      <c r="EQ280" s="6" t="str">
        <f t="shared" si="28"/>
        <v>Mashed Map</v>
      </c>
      <c r="ER280" s="118" t="s">
        <v>6726</v>
      </c>
      <c r="ES280" s="118" t="s">
        <v>71</v>
      </c>
      <c r="ET280" s="4">
        <v>0</v>
      </c>
      <c r="EU280" s="4"/>
      <c r="EV280" s="4"/>
    </row>
    <row r="281" spans="1:152" x14ac:dyDescent="0.15">
      <c r="A281" s="581" t="str">
        <f t="shared" si="25"/>
        <v>Crash Report</v>
      </c>
      <c r="B281" s="118">
        <v>20243204178</v>
      </c>
      <c r="C281" s="118">
        <v>2024</v>
      </c>
      <c r="D281" s="118">
        <v>24110727271530</v>
      </c>
      <c r="F281" s="118" t="s">
        <v>6442</v>
      </c>
      <c r="G281" s="118" t="s">
        <v>402</v>
      </c>
      <c r="H281" s="118">
        <v>2</v>
      </c>
      <c r="I281" s="118" t="s">
        <v>6055</v>
      </c>
      <c r="J281" s="118" t="s">
        <v>423</v>
      </c>
      <c r="K281" s="118" t="s">
        <v>6985</v>
      </c>
      <c r="L281" s="118">
        <v>1.0740000000000001</v>
      </c>
      <c r="M281" s="118">
        <v>1.0740000000000001</v>
      </c>
      <c r="N281" s="118" t="s">
        <v>7465</v>
      </c>
      <c r="O281" s="118" t="s">
        <v>7471</v>
      </c>
      <c r="P281" s="118">
        <v>41.656911000000001</v>
      </c>
      <c r="Q281" s="118">
        <v>-83.509613000000002</v>
      </c>
      <c r="R281" s="118">
        <v>77000</v>
      </c>
      <c r="S281" s="118" t="s">
        <v>6988</v>
      </c>
      <c r="T281" s="118">
        <v>1</v>
      </c>
      <c r="U281" s="118">
        <v>0</v>
      </c>
      <c r="V281" s="118">
        <v>0</v>
      </c>
      <c r="W281" s="118">
        <v>0</v>
      </c>
      <c r="X281" s="118">
        <v>0</v>
      </c>
      <c r="Y281" s="118">
        <v>2</v>
      </c>
      <c r="Z281" s="118">
        <v>0</v>
      </c>
      <c r="AA281" s="118">
        <v>2</v>
      </c>
      <c r="AB281" s="118" t="s">
        <v>1067</v>
      </c>
      <c r="AC281" s="118" t="s">
        <v>6989</v>
      </c>
      <c r="AD281" s="118" t="s">
        <v>1034</v>
      </c>
      <c r="AE281" s="118" t="s">
        <v>943</v>
      </c>
      <c r="AF281" s="118" t="s">
        <v>1041</v>
      </c>
      <c r="AG281" s="118" t="s">
        <v>6415</v>
      </c>
      <c r="AH281" s="118" t="s">
        <v>393</v>
      </c>
      <c r="AI281" s="118">
        <v>4</v>
      </c>
      <c r="AJ281" s="118" t="s">
        <v>6415</v>
      </c>
      <c r="AK281" s="118" t="s">
        <v>393</v>
      </c>
      <c r="AL281" s="118" t="s">
        <v>393</v>
      </c>
      <c r="AM281" s="118" t="s">
        <v>393</v>
      </c>
      <c r="AN281" s="402" t="s">
        <v>5975</v>
      </c>
      <c r="AO281" s="402">
        <v>45603</v>
      </c>
      <c r="AP281" s="118">
        <v>11</v>
      </c>
      <c r="AQ281" s="118">
        <v>15</v>
      </c>
      <c r="AR281" s="118" t="s">
        <v>6447</v>
      </c>
      <c r="AS281" s="118" t="s">
        <v>403</v>
      </c>
      <c r="AT281" s="118" t="s">
        <v>500</v>
      </c>
      <c r="AU281" s="118" t="s">
        <v>404</v>
      </c>
      <c r="AV281" s="118" t="s">
        <v>508</v>
      </c>
      <c r="AW281" s="118" t="s">
        <v>393</v>
      </c>
      <c r="AX281" s="118" t="s">
        <v>740</v>
      </c>
      <c r="AY281" s="118" t="s">
        <v>393</v>
      </c>
      <c r="AZ281" s="118" t="s">
        <v>393</v>
      </c>
      <c r="BA281" s="118" t="s">
        <v>393</v>
      </c>
      <c r="BB281" s="118" t="s">
        <v>393</v>
      </c>
      <c r="BC281" s="118" t="s">
        <v>393</v>
      </c>
      <c r="BD281" s="118" t="s">
        <v>393</v>
      </c>
      <c r="BE281" s="118" t="s">
        <v>740</v>
      </c>
      <c r="BF281" s="118" t="s">
        <v>393</v>
      </c>
      <c r="BG281" s="118" t="s">
        <v>393</v>
      </c>
      <c r="BH281" s="118" t="s">
        <v>394</v>
      </c>
      <c r="BI281" s="118" t="s">
        <v>394</v>
      </c>
      <c r="BJ281" s="118" t="s">
        <v>393</v>
      </c>
      <c r="BK281" s="118" t="s">
        <v>6988</v>
      </c>
      <c r="BL281" s="118" t="s">
        <v>6415</v>
      </c>
      <c r="BM281" s="118" t="s">
        <v>6990</v>
      </c>
      <c r="BN281" s="118" t="s">
        <v>6991</v>
      </c>
      <c r="BO281" s="118" t="s">
        <v>6415</v>
      </c>
      <c r="BP281" s="118" t="s">
        <v>6415</v>
      </c>
      <c r="BQ281" s="118" t="s">
        <v>6415</v>
      </c>
      <c r="BR281" s="118" t="s">
        <v>6415</v>
      </c>
      <c r="BS281" s="118" t="s">
        <v>6415</v>
      </c>
      <c r="BT281" s="118" t="s">
        <v>7008</v>
      </c>
      <c r="BU281" s="118" t="s">
        <v>6991</v>
      </c>
      <c r="BV281" s="118" t="s">
        <v>6415</v>
      </c>
      <c r="BW281" s="118" t="s">
        <v>6415</v>
      </c>
      <c r="BX281" s="118" t="s">
        <v>6415</v>
      </c>
      <c r="BY281" s="118" t="s">
        <v>6415</v>
      </c>
      <c r="BZ281" s="118" t="s">
        <v>6415</v>
      </c>
      <c r="CA281" s="118" t="s">
        <v>6415</v>
      </c>
      <c r="CB281" s="118" t="s">
        <v>221</v>
      </c>
      <c r="CC281" s="118" t="s">
        <v>740</v>
      </c>
      <c r="CD281" s="118">
        <v>1</v>
      </c>
      <c r="CE281" s="118" t="s">
        <v>397</v>
      </c>
      <c r="CF281" s="118" t="s">
        <v>396</v>
      </c>
      <c r="CG281" s="118" t="s">
        <v>924</v>
      </c>
      <c r="CH281" s="118" t="s">
        <v>6300</v>
      </c>
      <c r="CI281" s="118" t="s">
        <v>6305</v>
      </c>
      <c r="CJ281" s="118" t="s">
        <v>398</v>
      </c>
      <c r="CK281" s="118">
        <v>0</v>
      </c>
      <c r="CL281" s="118">
        <v>35</v>
      </c>
      <c r="CM281" s="118" t="s">
        <v>439</v>
      </c>
      <c r="CN281" s="118" t="s">
        <v>6329</v>
      </c>
      <c r="CO281" s="118" t="s">
        <v>1096</v>
      </c>
      <c r="CP281" s="118" t="s">
        <v>400</v>
      </c>
      <c r="CQ281" s="118" t="s">
        <v>6415</v>
      </c>
      <c r="CR281" s="118" t="s">
        <v>6415</v>
      </c>
      <c r="CS281" s="118" t="s">
        <v>6415</v>
      </c>
      <c r="CT281" s="118" t="s">
        <v>6415</v>
      </c>
      <c r="CU281" s="118" t="s">
        <v>6415</v>
      </c>
      <c r="CV281" s="118" t="s">
        <v>6415</v>
      </c>
      <c r="CW281" s="118">
        <v>65</v>
      </c>
      <c r="CX281" s="118" t="s">
        <v>1068</v>
      </c>
      <c r="CY281" s="118" t="s">
        <v>6341</v>
      </c>
      <c r="CZ281" s="118">
        <v>2</v>
      </c>
      <c r="DA281" s="118" t="s">
        <v>397</v>
      </c>
      <c r="DB281" s="118" t="s">
        <v>396</v>
      </c>
      <c r="DC281" s="118" t="s">
        <v>6415</v>
      </c>
      <c r="DD281" s="118" t="s">
        <v>6300</v>
      </c>
      <c r="DE281" s="118" t="s">
        <v>6303</v>
      </c>
      <c r="DF281" s="118" t="s">
        <v>398</v>
      </c>
      <c r="DG281" s="118" t="s">
        <v>6415</v>
      </c>
      <c r="DH281" s="118">
        <v>35</v>
      </c>
      <c r="DI281" s="118" t="s">
        <v>399</v>
      </c>
      <c r="DJ281" s="118" t="s">
        <v>398</v>
      </c>
      <c r="DK281" s="118" t="s">
        <v>400</v>
      </c>
      <c r="DL281" s="118" t="s">
        <v>6415</v>
      </c>
      <c r="DM281" s="118" t="s">
        <v>6415</v>
      </c>
      <c r="DN281" s="118" t="s">
        <v>6415</v>
      </c>
      <c r="DO281" s="118" t="s">
        <v>6415</v>
      </c>
      <c r="DP281" s="118" t="s">
        <v>6415</v>
      </c>
      <c r="DQ281" s="118" t="s">
        <v>6415</v>
      </c>
      <c r="DR281" s="118">
        <v>0</v>
      </c>
      <c r="DS281" s="118" t="s">
        <v>1068</v>
      </c>
      <c r="DT281" s="118" t="s">
        <v>6151</v>
      </c>
      <c r="DU281" s="118" t="s">
        <v>6415</v>
      </c>
      <c r="DV281" s="118" t="s">
        <v>6415</v>
      </c>
      <c r="DW281" s="118" t="s">
        <v>6415</v>
      </c>
      <c r="DX281" s="118" t="s">
        <v>6415</v>
      </c>
      <c r="DY281" s="118" t="s">
        <v>6415</v>
      </c>
      <c r="DZ281" s="118" t="s">
        <v>6415</v>
      </c>
      <c r="EA281" s="118" t="s">
        <v>6415</v>
      </c>
      <c r="EB281" s="118" t="s">
        <v>6415</v>
      </c>
      <c r="EC281" s="118" t="s">
        <v>6415</v>
      </c>
      <c r="ED281" s="118" t="s">
        <v>6415</v>
      </c>
      <c r="EE281" s="118" t="s">
        <v>6415</v>
      </c>
      <c r="EF281" s="118" t="s">
        <v>6415</v>
      </c>
      <c r="EG281" s="118" t="s">
        <v>7006</v>
      </c>
      <c r="EH281" s="118" t="s">
        <v>7007</v>
      </c>
      <c r="EI281" s="118" t="s">
        <v>6415</v>
      </c>
      <c r="EJ281" s="118" t="s">
        <v>6415</v>
      </c>
      <c r="EK281" s="118" t="s">
        <v>6415</v>
      </c>
      <c r="EL281" s="118" t="s">
        <v>7467</v>
      </c>
      <c r="EM281" s="118" t="s">
        <v>7403</v>
      </c>
      <c r="EN281" s="118" t="s">
        <v>6415</v>
      </c>
      <c r="EO281" s="6" t="str">
        <f t="shared" si="26"/>
        <v>Pathweb</v>
      </c>
      <c r="EP281" s="6" t="str">
        <f t="shared" si="27"/>
        <v>Google Maps</v>
      </c>
      <c r="EQ281" s="6" t="str">
        <f t="shared" si="28"/>
        <v>Mashed Map</v>
      </c>
      <c r="ER281" s="118" t="s">
        <v>6727</v>
      </c>
      <c r="ES281" s="118" t="s">
        <v>71</v>
      </c>
      <c r="ET281" s="4">
        <v>0</v>
      </c>
      <c r="EU281" s="4"/>
      <c r="EV281" s="4"/>
    </row>
    <row r="282" spans="1:152" x14ac:dyDescent="0.15">
      <c r="A282" s="581" t="str">
        <f t="shared" si="25"/>
        <v>Crash Report</v>
      </c>
      <c r="B282" s="118">
        <v>20243206156</v>
      </c>
      <c r="C282" s="118">
        <v>2024</v>
      </c>
      <c r="D282" s="118">
        <v>24110926331645</v>
      </c>
      <c r="F282" s="118" t="s">
        <v>6442</v>
      </c>
      <c r="G282" s="118" t="s">
        <v>211</v>
      </c>
      <c r="H282" s="118">
        <v>2</v>
      </c>
      <c r="I282" s="118" t="s">
        <v>6055</v>
      </c>
      <c r="J282" s="118" t="s">
        <v>391</v>
      </c>
      <c r="K282" s="118" t="s">
        <v>6997</v>
      </c>
      <c r="L282" s="118">
        <v>0.748</v>
      </c>
      <c r="M282" s="118">
        <v>0.748</v>
      </c>
      <c r="N282" s="118" t="s">
        <v>7469</v>
      </c>
      <c r="O282" s="118">
        <v>90</v>
      </c>
      <c r="P282" s="118">
        <v>41.648913</v>
      </c>
      <c r="Q282" s="118">
        <v>-83.523871999999997</v>
      </c>
      <c r="R282" s="118">
        <v>77000</v>
      </c>
      <c r="S282" s="118" t="s">
        <v>6988</v>
      </c>
      <c r="T282" s="118">
        <v>1</v>
      </c>
      <c r="U282" s="118">
        <v>0</v>
      </c>
      <c r="V282" s="118">
        <v>0</v>
      </c>
      <c r="W282" s="118">
        <v>0</v>
      </c>
      <c r="X282" s="118">
        <v>0</v>
      </c>
      <c r="Y282" s="118">
        <v>4</v>
      </c>
      <c r="Z282" s="118">
        <v>0</v>
      </c>
      <c r="AA282" s="118">
        <v>2</v>
      </c>
      <c r="AB282" s="118" t="s">
        <v>1067</v>
      </c>
      <c r="AC282" s="118" t="s">
        <v>6989</v>
      </c>
      <c r="AD282" s="118" t="s">
        <v>1034</v>
      </c>
      <c r="AE282" s="118" t="s">
        <v>943</v>
      </c>
      <c r="AF282" s="118" t="s">
        <v>1041</v>
      </c>
      <c r="AG282" s="118" t="s">
        <v>6415</v>
      </c>
      <c r="AH282" s="118" t="s">
        <v>393</v>
      </c>
      <c r="AI282" s="118">
        <v>2</v>
      </c>
      <c r="AJ282" s="118" t="s">
        <v>6415</v>
      </c>
      <c r="AK282" s="118" t="s">
        <v>393</v>
      </c>
      <c r="AL282" s="118" t="s">
        <v>393</v>
      </c>
      <c r="AM282" s="118" t="s">
        <v>393</v>
      </c>
      <c r="AN282" s="402" t="s">
        <v>5975</v>
      </c>
      <c r="AO282" s="402">
        <v>45605</v>
      </c>
      <c r="AP282" s="118">
        <v>11</v>
      </c>
      <c r="AQ282" s="118">
        <v>16</v>
      </c>
      <c r="AR282" s="118" t="s">
        <v>6449</v>
      </c>
      <c r="AS282" s="118" t="s">
        <v>392</v>
      </c>
      <c r="AT282" s="118" t="s">
        <v>500</v>
      </c>
      <c r="AU282" s="118" t="s">
        <v>404</v>
      </c>
      <c r="AV282" s="118" t="s">
        <v>509</v>
      </c>
      <c r="AW282" s="118" t="s">
        <v>393</v>
      </c>
      <c r="AX282" s="118" t="s">
        <v>393</v>
      </c>
      <c r="AY282" s="118" t="s">
        <v>393</v>
      </c>
      <c r="AZ282" s="118" t="s">
        <v>393</v>
      </c>
      <c r="BA282" s="118" t="s">
        <v>393</v>
      </c>
      <c r="BB282" s="118" t="s">
        <v>393</v>
      </c>
      <c r="BC282" s="118" t="s">
        <v>393</v>
      </c>
      <c r="BD282" s="118" t="s">
        <v>393</v>
      </c>
      <c r="BE282" s="118" t="s">
        <v>393</v>
      </c>
      <c r="BF282" s="118" t="s">
        <v>740</v>
      </c>
      <c r="BG282" s="118" t="s">
        <v>393</v>
      </c>
      <c r="BH282" s="118" t="s">
        <v>394</v>
      </c>
      <c r="BI282" s="118" t="s">
        <v>394</v>
      </c>
      <c r="BJ282" s="118" t="s">
        <v>393</v>
      </c>
      <c r="BK282" s="118" t="s">
        <v>6988</v>
      </c>
      <c r="BL282" s="118" t="s">
        <v>6415</v>
      </c>
      <c r="BM282" s="118" t="s">
        <v>6992</v>
      </c>
      <c r="BN282" s="118" t="s">
        <v>6991</v>
      </c>
      <c r="BO282" s="118" t="s">
        <v>6415</v>
      </c>
      <c r="BP282" s="118" t="s">
        <v>6415</v>
      </c>
      <c r="BQ282" s="118" t="s">
        <v>6415</v>
      </c>
      <c r="BR282" s="118" t="s">
        <v>6415</v>
      </c>
      <c r="BS282" s="118" t="s">
        <v>6415</v>
      </c>
      <c r="BT282" s="118" t="s">
        <v>7373</v>
      </c>
      <c r="BU282" s="118" t="s">
        <v>6415</v>
      </c>
      <c r="BV282" s="118" t="s">
        <v>6415</v>
      </c>
      <c r="BW282" s="118" t="s">
        <v>6415</v>
      </c>
      <c r="BX282" s="118" t="s">
        <v>6415</v>
      </c>
      <c r="BY282" s="118" t="s">
        <v>6415</v>
      </c>
      <c r="BZ282" s="118">
        <v>90</v>
      </c>
      <c r="CA282" s="118" t="s">
        <v>6415</v>
      </c>
      <c r="CB282" s="118" t="s">
        <v>422</v>
      </c>
      <c r="CC282" s="118" t="s">
        <v>740</v>
      </c>
      <c r="CD282" s="118">
        <v>2</v>
      </c>
      <c r="CE282" s="118" t="s">
        <v>396</v>
      </c>
      <c r="CF282" s="118" t="s">
        <v>397</v>
      </c>
      <c r="CG282" s="118" t="s">
        <v>924</v>
      </c>
      <c r="CH282" s="118" t="s">
        <v>6302</v>
      </c>
      <c r="CI282" s="118" t="s">
        <v>6303</v>
      </c>
      <c r="CJ282" s="118" t="s">
        <v>398</v>
      </c>
      <c r="CK282" s="118">
        <v>5</v>
      </c>
      <c r="CL282" s="118">
        <v>35</v>
      </c>
      <c r="CM282" s="118" t="s">
        <v>444</v>
      </c>
      <c r="CN282" s="118" t="s">
        <v>398</v>
      </c>
      <c r="CO282" s="118" t="s">
        <v>1096</v>
      </c>
      <c r="CP282" s="118" t="s">
        <v>400</v>
      </c>
      <c r="CQ282" s="118" t="s">
        <v>6415</v>
      </c>
      <c r="CR282" s="118" t="s">
        <v>6415</v>
      </c>
      <c r="CS282" s="118" t="s">
        <v>6415</v>
      </c>
      <c r="CT282" s="118" t="s">
        <v>6415</v>
      </c>
      <c r="CU282" s="118" t="s">
        <v>6415</v>
      </c>
      <c r="CV282" s="118" t="s">
        <v>6415</v>
      </c>
      <c r="CW282" s="118">
        <v>43</v>
      </c>
      <c r="CX282" s="118" t="s">
        <v>1066</v>
      </c>
      <c r="CY282" s="118" t="s">
        <v>6341</v>
      </c>
      <c r="CZ282" s="118">
        <v>1</v>
      </c>
      <c r="DA282" s="118" t="s">
        <v>445</v>
      </c>
      <c r="DB282" s="118" t="s">
        <v>446</v>
      </c>
      <c r="DC282" s="118" t="s">
        <v>6415</v>
      </c>
      <c r="DD282" s="118" t="s">
        <v>6302</v>
      </c>
      <c r="DE282" s="118" t="s">
        <v>6303</v>
      </c>
      <c r="DF282" s="118" t="s">
        <v>398</v>
      </c>
      <c r="DG282" s="118">
        <v>15</v>
      </c>
      <c r="DH282" s="118">
        <v>35</v>
      </c>
      <c r="DI282" s="118" t="s">
        <v>399</v>
      </c>
      <c r="DJ282" s="118" t="s">
        <v>398</v>
      </c>
      <c r="DK282" s="118" t="s">
        <v>400</v>
      </c>
      <c r="DL282" s="118" t="s">
        <v>6415</v>
      </c>
      <c r="DM282" s="118" t="s">
        <v>6415</v>
      </c>
      <c r="DN282" s="118" t="s">
        <v>6415</v>
      </c>
      <c r="DO282" s="118" t="s">
        <v>6415</v>
      </c>
      <c r="DP282" s="118" t="s">
        <v>6415</v>
      </c>
      <c r="DQ282" s="118" t="s">
        <v>6415</v>
      </c>
      <c r="DR282" s="118">
        <v>19</v>
      </c>
      <c r="DS282" s="118" t="s">
        <v>1066</v>
      </c>
      <c r="DT282" s="118" t="s">
        <v>6341</v>
      </c>
      <c r="DU282" s="118" t="s">
        <v>6415</v>
      </c>
      <c r="DV282" s="118" t="s">
        <v>6415</v>
      </c>
      <c r="DW282" s="118" t="s">
        <v>6415</v>
      </c>
      <c r="DX282" s="118" t="s">
        <v>6415</v>
      </c>
      <c r="DY282" s="118" t="s">
        <v>6415</v>
      </c>
      <c r="DZ282" s="118" t="s">
        <v>6415</v>
      </c>
      <c r="EA282" s="118" t="s">
        <v>6415</v>
      </c>
      <c r="EB282" s="118" t="s">
        <v>6415</v>
      </c>
      <c r="EC282" s="118" t="s">
        <v>6415</v>
      </c>
      <c r="ED282" s="118" t="s">
        <v>6415</v>
      </c>
      <c r="EE282" s="118" t="s">
        <v>6415</v>
      </c>
      <c r="EF282" s="118" t="s">
        <v>6415</v>
      </c>
      <c r="EG282" s="118" t="s">
        <v>6986</v>
      </c>
      <c r="EH282" s="118" t="s">
        <v>7145</v>
      </c>
      <c r="EI282" s="118" t="s">
        <v>6415</v>
      </c>
      <c r="EJ282" s="118" t="s">
        <v>6415</v>
      </c>
      <c r="EK282" s="118" t="s">
        <v>6415</v>
      </c>
      <c r="EL282" s="118" t="s">
        <v>7467</v>
      </c>
      <c r="EM282" s="118" t="s">
        <v>7404</v>
      </c>
      <c r="EN282" s="118" t="s">
        <v>6415</v>
      </c>
      <c r="EO282" s="6" t="str">
        <f t="shared" si="26"/>
        <v>Pathweb</v>
      </c>
      <c r="EP282" s="6" t="str">
        <f t="shared" si="27"/>
        <v>Google Maps</v>
      </c>
      <c r="EQ282" s="6" t="str">
        <f t="shared" si="28"/>
        <v>Mashed Map</v>
      </c>
      <c r="ER282" s="118" t="s">
        <v>6727</v>
      </c>
      <c r="ES282" s="118" t="s">
        <v>71</v>
      </c>
      <c r="ET282" s="4">
        <v>0</v>
      </c>
      <c r="EU282" s="4"/>
      <c r="EV282" s="4"/>
    </row>
    <row r="283" spans="1:152" x14ac:dyDescent="0.15">
      <c r="A283" s="581" t="str">
        <f t="shared" si="25"/>
        <v>Crash Report</v>
      </c>
      <c r="B283" s="118">
        <v>20243223674</v>
      </c>
      <c r="C283" s="118">
        <v>2024</v>
      </c>
      <c r="D283" s="118">
        <v>24120321940902</v>
      </c>
      <c r="F283" s="118" t="s">
        <v>6442</v>
      </c>
      <c r="G283" s="118" t="s">
        <v>211</v>
      </c>
      <c r="H283" s="118">
        <v>2</v>
      </c>
      <c r="I283" s="118" t="s">
        <v>6055</v>
      </c>
      <c r="J283" s="118" t="s">
        <v>437</v>
      </c>
      <c r="K283" s="118" t="s">
        <v>6985</v>
      </c>
      <c r="L283" s="118">
        <v>0.79400000000000004</v>
      </c>
      <c r="M283" s="118">
        <v>0.79400000000000004</v>
      </c>
      <c r="N283" s="118" t="s">
        <v>7465</v>
      </c>
      <c r="O283" s="118">
        <v>1540</v>
      </c>
      <c r="P283" s="118">
        <v>41.654409000000001</v>
      </c>
      <c r="Q283" s="118">
        <v>-83.513829999999999</v>
      </c>
      <c r="R283" s="118">
        <v>77000</v>
      </c>
      <c r="S283" s="118" t="s">
        <v>6988</v>
      </c>
      <c r="T283" s="118">
        <v>1</v>
      </c>
      <c r="U283" s="118">
        <v>0</v>
      </c>
      <c r="V283" s="118">
        <v>0</v>
      </c>
      <c r="W283" s="118">
        <v>0</v>
      </c>
      <c r="X283" s="118">
        <v>0</v>
      </c>
      <c r="Y283" s="118">
        <v>6</v>
      </c>
      <c r="Z283" s="118">
        <v>3</v>
      </c>
      <c r="AA283" s="118">
        <v>2</v>
      </c>
      <c r="AB283" s="118" t="s">
        <v>1067</v>
      </c>
      <c r="AC283" s="118" t="s">
        <v>6989</v>
      </c>
      <c r="AD283" s="118" t="s">
        <v>1034</v>
      </c>
      <c r="AE283" s="118" t="s">
        <v>943</v>
      </c>
      <c r="AF283" s="118" t="s">
        <v>1041</v>
      </c>
      <c r="AG283" s="118" t="s">
        <v>6415</v>
      </c>
      <c r="AH283" s="118" t="s">
        <v>393</v>
      </c>
      <c r="AI283" s="118">
        <v>4</v>
      </c>
      <c r="AJ283" s="118" t="s">
        <v>6415</v>
      </c>
      <c r="AK283" s="118" t="s">
        <v>393</v>
      </c>
      <c r="AL283" s="118" t="s">
        <v>393</v>
      </c>
      <c r="AM283" s="118" t="s">
        <v>393</v>
      </c>
      <c r="AN283" s="402" t="s">
        <v>5975</v>
      </c>
      <c r="AO283" s="402">
        <v>45629</v>
      </c>
      <c r="AP283" s="118">
        <v>12</v>
      </c>
      <c r="AQ283" s="118">
        <v>9</v>
      </c>
      <c r="AR283" s="118" t="s">
        <v>6445</v>
      </c>
      <c r="AS283" s="118" t="s">
        <v>403</v>
      </c>
      <c r="AT283" s="118" t="s">
        <v>500</v>
      </c>
      <c r="AU283" s="118" t="s">
        <v>404</v>
      </c>
      <c r="AV283" s="118" t="s">
        <v>508</v>
      </c>
      <c r="AW283" s="118" t="s">
        <v>393</v>
      </c>
      <c r="AX283" s="118" t="s">
        <v>393</v>
      </c>
      <c r="AY283" s="118" t="s">
        <v>393</v>
      </c>
      <c r="AZ283" s="118" t="s">
        <v>393</v>
      </c>
      <c r="BA283" s="118" t="s">
        <v>393</v>
      </c>
      <c r="BB283" s="118" t="s">
        <v>393</v>
      </c>
      <c r="BC283" s="118" t="s">
        <v>393</v>
      </c>
      <c r="BD283" s="118" t="s">
        <v>393</v>
      </c>
      <c r="BE283" s="118" t="s">
        <v>393</v>
      </c>
      <c r="BF283" s="118" t="s">
        <v>393</v>
      </c>
      <c r="BG283" s="118" t="s">
        <v>393</v>
      </c>
      <c r="BH283" s="118" t="s">
        <v>394</v>
      </c>
      <c r="BI283" s="118" t="s">
        <v>394</v>
      </c>
      <c r="BJ283" s="118" t="s">
        <v>393</v>
      </c>
      <c r="BK283" s="118" t="s">
        <v>6988</v>
      </c>
      <c r="BL283" s="118" t="s">
        <v>6415</v>
      </c>
      <c r="BM283" s="118" t="s">
        <v>6990</v>
      </c>
      <c r="BN283" s="118" t="s">
        <v>6991</v>
      </c>
      <c r="BO283" s="118" t="s">
        <v>6415</v>
      </c>
      <c r="BP283" s="118" t="s">
        <v>6415</v>
      </c>
      <c r="BQ283" s="118" t="s">
        <v>6415</v>
      </c>
      <c r="BR283" s="118" t="s">
        <v>6415</v>
      </c>
      <c r="BS283" s="118" t="s">
        <v>6415</v>
      </c>
      <c r="BT283" s="118" t="s">
        <v>7309</v>
      </c>
      <c r="BU283" s="118" t="s">
        <v>6415</v>
      </c>
      <c r="BV283" s="118" t="s">
        <v>6415</v>
      </c>
      <c r="BW283" s="118" t="s">
        <v>6415</v>
      </c>
      <c r="BX283" s="118" t="s">
        <v>6415</v>
      </c>
      <c r="BY283" s="118" t="s">
        <v>6415</v>
      </c>
      <c r="BZ283" s="118">
        <v>1540</v>
      </c>
      <c r="CA283" s="118" t="s">
        <v>6415</v>
      </c>
      <c r="CB283" s="118" t="s">
        <v>422</v>
      </c>
      <c r="CC283" s="118" t="s">
        <v>740</v>
      </c>
      <c r="CD283" s="118">
        <v>2</v>
      </c>
      <c r="CE283" s="118" t="s">
        <v>446</v>
      </c>
      <c r="CF283" s="118" t="s">
        <v>445</v>
      </c>
      <c r="CG283" s="118" t="s">
        <v>924</v>
      </c>
      <c r="CH283" s="118" t="s">
        <v>6302</v>
      </c>
      <c r="CI283" s="118" t="s">
        <v>417</v>
      </c>
      <c r="CJ283" s="118" t="s">
        <v>428</v>
      </c>
      <c r="CK283" s="118">
        <v>0</v>
      </c>
      <c r="CL283" s="118">
        <v>40</v>
      </c>
      <c r="CM283" s="118" t="s">
        <v>6355</v>
      </c>
      <c r="CN283" s="118" t="s">
        <v>398</v>
      </c>
      <c r="CO283" s="118" t="s">
        <v>1096</v>
      </c>
      <c r="CP283" s="118" t="s">
        <v>400</v>
      </c>
      <c r="CQ283" s="118" t="s">
        <v>6415</v>
      </c>
      <c r="CR283" s="118" t="s">
        <v>6415</v>
      </c>
      <c r="CS283" s="118" t="s">
        <v>6415</v>
      </c>
      <c r="CT283" s="118" t="s">
        <v>6415</v>
      </c>
      <c r="CU283" s="118" t="s">
        <v>6415</v>
      </c>
      <c r="CV283" s="118" t="s">
        <v>6415</v>
      </c>
      <c r="CW283" s="118">
        <v>46</v>
      </c>
      <c r="CX283" s="118" t="s">
        <v>1068</v>
      </c>
      <c r="CY283" s="118" t="s">
        <v>6341</v>
      </c>
      <c r="CZ283" s="118">
        <v>1</v>
      </c>
      <c r="DA283" s="118" t="s">
        <v>397</v>
      </c>
      <c r="DB283" s="118" t="s">
        <v>396</v>
      </c>
      <c r="DC283" s="118" t="s">
        <v>6415</v>
      </c>
      <c r="DD283" s="118" t="s">
        <v>6302</v>
      </c>
      <c r="DE283" s="118" t="s">
        <v>6303</v>
      </c>
      <c r="DF283" s="118" t="s">
        <v>398</v>
      </c>
      <c r="DG283" s="118" t="s">
        <v>6415</v>
      </c>
      <c r="DH283" s="118">
        <v>40</v>
      </c>
      <c r="DI283" s="118" t="s">
        <v>399</v>
      </c>
      <c r="DJ283" s="118" t="s">
        <v>407</v>
      </c>
      <c r="DK283" s="118" t="s">
        <v>400</v>
      </c>
      <c r="DL283" s="118" t="s">
        <v>6415</v>
      </c>
      <c r="DM283" s="118" t="s">
        <v>6415</v>
      </c>
      <c r="DN283" s="118" t="s">
        <v>6415</v>
      </c>
      <c r="DO283" s="118" t="s">
        <v>6415</v>
      </c>
      <c r="DP283" s="118" t="s">
        <v>6415</v>
      </c>
      <c r="DQ283" s="118" t="s">
        <v>6415</v>
      </c>
      <c r="DR283" s="118">
        <v>0</v>
      </c>
      <c r="DS283" s="118" t="s">
        <v>6415</v>
      </c>
      <c r="DT283" s="118" t="s">
        <v>6151</v>
      </c>
      <c r="DU283" s="118" t="s">
        <v>6415</v>
      </c>
      <c r="DV283" s="118" t="s">
        <v>6415</v>
      </c>
      <c r="DW283" s="118" t="s">
        <v>6415</v>
      </c>
      <c r="DX283" s="118" t="s">
        <v>6415</v>
      </c>
      <c r="DY283" s="118" t="s">
        <v>6415</v>
      </c>
      <c r="DZ283" s="118" t="s">
        <v>6415</v>
      </c>
      <c r="EA283" s="118" t="s">
        <v>6415</v>
      </c>
      <c r="EB283" s="118" t="s">
        <v>6415</v>
      </c>
      <c r="EC283" s="118" t="s">
        <v>6415</v>
      </c>
      <c r="ED283" s="118" t="s">
        <v>6415</v>
      </c>
      <c r="EE283" s="118" t="s">
        <v>6415</v>
      </c>
      <c r="EF283" s="118" t="s">
        <v>6415</v>
      </c>
      <c r="EG283" s="118" t="s">
        <v>7164</v>
      </c>
      <c r="EH283" s="118" t="s">
        <v>7308</v>
      </c>
      <c r="EI283" s="118" t="s">
        <v>6415</v>
      </c>
      <c r="EJ283" s="118" t="s">
        <v>6415</v>
      </c>
      <c r="EK283" s="118" t="s">
        <v>6415</v>
      </c>
      <c r="EL283" s="118" t="s">
        <v>7467</v>
      </c>
      <c r="EM283" s="118" t="s">
        <v>7405</v>
      </c>
      <c r="EN283" s="118" t="s">
        <v>6415</v>
      </c>
      <c r="EO283" s="6" t="str">
        <f t="shared" si="26"/>
        <v>Pathweb</v>
      </c>
      <c r="EP283" s="6" t="str">
        <f t="shared" si="27"/>
        <v>Google Maps</v>
      </c>
      <c r="EQ283" s="6" t="str">
        <f t="shared" si="28"/>
        <v>Mashed Map</v>
      </c>
      <c r="ER283" s="118" t="s">
        <v>6727</v>
      </c>
      <c r="ES283" s="118" t="s">
        <v>71</v>
      </c>
      <c r="ET283" s="4">
        <v>0</v>
      </c>
      <c r="EU283" s="4"/>
      <c r="EV283" s="4"/>
    </row>
    <row r="284" spans="1:152" x14ac:dyDescent="0.15">
      <c r="A284" s="581" t="str">
        <f t="shared" si="25"/>
        <v>Crash Report</v>
      </c>
      <c r="B284" s="118">
        <v>20243226604</v>
      </c>
      <c r="C284" s="118">
        <v>2024</v>
      </c>
      <c r="D284" s="118">
        <v>24120628720403</v>
      </c>
      <c r="F284" s="118" t="s">
        <v>6442</v>
      </c>
      <c r="G284" s="118" t="s">
        <v>416</v>
      </c>
      <c r="H284" s="118">
        <v>2</v>
      </c>
      <c r="I284" s="118" t="s">
        <v>6055</v>
      </c>
      <c r="J284" s="118" t="s">
        <v>391</v>
      </c>
      <c r="K284" s="118" t="s">
        <v>6985</v>
      </c>
      <c r="L284" s="118">
        <v>0.72</v>
      </c>
      <c r="M284" s="118">
        <v>0.72</v>
      </c>
      <c r="N284" s="118" t="s">
        <v>7465</v>
      </c>
      <c r="O284" s="118" t="s">
        <v>7476</v>
      </c>
      <c r="P284" s="118">
        <v>41.653736000000002</v>
      </c>
      <c r="Q284" s="118">
        <v>-83.514938000000001</v>
      </c>
      <c r="R284" s="118">
        <v>77000</v>
      </c>
      <c r="S284" s="118" t="s">
        <v>6988</v>
      </c>
      <c r="T284" s="118">
        <v>1</v>
      </c>
      <c r="U284" s="118">
        <v>0</v>
      </c>
      <c r="V284" s="118">
        <v>0</v>
      </c>
      <c r="W284" s="118">
        <v>0</v>
      </c>
      <c r="X284" s="118">
        <v>0</v>
      </c>
      <c r="Y284" s="118">
        <v>1</v>
      </c>
      <c r="Z284" s="118">
        <v>0</v>
      </c>
      <c r="AA284" s="118">
        <v>1</v>
      </c>
      <c r="AB284" s="118" t="s">
        <v>1067</v>
      </c>
      <c r="AC284" s="118" t="s">
        <v>6989</v>
      </c>
      <c r="AD284" s="118" t="s">
        <v>1034</v>
      </c>
      <c r="AE284" s="118" t="s">
        <v>943</v>
      </c>
      <c r="AF284" s="118" t="s">
        <v>1041</v>
      </c>
      <c r="AG284" s="118" t="s">
        <v>6415</v>
      </c>
      <c r="AH284" s="118" t="s">
        <v>393</v>
      </c>
      <c r="AI284" s="118">
        <v>4</v>
      </c>
      <c r="AJ284" s="118" t="s">
        <v>6415</v>
      </c>
      <c r="AK284" s="118" t="s">
        <v>393</v>
      </c>
      <c r="AL284" s="118" t="s">
        <v>393</v>
      </c>
      <c r="AM284" s="118" t="s">
        <v>393</v>
      </c>
      <c r="AN284" s="402" t="s">
        <v>5975</v>
      </c>
      <c r="AO284" s="402">
        <v>45632</v>
      </c>
      <c r="AP284" s="118">
        <v>12</v>
      </c>
      <c r="AQ284" s="118">
        <v>4</v>
      </c>
      <c r="AR284" s="118" t="s">
        <v>6448</v>
      </c>
      <c r="AS284" s="118" t="s">
        <v>392</v>
      </c>
      <c r="AT284" s="118" t="s">
        <v>500</v>
      </c>
      <c r="AU284" s="118" t="s">
        <v>505</v>
      </c>
      <c r="AV284" s="118" t="s">
        <v>508</v>
      </c>
      <c r="AW284" s="118" t="s">
        <v>740</v>
      </c>
      <c r="AX284" s="118" t="s">
        <v>393</v>
      </c>
      <c r="AY284" s="118" t="s">
        <v>393</v>
      </c>
      <c r="AZ284" s="118" t="s">
        <v>393</v>
      </c>
      <c r="BA284" s="118" t="s">
        <v>393</v>
      </c>
      <c r="BB284" s="118" t="s">
        <v>393</v>
      </c>
      <c r="BC284" s="118" t="s">
        <v>393</v>
      </c>
      <c r="BD284" s="118" t="s">
        <v>393</v>
      </c>
      <c r="BE284" s="118" t="s">
        <v>393</v>
      </c>
      <c r="BF284" s="118" t="s">
        <v>393</v>
      </c>
      <c r="BG284" s="118" t="s">
        <v>393</v>
      </c>
      <c r="BH284" s="118" t="s">
        <v>394</v>
      </c>
      <c r="BI284" s="118" t="s">
        <v>394</v>
      </c>
      <c r="BJ284" s="118" t="s">
        <v>393</v>
      </c>
      <c r="BK284" s="118" t="s">
        <v>6988</v>
      </c>
      <c r="BL284" s="118" t="s">
        <v>6415</v>
      </c>
      <c r="BM284" s="118" t="s">
        <v>6990</v>
      </c>
      <c r="BN284" s="118" t="s">
        <v>6991</v>
      </c>
      <c r="BO284" s="118" t="s">
        <v>6415</v>
      </c>
      <c r="BP284" s="118" t="s">
        <v>6415</v>
      </c>
      <c r="BQ284" s="118" t="s">
        <v>6415</v>
      </c>
      <c r="BR284" s="118" t="s">
        <v>6415</v>
      </c>
      <c r="BS284" s="118" t="s">
        <v>6415</v>
      </c>
      <c r="BT284" s="118" t="s">
        <v>7033</v>
      </c>
      <c r="BU284" s="118" t="s">
        <v>6991</v>
      </c>
      <c r="BV284" s="118" t="s">
        <v>6415</v>
      </c>
      <c r="BW284" s="118" t="s">
        <v>6415</v>
      </c>
      <c r="BX284" s="118" t="s">
        <v>6415</v>
      </c>
      <c r="BY284" s="118" t="s">
        <v>6415</v>
      </c>
      <c r="BZ284" s="118" t="s">
        <v>6415</v>
      </c>
      <c r="CA284" s="118" t="s">
        <v>6415</v>
      </c>
      <c r="CB284" s="118" t="s">
        <v>221</v>
      </c>
      <c r="CC284" s="118" t="s">
        <v>740</v>
      </c>
      <c r="CD284" s="118">
        <v>1</v>
      </c>
      <c r="CE284" s="118" t="s">
        <v>411</v>
      </c>
      <c r="CF284" s="118" t="s">
        <v>410</v>
      </c>
      <c r="CG284" s="118" t="s">
        <v>924</v>
      </c>
      <c r="CH284" s="118" t="s">
        <v>6302</v>
      </c>
      <c r="CI284" s="118" t="s">
        <v>6303</v>
      </c>
      <c r="CJ284" s="118" t="s">
        <v>398</v>
      </c>
      <c r="CK284" s="118">
        <v>0</v>
      </c>
      <c r="CL284" s="118">
        <v>35</v>
      </c>
      <c r="CM284" s="118" t="s">
        <v>6151</v>
      </c>
      <c r="CN284" s="118" t="s">
        <v>407</v>
      </c>
      <c r="CO284" s="118" t="s">
        <v>475</v>
      </c>
      <c r="CP284" s="118" t="s">
        <v>475</v>
      </c>
      <c r="CQ284" s="118" t="s">
        <v>487</v>
      </c>
      <c r="CR284" s="118" t="s">
        <v>6415</v>
      </c>
      <c r="CS284" s="118" t="s">
        <v>6415</v>
      </c>
      <c r="CT284" s="118" t="s">
        <v>6415</v>
      </c>
      <c r="CU284" s="118" t="s">
        <v>6415</v>
      </c>
      <c r="CV284" s="118" t="s">
        <v>6415</v>
      </c>
      <c r="CW284" s="118">
        <v>0</v>
      </c>
      <c r="CX284" s="118" t="s">
        <v>401</v>
      </c>
      <c r="CY284" s="118" t="s">
        <v>6151</v>
      </c>
      <c r="CZ284" s="118" t="s">
        <v>6415</v>
      </c>
      <c r="DA284" s="118" t="s">
        <v>6415</v>
      </c>
      <c r="DB284" s="118" t="s">
        <v>6415</v>
      </c>
      <c r="DC284" s="118" t="s">
        <v>6415</v>
      </c>
      <c r="DD284" s="118" t="s">
        <v>6415</v>
      </c>
      <c r="DE284" s="118" t="s">
        <v>6415</v>
      </c>
      <c r="DF284" s="118" t="s">
        <v>6415</v>
      </c>
      <c r="DG284" s="118" t="s">
        <v>6415</v>
      </c>
      <c r="DH284" s="118" t="s">
        <v>6415</v>
      </c>
      <c r="DI284" s="118" t="s">
        <v>6415</v>
      </c>
      <c r="DJ284" s="118" t="s">
        <v>6415</v>
      </c>
      <c r="DK284" s="118" t="s">
        <v>6415</v>
      </c>
      <c r="DL284" s="118" t="s">
        <v>6415</v>
      </c>
      <c r="DM284" s="118" t="s">
        <v>6415</v>
      </c>
      <c r="DN284" s="118" t="s">
        <v>6415</v>
      </c>
      <c r="DO284" s="118" t="s">
        <v>6415</v>
      </c>
      <c r="DP284" s="118" t="s">
        <v>6415</v>
      </c>
      <c r="DQ284" s="118" t="s">
        <v>6415</v>
      </c>
      <c r="DR284" s="118">
        <v>0</v>
      </c>
      <c r="DS284" s="118" t="s">
        <v>6415</v>
      </c>
      <c r="DT284" s="118" t="s">
        <v>6415</v>
      </c>
      <c r="DU284" s="118" t="s">
        <v>6415</v>
      </c>
      <c r="DV284" s="118" t="s">
        <v>6415</v>
      </c>
      <c r="DW284" s="118" t="s">
        <v>6415</v>
      </c>
      <c r="DX284" s="118" t="s">
        <v>6415</v>
      </c>
      <c r="DY284" s="118" t="s">
        <v>6415</v>
      </c>
      <c r="DZ284" s="118" t="s">
        <v>6415</v>
      </c>
      <c r="EA284" s="118" t="s">
        <v>6415</v>
      </c>
      <c r="EB284" s="118" t="s">
        <v>6415</v>
      </c>
      <c r="EC284" s="118" t="s">
        <v>6415</v>
      </c>
      <c r="ED284" s="118" t="s">
        <v>6415</v>
      </c>
      <c r="EE284" s="118" t="s">
        <v>6415</v>
      </c>
      <c r="EF284" s="118" t="s">
        <v>6415</v>
      </c>
      <c r="EG284" s="118" t="s">
        <v>7031</v>
      </c>
      <c r="EH284" s="118" t="s">
        <v>7184</v>
      </c>
      <c r="EI284" s="118" t="s">
        <v>6415</v>
      </c>
      <c r="EJ284" s="118" t="s">
        <v>6415</v>
      </c>
      <c r="EK284" s="118" t="s">
        <v>6415</v>
      </c>
      <c r="EL284" s="118" t="s">
        <v>7467</v>
      </c>
      <c r="EM284" s="118" t="s">
        <v>7406</v>
      </c>
      <c r="EN284" s="118" t="s">
        <v>6415</v>
      </c>
      <c r="EO284" s="6" t="str">
        <f t="shared" si="26"/>
        <v>Pathweb</v>
      </c>
      <c r="EP284" s="6" t="str">
        <f t="shared" si="27"/>
        <v>Google Maps</v>
      </c>
      <c r="EQ284" s="6" t="str">
        <f t="shared" si="28"/>
        <v>Mashed Map</v>
      </c>
      <c r="ER284" s="118" t="s">
        <v>6726</v>
      </c>
      <c r="ES284" s="118" t="s">
        <v>71</v>
      </c>
      <c r="ET284" s="4">
        <v>0</v>
      </c>
      <c r="EU284" s="4"/>
      <c r="EV284" s="4"/>
    </row>
    <row r="285" spans="1:152" x14ac:dyDescent="0.15">
      <c r="A285" s="581" t="str">
        <f t="shared" si="25"/>
        <v>Crash Report</v>
      </c>
      <c r="B285" s="118">
        <v>20243230389</v>
      </c>
      <c r="C285" s="118">
        <v>2024</v>
      </c>
      <c r="D285" s="118">
        <v>24120829971649</v>
      </c>
      <c r="F285" s="118" t="s">
        <v>6440</v>
      </c>
      <c r="G285" s="118" t="s">
        <v>230</v>
      </c>
      <c r="H285" s="118">
        <v>2</v>
      </c>
      <c r="I285" s="118" t="s">
        <v>6055</v>
      </c>
      <c r="J285" s="118" t="s">
        <v>477</v>
      </c>
      <c r="K285" s="118" t="s">
        <v>6985</v>
      </c>
      <c r="L285" s="118">
        <v>0.51100000000000001</v>
      </c>
      <c r="M285" s="118">
        <v>0.51100000000000001</v>
      </c>
      <c r="N285" s="118" t="s">
        <v>7465</v>
      </c>
      <c r="O285" s="118" t="s">
        <v>7468</v>
      </c>
      <c r="P285" s="118">
        <v>41.651831999999999</v>
      </c>
      <c r="Q285" s="118">
        <v>-83.518063999999995</v>
      </c>
      <c r="R285" s="118">
        <v>77000</v>
      </c>
      <c r="S285" s="118" t="s">
        <v>6988</v>
      </c>
      <c r="T285" s="118">
        <v>1</v>
      </c>
      <c r="U285" s="118">
        <v>0</v>
      </c>
      <c r="V285" s="118">
        <v>0</v>
      </c>
      <c r="W285" s="118">
        <v>1</v>
      </c>
      <c r="X285" s="118">
        <v>0</v>
      </c>
      <c r="Y285" s="118">
        <v>3</v>
      </c>
      <c r="Z285" s="118">
        <v>0</v>
      </c>
      <c r="AA285" s="118">
        <v>2</v>
      </c>
      <c r="AB285" s="118" t="s">
        <v>1067</v>
      </c>
      <c r="AC285" s="118" t="s">
        <v>6989</v>
      </c>
      <c r="AD285" s="118" t="s">
        <v>1034</v>
      </c>
      <c r="AE285" s="118" t="s">
        <v>943</v>
      </c>
      <c r="AF285" s="118" t="s">
        <v>1041</v>
      </c>
      <c r="AG285" s="118" t="s">
        <v>6415</v>
      </c>
      <c r="AH285" s="118" t="s">
        <v>393</v>
      </c>
      <c r="AI285" s="118">
        <v>4</v>
      </c>
      <c r="AJ285" s="118" t="s">
        <v>6415</v>
      </c>
      <c r="AK285" s="118" t="s">
        <v>393</v>
      </c>
      <c r="AL285" s="118" t="s">
        <v>393</v>
      </c>
      <c r="AM285" s="118" t="s">
        <v>393</v>
      </c>
      <c r="AN285" s="402" t="s">
        <v>5975</v>
      </c>
      <c r="AO285" s="402">
        <v>45634</v>
      </c>
      <c r="AP285" s="118">
        <v>12</v>
      </c>
      <c r="AQ285" s="118">
        <v>16</v>
      </c>
      <c r="AR285" s="118" t="s">
        <v>6443</v>
      </c>
      <c r="AS285" s="118" t="s">
        <v>392</v>
      </c>
      <c r="AT285" s="118" t="s">
        <v>500</v>
      </c>
      <c r="AU285" s="118" t="s">
        <v>404</v>
      </c>
      <c r="AV285" s="118" t="s">
        <v>508</v>
      </c>
      <c r="AW285" s="118" t="s">
        <v>393</v>
      </c>
      <c r="AX285" s="118" t="s">
        <v>740</v>
      </c>
      <c r="AY285" s="118" t="s">
        <v>393</v>
      </c>
      <c r="AZ285" s="118" t="s">
        <v>393</v>
      </c>
      <c r="BA285" s="118" t="s">
        <v>393</v>
      </c>
      <c r="BB285" s="118" t="s">
        <v>393</v>
      </c>
      <c r="BC285" s="118" t="s">
        <v>393</v>
      </c>
      <c r="BD285" s="118" t="s">
        <v>393</v>
      </c>
      <c r="BE285" s="118" t="s">
        <v>393</v>
      </c>
      <c r="BF285" s="118" t="s">
        <v>393</v>
      </c>
      <c r="BG285" s="118" t="s">
        <v>393</v>
      </c>
      <c r="BH285" s="118" t="s">
        <v>394</v>
      </c>
      <c r="BI285" s="118" t="s">
        <v>394</v>
      </c>
      <c r="BJ285" s="118" t="s">
        <v>393</v>
      </c>
      <c r="BK285" s="118" t="s">
        <v>6988</v>
      </c>
      <c r="BL285" s="118" t="s">
        <v>6415</v>
      </c>
      <c r="BM285" s="118" t="s">
        <v>6990</v>
      </c>
      <c r="BN285" s="118" t="s">
        <v>6991</v>
      </c>
      <c r="BO285" s="118" t="s">
        <v>6415</v>
      </c>
      <c r="BP285" s="118" t="s">
        <v>6415</v>
      </c>
      <c r="BQ285" s="118" t="s">
        <v>6415</v>
      </c>
      <c r="BR285" s="118" t="s">
        <v>6415</v>
      </c>
      <c r="BS285" s="118" t="s">
        <v>261</v>
      </c>
      <c r="BT285" s="118" t="s">
        <v>1791</v>
      </c>
      <c r="BU285" s="118" t="s">
        <v>6991</v>
      </c>
      <c r="BV285" s="118" t="s">
        <v>6415</v>
      </c>
      <c r="BW285" s="118" t="s">
        <v>6415</v>
      </c>
      <c r="BX285" s="118" t="s">
        <v>6415</v>
      </c>
      <c r="BY285" s="118" t="s">
        <v>6415</v>
      </c>
      <c r="BZ285" s="118" t="s">
        <v>6415</v>
      </c>
      <c r="CA285" s="118" t="s">
        <v>6415</v>
      </c>
      <c r="CB285" s="118" t="s">
        <v>221</v>
      </c>
      <c r="CC285" s="118" t="s">
        <v>740</v>
      </c>
      <c r="CD285" s="118">
        <v>2</v>
      </c>
      <c r="CE285" s="118" t="s">
        <v>445</v>
      </c>
      <c r="CF285" s="118" t="s">
        <v>406</v>
      </c>
      <c r="CG285" s="118" t="s">
        <v>230</v>
      </c>
      <c r="CH285" s="118" t="s">
        <v>6300</v>
      </c>
      <c r="CI285" s="118" t="s">
        <v>6303</v>
      </c>
      <c r="CJ285" s="118" t="s">
        <v>398</v>
      </c>
      <c r="CK285" s="118">
        <v>0</v>
      </c>
      <c r="CL285" s="118">
        <v>40</v>
      </c>
      <c r="CM285" s="118" t="s">
        <v>436</v>
      </c>
      <c r="CN285" s="118" t="s">
        <v>6327</v>
      </c>
      <c r="CO285" s="118" t="s">
        <v>1096</v>
      </c>
      <c r="CP285" s="118" t="s">
        <v>400</v>
      </c>
      <c r="CQ285" s="118" t="s">
        <v>6415</v>
      </c>
      <c r="CR285" s="118" t="s">
        <v>6415</v>
      </c>
      <c r="CS285" s="118" t="s">
        <v>6415</v>
      </c>
      <c r="CT285" s="118" t="s">
        <v>6415</v>
      </c>
      <c r="CU285" s="118" t="s">
        <v>6415</v>
      </c>
      <c r="CV285" s="118" t="s">
        <v>6415</v>
      </c>
      <c r="CW285" s="118">
        <v>47</v>
      </c>
      <c r="CX285" s="118" t="s">
        <v>1066</v>
      </c>
      <c r="CY285" s="118" t="s">
        <v>6341</v>
      </c>
      <c r="CZ285" s="118">
        <v>1</v>
      </c>
      <c r="DA285" s="118" t="s">
        <v>411</v>
      </c>
      <c r="DB285" s="118" t="s">
        <v>410</v>
      </c>
      <c r="DC285" s="118" t="s">
        <v>6415</v>
      </c>
      <c r="DD285" s="118" t="s">
        <v>6300</v>
      </c>
      <c r="DE285" s="118" t="s">
        <v>6303</v>
      </c>
      <c r="DF285" s="118" t="s">
        <v>398</v>
      </c>
      <c r="DG285" s="118" t="s">
        <v>6415</v>
      </c>
      <c r="DH285" s="118">
        <v>40</v>
      </c>
      <c r="DI285" s="118" t="s">
        <v>399</v>
      </c>
      <c r="DJ285" s="118" t="s">
        <v>398</v>
      </c>
      <c r="DK285" s="118" t="s">
        <v>400</v>
      </c>
      <c r="DL285" s="118" t="s">
        <v>6415</v>
      </c>
      <c r="DM285" s="118" t="s">
        <v>6415</v>
      </c>
      <c r="DN285" s="118" t="s">
        <v>6415</v>
      </c>
      <c r="DO285" s="118" t="s">
        <v>6415</v>
      </c>
      <c r="DP285" s="118" t="s">
        <v>6415</v>
      </c>
      <c r="DQ285" s="118" t="s">
        <v>6415</v>
      </c>
      <c r="DR285" s="118">
        <v>62</v>
      </c>
      <c r="DS285" s="118" t="s">
        <v>1068</v>
      </c>
      <c r="DT285" s="118" t="s">
        <v>6341</v>
      </c>
      <c r="DU285" s="118" t="s">
        <v>6415</v>
      </c>
      <c r="DV285" s="118" t="s">
        <v>6415</v>
      </c>
      <c r="DW285" s="118" t="s">
        <v>6415</v>
      </c>
      <c r="DX285" s="118" t="s">
        <v>6415</v>
      </c>
      <c r="DY285" s="118" t="s">
        <v>6415</v>
      </c>
      <c r="DZ285" s="118" t="s">
        <v>6415</v>
      </c>
      <c r="EA285" s="118" t="s">
        <v>6415</v>
      </c>
      <c r="EB285" s="118" t="s">
        <v>6415</v>
      </c>
      <c r="EC285" s="118" t="s">
        <v>6415</v>
      </c>
      <c r="ED285" s="118" t="s">
        <v>6415</v>
      </c>
      <c r="EE285" s="118" t="s">
        <v>6415</v>
      </c>
      <c r="EF285" s="118" t="s">
        <v>6415</v>
      </c>
      <c r="EG285" s="118" t="s">
        <v>6994</v>
      </c>
      <c r="EH285" s="118" t="s">
        <v>7175</v>
      </c>
      <c r="EI285" s="118" t="s">
        <v>6415</v>
      </c>
      <c r="EJ285" s="118" t="s">
        <v>6415</v>
      </c>
      <c r="EK285" s="118" t="s">
        <v>6415</v>
      </c>
      <c r="EL285" s="118" t="s">
        <v>7467</v>
      </c>
      <c r="EM285" s="118" t="s">
        <v>7407</v>
      </c>
      <c r="EN285" s="118" t="s">
        <v>6415</v>
      </c>
      <c r="EO285" s="6" t="str">
        <f t="shared" si="26"/>
        <v>Pathweb</v>
      </c>
      <c r="EP285" s="6" t="str">
        <f t="shared" si="27"/>
        <v>Google Maps</v>
      </c>
      <c r="EQ285" s="6" t="str">
        <f t="shared" si="28"/>
        <v>Mashed Map</v>
      </c>
      <c r="ER285" s="118" t="s">
        <v>6727</v>
      </c>
      <c r="ES285" s="118" t="s">
        <v>6728</v>
      </c>
      <c r="ET285" s="4">
        <v>0</v>
      </c>
      <c r="EU285" s="4"/>
      <c r="EV285" s="4"/>
    </row>
    <row r="286" spans="1:152" x14ac:dyDescent="0.15">
      <c r="A286" s="581" t="str">
        <f t="shared" si="25"/>
        <v>Crash Report</v>
      </c>
      <c r="B286" s="118">
        <v>20243234164</v>
      </c>
      <c r="C286" s="118">
        <v>2024</v>
      </c>
      <c r="D286" s="118">
        <v>24121428921506</v>
      </c>
      <c r="F286" s="118" t="s">
        <v>6442</v>
      </c>
      <c r="G286" s="118" t="s">
        <v>402</v>
      </c>
      <c r="H286" s="118">
        <v>2</v>
      </c>
      <c r="I286" s="118" t="s">
        <v>6055</v>
      </c>
      <c r="J286" s="118" t="s">
        <v>423</v>
      </c>
      <c r="K286" s="118" t="s">
        <v>6985</v>
      </c>
      <c r="L286" s="118">
        <v>1.0740000000000001</v>
      </c>
      <c r="M286" s="118">
        <v>1.0740000000000001</v>
      </c>
      <c r="N286" s="118" t="s">
        <v>7465</v>
      </c>
      <c r="O286" s="118" t="s">
        <v>7473</v>
      </c>
      <c r="P286" s="118">
        <v>41.656911000000001</v>
      </c>
      <c r="Q286" s="118">
        <v>-83.509613000000002</v>
      </c>
      <c r="R286" s="118">
        <v>77000</v>
      </c>
      <c r="S286" s="118" t="s">
        <v>6988</v>
      </c>
      <c r="T286" s="118">
        <v>1</v>
      </c>
      <c r="U286" s="118">
        <v>0</v>
      </c>
      <c r="V286" s="118">
        <v>0</v>
      </c>
      <c r="W286" s="118">
        <v>0</v>
      </c>
      <c r="X286" s="118">
        <v>0</v>
      </c>
      <c r="Y286" s="118">
        <v>2</v>
      </c>
      <c r="Z286" s="118">
        <v>0</v>
      </c>
      <c r="AA286" s="118">
        <v>2</v>
      </c>
      <c r="AB286" s="118" t="s">
        <v>1067</v>
      </c>
      <c r="AC286" s="118" t="s">
        <v>6989</v>
      </c>
      <c r="AD286" s="118" t="s">
        <v>1034</v>
      </c>
      <c r="AE286" s="118" t="s">
        <v>943</v>
      </c>
      <c r="AF286" s="118" t="s">
        <v>1041</v>
      </c>
      <c r="AG286" s="118" t="s">
        <v>6415</v>
      </c>
      <c r="AH286" s="118" t="s">
        <v>393</v>
      </c>
      <c r="AI286" s="118">
        <v>4</v>
      </c>
      <c r="AJ286" s="118" t="s">
        <v>6415</v>
      </c>
      <c r="AK286" s="118" t="s">
        <v>393</v>
      </c>
      <c r="AL286" s="118" t="s">
        <v>393</v>
      </c>
      <c r="AM286" s="118" t="s">
        <v>393</v>
      </c>
      <c r="AN286" s="402" t="s">
        <v>5975</v>
      </c>
      <c r="AO286" s="402">
        <v>45640</v>
      </c>
      <c r="AP286" s="118">
        <v>12</v>
      </c>
      <c r="AQ286" s="118">
        <v>15</v>
      </c>
      <c r="AR286" s="118" t="s">
        <v>6449</v>
      </c>
      <c r="AS286" s="118" t="s">
        <v>392</v>
      </c>
      <c r="AT286" s="118" t="s">
        <v>500</v>
      </c>
      <c r="AU286" s="118" t="s">
        <v>404</v>
      </c>
      <c r="AV286" s="118" t="s">
        <v>509</v>
      </c>
      <c r="AW286" s="118" t="s">
        <v>393</v>
      </c>
      <c r="AX286" s="118" t="s">
        <v>740</v>
      </c>
      <c r="AY286" s="118" t="s">
        <v>393</v>
      </c>
      <c r="AZ286" s="118" t="s">
        <v>393</v>
      </c>
      <c r="BA286" s="118" t="s">
        <v>393</v>
      </c>
      <c r="BB286" s="118" t="s">
        <v>393</v>
      </c>
      <c r="BC286" s="118" t="s">
        <v>393</v>
      </c>
      <c r="BD286" s="118" t="s">
        <v>393</v>
      </c>
      <c r="BE286" s="118" t="s">
        <v>740</v>
      </c>
      <c r="BF286" s="118" t="s">
        <v>393</v>
      </c>
      <c r="BG286" s="118" t="s">
        <v>393</v>
      </c>
      <c r="BH286" s="118" t="s">
        <v>394</v>
      </c>
      <c r="BI286" s="118" t="s">
        <v>394</v>
      </c>
      <c r="BJ286" s="118" t="s">
        <v>393</v>
      </c>
      <c r="BK286" s="118" t="s">
        <v>6988</v>
      </c>
      <c r="BL286" s="118" t="s">
        <v>6415</v>
      </c>
      <c r="BM286" s="118" t="s">
        <v>7008</v>
      </c>
      <c r="BN286" s="118" t="s">
        <v>6991</v>
      </c>
      <c r="BO286" s="118" t="s">
        <v>6415</v>
      </c>
      <c r="BP286" s="118" t="s">
        <v>6415</v>
      </c>
      <c r="BQ286" s="118" t="s">
        <v>6415</v>
      </c>
      <c r="BR286" s="118" t="s">
        <v>6415</v>
      </c>
      <c r="BS286" s="118" t="s">
        <v>6415</v>
      </c>
      <c r="BT286" s="118" t="s">
        <v>6990</v>
      </c>
      <c r="BU286" s="118" t="s">
        <v>6991</v>
      </c>
      <c r="BV286" s="118" t="s">
        <v>6415</v>
      </c>
      <c r="BW286" s="118" t="s">
        <v>6415</v>
      </c>
      <c r="BX286" s="118" t="s">
        <v>6415</v>
      </c>
      <c r="BY286" s="118" t="s">
        <v>6415</v>
      </c>
      <c r="BZ286" s="118" t="s">
        <v>6415</v>
      </c>
      <c r="CA286" s="118" t="s">
        <v>6415</v>
      </c>
      <c r="CB286" s="118" t="s">
        <v>221</v>
      </c>
      <c r="CC286" s="118" t="s">
        <v>740</v>
      </c>
      <c r="CD286" s="118">
        <v>1</v>
      </c>
      <c r="CE286" s="118" t="s">
        <v>446</v>
      </c>
      <c r="CF286" s="118" t="s">
        <v>445</v>
      </c>
      <c r="CG286" s="118" t="s">
        <v>924</v>
      </c>
      <c r="CH286" s="118" t="s">
        <v>6300</v>
      </c>
      <c r="CI286" s="118" t="s">
        <v>6305</v>
      </c>
      <c r="CJ286" s="118" t="s">
        <v>398</v>
      </c>
      <c r="CK286" s="118">
        <v>0</v>
      </c>
      <c r="CL286" s="118">
        <v>45</v>
      </c>
      <c r="CM286" s="118" t="s">
        <v>463</v>
      </c>
      <c r="CN286" s="118" t="s">
        <v>398</v>
      </c>
      <c r="CO286" s="118" t="s">
        <v>1096</v>
      </c>
      <c r="CP286" s="118" t="s">
        <v>400</v>
      </c>
      <c r="CQ286" s="118" t="s">
        <v>6415</v>
      </c>
      <c r="CR286" s="118" t="s">
        <v>6415</v>
      </c>
      <c r="CS286" s="118" t="s">
        <v>6415</v>
      </c>
      <c r="CT286" s="118" t="s">
        <v>6415</v>
      </c>
      <c r="CU286" s="118" t="s">
        <v>6415</v>
      </c>
      <c r="CV286" s="118" t="s">
        <v>6415</v>
      </c>
      <c r="CW286" s="118">
        <v>71</v>
      </c>
      <c r="CX286" s="118" t="s">
        <v>1068</v>
      </c>
      <c r="CY286" s="118" t="s">
        <v>6341</v>
      </c>
      <c r="CZ286" s="118">
        <v>2</v>
      </c>
      <c r="DA286" s="118" t="s">
        <v>446</v>
      </c>
      <c r="DB286" s="118" t="s">
        <v>445</v>
      </c>
      <c r="DC286" s="118" t="s">
        <v>6415</v>
      </c>
      <c r="DD286" s="118" t="s">
        <v>6300</v>
      </c>
      <c r="DE286" s="118" t="s">
        <v>417</v>
      </c>
      <c r="DF286" s="118" t="s">
        <v>398</v>
      </c>
      <c r="DG286" s="118" t="s">
        <v>6415</v>
      </c>
      <c r="DH286" s="118">
        <v>45</v>
      </c>
      <c r="DI286" s="118" t="s">
        <v>399</v>
      </c>
      <c r="DJ286" s="118" t="s">
        <v>398</v>
      </c>
      <c r="DK286" s="118" t="s">
        <v>400</v>
      </c>
      <c r="DL286" s="118" t="s">
        <v>6415</v>
      </c>
      <c r="DM286" s="118" t="s">
        <v>6415</v>
      </c>
      <c r="DN286" s="118" t="s">
        <v>6415</v>
      </c>
      <c r="DO286" s="118" t="s">
        <v>6415</v>
      </c>
      <c r="DP286" s="118" t="s">
        <v>6415</v>
      </c>
      <c r="DQ286" s="118" t="s">
        <v>6415</v>
      </c>
      <c r="DR286" s="118">
        <v>68</v>
      </c>
      <c r="DS286" s="118" t="s">
        <v>1066</v>
      </c>
      <c r="DT286" s="118" t="s">
        <v>6341</v>
      </c>
      <c r="DU286" s="118" t="s">
        <v>6415</v>
      </c>
      <c r="DV286" s="118" t="s">
        <v>6415</v>
      </c>
      <c r="DW286" s="118" t="s">
        <v>6415</v>
      </c>
      <c r="DX286" s="118" t="s">
        <v>6415</v>
      </c>
      <c r="DY286" s="118" t="s">
        <v>6415</v>
      </c>
      <c r="DZ286" s="118" t="s">
        <v>6415</v>
      </c>
      <c r="EA286" s="118" t="s">
        <v>6415</v>
      </c>
      <c r="EB286" s="118" t="s">
        <v>6415</v>
      </c>
      <c r="EC286" s="118" t="s">
        <v>6415</v>
      </c>
      <c r="ED286" s="118" t="s">
        <v>6415</v>
      </c>
      <c r="EE286" s="118" t="s">
        <v>6415</v>
      </c>
      <c r="EF286" s="118" t="s">
        <v>6415</v>
      </c>
      <c r="EG286" s="118" t="s">
        <v>7006</v>
      </c>
      <c r="EH286" s="118" t="s">
        <v>7007</v>
      </c>
      <c r="EI286" s="118" t="s">
        <v>6415</v>
      </c>
      <c r="EJ286" s="118" t="s">
        <v>6415</v>
      </c>
      <c r="EK286" s="118" t="s">
        <v>6415</v>
      </c>
      <c r="EL286" s="118" t="s">
        <v>7467</v>
      </c>
      <c r="EM286" s="118" t="s">
        <v>7408</v>
      </c>
      <c r="EN286" s="118" t="s">
        <v>6415</v>
      </c>
      <c r="EO286" s="6" t="str">
        <f t="shared" si="26"/>
        <v>Pathweb</v>
      </c>
      <c r="EP286" s="6" t="str">
        <f t="shared" si="27"/>
        <v>Google Maps</v>
      </c>
      <c r="EQ286" s="6" t="str">
        <f t="shared" si="28"/>
        <v>Mashed Map</v>
      </c>
      <c r="ER286" s="118" t="s">
        <v>6727</v>
      </c>
      <c r="ES286" s="118" t="s">
        <v>71</v>
      </c>
      <c r="ET286" s="4">
        <v>0</v>
      </c>
      <c r="EU286" s="4"/>
      <c r="EV286" s="4"/>
    </row>
    <row r="287" spans="1:152" x14ac:dyDescent="0.15">
      <c r="A287" s="581" t="str">
        <f t="shared" si="25"/>
        <v>Crash Report</v>
      </c>
      <c r="B287" s="118">
        <v>20243235183</v>
      </c>
      <c r="C287" s="118">
        <v>2024</v>
      </c>
      <c r="D287" s="118">
        <v>24121524651555</v>
      </c>
      <c r="F287" s="118" t="s">
        <v>6440</v>
      </c>
      <c r="G287" s="118" t="s">
        <v>402</v>
      </c>
      <c r="H287" s="118">
        <v>2</v>
      </c>
      <c r="I287" s="118" t="s">
        <v>6055</v>
      </c>
      <c r="J287" s="118" t="s">
        <v>434</v>
      </c>
      <c r="K287" s="118" t="s">
        <v>6985</v>
      </c>
      <c r="L287" s="118">
        <v>0.51100000000000001</v>
      </c>
      <c r="M287" s="118">
        <v>0.51100000000000001</v>
      </c>
      <c r="N287" s="118" t="s">
        <v>7465</v>
      </c>
      <c r="O287" s="118" t="s">
        <v>7468</v>
      </c>
      <c r="P287" s="118">
        <v>41.651831999999999</v>
      </c>
      <c r="Q287" s="118">
        <v>-83.518063999999995</v>
      </c>
      <c r="R287" s="118">
        <v>77000</v>
      </c>
      <c r="S287" s="118" t="s">
        <v>6988</v>
      </c>
      <c r="T287" s="118">
        <v>1</v>
      </c>
      <c r="U287" s="118">
        <v>0</v>
      </c>
      <c r="V287" s="118">
        <v>0</v>
      </c>
      <c r="W287" s="118">
        <v>2</v>
      </c>
      <c r="X287" s="118">
        <v>0</v>
      </c>
      <c r="Y287" s="118">
        <v>1</v>
      </c>
      <c r="Z287" s="118">
        <v>0</v>
      </c>
      <c r="AA287" s="118">
        <v>2</v>
      </c>
      <c r="AB287" s="118" t="s">
        <v>1067</v>
      </c>
      <c r="AC287" s="118" t="s">
        <v>6989</v>
      </c>
      <c r="AD287" s="118" t="s">
        <v>1034</v>
      </c>
      <c r="AE287" s="118" t="s">
        <v>943</v>
      </c>
      <c r="AF287" s="118" t="s">
        <v>1041</v>
      </c>
      <c r="AG287" s="118" t="s">
        <v>6415</v>
      </c>
      <c r="AH287" s="118" t="s">
        <v>393</v>
      </c>
      <c r="AI287" s="118">
        <v>4</v>
      </c>
      <c r="AJ287" s="118" t="s">
        <v>6415</v>
      </c>
      <c r="AK287" s="118" t="s">
        <v>393</v>
      </c>
      <c r="AL287" s="118" t="s">
        <v>393</v>
      </c>
      <c r="AM287" s="118" t="s">
        <v>393</v>
      </c>
      <c r="AN287" s="402" t="s">
        <v>5975</v>
      </c>
      <c r="AO287" s="402">
        <v>45641</v>
      </c>
      <c r="AP287" s="118">
        <v>12</v>
      </c>
      <c r="AQ287" s="118">
        <v>15</v>
      </c>
      <c r="AR287" s="118" t="s">
        <v>6443</v>
      </c>
      <c r="AS287" s="118" t="s">
        <v>420</v>
      </c>
      <c r="AT287" s="118" t="s">
        <v>225</v>
      </c>
      <c r="AU287" s="118" t="s">
        <v>404</v>
      </c>
      <c r="AV287" s="118" t="s">
        <v>508</v>
      </c>
      <c r="AW287" s="118" t="s">
        <v>393</v>
      </c>
      <c r="AX287" s="118" t="s">
        <v>740</v>
      </c>
      <c r="AY287" s="118" t="s">
        <v>393</v>
      </c>
      <c r="AZ287" s="118" t="s">
        <v>393</v>
      </c>
      <c r="BA287" s="118" t="s">
        <v>393</v>
      </c>
      <c r="BB287" s="118" t="s">
        <v>393</v>
      </c>
      <c r="BC287" s="118" t="s">
        <v>393</v>
      </c>
      <c r="BD287" s="118" t="s">
        <v>393</v>
      </c>
      <c r="BE287" s="118" t="s">
        <v>393</v>
      </c>
      <c r="BF287" s="118" t="s">
        <v>393</v>
      </c>
      <c r="BG287" s="118" t="s">
        <v>393</v>
      </c>
      <c r="BH287" s="118" t="s">
        <v>394</v>
      </c>
      <c r="BI287" s="118" t="s">
        <v>394</v>
      </c>
      <c r="BJ287" s="118" t="s">
        <v>393</v>
      </c>
      <c r="BK287" s="118" t="s">
        <v>6988</v>
      </c>
      <c r="BL287" s="118" t="s">
        <v>6415</v>
      </c>
      <c r="BM287" s="118" t="s">
        <v>6990</v>
      </c>
      <c r="BN287" s="118" t="s">
        <v>6991</v>
      </c>
      <c r="BO287" s="118" t="s">
        <v>6415</v>
      </c>
      <c r="BP287" s="118" t="s">
        <v>6415</v>
      </c>
      <c r="BQ287" s="118" t="s">
        <v>6415</v>
      </c>
      <c r="BR287" s="118" t="s">
        <v>6415</v>
      </c>
      <c r="BS287" s="118" t="s">
        <v>261</v>
      </c>
      <c r="BT287" s="118" t="s">
        <v>1791</v>
      </c>
      <c r="BU287" s="118" t="s">
        <v>6991</v>
      </c>
      <c r="BV287" s="118" t="s">
        <v>6415</v>
      </c>
      <c r="BW287" s="118" t="s">
        <v>6415</v>
      </c>
      <c r="BX287" s="118" t="s">
        <v>6415</v>
      </c>
      <c r="BY287" s="118" t="s">
        <v>6415</v>
      </c>
      <c r="BZ287" s="118" t="s">
        <v>6415</v>
      </c>
      <c r="CA287" s="118" t="s">
        <v>6415</v>
      </c>
      <c r="CB287" s="118" t="s">
        <v>221</v>
      </c>
      <c r="CC287" s="118" t="s">
        <v>740</v>
      </c>
      <c r="CD287" s="118">
        <v>1</v>
      </c>
      <c r="CE287" s="118" t="s">
        <v>410</v>
      </c>
      <c r="CF287" s="118" t="s">
        <v>411</v>
      </c>
      <c r="CG287" s="118" t="s">
        <v>924</v>
      </c>
      <c r="CH287" s="118" t="s">
        <v>6302</v>
      </c>
      <c r="CI287" s="118" t="s">
        <v>6303</v>
      </c>
      <c r="CJ287" s="118" t="s">
        <v>6151</v>
      </c>
      <c r="CK287" s="118">
        <v>0</v>
      </c>
      <c r="CL287" s="118">
        <v>35</v>
      </c>
      <c r="CM287" s="118" t="s">
        <v>439</v>
      </c>
      <c r="CN287" s="118" t="s">
        <v>6329</v>
      </c>
      <c r="CO287" s="118" t="s">
        <v>1096</v>
      </c>
      <c r="CP287" s="118" t="s">
        <v>400</v>
      </c>
      <c r="CQ287" s="118" t="s">
        <v>6415</v>
      </c>
      <c r="CR287" s="118" t="s">
        <v>6415</v>
      </c>
      <c r="CS287" s="118" t="s">
        <v>6415</v>
      </c>
      <c r="CT287" s="118" t="s">
        <v>6415</v>
      </c>
      <c r="CU287" s="118" t="s">
        <v>6415</v>
      </c>
      <c r="CV287" s="118" t="s">
        <v>6415</v>
      </c>
      <c r="CW287" s="118">
        <v>0</v>
      </c>
      <c r="CX287" s="118" t="s">
        <v>401</v>
      </c>
      <c r="CY287" s="118" t="s">
        <v>6151</v>
      </c>
      <c r="CZ287" s="118">
        <v>2</v>
      </c>
      <c r="DA287" s="118" t="s">
        <v>410</v>
      </c>
      <c r="DB287" s="118" t="s">
        <v>411</v>
      </c>
      <c r="DC287" s="118" t="s">
        <v>6415</v>
      </c>
      <c r="DD287" s="118" t="s">
        <v>6302</v>
      </c>
      <c r="DE287" s="118" t="s">
        <v>6303</v>
      </c>
      <c r="DF287" s="118" t="s">
        <v>398</v>
      </c>
      <c r="DG287" s="118" t="s">
        <v>6415</v>
      </c>
      <c r="DH287" s="118">
        <v>35</v>
      </c>
      <c r="DI287" s="118" t="s">
        <v>399</v>
      </c>
      <c r="DJ287" s="118" t="s">
        <v>398</v>
      </c>
      <c r="DK287" s="118" t="s">
        <v>400</v>
      </c>
      <c r="DL287" s="118" t="s">
        <v>6415</v>
      </c>
      <c r="DM287" s="118" t="s">
        <v>6415</v>
      </c>
      <c r="DN287" s="118" t="s">
        <v>6415</v>
      </c>
      <c r="DO287" s="118" t="s">
        <v>6415</v>
      </c>
      <c r="DP287" s="118" t="s">
        <v>6415</v>
      </c>
      <c r="DQ287" s="118" t="s">
        <v>6415</v>
      </c>
      <c r="DR287" s="118">
        <v>35</v>
      </c>
      <c r="DS287" s="118" t="s">
        <v>1068</v>
      </c>
      <c r="DT287" s="118" t="s">
        <v>6341</v>
      </c>
      <c r="DU287" s="118" t="s">
        <v>6415</v>
      </c>
      <c r="DV287" s="118" t="s">
        <v>6415</v>
      </c>
      <c r="DW287" s="118" t="s">
        <v>6415</v>
      </c>
      <c r="DX287" s="118" t="s">
        <v>6415</v>
      </c>
      <c r="DY287" s="118" t="s">
        <v>6415</v>
      </c>
      <c r="DZ287" s="118" t="s">
        <v>6415</v>
      </c>
      <c r="EA287" s="118" t="s">
        <v>6415</v>
      </c>
      <c r="EB287" s="118" t="s">
        <v>6415</v>
      </c>
      <c r="EC287" s="118" t="s">
        <v>6415</v>
      </c>
      <c r="ED287" s="118" t="s">
        <v>6415</v>
      </c>
      <c r="EE287" s="118" t="s">
        <v>6415</v>
      </c>
      <c r="EF287" s="118" t="s">
        <v>6415</v>
      </c>
      <c r="EG287" s="118" t="s">
        <v>6994</v>
      </c>
      <c r="EH287" s="118" t="s">
        <v>7175</v>
      </c>
      <c r="EI287" s="118" t="s">
        <v>6415</v>
      </c>
      <c r="EJ287" s="118" t="s">
        <v>6415</v>
      </c>
      <c r="EK287" s="118" t="s">
        <v>6415</v>
      </c>
      <c r="EL287" s="118" t="s">
        <v>7467</v>
      </c>
      <c r="EM287" s="118" t="s">
        <v>7409</v>
      </c>
      <c r="EN287" s="118" t="s">
        <v>6415</v>
      </c>
      <c r="EO287" s="6" t="str">
        <f t="shared" si="26"/>
        <v>Pathweb</v>
      </c>
      <c r="EP287" s="6" t="str">
        <f t="shared" si="27"/>
        <v>Google Maps</v>
      </c>
      <c r="EQ287" s="6" t="str">
        <f t="shared" si="28"/>
        <v>Mashed Map</v>
      </c>
      <c r="ER287" s="118" t="s">
        <v>6727</v>
      </c>
      <c r="ES287" s="118" t="s">
        <v>6728</v>
      </c>
      <c r="ET287" s="4">
        <v>0</v>
      </c>
      <c r="EU287" s="4"/>
      <c r="EV287" s="4"/>
    </row>
    <row r="288" spans="1:152" x14ac:dyDescent="0.15">
      <c r="A288" s="581" t="str">
        <f t="shared" si="25"/>
        <v>Crash Report</v>
      </c>
      <c r="B288" s="118">
        <v>20243239869</v>
      </c>
      <c r="C288" s="118">
        <v>2024</v>
      </c>
      <c r="D288" s="118">
        <v>24121024651100</v>
      </c>
      <c r="F288" s="118" t="s">
        <v>6442</v>
      </c>
      <c r="G288" s="118" t="s">
        <v>416</v>
      </c>
      <c r="H288" s="118">
        <v>2</v>
      </c>
      <c r="I288" s="118" t="s">
        <v>6055</v>
      </c>
      <c r="J288" s="118" t="s">
        <v>434</v>
      </c>
      <c r="K288" s="118" t="s">
        <v>6985</v>
      </c>
      <c r="L288" s="118">
        <v>0.77</v>
      </c>
      <c r="M288" s="118">
        <v>0.77</v>
      </c>
      <c r="N288" s="118" t="s">
        <v>7465</v>
      </c>
      <c r="O288" s="118" t="s">
        <v>7476</v>
      </c>
      <c r="P288" s="118">
        <v>41.654192000000002</v>
      </c>
      <c r="Q288" s="118">
        <v>-83.514189999999999</v>
      </c>
      <c r="R288" s="118">
        <v>77000</v>
      </c>
      <c r="S288" s="118" t="s">
        <v>6988</v>
      </c>
      <c r="T288" s="118">
        <v>1</v>
      </c>
      <c r="U288" s="118">
        <v>0</v>
      </c>
      <c r="V288" s="118">
        <v>0</v>
      </c>
      <c r="W288" s="118">
        <v>0</v>
      </c>
      <c r="X288" s="118">
        <v>0</v>
      </c>
      <c r="Y288" s="118">
        <v>1</v>
      </c>
      <c r="Z288" s="118">
        <v>0</v>
      </c>
      <c r="AA288" s="118">
        <v>1</v>
      </c>
      <c r="AB288" s="118" t="s">
        <v>1067</v>
      </c>
      <c r="AC288" s="118" t="s">
        <v>6989</v>
      </c>
      <c r="AD288" s="118" t="s">
        <v>1034</v>
      </c>
      <c r="AE288" s="118" t="s">
        <v>943</v>
      </c>
      <c r="AF288" s="118" t="s">
        <v>1041</v>
      </c>
      <c r="AG288" s="118" t="s">
        <v>6415</v>
      </c>
      <c r="AH288" s="118" t="s">
        <v>393</v>
      </c>
      <c r="AI288" s="118">
        <v>4</v>
      </c>
      <c r="AJ288" s="118" t="s">
        <v>6415</v>
      </c>
      <c r="AK288" s="118" t="s">
        <v>393</v>
      </c>
      <c r="AL288" s="118" t="s">
        <v>393</v>
      </c>
      <c r="AM288" s="118" t="s">
        <v>393</v>
      </c>
      <c r="AN288" s="402" t="s">
        <v>5975</v>
      </c>
      <c r="AO288" s="402">
        <v>45636</v>
      </c>
      <c r="AP288" s="118">
        <v>12</v>
      </c>
      <c r="AQ288" s="118">
        <v>11</v>
      </c>
      <c r="AR288" s="118" t="s">
        <v>6445</v>
      </c>
      <c r="AS288" s="118" t="s">
        <v>1030</v>
      </c>
      <c r="AT288" s="118" t="s">
        <v>6151</v>
      </c>
      <c r="AU288" s="118" t="s">
        <v>505</v>
      </c>
      <c r="AV288" s="118" t="s">
        <v>508</v>
      </c>
      <c r="AW288" s="118" t="s">
        <v>740</v>
      </c>
      <c r="AX288" s="118" t="s">
        <v>740</v>
      </c>
      <c r="AY288" s="118" t="s">
        <v>393</v>
      </c>
      <c r="AZ288" s="118" t="s">
        <v>393</v>
      </c>
      <c r="BA288" s="118" t="s">
        <v>393</v>
      </c>
      <c r="BB288" s="118" t="s">
        <v>393</v>
      </c>
      <c r="BC288" s="118" t="s">
        <v>393</v>
      </c>
      <c r="BD288" s="118" t="s">
        <v>393</v>
      </c>
      <c r="BE288" s="118" t="s">
        <v>393</v>
      </c>
      <c r="BF288" s="118" t="s">
        <v>393</v>
      </c>
      <c r="BG288" s="118" t="s">
        <v>393</v>
      </c>
      <c r="BH288" s="118" t="s">
        <v>394</v>
      </c>
      <c r="BI288" s="118" t="s">
        <v>394</v>
      </c>
      <c r="BJ288" s="118" t="s">
        <v>393</v>
      </c>
      <c r="BK288" s="118" t="s">
        <v>6988</v>
      </c>
      <c r="BL288" s="118" t="s">
        <v>6415</v>
      </c>
      <c r="BM288" s="118" t="s">
        <v>6990</v>
      </c>
      <c r="BN288" s="118" t="s">
        <v>6991</v>
      </c>
      <c r="BO288" s="118" t="s">
        <v>6415</v>
      </c>
      <c r="BP288" s="118" t="s">
        <v>6415</v>
      </c>
      <c r="BQ288" s="118" t="s">
        <v>6415</v>
      </c>
      <c r="BR288" s="118" t="s">
        <v>6415</v>
      </c>
      <c r="BS288" s="118" t="s">
        <v>6415</v>
      </c>
      <c r="BT288" s="118" t="s">
        <v>7033</v>
      </c>
      <c r="BU288" s="118" t="s">
        <v>6991</v>
      </c>
      <c r="BV288" s="118" t="s">
        <v>6415</v>
      </c>
      <c r="BW288" s="118" t="s">
        <v>6415</v>
      </c>
      <c r="BX288" s="118" t="s">
        <v>6415</v>
      </c>
      <c r="BY288" s="118" t="s">
        <v>6415</v>
      </c>
      <c r="BZ288" s="118" t="s">
        <v>6415</v>
      </c>
      <c r="CA288" s="118" t="s">
        <v>6415</v>
      </c>
      <c r="CB288" s="118" t="s">
        <v>221</v>
      </c>
      <c r="CC288" s="118" t="s">
        <v>740</v>
      </c>
      <c r="CD288" s="118">
        <v>1</v>
      </c>
      <c r="CE288" s="118" t="s">
        <v>401</v>
      </c>
      <c r="CF288" s="118" t="s">
        <v>401</v>
      </c>
      <c r="CG288" s="118" t="s">
        <v>924</v>
      </c>
      <c r="CH288" s="118" t="s">
        <v>6302</v>
      </c>
      <c r="CI288" s="118" t="s">
        <v>6315</v>
      </c>
      <c r="CJ288" s="118" t="s">
        <v>6151</v>
      </c>
      <c r="CK288" s="118">
        <v>0</v>
      </c>
      <c r="CL288" s="118">
        <v>35</v>
      </c>
      <c r="CM288" s="118" t="s">
        <v>399</v>
      </c>
      <c r="CN288" s="118" t="s">
        <v>407</v>
      </c>
      <c r="CO288" s="118" t="s">
        <v>475</v>
      </c>
      <c r="CP288" s="118" t="s">
        <v>475</v>
      </c>
      <c r="CQ288" s="118" t="s">
        <v>6415</v>
      </c>
      <c r="CR288" s="118" t="s">
        <v>6415</v>
      </c>
      <c r="CS288" s="118" t="s">
        <v>6415</v>
      </c>
      <c r="CT288" s="118" t="s">
        <v>6415</v>
      </c>
      <c r="CU288" s="118" t="s">
        <v>6415</v>
      </c>
      <c r="CV288" s="118" t="s">
        <v>6415</v>
      </c>
      <c r="CW288" s="118">
        <v>0</v>
      </c>
      <c r="CX288" s="118" t="s">
        <v>401</v>
      </c>
      <c r="CY288" s="118" t="s">
        <v>6151</v>
      </c>
      <c r="CZ288" s="118" t="s">
        <v>6415</v>
      </c>
      <c r="DA288" s="118" t="s">
        <v>6415</v>
      </c>
      <c r="DB288" s="118" t="s">
        <v>6415</v>
      </c>
      <c r="DC288" s="118" t="s">
        <v>6415</v>
      </c>
      <c r="DD288" s="118" t="s">
        <v>6415</v>
      </c>
      <c r="DE288" s="118" t="s">
        <v>6415</v>
      </c>
      <c r="DF288" s="118" t="s">
        <v>6415</v>
      </c>
      <c r="DG288" s="118" t="s">
        <v>6415</v>
      </c>
      <c r="DH288" s="118" t="s">
        <v>6415</v>
      </c>
      <c r="DI288" s="118" t="s">
        <v>6415</v>
      </c>
      <c r="DJ288" s="118" t="s">
        <v>6415</v>
      </c>
      <c r="DK288" s="118" t="s">
        <v>6415</v>
      </c>
      <c r="DL288" s="118" t="s">
        <v>6415</v>
      </c>
      <c r="DM288" s="118" t="s">
        <v>6415</v>
      </c>
      <c r="DN288" s="118" t="s">
        <v>6415</v>
      </c>
      <c r="DO288" s="118" t="s">
        <v>6415</v>
      </c>
      <c r="DP288" s="118" t="s">
        <v>6415</v>
      </c>
      <c r="DQ288" s="118" t="s">
        <v>6415</v>
      </c>
      <c r="DR288" s="118">
        <v>0</v>
      </c>
      <c r="DS288" s="118" t="s">
        <v>6415</v>
      </c>
      <c r="DT288" s="118" t="s">
        <v>6415</v>
      </c>
      <c r="DU288" s="118" t="s">
        <v>6415</v>
      </c>
      <c r="DV288" s="118" t="s">
        <v>6415</v>
      </c>
      <c r="DW288" s="118" t="s">
        <v>6415</v>
      </c>
      <c r="DX288" s="118" t="s">
        <v>6415</v>
      </c>
      <c r="DY288" s="118" t="s">
        <v>6415</v>
      </c>
      <c r="DZ288" s="118" t="s">
        <v>6415</v>
      </c>
      <c r="EA288" s="118" t="s">
        <v>6415</v>
      </c>
      <c r="EB288" s="118" t="s">
        <v>6415</v>
      </c>
      <c r="EC288" s="118" t="s">
        <v>6415</v>
      </c>
      <c r="ED288" s="118" t="s">
        <v>6415</v>
      </c>
      <c r="EE288" s="118" t="s">
        <v>6415</v>
      </c>
      <c r="EF288" s="118" t="s">
        <v>6415</v>
      </c>
      <c r="EG288" s="118" t="s">
        <v>7164</v>
      </c>
      <c r="EH288" s="118" t="s">
        <v>7206</v>
      </c>
      <c r="EI288" s="118" t="s">
        <v>6415</v>
      </c>
      <c r="EJ288" s="118" t="s">
        <v>6415</v>
      </c>
      <c r="EK288" s="118" t="s">
        <v>6415</v>
      </c>
      <c r="EL288" s="118" t="s">
        <v>7467</v>
      </c>
      <c r="EM288" s="118" t="s">
        <v>7410</v>
      </c>
      <c r="EN288" s="118" t="s">
        <v>6415</v>
      </c>
      <c r="EO288" s="6" t="str">
        <f t="shared" si="26"/>
        <v>Pathweb</v>
      </c>
      <c r="EP288" s="6" t="str">
        <f t="shared" si="27"/>
        <v>Google Maps</v>
      </c>
      <c r="EQ288" s="6" t="str">
        <f t="shared" si="28"/>
        <v>Mashed Map</v>
      </c>
      <c r="ER288" s="118" t="s">
        <v>6726</v>
      </c>
      <c r="ES288" s="118" t="s">
        <v>71</v>
      </c>
      <c r="ET288" s="4">
        <v>0</v>
      </c>
      <c r="EU288" s="4"/>
      <c r="EV288" s="4"/>
    </row>
    <row r="289" spans="1:152" x14ac:dyDescent="0.15">
      <c r="A289" s="581" t="str">
        <f t="shared" si="25"/>
        <v>Crash Report</v>
      </c>
      <c r="B289" s="118">
        <v>20243240067</v>
      </c>
      <c r="C289" s="118">
        <v>2024</v>
      </c>
      <c r="D289" s="118">
        <v>24122224650200</v>
      </c>
      <c r="F289" s="118" t="s">
        <v>6442</v>
      </c>
      <c r="G289" s="118" t="s">
        <v>402</v>
      </c>
      <c r="H289" s="118">
        <v>2</v>
      </c>
      <c r="I289" s="118" t="s">
        <v>6055</v>
      </c>
      <c r="J289" s="118" t="s">
        <v>391</v>
      </c>
      <c r="K289" s="118" t="s">
        <v>6997</v>
      </c>
      <c r="L289" s="118">
        <v>0.83599999999999997</v>
      </c>
      <c r="M289" s="118">
        <v>0.83599999999999997</v>
      </c>
      <c r="N289" s="118" t="s">
        <v>7469</v>
      </c>
      <c r="O289" s="118" t="s">
        <v>7483</v>
      </c>
      <c r="P289" s="118">
        <v>41.649900000000002</v>
      </c>
      <c r="Q289" s="118">
        <v>-83.524946</v>
      </c>
      <c r="R289" s="118">
        <v>77000</v>
      </c>
      <c r="S289" s="118" t="s">
        <v>6988</v>
      </c>
      <c r="T289" s="118">
        <v>1</v>
      </c>
      <c r="U289" s="118">
        <v>0</v>
      </c>
      <c r="V289" s="118">
        <v>0</v>
      </c>
      <c r="W289" s="118">
        <v>0</v>
      </c>
      <c r="X289" s="118">
        <v>0</v>
      </c>
      <c r="Y289" s="118">
        <v>5</v>
      </c>
      <c r="Z289" s="118">
        <v>0</v>
      </c>
      <c r="AA289" s="118">
        <v>2</v>
      </c>
      <c r="AB289" s="118" t="s">
        <v>1067</v>
      </c>
      <c r="AC289" s="118" t="s">
        <v>6989</v>
      </c>
      <c r="AD289" s="118" t="s">
        <v>1034</v>
      </c>
      <c r="AE289" s="118" t="s">
        <v>943</v>
      </c>
      <c r="AF289" s="118" t="s">
        <v>1041</v>
      </c>
      <c r="AG289" s="118" t="s">
        <v>6415</v>
      </c>
      <c r="AH289" s="118" t="s">
        <v>393</v>
      </c>
      <c r="AI289" s="118">
        <v>2</v>
      </c>
      <c r="AJ289" s="118" t="s">
        <v>6415</v>
      </c>
      <c r="AK289" s="118" t="s">
        <v>393</v>
      </c>
      <c r="AL289" s="118" t="s">
        <v>393</v>
      </c>
      <c r="AM289" s="118" t="s">
        <v>393</v>
      </c>
      <c r="AN289" s="402" t="s">
        <v>5975</v>
      </c>
      <c r="AO289" s="402">
        <v>45648</v>
      </c>
      <c r="AP289" s="118">
        <v>12</v>
      </c>
      <c r="AQ289" s="118">
        <v>2</v>
      </c>
      <c r="AR289" s="118" t="s">
        <v>6443</v>
      </c>
      <c r="AS289" s="118" t="s">
        <v>392</v>
      </c>
      <c r="AT289" s="118" t="s">
        <v>500</v>
      </c>
      <c r="AU289" s="118" t="s">
        <v>505</v>
      </c>
      <c r="AV289" s="118" t="s">
        <v>508</v>
      </c>
      <c r="AW289" s="118" t="s">
        <v>393</v>
      </c>
      <c r="AX289" s="118" t="s">
        <v>393</v>
      </c>
      <c r="AY289" s="118" t="s">
        <v>393</v>
      </c>
      <c r="AZ289" s="118" t="s">
        <v>393</v>
      </c>
      <c r="BA289" s="118" t="s">
        <v>393</v>
      </c>
      <c r="BB289" s="118" t="s">
        <v>393</v>
      </c>
      <c r="BC289" s="118" t="s">
        <v>393</v>
      </c>
      <c r="BD289" s="118" t="s">
        <v>393</v>
      </c>
      <c r="BE289" s="118" t="s">
        <v>393</v>
      </c>
      <c r="BF289" s="118" t="s">
        <v>393</v>
      </c>
      <c r="BG289" s="118" t="s">
        <v>393</v>
      </c>
      <c r="BH289" s="118" t="s">
        <v>394</v>
      </c>
      <c r="BI289" s="118" t="s">
        <v>394</v>
      </c>
      <c r="BJ289" s="118" t="s">
        <v>393</v>
      </c>
      <c r="BK289" s="118" t="s">
        <v>6988</v>
      </c>
      <c r="BL289" s="118" t="s">
        <v>6415</v>
      </c>
      <c r="BM289" s="118" t="s">
        <v>6992</v>
      </c>
      <c r="BN289" s="118" t="s">
        <v>6991</v>
      </c>
      <c r="BO289" s="118" t="s">
        <v>6415</v>
      </c>
      <c r="BP289" s="118" t="s">
        <v>6415</v>
      </c>
      <c r="BQ289" s="118" t="s">
        <v>6415</v>
      </c>
      <c r="BR289" s="118" t="s">
        <v>6415</v>
      </c>
      <c r="BS289" s="118" t="s">
        <v>6415</v>
      </c>
      <c r="BT289" s="118" t="s">
        <v>4748</v>
      </c>
      <c r="BU289" s="118" t="s">
        <v>7057</v>
      </c>
      <c r="BV289" s="118" t="s">
        <v>6415</v>
      </c>
      <c r="BW289" s="118" t="s">
        <v>6415</v>
      </c>
      <c r="BX289" s="118" t="s">
        <v>6415</v>
      </c>
      <c r="BY289" s="118" t="s">
        <v>6415</v>
      </c>
      <c r="BZ289" s="118" t="s">
        <v>6415</v>
      </c>
      <c r="CA289" s="118" t="s">
        <v>6415</v>
      </c>
      <c r="CB289" s="118" t="s">
        <v>221</v>
      </c>
      <c r="CC289" s="118" t="s">
        <v>740</v>
      </c>
      <c r="CD289" s="118">
        <v>1</v>
      </c>
      <c r="CE289" s="118" t="s">
        <v>405</v>
      </c>
      <c r="CF289" s="118" t="s">
        <v>406</v>
      </c>
      <c r="CG289" s="118" t="s">
        <v>924</v>
      </c>
      <c r="CH289" s="118" t="s">
        <v>6302</v>
      </c>
      <c r="CI289" s="118" t="s">
        <v>417</v>
      </c>
      <c r="CJ289" s="118" t="s">
        <v>398</v>
      </c>
      <c r="CK289" s="118">
        <v>0</v>
      </c>
      <c r="CL289" s="118">
        <v>35</v>
      </c>
      <c r="CM289" s="118" t="s">
        <v>439</v>
      </c>
      <c r="CN289" s="118" t="s">
        <v>6329</v>
      </c>
      <c r="CO289" s="118" t="s">
        <v>1096</v>
      </c>
      <c r="CP289" s="118" t="s">
        <v>400</v>
      </c>
      <c r="CQ289" s="118" t="s">
        <v>6415</v>
      </c>
      <c r="CR289" s="118" t="s">
        <v>6415</v>
      </c>
      <c r="CS289" s="118" t="s">
        <v>6415</v>
      </c>
      <c r="CT289" s="118" t="s">
        <v>6415</v>
      </c>
      <c r="CU289" s="118" t="s">
        <v>6415</v>
      </c>
      <c r="CV289" s="118" t="s">
        <v>6415</v>
      </c>
      <c r="CW289" s="118">
        <v>34</v>
      </c>
      <c r="CX289" s="118" t="s">
        <v>1068</v>
      </c>
      <c r="CY289" s="118" t="s">
        <v>6151</v>
      </c>
      <c r="CZ289" s="118">
        <v>2</v>
      </c>
      <c r="DA289" s="118" t="s">
        <v>405</v>
      </c>
      <c r="DB289" s="118" t="s">
        <v>406</v>
      </c>
      <c r="DC289" s="118" t="s">
        <v>6415</v>
      </c>
      <c r="DD289" s="118" t="s">
        <v>6302</v>
      </c>
      <c r="DE289" s="118" t="s">
        <v>417</v>
      </c>
      <c r="DF289" s="118" t="s">
        <v>398</v>
      </c>
      <c r="DG289" s="118" t="s">
        <v>6415</v>
      </c>
      <c r="DH289" s="118">
        <v>35</v>
      </c>
      <c r="DI289" s="118" t="s">
        <v>399</v>
      </c>
      <c r="DJ289" s="118" t="s">
        <v>398</v>
      </c>
      <c r="DK289" s="118" t="s">
        <v>400</v>
      </c>
      <c r="DL289" s="118" t="s">
        <v>6415</v>
      </c>
      <c r="DM289" s="118" t="s">
        <v>6415</v>
      </c>
      <c r="DN289" s="118" t="s">
        <v>6415</v>
      </c>
      <c r="DO289" s="118" t="s">
        <v>6415</v>
      </c>
      <c r="DP289" s="118" t="s">
        <v>6415</v>
      </c>
      <c r="DQ289" s="118" t="s">
        <v>6415</v>
      </c>
      <c r="DR289" s="118">
        <v>37</v>
      </c>
      <c r="DS289" s="118" t="s">
        <v>1066</v>
      </c>
      <c r="DT289" s="118" t="s">
        <v>6341</v>
      </c>
      <c r="DU289" s="118" t="s">
        <v>6415</v>
      </c>
      <c r="DV289" s="118" t="s">
        <v>6415</v>
      </c>
      <c r="DW289" s="118" t="s">
        <v>6415</v>
      </c>
      <c r="DX289" s="118" t="s">
        <v>6415</v>
      </c>
      <c r="DY289" s="118" t="s">
        <v>6415</v>
      </c>
      <c r="DZ289" s="118" t="s">
        <v>6415</v>
      </c>
      <c r="EA289" s="118" t="s">
        <v>6415</v>
      </c>
      <c r="EB289" s="118" t="s">
        <v>6415</v>
      </c>
      <c r="EC289" s="118" t="s">
        <v>6415</v>
      </c>
      <c r="ED289" s="118" t="s">
        <v>6415</v>
      </c>
      <c r="EE289" s="118" t="s">
        <v>6415</v>
      </c>
      <c r="EF289" s="118" t="s">
        <v>6415</v>
      </c>
      <c r="EG289" s="118" t="s">
        <v>7412</v>
      </c>
      <c r="EH289" s="118" t="s">
        <v>7413</v>
      </c>
      <c r="EI289" s="118" t="s">
        <v>6415</v>
      </c>
      <c r="EJ289" s="118" t="s">
        <v>6415</v>
      </c>
      <c r="EK289" s="118" t="s">
        <v>6415</v>
      </c>
      <c r="EL289" s="118" t="s">
        <v>7467</v>
      </c>
      <c r="EM289" s="118" t="s">
        <v>7411</v>
      </c>
      <c r="EN289" s="118" t="s">
        <v>6415</v>
      </c>
      <c r="EO289" s="6" t="str">
        <f t="shared" si="26"/>
        <v>Pathweb</v>
      </c>
      <c r="EP289" s="6" t="str">
        <f t="shared" si="27"/>
        <v>Google Maps</v>
      </c>
      <c r="EQ289" s="6" t="str">
        <f t="shared" si="28"/>
        <v>Mashed Map</v>
      </c>
      <c r="ER289" s="118" t="s">
        <v>6727</v>
      </c>
      <c r="ES289" s="118" t="s">
        <v>71</v>
      </c>
      <c r="ET289" s="4">
        <v>1.9E-2</v>
      </c>
      <c r="EU289" s="4"/>
      <c r="EV289" s="4"/>
    </row>
    <row r="290" spans="1:152" x14ac:dyDescent="0.15">
      <c r="A290" s="581" t="str">
        <f t="shared" si="25"/>
        <v>Crash Report</v>
      </c>
      <c r="B290" s="118">
        <v>20243240813</v>
      </c>
      <c r="C290" s="118">
        <v>2024</v>
      </c>
      <c r="D290" s="118">
        <v>24122327841856</v>
      </c>
      <c r="F290" s="118" t="s">
        <v>6442</v>
      </c>
      <c r="G290" s="118" t="s">
        <v>211</v>
      </c>
      <c r="H290" s="118">
        <v>2</v>
      </c>
      <c r="I290" s="118" t="s">
        <v>6055</v>
      </c>
      <c r="J290" s="118" t="s">
        <v>391</v>
      </c>
      <c r="K290" s="118" t="s">
        <v>6997</v>
      </c>
      <c r="L290" s="118">
        <v>0.71299999999999997</v>
      </c>
      <c r="M290" s="118">
        <v>0.71299999999999997</v>
      </c>
      <c r="N290" s="118" t="s">
        <v>7469</v>
      </c>
      <c r="O290" s="118" t="s">
        <v>7473</v>
      </c>
      <c r="P290" s="118">
        <v>41.648519</v>
      </c>
      <c r="Q290" s="118">
        <v>-83.523447000000004</v>
      </c>
      <c r="R290" s="118">
        <v>77000</v>
      </c>
      <c r="S290" s="118" t="s">
        <v>6988</v>
      </c>
      <c r="T290" s="118">
        <v>1</v>
      </c>
      <c r="U290" s="118">
        <v>0</v>
      </c>
      <c r="V290" s="118">
        <v>0</v>
      </c>
      <c r="W290" s="118">
        <v>0</v>
      </c>
      <c r="X290" s="118">
        <v>0</v>
      </c>
      <c r="Y290" s="118">
        <v>2</v>
      </c>
      <c r="Z290" s="118">
        <v>0</v>
      </c>
      <c r="AA290" s="118">
        <v>2</v>
      </c>
      <c r="AB290" s="118" t="s">
        <v>1067</v>
      </c>
      <c r="AC290" s="118" t="s">
        <v>6989</v>
      </c>
      <c r="AD290" s="118" t="s">
        <v>1034</v>
      </c>
      <c r="AE290" s="118" t="s">
        <v>943</v>
      </c>
      <c r="AF290" s="118" t="s">
        <v>1042</v>
      </c>
      <c r="AG290" s="118" t="s">
        <v>6415</v>
      </c>
      <c r="AH290" s="118" t="s">
        <v>393</v>
      </c>
      <c r="AI290" s="118">
        <v>2</v>
      </c>
      <c r="AJ290" s="118" t="s">
        <v>6415</v>
      </c>
      <c r="AK290" s="118" t="s">
        <v>393</v>
      </c>
      <c r="AL290" s="118" t="s">
        <v>393</v>
      </c>
      <c r="AM290" s="118" t="s">
        <v>393</v>
      </c>
      <c r="AN290" s="402" t="s">
        <v>5975</v>
      </c>
      <c r="AO290" s="402">
        <v>45649</v>
      </c>
      <c r="AP290" s="118">
        <v>12</v>
      </c>
      <c r="AQ290" s="118">
        <v>18</v>
      </c>
      <c r="AR290" s="118" t="s">
        <v>6444</v>
      </c>
      <c r="AS290" s="118" t="s">
        <v>420</v>
      </c>
      <c r="AT290" s="118" t="s">
        <v>225</v>
      </c>
      <c r="AU290" s="118" t="s">
        <v>505</v>
      </c>
      <c r="AV290" s="118" t="s">
        <v>508</v>
      </c>
      <c r="AW290" s="118" t="s">
        <v>393</v>
      </c>
      <c r="AX290" s="118" t="s">
        <v>393</v>
      </c>
      <c r="AY290" s="118" t="s">
        <v>393</v>
      </c>
      <c r="AZ290" s="118" t="s">
        <v>393</v>
      </c>
      <c r="BA290" s="118" t="s">
        <v>393</v>
      </c>
      <c r="BB290" s="118" t="s">
        <v>393</v>
      </c>
      <c r="BC290" s="118" t="s">
        <v>393</v>
      </c>
      <c r="BD290" s="118" t="s">
        <v>393</v>
      </c>
      <c r="BE290" s="118" t="s">
        <v>393</v>
      </c>
      <c r="BF290" s="118" t="s">
        <v>393</v>
      </c>
      <c r="BG290" s="118" t="s">
        <v>393</v>
      </c>
      <c r="BH290" s="118" t="s">
        <v>394</v>
      </c>
      <c r="BI290" s="118" t="s">
        <v>394</v>
      </c>
      <c r="BJ290" s="118" t="s">
        <v>393</v>
      </c>
      <c r="BK290" s="118" t="s">
        <v>6988</v>
      </c>
      <c r="BL290" s="118" t="s">
        <v>6415</v>
      </c>
      <c r="BM290" s="118" t="s">
        <v>6992</v>
      </c>
      <c r="BN290" s="118" t="s">
        <v>6991</v>
      </c>
      <c r="BO290" s="118" t="s">
        <v>6415</v>
      </c>
      <c r="BP290" s="118" t="s">
        <v>6415</v>
      </c>
      <c r="BQ290" s="118" t="s">
        <v>6415</v>
      </c>
      <c r="BR290" s="118" t="s">
        <v>6415</v>
      </c>
      <c r="BS290" s="118" t="s">
        <v>6415</v>
      </c>
      <c r="BT290" s="118" t="s">
        <v>6990</v>
      </c>
      <c r="BU290" s="118" t="s">
        <v>6991</v>
      </c>
      <c r="BV290" s="118" t="s">
        <v>6415</v>
      </c>
      <c r="BW290" s="118" t="s">
        <v>6415</v>
      </c>
      <c r="BX290" s="118" t="s">
        <v>6415</v>
      </c>
      <c r="BY290" s="118" t="s">
        <v>6415</v>
      </c>
      <c r="BZ290" s="118" t="s">
        <v>6415</v>
      </c>
      <c r="CA290" s="118" t="s">
        <v>6415</v>
      </c>
      <c r="CB290" s="118" t="s">
        <v>221</v>
      </c>
      <c r="CC290" s="118" t="s">
        <v>740</v>
      </c>
      <c r="CD290" s="118">
        <v>1</v>
      </c>
      <c r="CE290" s="118" t="s">
        <v>405</v>
      </c>
      <c r="CF290" s="118" t="s">
        <v>410</v>
      </c>
      <c r="CG290" s="118" t="s">
        <v>230</v>
      </c>
      <c r="CH290" s="118" t="s">
        <v>6302</v>
      </c>
      <c r="CI290" s="118" t="s">
        <v>417</v>
      </c>
      <c r="CJ290" s="118" t="s">
        <v>398</v>
      </c>
      <c r="CK290" s="118">
        <v>0</v>
      </c>
      <c r="CL290" s="118">
        <v>0</v>
      </c>
      <c r="CM290" s="118" t="s">
        <v>436</v>
      </c>
      <c r="CN290" s="118" t="s">
        <v>451</v>
      </c>
      <c r="CO290" s="118" t="s">
        <v>1096</v>
      </c>
      <c r="CP290" s="118" t="s">
        <v>400</v>
      </c>
      <c r="CQ290" s="118" t="s">
        <v>6415</v>
      </c>
      <c r="CR290" s="118" t="s">
        <v>6415</v>
      </c>
      <c r="CS290" s="118" t="s">
        <v>6415</v>
      </c>
      <c r="CT290" s="118" t="s">
        <v>6415</v>
      </c>
      <c r="CU290" s="118" t="s">
        <v>6415</v>
      </c>
      <c r="CV290" s="118" t="s">
        <v>6415</v>
      </c>
      <c r="CW290" s="118">
        <v>61</v>
      </c>
      <c r="CX290" s="118" t="s">
        <v>1066</v>
      </c>
      <c r="CY290" s="118" t="s">
        <v>6341</v>
      </c>
      <c r="CZ290" s="118">
        <v>2</v>
      </c>
      <c r="DA290" s="118" t="s">
        <v>410</v>
      </c>
      <c r="DB290" s="118" t="s">
        <v>411</v>
      </c>
      <c r="DC290" s="118" t="s">
        <v>6415</v>
      </c>
      <c r="DD290" s="118" t="s">
        <v>6302</v>
      </c>
      <c r="DE290" s="118" t="s">
        <v>6303</v>
      </c>
      <c r="DF290" s="118" t="s">
        <v>398</v>
      </c>
      <c r="DG290" s="118" t="s">
        <v>6415</v>
      </c>
      <c r="DH290" s="118" t="s">
        <v>6415</v>
      </c>
      <c r="DI290" s="118" t="s">
        <v>399</v>
      </c>
      <c r="DJ290" s="118" t="s">
        <v>398</v>
      </c>
      <c r="DK290" s="118" t="s">
        <v>400</v>
      </c>
      <c r="DL290" s="118" t="s">
        <v>6415</v>
      </c>
      <c r="DM290" s="118" t="s">
        <v>6415</v>
      </c>
      <c r="DN290" s="118" t="s">
        <v>6415</v>
      </c>
      <c r="DO290" s="118" t="s">
        <v>6415</v>
      </c>
      <c r="DP290" s="118" t="s">
        <v>6415</v>
      </c>
      <c r="DQ290" s="118" t="s">
        <v>6415</v>
      </c>
      <c r="DR290" s="118">
        <v>36</v>
      </c>
      <c r="DS290" s="118" t="s">
        <v>1066</v>
      </c>
      <c r="DT290" s="118" t="s">
        <v>6341</v>
      </c>
      <c r="DU290" s="118" t="s">
        <v>6415</v>
      </c>
      <c r="DV290" s="118" t="s">
        <v>6415</v>
      </c>
      <c r="DW290" s="118" t="s">
        <v>6415</v>
      </c>
      <c r="DX290" s="118" t="s">
        <v>6415</v>
      </c>
      <c r="DY290" s="118" t="s">
        <v>6415</v>
      </c>
      <c r="DZ290" s="118" t="s">
        <v>6415</v>
      </c>
      <c r="EA290" s="118" t="s">
        <v>6415</v>
      </c>
      <c r="EB290" s="118" t="s">
        <v>6415</v>
      </c>
      <c r="EC290" s="118" t="s">
        <v>6415</v>
      </c>
      <c r="ED290" s="118" t="s">
        <v>6415</v>
      </c>
      <c r="EE290" s="118" t="s">
        <v>6415</v>
      </c>
      <c r="EF290" s="118" t="s">
        <v>6415</v>
      </c>
      <c r="EG290" s="118" t="s">
        <v>6986</v>
      </c>
      <c r="EH290" s="118" t="s">
        <v>7168</v>
      </c>
      <c r="EI290" s="118" t="s">
        <v>6415</v>
      </c>
      <c r="EJ290" s="118" t="s">
        <v>6415</v>
      </c>
      <c r="EK290" s="118" t="s">
        <v>6415</v>
      </c>
      <c r="EL290" s="118" t="s">
        <v>7467</v>
      </c>
      <c r="EM290" s="118" t="s">
        <v>7414</v>
      </c>
      <c r="EN290" s="118" t="s">
        <v>6415</v>
      </c>
      <c r="EO290" s="6" t="str">
        <f t="shared" si="26"/>
        <v>Pathweb</v>
      </c>
      <c r="EP290" s="6" t="str">
        <f t="shared" si="27"/>
        <v>Google Maps</v>
      </c>
      <c r="EQ290" s="6" t="str">
        <f t="shared" si="28"/>
        <v>Mashed Map</v>
      </c>
      <c r="ER290" s="118" t="s">
        <v>6727</v>
      </c>
      <c r="ES290" s="118" t="s">
        <v>71</v>
      </c>
      <c r="ET290" s="4">
        <v>2.8000000000000001E-2</v>
      </c>
      <c r="EU290" s="4"/>
      <c r="EV290" s="4"/>
    </row>
    <row r="291" spans="1:152" x14ac:dyDescent="0.15">
      <c r="A291" s="581" t="str">
        <f t="shared" si="25"/>
        <v>Crash Report</v>
      </c>
      <c r="B291" s="118">
        <v>20243245422</v>
      </c>
      <c r="C291" s="118">
        <v>2024</v>
      </c>
      <c r="D291" s="118">
        <v>24122729801531</v>
      </c>
      <c r="F291" s="118" t="s">
        <v>6441</v>
      </c>
      <c r="G291" s="118" t="s">
        <v>402</v>
      </c>
      <c r="H291" s="118">
        <v>2</v>
      </c>
      <c r="I291" s="118" t="s">
        <v>6055</v>
      </c>
      <c r="J291" s="118" t="s">
        <v>391</v>
      </c>
      <c r="K291" s="118" t="s">
        <v>6985</v>
      </c>
      <c r="L291" s="118">
        <v>3.4000000000000002E-2</v>
      </c>
      <c r="M291" s="118">
        <v>3.4000000000000002E-2</v>
      </c>
      <c r="N291" s="118" t="s">
        <v>7465</v>
      </c>
      <c r="O291" s="118" t="s">
        <v>7475</v>
      </c>
      <c r="P291" s="118">
        <v>41.647478</v>
      </c>
      <c r="Q291" s="118">
        <v>-83.525188999999997</v>
      </c>
      <c r="R291" s="118">
        <v>77000</v>
      </c>
      <c r="S291" s="118" t="s">
        <v>6988</v>
      </c>
      <c r="T291" s="118">
        <v>1</v>
      </c>
      <c r="U291" s="118">
        <v>0</v>
      </c>
      <c r="V291" s="118">
        <v>0</v>
      </c>
      <c r="W291" s="118">
        <v>0</v>
      </c>
      <c r="X291" s="118">
        <v>1</v>
      </c>
      <c r="Y291" s="118">
        <v>1</v>
      </c>
      <c r="Z291" s="118">
        <v>0</v>
      </c>
      <c r="AA291" s="118">
        <v>2</v>
      </c>
      <c r="AB291" s="118" t="s">
        <v>1067</v>
      </c>
      <c r="AC291" s="118" t="s">
        <v>6989</v>
      </c>
      <c r="AD291" s="118" t="s">
        <v>1034</v>
      </c>
      <c r="AE291" s="118" t="s">
        <v>943</v>
      </c>
      <c r="AF291" s="118" t="s">
        <v>1042</v>
      </c>
      <c r="AG291" s="118" t="s">
        <v>6415</v>
      </c>
      <c r="AH291" s="118" t="s">
        <v>393</v>
      </c>
      <c r="AI291" s="118">
        <v>4</v>
      </c>
      <c r="AJ291" s="118" t="s">
        <v>6415</v>
      </c>
      <c r="AK291" s="118" t="s">
        <v>393</v>
      </c>
      <c r="AL291" s="118" t="s">
        <v>393</v>
      </c>
      <c r="AM291" s="118" t="s">
        <v>393</v>
      </c>
      <c r="AN291" s="402" t="s">
        <v>5975</v>
      </c>
      <c r="AO291" s="402">
        <v>45653</v>
      </c>
      <c r="AP291" s="118">
        <v>12</v>
      </c>
      <c r="AQ291" s="118">
        <v>15</v>
      </c>
      <c r="AR291" s="118" t="s">
        <v>6448</v>
      </c>
      <c r="AS291" s="118" t="s">
        <v>420</v>
      </c>
      <c r="AT291" s="118" t="s">
        <v>225</v>
      </c>
      <c r="AU291" s="118" t="s">
        <v>404</v>
      </c>
      <c r="AV291" s="118" t="s">
        <v>510</v>
      </c>
      <c r="AW291" s="118" t="s">
        <v>393</v>
      </c>
      <c r="AX291" s="118" t="s">
        <v>393</v>
      </c>
      <c r="AY291" s="118" t="s">
        <v>393</v>
      </c>
      <c r="AZ291" s="118" t="s">
        <v>393</v>
      </c>
      <c r="BA291" s="118" t="s">
        <v>393</v>
      </c>
      <c r="BB291" s="118" t="s">
        <v>393</v>
      </c>
      <c r="BC291" s="118" t="s">
        <v>393</v>
      </c>
      <c r="BD291" s="118" t="s">
        <v>393</v>
      </c>
      <c r="BE291" s="118" t="s">
        <v>740</v>
      </c>
      <c r="BF291" s="118" t="s">
        <v>393</v>
      </c>
      <c r="BG291" s="118" t="s">
        <v>393</v>
      </c>
      <c r="BH291" s="118" t="s">
        <v>394</v>
      </c>
      <c r="BI291" s="118" t="s">
        <v>394</v>
      </c>
      <c r="BJ291" s="118" t="s">
        <v>393</v>
      </c>
      <c r="BK291" s="118" t="s">
        <v>6988</v>
      </c>
      <c r="BL291" s="118" t="s">
        <v>6415</v>
      </c>
      <c r="BM291" s="118" t="s">
        <v>6990</v>
      </c>
      <c r="BN291" s="118" t="s">
        <v>6991</v>
      </c>
      <c r="BO291" s="118" t="s">
        <v>6415</v>
      </c>
      <c r="BP291" s="118" t="s">
        <v>6415</v>
      </c>
      <c r="BQ291" s="118" t="s">
        <v>6415</v>
      </c>
      <c r="BR291" s="118" t="s">
        <v>6415</v>
      </c>
      <c r="BS291" s="118" t="s">
        <v>6415</v>
      </c>
      <c r="BT291" s="118" t="s">
        <v>2583</v>
      </c>
      <c r="BU291" s="118" t="s">
        <v>7017</v>
      </c>
      <c r="BV291" s="118" t="s">
        <v>6415</v>
      </c>
      <c r="BW291" s="118" t="s">
        <v>6415</v>
      </c>
      <c r="BX291" s="118" t="s">
        <v>6415</v>
      </c>
      <c r="BY291" s="118" t="s">
        <v>6415</v>
      </c>
      <c r="BZ291" s="118" t="s">
        <v>6415</v>
      </c>
      <c r="CA291" s="118" t="s">
        <v>6415</v>
      </c>
      <c r="CB291" s="118" t="s">
        <v>221</v>
      </c>
      <c r="CC291" s="118" t="s">
        <v>740</v>
      </c>
      <c r="CD291" s="118">
        <v>1</v>
      </c>
      <c r="CE291" s="118" t="s">
        <v>405</v>
      </c>
      <c r="CF291" s="118" t="s">
        <v>406</v>
      </c>
      <c r="CG291" s="118" t="s">
        <v>924</v>
      </c>
      <c r="CH291" s="118" t="s">
        <v>6302</v>
      </c>
      <c r="CI291" s="118" t="s">
        <v>6304</v>
      </c>
      <c r="CJ291" s="118" t="s">
        <v>398</v>
      </c>
      <c r="CK291" s="118">
        <v>0</v>
      </c>
      <c r="CL291" s="118">
        <v>0</v>
      </c>
      <c r="CM291" s="118" t="s">
        <v>6356</v>
      </c>
      <c r="CN291" s="118" t="s">
        <v>6328</v>
      </c>
      <c r="CO291" s="118" t="s">
        <v>1096</v>
      </c>
      <c r="CP291" s="118" t="s">
        <v>400</v>
      </c>
      <c r="CQ291" s="118" t="s">
        <v>6415</v>
      </c>
      <c r="CR291" s="118" t="s">
        <v>6415</v>
      </c>
      <c r="CS291" s="118" t="s">
        <v>6415</v>
      </c>
      <c r="CT291" s="118" t="s">
        <v>6415</v>
      </c>
      <c r="CU291" s="118" t="s">
        <v>6415</v>
      </c>
      <c r="CV291" s="118" t="s">
        <v>6415</v>
      </c>
      <c r="CW291" s="118">
        <v>30</v>
      </c>
      <c r="CX291" s="118" t="s">
        <v>1066</v>
      </c>
      <c r="CY291" s="118" t="s">
        <v>6341</v>
      </c>
      <c r="CZ291" s="118">
        <v>2</v>
      </c>
      <c r="DA291" s="118" t="s">
        <v>406</v>
      </c>
      <c r="DB291" s="118" t="s">
        <v>405</v>
      </c>
      <c r="DC291" s="118" t="s">
        <v>6415</v>
      </c>
      <c r="DD291" s="118" t="s">
        <v>6302</v>
      </c>
      <c r="DE291" s="118" t="s">
        <v>6303</v>
      </c>
      <c r="DF291" s="118" t="s">
        <v>398</v>
      </c>
      <c r="DG291" s="118" t="s">
        <v>6415</v>
      </c>
      <c r="DH291" s="118" t="s">
        <v>6415</v>
      </c>
      <c r="DI291" s="118" t="s">
        <v>399</v>
      </c>
      <c r="DJ291" s="118" t="s">
        <v>398</v>
      </c>
      <c r="DK291" s="118" t="s">
        <v>400</v>
      </c>
      <c r="DL291" s="118" t="s">
        <v>475</v>
      </c>
      <c r="DM291" s="118" t="s">
        <v>6415</v>
      </c>
      <c r="DN291" s="118" t="s">
        <v>6415</v>
      </c>
      <c r="DO291" s="118" t="s">
        <v>6415</v>
      </c>
      <c r="DP291" s="118" t="s">
        <v>6415</v>
      </c>
      <c r="DQ291" s="118" t="s">
        <v>6415</v>
      </c>
      <c r="DR291" s="118">
        <v>84</v>
      </c>
      <c r="DS291" s="118" t="s">
        <v>1068</v>
      </c>
      <c r="DT291" s="118" t="s">
        <v>6341</v>
      </c>
      <c r="DU291" s="118" t="s">
        <v>6415</v>
      </c>
      <c r="DV291" s="118" t="s">
        <v>6415</v>
      </c>
      <c r="DW291" s="118" t="s">
        <v>6415</v>
      </c>
      <c r="DX291" s="118" t="s">
        <v>6415</v>
      </c>
      <c r="DY291" s="118" t="s">
        <v>6415</v>
      </c>
      <c r="DZ291" s="118" t="s">
        <v>6415</v>
      </c>
      <c r="EA291" s="118" t="s">
        <v>6415</v>
      </c>
      <c r="EB291" s="118" t="s">
        <v>6415</v>
      </c>
      <c r="EC291" s="118" t="s">
        <v>6415</v>
      </c>
      <c r="ED291" s="118" t="s">
        <v>6415</v>
      </c>
      <c r="EE291" s="118" t="s">
        <v>6415</v>
      </c>
      <c r="EF291" s="118" t="s">
        <v>6415</v>
      </c>
      <c r="EG291" s="118" t="s">
        <v>6415</v>
      </c>
      <c r="EH291" s="118" t="s">
        <v>6415</v>
      </c>
      <c r="EI291" s="118" t="s">
        <v>6415</v>
      </c>
      <c r="EJ291" s="118" t="s">
        <v>6415</v>
      </c>
      <c r="EK291" s="118" t="s">
        <v>6415</v>
      </c>
      <c r="EL291" s="118" t="s">
        <v>7467</v>
      </c>
      <c r="EM291" s="118" t="s">
        <v>7415</v>
      </c>
      <c r="EN291" s="118" t="s">
        <v>6415</v>
      </c>
      <c r="EO291" s="6" t="str">
        <f t="shared" si="26"/>
        <v>Pathweb</v>
      </c>
      <c r="EP291" s="6" t="str">
        <f t="shared" si="27"/>
        <v>Google Maps</v>
      </c>
      <c r="EQ291" s="6" t="str">
        <f t="shared" si="28"/>
        <v>Mashed Map</v>
      </c>
      <c r="ER291" s="118" t="s">
        <v>6727</v>
      </c>
      <c r="ES291" s="118" t="s">
        <v>6728</v>
      </c>
      <c r="ET291" s="4">
        <v>5.7000000000000002E-2</v>
      </c>
      <c r="EU291" s="4"/>
      <c r="EV291" s="4"/>
    </row>
    <row r="292" spans="1:152" x14ac:dyDescent="0.15">
      <c r="A292" s="581" t="str">
        <f t="shared" si="25"/>
        <v>Crash Report</v>
      </c>
      <c r="B292" s="118">
        <v>20253005065</v>
      </c>
      <c r="C292" s="118">
        <v>2025</v>
      </c>
      <c r="D292" s="118">
        <v>25010127841530</v>
      </c>
      <c r="F292" s="118" t="s">
        <v>6441</v>
      </c>
      <c r="G292" s="118" t="s">
        <v>416</v>
      </c>
      <c r="H292" s="118">
        <v>2</v>
      </c>
      <c r="I292" s="118" t="s">
        <v>6055</v>
      </c>
      <c r="J292" s="118" t="s">
        <v>423</v>
      </c>
      <c r="K292" s="118" t="s">
        <v>6985</v>
      </c>
      <c r="L292" s="118">
        <v>0.27</v>
      </c>
      <c r="M292" s="118">
        <v>0.27</v>
      </c>
      <c r="N292" s="118" t="s">
        <v>7465</v>
      </c>
      <c r="O292" s="118" t="s">
        <v>7470</v>
      </c>
      <c r="P292" s="118">
        <v>41.649633999999999</v>
      </c>
      <c r="Q292" s="118">
        <v>-83.521665999999996</v>
      </c>
      <c r="R292" s="118">
        <v>77000</v>
      </c>
      <c r="S292" s="118" t="s">
        <v>6988</v>
      </c>
      <c r="T292" s="118">
        <v>1</v>
      </c>
      <c r="U292" s="118">
        <v>0</v>
      </c>
      <c r="V292" s="118">
        <v>0</v>
      </c>
      <c r="W292" s="118">
        <v>0</v>
      </c>
      <c r="X292" s="118">
        <v>1</v>
      </c>
      <c r="Y292" s="118">
        <v>1</v>
      </c>
      <c r="Z292" s="118">
        <v>0</v>
      </c>
      <c r="AA292" s="118">
        <v>1</v>
      </c>
      <c r="AB292" s="118" t="s">
        <v>1067</v>
      </c>
      <c r="AC292" s="118" t="s">
        <v>6989</v>
      </c>
      <c r="AD292" s="118" t="s">
        <v>1034</v>
      </c>
      <c r="AE292" s="118" t="s">
        <v>943</v>
      </c>
      <c r="AF292" s="118" t="s">
        <v>1041</v>
      </c>
      <c r="AG292" s="118" t="s">
        <v>6415</v>
      </c>
      <c r="AH292" s="118" t="s">
        <v>393</v>
      </c>
      <c r="AI292" s="118">
        <v>4</v>
      </c>
      <c r="AJ292" s="118" t="s">
        <v>6415</v>
      </c>
      <c r="AK292" s="118" t="s">
        <v>393</v>
      </c>
      <c r="AL292" s="118" t="s">
        <v>393</v>
      </c>
      <c r="AM292" s="118" t="s">
        <v>393</v>
      </c>
      <c r="AN292" s="402" t="s">
        <v>5975</v>
      </c>
      <c r="AO292" s="402">
        <v>45658</v>
      </c>
      <c r="AP292" s="118">
        <v>1</v>
      </c>
      <c r="AQ292" s="118">
        <v>15</v>
      </c>
      <c r="AR292" s="118" t="s">
        <v>6446</v>
      </c>
      <c r="AS292" s="118" t="s">
        <v>403</v>
      </c>
      <c r="AT292" s="118" t="s">
        <v>225</v>
      </c>
      <c r="AU292" s="118" t="s">
        <v>404</v>
      </c>
      <c r="AV292" s="118" t="s">
        <v>508</v>
      </c>
      <c r="AW292" s="118" t="s">
        <v>740</v>
      </c>
      <c r="AX292" s="118" t="s">
        <v>740</v>
      </c>
      <c r="AY292" s="118" t="s">
        <v>393</v>
      </c>
      <c r="AZ292" s="118" t="s">
        <v>393</v>
      </c>
      <c r="BA292" s="118" t="s">
        <v>393</v>
      </c>
      <c r="BB292" s="118" t="s">
        <v>393</v>
      </c>
      <c r="BC292" s="118" t="s">
        <v>393</v>
      </c>
      <c r="BD292" s="118" t="s">
        <v>393</v>
      </c>
      <c r="BE292" s="118" t="s">
        <v>393</v>
      </c>
      <c r="BF292" s="118" t="s">
        <v>393</v>
      </c>
      <c r="BG292" s="118" t="s">
        <v>393</v>
      </c>
      <c r="BH292" s="118" t="s">
        <v>394</v>
      </c>
      <c r="BI292" s="118" t="s">
        <v>394</v>
      </c>
      <c r="BJ292" s="118" t="s">
        <v>393</v>
      </c>
      <c r="BK292" s="118" t="s">
        <v>6988</v>
      </c>
      <c r="BL292" s="118" t="s">
        <v>6415</v>
      </c>
      <c r="BM292" s="118" t="s">
        <v>6990</v>
      </c>
      <c r="BN292" s="118" t="s">
        <v>6991</v>
      </c>
      <c r="BO292" s="118" t="s">
        <v>6415</v>
      </c>
      <c r="BP292" s="118" t="s">
        <v>6415</v>
      </c>
      <c r="BQ292" s="118" t="s">
        <v>6415</v>
      </c>
      <c r="BR292" s="118" t="s">
        <v>6415</v>
      </c>
      <c r="BS292" s="118" t="s">
        <v>6415</v>
      </c>
      <c r="BT292" s="118" t="s">
        <v>7004</v>
      </c>
      <c r="BU292" s="118" t="s">
        <v>6991</v>
      </c>
      <c r="BV292" s="118" t="s">
        <v>6415</v>
      </c>
      <c r="BW292" s="118" t="s">
        <v>6415</v>
      </c>
      <c r="BX292" s="118" t="s">
        <v>6415</v>
      </c>
      <c r="BY292" s="118" t="s">
        <v>6415</v>
      </c>
      <c r="BZ292" s="118" t="s">
        <v>6415</v>
      </c>
      <c r="CA292" s="118" t="s">
        <v>6415</v>
      </c>
      <c r="CB292" s="118" t="s">
        <v>221</v>
      </c>
      <c r="CC292" s="118" t="s">
        <v>740</v>
      </c>
      <c r="CD292" s="118">
        <v>1</v>
      </c>
      <c r="CE292" s="118" t="s">
        <v>406</v>
      </c>
      <c r="CF292" s="118" t="s">
        <v>405</v>
      </c>
      <c r="CG292" s="118" t="s">
        <v>924</v>
      </c>
      <c r="CH292" s="118" t="s">
        <v>6302</v>
      </c>
      <c r="CI292" s="118" t="s">
        <v>6303</v>
      </c>
      <c r="CJ292" s="118" t="s">
        <v>398</v>
      </c>
      <c r="CK292" s="118">
        <v>0</v>
      </c>
      <c r="CL292" s="118">
        <v>0</v>
      </c>
      <c r="CM292" s="118" t="s">
        <v>399</v>
      </c>
      <c r="CN292" s="118" t="s">
        <v>407</v>
      </c>
      <c r="CO292" s="118" t="s">
        <v>475</v>
      </c>
      <c r="CP292" s="118" t="s">
        <v>432</v>
      </c>
      <c r="CQ292" s="118" t="s">
        <v>475</v>
      </c>
      <c r="CR292" s="118" t="s">
        <v>6415</v>
      </c>
      <c r="CS292" s="118" t="s">
        <v>6415</v>
      </c>
      <c r="CT292" s="118" t="s">
        <v>6415</v>
      </c>
      <c r="CU292" s="118" t="s">
        <v>6415</v>
      </c>
      <c r="CV292" s="118" t="s">
        <v>6415</v>
      </c>
      <c r="CW292" s="118">
        <v>26</v>
      </c>
      <c r="CX292" s="118" t="s">
        <v>1066</v>
      </c>
      <c r="CY292" s="118" t="s">
        <v>6341</v>
      </c>
      <c r="CZ292" s="118" t="s">
        <v>6415</v>
      </c>
      <c r="DA292" s="118" t="s">
        <v>6415</v>
      </c>
      <c r="DB292" s="118" t="s">
        <v>6415</v>
      </c>
      <c r="DC292" s="118" t="s">
        <v>6415</v>
      </c>
      <c r="DD292" s="118" t="s">
        <v>6415</v>
      </c>
      <c r="DE292" s="118" t="s">
        <v>6415</v>
      </c>
      <c r="DF292" s="118" t="s">
        <v>6415</v>
      </c>
      <c r="DG292" s="118" t="s">
        <v>6415</v>
      </c>
      <c r="DH292" s="118" t="s">
        <v>6415</v>
      </c>
      <c r="DI292" s="118" t="s">
        <v>6415</v>
      </c>
      <c r="DJ292" s="118" t="s">
        <v>6415</v>
      </c>
      <c r="DK292" s="118" t="s">
        <v>6415</v>
      </c>
      <c r="DL292" s="118" t="s">
        <v>6415</v>
      </c>
      <c r="DM292" s="118" t="s">
        <v>6415</v>
      </c>
      <c r="DN292" s="118" t="s">
        <v>6415</v>
      </c>
      <c r="DO292" s="118" t="s">
        <v>6415</v>
      </c>
      <c r="DP292" s="118" t="s">
        <v>6415</v>
      </c>
      <c r="DQ292" s="118" t="s">
        <v>6415</v>
      </c>
      <c r="DR292" s="118">
        <v>0</v>
      </c>
      <c r="DS292" s="118" t="s">
        <v>6415</v>
      </c>
      <c r="DT292" s="118" t="s">
        <v>6415</v>
      </c>
      <c r="DU292" s="118" t="s">
        <v>6415</v>
      </c>
      <c r="DV292" s="118" t="s">
        <v>6415</v>
      </c>
      <c r="DW292" s="118" t="s">
        <v>6415</v>
      </c>
      <c r="DX292" s="118" t="s">
        <v>6415</v>
      </c>
      <c r="DY292" s="118" t="s">
        <v>6415</v>
      </c>
      <c r="DZ292" s="118" t="s">
        <v>6415</v>
      </c>
      <c r="EA292" s="118" t="s">
        <v>6415</v>
      </c>
      <c r="EB292" s="118" t="s">
        <v>6415</v>
      </c>
      <c r="EC292" s="118" t="s">
        <v>6415</v>
      </c>
      <c r="ED292" s="118" t="s">
        <v>6415</v>
      </c>
      <c r="EE292" s="118" t="s">
        <v>6415</v>
      </c>
      <c r="EF292" s="118" t="s">
        <v>6415</v>
      </c>
      <c r="EG292" s="118" t="s">
        <v>7002</v>
      </c>
      <c r="EH292" s="118" t="s">
        <v>7267</v>
      </c>
      <c r="EI292" s="118" t="s">
        <v>6415</v>
      </c>
      <c r="EJ292" s="118" t="s">
        <v>6415</v>
      </c>
      <c r="EK292" s="118">
        <v>145188</v>
      </c>
      <c r="EL292" s="118" t="s">
        <v>7467</v>
      </c>
      <c r="EM292" s="118" t="s">
        <v>7416</v>
      </c>
      <c r="EN292" s="118" t="s">
        <v>6415</v>
      </c>
      <c r="EO292" s="6" t="str">
        <f t="shared" si="26"/>
        <v>Pathweb</v>
      </c>
      <c r="EP292" s="6" t="str">
        <f t="shared" si="27"/>
        <v>Google Maps</v>
      </c>
      <c r="EQ292" s="6" t="str">
        <f t="shared" si="28"/>
        <v>Mashed Map</v>
      </c>
      <c r="ER292" s="118" t="s">
        <v>6726</v>
      </c>
      <c r="ES292" s="118" t="s">
        <v>6728</v>
      </c>
      <c r="ET292" s="4">
        <v>0</v>
      </c>
      <c r="EU292" s="4"/>
      <c r="EV292" s="4"/>
    </row>
    <row r="293" spans="1:152" x14ac:dyDescent="0.15">
      <c r="A293" s="581" t="str">
        <f t="shared" si="25"/>
        <v>Crash Report</v>
      </c>
      <c r="B293" s="118">
        <v>20253007720</v>
      </c>
      <c r="C293" s="118">
        <v>2025</v>
      </c>
      <c r="D293" s="118">
        <v>25011224651400</v>
      </c>
      <c r="F293" s="118" t="s">
        <v>6442</v>
      </c>
      <c r="G293" s="118" t="s">
        <v>438</v>
      </c>
      <c r="H293" s="118">
        <v>2</v>
      </c>
      <c r="I293" s="118" t="s">
        <v>6055</v>
      </c>
      <c r="J293" s="118" t="s">
        <v>434</v>
      </c>
      <c r="K293" s="118" t="s">
        <v>6985</v>
      </c>
      <c r="L293" s="118">
        <v>0.72</v>
      </c>
      <c r="M293" s="118">
        <v>0.72</v>
      </c>
      <c r="N293" s="118" t="s">
        <v>7465</v>
      </c>
      <c r="O293" s="118" t="s">
        <v>7476</v>
      </c>
      <c r="P293" s="118">
        <v>41.653736000000002</v>
      </c>
      <c r="Q293" s="118">
        <v>-83.514938000000001</v>
      </c>
      <c r="R293" s="118">
        <v>77000</v>
      </c>
      <c r="S293" s="118" t="s">
        <v>6988</v>
      </c>
      <c r="T293" s="118">
        <v>1</v>
      </c>
      <c r="U293" s="118">
        <v>0</v>
      </c>
      <c r="V293" s="118">
        <v>0</v>
      </c>
      <c r="W293" s="118">
        <v>0</v>
      </c>
      <c r="X293" s="118">
        <v>0</v>
      </c>
      <c r="Y293" s="118">
        <v>2</v>
      </c>
      <c r="Z293" s="118">
        <v>0</v>
      </c>
      <c r="AA293" s="118">
        <v>2</v>
      </c>
      <c r="AB293" s="118" t="s">
        <v>1067</v>
      </c>
      <c r="AC293" s="118" t="s">
        <v>6989</v>
      </c>
      <c r="AD293" s="118" t="s">
        <v>1034</v>
      </c>
      <c r="AE293" s="118" t="s">
        <v>943</v>
      </c>
      <c r="AF293" s="118" t="s">
        <v>1041</v>
      </c>
      <c r="AG293" s="118" t="s">
        <v>6415</v>
      </c>
      <c r="AH293" s="118" t="s">
        <v>393</v>
      </c>
      <c r="AI293" s="118">
        <v>4</v>
      </c>
      <c r="AJ293" s="118" t="s">
        <v>6415</v>
      </c>
      <c r="AK293" s="118" t="s">
        <v>393</v>
      </c>
      <c r="AL293" s="118" t="s">
        <v>393</v>
      </c>
      <c r="AM293" s="118" t="s">
        <v>393</v>
      </c>
      <c r="AN293" s="402" t="s">
        <v>5975</v>
      </c>
      <c r="AO293" s="402">
        <v>45669</v>
      </c>
      <c r="AP293" s="118">
        <v>1</v>
      </c>
      <c r="AQ293" s="118">
        <v>14</v>
      </c>
      <c r="AR293" s="118" t="s">
        <v>6443</v>
      </c>
      <c r="AS293" s="118" t="s">
        <v>392</v>
      </c>
      <c r="AT293" s="118" t="s">
        <v>500</v>
      </c>
      <c r="AU293" s="118" t="s">
        <v>404</v>
      </c>
      <c r="AV293" s="118" t="s">
        <v>508</v>
      </c>
      <c r="AW293" s="118" t="s">
        <v>393</v>
      </c>
      <c r="AX293" s="118" t="s">
        <v>740</v>
      </c>
      <c r="AY293" s="118" t="s">
        <v>393</v>
      </c>
      <c r="AZ293" s="118" t="s">
        <v>393</v>
      </c>
      <c r="BA293" s="118" t="s">
        <v>393</v>
      </c>
      <c r="BB293" s="118" t="s">
        <v>393</v>
      </c>
      <c r="BC293" s="118" t="s">
        <v>393</v>
      </c>
      <c r="BD293" s="118" t="s">
        <v>393</v>
      </c>
      <c r="BE293" s="118" t="s">
        <v>740</v>
      </c>
      <c r="BF293" s="118" t="s">
        <v>393</v>
      </c>
      <c r="BG293" s="118" t="s">
        <v>393</v>
      </c>
      <c r="BH293" s="118" t="s">
        <v>394</v>
      </c>
      <c r="BI293" s="118" t="s">
        <v>394</v>
      </c>
      <c r="BJ293" s="118" t="s">
        <v>393</v>
      </c>
      <c r="BK293" s="118" t="s">
        <v>6988</v>
      </c>
      <c r="BL293" s="118" t="s">
        <v>6415</v>
      </c>
      <c r="BM293" s="118" t="s">
        <v>6990</v>
      </c>
      <c r="BN293" s="118" t="s">
        <v>6991</v>
      </c>
      <c r="BO293" s="118" t="s">
        <v>6415</v>
      </c>
      <c r="BP293" s="118" t="s">
        <v>6415</v>
      </c>
      <c r="BQ293" s="118" t="s">
        <v>6415</v>
      </c>
      <c r="BR293" s="118" t="s">
        <v>6415</v>
      </c>
      <c r="BS293" s="118" t="s">
        <v>6415</v>
      </c>
      <c r="BT293" s="118" t="s">
        <v>7033</v>
      </c>
      <c r="BU293" s="118" t="s">
        <v>6991</v>
      </c>
      <c r="BV293" s="118" t="s">
        <v>6415</v>
      </c>
      <c r="BW293" s="118" t="s">
        <v>6415</v>
      </c>
      <c r="BX293" s="118" t="s">
        <v>6415</v>
      </c>
      <c r="BY293" s="118" t="s">
        <v>6415</v>
      </c>
      <c r="BZ293" s="118" t="s">
        <v>6415</v>
      </c>
      <c r="CA293" s="118" t="s">
        <v>6415</v>
      </c>
      <c r="CB293" s="118" t="s">
        <v>221</v>
      </c>
      <c r="CC293" s="118" t="s">
        <v>740</v>
      </c>
      <c r="CD293" s="118">
        <v>1</v>
      </c>
      <c r="CE293" s="118" t="s">
        <v>405</v>
      </c>
      <c r="CF293" s="118" t="s">
        <v>406</v>
      </c>
      <c r="CG293" s="118" t="s">
        <v>924</v>
      </c>
      <c r="CH293" s="118" t="s">
        <v>6302</v>
      </c>
      <c r="CI293" s="118" t="s">
        <v>6303</v>
      </c>
      <c r="CJ293" s="118" t="s">
        <v>6151</v>
      </c>
      <c r="CK293" s="118">
        <v>0</v>
      </c>
      <c r="CL293" s="118">
        <v>35</v>
      </c>
      <c r="CM293" s="118" t="s">
        <v>6151</v>
      </c>
      <c r="CN293" s="118" t="s">
        <v>6336</v>
      </c>
      <c r="CO293" s="118" t="s">
        <v>1096</v>
      </c>
      <c r="CP293" s="118" t="s">
        <v>400</v>
      </c>
      <c r="CQ293" s="118" t="s">
        <v>6415</v>
      </c>
      <c r="CR293" s="118" t="s">
        <v>6415</v>
      </c>
      <c r="CS293" s="118" t="s">
        <v>6415</v>
      </c>
      <c r="CT293" s="118" t="s">
        <v>6415</v>
      </c>
      <c r="CU293" s="118" t="s">
        <v>6415</v>
      </c>
      <c r="CV293" s="118" t="s">
        <v>6415</v>
      </c>
      <c r="CW293" s="118">
        <v>0</v>
      </c>
      <c r="CX293" s="118" t="s">
        <v>401</v>
      </c>
      <c r="CY293" s="118" t="s">
        <v>6151</v>
      </c>
      <c r="CZ293" s="118">
        <v>2</v>
      </c>
      <c r="DA293" s="118" t="s">
        <v>406</v>
      </c>
      <c r="DB293" s="118" t="s">
        <v>405</v>
      </c>
      <c r="DC293" s="118" t="s">
        <v>6415</v>
      </c>
      <c r="DD293" s="118" t="s">
        <v>6302</v>
      </c>
      <c r="DE293" s="118" t="s">
        <v>6305</v>
      </c>
      <c r="DF293" s="118" t="s">
        <v>398</v>
      </c>
      <c r="DG293" s="118" t="s">
        <v>6415</v>
      </c>
      <c r="DH293" s="118">
        <v>35</v>
      </c>
      <c r="DI293" s="118" t="s">
        <v>399</v>
      </c>
      <c r="DJ293" s="118" t="s">
        <v>398</v>
      </c>
      <c r="DK293" s="118" t="s">
        <v>400</v>
      </c>
      <c r="DL293" s="118" t="s">
        <v>6415</v>
      </c>
      <c r="DM293" s="118" t="s">
        <v>6415</v>
      </c>
      <c r="DN293" s="118" t="s">
        <v>6415</v>
      </c>
      <c r="DO293" s="118" t="s">
        <v>6415</v>
      </c>
      <c r="DP293" s="118" t="s">
        <v>6415</v>
      </c>
      <c r="DQ293" s="118" t="s">
        <v>6415</v>
      </c>
      <c r="DR293" s="118">
        <v>70</v>
      </c>
      <c r="DS293" s="118" t="s">
        <v>1068</v>
      </c>
      <c r="DT293" s="118" t="s">
        <v>6341</v>
      </c>
      <c r="DU293" s="118" t="s">
        <v>6415</v>
      </c>
      <c r="DV293" s="118" t="s">
        <v>6415</v>
      </c>
      <c r="DW293" s="118" t="s">
        <v>6415</v>
      </c>
      <c r="DX293" s="118" t="s">
        <v>6415</v>
      </c>
      <c r="DY293" s="118" t="s">
        <v>6415</v>
      </c>
      <c r="DZ293" s="118" t="s">
        <v>6415</v>
      </c>
      <c r="EA293" s="118" t="s">
        <v>6415</v>
      </c>
      <c r="EB293" s="118" t="s">
        <v>6415</v>
      </c>
      <c r="EC293" s="118" t="s">
        <v>6415</v>
      </c>
      <c r="ED293" s="118" t="s">
        <v>6415</v>
      </c>
      <c r="EE293" s="118" t="s">
        <v>6415</v>
      </c>
      <c r="EF293" s="118" t="s">
        <v>6415</v>
      </c>
      <c r="EG293" s="118" t="s">
        <v>7031</v>
      </c>
      <c r="EH293" s="118" t="s">
        <v>7184</v>
      </c>
      <c r="EI293" s="118" t="s">
        <v>6415</v>
      </c>
      <c r="EJ293" s="118" t="s">
        <v>6415</v>
      </c>
      <c r="EK293" s="118">
        <v>145188</v>
      </c>
      <c r="EL293" s="118" t="s">
        <v>7467</v>
      </c>
      <c r="EM293" s="118" t="s">
        <v>7417</v>
      </c>
      <c r="EN293" s="118" t="s">
        <v>6415</v>
      </c>
      <c r="EO293" s="6" t="str">
        <f t="shared" si="26"/>
        <v>Pathweb</v>
      </c>
      <c r="EP293" s="6" t="str">
        <f t="shared" si="27"/>
        <v>Google Maps</v>
      </c>
      <c r="EQ293" s="6" t="str">
        <f t="shared" si="28"/>
        <v>Mashed Map</v>
      </c>
      <c r="ER293" s="118" t="s">
        <v>6727</v>
      </c>
      <c r="ES293" s="118" t="s">
        <v>71</v>
      </c>
      <c r="ET293" s="4">
        <v>0</v>
      </c>
      <c r="EU293" s="4"/>
      <c r="EV293" s="4"/>
    </row>
    <row r="294" spans="1:152" x14ac:dyDescent="0.15">
      <c r="A294" s="581" t="str">
        <f t="shared" si="25"/>
        <v>Crash Report</v>
      </c>
      <c r="B294" s="118">
        <v>20253010566</v>
      </c>
      <c r="C294" s="118">
        <v>2025</v>
      </c>
      <c r="D294" s="118">
        <v>25011829680220</v>
      </c>
      <c r="F294" s="118" t="s">
        <v>6442</v>
      </c>
      <c r="G294" s="118" t="s">
        <v>416</v>
      </c>
      <c r="H294" s="118">
        <v>2</v>
      </c>
      <c r="I294" s="118" t="s">
        <v>6055</v>
      </c>
      <c r="J294" s="118" t="s">
        <v>423</v>
      </c>
      <c r="K294" s="118" t="s">
        <v>6985</v>
      </c>
      <c r="L294" s="118">
        <v>0.45600000000000002</v>
      </c>
      <c r="M294" s="118">
        <v>0.45600000000000002</v>
      </c>
      <c r="N294" s="118" t="s">
        <v>7465</v>
      </c>
      <c r="O294" s="118" t="s">
        <v>7490</v>
      </c>
      <c r="P294" s="118">
        <v>41.651330000000002</v>
      </c>
      <c r="Q294" s="118">
        <v>-83.518885999999995</v>
      </c>
      <c r="R294" s="118">
        <v>77000</v>
      </c>
      <c r="S294" s="118" t="s">
        <v>6988</v>
      </c>
      <c r="T294" s="118">
        <v>1</v>
      </c>
      <c r="U294" s="118">
        <v>0</v>
      </c>
      <c r="V294" s="118">
        <v>0</v>
      </c>
      <c r="W294" s="118">
        <v>0</v>
      </c>
      <c r="X294" s="118">
        <v>0</v>
      </c>
      <c r="Y294" s="118">
        <v>1</v>
      </c>
      <c r="Z294" s="118">
        <v>0</v>
      </c>
      <c r="AA294" s="118">
        <v>1</v>
      </c>
      <c r="AB294" s="118" t="s">
        <v>1067</v>
      </c>
      <c r="AC294" s="118" t="s">
        <v>6989</v>
      </c>
      <c r="AD294" s="118" t="s">
        <v>1034</v>
      </c>
      <c r="AE294" s="118" t="s">
        <v>943</v>
      </c>
      <c r="AF294" s="118" t="s">
        <v>1041</v>
      </c>
      <c r="AG294" s="118" t="s">
        <v>6415</v>
      </c>
      <c r="AH294" s="118" t="s">
        <v>393</v>
      </c>
      <c r="AI294" s="118">
        <v>4</v>
      </c>
      <c r="AJ294" s="118" t="s">
        <v>6415</v>
      </c>
      <c r="AK294" s="118" t="s">
        <v>393</v>
      </c>
      <c r="AL294" s="118" t="s">
        <v>393</v>
      </c>
      <c r="AM294" s="118" t="s">
        <v>393</v>
      </c>
      <c r="AN294" s="402" t="s">
        <v>5975</v>
      </c>
      <c r="AO294" s="402">
        <v>45675</v>
      </c>
      <c r="AP294" s="118">
        <v>1</v>
      </c>
      <c r="AQ294" s="118">
        <v>2</v>
      </c>
      <c r="AR294" s="118" t="s">
        <v>6449</v>
      </c>
      <c r="AS294" s="118" t="s">
        <v>420</v>
      </c>
      <c r="AT294" s="118" t="s">
        <v>225</v>
      </c>
      <c r="AU294" s="118" t="s">
        <v>505</v>
      </c>
      <c r="AV294" s="118" t="s">
        <v>508</v>
      </c>
      <c r="AW294" s="118" t="s">
        <v>740</v>
      </c>
      <c r="AX294" s="118" t="s">
        <v>740</v>
      </c>
      <c r="AY294" s="118" t="s">
        <v>740</v>
      </c>
      <c r="AZ294" s="118" t="s">
        <v>393</v>
      </c>
      <c r="BA294" s="118" t="s">
        <v>393</v>
      </c>
      <c r="BB294" s="118" t="s">
        <v>393</v>
      </c>
      <c r="BC294" s="118" t="s">
        <v>393</v>
      </c>
      <c r="BD294" s="118" t="s">
        <v>393</v>
      </c>
      <c r="BE294" s="118" t="s">
        <v>393</v>
      </c>
      <c r="BF294" s="118" t="s">
        <v>393</v>
      </c>
      <c r="BG294" s="118" t="s">
        <v>393</v>
      </c>
      <c r="BH294" s="118" t="s">
        <v>394</v>
      </c>
      <c r="BI294" s="118" t="s">
        <v>394</v>
      </c>
      <c r="BJ294" s="118" t="s">
        <v>393</v>
      </c>
      <c r="BK294" s="118" t="s">
        <v>6988</v>
      </c>
      <c r="BL294" s="118" t="s">
        <v>6415</v>
      </c>
      <c r="BM294" s="118" t="s">
        <v>6990</v>
      </c>
      <c r="BN294" s="118" t="s">
        <v>6991</v>
      </c>
      <c r="BO294" s="118" t="s">
        <v>6415</v>
      </c>
      <c r="BP294" s="118" t="s">
        <v>6415</v>
      </c>
      <c r="BQ294" s="118" t="s">
        <v>6415</v>
      </c>
      <c r="BR294" s="118" t="s">
        <v>6415</v>
      </c>
      <c r="BS294" s="118" t="s">
        <v>6415</v>
      </c>
      <c r="BT294" s="118" t="s">
        <v>2579</v>
      </c>
      <c r="BU294" s="118" t="s">
        <v>6991</v>
      </c>
      <c r="BV294" s="118" t="s">
        <v>6415</v>
      </c>
      <c r="BW294" s="118" t="s">
        <v>6415</v>
      </c>
      <c r="BX294" s="118" t="s">
        <v>6415</v>
      </c>
      <c r="BY294" s="118" t="s">
        <v>6415</v>
      </c>
      <c r="BZ294" s="118" t="s">
        <v>6415</v>
      </c>
      <c r="CA294" s="118" t="s">
        <v>6415</v>
      </c>
      <c r="CB294" s="118" t="s">
        <v>221</v>
      </c>
      <c r="CC294" s="118" t="s">
        <v>740</v>
      </c>
      <c r="CD294" s="118">
        <v>1</v>
      </c>
      <c r="CE294" s="118" t="s">
        <v>405</v>
      </c>
      <c r="CF294" s="118" t="s">
        <v>406</v>
      </c>
      <c r="CG294" s="118" t="s">
        <v>924</v>
      </c>
      <c r="CH294" s="118" t="s">
        <v>6302</v>
      </c>
      <c r="CI294" s="118" t="s">
        <v>6305</v>
      </c>
      <c r="CJ294" s="118" t="s">
        <v>398</v>
      </c>
      <c r="CK294" s="118">
        <v>0</v>
      </c>
      <c r="CL294" s="118">
        <v>40</v>
      </c>
      <c r="CM294" s="118" t="s">
        <v>463</v>
      </c>
      <c r="CN294" s="118" t="s">
        <v>6328</v>
      </c>
      <c r="CO294" s="118" t="s">
        <v>475</v>
      </c>
      <c r="CP294" s="118" t="s">
        <v>418</v>
      </c>
      <c r="CQ294" s="118" t="s">
        <v>475</v>
      </c>
      <c r="CR294" s="118" t="s">
        <v>6415</v>
      </c>
      <c r="CS294" s="118" t="s">
        <v>6415</v>
      </c>
      <c r="CT294" s="118" t="s">
        <v>6415</v>
      </c>
      <c r="CU294" s="118" t="s">
        <v>6415</v>
      </c>
      <c r="CV294" s="118" t="s">
        <v>6415</v>
      </c>
      <c r="CW294" s="118">
        <v>51</v>
      </c>
      <c r="CX294" s="118" t="s">
        <v>1066</v>
      </c>
      <c r="CY294" s="118" t="s">
        <v>6341</v>
      </c>
      <c r="CZ294" s="118" t="s">
        <v>6415</v>
      </c>
      <c r="DA294" s="118" t="s">
        <v>6415</v>
      </c>
      <c r="DB294" s="118" t="s">
        <v>6415</v>
      </c>
      <c r="DC294" s="118" t="s">
        <v>6415</v>
      </c>
      <c r="DD294" s="118" t="s">
        <v>6415</v>
      </c>
      <c r="DE294" s="118" t="s">
        <v>6415</v>
      </c>
      <c r="DF294" s="118" t="s">
        <v>6415</v>
      </c>
      <c r="DG294" s="118" t="s">
        <v>6415</v>
      </c>
      <c r="DH294" s="118" t="s">
        <v>6415</v>
      </c>
      <c r="DI294" s="118" t="s">
        <v>6415</v>
      </c>
      <c r="DJ294" s="118" t="s">
        <v>6415</v>
      </c>
      <c r="DK294" s="118" t="s">
        <v>6415</v>
      </c>
      <c r="DL294" s="118" t="s">
        <v>6415</v>
      </c>
      <c r="DM294" s="118" t="s">
        <v>6415</v>
      </c>
      <c r="DN294" s="118" t="s">
        <v>6415</v>
      </c>
      <c r="DO294" s="118" t="s">
        <v>6415</v>
      </c>
      <c r="DP294" s="118" t="s">
        <v>6415</v>
      </c>
      <c r="DQ294" s="118" t="s">
        <v>6415</v>
      </c>
      <c r="DR294" s="118">
        <v>0</v>
      </c>
      <c r="DS294" s="118" t="s">
        <v>6415</v>
      </c>
      <c r="DT294" s="118" t="s">
        <v>6415</v>
      </c>
      <c r="DU294" s="118" t="s">
        <v>6415</v>
      </c>
      <c r="DV294" s="118" t="s">
        <v>6415</v>
      </c>
      <c r="DW294" s="118" t="s">
        <v>6415</v>
      </c>
      <c r="DX294" s="118" t="s">
        <v>6415</v>
      </c>
      <c r="DY294" s="118" t="s">
        <v>6415</v>
      </c>
      <c r="DZ294" s="118" t="s">
        <v>6415</v>
      </c>
      <c r="EA294" s="118" t="s">
        <v>6415</v>
      </c>
      <c r="EB294" s="118" t="s">
        <v>6415</v>
      </c>
      <c r="EC294" s="118" t="s">
        <v>6415</v>
      </c>
      <c r="ED294" s="118" t="s">
        <v>6415</v>
      </c>
      <c r="EE294" s="118" t="s">
        <v>6415</v>
      </c>
      <c r="EF294" s="118" t="s">
        <v>6415</v>
      </c>
      <c r="EG294" s="118" t="s">
        <v>7160</v>
      </c>
      <c r="EH294" s="118" t="s">
        <v>7419</v>
      </c>
      <c r="EI294" s="118" t="s">
        <v>6415</v>
      </c>
      <c r="EJ294" s="118" t="s">
        <v>6415</v>
      </c>
      <c r="EK294" s="118">
        <v>145188</v>
      </c>
      <c r="EL294" s="118" t="s">
        <v>7467</v>
      </c>
      <c r="EM294" s="118" t="s">
        <v>7418</v>
      </c>
      <c r="EN294" s="118" t="s">
        <v>6415</v>
      </c>
      <c r="EO294" s="6" t="str">
        <f t="shared" si="26"/>
        <v>Pathweb</v>
      </c>
      <c r="EP294" s="6" t="str">
        <f t="shared" si="27"/>
        <v>Google Maps</v>
      </c>
      <c r="EQ294" s="6" t="str">
        <f t="shared" si="28"/>
        <v>Mashed Map</v>
      </c>
      <c r="ER294" s="118" t="s">
        <v>6726</v>
      </c>
      <c r="ES294" s="118" t="s">
        <v>71</v>
      </c>
      <c r="ET294" s="4">
        <v>4.0000000000000001E-3</v>
      </c>
      <c r="EU294" s="4"/>
      <c r="EV294" s="4"/>
    </row>
    <row r="295" spans="1:152" x14ac:dyDescent="0.15">
      <c r="A295" s="581" t="str">
        <f t="shared" si="25"/>
        <v>Crash Report</v>
      </c>
      <c r="B295" s="118">
        <v>20253024550</v>
      </c>
      <c r="C295" s="118">
        <v>2025</v>
      </c>
      <c r="D295" s="118">
        <v>25013126541515</v>
      </c>
      <c r="F295" s="118" t="s">
        <v>6442</v>
      </c>
      <c r="G295" s="118" t="s">
        <v>210</v>
      </c>
      <c r="H295" s="118">
        <v>2</v>
      </c>
      <c r="I295" s="118" t="s">
        <v>6055</v>
      </c>
      <c r="J295" s="118" t="s">
        <v>391</v>
      </c>
      <c r="K295" s="118" t="s">
        <v>6985</v>
      </c>
      <c r="L295" s="118">
        <v>0.75600000000000001</v>
      </c>
      <c r="M295" s="118">
        <v>0.75600000000000001</v>
      </c>
      <c r="N295" s="118" t="s">
        <v>7465</v>
      </c>
      <c r="O295" s="118">
        <v>1518</v>
      </c>
      <c r="P295" s="118">
        <v>41.654063999999998</v>
      </c>
      <c r="Q295" s="118">
        <v>-83.514399999999995</v>
      </c>
      <c r="R295" s="118">
        <v>77000</v>
      </c>
      <c r="S295" s="118" t="s">
        <v>6988</v>
      </c>
      <c r="T295" s="118">
        <v>1</v>
      </c>
      <c r="U295" s="118">
        <v>0</v>
      </c>
      <c r="V295" s="118">
        <v>0</v>
      </c>
      <c r="W295" s="118">
        <v>0</v>
      </c>
      <c r="X295" s="118">
        <v>0</v>
      </c>
      <c r="Y295" s="118">
        <v>1</v>
      </c>
      <c r="Z295" s="118">
        <v>0</v>
      </c>
      <c r="AA295" s="118">
        <v>2</v>
      </c>
      <c r="AB295" s="118" t="s">
        <v>1067</v>
      </c>
      <c r="AC295" s="118" t="s">
        <v>6989</v>
      </c>
      <c r="AD295" s="118" t="s">
        <v>1034</v>
      </c>
      <c r="AE295" s="118" t="s">
        <v>943</v>
      </c>
      <c r="AF295" s="118" t="s">
        <v>1041</v>
      </c>
      <c r="AG295" s="118" t="s">
        <v>6415</v>
      </c>
      <c r="AH295" s="118" t="s">
        <v>393</v>
      </c>
      <c r="AI295" s="118">
        <v>4</v>
      </c>
      <c r="AJ295" s="118" t="s">
        <v>6415</v>
      </c>
      <c r="AK295" s="118" t="s">
        <v>393</v>
      </c>
      <c r="AL295" s="118" t="s">
        <v>393</v>
      </c>
      <c r="AM295" s="118" t="s">
        <v>393</v>
      </c>
      <c r="AN295" s="402" t="s">
        <v>5975</v>
      </c>
      <c r="AO295" s="402">
        <v>45688</v>
      </c>
      <c r="AP295" s="118">
        <v>1</v>
      </c>
      <c r="AQ295" s="118">
        <v>15</v>
      </c>
      <c r="AR295" s="118" t="s">
        <v>6448</v>
      </c>
      <c r="AS295" s="118" t="s">
        <v>1030</v>
      </c>
      <c r="AT295" s="118" t="s">
        <v>6151</v>
      </c>
      <c r="AU295" s="118" t="s">
        <v>404</v>
      </c>
      <c r="AV295" s="118" t="s">
        <v>6151</v>
      </c>
      <c r="AW295" s="118" t="s">
        <v>740</v>
      </c>
      <c r="AX295" s="118" t="s">
        <v>393</v>
      </c>
      <c r="AY295" s="118" t="s">
        <v>393</v>
      </c>
      <c r="AZ295" s="118" t="s">
        <v>393</v>
      </c>
      <c r="BA295" s="118" t="s">
        <v>393</v>
      </c>
      <c r="BB295" s="118" t="s">
        <v>393</v>
      </c>
      <c r="BC295" s="118" t="s">
        <v>393</v>
      </c>
      <c r="BD295" s="118" t="s">
        <v>393</v>
      </c>
      <c r="BE295" s="118" t="s">
        <v>393</v>
      </c>
      <c r="BF295" s="118" t="s">
        <v>393</v>
      </c>
      <c r="BG295" s="118" t="s">
        <v>393</v>
      </c>
      <c r="BH295" s="118" t="s">
        <v>394</v>
      </c>
      <c r="BI295" s="118" t="s">
        <v>394</v>
      </c>
      <c r="BJ295" s="118" t="s">
        <v>393</v>
      </c>
      <c r="BK295" s="118" t="s">
        <v>6988</v>
      </c>
      <c r="BL295" s="118" t="s">
        <v>6415</v>
      </c>
      <c r="BM295" s="118" t="s">
        <v>6990</v>
      </c>
      <c r="BN295" s="118" t="s">
        <v>6991</v>
      </c>
      <c r="BO295" s="118" t="s">
        <v>6415</v>
      </c>
      <c r="BP295" s="118" t="s">
        <v>6415</v>
      </c>
      <c r="BQ295" s="118" t="s">
        <v>6415</v>
      </c>
      <c r="BR295" s="118" t="s">
        <v>6415</v>
      </c>
      <c r="BS295" s="118" t="s">
        <v>6415</v>
      </c>
      <c r="BT295" s="118" t="s">
        <v>7421</v>
      </c>
      <c r="BU295" s="118" t="s">
        <v>6415</v>
      </c>
      <c r="BV295" s="118" t="s">
        <v>6415</v>
      </c>
      <c r="BW295" s="118" t="s">
        <v>6415</v>
      </c>
      <c r="BX295" s="118" t="s">
        <v>6415</v>
      </c>
      <c r="BY295" s="118" t="s">
        <v>6415</v>
      </c>
      <c r="BZ295" s="118">
        <v>1518</v>
      </c>
      <c r="CA295" s="118" t="s">
        <v>6415</v>
      </c>
      <c r="CB295" s="118" t="s">
        <v>422</v>
      </c>
      <c r="CC295" s="118" t="s">
        <v>740</v>
      </c>
      <c r="CD295" s="118">
        <v>1</v>
      </c>
      <c r="CE295" s="118" t="s">
        <v>396</v>
      </c>
      <c r="CF295" s="118" t="s">
        <v>397</v>
      </c>
      <c r="CG295" s="118" t="s">
        <v>924</v>
      </c>
      <c r="CH295" s="118" t="s">
        <v>6302</v>
      </c>
      <c r="CI295" s="118" t="s">
        <v>417</v>
      </c>
      <c r="CJ295" s="118" t="s">
        <v>398</v>
      </c>
      <c r="CK295" s="118">
        <v>35</v>
      </c>
      <c r="CL295" s="118">
        <v>35</v>
      </c>
      <c r="CM295" s="118" t="s">
        <v>399</v>
      </c>
      <c r="CN295" s="118" t="s">
        <v>407</v>
      </c>
      <c r="CO295" s="118" t="s">
        <v>1096</v>
      </c>
      <c r="CP295" s="118" t="s">
        <v>450</v>
      </c>
      <c r="CQ295" s="118" t="s">
        <v>6415</v>
      </c>
      <c r="CR295" s="118" t="s">
        <v>6415</v>
      </c>
      <c r="CS295" s="118" t="s">
        <v>6415</v>
      </c>
      <c r="CT295" s="118" t="s">
        <v>6415</v>
      </c>
      <c r="CU295" s="118" t="s">
        <v>6415</v>
      </c>
      <c r="CV295" s="118" t="s">
        <v>6415</v>
      </c>
      <c r="CW295" s="118">
        <v>0</v>
      </c>
      <c r="CX295" s="118" t="s">
        <v>401</v>
      </c>
      <c r="CY295" s="118" t="s">
        <v>6151</v>
      </c>
      <c r="CZ295" s="118">
        <v>2</v>
      </c>
      <c r="DA295" s="118" t="s">
        <v>396</v>
      </c>
      <c r="DB295" s="118" t="s">
        <v>397</v>
      </c>
      <c r="DC295" s="118" t="s">
        <v>6415</v>
      </c>
      <c r="DD295" s="118" t="s">
        <v>6302</v>
      </c>
      <c r="DE295" s="118" t="s">
        <v>6303</v>
      </c>
      <c r="DF295" s="118" t="s">
        <v>398</v>
      </c>
      <c r="DG295" s="118">
        <v>0</v>
      </c>
      <c r="DH295" s="118">
        <v>35</v>
      </c>
      <c r="DI295" s="118" t="s">
        <v>429</v>
      </c>
      <c r="DJ295" s="118" t="s">
        <v>398</v>
      </c>
      <c r="DK295" s="118" t="s">
        <v>400</v>
      </c>
      <c r="DL295" s="118" t="s">
        <v>6415</v>
      </c>
      <c r="DM295" s="118" t="s">
        <v>6415</v>
      </c>
      <c r="DN295" s="118" t="s">
        <v>6415</v>
      </c>
      <c r="DO295" s="118" t="s">
        <v>6415</v>
      </c>
      <c r="DP295" s="118" t="s">
        <v>6415</v>
      </c>
      <c r="DQ295" s="118" t="s">
        <v>6415</v>
      </c>
      <c r="DR295" s="118">
        <v>0</v>
      </c>
      <c r="DS295" s="118" t="s">
        <v>6415</v>
      </c>
      <c r="DT295" s="118" t="s">
        <v>6415</v>
      </c>
      <c r="DU295" s="118" t="s">
        <v>6415</v>
      </c>
      <c r="DV295" s="118" t="s">
        <v>6415</v>
      </c>
      <c r="DW295" s="118" t="s">
        <v>6415</v>
      </c>
      <c r="DX295" s="118" t="s">
        <v>6415</v>
      </c>
      <c r="DY295" s="118" t="s">
        <v>6415</v>
      </c>
      <c r="DZ295" s="118" t="s">
        <v>6415</v>
      </c>
      <c r="EA295" s="118" t="s">
        <v>6415</v>
      </c>
      <c r="EB295" s="118" t="s">
        <v>6415</v>
      </c>
      <c r="EC295" s="118" t="s">
        <v>6415</v>
      </c>
      <c r="ED295" s="118" t="s">
        <v>6415</v>
      </c>
      <c r="EE295" s="118" t="s">
        <v>6415</v>
      </c>
      <c r="EF295" s="118" t="s">
        <v>6415</v>
      </c>
      <c r="EG295" s="118" t="s">
        <v>7164</v>
      </c>
      <c r="EH295" s="118" t="s">
        <v>7165</v>
      </c>
      <c r="EI295" s="118" t="s">
        <v>6415</v>
      </c>
      <c r="EJ295" s="118" t="s">
        <v>6415</v>
      </c>
      <c r="EK295" s="118">
        <v>145188</v>
      </c>
      <c r="EL295" s="118" t="s">
        <v>7467</v>
      </c>
      <c r="EM295" s="118" t="s">
        <v>7420</v>
      </c>
      <c r="EN295" s="118" t="s">
        <v>6415</v>
      </c>
      <c r="EO295" s="6" t="str">
        <f t="shared" si="26"/>
        <v>Pathweb</v>
      </c>
      <c r="EP295" s="6" t="str">
        <f t="shared" si="27"/>
        <v>Google Maps</v>
      </c>
      <c r="EQ295" s="6" t="str">
        <f t="shared" si="28"/>
        <v>Mashed Map</v>
      </c>
      <c r="ER295" s="118" t="s">
        <v>6726</v>
      </c>
      <c r="ES295" s="118" t="s">
        <v>71</v>
      </c>
      <c r="ET295" s="4">
        <v>0</v>
      </c>
      <c r="EU295" s="4"/>
      <c r="EV295" s="4"/>
    </row>
    <row r="296" spans="1:152" x14ac:dyDescent="0.15">
      <c r="A296" s="581" t="str">
        <f t="shared" si="25"/>
        <v>Crash Report</v>
      </c>
      <c r="B296" s="118">
        <v>20253024819</v>
      </c>
      <c r="C296" s="118">
        <v>2025</v>
      </c>
      <c r="D296" s="118">
        <v>25021022000500</v>
      </c>
      <c r="F296" s="118" t="s">
        <v>6442</v>
      </c>
      <c r="G296" s="118" t="s">
        <v>210</v>
      </c>
      <c r="H296" s="118">
        <v>2</v>
      </c>
      <c r="I296" s="118" t="s">
        <v>6055</v>
      </c>
      <c r="J296" s="118" t="s">
        <v>391</v>
      </c>
      <c r="K296" s="118" t="s">
        <v>6985</v>
      </c>
      <c r="L296" s="118">
        <v>0.746</v>
      </c>
      <c r="M296" s="118">
        <v>0.746</v>
      </c>
      <c r="N296" s="118" t="s">
        <v>7465</v>
      </c>
      <c r="O296" s="118">
        <v>1512</v>
      </c>
      <c r="P296" s="118">
        <v>41.653973000000001</v>
      </c>
      <c r="Q296" s="118">
        <v>-83.514549000000002</v>
      </c>
      <c r="R296" s="118">
        <v>77000</v>
      </c>
      <c r="S296" s="118" t="s">
        <v>6988</v>
      </c>
      <c r="T296" s="118">
        <v>1</v>
      </c>
      <c r="U296" s="118">
        <v>0</v>
      </c>
      <c r="V296" s="118">
        <v>0</v>
      </c>
      <c r="W296" s="118">
        <v>0</v>
      </c>
      <c r="X296" s="118">
        <v>0</v>
      </c>
      <c r="Y296" s="118">
        <v>1</v>
      </c>
      <c r="Z296" s="118">
        <v>0</v>
      </c>
      <c r="AA296" s="118">
        <v>2</v>
      </c>
      <c r="AB296" s="118" t="s">
        <v>1067</v>
      </c>
      <c r="AC296" s="118" t="s">
        <v>6989</v>
      </c>
      <c r="AD296" s="118" t="s">
        <v>1034</v>
      </c>
      <c r="AE296" s="118" t="s">
        <v>943</v>
      </c>
      <c r="AF296" s="118" t="s">
        <v>1041</v>
      </c>
      <c r="AG296" s="118" t="s">
        <v>6415</v>
      </c>
      <c r="AH296" s="118" t="s">
        <v>393</v>
      </c>
      <c r="AI296" s="118">
        <v>4</v>
      </c>
      <c r="AJ296" s="118" t="s">
        <v>6415</v>
      </c>
      <c r="AK296" s="118" t="s">
        <v>393</v>
      </c>
      <c r="AL296" s="118" t="s">
        <v>393</v>
      </c>
      <c r="AM296" s="118" t="s">
        <v>393</v>
      </c>
      <c r="AN296" s="402" t="s">
        <v>5975</v>
      </c>
      <c r="AO296" s="402">
        <v>45698</v>
      </c>
      <c r="AP296" s="118">
        <v>2</v>
      </c>
      <c r="AQ296" s="118">
        <v>5</v>
      </c>
      <c r="AR296" s="118" t="s">
        <v>6444</v>
      </c>
      <c r="AS296" s="118" t="s">
        <v>1030</v>
      </c>
      <c r="AT296" s="118" t="s">
        <v>6151</v>
      </c>
      <c r="AU296" s="118" t="s">
        <v>505</v>
      </c>
      <c r="AV296" s="118" t="s">
        <v>508</v>
      </c>
      <c r="AW296" s="118" t="s">
        <v>740</v>
      </c>
      <c r="AX296" s="118" t="s">
        <v>393</v>
      </c>
      <c r="AY296" s="118" t="s">
        <v>393</v>
      </c>
      <c r="AZ296" s="118" t="s">
        <v>393</v>
      </c>
      <c r="BA296" s="118" t="s">
        <v>393</v>
      </c>
      <c r="BB296" s="118" t="s">
        <v>393</v>
      </c>
      <c r="BC296" s="118" t="s">
        <v>393</v>
      </c>
      <c r="BD296" s="118" t="s">
        <v>393</v>
      </c>
      <c r="BE296" s="118" t="s">
        <v>393</v>
      </c>
      <c r="BF296" s="118" t="s">
        <v>393</v>
      </c>
      <c r="BG296" s="118" t="s">
        <v>393</v>
      </c>
      <c r="BH296" s="118" t="s">
        <v>394</v>
      </c>
      <c r="BI296" s="118" t="s">
        <v>394</v>
      </c>
      <c r="BJ296" s="118" t="s">
        <v>393</v>
      </c>
      <c r="BK296" s="118" t="s">
        <v>6988</v>
      </c>
      <c r="BL296" s="118" t="s">
        <v>6415</v>
      </c>
      <c r="BM296" s="118" t="s">
        <v>6990</v>
      </c>
      <c r="BN296" s="118" t="s">
        <v>6991</v>
      </c>
      <c r="BO296" s="118" t="s">
        <v>6415</v>
      </c>
      <c r="BP296" s="118" t="s">
        <v>6415</v>
      </c>
      <c r="BQ296" s="118" t="s">
        <v>6415</v>
      </c>
      <c r="BR296" s="118" t="s">
        <v>6415</v>
      </c>
      <c r="BS296" s="118" t="s">
        <v>6415</v>
      </c>
      <c r="BT296" s="118" t="s">
        <v>7166</v>
      </c>
      <c r="BU296" s="118" t="s">
        <v>6415</v>
      </c>
      <c r="BV296" s="118" t="s">
        <v>6415</v>
      </c>
      <c r="BW296" s="118" t="s">
        <v>6415</v>
      </c>
      <c r="BX296" s="118" t="s">
        <v>6415</v>
      </c>
      <c r="BY296" s="118" t="s">
        <v>6415</v>
      </c>
      <c r="BZ296" s="118">
        <v>1512</v>
      </c>
      <c r="CA296" s="118" t="s">
        <v>6415</v>
      </c>
      <c r="CB296" s="118" t="s">
        <v>422</v>
      </c>
      <c r="CC296" s="118" t="s">
        <v>740</v>
      </c>
      <c r="CD296" s="118">
        <v>2</v>
      </c>
      <c r="CE296" s="118" t="s">
        <v>401</v>
      </c>
      <c r="CF296" s="118" t="s">
        <v>401</v>
      </c>
      <c r="CG296" s="118" t="s">
        <v>924</v>
      </c>
      <c r="CH296" s="118" t="s">
        <v>6302</v>
      </c>
      <c r="CI296" s="118" t="s">
        <v>6323</v>
      </c>
      <c r="CJ296" s="118" t="s">
        <v>6151</v>
      </c>
      <c r="CK296" s="118">
        <v>0</v>
      </c>
      <c r="CL296" s="118">
        <v>45</v>
      </c>
      <c r="CM296" s="118" t="s">
        <v>6151</v>
      </c>
      <c r="CN296" s="118" t="s">
        <v>407</v>
      </c>
      <c r="CO296" s="118" t="s">
        <v>1096</v>
      </c>
      <c r="CP296" s="118" t="s">
        <v>450</v>
      </c>
      <c r="CQ296" s="118" t="s">
        <v>6415</v>
      </c>
      <c r="CR296" s="118" t="s">
        <v>6415</v>
      </c>
      <c r="CS296" s="118" t="s">
        <v>6415</v>
      </c>
      <c r="CT296" s="118" t="s">
        <v>6415</v>
      </c>
      <c r="CU296" s="118" t="s">
        <v>6415</v>
      </c>
      <c r="CV296" s="118" t="s">
        <v>6415</v>
      </c>
      <c r="CW296" s="118">
        <v>0</v>
      </c>
      <c r="CX296" s="118" t="s">
        <v>401</v>
      </c>
      <c r="CY296" s="118" t="s">
        <v>6151</v>
      </c>
      <c r="CZ296" s="118">
        <v>1</v>
      </c>
      <c r="DA296" s="118" t="s">
        <v>405</v>
      </c>
      <c r="DB296" s="118" t="s">
        <v>406</v>
      </c>
      <c r="DC296" s="118" t="s">
        <v>6415</v>
      </c>
      <c r="DD296" s="118" t="s">
        <v>6302</v>
      </c>
      <c r="DE296" s="118" t="s">
        <v>6303</v>
      </c>
      <c r="DF296" s="118" t="s">
        <v>398</v>
      </c>
      <c r="DG296" s="118">
        <v>0</v>
      </c>
      <c r="DH296" s="118">
        <v>45</v>
      </c>
      <c r="DI296" s="118" t="s">
        <v>429</v>
      </c>
      <c r="DJ296" s="118" t="s">
        <v>398</v>
      </c>
      <c r="DK296" s="118" t="s">
        <v>400</v>
      </c>
      <c r="DL296" s="118" t="s">
        <v>6415</v>
      </c>
      <c r="DM296" s="118" t="s">
        <v>6415</v>
      </c>
      <c r="DN296" s="118" t="s">
        <v>6415</v>
      </c>
      <c r="DO296" s="118" t="s">
        <v>6415</v>
      </c>
      <c r="DP296" s="118" t="s">
        <v>6415</v>
      </c>
      <c r="DQ296" s="118" t="s">
        <v>6415</v>
      </c>
      <c r="DR296" s="118">
        <v>0</v>
      </c>
      <c r="DS296" s="118" t="s">
        <v>6415</v>
      </c>
      <c r="DT296" s="118" t="s">
        <v>6415</v>
      </c>
      <c r="DU296" s="118" t="s">
        <v>6415</v>
      </c>
      <c r="DV296" s="118" t="s">
        <v>6415</v>
      </c>
      <c r="DW296" s="118" t="s">
        <v>6415</v>
      </c>
      <c r="DX296" s="118" t="s">
        <v>6415</v>
      </c>
      <c r="DY296" s="118" t="s">
        <v>6415</v>
      </c>
      <c r="DZ296" s="118" t="s">
        <v>6415</v>
      </c>
      <c r="EA296" s="118" t="s">
        <v>6415</v>
      </c>
      <c r="EB296" s="118" t="s">
        <v>6415</v>
      </c>
      <c r="EC296" s="118" t="s">
        <v>6415</v>
      </c>
      <c r="ED296" s="118" t="s">
        <v>6415</v>
      </c>
      <c r="EE296" s="118" t="s">
        <v>6415</v>
      </c>
      <c r="EF296" s="118" t="s">
        <v>6415</v>
      </c>
      <c r="EG296" s="118" t="s">
        <v>7164</v>
      </c>
      <c r="EH296" s="118" t="s">
        <v>7165</v>
      </c>
      <c r="EI296" s="118" t="s">
        <v>6415</v>
      </c>
      <c r="EJ296" s="118" t="s">
        <v>6415</v>
      </c>
      <c r="EK296" s="118">
        <v>145188</v>
      </c>
      <c r="EL296" s="118" t="s">
        <v>7467</v>
      </c>
      <c r="EM296" s="118" t="s">
        <v>7422</v>
      </c>
      <c r="EN296" s="118" t="s">
        <v>6415</v>
      </c>
      <c r="EO296" s="6" t="str">
        <f t="shared" si="26"/>
        <v>Pathweb</v>
      </c>
      <c r="EP296" s="6" t="str">
        <f t="shared" si="27"/>
        <v>Google Maps</v>
      </c>
      <c r="EQ296" s="6" t="str">
        <f t="shared" si="28"/>
        <v>Mashed Map</v>
      </c>
      <c r="ER296" s="118" t="s">
        <v>6726</v>
      </c>
      <c r="ES296" s="118" t="s">
        <v>71</v>
      </c>
      <c r="ET296" s="4">
        <v>0</v>
      </c>
      <c r="EU296" s="4"/>
      <c r="EV296" s="4"/>
    </row>
    <row r="297" spans="1:152" x14ac:dyDescent="0.15">
      <c r="A297" s="581" t="str">
        <f t="shared" si="25"/>
        <v>Crash Report</v>
      </c>
      <c r="B297" s="118">
        <v>20253027883</v>
      </c>
      <c r="C297" s="118">
        <v>2025</v>
      </c>
      <c r="D297" s="118">
        <v>25021224951530</v>
      </c>
      <c r="F297" s="118" t="s">
        <v>6442</v>
      </c>
      <c r="G297" s="118" t="s">
        <v>211</v>
      </c>
      <c r="H297" s="118">
        <v>2</v>
      </c>
      <c r="I297" s="118" t="s">
        <v>6055</v>
      </c>
      <c r="J297" s="118" t="s">
        <v>434</v>
      </c>
      <c r="K297" s="118" t="s">
        <v>6997</v>
      </c>
      <c r="L297" s="118">
        <v>6.3E-2</v>
      </c>
      <c r="M297" s="118">
        <v>6.3E-2</v>
      </c>
      <c r="N297" s="118" t="s">
        <v>7469</v>
      </c>
      <c r="O297" s="118" t="s">
        <v>7466</v>
      </c>
      <c r="P297" s="118">
        <v>41.640743999999998</v>
      </c>
      <c r="Q297" s="118">
        <v>-83.518189000000007</v>
      </c>
      <c r="R297" s="118">
        <v>77000</v>
      </c>
      <c r="S297" s="118" t="s">
        <v>6988</v>
      </c>
      <c r="T297" s="118">
        <v>1</v>
      </c>
      <c r="U297" s="118">
        <v>0</v>
      </c>
      <c r="V297" s="118">
        <v>0</v>
      </c>
      <c r="W297" s="118">
        <v>0</v>
      </c>
      <c r="X297" s="118">
        <v>0</v>
      </c>
      <c r="Y297" s="118">
        <v>2</v>
      </c>
      <c r="Z297" s="118">
        <v>0</v>
      </c>
      <c r="AA297" s="118">
        <v>2</v>
      </c>
      <c r="AB297" s="118" t="s">
        <v>1067</v>
      </c>
      <c r="AC297" s="118" t="s">
        <v>6989</v>
      </c>
      <c r="AD297" s="118" t="s">
        <v>1034</v>
      </c>
      <c r="AE297" s="118" t="s">
        <v>943</v>
      </c>
      <c r="AF297" s="118" t="s">
        <v>1045</v>
      </c>
      <c r="AG297" s="118" t="s">
        <v>6415</v>
      </c>
      <c r="AH297" s="118" t="s">
        <v>393</v>
      </c>
      <c r="AI297" s="118">
        <v>4</v>
      </c>
      <c r="AJ297" s="118" t="s">
        <v>6415</v>
      </c>
      <c r="AK297" s="118" t="s">
        <v>393</v>
      </c>
      <c r="AL297" s="118" t="s">
        <v>393</v>
      </c>
      <c r="AM297" s="118" t="s">
        <v>393</v>
      </c>
      <c r="AN297" s="402" t="s">
        <v>5975</v>
      </c>
      <c r="AO297" s="402">
        <v>45700</v>
      </c>
      <c r="AP297" s="118">
        <v>2</v>
      </c>
      <c r="AQ297" s="118">
        <v>15</v>
      </c>
      <c r="AR297" s="118" t="s">
        <v>6446</v>
      </c>
      <c r="AS297" s="118" t="s">
        <v>431</v>
      </c>
      <c r="AT297" s="118" t="s">
        <v>501</v>
      </c>
      <c r="AU297" s="118" t="s">
        <v>404</v>
      </c>
      <c r="AV297" s="118" t="s">
        <v>508</v>
      </c>
      <c r="AW297" s="118" t="s">
        <v>393</v>
      </c>
      <c r="AX297" s="118" t="s">
        <v>740</v>
      </c>
      <c r="AY297" s="118" t="s">
        <v>393</v>
      </c>
      <c r="AZ297" s="118" t="s">
        <v>393</v>
      </c>
      <c r="BA297" s="118" t="s">
        <v>393</v>
      </c>
      <c r="BB297" s="118" t="s">
        <v>393</v>
      </c>
      <c r="BC297" s="118" t="s">
        <v>393</v>
      </c>
      <c r="BD297" s="118" t="s">
        <v>393</v>
      </c>
      <c r="BE297" s="118" t="s">
        <v>393</v>
      </c>
      <c r="BF297" s="118" t="s">
        <v>393</v>
      </c>
      <c r="BG297" s="118" t="s">
        <v>393</v>
      </c>
      <c r="BH297" s="118" t="s">
        <v>394</v>
      </c>
      <c r="BI297" s="118" t="s">
        <v>394</v>
      </c>
      <c r="BJ297" s="118" t="s">
        <v>393</v>
      </c>
      <c r="BK297" s="118" t="s">
        <v>6988</v>
      </c>
      <c r="BL297" s="118" t="s">
        <v>6415</v>
      </c>
      <c r="BM297" s="118" t="s">
        <v>7251</v>
      </c>
      <c r="BN297" s="118" t="s">
        <v>6991</v>
      </c>
      <c r="BO297" s="118" t="s">
        <v>6415</v>
      </c>
      <c r="BP297" s="118" t="s">
        <v>6415</v>
      </c>
      <c r="BQ297" s="118" t="s">
        <v>6415</v>
      </c>
      <c r="BR297" s="118" t="s">
        <v>6415</v>
      </c>
      <c r="BS297" s="118" t="s">
        <v>6415</v>
      </c>
      <c r="BT297" s="118" t="s">
        <v>6992</v>
      </c>
      <c r="BU297" s="118" t="s">
        <v>6991</v>
      </c>
      <c r="BV297" s="118" t="s">
        <v>6415</v>
      </c>
      <c r="BW297" s="118" t="s">
        <v>6415</v>
      </c>
      <c r="BX297" s="118" t="s">
        <v>6415</v>
      </c>
      <c r="BY297" s="118" t="s">
        <v>6415</v>
      </c>
      <c r="BZ297" s="118" t="s">
        <v>6415</v>
      </c>
      <c r="CA297" s="118" t="s">
        <v>6415</v>
      </c>
      <c r="CB297" s="118" t="s">
        <v>221</v>
      </c>
      <c r="CC297" s="118" t="s">
        <v>740</v>
      </c>
      <c r="CD297" s="118">
        <v>1</v>
      </c>
      <c r="CE297" s="118" t="s">
        <v>406</v>
      </c>
      <c r="CF297" s="118" t="s">
        <v>405</v>
      </c>
      <c r="CG297" s="118" t="s">
        <v>924</v>
      </c>
      <c r="CH297" s="118" t="s">
        <v>433</v>
      </c>
      <c r="CI297" s="118" t="s">
        <v>417</v>
      </c>
      <c r="CJ297" s="118" t="s">
        <v>398</v>
      </c>
      <c r="CK297" s="118">
        <v>0</v>
      </c>
      <c r="CL297" s="118">
        <v>25</v>
      </c>
      <c r="CM297" s="118" t="s">
        <v>6355</v>
      </c>
      <c r="CN297" s="118" t="s">
        <v>407</v>
      </c>
      <c r="CO297" s="118" t="s">
        <v>1096</v>
      </c>
      <c r="CP297" s="118" t="s">
        <v>400</v>
      </c>
      <c r="CQ297" s="118" t="s">
        <v>6415</v>
      </c>
      <c r="CR297" s="118" t="s">
        <v>6415</v>
      </c>
      <c r="CS297" s="118" t="s">
        <v>6415</v>
      </c>
      <c r="CT297" s="118" t="s">
        <v>6415</v>
      </c>
      <c r="CU297" s="118" t="s">
        <v>6415</v>
      </c>
      <c r="CV297" s="118" t="s">
        <v>6415</v>
      </c>
      <c r="CW297" s="118">
        <v>36</v>
      </c>
      <c r="CX297" s="118" t="s">
        <v>1068</v>
      </c>
      <c r="CY297" s="118" t="s">
        <v>6341</v>
      </c>
      <c r="CZ297" s="118">
        <v>2</v>
      </c>
      <c r="DA297" s="118" t="s">
        <v>410</v>
      </c>
      <c r="DB297" s="118" t="s">
        <v>411</v>
      </c>
      <c r="DC297" s="118" t="s">
        <v>6415</v>
      </c>
      <c r="DD297" s="118" t="s">
        <v>6302</v>
      </c>
      <c r="DE297" s="118" t="s">
        <v>417</v>
      </c>
      <c r="DF297" s="118" t="s">
        <v>398</v>
      </c>
      <c r="DG297" s="118" t="s">
        <v>6415</v>
      </c>
      <c r="DH297" s="118">
        <v>35</v>
      </c>
      <c r="DI297" s="118" t="s">
        <v>399</v>
      </c>
      <c r="DJ297" s="118" t="s">
        <v>398</v>
      </c>
      <c r="DK297" s="118" t="s">
        <v>400</v>
      </c>
      <c r="DL297" s="118" t="s">
        <v>6415</v>
      </c>
      <c r="DM297" s="118" t="s">
        <v>6415</v>
      </c>
      <c r="DN297" s="118" t="s">
        <v>6415</v>
      </c>
      <c r="DO297" s="118" t="s">
        <v>6415</v>
      </c>
      <c r="DP297" s="118" t="s">
        <v>6415</v>
      </c>
      <c r="DQ297" s="118" t="s">
        <v>6415</v>
      </c>
      <c r="DR297" s="118">
        <v>40</v>
      </c>
      <c r="DS297" s="118" t="s">
        <v>1068</v>
      </c>
      <c r="DT297" s="118" t="s">
        <v>6341</v>
      </c>
      <c r="DU297" s="118" t="s">
        <v>6415</v>
      </c>
      <c r="DV297" s="118" t="s">
        <v>6415</v>
      </c>
      <c r="DW297" s="118" t="s">
        <v>6415</v>
      </c>
      <c r="DX297" s="118" t="s">
        <v>6415</v>
      </c>
      <c r="DY297" s="118" t="s">
        <v>6415</v>
      </c>
      <c r="DZ297" s="118" t="s">
        <v>6415</v>
      </c>
      <c r="EA297" s="118" t="s">
        <v>6415</v>
      </c>
      <c r="EB297" s="118" t="s">
        <v>6415</v>
      </c>
      <c r="EC297" s="118" t="s">
        <v>6415</v>
      </c>
      <c r="ED297" s="118" t="s">
        <v>6415</v>
      </c>
      <c r="EE297" s="118" t="s">
        <v>6415</v>
      </c>
      <c r="EF297" s="118" t="s">
        <v>6415</v>
      </c>
      <c r="EG297" s="118" t="s">
        <v>7249</v>
      </c>
      <c r="EH297" s="118" t="s">
        <v>7424</v>
      </c>
      <c r="EI297" s="118" t="s">
        <v>6415</v>
      </c>
      <c r="EJ297" s="118" t="s">
        <v>6415</v>
      </c>
      <c r="EK297" s="118">
        <v>114956</v>
      </c>
      <c r="EL297" s="118" t="s">
        <v>7467</v>
      </c>
      <c r="EM297" s="118" t="s">
        <v>7423</v>
      </c>
      <c r="EN297" s="118" t="s">
        <v>6415</v>
      </c>
      <c r="EO297" s="6" t="str">
        <f t="shared" si="26"/>
        <v>Pathweb</v>
      </c>
      <c r="EP297" s="6" t="str">
        <f t="shared" si="27"/>
        <v>Google Maps</v>
      </c>
      <c r="EQ297" s="6" t="str">
        <f t="shared" si="28"/>
        <v>Mashed Map</v>
      </c>
      <c r="ER297" s="118" t="s">
        <v>6727</v>
      </c>
      <c r="ES297" s="118" t="s">
        <v>71</v>
      </c>
      <c r="ET297" s="4">
        <v>2E-3</v>
      </c>
      <c r="EU297" s="4"/>
      <c r="EV297" s="4"/>
    </row>
    <row r="298" spans="1:152" x14ac:dyDescent="0.15">
      <c r="A298" s="581" t="str">
        <f t="shared" si="25"/>
        <v>Crash Report</v>
      </c>
      <c r="B298" s="118">
        <v>20253029333</v>
      </c>
      <c r="C298" s="118">
        <v>2025</v>
      </c>
      <c r="D298" s="118">
        <v>25021530191828</v>
      </c>
      <c r="F298" s="118" t="s">
        <v>6442</v>
      </c>
      <c r="G298" s="118" t="s">
        <v>438</v>
      </c>
      <c r="H298" s="118">
        <v>2</v>
      </c>
      <c r="I298" s="118" t="s">
        <v>6055</v>
      </c>
      <c r="J298" s="118" t="s">
        <v>423</v>
      </c>
      <c r="K298" s="118" t="s">
        <v>6997</v>
      </c>
      <c r="L298" s="118">
        <v>0.71299999999999997</v>
      </c>
      <c r="M298" s="118">
        <v>0.71299999999999997</v>
      </c>
      <c r="N298" s="118" t="s">
        <v>7469</v>
      </c>
      <c r="O298" s="118" t="s">
        <v>7466</v>
      </c>
      <c r="P298" s="118">
        <v>41.648519</v>
      </c>
      <c r="Q298" s="118">
        <v>-83.523447000000004</v>
      </c>
      <c r="R298" s="118">
        <v>77000</v>
      </c>
      <c r="S298" s="118" t="s">
        <v>6988</v>
      </c>
      <c r="T298" s="118">
        <v>1</v>
      </c>
      <c r="U298" s="118">
        <v>0</v>
      </c>
      <c r="V298" s="118">
        <v>0</v>
      </c>
      <c r="W298" s="118">
        <v>0</v>
      </c>
      <c r="X298" s="118">
        <v>0</v>
      </c>
      <c r="Y298" s="118">
        <v>3</v>
      </c>
      <c r="Z298" s="118">
        <v>0</v>
      </c>
      <c r="AA298" s="118">
        <v>2</v>
      </c>
      <c r="AB298" s="118" t="s">
        <v>1067</v>
      </c>
      <c r="AC298" s="118" t="s">
        <v>6989</v>
      </c>
      <c r="AD298" s="118" t="s">
        <v>1034</v>
      </c>
      <c r="AE298" s="118" t="s">
        <v>943</v>
      </c>
      <c r="AF298" s="118" t="s">
        <v>1042</v>
      </c>
      <c r="AG298" s="118" t="s">
        <v>6415</v>
      </c>
      <c r="AH298" s="118" t="s">
        <v>393</v>
      </c>
      <c r="AI298" s="118">
        <v>2</v>
      </c>
      <c r="AJ298" s="118" t="s">
        <v>6415</v>
      </c>
      <c r="AK298" s="118" t="s">
        <v>393</v>
      </c>
      <c r="AL298" s="118" t="s">
        <v>393</v>
      </c>
      <c r="AM298" s="118" t="s">
        <v>393</v>
      </c>
      <c r="AN298" s="402" t="s">
        <v>5975</v>
      </c>
      <c r="AO298" s="402">
        <v>45703</v>
      </c>
      <c r="AP298" s="118">
        <v>2</v>
      </c>
      <c r="AQ298" s="118">
        <v>18</v>
      </c>
      <c r="AR298" s="118" t="s">
        <v>6449</v>
      </c>
      <c r="AS298" s="118" t="s">
        <v>392</v>
      </c>
      <c r="AT298" s="118" t="s">
        <v>500</v>
      </c>
      <c r="AU298" s="118" t="s">
        <v>505</v>
      </c>
      <c r="AV298" s="118" t="s">
        <v>508</v>
      </c>
      <c r="AW298" s="118" t="s">
        <v>393</v>
      </c>
      <c r="AX298" s="118" t="s">
        <v>740</v>
      </c>
      <c r="AY298" s="118" t="s">
        <v>393</v>
      </c>
      <c r="AZ298" s="118" t="s">
        <v>393</v>
      </c>
      <c r="BA298" s="118" t="s">
        <v>393</v>
      </c>
      <c r="BB298" s="118" t="s">
        <v>393</v>
      </c>
      <c r="BC298" s="118" t="s">
        <v>393</v>
      </c>
      <c r="BD298" s="118" t="s">
        <v>393</v>
      </c>
      <c r="BE298" s="118" t="s">
        <v>393</v>
      </c>
      <c r="BF298" s="118" t="s">
        <v>740</v>
      </c>
      <c r="BG298" s="118" t="s">
        <v>393</v>
      </c>
      <c r="BH298" s="118" t="s">
        <v>394</v>
      </c>
      <c r="BI298" s="118" t="s">
        <v>394</v>
      </c>
      <c r="BJ298" s="118" t="s">
        <v>393</v>
      </c>
      <c r="BK298" s="118" t="s">
        <v>6988</v>
      </c>
      <c r="BL298" s="118" t="s">
        <v>6415</v>
      </c>
      <c r="BM298" s="118" t="s">
        <v>6990</v>
      </c>
      <c r="BN298" s="118" t="s">
        <v>6991</v>
      </c>
      <c r="BO298" s="118" t="s">
        <v>6415</v>
      </c>
      <c r="BP298" s="118" t="s">
        <v>6415</v>
      </c>
      <c r="BQ298" s="118" t="s">
        <v>6415</v>
      </c>
      <c r="BR298" s="118" t="s">
        <v>6415</v>
      </c>
      <c r="BS298" s="118" t="s">
        <v>6415</v>
      </c>
      <c r="BT298" s="118" t="s">
        <v>6992</v>
      </c>
      <c r="BU298" s="118" t="s">
        <v>6991</v>
      </c>
      <c r="BV298" s="118" t="s">
        <v>6415</v>
      </c>
      <c r="BW298" s="118" t="s">
        <v>6415</v>
      </c>
      <c r="BX298" s="118" t="s">
        <v>6415</v>
      </c>
      <c r="BY298" s="118" t="s">
        <v>6415</v>
      </c>
      <c r="BZ298" s="118" t="s">
        <v>6415</v>
      </c>
      <c r="CA298" s="118" t="s">
        <v>6415</v>
      </c>
      <c r="CB298" s="118" t="s">
        <v>221</v>
      </c>
      <c r="CC298" s="118" t="s">
        <v>393</v>
      </c>
      <c r="CD298" s="118">
        <v>1</v>
      </c>
      <c r="CE298" s="118" t="s">
        <v>405</v>
      </c>
      <c r="CF298" s="118" t="s">
        <v>406</v>
      </c>
      <c r="CG298" s="118" t="s">
        <v>924</v>
      </c>
      <c r="CH298" s="118" t="s">
        <v>6300</v>
      </c>
      <c r="CI298" s="118" t="s">
        <v>6303</v>
      </c>
      <c r="CJ298" s="118" t="s">
        <v>398</v>
      </c>
      <c r="CK298" s="118">
        <v>0</v>
      </c>
      <c r="CL298" s="118">
        <v>35</v>
      </c>
      <c r="CM298" s="118" t="s">
        <v>399</v>
      </c>
      <c r="CN298" s="118" t="s">
        <v>6338</v>
      </c>
      <c r="CO298" s="118" t="s">
        <v>1096</v>
      </c>
      <c r="CP298" s="118" t="s">
        <v>400</v>
      </c>
      <c r="CQ298" s="118" t="s">
        <v>6415</v>
      </c>
      <c r="CR298" s="118" t="s">
        <v>6415</v>
      </c>
      <c r="CS298" s="118" t="s">
        <v>6415</v>
      </c>
      <c r="CT298" s="118" t="s">
        <v>6415</v>
      </c>
      <c r="CU298" s="118" t="s">
        <v>6415</v>
      </c>
      <c r="CV298" s="118" t="s">
        <v>6415</v>
      </c>
      <c r="CW298" s="118">
        <v>55</v>
      </c>
      <c r="CX298" s="118" t="s">
        <v>1068</v>
      </c>
      <c r="CY298" s="118" t="s">
        <v>6341</v>
      </c>
      <c r="CZ298" s="118">
        <v>2</v>
      </c>
      <c r="DA298" s="118" t="s">
        <v>406</v>
      </c>
      <c r="DB298" s="118" t="s">
        <v>405</v>
      </c>
      <c r="DC298" s="118" t="s">
        <v>6415</v>
      </c>
      <c r="DD298" s="118" t="s">
        <v>6302</v>
      </c>
      <c r="DE298" s="118" t="s">
        <v>6303</v>
      </c>
      <c r="DF298" s="118" t="s">
        <v>398</v>
      </c>
      <c r="DG298" s="118" t="s">
        <v>6415</v>
      </c>
      <c r="DH298" s="118">
        <v>35</v>
      </c>
      <c r="DI298" s="118" t="s">
        <v>399</v>
      </c>
      <c r="DJ298" s="118" t="s">
        <v>6338</v>
      </c>
      <c r="DK298" s="118" t="s">
        <v>400</v>
      </c>
      <c r="DL298" s="118" t="s">
        <v>6415</v>
      </c>
      <c r="DM298" s="118" t="s">
        <v>6415</v>
      </c>
      <c r="DN298" s="118" t="s">
        <v>6415</v>
      </c>
      <c r="DO298" s="118" t="s">
        <v>6415</v>
      </c>
      <c r="DP298" s="118" t="s">
        <v>6415</v>
      </c>
      <c r="DQ298" s="118" t="s">
        <v>6415</v>
      </c>
      <c r="DR298" s="118">
        <v>18</v>
      </c>
      <c r="DS298" s="118" t="s">
        <v>1068</v>
      </c>
      <c r="DT298" s="118" t="s">
        <v>6341</v>
      </c>
      <c r="DU298" s="118" t="s">
        <v>6415</v>
      </c>
      <c r="DV298" s="118" t="s">
        <v>6415</v>
      </c>
      <c r="DW298" s="118" t="s">
        <v>6415</v>
      </c>
      <c r="DX298" s="118" t="s">
        <v>6415</v>
      </c>
      <c r="DY298" s="118" t="s">
        <v>6415</v>
      </c>
      <c r="DZ298" s="118" t="s">
        <v>6415</v>
      </c>
      <c r="EA298" s="118" t="s">
        <v>6415</v>
      </c>
      <c r="EB298" s="118" t="s">
        <v>6415</v>
      </c>
      <c r="EC298" s="118" t="s">
        <v>6415</v>
      </c>
      <c r="ED298" s="118" t="s">
        <v>6415</v>
      </c>
      <c r="EE298" s="118" t="s">
        <v>6415</v>
      </c>
      <c r="EF298" s="118" t="s">
        <v>6415</v>
      </c>
      <c r="EG298" s="118" t="s">
        <v>6986</v>
      </c>
      <c r="EH298" s="118" t="s">
        <v>7168</v>
      </c>
      <c r="EI298" s="118" t="s">
        <v>6415</v>
      </c>
      <c r="EJ298" s="118" t="s">
        <v>6415</v>
      </c>
      <c r="EK298" s="118">
        <v>145048</v>
      </c>
      <c r="EL298" s="118" t="s">
        <v>7467</v>
      </c>
      <c r="EM298" s="118" t="s">
        <v>7425</v>
      </c>
      <c r="EN298" s="118" t="s">
        <v>6415</v>
      </c>
      <c r="EO298" s="6" t="str">
        <f t="shared" si="26"/>
        <v>Pathweb</v>
      </c>
      <c r="EP298" s="6" t="str">
        <f t="shared" si="27"/>
        <v>Google Maps</v>
      </c>
      <c r="EQ298" s="6" t="str">
        <f t="shared" si="28"/>
        <v>Mashed Map</v>
      </c>
      <c r="ER298" s="118" t="s">
        <v>6727</v>
      </c>
      <c r="ES298" s="118" t="s">
        <v>71</v>
      </c>
      <c r="ET298" s="4">
        <v>1E-3</v>
      </c>
      <c r="EU298" s="4"/>
      <c r="EV298" s="4"/>
    </row>
    <row r="299" spans="1:152" x14ac:dyDescent="0.15">
      <c r="A299" s="581" t="str">
        <f t="shared" si="25"/>
        <v>Crash Report</v>
      </c>
      <c r="B299" s="118">
        <v>20253031746</v>
      </c>
      <c r="C299" s="118">
        <v>2025</v>
      </c>
      <c r="D299" s="118">
        <v>25021828281945</v>
      </c>
      <c r="F299" s="118" t="s">
        <v>6442</v>
      </c>
      <c r="G299" s="118" t="s">
        <v>230</v>
      </c>
      <c r="H299" s="118">
        <v>2</v>
      </c>
      <c r="I299" s="118" t="s">
        <v>6055</v>
      </c>
      <c r="J299" s="118" t="s">
        <v>434</v>
      </c>
      <c r="K299" s="118" t="s">
        <v>6985</v>
      </c>
      <c r="L299" s="118">
        <v>0.45200000000000001</v>
      </c>
      <c r="M299" s="118">
        <v>0.45200000000000001</v>
      </c>
      <c r="N299" s="118" t="s">
        <v>7465</v>
      </c>
      <c r="O299" s="118" t="s">
        <v>7490</v>
      </c>
      <c r="P299" s="118">
        <v>41.651294</v>
      </c>
      <c r="Q299" s="118">
        <v>-83.518946</v>
      </c>
      <c r="R299" s="118">
        <v>77000</v>
      </c>
      <c r="S299" s="118" t="s">
        <v>6988</v>
      </c>
      <c r="T299" s="118">
        <v>1</v>
      </c>
      <c r="U299" s="118">
        <v>0</v>
      </c>
      <c r="V299" s="118">
        <v>0</v>
      </c>
      <c r="W299" s="118">
        <v>0</v>
      </c>
      <c r="X299" s="118">
        <v>0</v>
      </c>
      <c r="Y299" s="118">
        <v>3</v>
      </c>
      <c r="Z299" s="118">
        <v>0</v>
      </c>
      <c r="AA299" s="118">
        <v>2</v>
      </c>
      <c r="AB299" s="118" t="s">
        <v>1067</v>
      </c>
      <c r="AC299" s="118" t="s">
        <v>6989</v>
      </c>
      <c r="AD299" s="118" t="s">
        <v>1034</v>
      </c>
      <c r="AE299" s="118" t="s">
        <v>943</v>
      </c>
      <c r="AF299" s="118" t="s">
        <v>1041</v>
      </c>
      <c r="AG299" s="118" t="s">
        <v>6415</v>
      </c>
      <c r="AH299" s="118" t="s">
        <v>393</v>
      </c>
      <c r="AI299" s="118">
        <v>4</v>
      </c>
      <c r="AJ299" s="118" t="s">
        <v>6415</v>
      </c>
      <c r="AK299" s="118" t="s">
        <v>393</v>
      </c>
      <c r="AL299" s="118" t="s">
        <v>393</v>
      </c>
      <c r="AM299" s="118" t="s">
        <v>393</v>
      </c>
      <c r="AN299" s="402" t="s">
        <v>5975</v>
      </c>
      <c r="AO299" s="402">
        <v>45706</v>
      </c>
      <c r="AP299" s="118">
        <v>2</v>
      </c>
      <c r="AQ299" s="118">
        <v>19</v>
      </c>
      <c r="AR299" s="118" t="s">
        <v>6445</v>
      </c>
      <c r="AS299" s="118" t="s">
        <v>392</v>
      </c>
      <c r="AT299" s="118" t="s">
        <v>500</v>
      </c>
      <c r="AU299" s="118" t="s">
        <v>505</v>
      </c>
      <c r="AV299" s="118" t="s">
        <v>508</v>
      </c>
      <c r="AW299" s="118" t="s">
        <v>393</v>
      </c>
      <c r="AX299" s="118" t="s">
        <v>740</v>
      </c>
      <c r="AY299" s="118" t="s">
        <v>393</v>
      </c>
      <c r="AZ299" s="118" t="s">
        <v>393</v>
      </c>
      <c r="BA299" s="118" t="s">
        <v>393</v>
      </c>
      <c r="BB299" s="118" t="s">
        <v>393</v>
      </c>
      <c r="BC299" s="118" t="s">
        <v>393</v>
      </c>
      <c r="BD299" s="118" t="s">
        <v>393</v>
      </c>
      <c r="BE299" s="118" t="s">
        <v>740</v>
      </c>
      <c r="BF299" s="118" t="s">
        <v>393</v>
      </c>
      <c r="BG299" s="118" t="s">
        <v>393</v>
      </c>
      <c r="BH299" s="118" t="s">
        <v>394</v>
      </c>
      <c r="BI299" s="118" t="s">
        <v>394</v>
      </c>
      <c r="BJ299" s="118" t="s">
        <v>393</v>
      </c>
      <c r="BK299" s="118" t="s">
        <v>6988</v>
      </c>
      <c r="BL299" s="118" t="s">
        <v>6415</v>
      </c>
      <c r="BM299" s="118" t="s">
        <v>6990</v>
      </c>
      <c r="BN299" s="118" t="s">
        <v>6991</v>
      </c>
      <c r="BO299" s="118" t="s">
        <v>6415</v>
      </c>
      <c r="BP299" s="118" t="s">
        <v>6415</v>
      </c>
      <c r="BQ299" s="118" t="s">
        <v>6415</v>
      </c>
      <c r="BR299" s="118" t="s">
        <v>6415</v>
      </c>
      <c r="BS299" s="118" t="s">
        <v>6415</v>
      </c>
      <c r="BT299" s="118" t="s">
        <v>2579</v>
      </c>
      <c r="BU299" s="118" t="s">
        <v>6991</v>
      </c>
      <c r="BV299" s="118" t="s">
        <v>6415</v>
      </c>
      <c r="BW299" s="118" t="s">
        <v>6415</v>
      </c>
      <c r="BX299" s="118" t="s">
        <v>6415</v>
      </c>
      <c r="BY299" s="118" t="s">
        <v>6415</v>
      </c>
      <c r="BZ299" s="118" t="s">
        <v>6415</v>
      </c>
      <c r="CA299" s="118" t="s">
        <v>6415</v>
      </c>
      <c r="CB299" s="118" t="s">
        <v>221</v>
      </c>
      <c r="CC299" s="118" t="s">
        <v>740</v>
      </c>
      <c r="CD299" s="118">
        <v>2</v>
      </c>
      <c r="CE299" s="118" t="s">
        <v>397</v>
      </c>
      <c r="CF299" s="118" t="s">
        <v>396</v>
      </c>
      <c r="CG299" s="118" t="s">
        <v>924</v>
      </c>
      <c r="CH299" s="118" t="s">
        <v>6302</v>
      </c>
      <c r="CI299" s="118" t="s">
        <v>6303</v>
      </c>
      <c r="CJ299" s="118" t="s">
        <v>398</v>
      </c>
      <c r="CK299" s="118">
        <v>0</v>
      </c>
      <c r="CL299" s="118">
        <v>0</v>
      </c>
      <c r="CM299" s="118" t="s">
        <v>399</v>
      </c>
      <c r="CN299" s="118" t="s">
        <v>398</v>
      </c>
      <c r="CO299" s="118" t="s">
        <v>1096</v>
      </c>
      <c r="CP299" s="118" t="s">
        <v>400</v>
      </c>
      <c r="CQ299" s="118" t="s">
        <v>6415</v>
      </c>
      <c r="CR299" s="118" t="s">
        <v>6415</v>
      </c>
      <c r="CS299" s="118" t="s">
        <v>6415</v>
      </c>
      <c r="CT299" s="118" t="s">
        <v>6415</v>
      </c>
      <c r="CU299" s="118" t="s">
        <v>6415</v>
      </c>
      <c r="CV299" s="118" t="s">
        <v>6415</v>
      </c>
      <c r="CW299" s="118">
        <v>0</v>
      </c>
      <c r="CX299" s="118" t="s">
        <v>401</v>
      </c>
      <c r="CY299" s="118" t="s">
        <v>6341</v>
      </c>
      <c r="CZ299" s="118">
        <v>1</v>
      </c>
      <c r="DA299" s="118" t="s">
        <v>396</v>
      </c>
      <c r="DB299" s="118" t="s">
        <v>397</v>
      </c>
      <c r="DC299" s="118" t="s">
        <v>6415</v>
      </c>
      <c r="DD299" s="118" t="s">
        <v>6302</v>
      </c>
      <c r="DE299" s="118" t="s">
        <v>6303</v>
      </c>
      <c r="DF299" s="118" t="s">
        <v>398</v>
      </c>
      <c r="DG299" s="118" t="s">
        <v>6415</v>
      </c>
      <c r="DH299" s="118" t="s">
        <v>6415</v>
      </c>
      <c r="DI299" s="118" t="s">
        <v>399</v>
      </c>
      <c r="DJ299" s="118" t="s">
        <v>398</v>
      </c>
      <c r="DK299" s="118" t="s">
        <v>400</v>
      </c>
      <c r="DL299" s="118" t="s">
        <v>6415</v>
      </c>
      <c r="DM299" s="118" t="s">
        <v>6415</v>
      </c>
      <c r="DN299" s="118" t="s">
        <v>6415</v>
      </c>
      <c r="DO299" s="118" t="s">
        <v>6415</v>
      </c>
      <c r="DP299" s="118" t="s">
        <v>6415</v>
      </c>
      <c r="DQ299" s="118" t="s">
        <v>6415</v>
      </c>
      <c r="DR299" s="118">
        <v>67</v>
      </c>
      <c r="DS299" s="118" t="s">
        <v>1068</v>
      </c>
      <c r="DT299" s="118" t="s">
        <v>6341</v>
      </c>
      <c r="DU299" s="118" t="s">
        <v>6415</v>
      </c>
      <c r="DV299" s="118" t="s">
        <v>6415</v>
      </c>
      <c r="DW299" s="118" t="s">
        <v>6415</v>
      </c>
      <c r="DX299" s="118" t="s">
        <v>6415</v>
      </c>
      <c r="DY299" s="118" t="s">
        <v>6415</v>
      </c>
      <c r="DZ299" s="118" t="s">
        <v>6415</v>
      </c>
      <c r="EA299" s="118" t="s">
        <v>6415</v>
      </c>
      <c r="EB299" s="118" t="s">
        <v>6415</v>
      </c>
      <c r="EC299" s="118" t="s">
        <v>6415</v>
      </c>
      <c r="ED299" s="118" t="s">
        <v>6415</v>
      </c>
      <c r="EE299" s="118" t="s">
        <v>6415</v>
      </c>
      <c r="EF299" s="118" t="s">
        <v>6415</v>
      </c>
      <c r="EG299" s="118" t="s">
        <v>7160</v>
      </c>
      <c r="EH299" s="118" t="s">
        <v>7382</v>
      </c>
      <c r="EI299" s="118" t="s">
        <v>6415</v>
      </c>
      <c r="EJ299" s="118" t="s">
        <v>6415</v>
      </c>
      <c r="EK299" s="118">
        <v>145188</v>
      </c>
      <c r="EL299" s="118" t="s">
        <v>7467</v>
      </c>
      <c r="EM299" s="118" t="s">
        <v>7426</v>
      </c>
      <c r="EN299" s="118" t="s">
        <v>6415</v>
      </c>
      <c r="EO299" s="6" t="str">
        <f t="shared" si="26"/>
        <v>Pathweb</v>
      </c>
      <c r="EP299" s="6" t="str">
        <f t="shared" si="27"/>
        <v>Google Maps</v>
      </c>
      <c r="EQ299" s="6" t="str">
        <f t="shared" si="28"/>
        <v>Mashed Map</v>
      </c>
      <c r="ER299" s="118" t="s">
        <v>6727</v>
      </c>
      <c r="ES299" s="118" t="s">
        <v>71</v>
      </c>
      <c r="ET299" s="4">
        <v>0</v>
      </c>
      <c r="EU299" s="4"/>
      <c r="EV299" s="4"/>
    </row>
    <row r="300" spans="1:152" x14ac:dyDescent="0.15">
      <c r="A300" s="581" t="str">
        <f t="shared" si="25"/>
        <v>Crash Report</v>
      </c>
      <c r="B300" s="118">
        <v>20253034628</v>
      </c>
      <c r="C300" s="118">
        <v>2025</v>
      </c>
      <c r="D300" s="118">
        <v>25022128461715</v>
      </c>
      <c r="F300" s="118" t="s">
        <v>6440</v>
      </c>
      <c r="G300" s="118" t="s">
        <v>313</v>
      </c>
      <c r="H300" s="118">
        <v>2</v>
      </c>
      <c r="I300" s="118" t="s">
        <v>6055</v>
      </c>
      <c r="J300" s="118" t="s">
        <v>391</v>
      </c>
      <c r="K300" s="118" t="s">
        <v>6985</v>
      </c>
      <c r="L300" s="118">
        <v>0.67</v>
      </c>
      <c r="M300" s="118">
        <v>0.67</v>
      </c>
      <c r="N300" s="118" t="s">
        <v>7465</v>
      </c>
      <c r="O300" s="118" t="s">
        <v>7494</v>
      </c>
      <c r="P300" s="118">
        <v>41.653281</v>
      </c>
      <c r="Q300" s="118">
        <v>-83.515686000000002</v>
      </c>
      <c r="R300" s="118">
        <v>77000</v>
      </c>
      <c r="S300" s="118" t="s">
        <v>6988</v>
      </c>
      <c r="T300" s="118">
        <v>1</v>
      </c>
      <c r="U300" s="118">
        <v>0</v>
      </c>
      <c r="V300" s="118">
        <v>0</v>
      </c>
      <c r="W300" s="118">
        <v>1</v>
      </c>
      <c r="X300" s="118">
        <v>0</v>
      </c>
      <c r="Y300" s="118">
        <v>2</v>
      </c>
      <c r="Z300" s="118">
        <v>0</v>
      </c>
      <c r="AA300" s="118">
        <v>2</v>
      </c>
      <c r="AB300" s="118" t="s">
        <v>1067</v>
      </c>
      <c r="AC300" s="118" t="s">
        <v>6989</v>
      </c>
      <c r="AD300" s="118" t="s">
        <v>1034</v>
      </c>
      <c r="AE300" s="118" t="s">
        <v>943</v>
      </c>
      <c r="AF300" s="118" t="s">
        <v>1041</v>
      </c>
      <c r="AG300" s="118" t="s">
        <v>6415</v>
      </c>
      <c r="AH300" s="118" t="s">
        <v>393</v>
      </c>
      <c r="AI300" s="118">
        <v>4</v>
      </c>
      <c r="AJ300" s="118" t="s">
        <v>6415</v>
      </c>
      <c r="AK300" s="118" t="s">
        <v>393</v>
      </c>
      <c r="AL300" s="118" t="s">
        <v>393</v>
      </c>
      <c r="AM300" s="118" t="s">
        <v>393</v>
      </c>
      <c r="AN300" s="402" t="s">
        <v>5975</v>
      </c>
      <c r="AO300" s="402">
        <v>45709</v>
      </c>
      <c r="AP300" s="118">
        <v>2</v>
      </c>
      <c r="AQ300" s="118">
        <v>17</v>
      </c>
      <c r="AR300" s="118" t="s">
        <v>6448</v>
      </c>
      <c r="AS300" s="118" t="s">
        <v>392</v>
      </c>
      <c r="AT300" s="118" t="s">
        <v>225</v>
      </c>
      <c r="AU300" s="118" t="s">
        <v>404</v>
      </c>
      <c r="AV300" s="118" t="s">
        <v>508</v>
      </c>
      <c r="AW300" s="118" t="s">
        <v>393</v>
      </c>
      <c r="AX300" s="118" t="s">
        <v>740</v>
      </c>
      <c r="AY300" s="118" t="s">
        <v>393</v>
      </c>
      <c r="AZ300" s="118" t="s">
        <v>393</v>
      </c>
      <c r="BA300" s="118" t="s">
        <v>393</v>
      </c>
      <c r="BB300" s="118" t="s">
        <v>393</v>
      </c>
      <c r="BC300" s="118" t="s">
        <v>393</v>
      </c>
      <c r="BD300" s="118" t="s">
        <v>393</v>
      </c>
      <c r="BE300" s="118" t="s">
        <v>393</v>
      </c>
      <c r="BF300" s="118" t="s">
        <v>393</v>
      </c>
      <c r="BG300" s="118" t="s">
        <v>393</v>
      </c>
      <c r="BH300" s="118" t="s">
        <v>394</v>
      </c>
      <c r="BI300" s="118" t="s">
        <v>394</v>
      </c>
      <c r="BJ300" s="118" t="s">
        <v>393</v>
      </c>
      <c r="BK300" s="118" t="s">
        <v>6988</v>
      </c>
      <c r="BL300" s="118" t="s">
        <v>6415</v>
      </c>
      <c r="BM300" s="118" t="s">
        <v>6990</v>
      </c>
      <c r="BN300" s="118" t="s">
        <v>6991</v>
      </c>
      <c r="BO300" s="118" t="s">
        <v>6415</v>
      </c>
      <c r="BP300" s="118" t="s">
        <v>6415</v>
      </c>
      <c r="BQ300" s="118" t="s">
        <v>6415</v>
      </c>
      <c r="BR300" s="118" t="s">
        <v>6415</v>
      </c>
      <c r="BS300" s="118" t="s">
        <v>6415</v>
      </c>
      <c r="BT300" s="118" t="s">
        <v>2521</v>
      </c>
      <c r="BU300" s="118" t="s">
        <v>7017</v>
      </c>
      <c r="BV300" s="118" t="s">
        <v>6415</v>
      </c>
      <c r="BW300" s="118" t="s">
        <v>6415</v>
      </c>
      <c r="BX300" s="118" t="s">
        <v>6415</v>
      </c>
      <c r="BY300" s="118" t="s">
        <v>6415</v>
      </c>
      <c r="BZ300" s="118" t="s">
        <v>6415</v>
      </c>
      <c r="CA300" s="118" t="s">
        <v>6415</v>
      </c>
      <c r="CB300" s="118" t="s">
        <v>221</v>
      </c>
      <c r="CC300" s="118" t="s">
        <v>740</v>
      </c>
      <c r="CD300" s="118">
        <v>2</v>
      </c>
      <c r="CE300" s="118" t="s">
        <v>411</v>
      </c>
      <c r="CF300" s="118" t="s">
        <v>406</v>
      </c>
      <c r="CG300" s="118" t="s">
        <v>860</v>
      </c>
      <c r="CH300" s="118" t="s">
        <v>433</v>
      </c>
      <c r="CI300" s="118" t="s">
        <v>6304</v>
      </c>
      <c r="CJ300" s="118" t="s">
        <v>398</v>
      </c>
      <c r="CK300" s="118">
        <v>0</v>
      </c>
      <c r="CL300" s="118">
        <v>0</v>
      </c>
      <c r="CM300" s="118" t="s">
        <v>444</v>
      </c>
      <c r="CN300" s="118" t="s">
        <v>6327</v>
      </c>
      <c r="CO300" s="118" t="s">
        <v>1096</v>
      </c>
      <c r="CP300" s="118" t="s">
        <v>6370</v>
      </c>
      <c r="CQ300" s="118" t="s">
        <v>6415</v>
      </c>
      <c r="CR300" s="118" t="s">
        <v>6415</v>
      </c>
      <c r="CS300" s="118" t="s">
        <v>6415</v>
      </c>
      <c r="CT300" s="118" t="s">
        <v>6415</v>
      </c>
      <c r="CU300" s="118" t="s">
        <v>6415</v>
      </c>
      <c r="CV300" s="118" t="s">
        <v>6415</v>
      </c>
      <c r="CW300" s="118">
        <v>64</v>
      </c>
      <c r="CX300" s="118" t="s">
        <v>1066</v>
      </c>
      <c r="CY300" s="118" t="s">
        <v>6151</v>
      </c>
      <c r="CZ300" s="118">
        <v>1</v>
      </c>
      <c r="DA300" s="118" t="s">
        <v>405</v>
      </c>
      <c r="DB300" s="118" t="s">
        <v>406</v>
      </c>
      <c r="DC300" s="118" t="s">
        <v>6415</v>
      </c>
      <c r="DD300" s="118" t="s">
        <v>6302</v>
      </c>
      <c r="DE300" s="118" t="s">
        <v>6322</v>
      </c>
      <c r="DF300" s="118" t="s">
        <v>398</v>
      </c>
      <c r="DG300" s="118" t="s">
        <v>6415</v>
      </c>
      <c r="DH300" s="118" t="s">
        <v>6415</v>
      </c>
      <c r="DI300" s="118" t="s">
        <v>465</v>
      </c>
      <c r="DJ300" s="118" t="s">
        <v>398</v>
      </c>
      <c r="DK300" s="118" t="s">
        <v>6370</v>
      </c>
      <c r="DL300" s="118" t="s">
        <v>6415</v>
      </c>
      <c r="DM300" s="118" t="s">
        <v>6415</v>
      </c>
      <c r="DN300" s="118" t="s">
        <v>6415</v>
      </c>
      <c r="DO300" s="118" t="s">
        <v>6415</v>
      </c>
      <c r="DP300" s="118" t="s">
        <v>6415</v>
      </c>
      <c r="DQ300" s="118" t="s">
        <v>527</v>
      </c>
      <c r="DR300" s="118">
        <v>37</v>
      </c>
      <c r="DS300" s="118" t="s">
        <v>1066</v>
      </c>
      <c r="DT300" s="118" t="s">
        <v>6151</v>
      </c>
      <c r="DU300" s="118" t="s">
        <v>6415</v>
      </c>
      <c r="DV300" s="118" t="s">
        <v>6415</v>
      </c>
      <c r="DW300" s="118" t="s">
        <v>6415</v>
      </c>
      <c r="DX300" s="118" t="s">
        <v>6415</v>
      </c>
      <c r="DY300" s="118" t="s">
        <v>6415</v>
      </c>
      <c r="DZ300" s="118" t="s">
        <v>6415</v>
      </c>
      <c r="EA300" s="118" t="s">
        <v>6415</v>
      </c>
      <c r="EB300" s="118" t="s">
        <v>6415</v>
      </c>
      <c r="EC300" s="118" t="s">
        <v>6415</v>
      </c>
      <c r="ED300" s="118" t="s">
        <v>6415</v>
      </c>
      <c r="EE300" s="118" t="s">
        <v>6415</v>
      </c>
      <c r="EF300" s="118" t="s">
        <v>6415</v>
      </c>
      <c r="EG300" s="118" t="s">
        <v>7226</v>
      </c>
      <c r="EH300" s="118" t="s">
        <v>7227</v>
      </c>
      <c r="EI300" s="118" t="s">
        <v>6415</v>
      </c>
      <c r="EJ300" s="118" t="s">
        <v>6415</v>
      </c>
      <c r="EK300" s="118">
        <v>145188</v>
      </c>
      <c r="EL300" s="118" t="s">
        <v>7467</v>
      </c>
      <c r="EM300" s="118" t="s">
        <v>7427</v>
      </c>
      <c r="EN300" s="118" t="s">
        <v>6415</v>
      </c>
      <c r="EO300" s="6" t="str">
        <f t="shared" si="26"/>
        <v>Pathweb</v>
      </c>
      <c r="EP300" s="6" t="str">
        <f t="shared" si="27"/>
        <v>Google Maps</v>
      </c>
      <c r="EQ300" s="6" t="str">
        <f t="shared" si="28"/>
        <v>Mashed Map</v>
      </c>
      <c r="ER300" s="118" t="s">
        <v>6726</v>
      </c>
      <c r="ES300" s="118" t="s">
        <v>6728</v>
      </c>
      <c r="ET300" s="4">
        <v>0</v>
      </c>
      <c r="EU300" s="4"/>
      <c r="EV300" s="4"/>
    </row>
    <row r="301" spans="1:152" x14ac:dyDescent="0.15">
      <c r="A301" s="581" t="str">
        <f t="shared" si="25"/>
        <v>Crash Report</v>
      </c>
      <c r="B301" s="118">
        <v>20253041667</v>
      </c>
      <c r="C301" s="118">
        <v>2025</v>
      </c>
      <c r="D301" s="118">
        <v>25030530121604</v>
      </c>
      <c r="F301" s="118" t="s">
        <v>6442</v>
      </c>
      <c r="G301" s="118" t="s">
        <v>390</v>
      </c>
      <c r="H301" s="118">
        <v>2</v>
      </c>
      <c r="I301" s="118" t="s">
        <v>6055</v>
      </c>
      <c r="J301" s="118" t="s">
        <v>391</v>
      </c>
      <c r="K301" s="118" t="s">
        <v>6985</v>
      </c>
      <c r="L301" s="118">
        <v>0.77</v>
      </c>
      <c r="M301" s="118">
        <v>0.77</v>
      </c>
      <c r="N301" s="118" t="s">
        <v>7465</v>
      </c>
      <c r="O301" s="118" t="s">
        <v>7493</v>
      </c>
      <c r="P301" s="118">
        <v>41.654192000000002</v>
      </c>
      <c r="Q301" s="118">
        <v>-83.514189999999999</v>
      </c>
      <c r="R301" s="118">
        <v>77000</v>
      </c>
      <c r="S301" s="118" t="s">
        <v>6988</v>
      </c>
      <c r="T301" s="118">
        <v>1</v>
      </c>
      <c r="U301" s="118">
        <v>0</v>
      </c>
      <c r="V301" s="118">
        <v>0</v>
      </c>
      <c r="W301" s="118">
        <v>0</v>
      </c>
      <c r="X301" s="118">
        <v>0</v>
      </c>
      <c r="Y301" s="118">
        <v>2</v>
      </c>
      <c r="Z301" s="118">
        <v>0</v>
      </c>
      <c r="AA301" s="118">
        <v>2</v>
      </c>
      <c r="AB301" s="118" t="s">
        <v>1067</v>
      </c>
      <c r="AC301" s="118" t="s">
        <v>6989</v>
      </c>
      <c r="AD301" s="118" t="s">
        <v>1034</v>
      </c>
      <c r="AE301" s="118" t="s">
        <v>943</v>
      </c>
      <c r="AF301" s="118" t="s">
        <v>1041</v>
      </c>
      <c r="AG301" s="118" t="s">
        <v>6415</v>
      </c>
      <c r="AH301" s="118" t="s">
        <v>393</v>
      </c>
      <c r="AI301" s="118">
        <v>4</v>
      </c>
      <c r="AJ301" s="118" t="s">
        <v>6415</v>
      </c>
      <c r="AK301" s="118" t="s">
        <v>393</v>
      </c>
      <c r="AL301" s="118" t="s">
        <v>393</v>
      </c>
      <c r="AM301" s="118" t="s">
        <v>393</v>
      </c>
      <c r="AN301" s="402" t="s">
        <v>5975</v>
      </c>
      <c r="AO301" s="402">
        <v>45721</v>
      </c>
      <c r="AP301" s="118">
        <v>3</v>
      </c>
      <c r="AQ301" s="118">
        <v>16</v>
      </c>
      <c r="AR301" s="118" t="s">
        <v>6446</v>
      </c>
      <c r="AS301" s="118" t="s">
        <v>420</v>
      </c>
      <c r="AT301" s="118" t="s">
        <v>225</v>
      </c>
      <c r="AU301" s="118" t="s">
        <v>404</v>
      </c>
      <c r="AV301" s="118" t="s">
        <v>508</v>
      </c>
      <c r="AW301" s="118" t="s">
        <v>393</v>
      </c>
      <c r="AX301" s="118" t="s">
        <v>393</v>
      </c>
      <c r="AY301" s="118" t="s">
        <v>393</v>
      </c>
      <c r="AZ301" s="118" t="s">
        <v>393</v>
      </c>
      <c r="BA301" s="118" t="s">
        <v>393</v>
      </c>
      <c r="BB301" s="118" t="s">
        <v>393</v>
      </c>
      <c r="BC301" s="118" t="s">
        <v>393</v>
      </c>
      <c r="BD301" s="118" t="s">
        <v>393</v>
      </c>
      <c r="BE301" s="118" t="s">
        <v>740</v>
      </c>
      <c r="BF301" s="118" t="s">
        <v>393</v>
      </c>
      <c r="BG301" s="118" t="s">
        <v>393</v>
      </c>
      <c r="BH301" s="118" t="s">
        <v>394</v>
      </c>
      <c r="BI301" s="118" t="s">
        <v>394</v>
      </c>
      <c r="BJ301" s="118" t="s">
        <v>393</v>
      </c>
      <c r="BK301" s="118" t="s">
        <v>6988</v>
      </c>
      <c r="BL301" s="118" t="s">
        <v>6415</v>
      </c>
      <c r="BM301" s="118" t="s">
        <v>6990</v>
      </c>
      <c r="BN301" s="118" t="s">
        <v>6991</v>
      </c>
      <c r="BO301" s="118" t="s">
        <v>6415</v>
      </c>
      <c r="BP301" s="118" t="s">
        <v>6415</v>
      </c>
      <c r="BQ301" s="118" t="s">
        <v>6415</v>
      </c>
      <c r="BR301" s="118" t="s">
        <v>6415</v>
      </c>
      <c r="BS301" s="118" t="s">
        <v>6415</v>
      </c>
      <c r="BT301" s="118" t="s">
        <v>7214</v>
      </c>
      <c r="BU301" s="118" t="s">
        <v>6991</v>
      </c>
      <c r="BV301" s="118" t="s">
        <v>6415</v>
      </c>
      <c r="BW301" s="118" t="s">
        <v>6415</v>
      </c>
      <c r="BX301" s="118" t="s">
        <v>6415</v>
      </c>
      <c r="BY301" s="118" t="s">
        <v>6415</v>
      </c>
      <c r="BZ301" s="118" t="s">
        <v>6415</v>
      </c>
      <c r="CA301" s="118" t="s">
        <v>6415</v>
      </c>
      <c r="CB301" s="118" t="s">
        <v>221</v>
      </c>
      <c r="CC301" s="118" t="s">
        <v>740</v>
      </c>
      <c r="CD301" s="118">
        <v>2</v>
      </c>
      <c r="CE301" s="118" t="s">
        <v>396</v>
      </c>
      <c r="CF301" s="118" t="s">
        <v>397</v>
      </c>
      <c r="CG301" s="118" t="s">
        <v>924</v>
      </c>
      <c r="CH301" s="118" t="s">
        <v>6302</v>
      </c>
      <c r="CI301" s="118" t="s">
        <v>6303</v>
      </c>
      <c r="CJ301" s="118" t="s">
        <v>398</v>
      </c>
      <c r="CK301" s="118">
        <v>3</v>
      </c>
      <c r="CL301" s="118">
        <v>35</v>
      </c>
      <c r="CM301" s="118" t="s">
        <v>6151</v>
      </c>
      <c r="CN301" s="118" t="s">
        <v>6512</v>
      </c>
      <c r="CO301" s="118" t="s">
        <v>1096</v>
      </c>
      <c r="CP301" s="118" t="s">
        <v>400</v>
      </c>
      <c r="CQ301" s="118" t="s">
        <v>6415</v>
      </c>
      <c r="CR301" s="118" t="s">
        <v>6415</v>
      </c>
      <c r="CS301" s="118" t="s">
        <v>6415</v>
      </c>
      <c r="CT301" s="118" t="s">
        <v>6415</v>
      </c>
      <c r="CU301" s="118" t="s">
        <v>6415</v>
      </c>
      <c r="CV301" s="118" t="s">
        <v>6415</v>
      </c>
      <c r="CW301" s="118">
        <v>0</v>
      </c>
      <c r="CX301" s="118" t="s">
        <v>401</v>
      </c>
      <c r="CY301" s="118" t="s">
        <v>6151</v>
      </c>
      <c r="CZ301" s="118">
        <v>1</v>
      </c>
      <c r="DA301" s="118" t="s">
        <v>396</v>
      </c>
      <c r="DB301" s="118" t="s">
        <v>397</v>
      </c>
      <c r="DC301" s="118" t="s">
        <v>6415</v>
      </c>
      <c r="DD301" s="118" t="s">
        <v>6302</v>
      </c>
      <c r="DE301" s="118" t="s">
        <v>6303</v>
      </c>
      <c r="DF301" s="118" t="s">
        <v>398</v>
      </c>
      <c r="DG301" s="118">
        <v>3</v>
      </c>
      <c r="DH301" s="118">
        <v>35</v>
      </c>
      <c r="DI301" s="118" t="s">
        <v>399</v>
      </c>
      <c r="DJ301" s="118" t="s">
        <v>398</v>
      </c>
      <c r="DK301" s="118" t="s">
        <v>400</v>
      </c>
      <c r="DL301" s="118" t="s">
        <v>461</v>
      </c>
      <c r="DM301" s="118" t="s">
        <v>6415</v>
      </c>
      <c r="DN301" s="118" t="s">
        <v>6415</v>
      </c>
      <c r="DO301" s="118" t="s">
        <v>6415</v>
      </c>
      <c r="DP301" s="118" t="s">
        <v>6415</v>
      </c>
      <c r="DQ301" s="118" t="s">
        <v>6415</v>
      </c>
      <c r="DR301" s="118">
        <v>76</v>
      </c>
      <c r="DS301" s="118" t="s">
        <v>1068</v>
      </c>
      <c r="DT301" s="118" t="s">
        <v>6341</v>
      </c>
      <c r="DU301" s="118" t="s">
        <v>6415</v>
      </c>
      <c r="DV301" s="118" t="s">
        <v>6415</v>
      </c>
      <c r="DW301" s="118" t="s">
        <v>6415</v>
      </c>
      <c r="DX301" s="118" t="s">
        <v>6415</v>
      </c>
      <c r="DY301" s="118" t="s">
        <v>6415</v>
      </c>
      <c r="DZ301" s="118" t="s">
        <v>6415</v>
      </c>
      <c r="EA301" s="118" t="s">
        <v>6415</v>
      </c>
      <c r="EB301" s="118" t="s">
        <v>6415</v>
      </c>
      <c r="EC301" s="118" t="s">
        <v>6415</v>
      </c>
      <c r="ED301" s="118" t="s">
        <v>6415</v>
      </c>
      <c r="EE301" s="118" t="s">
        <v>6415</v>
      </c>
      <c r="EF301" s="118" t="s">
        <v>6415</v>
      </c>
      <c r="EG301" s="118" t="s">
        <v>7164</v>
      </c>
      <c r="EH301" s="118" t="s">
        <v>7206</v>
      </c>
      <c r="EI301" s="118" t="s">
        <v>6415</v>
      </c>
      <c r="EJ301" s="118" t="s">
        <v>6415</v>
      </c>
      <c r="EK301" s="118">
        <v>145188</v>
      </c>
      <c r="EL301" s="118" t="s">
        <v>7467</v>
      </c>
      <c r="EM301" s="118" t="s">
        <v>7428</v>
      </c>
      <c r="EN301" s="118" t="s">
        <v>6415</v>
      </c>
      <c r="EO301" s="6" t="str">
        <f t="shared" si="26"/>
        <v>Pathweb</v>
      </c>
      <c r="EP301" s="6" t="str">
        <f t="shared" si="27"/>
        <v>Google Maps</v>
      </c>
      <c r="EQ301" s="6" t="str">
        <f t="shared" si="28"/>
        <v>Mashed Map</v>
      </c>
      <c r="ER301" s="118" t="s">
        <v>6727</v>
      </c>
      <c r="ES301" s="118" t="s">
        <v>71</v>
      </c>
      <c r="ET301" s="4">
        <v>8.0000000000000002E-3</v>
      </c>
      <c r="EU301" s="4"/>
      <c r="EV301" s="4"/>
    </row>
    <row r="302" spans="1:152" x14ac:dyDescent="0.15">
      <c r="A302" s="581" t="str">
        <f t="shared" si="25"/>
        <v>Crash Report</v>
      </c>
      <c r="B302" s="118">
        <v>20253043551</v>
      </c>
      <c r="C302" s="118">
        <v>2025</v>
      </c>
      <c r="D302" s="118">
        <v>25030828960259</v>
      </c>
      <c r="F302" s="118" t="s">
        <v>6442</v>
      </c>
      <c r="G302" s="118" t="s">
        <v>449</v>
      </c>
      <c r="H302" s="118">
        <v>2</v>
      </c>
      <c r="I302" s="118" t="s">
        <v>6055</v>
      </c>
      <c r="J302" s="118" t="s">
        <v>391</v>
      </c>
      <c r="K302" s="118" t="s">
        <v>6997</v>
      </c>
      <c r="L302" s="118">
        <v>0.71299999999999997</v>
      </c>
      <c r="M302" s="118">
        <v>0.71299999999999997</v>
      </c>
      <c r="N302" s="118" t="s">
        <v>7469</v>
      </c>
      <c r="O302" s="118" t="s">
        <v>7473</v>
      </c>
      <c r="P302" s="118">
        <v>41.648519</v>
      </c>
      <c r="Q302" s="118">
        <v>-83.523447000000004</v>
      </c>
      <c r="R302" s="118">
        <v>77000</v>
      </c>
      <c r="S302" s="118" t="s">
        <v>6988</v>
      </c>
      <c r="T302" s="118">
        <v>1</v>
      </c>
      <c r="U302" s="118">
        <v>0</v>
      </c>
      <c r="V302" s="118">
        <v>0</v>
      </c>
      <c r="W302" s="118">
        <v>0</v>
      </c>
      <c r="X302" s="118">
        <v>0</v>
      </c>
      <c r="Y302" s="118">
        <v>1</v>
      </c>
      <c r="Z302" s="118">
        <v>0</v>
      </c>
      <c r="AA302" s="118">
        <v>1</v>
      </c>
      <c r="AB302" s="118" t="s">
        <v>1067</v>
      </c>
      <c r="AC302" s="118" t="s">
        <v>6989</v>
      </c>
      <c r="AD302" s="118" t="s">
        <v>1034</v>
      </c>
      <c r="AE302" s="118" t="s">
        <v>943</v>
      </c>
      <c r="AF302" s="118" t="s">
        <v>1042</v>
      </c>
      <c r="AG302" s="118" t="s">
        <v>6415</v>
      </c>
      <c r="AH302" s="118" t="s">
        <v>393</v>
      </c>
      <c r="AI302" s="118">
        <v>2</v>
      </c>
      <c r="AJ302" s="118" t="s">
        <v>6415</v>
      </c>
      <c r="AK302" s="118" t="s">
        <v>393</v>
      </c>
      <c r="AL302" s="118" t="s">
        <v>393</v>
      </c>
      <c r="AM302" s="118" t="s">
        <v>393</v>
      </c>
      <c r="AN302" s="402" t="s">
        <v>5975</v>
      </c>
      <c r="AO302" s="402">
        <v>45724</v>
      </c>
      <c r="AP302" s="118">
        <v>3</v>
      </c>
      <c r="AQ302" s="118">
        <v>2</v>
      </c>
      <c r="AR302" s="118" t="s">
        <v>6449</v>
      </c>
      <c r="AS302" s="118" t="s">
        <v>392</v>
      </c>
      <c r="AT302" s="118" t="s">
        <v>225</v>
      </c>
      <c r="AU302" s="118" t="s">
        <v>505</v>
      </c>
      <c r="AV302" s="118" t="s">
        <v>509</v>
      </c>
      <c r="AW302" s="118" t="s">
        <v>393</v>
      </c>
      <c r="AX302" s="118" t="s">
        <v>393</v>
      </c>
      <c r="AY302" s="118" t="s">
        <v>740</v>
      </c>
      <c r="AZ302" s="118" t="s">
        <v>393</v>
      </c>
      <c r="BA302" s="118" t="s">
        <v>393</v>
      </c>
      <c r="BB302" s="118" t="s">
        <v>393</v>
      </c>
      <c r="BC302" s="118" t="s">
        <v>393</v>
      </c>
      <c r="BD302" s="118" t="s">
        <v>393</v>
      </c>
      <c r="BE302" s="118" t="s">
        <v>393</v>
      </c>
      <c r="BF302" s="118" t="s">
        <v>393</v>
      </c>
      <c r="BG302" s="118" t="s">
        <v>393</v>
      </c>
      <c r="BH302" s="118" t="s">
        <v>394</v>
      </c>
      <c r="BI302" s="118" t="s">
        <v>394</v>
      </c>
      <c r="BJ302" s="118" t="s">
        <v>393</v>
      </c>
      <c r="BK302" s="118" t="s">
        <v>6988</v>
      </c>
      <c r="BL302" s="118" t="s">
        <v>6415</v>
      </c>
      <c r="BM302" s="118" t="s">
        <v>6992</v>
      </c>
      <c r="BN302" s="118" t="s">
        <v>6991</v>
      </c>
      <c r="BO302" s="118" t="s">
        <v>6415</v>
      </c>
      <c r="BP302" s="118" t="s">
        <v>6415</v>
      </c>
      <c r="BQ302" s="118" t="s">
        <v>6415</v>
      </c>
      <c r="BR302" s="118" t="s">
        <v>6415</v>
      </c>
      <c r="BS302" s="118" t="s">
        <v>6415</v>
      </c>
      <c r="BT302" s="118" t="s">
        <v>6990</v>
      </c>
      <c r="BU302" s="118" t="s">
        <v>6991</v>
      </c>
      <c r="BV302" s="118" t="s">
        <v>6415</v>
      </c>
      <c r="BW302" s="118" t="s">
        <v>6415</v>
      </c>
      <c r="BX302" s="118" t="s">
        <v>6415</v>
      </c>
      <c r="BY302" s="118" t="s">
        <v>6415</v>
      </c>
      <c r="BZ302" s="118" t="s">
        <v>6415</v>
      </c>
      <c r="CA302" s="118" t="s">
        <v>6415</v>
      </c>
      <c r="CB302" s="118" t="s">
        <v>221</v>
      </c>
      <c r="CC302" s="118" t="s">
        <v>740</v>
      </c>
      <c r="CD302" s="118">
        <v>1</v>
      </c>
      <c r="CE302" s="118" t="s">
        <v>411</v>
      </c>
      <c r="CF302" s="118" t="s">
        <v>410</v>
      </c>
      <c r="CG302" s="118" t="s">
        <v>924</v>
      </c>
      <c r="CH302" s="118" t="s">
        <v>6302</v>
      </c>
      <c r="CI302" s="118" t="s">
        <v>417</v>
      </c>
      <c r="CJ302" s="118" t="s">
        <v>398</v>
      </c>
      <c r="CK302" s="118">
        <v>0</v>
      </c>
      <c r="CL302" s="118">
        <v>0</v>
      </c>
      <c r="CM302" s="118" t="s">
        <v>399</v>
      </c>
      <c r="CN302" s="118" t="s">
        <v>407</v>
      </c>
      <c r="CO302" s="118" t="s">
        <v>1096</v>
      </c>
      <c r="CP302" s="118" t="s">
        <v>6368</v>
      </c>
      <c r="CQ302" s="118" t="s">
        <v>6415</v>
      </c>
      <c r="CR302" s="118" t="s">
        <v>6415</v>
      </c>
      <c r="CS302" s="118" t="s">
        <v>6415</v>
      </c>
      <c r="CT302" s="118" t="s">
        <v>6415</v>
      </c>
      <c r="CU302" s="118" t="s">
        <v>6415</v>
      </c>
      <c r="CV302" s="118" t="s">
        <v>6415</v>
      </c>
      <c r="CW302" s="118">
        <v>40</v>
      </c>
      <c r="CX302" s="118" t="s">
        <v>1066</v>
      </c>
      <c r="CY302" s="118" t="s">
        <v>6151</v>
      </c>
      <c r="CZ302" s="118" t="s">
        <v>6415</v>
      </c>
      <c r="DA302" s="118" t="s">
        <v>6415</v>
      </c>
      <c r="DB302" s="118" t="s">
        <v>6415</v>
      </c>
      <c r="DC302" s="118" t="s">
        <v>6415</v>
      </c>
      <c r="DD302" s="118" t="s">
        <v>6415</v>
      </c>
      <c r="DE302" s="118" t="s">
        <v>6415</v>
      </c>
      <c r="DF302" s="118" t="s">
        <v>6415</v>
      </c>
      <c r="DG302" s="118" t="s">
        <v>6415</v>
      </c>
      <c r="DH302" s="118" t="s">
        <v>6415</v>
      </c>
      <c r="DI302" s="118" t="s">
        <v>6415</v>
      </c>
      <c r="DJ302" s="118" t="s">
        <v>6415</v>
      </c>
      <c r="DK302" s="118" t="s">
        <v>6415</v>
      </c>
      <c r="DL302" s="118" t="s">
        <v>6415</v>
      </c>
      <c r="DM302" s="118" t="s">
        <v>6415</v>
      </c>
      <c r="DN302" s="118" t="s">
        <v>6415</v>
      </c>
      <c r="DO302" s="118" t="s">
        <v>6415</v>
      </c>
      <c r="DP302" s="118" t="s">
        <v>6415</v>
      </c>
      <c r="DQ302" s="118" t="s">
        <v>6415</v>
      </c>
      <c r="DR302" s="118">
        <v>0</v>
      </c>
      <c r="DS302" s="118" t="s">
        <v>6415</v>
      </c>
      <c r="DT302" s="118" t="s">
        <v>6415</v>
      </c>
      <c r="DU302" s="118" t="s">
        <v>6415</v>
      </c>
      <c r="DV302" s="118" t="s">
        <v>6415</v>
      </c>
      <c r="DW302" s="118" t="s">
        <v>6415</v>
      </c>
      <c r="DX302" s="118" t="s">
        <v>6415</v>
      </c>
      <c r="DY302" s="118" t="s">
        <v>6415</v>
      </c>
      <c r="DZ302" s="118" t="s">
        <v>6415</v>
      </c>
      <c r="EA302" s="118" t="s">
        <v>6415</v>
      </c>
      <c r="EB302" s="118" t="s">
        <v>6415</v>
      </c>
      <c r="EC302" s="118" t="s">
        <v>6415</v>
      </c>
      <c r="ED302" s="118" t="s">
        <v>6415</v>
      </c>
      <c r="EE302" s="118" t="s">
        <v>6415</v>
      </c>
      <c r="EF302" s="118" t="s">
        <v>6415</v>
      </c>
      <c r="EG302" s="118" t="s">
        <v>6986</v>
      </c>
      <c r="EH302" s="118" t="s">
        <v>7168</v>
      </c>
      <c r="EI302" s="118" t="s">
        <v>6415</v>
      </c>
      <c r="EJ302" s="118" t="s">
        <v>6415</v>
      </c>
      <c r="EK302" s="118">
        <v>145048</v>
      </c>
      <c r="EL302" s="118" t="s">
        <v>7467</v>
      </c>
      <c r="EM302" s="118" t="s">
        <v>7429</v>
      </c>
      <c r="EN302" s="118" t="s">
        <v>6415</v>
      </c>
      <c r="EO302" s="6" t="str">
        <f t="shared" si="26"/>
        <v>Pathweb</v>
      </c>
      <c r="EP302" s="6" t="str">
        <f t="shared" si="27"/>
        <v>Google Maps</v>
      </c>
      <c r="EQ302" s="6" t="str">
        <f t="shared" si="28"/>
        <v>Mashed Map</v>
      </c>
      <c r="ER302" s="118" t="s">
        <v>6726</v>
      </c>
      <c r="ES302" s="118" t="s">
        <v>71</v>
      </c>
      <c r="ET302" s="4">
        <v>2.3E-2</v>
      </c>
      <c r="EU302" s="4"/>
      <c r="EV302" s="4"/>
    </row>
    <row r="303" spans="1:152" x14ac:dyDescent="0.15">
      <c r="A303" s="581" t="str">
        <f t="shared" si="25"/>
        <v>Crash Report</v>
      </c>
      <c r="B303" s="118">
        <v>20253043621</v>
      </c>
      <c r="C303" s="118">
        <v>2025</v>
      </c>
      <c r="D303" s="118">
        <v>25030928630425</v>
      </c>
      <c r="F303" s="118" t="s">
        <v>6442</v>
      </c>
      <c r="G303" s="118" t="s">
        <v>416</v>
      </c>
      <c r="H303" s="118">
        <v>2</v>
      </c>
      <c r="I303" s="118" t="s">
        <v>6055</v>
      </c>
      <c r="J303" s="118" t="s">
        <v>423</v>
      </c>
      <c r="K303" s="118" t="s">
        <v>6985</v>
      </c>
      <c r="L303" s="118">
        <v>0.51100000000000001</v>
      </c>
      <c r="M303" s="118">
        <v>0.51100000000000001</v>
      </c>
      <c r="N303" s="118" t="s">
        <v>7465</v>
      </c>
      <c r="O303" s="118" t="s">
        <v>7468</v>
      </c>
      <c r="P303" s="118">
        <v>41.651831999999999</v>
      </c>
      <c r="Q303" s="118">
        <v>-83.518063999999995</v>
      </c>
      <c r="R303" s="118">
        <v>77000</v>
      </c>
      <c r="S303" s="118" t="s">
        <v>6988</v>
      </c>
      <c r="T303" s="118">
        <v>1</v>
      </c>
      <c r="U303" s="118">
        <v>0</v>
      </c>
      <c r="V303" s="118">
        <v>0</v>
      </c>
      <c r="W303" s="118">
        <v>0</v>
      </c>
      <c r="X303" s="118">
        <v>0</v>
      </c>
      <c r="Y303" s="118">
        <v>1</v>
      </c>
      <c r="Z303" s="118">
        <v>0</v>
      </c>
      <c r="AA303" s="118">
        <v>1</v>
      </c>
      <c r="AB303" s="118" t="s">
        <v>1067</v>
      </c>
      <c r="AC303" s="118" t="s">
        <v>6989</v>
      </c>
      <c r="AD303" s="118" t="s">
        <v>1034</v>
      </c>
      <c r="AE303" s="118" t="s">
        <v>943</v>
      </c>
      <c r="AF303" s="118" t="s">
        <v>1041</v>
      </c>
      <c r="AG303" s="118" t="s">
        <v>6415</v>
      </c>
      <c r="AH303" s="118" t="s">
        <v>393</v>
      </c>
      <c r="AI303" s="118">
        <v>4</v>
      </c>
      <c r="AJ303" s="118" t="s">
        <v>6415</v>
      </c>
      <c r="AK303" s="118" t="s">
        <v>393</v>
      </c>
      <c r="AL303" s="118" t="s">
        <v>393</v>
      </c>
      <c r="AM303" s="118" t="s">
        <v>393</v>
      </c>
      <c r="AN303" s="402" t="s">
        <v>5975</v>
      </c>
      <c r="AO303" s="402">
        <v>45725</v>
      </c>
      <c r="AP303" s="118">
        <v>3</v>
      </c>
      <c r="AQ303" s="118">
        <v>4</v>
      </c>
      <c r="AR303" s="118" t="s">
        <v>6443</v>
      </c>
      <c r="AS303" s="118" t="s">
        <v>392</v>
      </c>
      <c r="AT303" s="118" t="s">
        <v>500</v>
      </c>
      <c r="AU303" s="118" t="s">
        <v>505</v>
      </c>
      <c r="AV303" s="118" t="s">
        <v>508</v>
      </c>
      <c r="AW303" s="118" t="s">
        <v>740</v>
      </c>
      <c r="AX303" s="118" t="s">
        <v>740</v>
      </c>
      <c r="AY303" s="118" t="s">
        <v>393</v>
      </c>
      <c r="AZ303" s="118" t="s">
        <v>393</v>
      </c>
      <c r="BA303" s="118" t="s">
        <v>393</v>
      </c>
      <c r="BB303" s="118" t="s">
        <v>393</v>
      </c>
      <c r="BC303" s="118" t="s">
        <v>393</v>
      </c>
      <c r="BD303" s="118" t="s">
        <v>393</v>
      </c>
      <c r="BE303" s="118" t="s">
        <v>393</v>
      </c>
      <c r="BF303" s="118" t="s">
        <v>393</v>
      </c>
      <c r="BG303" s="118" t="s">
        <v>393</v>
      </c>
      <c r="BH303" s="118" t="s">
        <v>394</v>
      </c>
      <c r="BI303" s="118" t="s">
        <v>394</v>
      </c>
      <c r="BJ303" s="118" t="s">
        <v>393</v>
      </c>
      <c r="BK303" s="118" t="s">
        <v>6988</v>
      </c>
      <c r="BL303" s="118" t="s">
        <v>6415</v>
      </c>
      <c r="BM303" s="118" t="s">
        <v>6990</v>
      </c>
      <c r="BN303" s="118" t="s">
        <v>6991</v>
      </c>
      <c r="BO303" s="118" t="s">
        <v>6415</v>
      </c>
      <c r="BP303" s="118" t="s">
        <v>6415</v>
      </c>
      <c r="BQ303" s="118" t="s">
        <v>6415</v>
      </c>
      <c r="BR303" s="118" t="s">
        <v>6415</v>
      </c>
      <c r="BS303" s="118" t="s">
        <v>261</v>
      </c>
      <c r="BT303" s="118" t="s">
        <v>1791</v>
      </c>
      <c r="BU303" s="118" t="s">
        <v>6991</v>
      </c>
      <c r="BV303" s="118" t="s">
        <v>6415</v>
      </c>
      <c r="BW303" s="118" t="s">
        <v>6415</v>
      </c>
      <c r="BX303" s="118" t="s">
        <v>6415</v>
      </c>
      <c r="BY303" s="118" t="s">
        <v>6415</v>
      </c>
      <c r="BZ303" s="118" t="s">
        <v>6415</v>
      </c>
      <c r="CA303" s="118" t="s">
        <v>6415</v>
      </c>
      <c r="CB303" s="118" t="s">
        <v>221</v>
      </c>
      <c r="CC303" s="118" t="s">
        <v>740</v>
      </c>
      <c r="CD303" s="118">
        <v>1</v>
      </c>
      <c r="CE303" s="118" t="s">
        <v>410</v>
      </c>
      <c r="CF303" s="118" t="s">
        <v>411</v>
      </c>
      <c r="CG303" s="118" t="s">
        <v>924</v>
      </c>
      <c r="CH303" s="118" t="s">
        <v>6300</v>
      </c>
      <c r="CI303" s="118" t="s">
        <v>417</v>
      </c>
      <c r="CJ303" s="118" t="s">
        <v>398</v>
      </c>
      <c r="CK303" s="118">
        <v>35</v>
      </c>
      <c r="CL303" s="118">
        <v>35</v>
      </c>
      <c r="CM303" s="118" t="s">
        <v>463</v>
      </c>
      <c r="CN303" s="118" t="s">
        <v>6331</v>
      </c>
      <c r="CO303" s="118" t="s">
        <v>461</v>
      </c>
      <c r="CP303" s="118" t="s">
        <v>461</v>
      </c>
      <c r="CQ303" s="118" t="s">
        <v>6415</v>
      </c>
      <c r="CR303" s="118" t="s">
        <v>6415</v>
      </c>
      <c r="CS303" s="118" t="s">
        <v>6415</v>
      </c>
      <c r="CT303" s="118" t="s">
        <v>6415</v>
      </c>
      <c r="CU303" s="118" t="s">
        <v>6415</v>
      </c>
      <c r="CV303" s="118" t="s">
        <v>6415</v>
      </c>
      <c r="CW303" s="118">
        <v>26</v>
      </c>
      <c r="CX303" s="118" t="s">
        <v>1068</v>
      </c>
      <c r="CY303" s="118" t="s">
        <v>6341</v>
      </c>
      <c r="CZ303" s="118" t="s">
        <v>6415</v>
      </c>
      <c r="DA303" s="118" t="s">
        <v>6415</v>
      </c>
      <c r="DB303" s="118" t="s">
        <v>6415</v>
      </c>
      <c r="DC303" s="118" t="s">
        <v>6415</v>
      </c>
      <c r="DD303" s="118" t="s">
        <v>6415</v>
      </c>
      <c r="DE303" s="118" t="s">
        <v>6415</v>
      </c>
      <c r="DF303" s="118" t="s">
        <v>6415</v>
      </c>
      <c r="DG303" s="118" t="s">
        <v>6415</v>
      </c>
      <c r="DH303" s="118" t="s">
        <v>6415</v>
      </c>
      <c r="DI303" s="118" t="s">
        <v>6415</v>
      </c>
      <c r="DJ303" s="118" t="s">
        <v>6415</v>
      </c>
      <c r="DK303" s="118" t="s">
        <v>6415</v>
      </c>
      <c r="DL303" s="118" t="s">
        <v>6415</v>
      </c>
      <c r="DM303" s="118" t="s">
        <v>6415</v>
      </c>
      <c r="DN303" s="118" t="s">
        <v>6415</v>
      </c>
      <c r="DO303" s="118" t="s">
        <v>6415</v>
      </c>
      <c r="DP303" s="118" t="s">
        <v>6415</v>
      </c>
      <c r="DQ303" s="118" t="s">
        <v>6415</v>
      </c>
      <c r="DR303" s="118">
        <v>0</v>
      </c>
      <c r="DS303" s="118" t="s">
        <v>6415</v>
      </c>
      <c r="DT303" s="118" t="s">
        <v>6415</v>
      </c>
      <c r="DU303" s="118" t="s">
        <v>6415</v>
      </c>
      <c r="DV303" s="118" t="s">
        <v>6415</v>
      </c>
      <c r="DW303" s="118" t="s">
        <v>6415</v>
      </c>
      <c r="DX303" s="118" t="s">
        <v>6415</v>
      </c>
      <c r="DY303" s="118" t="s">
        <v>6415</v>
      </c>
      <c r="DZ303" s="118" t="s">
        <v>6415</v>
      </c>
      <c r="EA303" s="118" t="s">
        <v>6415</v>
      </c>
      <c r="EB303" s="118" t="s">
        <v>6415</v>
      </c>
      <c r="EC303" s="118" t="s">
        <v>6415</v>
      </c>
      <c r="ED303" s="118" t="s">
        <v>6415</v>
      </c>
      <c r="EE303" s="118" t="s">
        <v>6415</v>
      </c>
      <c r="EF303" s="118" t="s">
        <v>6415</v>
      </c>
      <c r="EG303" s="118" t="s">
        <v>6994</v>
      </c>
      <c r="EH303" s="118" t="s">
        <v>7175</v>
      </c>
      <c r="EI303" s="118" t="s">
        <v>6415</v>
      </c>
      <c r="EJ303" s="118" t="s">
        <v>6415</v>
      </c>
      <c r="EK303" s="118">
        <v>145188</v>
      </c>
      <c r="EL303" s="118" t="s">
        <v>7467</v>
      </c>
      <c r="EM303" s="118" t="s">
        <v>7430</v>
      </c>
      <c r="EN303" s="118" t="s">
        <v>6415</v>
      </c>
      <c r="EO303" s="6" t="str">
        <f t="shared" si="26"/>
        <v>Pathweb</v>
      </c>
      <c r="EP303" s="6" t="str">
        <f t="shared" si="27"/>
        <v>Google Maps</v>
      </c>
      <c r="EQ303" s="6" t="str">
        <f t="shared" si="28"/>
        <v>Mashed Map</v>
      </c>
      <c r="ER303" s="118" t="s">
        <v>6726</v>
      </c>
      <c r="ES303" s="118" t="s">
        <v>71</v>
      </c>
      <c r="ET303" s="4">
        <v>0</v>
      </c>
      <c r="EU303" s="4"/>
      <c r="EV303" s="4"/>
    </row>
    <row r="304" spans="1:152" x14ac:dyDescent="0.15">
      <c r="A304" s="581" t="str">
        <f t="shared" si="25"/>
        <v>Crash Report</v>
      </c>
      <c r="B304" s="118">
        <v>20253054919</v>
      </c>
      <c r="C304" s="118">
        <v>2025</v>
      </c>
      <c r="D304" s="118">
        <v>25032730241815</v>
      </c>
      <c r="F304" s="118" t="s">
        <v>6442</v>
      </c>
      <c r="G304" s="118" t="s">
        <v>390</v>
      </c>
      <c r="H304" s="118">
        <v>2</v>
      </c>
      <c r="I304" s="118" t="s">
        <v>6055</v>
      </c>
      <c r="J304" s="118" t="s">
        <v>423</v>
      </c>
      <c r="K304" s="118" t="s">
        <v>6985</v>
      </c>
      <c r="L304" s="118">
        <v>1.0640000000000001</v>
      </c>
      <c r="M304" s="118">
        <v>1.0640000000000001</v>
      </c>
      <c r="N304" s="118" t="s">
        <v>7465</v>
      </c>
      <c r="O304" s="118">
        <v>1696</v>
      </c>
      <c r="P304" s="118">
        <v>41.656837000000003</v>
      </c>
      <c r="Q304" s="118">
        <v>-83.509778999999995</v>
      </c>
      <c r="R304" s="118">
        <v>77000</v>
      </c>
      <c r="S304" s="118" t="s">
        <v>6988</v>
      </c>
      <c r="T304" s="118">
        <v>1</v>
      </c>
      <c r="U304" s="118">
        <v>0</v>
      </c>
      <c r="V304" s="118">
        <v>0</v>
      </c>
      <c r="W304" s="118">
        <v>0</v>
      </c>
      <c r="X304" s="118">
        <v>0</v>
      </c>
      <c r="Y304" s="118">
        <v>6</v>
      </c>
      <c r="Z304" s="118">
        <v>0</v>
      </c>
      <c r="AA304" s="118">
        <v>2</v>
      </c>
      <c r="AB304" s="118" t="s">
        <v>1067</v>
      </c>
      <c r="AC304" s="118" t="s">
        <v>6989</v>
      </c>
      <c r="AD304" s="118" t="s">
        <v>1034</v>
      </c>
      <c r="AE304" s="118" t="s">
        <v>943</v>
      </c>
      <c r="AF304" s="118" t="s">
        <v>1041</v>
      </c>
      <c r="AG304" s="118" t="s">
        <v>6415</v>
      </c>
      <c r="AH304" s="118" t="s">
        <v>393</v>
      </c>
      <c r="AI304" s="118">
        <v>4</v>
      </c>
      <c r="AJ304" s="118" t="s">
        <v>6415</v>
      </c>
      <c r="AK304" s="118" t="s">
        <v>393</v>
      </c>
      <c r="AL304" s="118" t="s">
        <v>393</v>
      </c>
      <c r="AM304" s="118" t="s">
        <v>393</v>
      </c>
      <c r="AN304" s="402" t="s">
        <v>5975</v>
      </c>
      <c r="AO304" s="402">
        <v>45743</v>
      </c>
      <c r="AP304" s="118">
        <v>3</v>
      </c>
      <c r="AQ304" s="118">
        <v>18</v>
      </c>
      <c r="AR304" s="118" t="s">
        <v>6447</v>
      </c>
      <c r="AS304" s="118" t="s">
        <v>392</v>
      </c>
      <c r="AT304" s="118" t="s">
        <v>500</v>
      </c>
      <c r="AU304" s="118" t="s">
        <v>404</v>
      </c>
      <c r="AV304" s="118" t="s">
        <v>508</v>
      </c>
      <c r="AW304" s="118" t="s">
        <v>393</v>
      </c>
      <c r="AX304" s="118" t="s">
        <v>740</v>
      </c>
      <c r="AY304" s="118" t="s">
        <v>393</v>
      </c>
      <c r="AZ304" s="118" t="s">
        <v>393</v>
      </c>
      <c r="BA304" s="118" t="s">
        <v>393</v>
      </c>
      <c r="BB304" s="118" t="s">
        <v>393</v>
      </c>
      <c r="BC304" s="118" t="s">
        <v>393</v>
      </c>
      <c r="BD304" s="118" t="s">
        <v>393</v>
      </c>
      <c r="BE304" s="118" t="s">
        <v>393</v>
      </c>
      <c r="BF304" s="118" t="s">
        <v>393</v>
      </c>
      <c r="BG304" s="118" t="s">
        <v>393</v>
      </c>
      <c r="BH304" s="118" t="s">
        <v>394</v>
      </c>
      <c r="BI304" s="118" t="s">
        <v>394</v>
      </c>
      <c r="BJ304" s="118" t="s">
        <v>393</v>
      </c>
      <c r="BK304" s="118" t="s">
        <v>6988</v>
      </c>
      <c r="BL304" s="118" t="s">
        <v>6415</v>
      </c>
      <c r="BM304" s="118" t="s">
        <v>6990</v>
      </c>
      <c r="BN304" s="118" t="s">
        <v>6991</v>
      </c>
      <c r="BO304" s="118" t="s">
        <v>6415</v>
      </c>
      <c r="BP304" s="118" t="s">
        <v>6415</v>
      </c>
      <c r="BQ304" s="118" t="s">
        <v>6415</v>
      </c>
      <c r="BR304" s="118" t="s">
        <v>6415</v>
      </c>
      <c r="BS304" s="118" t="s">
        <v>6415</v>
      </c>
      <c r="BT304" s="118" t="s">
        <v>7432</v>
      </c>
      <c r="BU304" s="118" t="s">
        <v>6415</v>
      </c>
      <c r="BV304" s="118" t="s">
        <v>6415</v>
      </c>
      <c r="BW304" s="118" t="s">
        <v>6415</v>
      </c>
      <c r="BX304" s="118" t="s">
        <v>6415</v>
      </c>
      <c r="BY304" s="118" t="s">
        <v>6415</v>
      </c>
      <c r="BZ304" s="118">
        <v>1696</v>
      </c>
      <c r="CA304" s="118" t="s">
        <v>6415</v>
      </c>
      <c r="CB304" s="118" t="s">
        <v>422</v>
      </c>
      <c r="CC304" s="118" t="s">
        <v>740</v>
      </c>
      <c r="CD304" s="118">
        <v>1</v>
      </c>
      <c r="CE304" s="118" t="s">
        <v>405</v>
      </c>
      <c r="CF304" s="118" t="s">
        <v>406</v>
      </c>
      <c r="CG304" s="118" t="s">
        <v>924</v>
      </c>
      <c r="CH304" s="118" t="s">
        <v>6300</v>
      </c>
      <c r="CI304" s="118" t="s">
        <v>6303</v>
      </c>
      <c r="CJ304" s="118" t="s">
        <v>398</v>
      </c>
      <c r="CK304" s="118">
        <v>5</v>
      </c>
      <c r="CL304" s="118">
        <v>35</v>
      </c>
      <c r="CM304" s="118" t="s">
        <v>399</v>
      </c>
      <c r="CN304" s="118" t="s">
        <v>6512</v>
      </c>
      <c r="CO304" s="118" t="s">
        <v>1096</v>
      </c>
      <c r="CP304" s="118" t="s">
        <v>400</v>
      </c>
      <c r="CQ304" s="118" t="s">
        <v>6415</v>
      </c>
      <c r="CR304" s="118" t="s">
        <v>6415</v>
      </c>
      <c r="CS304" s="118" t="s">
        <v>6415</v>
      </c>
      <c r="CT304" s="118" t="s">
        <v>6415</v>
      </c>
      <c r="CU304" s="118" t="s">
        <v>6415</v>
      </c>
      <c r="CV304" s="118" t="s">
        <v>6415</v>
      </c>
      <c r="CW304" s="118">
        <v>40</v>
      </c>
      <c r="CX304" s="118" t="s">
        <v>1068</v>
      </c>
      <c r="CY304" s="118" t="s">
        <v>6341</v>
      </c>
      <c r="CZ304" s="118">
        <v>2</v>
      </c>
      <c r="DA304" s="118" t="s">
        <v>405</v>
      </c>
      <c r="DB304" s="118" t="s">
        <v>406</v>
      </c>
      <c r="DC304" s="118" t="s">
        <v>6415</v>
      </c>
      <c r="DD304" s="118" t="s">
        <v>6300</v>
      </c>
      <c r="DE304" s="118" t="s">
        <v>6303</v>
      </c>
      <c r="DF304" s="118" t="s">
        <v>398</v>
      </c>
      <c r="DG304" s="118">
        <v>0</v>
      </c>
      <c r="DH304" s="118">
        <v>35</v>
      </c>
      <c r="DI304" s="118" t="s">
        <v>6355</v>
      </c>
      <c r="DJ304" s="118" t="s">
        <v>398</v>
      </c>
      <c r="DK304" s="118" t="s">
        <v>400</v>
      </c>
      <c r="DL304" s="118" t="s">
        <v>6415</v>
      </c>
      <c r="DM304" s="118" t="s">
        <v>6415</v>
      </c>
      <c r="DN304" s="118" t="s">
        <v>6415</v>
      </c>
      <c r="DO304" s="118" t="s">
        <v>6415</v>
      </c>
      <c r="DP304" s="118" t="s">
        <v>6415</v>
      </c>
      <c r="DQ304" s="118" t="s">
        <v>6415</v>
      </c>
      <c r="DR304" s="118">
        <v>58</v>
      </c>
      <c r="DS304" s="118" t="s">
        <v>1068</v>
      </c>
      <c r="DT304" s="118" t="s">
        <v>6341</v>
      </c>
      <c r="DU304" s="118" t="s">
        <v>6415</v>
      </c>
      <c r="DV304" s="118" t="s">
        <v>6415</v>
      </c>
      <c r="DW304" s="118" t="s">
        <v>6415</v>
      </c>
      <c r="DX304" s="118" t="s">
        <v>6415</v>
      </c>
      <c r="DY304" s="118" t="s">
        <v>6415</v>
      </c>
      <c r="DZ304" s="118" t="s">
        <v>6415</v>
      </c>
      <c r="EA304" s="118" t="s">
        <v>6415</v>
      </c>
      <c r="EB304" s="118" t="s">
        <v>6415</v>
      </c>
      <c r="EC304" s="118" t="s">
        <v>6415</v>
      </c>
      <c r="ED304" s="118" t="s">
        <v>6415</v>
      </c>
      <c r="EE304" s="118" t="s">
        <v>6415</v>
      </c>
      <c r="EF304" s="118" t="s">
        <v>6415</v>
      </c>
      <c r="EG304" s="118" t="s">
        <v>7006</v>
      </c>
      <c r="EH304" s="118" t="s">
        <v>7007</v>
      </c>
      <c r="EI304" s="118" t="s">
        <v>6415</v>
      </c>
      <c r="EJ304" s="118" t="s">
        <v>6415</v>
      </c>
      <c r="EK304" s="118">
        <v>89652</v>
      </c>
      <c r="EL304" s="118" t="s">
        <v>7467</v>
      </c>
      <c r="EM304" s="118" t="s">
        <v>7431</v>
      </c>
      <c r="EN304" s="118" t="s">
        <v>6415</v>
      </c>
      <c r="EO304" s="6" t="str">
        <f t="shared" si="26"/>
        <v>Pathweb</v>
      </c>
      <c r="EP304" s="6" t="str">
        <f t="shared" si="27"/>
        <v>Google Maps</v>
      </c>
      <c r="EQ304" s="6" t="str">
        <f t="shared" si="28"/>
        <v>Mashed Map</v>
      </c>
      <c r="ER304" s="118" t="s">
        <v>6727</v>
      </c>
      <c r="ES304" s="118" t="s">
        <v>71</v>
      </c>
      <c r="ET304" s="4">
        <v>0</v>
      </c>
      <c r="EU304" s="4"/>
      <c r="EV304" s="4"/>
    </row>
    <row r="305" spans="1:152" x14ac:dyDescent="0.15">
      <c r="A305" s="581" t="str">
        <f t="shared" si="25"/>
        <v>Crash Report</v>
      </c>
      <c r="B305" s="118">
        <v>20253060518</v>
      </c>
      <c r="C305" s="118">
        <v>2025</v>
      </c>
      <c r="D305" s="118">
        <v>25040530240552</v>
      </c>
      <c r="F305" s="118" t="s">
        <v>6441</v>
      </c>
      <c r="G305" s="118" t="s">
        <v>402</v>
      </c>
      <c r="H305" s="118">
        <v>2</v>
      </c>
      <c r="I305" s="118" t="s">
        <v>6055</v>
      </c>
      <c r="J305" s="118" t="s">
        <v>391</v>
      </c>
      <c r="K305" s="118" t="s">
        <v>6997</v>
      </c>
      <c r="L305" s="118">
        <v>7.3999999999999996E-2</v>
      </c>
      <c r="M305" s="118">
        <v>7.3999999999999996E-2</v>
      </c>
      <c r="N305" s="118" t="s">
        <v>7469</v>
      </c>
      <c r="O305" s="118">
        <v>827</v>
      </c>
      <c r="P305" s="118">
        <v>41.640903999999999</v>
      </c>
      <c r="Q305" s="118">
        <v>-83.518192999999997</v>
      </c>
      <c r="R305" s="118">
        <v>77000</v>
      </c>
      <c r="S305" s="118" t="s">
        <v>6988</v>
      </c>
      <c r="T305" s="118">
        <v>1</v>
      </c>
      <c r="U305" s="118">
        <v>0</v>
      </c>
      <c r="V305" s="118">
        <v>0</v>
      </c>
      <c r="W305" s="118">
        <v>0</v>
      </c>
      <c r="X305" s="118">
        <v>1</v>
      </c>
      <c r="Y305" s="118">
        <v>0</v>
      </c>
      <c r="Z305" s="118">
        <v>0</v>
      </c>
      <c r="AA305" s="118">
        <v>2</v>
      </c>
      <c r="AB305" s="118" t="s">
        <v>1067</v>
      </c>
      <c r="AC305" s="118" t="s">
        <v>6989</v>
      </c>
      <c r="AD305" s="118" t="s">
        <v>1034</v>
      </c>
      <c r="AE305" s="118" t="s">
        <v>943</v>
      </c>
      <c r="AF305" s="118" t="s">
        <v>1045</v>
      </c>
      <c r="AG305" s="118" t="s">
        <v>6415</v>
      </c>
      <c r="AH305" s="118" t="s">
        <v>393</v>
      </c>
      <c r="AI305" s="118">
        <v>4</v>
      </c>
      <c r="AJ305" s="118" t="s">
        <v>6415</v>
      </c>
      <c r="AK305" s="118" t="s">
        <v>393</v>
      </c>
      <c r="AL305" s="118" t="s">
        <v>393</v>
      </c>
      <c r="AM305" s="118" t="s">
        <v>393</v>
      </c>
      <c r="AN305" s="402" t="s">
        <v>5975</v>
      </c>
      <c r="AO305" s="402">
        <v>45752</v>
      </c>
      <c r="AP305" s="118">
        <v>4</v>
      </c>
      <c r="AQ305" s="118">
        <v>5</v>
      </c>
      <c r="AR305" s="118" t="s">
        <v>6449</v>
      </c>
      <c r="AS305" s="118" t="s">
        <v>420</v>
      </c>
      <c r="AT305" s="118" t="s">
        <v>225</v>
      </c>
      <c r="AU305" s="118" t="s">
        <v>505</v>
      </c>
      <c r="AV305" s="118" t="s">
        <v>508</v>
      </c>
      <c r="AW305" s="118" t="s">
        <v>393</v>
      </c>
      <c r="AX305" s="118" t="s">
        <v>393</v>
      </c>
      <c r="AY305" s="118" t="s">
        <v>393</v>
      </c>
      <c r="AZ305" s="118" t="s">
        <v>393</v>
      </c>
      <c r="BA305" s="118" t="s">
        <v>393</v>
      </c>
      <c r="BB305" s="118" t="s">
        <v>393</v>
      </c>
      <c r="BC305" s="118" t="s">
        <v>393</v>
      </c>
      <c r="BD305" s="118" t="s">
        <v>393</v>
      </c>
      <c r="BE305" s="118" t="s">
        <v>393</v>
      </c>
      <c r="BF305" s="118" t="s">
        <v>393</v>
      </c>
      <c r="BG305" s="118" t="s">
        <v>393</v>
      </c>
      <c r="BH305" s="118" t="s">
        <v>394</v>
      </c>
      <c r="BI305" s="118" t="s">
        <v>394</v>
      </c>
      <c r="BJ305" s="118" t="s">
        <v>393</v>
      </c>
      <c r="BK305" s="118" t="s">
        <v>6988</v>
      </c>
      <c r="BL305" s="118" t="s">
        <v>6415</v>
      </c>
      <c r="BM305" s="118" t="s">
        <v>6992</v>
      </c>
      <c r="BN305" s="118" t="s">
        <v>6991</v>
      </c>
      <c r="BO305" s="118" t="s">
        <v>6415</v>
      </c>
      <c r="BP305" s="118" t="s">
        <v>6415</v>
      </c>
      <c r="BQ305" s="118" t="s">
        <v>6415</v>
      </c>
      <c r="BR305" s="118" t="s">
        <v>6415</v>
      </c>
      <c r="BS305" s="118" t="s">
        <v>6415</v>
      </c>
      <c r="BT305" s="118" t="s">
        <v>7435</v>
      </c>
      <c r="BU305" s="118" t="s">
        <v>6415</v>
      </c>
      <c r="BV305" s="118" t="s">
        <v>6415</v>
      </c>
      <c r="BW305" s="118" t="s">
        <v>6415</v>
      </c>
      <c r="BX305" s="118" t="s">
        <v>6415</v>
      </c>
      <c r="BY305" s="118" t="s">
        <v>6415</v>
      </c>
      <c r="BZ305" s="118">
        <v>827</v>
      </c>
      <c r="CA305" s="118" t="s">
        <v>6415</v>
      </c>
      <c r="CB305" s="118" t="s">
        <v>422</v>
      </c>
      <c r="CC305" s="118" t="s">
        <v>740</v>
      </c>
      <c r="CD305" s="118">
        <v>2</v>
      </c>
      <c r="CE305" s="118" t="s">
        <v>411</v>
      </c>
      <c r="CF305" s="118" t="s">
        <v>410</v>
      </c>
      <c r="CG305" s="118" t="s">
        <v>924</v>
      </c>
      <c r="CH305" s="118" t="s">
        <v>6302</v>
      </c>
      <c r="CI305" s="118" t="s">
        <v>6303</v>
      </c>
      <c r="CJ305" s="118" t="s">
        <v>398</v>
      </c>
      <c r="CK305" s="118">
        <v>25</v>
      </c>
      <c r="CL305" s="118">
        <v>25</v>
      </c>
      <c r="CM305" s="118" t="s">
        <v>6151</v>
      </c>
      <c r="CN305" s="118" t="s">
        <v>398</v>
      </c>
      <c r="CO305" s="118" t="s">
        <v>1096</v>
      </c>
      <c r="CP305" s="118" t="s">
        <v>400</v>
      </c>
      <c r="CQ305" s="118" t="s">
        <v>450</v>
      </c>
      <c r="CR305" s="118" t="s">
        <v>6415</v>
      </c>
      <c r="CS305" s="118" t="s">
        <v>6415</v>
      </c>
      <c r="CT305" s="118" t="s">
        <v>6415</v>
      </c>
      <c r="CU305" s="118" t="s">
        <v>6415</v>
      </c>
      <c r="CV305" s="118" t="s">
        <v>6415</v>
      </c>
      <c r="CW305" s="118">
        <v>0</v>
      </c>
      <c r="CX305" s="118" t="s">
        <v>401</v>
      </c>
      <c r="CY305" s="118" t="s">
        <v>6151</v>
      </c>
      <c r="CZ305" s="118">
        <v>1</v>
      </c>
      <c r="DA305" s="118" t="s">
        <v>411</v>
      </c>
      <c r="DB305" s="118" t="s">
        <v>410</v>
      </c>
      <c r="DC305" s="118" t="s">
        <v>6415</v>
      </c>
      <c r="DD305" s="118" t="s">
        <v>6302</v>
      </c>
      <c r="DE305" s="118" t="s">
        <v>6303</v>
      </c>
      <c r="DF305" s="118" t="s">
        <v>398</v>
      </c>
      <c r="DG305" s="118">
        <v>0</v>
      </c>
      <c r="DH305" s="118">
        <v>25</v>
      </c>
      <c r="DI305" s="118" t="s">
        <v>429</v>
      </c>
      <c r="DJ305" s="118" t="s">
        <v>398</v>
      </c>
      <c r="DK305" s="118" t="s">
        <v>400</v>
      </c>
      <c r="DL305" s="118" t="s">
        <v>6415</v>
      </c>
      <c r="DM305" s="118" t="s">
        <v>6415</v>
      </c>
      <c r="DN305" s="118" t="s">
        <v>6415</v>
      </c>
      <c r="DO305" s="118" t="s">
        <v>6415</v>
      </c>
      <c r="DP305" s="118" t="s">
        <v>6415</v>
      </c>
      <c r="DQ305" s="118" t="s">
        <v>6415</v>
      </c>
      <c r="DR305" s="118">
        <v>0</v>
      </c>
      <c r="DS305" s="118" t="s">
        <v>6415</v>
      </c>
      <c r="DT305" s="118" t="s">
        <v>6415</v>
      </c>
      <c r="DU305" s="118" t="s">
        <v>6415</v>
      </c>
      <c r="DV305" s="118" t="s">
        <v>6415</v>
      </c>
      <c r="DW305" s="118" t="s">
        <v>6415</v>
      </c>
      <c r="DX305" s="118" t="s">
        <v>6415</v>
      </c>
      <c r="DY305" s="118" t="s">
        <v>6415</v>
      </c>
      <c r="DZ305" s="118" t="s">
        <v>6415</v>
      </c>
      <c r="EA305" s="118" t="s">
        <v>6415</v>
      </c>
      <c r="EB305" s="118" t="s">
        <v>6415</v>
      </c>
      <c r="EC305" s="118" t="s">
        <v>6415</v>
      </c>
      <c r="ED305" s="118" t="s">
        <v>6415</v>
      </c>
      <c r="EE305" s="118" t="s">
        <v>6415</v>
      </c>
      <c r="EF305" s="118" t="s">
        <v>6415</v>
      </c>
      <c r="EG305" s="118" t="s">
        <v>7249</v>
      </c>
      <c r="EH305" s="118" t="s">
        <v>7434</v>
      </c>
      <c r="EI305" s="118" t="s">
        <v>6415</v>
      </c>
      <c r="EJ305" s="118" t="s">
        <v>6415</v>
      </c>
      <c r="EK305" s="118">
        <v>114956</v>
      </c>
      <c r="EL305" s="118" t="s">
        <v>7467</v>
      </c>
      <c r="EM305" s="118" t="s">
        <v>7433</v>
      </c>
      <c r="EN305" s="118" t="s">
        <v>6415</v>
      </c>
      <c r="EO305" s="6" t="str">
        <f t="shared" si="26"/>
        <v>Pathweb</v>
      </c>
      <c r="EP305" s="6" t="str">
        <f t="shared" si="27"/>
        <v>Google Maps</v>
      </c>
      <c r="EQ305" s="6" t="str">
        <f t="shared" si="28"/>
        <v>Mashed Map</v>
      </c>
      <c r="ER305" s="118" t="s">
        <v>6727</v>
      </c>
      <c r="ES305" s="118" t="s">
        <v>6728</v>
      </c>
      <c r="ET305" s="4">
        <v>0</v>
      </c>
      <c r="EU305" s="4"/>
      <c r="EV305" s="4"/>
    </row>
    <row r="306" spans="1:152" x14ac:dyDescent="0.15">
      <c r="A306" s="581" t="str">
        <f t="shared" si="25"/>
        <v>Crash Report</v>
      </c>
      <c r="B306" s="118">
        <v>20253067576</v>
      </c>
      <c r="C306" s="118">
        <v>2025</v>
      </c>
      <c r="D306" s="118">
        <v>25041628201800</v>
      </c>
      <c r="F306" s="118" t="s">
        <v>6442</v>
      </c>
      <c r="G306" s="118" t="s">
        <v>402</v>
      </c>
      <c r="H306" s="118">
        <v>2</v>
      </c>
      <c r="I306" s="118" t="s">
        <v>6055</v>
      </c>
      <c r="J306" s="118" t="s">
        <v>391</v>
      </c>
      <c r="K306" s="118" t="s">
        <v>6985</v>
      </c>
      <c r="L306" s="118">
        <v>0.14899999999999999</v>
      </c>
      <c r="M306" s="118">
        <v>0.14899999999999999</v>
      </c>
      <c r="N306" s="118" t="s">
        <v>7465</v>
      </c>
      <c r="O306" s="118" t="s">
        <v>7466</v>
      </c>
      <c r="P306" s="118">
        <v>41.648522</v>
      </c>
      <c r="Q306" s="118">
        <v>-83.523471999999998</v>
      </c>
      <c r="R306" s="118">
        <v>77000</v>
      </c>
      <c r="S306" s="118" t="s">
        <v>6988</v>
      </c>
      <c r="T306" s="118">
        <v>1</v>
      </c>
      <c r="U306" s="118">
        <v>0</v>
      </c>
      <c r="V306" s="118">
        <v>0</v>
      </c>
      <c r="W306" s="118">
        <v>0</v>
      </c>
      <c r="X306" s="118">
        <v>0</v>
      </c>
      <c r="Y306" s="118">
        <v>2</v>
      </c>
      <c r="Z306" s="118">
        <v>0</v>
      </c>
      <c r="AA306" s="118">
        <v>2</v>
      </c>
      <c r="AB306" s="118" t="s">
        <v>1067</v>
      </c>
      <c r="AC306" s="118" t="s">
        <v>6989</v>
      </c>
      <c r="AD306" s="118" t="s">
        <v>1034</v>
      </c>
      <c r="AE306" s="118" t="s">
        <v>943</v>
      </c>
      <c r="AF306" s="118" t="s">
        <v>1042</v>
      </c>
      <c r="AG306" s="118" t="s">
        <v>6415</v>
      </c>
      <c r="AH306" s="118" t="s">
        <v>393</v>
      </c>
      <c r="AI306" s="118">
        <v>4</v>
      </c>
      <c r="AJ306" s="118" t="s">
        <v>6415</v>
      </c>
      <c r="AK306" s="118" t="s">
        <v>393</v>
      </c>
      <c r="AL306" s="118" t="s">
        <v>393</v>
      </c>
      <c r="AM306" s="118" t="s">
        <v>393</v>
      </c>
      <c r="AN306" s="402" t="s">
        <v>5975</v>
      </c>
      <c r="AO306" s="402">
        <v>45763</v>
      </c>
      <c r="AP306" s="118">
        <v>4</v>
      </c>
      <c r="AQ306" s="118">
        <v>18</v>
      </c>
      <c r="AR306" s="118" t="s">
        <v>6446</v>
      </c>
      <c r="AS306" s="118" t="s">
        <v>392</v>
      </c>
      <c r="AT306" s="118" t="s">
        <v>500</v>
      </c>
      <c r="AU306" s="118" t="s">
        <v>404</v>
      </c>
      <c r="AV306" s="118" t="s">
        <v>508</v>
      </c>
      <c r="AW306" s="118" t="s">
        <v>393</v>
      </c>
      <c r="AX306" s="118" t="s">
        <v>393</v>
      </c>
      <c r="AY306" s="118" t="s">
        <v>393</v>
      </c>
      <c r="AZ306" s="118" t="s">
        <v>393</v>
      </c>
      <c r="BA306" s="118" t="s">
        <v>393</v>
      </c>
      <c r="BB306" s="118" t="s">
        <v>393</v>
      </c>
      <c r="BC306" s="118" t="s">
        <v>393</v>
      </c>
      <c r="BD306" s="118" t="s">
        <v>393</v>
      </c>
      <c r="BE306" s="118" t="s">
        <v>393</v>
      </c>
      <c r="BF306" s="118" t="s">
        <v>393</v>
      </c>
      <c r="BG306" s="118" t="s">
        <v>393</v>
      </c>
      <c r="BH306" s="118" t="s">
        <v>394</v>
      </c>
      <c r="BI306" s="118" t="s">
        <v>394</v>
      </c>
      <c r="BJ306" s="118" t="s">
        <v>393</v>
      </c>
      <c r="BK306" s="118" t="s">
        <v>6988</v>
      </c>
      <c r="BL306" s="118" t="s">
        <v>6415</v>
      </c>
      <c r="BM306" s="118" t="s">
        <v>6990</v>
      </c>
      <c r="BN306" s="118" t="s">
        <v>6991</v>
      </c>
      <c r="BO306" s="118" t="s">
        <v>6415</v>
      </c>
      <c r="BP306" s="118" t="s">
        <v>6415</v>
      </c>
      <c r="BQ306" s="118" t="s">
        <v>6415</v>
      </c>
      <c r="BR306" s="118" t="s">
        <v>6415</v>
      </c>
      <c r="BS306" s="118" t="s">
        <v>6415</v>
      </c>
      <c r="BT306" s="118" t="s">
        <v>6992</v>
      </c>
      <c r="BU306" s="118" t="s">
        <v>6991</v>
      </c>
      <c r="BV306" s="118" t="s">
        <v>6415</v>
      </c>
      <c r="BW306" s="118" t="s">
        <v>6415</v>
      </c>
      <c r="BX306" s="118" t="s">
        <v>6415</v>
      </c>
      <c r="BY306" s="118" t="s">
        <v>6415</v>
      </c>
      <c r="BZ306" s="118" t="s">
        <v>6415</v>
      </c>
      <c r="CA306" s="118" t="s">
        <v>6415</v>
      </c>
      <c r="CB306" s="118" t="s">
        <v>221</v>
      </c>
      <c r="CC306" s="118" t="s">
        <v>740</v>
      </c>
      <c r="CD306" s="118">
        <v>1</v>
      </c>
      <c r="CE306" s="118" t="s">
        <v>410</v>
      </c>
      <c r="CF306" s="118" t="s">
        <v>411</v>
      </c>
      <c r="CG306" s="118" t="s">
        <v>924</v>
      </c>
      <c r="CH306" s="118" t="s">
        <v>6302</v>
      </c>
      <c r="CI306" s="118" t="s">
        <v>6303</v>
      </c>
      <c r="CJ306" s="118" t="s">
        <v>6151</v>
      </c>
      <c r="CK306" s="118">
        <v>0</v>
      </c>
      <c r="CL306" s="118">
        <v>35</v>
      </c>
      <c r="CM306" s="118" t="s">
        <v>439</v>
      </c>
      <c r="CN306" s="118" t="s">
        <v>6328</v>
      </c>
      <c r="CO306" s="118" t="s">
        <v>1096</v>
      </c>
      <c r="CP306" s="118" t="s">
        <v>400</v>
      </c>
      <c r="CQ306" s="118" t="s">
        <v>6415</v>
      </c>
      <c r="CR306" s="118" t="s">
        <v>6415</v>
      </c>
      <c r="CS306" s="118" t="s">
        <v>6415</v>
      </c>
      <c r="CT306" s="118" t="s">
        <v>6415</v>
      </c>
      <c r="CU306" s="118" t="s">
        <v>6415</v>
      </c>
      <c r="CV306" s="118" t="s">
        <v>6415</v>
      </c>
      <c r="CW306" s="118">
        <v>0</v>
      </c>
      <c r="CX306" s="118" t="s">
        <v>401</v>
      </c>
      <c r="CY306" s="118" t="s">
        <v>6151</v>
      </c>
      <c r="CZ306" s="118">
        <v>2</v>
      </c>
      <c r="DA306" s="118" t="s">
        <v>410</v>
      </c>
      <c r="DB306" s="118" t="s">
        <v>411</v>
      </c>
      <c r="DC306" s="118" t="s">
        <v>6415</v>
      </c>
      <c r="DD306" s="118" t="s">
        <v>6302</v>
      </c>
      <c r="DE306" s="118" t="s">
        <v>6305</v>
      </c>
      <c r="DF306" s="118" t="s">
        <v>6151</v>
      </c>
      <c r="DG306" s="118" t="s">
        <v>6415</v>
      </c>
      <c r="DH306" s="118">
        <v>35</v>
      </c>
      <c r="DI306" s="118" t="s">
        <v>399</v>
      </c>
      <c r="DJ306" s="118" t="s">
        <v>398</v>
      </c>
      <c r="DK306" s="118" t="s">
        <v>400</v>
      </c>
      <c r="DL306" s="118" t="s">
        <v>6415</v>
      </c>
      <c r="DM306" s="118" t="s">
        <v>6415</v>
      </c>
      <c r="DN306" s="118" t="s">
        <v>6415</v>
      </c>
      <c r="DO306" s="118" t="s">
        <v>6415</v>
      </c>
      <c r="DP306" s="118" t="s">
        <v>6415</v>
      </c>
      <c r="DQ306" s="118" t="s">
        <v>6415</v>
      </c>
      <c r="DR306" s="118">
        <v>34</v>
      </c>
      <c r="DS306" s="118" t="s">
        <v>1066</v>
      </c>
      <c r="DT306" s="118" t="s">
        <v>6151</v>
      </c>
      <c r="DU306" s="118" t="s">
        <v>6415</v>
      </c>
      <c r="DV306" s="118" t="s">
        <v>6415</v>
      </c>
      <c r="DW306" s="118" t="s">
        <v>6415</v>
      </c>
      <c r="DX306" s="118" t="s">
        <v>6415</v>
      </c>
      <c r="DY306" s="118" t="s">
        <v>6415</v>
      </c>
      <c r="DZ306" s="118" t="s">
        <v>6415</v>
      </c>
      <c r="EA306" s="118" t="s">
        <v>6415</v>
      </c>
      <c r="EB306" s="118" t="s">
        <v>6415</v>
      </c>
      <c r="EC306" s="118" t="s">
        <v>6415</v>
      </c>
      <c r="ED306" s="118" t="s">
        <v>6415</v>
      </c>
      <c r="EE306" s="118" t="s">
        <v>6415</v>
      </c>
      <c r="EF306" s="118" t="s">
        <v>6415</v>
      </c>
      <c r="EG306" s="118" t="s">
        <v>6986</v>
      </c>
      <c r="EH306" s="118" t="s">
        <v>6987</v>
      </c>
      <c r="EI306" s="118" t="s">
        <v>6415</v>
      </c>
      <c r="EJ306" s="118" t="s">
        <v>6415</v>
      </c>
      <c r="EK306" s="118">
        <v>145187</v>
      </c>
      <c r="EL306" s="118" t="s">
        <v>7467</v>
      </c>
      <c r="EM306" s="118" t="s">
        <v>7436</v>
      </c>
      <c r="EN306" s="118" t="s">
        <v>6415</v>
      </c>
      <c r="EO306" s="6" t="str">
        <f t="shared" si="26"/>
        <v>Pathweb</v>
      </c>
      <c r="EP306" s="6" t="str">
        <f t="shared" si="27"/>
        <v>Google Maps</v>
      </c>
      <c r="EQ306" s="6" t="str">
        <f t="shared" si="28"/>
        <v>Mashed Map</v>
      </c>
      <c r="ER306" s="118" t="s">
        <v>6727</v>
      </c>
      <c r="ES306" s="118" t="s">
        <v>71</v>
      </c>
      <c r="ET306" s="4">
        <v>1.9E-2</v>
      </c>
      <c r="EU306" s="4"/>
      <c r="EV306" s="4"/>
    </row>
    <row r="307" spans="1:152" x14ac:dyDescent="0.15">
      <c r="A307" s="581" t="str">
        <f t="shared" si="25"/>
        <v>Crash Report</v>
      </c>
      <c r="B307" s="118">
        <v>20253069589</v>
      </c>
      <c r="C307" s="118">
        <v>2025</v>
      </c>
      <c r="D307" s="118">
        <v>25041925771030</v>
      </c>
      <c r="F307" s="118" t="s">
        <v>6439</v>
      </c>
      <c r="G307" s="118" t="s">
        <v>230</v>
      </c>
      <c r="H307" s="118">
        <v>2</v>
      </c>
      <c r="I307" s="118" t="s">
        <v>6055</v>
      </c>
      <c r="J307" s="118" t="s">
        <v>423</v>
      </c>
      <c r="K307" s="118" t="s">
        <v>6985</v>
      </c>
      <c r="L307" s="118">
        <v>0.51</v>
      </c>
      <c r="M307" s="118">
        <v>0.51</v>
      </c>
      <c r="N307" s="118" t="s">
        <v>7465</v>
      </c>
      <c r="O307" s="118" t="s">
        <v>7468</v>
      </c>
      <c r="P307" s="118">
        <v>41.651820999999998</v>
      </c>
      <c r="Q307" s="118">
        <v>-83.518082000000007</v>
      </c>
      <c r="R307" s="118">
        <v>77000</v>
      </c>
      <c r="S307" s="118" t="s">
        <v>6988</v>
      </c>
      <c r="T307" s="118">
        <v>1</v>
      </c>
      <c r="U307" s="118">
        <v>0</v>
      </c>
      <c r="V307" s="118">
        <v>1</v>
      </c>
      <c r="W307" s="118">
        <v>0</v>
      </c>
      <c r="X307" s="118">
        <v>0</v>
      </c>
      <c r="Y307" s="118">
        <v>2</v>
      </c>
      <c r="Z307" s="118">
        <v>0</v>
      </c>
      <c r="AA307" s="118">
        <v>2</v>
      </c>
      <c r="AB307" s="118" t="s">
        <v>1067</v>
      </c>
      <c r="AC307" s="118" t="s">
        <v>6989</v>
      </c>
      <c r="AD307" s="118" t="s">
        <v>1034</v>
      </c>
      <c r="AE307" s="118" t="s">
        <v>943</v>
      </c>
      <c r="AF307" s="118" t="s">
        <v>1041</v>
      </c>
      <c r="AG307" s="118" t="s">
        <v>6415</v>
      </c>
      <c r="AH307" s="118" t="s">
        <v>393</v>
      </c>
      <c r="AI307" s="118">
        <v>4</v>
      </c>
      <c r="AJ307" s="118" t="s">
        <v>6415</v>
      </c>
      <c r="AK307" s="118" t="s">
        <v>393</v>
      </c>
      <c r="AL307" s="118" t="s">
        <v>393</v>
      </c>
      <c r="AM307" s="118" t="s">
        <v>393</v>
      </c>
      <c r="AN307" s="402" t="s">
        <v>5975</v>
      </c>
      <c r="AO307" s="402">
        <v>45766</v>
      </c>
      <c r="AP307" s="118">
        <v>4</v>
      </c>
      <c r="AQ307" s="118">
        <v>10</v>
      </c>
      <c r="AR307" s="118" t="s">
        <v>6449</v>
      </c>
      <c r="AS307" s="118" t="s">
        <v>420</v>
      </c>
      <c r="AT307" s="118" t="s">
        <v>225</v>
      </c>
      <c r="AU307" s="118" t="s">
        <v>404</v>
      </c>
      <c r="AV307" s="118" t="s">
        <v>508</v>
      </c>
      <c r="AW307" s="118" t="s">
        <v>393</v>
      </c>
      <c r="AX307" s="118" t="s">
        <v>740</v>
      </c>
      <c r="AY307" s="118" t="s">
        <v>393</v>
      </c>
      <c r="AZ307" s="118" t="s">
        <v>393</v>
      </c>
      <c r="BA307" s="118" t="s">
        <v>393</v>
      </c>
      <c r="BB307" s="118" t="s">
        <v>393</v>
      </c>
      <c r="BC307" s="118" t="s">
        <v>740</v>
      </c>
      <c r="BD307" s="118" t="s">
        <v>740</v>
      </c>
      <c r="BE307" s="118" t="s">
        <v>393</v>
      </c>
      <c r="BF307" s="118" t="s">
        <v>740</v>
      </c>
      <c r="BG307" s="118" t="s">
        <v>393</v>
      </c>
      <c r="BH307" s="118" t="s">
        <v>394</v>
      </c>
      <c r="BI307" s="118" t="s">
        <v>394</v>
      </c>
      <c r="BJ307" s="118" t="s">
        <v>393</v>
      </c>
      <c r="BK307" s="118" t="s">
        <v>6988</v>
      </c>
      <c r="BL307" s="118" t="s">
        <v>6415</v>
      </c>
      <c r="BM307" s="118" t="s">
        <v>6990</v>
      </c>
      <c r="BN307" s="118" t="s">
        <v>6991</v>
      </c>
      <c r="BO307" s="118" t="s">
        <v>6415</v>
      </c>
      <c r="BP307" s="118" t="s">
        <v>6415</v>
      </c>
      <c r="BQ307" s="118" t="s">
        <v>6415</v>
      </c>
      <c r="BR307" s="118" t="s">
        <v>6415</v>
      </c>
      <c r="BS307" s="118" t="s">
        <v>261</v>
      </c>
      <c r="BT307" s="118" t="s">
        <v>1791</v>
      </c>
      <c r="BU307" s="118" t="s">
        <v>6991</v>
      </c>
      <c r="BV307" s="118" t="s">
        <v>6415</v>
      </c>
      <c r="BW307" s="118" t="s">
        <v>6415</v>
      </c>
      <c r="BX307" s="118" t="s">
        <v>6415</v>
      </c>
      <c r="BY307" s="118" t="s">
        <v>6415</v>
      </c>
      <c r="BZ307" s="118" t="s">
        <v>6415</v>
      </c>
      <c r="CA307" s="118" t="s">
        <v>6415</v>
      </c>
      <c r="CB307" s="118" t="s">
        <v>221</v>
      </c>
      <c r="CC307" s="118" t="s">
        <v>740</v>
      </c>
      <c r="CD307" s="118">
        <v>1</v>
      </c>
      <c r="CE307" s="118" t="s">
        <v>397</v>
      </c>
      <c r="CF307" s="118" t="s">
        <v>446</v>
      </c>
      <c r="CG307" s="118" t="s">
        <v>230</v>
      </c>
      <c r="CH307" s="118" t="s">
        <v>6300</v>
      </c>
      <c r="CI307" s="118" t="s">
        <v>417</v>
      </c>
      <c r="CJ307" s="118" t="s">
        <v>398</v>
      </c>
      <c r="CK307" s="118">
        <v>15</v>
      </c>
      <c r="CL307" s="118">
        <v>0</v>
      </c>
      <c r="CM307" s="118" t="s">
        <v>436</v>
      </c>
      <c r="CN307" s="118" t="s">
        <v>451</v>
      </c>
      <c r="CO307" s="118" t="s">
        <v>1096</v>
      </c>
      <c r="CP307" s="118" t="s">
        <v>400</v>
      </c>
      <c r="CQ307" s="118" t="s">
        <v>6415</v>
      </c>
      <c r="CR307" s="118" t="s">
        <v>6415</v>
      </c>
      <c r="CS307" s="118" t="s">
        <v>6415</v>
      </c>
      <c r="CT307" s="118" t="s">
        <v>6415</v>
      </c>
      <c r="CU307" s="118" t="s">
        <v>6415</v>
      </c>
      <c r="CV307" s="118" t="s">
        <v>6415</v>
      </c>
      <c r="CW307" s="118">
        <v>60</v>
      </c>
      <c r="CX307" s="118" t="s">
        <v>1068</v>
      </c>
      <c r="CY307" s="118" t="s">
        <v>6341</v>
      </c>
      <c r="CZ307" s="118">
        <v>2</v>
      </c>
      <c r="DA307" s="118" t="s">
        <v>396</v>
      </c>
      <c r="DB307" s="118" t="s">
        <v>397</v>
      </c>
      <c r="DC307" s="118" t="s">
        <v>6415</v>
      </c>
      <c r="DD307" s="118" t="s">
        <v>6300</v>
      </c>
      <c r="DE307" s="118" t="s">
        <v>6308</v>
      </c>
      <c r="DF307" s="118" t="s">
        <v>398</v>
      </c>
      <c r="DG307" s="118">
        <v>40</v>
      </c>
      <c r="DH307" s="118">
        <v>35</v>
      </c>
      <c r="DI307" s="118" t="s">
        <v>399</v>
      </c>
      <c r="DJ307" s="118" t="s">
        <v>398</v>
      </c>
      <c r="DK307" s="118" t="s">
        <v>400</v>
      </c>
      <c r="DL307" s="118" t="s">
        <v>6415</v>
      </c>
      <c r="DM307" s="118" t="s">
        <v>6415</v>
      </c>
      <c r="DN307" s="118" t="s">
        <v>6415</v>
      </c>
      <c r="DO307" s="118" t="s">
        <v>6415</v>
      </c>
      <c r="DP307" s="118" t="s">
        <v>6415</v>
      </c>
      <c r="DQ307" s="118" t="s">
        <v>6415</v>
      </c>
      <c r="DR307" s="118">
        <v>21</v>
      </c>
      <c r="DS307" s="118" t="s">
        <v>1068</v>
      </c>
      <c r="DT307" s="118" t="s">
        <v>6341</v>
      </c>
      <c r="DU307" s="118" t="s">
        <v>6415</v>
      </c>
      <c r="DV307" s="118" t="s">
        <v>6415</v>
      </c>
      <c r="DW307" s="118" t="s">
        <v>6415</v>
      </c>
      <c r="DX307" s="118" t="s">
        <v>6415</v>
      </c>
      <c r="DY307" s="118" t="s">
        <v>6415</v>
      </c>
      <c r="DZ307" s="118" t="s">
        <v>6415</v>
      </c>
      <c r="EA307" s="118" t="s">
        <v>6415</v>
      </c>
      <c r="EB307" s="118" t="s">
        <v>6415</v>
      </c>
      <c r="EC307" s="118" t="s">
        <v>6415</v>
      </c>
      <c r="ED307" s="118" t="s">
        <v>6415</v>
      </c>
      <c r="EE307" s="118" t="s">
        <v>6415</v>
      </c>
      <c r="EF307" s="118" t="s">
        <v>6415</v>
      </c>
      <c r="EG307" s="118" t="s">
        <v>6994</v>
      </c>
      <c r="EH307" s="118" t="s">
        <v>7175</v>
      </c>
      <c r="EI307" s="118" t="s">
        <v>6415</v>
      </c>
      <c r="EJ307" s="118" t="s">
        <v>6415</v>
      </c>
      <c r="EK307" s="118">
        <v>145188</v>
      </c>
      <c r="EL307" s="118" t="s">
        <v>7467</v>
      </c>
      <c r="EM307" s="118" t="s">
        <v>7437</v>
      </c>
      <c r="EN307" s="118" t="s">
        <v>6415</v>
      </c>
      <c r="EO307" s="6" t="str">
        <f t="shared" si="26"/>
        <v>Pathweb</v>
      </c>
      <c r="EP307" s="6" t="str">
        <f t="shared" si="27"/>
        <v>Google Maps</v>
      </c>
      <c r="EQ307" s="6" t="str">
        <f t="shared" si="28"/>
        <v>Mashed Map</v>
      </c>
      <c r="ER307" s="118" t="s">
        <v>6727</v>
      </c>
      <c r="ES307" s="118" t="s">
        <v>6728</v>
      </c>
      <c r="ET307" s="4">
        <v>0</v>
      </c>
      <c r="EU307" s="4"/>
      <c r="EV307" s="4"/>
    </row>
    <row r="308" spans="1:152" x14ac:dyDescent="0.15">
      <c r="A308" s="581" t="str">
        <f t="shared" si="25"/>
        <v>Crash Report</v>
      </c>
      <c r="B308" s="118">
        <v>20253073823</v>
      </c>
      <c r="C308" s="118">
        <v>2025</v>
      </c>
      <c r="D308" s="118">
        <v>25042530421537</v>
      </c>
      <c r="F308" s="118" t="s">
        <v>6442</v>
      </c>
      <c r="G308" s="118" t="s">
        <v>390</v>
      </c>
      <c r="H308" s="118">
        <v>2</v>
      </c>
      <c r="I308" s="118" t="s">
        <v>6055</v>
      </c>
      <c r="J308" s="118" t="s">
        <v>391</v>
      </c>
      <c r="K308" s="118" t="s">
        <v>6985</v>
      </c>
      <c r="L308" s="118">
        <v>0.67</v>
      </c>
      <c r="M308" s="118">
        <v>0.67</v>
      </c>
      <c r="N308" s="118" t="s">
        <v>7465</v>
      </c>
      <c r="O308" s="118" t="s">
        <v>7494</v>
      </c>
      <c r="P308" s="118">
        <v>41.653281</v>
      </c>
      <c r="Q308" s="118">
        <v>-83.515686000000002</v>
      </c>
      <c r="R308" s="118">
        <v>77000</v>
      </c>
      <c r="S308" s="118" t="s">
        <v>6988</v>
      </c>
      <c r="T308" s="118">
        <v>1</v>
      </c>
      <c r="U308" s="118">
        <v>0</v>
      </c>
      <c r="V308" s="118">
        <v>0</v>
      </c>
      <c r="W308" s="118">
        <v>0</v>
      </c>
      <c r="X308" s="118">
        <v>0</v>
      </c>
      <c r="Y308" s="118">
        <v>3</v>
      </c>
      <c r="Z308" s="118">
        <v>0</v>
      </c>
      <c r="AA308" s="118">
        <v>2</v>
      </c>
      <c r="AB308" s="118" t="s">
        <v>1067</v>
      </c>
      <c r="AC308" s="118" t="s">
        <v>6989</v>
      </c>
      <c r="AD308" s="118" t="s">
        <v>1034</v>
      </c>
      <c r="AE308" s="118" t="s">
        <v>943</v>
      </c>
      <c r="AF308" s="118" t="s">
        <v>1041</v>
      </c>
      <c r="AG308" s="118" t="s">
        <v>6415</v>
      </c>
      <c r="AH308" s="118" t="s">
        <v>393</v>
      </c>
      <c r="AI308" s="118">
        <v>4</v>
      </c>
      <c r="AJ308" s="118" t="s">
        <v>6415</v>
      </c>
      <c r="AK308" s="118" t="s">
        <v>393</v>
      </c>
      <c r="AL308" s="118" t="s">
        <v>393</v>
      </c>
      <c r="AM308" s="118" t="s">
        <v>393</v>
      </c>
      <c r="AN308" s="402" t="s">
        <v>5975</v>
      </c>
      <c r="AO308" s="402">
        <v>45772</v>
      </c>
      <c r="AP308" s="118">
        <v>4</v>
      </c>
      <c r="AQ308" s="118">
        <v>15</v>
      </c>
      <c r="AR308" s="118" t="s">
        <v>6448</v>
      </c>
      <c r="AS308" s="118" t="s">
        <v>420</v>
      </c>
      <c r="AT308" s="118" t="s">
        <v>225</v>
      </c>
      <c r="AU308" s="118" t="s">
        <v>404</v>
      </c>
      <c r="AV308" s="118" t="s">
        <v>508</v>
      </c>
      <c r="AW308" s="118" t="s">
        <v>393</v>
      </c>
      <c r="AX308" s="118" t="s">
        <v>393</v>
      </c>
      <c r="AY308" s="118" t="s">
        <v>393</v>
      </c>
      <c r="AZ308" s="118" t="s">
        <v>393</v>
      </c>
      <c r="BA308" s="118" t="s">
        <v>393</v>
      </c>
      <c r="BB308" s="118" t="s">
        <v>393</v>
      </c>
      <c r="BC308" s="118" t="s">
        <v>393</v>
      </c>
      <c r="BD308" s="118" t="s">
        <v>393</v>
      </c>
      <c r="BE308" s="118" t="s">
        <v>393</v>
      </c>
      <c r="BF308" s="118" t="s">
        <v>393</v>
      </c>
      <c r="BG308" s="118" t="s">
        <v>393</v>
      </c>
      <c r="BH308" s="118" t="s">
        <v>394</v>
      </c>
      <c r="BI308" s="118" t="s">
        <v>394</v>
      </c>
      <c r="BJ308" s="118" t="s">
        <v>393</v>
      </c>
      <c r="BK308" s="118" t="s">
        <v>6988</v>
      </c>
      <c r="BL308" s="118" t="s">
        <v>6415</v>
      </c>
      <c r="BM308" s="118" t="s">
        <v>6990</v>
      </c>
      <c r="BN308" s="118" t="s">
        <v>6991</v>
      </c>
      <c r="BO308" s="118" t="s">
        <v>6415</v>
      </c>
      <c r="BP308" s="118" t="s">
        <v>6415</v>
      </c>
      <c r="BQ308" s="118" t="s">
        <v>6415</v>
      </c>
      <c r="BR308" s="118" t="s">
        <v>6415</v>
      </c>
      <c r="BS308" s="118" t="s">
        <v>6415</v>
      </c>
      <c r="BT308" s="118" t="s">
        <v>2521</v>
      </c>
      <c r="BU308" s="118" t="s">
        <v>7017</v>
      </c>
      <c r="BV308" s="118" t="s">
        <v>6415</v>
      </c>
      <c r="BW308" s="118" t="s">
        <v>6415</v>
      </c>
      <c r="BX308" s="118" t="s">
        <v>6415</v>
      </c>
      <c r="BY308" s="118" t="s">
        <v>6415</v>
      </c>
      <c r="BZ308" s="118" t="s">
        <v>6415</v>
      </c>
      <c r="CA308" s="118" t="s">
        <v>6415</v>
      </c>
      <c r="CB308" s="118" t="s">
        <v>221</v>
      </c>
      <c r="CC308" s="118" t="s">
        <v>740</v>
      </c>
      <c r="CD308" s="118">
        <v>2</v>
      </c>
      <c r="CE308" s="118" t="s">
        <v>406</v>
      </c>
      <c r="CF308" s="118" t="s">
        <v>405</v>
      </c>
      <c r="CG308" s="118" t="s">
        <v>924</v>
      </c>
      <c r="CH308" s="118" t="s">
        <v>6302</v>
      </c>
      <c r="CI308" s="118" t="s">
        <v>417</v>
      </c>
      <c r="CJ308" s="118" t="s">
        <v>398</v>
      </c>
      <c r="CK308" s="118">
        <v>30</v>
      </c>
      <c r="CL308" s="118">
        <v>35</v>
      </c>
      <c r="CM308" s="118" t="s">
        <v>439</v>
      </c>
      <c r="CN308" s="118" t="s">
        <v>6512</v>
      </c>
      <c r="CO308" s="118" t="s">
        <v>1096</v>
      </c>
      <c r="CP308" s="118" t="s">
        <v>400</v>
      </c>
      <c r="CQ308" s="118" t="s">
        <v>6415</v>
      </c>
      <c r="CR308" s="118" t="s">
        <v>6415</v>
      </c>
      <c r="CS308" s="118" t="s">
        <v>6415</v>
      </c>
      <c r="CT308" s="118" t="s">
        <v>6415</v>
      </c>
      <c r="CU308" s="118" t="s">
        <v>6415</v>
      </c>
      <c r="CV308" s="118" t="s">
        <v>6415</v>
      </c>
      <c r="CW308" s="118">
        <v>42</v>
      </c>
      <c r="CX308" s="118" t="s">
        <v>1068</v>
      </c>
      <c r="CY308" s="118" t="s">
        <v>6341</v>
      </c>
      <c r="CZ308" s="118">
        <v>1</v>
      </c>
      <c r="DA308" s="118" t="s">
        <v>406</v>
      </c>
      <c r="DB308" s="118" t="s">
        <v>405</v>
      </c>
      <c r="DC308" s="118" t="s">
        <v>6415</v>
      </c>
      <c r="DD308" s="118" t="s">
        <v>6302</v>
      </c>
      <c r="DE308" s="118" t="s">
        <v>6303</v>
      </c>
      <c r="DF308" s="118" t="s">
        <v>398</v>
      </c>
      <c r="DG308" s="118">
        <v>0</v>
      </c>
      <c r="DH308" s="118">
        <v>35</v>
      </c>
      <c r="DI308" s="118" t="s">
        <v>6355</v>
      </c>
      <c r="DJ308" s="118" t="s">
        <v>398</v>
      </c>
      <c r="DK308" s="118" t="s">
        <v>400</v>
      </c>
      <c r="DL308" s="118" t="s">
        <v>6415</v>
      </c>
      <c r="DM308" s="118" t="s">
        <v>6415</v>
      </c>
      <c r="DN308" s="118" t="s">
        <v>6415</v>
      </c>
      <c r="DO308" s="118" t="s">
        <v>6415</v>
      </c>
      <c r="DP308" s="118" t="s">
        <v>6415</v>
      </c>
      <c r="DQ308" s="118" t="s">
        <v>6415</v>
      </c>
      <c r="DR308" s="118">
        <v>32</v>
      </c>
      <c r="DS308" s="118" t="s">
        <v>1066</v>
      </c>
      <c r="DT308" s="118" t="s">
        <v>6341</v>
      </c>
      <c r="DU308" s="118" t="s">
        <v>6415</v>
      </c>
      <c r="DV308" s="118" t="s">
        <v>6415</v>
      </c>
      <c r="DW308" s="118" t="s">
        <v>6415</v>
      </c>
      <c r="DX308" s="118" t="s">
        <v>6415</v>
      </c>
      <c r="DY308" s="118" t="s">
        <v>6415</v>
      </c>
      <c r="DZ308" s="118" t="s">
        <v>6415</v>
      </c>
      <c r="EA308" s="118" t="s">
        <v>6415</v>
      </c>
      <c r="EB308" s="118" t="s">
        <v>6415</v>
      </c>
      <c r="EC308" s="118" t="s">
        <v>6415</v>
      </c>
      <c r="ED308" s="118" t="s">
        <v>6415</v>
      </c>
      <c r="EE308" s="118" t="s">
        <v>6415</v>
      </c>
      <c r="EF308" s="118" t="s">
        <v>6415</v>
      </c>
      <c r="EG308" s="118" t="s">
        <v>7226</v>
      </c>
      <c r="EH308" s="118" t="s">
        <v>7227</v>
      </c>
      <c r="EI308" s="118" t="s">
        <v>6415</v>
      </c>
      <c r="EJ308" s="118" t="s">
        <v>6415</v>
      </c>
      <c r="EK308" s="118">
        <v>145188</v>
      </c>
      <c r="EL308" s="118" t="s">
        <v>7467</v>
      </c>
      <c r="EM308" s="118" t="s">
        <v>7438</v>
      </c>
      <c r="EN308" s="118" t="s">
        <v>6415</v>
      </c>
      <c r="EO308" s="6" t="str">
        <f t="shared" si="26"/>
        <v>Pathweb</v>
      </c>
      <c r="EP308" s="6" t="str">
        <f t="shared" si="27"/>
        <v>Google Maps</v>
      </c>
      <c r="EQ308" s="6" t="str">
        <f t="shared" si="28"/>
        <v>Mashed Map</v>
      </c>
      <c r="ER308" s="118" t="s">
        <v>6727</v>
      </c>
      <c r="ES308" s="118" t="s">
        <v>71</v>
      </c>
      <c r="ET308" s="4">
        <v>0</v>
      </c>
      <c r="EU308" s="4"/>
      <c r="EV308" s="4"/>
    </row>
    <row r="309" spans="1:152" x14ac:dyDescent="0.15">
      <c r="A309" s="581" t="str">
        <f t="shared" si="25"/>
        <v>Crash Report</v>
      </c>
      <c r="B309" s="118">
        <v>20253073929</v>
      </c>
      <c r="C309" s="118">
        <v>2025</v>
      </c>
      <c r="D309" s="118">
        <v>25042426331432</v>
      </c>
      <c r="F309" s="118" t="s">
        <v>6440</v>
      </c>
      <c r="G309" s="118" t="s">
        <v>402</v>
      </c>
      <c r="H309" s="118">
        <v>2</v>
      </c>
      <c r="I309" s="118" t="s">
        <v>6055</v>
      </c>
      <c r="J309" s="118" t="s">
        <v>391</v>
      </c>
      <c r="K309" s="118" t="s">
        <v>6985</v>
      </c>
      <c r="L309" s="118">
        <v>0.51</v>
      </c>
      <c r="M309" s="118">
        <v>0.51</v>
      </c>
      <c r="N309" s="118" t="s">
        <v>7465</v>
      </c>
      <c r="O309" s="118" t="s">
        <v>7468</v>
      </c>
      <c r="P309" s="118">
        <v>41.651820999999998</v>
      </c>
      <c r="Q309" s="118">
        <v>-83.518082000000007</v>
      </c>
      <c r="R309" s="118">
        <v>77000</v>
      </c>
      <c r="S309" s="118" t="s">
        <v>6988</v>
      </c>
      <c r="T309" s="118">
        <v>1</v>
      </c>
      <c r="U309" s="118">
        <v>0</v>
      </c>
      <c r="V309" s="118">
        <v>0</v>
      </c>
      <c r="W309" s="118">
        <v>1</v>
      </c>
      <c r="X309" s="118">
        <v>1</v>
      </c>
      <c r="Y309" s="118">
        <v>1</v>
      </c>
      <c r="Z309" s="118">
        <v>0</v>
      </c>
      <c r="AA309" s="118">
        <v>2</v>
      </c>
      <c r="AB309" s="118" t="s">
        <v>1067</v>
      </c>
      <c r="AC309" s="118" t="s">
        <v>6989</v>
      </c>
      <c r="AD309" s="118" t="s">
        <v>1034</v>
      </c>
      <c r="AE309" s="118" t="s">
        <v>943</v>
      </c>
      <c r="AF309" s="118" t="s">
        <v>1041</v>
      </c>
      <c r="AG309" s="118" t="s">
        <v>6415</v>
      </c>
      <c r="AH309" s="118" t="s">
        <v>393</v>
      </c>
      <c r="AI309" s="118">
        <v>4</v>
      </c>
      <c r="AJ309" s="118" t="s">
        <v>6415</v>
      </c>
      <c r="AK309" s="118" t="s">
        <v>393</v>
      </c>
      <c r="AL309" s="118" t="s">
        <v>393</v>
      </c>
      <c r="AM309" s="118" t="s">
        <v>393</v>
      </c>
      <c r="AN309" s="402" t="s">
        <v>5975</v>
      </c>
      <c r="AO309" s="402">
        <v>45771</v>
      </c>
      <c r="AP309" s="118">
        <v>4</v>
      </c>
      <c r="AQ309" s="118">
        <v>14</v>
      </c>
      <c r="AR309" s="118" t="s">
        <v>6447</v>
      </c>
      <c r="AS309" s="118" t="s">
        <v>392</v>
      </c>
      <c r="AT309" s="118" t="s">
        <v>500</v>
      </c>
      <c r="AU309" s="118" t="s">
        <v>404</v>
      </c>
      <c r="AV309" s="118" t="s">
        <v>508</v>
      </c>
      <c r="AW309" s="118" t="s">
        <v>393</v>
      </c>
      <c r="AX309" s="118" t="s">
        <v>740</v>
      </c>
      <c r="AY309" s="118" t="s">
        <v>393</v>
      </c>
      <c r="AZ309" s="118" t="s">
        <v>393</v>
      </c>
      <c r="BA309" s="118" t="s">
        <v>393</v>
      </c>
      <c r="BB309" s="118" t="s">
        <v>393</v>
      </c>
      <c r="BC309" s="118" t="s">
        <v>393</v>
      </c>
      <c r="BD309" s="118" t="s">
        <v>393</v>
      </c>
      <c r="BE309" s="118" t="s">
        <v>393</v>
      </c>
      <c r="BF309" s="118" t="s">
        <v>393</v>
      </c>
      <c r="BG309" s="118" t="s">
        <v>393</v>
      </c>
      <c r="BH309" s="118" t="s">
        <v>394</v>
      </c>
      <c r="BI309" s="118" t="s">
        <v>394</v>
      </c>
      <c r="BJ309" s="118" t="s">
        <v>393</v>
      </c>
      <c r="BK309" s="118" t="s">
        <v>6988</v>
      </c>
      <c r="BL309" s="118" t="s">
        <v>6415</v>
      </c>
      <c r="BM309" s="118" t="s">
        <v>6990</v>
      </c>
      <c r="BN309" s="118" t="s">
        <v>6991</v>
      </c>
      <c r="BO309" s="118" t="s">
        <v>6415</v>
      </c>
      <c r="BP309" s="118" t="s">
        <v>6415</v>
      </c>
      <c r="BQ309" s="118" t="s">
        <v>6415</v>
      </c>
      <c r="BR309" s="118" t="s">
        <v>6415</v>
      </c>
      <c r="BS309" s="118" t="s">
        <v>261</v>
      </c>
      <c r="BT309" s="118" t="s">
        <v>1791</v>
      </c>
      <c r="BU309" s="118" t="s">
        <v>6991</v>
      </c>
      <c r="BV309" s="118" t="s">
        <v>6415</v>
      </c>
      <c r="BW309" s="118" t="s">
        <v>6415</v>
      </c>
      <c r="BX309" s="118" t="s">
        <v>6415</v>
      </c>
      <c r="BY309" s="118" t="s">
        <v>6415</v>
      </c>
      <c r="BZ309" s="118" t="s">
        <v>6415</v>
      </c>
      <c r="CA309" s="118" t="s">
        <v>6415</v>
      </c>
      <c r="CB309" s="118" t="s">
        <v>221</v>
      </c>
      <c r="CC309" s="118" t="s">
        <v>740</v>
      </c>
      <c r="CD309" s="118">
        <v>2</v>
      </c>
      <c r="CE309" s="118" t="s">
        <v>410</v>
      </c>
      <c r="CF309" s="118" t="s">
        <v>411</v>
      </c>
      <c r="CG309" s="118" t="s">
        <v>924</v>
      </c>
      <c r="CH309" s="118" t="s">
        <v>6300</v>
      </c>
      <c r="CI309" s="118" t="s">
        <v>6305</v>
      </c>
      <c r="CJ309" s="118" t="s">
        <v>398</v>
      </c>
      <c r="CK309" s="118">
        <v>0</v>
      </c>
      <c r="CL309" s="118">
        <v>0</v>
      </c>
      <c r="CM309" s="118" t="s">
        <v>399</v>
      </c>
      <c r="CN309" s="118" t="s">
        <v>407</v>
      </c>
      <c r="CO309" s="118" t="s">
        <v>1096</v>
      </c>
      <c r="CP309" s="118" t="s">
        <v>400</v>
      </c>
      <c r="CQ309" s="118" t="s">
        <v>6415</v>
      </c>
      <c r="CR309" s="118" t="s">
        <v>6415</v>
      </c>
      <c r="CS309" s="118" t="s">
        <v>6415</v>
      </c>
      <c r="CT309" s="118" t="s">
        <v>6415</v>
      </c>
      <c r="CU309" s="118" t="s">
        <v>6415</v>
      </c>
      <c r="CV309" s="118" t="s">
        <v>6415</v>
      </c>
      <c r="CW309" s="118">
        <v>0</v>
      </c>
      <c r="CX309" s="118" t="s">
        <v>401</v>
      </c>
      <c r="CY309" s="118" t="s">
        <v>6151</v>
      </c>
      <c r="CZ309" s="118">
        <v>1</v>
      </c>
      <c r="DA309" s="118" t="s">
        <v>410</v>
      </c>
      <c r="DB309" s="118" t="s">
        <v>411</v>
      </c>
      <c r="DC309" s="118" t="s">
        <v>6415</v>
      </c>
      <c r="DD309" s="118" t="s">
        <v>6300</v>
      </c>
      <c r="DE309" s="118" t="s">
        <v>6303</v>
      </c>
      <c r="DF309" s="118" t="s">
        <v>398</v>
      </c>
      <c r="DG309" s="118" t="s">
        <v>6415</v>
      </c>
      <c r="DH309" s="118">
        <v>45</v>
      </c>
      <c r="DI309" s="118" t="s">
        <v>399</v>
      </c>
      <c r="DJ309" s="118" t="s">
        <v>398</v>
      </c>
      <c r="DK309" s="118" t="s">
        <v>400</v>
      </c>
      <c r="DL309" s="118" t="s">
        <v>6415</v>
      </c>
      <c r="DM309" s="118" t="s">
        <v>6415</v>
      </c>
      <c r="DN309" s="118" t="s">
        <v>6415</v>
      </c>
      <c r="DO309" s="118" t="s">
        <v>6415</v>
      </c>
      <c r="DP309" s="118" t="s">
        <v>6415</v>
      </c>
      <c r="DQ309" s="118" t="s">
        <v>6415</v>
      </c>
      <c r="DR309" s="118">
        <v>33</v>
      </c>
      <c r="DS309" s="118" t="s">
        <v>1068</v>
      </c>
      <c r="DT309" s="118" t="s">
        <v>6341</v>
      </c>
      <c r="DU309" s="118" t="s">
        <v>6415</v>
      </c>
      <c r="DV309" s="118" t="s">
        <v>6415</v>
      </c>
      <c r="DW309" s="118" t="s">
        <v>6415</v>
      </c>
      <c r="DX309" s="118" t="s">
        <v>6415</v>
      </c>
      <c r="DY309" s="118" t="s">
        <v>6415</v>
      </c>
      <c r="DZ309" s="118" t="s">
        <v>6415</v>
      </c>
      <c r="EA309" s="118" t="s">
        <v>6415</v>
      </c>
      <c r="EB309" s="118" t="s">
        <v>6415</v>
      </c>
      <c r="EC309" s="118" t="s">
        <v>6415</v>
      </c>
      <c r="ED309" s="118" t="s">
        <v>6415</v>
      </c>
      <c r="EE309" s="118" t="s">
        <v>6415</v>
      </c>
      <c r="EF309" s="118" t="s">
        <v>6415</v>
      </c>
      <c r="EG309" s="118" t="s">
        <v>6994</v>
      </c>
      <c r="EH309" s="118" t="s">
        <v>7175</v>
      </c>
      <c r="EI309" s="118" t="s">
        <v>6415</v>
      </c>
      <c r="EJ309" s="118" t="s">
        <v>6415</v>
      </c>
      <c r="EK309" s="118">
        <v>145188</v>
      </c>
      <c r="EL309" s="118" t="s">
        <v>7467</v>
      </c>
      <c r="EM309" s="118" t="s">
        <v>7439</v>
      </c>
      <c r="EN309" s="118" t="s">
        <v>6415</v>
      </c>
      <c r="EO309" s="6" t="str">
        <f t="shared" si="26"/>
        <v>Pathweb</v>
      </c>
      <c r="EP309" s="6" t="str">
        <f t="shared" si="27"/>
        <v>Google Maps</v>
      </c>
      <c r="EQ309" s="6" t="str">
        <f t="shared" si="28"/>
        <v>Mashed Map</v>
      </c>
      <c r="ER309" s="118" t="s">
        <v>6727</v>
      </c>
      <c r="ES309" s="118" t="s">
        <v>6728</v>
      </c>
      <c r="ET309" s="4">
        <v>0</v>
      </c>
      <c r="EU309" s="4"/>
      <c r="EV309" s="4"/>
    </row>
    <row r="310" spans="1:152" x14ac:dyDescent="0.15">
      <c r="A310" s="581" t="str">
        <f t="shared" si="25"/>
        <v>Crash Report</v>
      </c>
      <c r="B310" s="118">
        <v>20253082183</v>
      </c>
      <c r="C310" s="118">
        <v>2025</v>
      </c>
      <c r="D310" s="118">
        <v>25050822921100</v>
      </c>
      <c r="F310" s="118" t="s">
        <v>6442</v>
      </c>
      <c r="G310" s="118" t="s">
        <v>230</v>
      </c>
      <c r="H310" s="118">
        <v>2</v>
      </c>
      <c r="I310" s="118" t="s">
        <v>6055</v>
      </c>
      <c r="J310" s="118" t="s">
        <v>391</v>
      </c>
      <c r="K310" s="118" t="s">
        <v>6985</v>
      </c>
      <c r="L310" s="118">
        <v>0.21</v>
      </c>
      <c r="M310" s="118">
        <v>0.21</v>
      </c>
      <c r="N310" s="118" t="s">
        <v>7465</v>
      </c>
      <c r="O310" s="118" t="s">
        <v>7485</v>
      </c>
      <c r="P310" s="118">
        <v>41.649082</v>
      </c>
      <c r="Q310" s="118">
        <v>-83.522566999999995</v>
      </c>
      <c r="R310" s="118">
        <v>77000</v>
      </c>
      <c r="S310" s="118" t="s">
        <v>6988</v>
      </c>
      <c r="T310" s="118">
        <v>1</v>
      </c>
      <c r="U310" s="118">
        <v>0</v>
      </c>
      <c r="V310" s="118">
        <v>0</v>
      </c>
      <c r="W310" s="118">
        <v>0</v>
      </c>
      <c r="X310" s="118">
        <v>0</v>
      </c>
      <c r="Y310" s="118">
        <v>2</v>
      </c>
      <c r="Z310" s="118">
        <v>0</v>
      </c>
      <c r="AA310" s="118">
        <v>2</v>
      </c>
      <c r="AB310" s="118" t="s">
        <v>1067</v>
      </c>
      <c r="AC310" s="118" t="s">
        <v>6989</v>
      </c>
      <c r="AD310" s="118" t="s">
        <v>1034</v>
      </c>
      <c r="AE310" s="118" t="s">
        <v>943</v>
      </c>
      <c r="AF310" s="118" t="s">
        <v>1041</v>
      </c>
      <c r="AG310" s="118" t="s">
        <v>6415</v>
      </c>
      <c r="AH310" s="118" t="s">
        <v>393</v>
      </c>
      <c r="AI310" s="118">
        <v>4</v>
      </c>
      <c r="AJ310" s="118" t="s">
        <v>6415</v>
      </c>
      <c r="AK310" s="118" t="s">
        <v>393</v>
      </c>
      <c r="AL310" s="118" t="s">
        <v>393</v>
      </c>
      <c r="AM310" s="118" t="s">
        <v>393</v>
      </c>
      <c r="AN310" s="402" t="s">
        <v>5975</v>
      </c>
      <c r="AO310" s="402">
        <v>45785</v>
      </c>
      <c r="AP310" s="118">
        <v>5</v>
      </c>
      <c r="AQ310" s="118">
        <v>11</v>
      </c>
      <c r="AR310" s="118" t="s">
        <v>6447</v>
      </c>
      <c r="AS310" s="118" t="s">
        <v>420</v>
      </c>
      <c r="AT310" s="118" t="s">
        <v>225</v>
      </c>
      <c r="AU310" s="118" t="s">
        <v>404</v>
      </c>
      <c r="AV310" s="118" t="s">
        <v>508</v>
      </c>
      <c r="AW310" s="118" t="s">
        <v>393</v>
      </c>
      <c r="AX310" s="118" t="s">
        <v>393</v>
      </c>
      <c r="AY310" s="118" t="s">
        <v>393</v>
      </c>
      <c r="AZ310" s="118" t="s">
        <v>393</v>
      </c>
      <c r="BA310" s="118" t="s">
        <v>393</v>
      </c>
      <c r="BB310" s="118" t="s">
        <v>393</v>
      </c>
      <c r="BC310" s="118" t="s">
        <v>393</v>
      </c>
      <c r="BD310" s="118" t="s">
        <v>393</v>
      </c>
      <c r="BE310" s="118" t="s">
        <v>393</v>
      </c>
      <c r="BF310" s="118" t="s">
        <v>393</v>
      </c>
      <c r="BG310" s="118" t="s">
        <v>393</v>
      </c>
      <c r="BH310" s="118" t="s">
        <v>394</v>
      </c>
      <c r="BI310" s="118" t="s">
        <v>394</v>
      </c>
      <c r="BJ310" s="118" t="s">
        <v>393</v>
      </c>
      <c r="BK310" s="118" t="s">
        <v>6988</v>
      </c>
      <c r="BL310" s="118" t="s">
        <v>6415</v>
      </c>
      <c r="BM310" s="118" t="s">
        <v>6990</v>
      </c>
      <c r="BN310" s="118" t="s">
        <v>6991</v>
      </c>
      <c r="BO310" s="118" t="s">
        <v>6415</v>
      </c>
      <c r="BP310" s="118" t="s">
        <v>6415</v>
      </c>
      <c r="BQ310" s="118" t="s">
        <v>6415</v>
      </c>
      <c r="BR310" s="118" t="s">
        <v>6415</v>
      </c>
      <c r="BS310" s="118" t="s">
        <v>6415</v>
      </c>
      <c r="BT310" s="118" t="s">
        <v>7108</v>
      </c>
      <c r="BU310" s="118" t="s">
        <v>6991</v>
      </c>
      <c r="BV310" s="118" t="s">
        <v>6415</v>
      </c>
      <c r="BW310" s="118" t="s">
        <v>6415</v>
      </c>
      <c r="BX310" s="118" t="s">
        <v>6415</v>
      </c>
      <c r="BY310" s="118" t="s">
        <v>6415</v>
      </c>
      <c r="BZ310" s="118" t="s">
        <v>6415</v>
      </c>
      <c r="CA310" s="118" t="s">
        <v>6415</v>
      </c>
      <c r="CB310" s="118" t="s">
        <v>221</v>
      </c>
      <c r="CC310" s="118" t="s">
        <v>740</v>
      </c>
      <c r="CD310" s="118">
        <v>1</v>
      </c>
      <c r="CE310" s="118" t="s">
        <v>411</v>
      </c>
      <c r="CF310" s="118" t="s">
        <v>410</v>
      </c>
      <c r="CG310" s="118" t="s">
        <v>924</v>
      </c>
      <c r="CH310" s="118" t="s">
        <v>6302</v>
      </c>
      <c r="CI310" s="118" t="s">
        <v>6315</v>
      </c>
      <c r="CJ310" s="118" t="s">
        <v>398</v>
      </c>
      <c r="CK310" s="118">
        <v>35</v>
      </c>
      <c r="CL310" s="118">
        <v>35</v>
      </c>
      <c r="CM310" s="118" t="s">
        <v>399</v>
      </c>
      <c r="CN310" s="118" t="s">
        <v>407</v>
      </c>
      <c r="CO310" s="118" t="s">
        <v>1096</v>
      </c>
      <c r="CP310" s="118" t="s">
        <v>400</v>
      </c>
      <c r="CQ310" s="118" t="s">
        <v>6415</v>
      </c>
      <c r="CR310" s="118" t="s">
        <v>6415</v>
      </c>
      <c r="CS310" s="118" t="s">
        <v>6415</v>
      </c>
      <c r="CT310" s="118" t="s">
        <v>6415</v>
      </c>
      <c r="CU310" s="118" t="s">
        <v>6415</v>
      </c>
      <c r="CV310" s="118" t="s">
        <v>6415</v>
      </c>
      <c r="CW310" s="118">
        <v>0</v>
      </c>
      <c r="CX310" s="118" t="s">
        <v>401</v>
      </c>
      <c r="CY310" s="118" t="s">
        <v>6151</v>
      </c>
      <c r="CZ310" s="118">
        <v>2</v>
      </c>
      <c r="DA310" s="118" t="s">
        <v>410</v>
      </c>
      <c r="DB310" s="118" t="s">
        <v>411</v>
      </c>
      <c r="DC310" s="118" t="s">
        <v>6415</v>
      </c>
      <c r="DD310" s="118" t="s">
        <v>6302</v>
      </c>
      <c r="DE310" s="118" t="s">
        <v>6315</v>
      </c>
      <c r="DF310" s="118" t="s">
        <v>398</v>
      </c>
      <c r="DG310" s="118">
        <v>30</v>
      </c>
      <c r="DH310" s="118">
        <v>35</v>
      </c>
      <c r="DI310" s="118" t="s">
        <v>399</v>
      </c>
      <c r="DJ310" s="118" t="s">
        <v>398</v>
      </c>
      <c r="DK310" s="118" t="s">
        <v>400</v>
      </c>
      <c r="DL310" s="118" t="s">
        <v>6415</v>
      </c>
      <c r="DM310" s="118" t="s">
        <v>6415</v>
      </c>
      <c r="DN310" s="118" t="s">
        <v>6415</v>
      </c>
      <c r="DO310" s="118" t="s">
        <v>6415</v>
      </c>
      <c r="DP310" s="118" t="s">
        <v>6415</v>
      </c>
      <c r="DQ310" s="118" t="s">
        <v>6415</v>
      </c>
      <c r="DR310" s="118">
        <v>35</v>
      </c>
      <c r="DS310" s="118" t="s">
        <v>1068</v>
      </c>
      <c r="DT310" s="118" t="s">
        <v>6341</v>
      </c>
      <c r="DU310" s="118" t="s">
        <v>6415</v>
      </c>
      <c r="DV310" s="118" t="s">
        <v>6415</v>
      </c>
      <c r="DW310" s="118" t="s">
        <v>6415</v>
      </c>
      <c r="DX310" s="118" t="s">
        <v>6415</v>
      </c>
      <c r="DY310" s="118" t="s">
        <v>6415</v>
      </c>
      <c r="DZ310" s="118" t="s">
        <v>6415</v>
      </c>
      <c r="EA310" s="118" t="s">
        <v>6415</v>
      </c>
      <c r="EB310" s="118" t="s">
        <v>6415</v>
      </c>
      <c r="EC310" s="118" t="s">
        <v>6415</v>
      </c>
      <c r="ED310" s="118" t="s">
        <v>6415</v>
      </c>
      <c r="EE310" s="118" t="s">
        <v>6415</v>
      </c>
      <c r="EF310" s="118" t="s">
        <v>6415</v>
      </c>
      <c r="EG310" s="118" t="s">
        <v>7081</v>
      </c>
      <c r="EH310" s="118" t="s">
        <v>7180</v>
      </c>
      <c r="EI310" s="118" t="s">
        <v>6415</v>
      </c>
      <c r="EJ310" s="118" t="s">
        <v>6415</v>
      </c>
      <c r="EK310" s="118">
        <v>145188</v>
      </c>
      <c r="EL310" s="118" t="s">
        <v>7467</v>
      </c>
      <c r="EM310" s="118" t="s">
        <v>7440</v>
      </c>
      <c r="EN310" s="118" t="s">
        <v>6415</v>
      </c>
      <c r="EO310" s="6" t="str">
        <f t="shared" si="26"/>
        <v>Pathweb</v>
      </c>
      <c r="EP310" s="6" t="str">
        <f t="shared" si="27"/>
        <v>Google Maps</v>
      </c>
      <c r="EQ310" s="6" t="str">
        <f t="shared" si="28"/>
        <v>Mashed Map</v>
      </c>
      <c r="ER310" s="118" t="s">
        <v>6727</v>
      </c>
      <c r="ES310" s="118" t="s">
        <v>71</v>
      </c>
      <c r="ET310" s="4">
        <v>0</v>
      </c>
      <c r="EU310" s="4"/>
      <c r="EV310" s="4"/>
    </row>
    <row r="311" spans="1:152" x14ac:dyDescent="0.15">
      <c r="A311" s="581" t="str">
        <f t="shared" si="25"/>
        <v>Crash Report</v>
      </c>
      <c r="B311" s="118">
        <v>20253082265</v>
      </c>
      <c r="C311" s="118">
        <v>2025</v>
      </c>
      <c r="D311" s="118">
        <v>25050830400616</v>
      </c>
      <c r="F311" s="118" t="s">
        <v>6442</v>
      </c>
      <c r="G311" s="118" t="s">
        <v>230</v>
      </c>
      <c r="H311" s="118">
        <v>2</v>
      </c>
      <c r="I311" s="118" t="s">
        <v>6055</v>
      </c>
      <c r="J311" s="118" t="s">
        <v>423</v>
      </c>
      <c r="K311" s="118" t="s">
        <v>6985</v>
      </c>
      <c r="L311" s="118">
        <v>0.14899999999999999</v>
      </c>
      <c r="M311" s="118">
        <v>0.14899999999999999</v>
      </c>
      <c r="N311" s="118" t="s">
        <v>7465</v>
      </c>
      <c r="O311" s="118" t="s">
        <v>7466</v>
      </c>
      <c r="P311" s="118">
        <v>41.648522</v>
      </c>
      <c r="Q311" s="118">
        <v>-83.523471999999998</v>
      </c>
      <c r="R311" s="118">
        <v>77000</v>
      </c>
      <c r="S311" s="118" t="s">
        <v>6988</v>
      </c>
      <c r="T311" s="118">
        <v>1</v>
      </c>
      <c r="U311" s="118">
        <v>0</v>
      </c>
      <c r="V311" s="118">
        <v>0</v>
      </c>
      <c r="W311" s="118">
        <v>0</v>
      </c>
      <c r="X311" s="118">
        <v>0</v>
      </c>
      <c r="Y311" s="118">
        <v>4</v>
      </c>
      <c r="Z311" s="118">
        <v>0</v>
      </c>
      <c r="AA311" s="118">
        <v>2</v>
      </c>
      <c r="AB311" s="118" t="s">
        <v>1067</v>
      </c>
      <c r="AC311" s="118" t="s">
        <v>6989</v>
      </c>
      <c r="AD311" s="118" t="s">
        <v>1034</v>
      </c>
      <c r="AE311" s="118" t="s">
        <v>943</v>
      </c>
      <c r="AF311" s="118" t="s">
        <v>1042</v>
      </c>
      <c r="AG311" s="118" t="s">
        <v>6415</v>
      </c>
      <c r="AH311" s="118" t="s">
        <v>393</v>
      </c>
      <c r="AI311" s="118">
        <v>4</v>
      </c>
      <c r="AJ311" s="118" t="s">
        <v>6415</v>
      </c>
      <c r="AK311" s="118" t="s">
        <v>393</v>
      </c>
      <c r="AL311" s="118" t="s">
        <v>393</v>
      </c>
      <c r="AM311" s="118" t="s">
        <v>393</v>
      </c>
      <c r="AN311" s="402" t="s">
        <v>5975</v>
      </c>
      <c r="AO311" s="402">
        <v>45785</v>
      </c>
      <c r="AP311" s="118">
        <v>5</v>
      </c>
      <c r="AQ311" s="118">
        <v>6</v>
      </c>
      <c r="AR311" s="118" t="s">
        <v>6447</v>
      </c>
      <c r="AS311" s="118" t="s">
        <v>392</v>
      </c>
      <c r="AT311" s="118" t="s">
        <v>500</v>
      </c>
      <c r="AU311" s="118" t="s">
        <v>6324</v>
      </c>
      <c r="AV311" s="118" t="s">
        <v>508</v>
      </c>
      <c r="AW311" s="118" t="s">
        <v>393</v>
      </c>
      <c r="AX311" s="118" t="s">
        <v>740</v>
      </c>
      <c r="AY311" s="118" t="s">
        <v>393</v>
      </c>
      <c r="AZ311" s="118" t="s">
        <v>393</v>
      </c>
      <c r="BA311" s="118" t="s">
        <v>393</v>
      </c>
      <c r="BB311" s="118" t="s">
        <v>393</v>
      </c>
      <c r="BC311" s="118" t="s">
        <v>393</v>
      </c>
      <c r="BD311" s="118" t="s">
        <v>393</v>
      </c>
      <c r="BE311" s="118" t="s">
        <v>740</v>
      </c>
      <c r="BF311" s="118" t="s">
        <v>740</v>
      </c>
      <c r="BG311" s="118" t="s">
        <v>393</v>
      </c>
      <c r="BH311" s="118" t="s">
        <v>394</v>
      </c>
      <c r="BI311" s="118" t="s">
        <v>394</v>
      </c>
      <c r="BJ311" s="118" t="s">
        <v>393</v>
      </c>
      <c r="BK311" s="118" t="s">
        <v>6988</v>
      </c>
      <c r="BL311" s="118" t="s">
        <v>6415</v>
      </c>
      <c r="BM311" s="118" t="s">
        <v>6990</v>
      </c>
      <c r="BN311" s="118" t="s">
        <v>6991</v>
      </c>
      <c r="BO311" s="118" t="s">
        <v>6415</v>
      </c>
      <c r="BP311" s="118" t="s">
        <v>6415</v>
      </c>
      <c r="BQ311" s="118" t="s">
        <v>6415</v>
      </c>
      <c r="BR311" s="118" t="s">
        <v>6415</v>
      </c>
      <c r="BS311" s="118" t="s">
        <v>6415</v>
      </c>
      <c r="BT311" s="118" t="s">
        <v>6992</v>
      </c>
      <c r="BU311" s="118" t="s">
        <v>6991</v>
      </c>
      <c r="BV311" s="118" t="s">
        <v>6415</v>
      </c>
      <c r="BW311" s="118" t="s">
        <v>6415</v>
      </c>
      <c r="BX311" s="118" t="s">
        <v>6415</v>
      </c>
      <c r="BY311" s="118" t="s">
        <v>6415</v>
      </c>
      <c r="BZ311" s="118" t="s">
        <v>6415</v>
      </c>
      <c r="CA311" s="118" t="s">
        <v>6415</v>
      </c>
      <c r="CB311" s="118" t="s">
        <v>221</v>
      </c>
      <c r="CC311" s="118" t="s">
        <v>740</v>
      </c>
      <c r="CD311" s="118">
        <v>1</v>
      </c>
      <c r="CE311" s="118" t="s">
        <v>410</v>
      </c>
      <c r="CF311" s="118" t="s">
        <v>397</v>
      </c>
      <c r="CG311" s="118" t="s">
        <v>230</v>
      </c>
      <c r="CH311" s="118" t="s">
        <v>6300</v>
      </c>
      <c r="CI311" s="118" t="s">
        <v>6303</v>
      </c>
      <c r="CJ311" s="118" t="s">
        <v>398</v>
      </c>
      <c r="CK311" s="118">
        <v>0</v>
      </c>
      <c r="CL311" s="118">
        <v>0</v>
      </c>
      <c r="CM311" s="118" t="s">
        <v>436</v>
      </c>
      <c r="CN311" s="118" t="s">
        <v>6327</v>
      </c>
      <c r="CO311" s="118" t="s">
        <v>1096</v>
      </c>
      <c r="CP311" s="118" t="s">
        <v>400</v>
      </c>
      <c r="CQ311" s="118" t="s">
        <v>6415</v>
      </c>
      <c r="CR311" s="118" t="s">
        <v>6415</v>
      </c>
      <c r="CS311" s="118" t="s">
        <v>6415</v>
      </c>
      <c r="CT311" s="118" t="s">
        <v>6415</v>
      </c>
      <c r="CU311" s="118" t="s">
        <v>6415</v>
      </c>
      <c r="CV311" s="118" t="s">
        <v>6415</v>
      </c>
      <c r="CW311" s="118">
        <v>21</v>
      </c>
      <c r="CX311" s="118" t="s">
        <v>1066</v>
      </c>
      <c r="CY311" s="118" t="s">
        <v>6341</v>
      </c>
      <c r="CZ311" s="118">
        <v>2</v>
      </c>
      <c r="DA311" s="118" t="s">
        <v>411</v>
      </c>
      <c r="DB311" s="118" t="s">
        <v>410</v>
      </c>
      <c r="DC311" s="118" t="s">
        <v>6415</v>
      </c>
      <c r="DD311" s="118" t="s">
        <v>6300</v>
      </c>
      <c r="DE311" s="118" t="s">
        <v>6303</v>
      </c>
      <c r="DF311" s="118" t="s">
        <v>398</v>
      </c>
      <c r="DG311" s="118" t="s">
        <v>6415</v>
      </c>
      <c r="DH311" s="118" t="s">
        <v>6415</v>
      </c>
      <c r="DI311" s="118" t="s">
        <v>399</v>
      </c>
      <c r="DJ311" s="118" t="s">
        <v>398</v>
      </c>
      <c r="DK311" s="118" t="s">
        <v>400</v>
      </c>
      <c r="DL311" s="118" t="s">
        <v>6415</v>
      </c>
      <c r="DM311" s="118" t="s">
        <v>6415</v>
      </c>
      <c r="DN311" s="118" t="s">
        <v>6415</v>
      </c>
      <c r="DO311" s="118" t="s">
        <v>6415</v>
      </c>
      <c r="DP311" s="118" t="s">
        <v>6415</v>
      </c>
      <c r="DQ311" s="118" t="s">
        <v>6415</v>
      </c>
      <c r="DR311" s="118">
        <v>77</v>
      </c>
      <c r="DS311" s="118" t="s">
        <v>1068</v>
      </c>
      <c r="DT311" s="118" t="s">
        <v>6341</v>
      </c>
      <c r="DU311" s="118" t="s">
        <v>6415</v>
      </c>
      <c r="DV311" s="118" t="s">
        <v>6415</v>
      </c>
      <c r="DW311" s="118" t="s">
        <v>6415</v>
      </c>
      <c r="DX311" s="118" t="s">
        <v>6415</v>
      </c>
      <c r="DY311" s="118" t="s">
        <v>6415</v>
      </c>
      <c r="DZ311" s="118" t="s">
        <v>6415</v>
      </c>
      <c r="EA311" s="118" t="s">
        <v>6415</v>
      </c>
      <c r="EB311" s="118" t="s">
        <v>6415</v>
      </c>
      <c r="EC311" s="118" t="s">
        <v>6415</v>
      </c>
      <c r="ED311" s="118" t="s">
        <v>6415</v>
      </c>
      <c r="EE311" s="118" t="s">
        <v>6415</v>
      </c>
      <c r="EF311" s="118" t="s">
        <v>6415</v>
      </c>
      <c r="EG311" s="118" t="s">
        <v>6986</v>
      </c>
      <c r="EH311" s="118" t="s">
        <v>6987</v>
      </c>
      <c r="EI311" s="118" t="s">
        <v>6415</v>
      </c>
      <c r="EJ311" s="118" t="s">
        <v>6415</v>
      </c>
      <c r="EK311" s="118">
        <v>145187</v>
      </c>
      <c r="EL311" s="118" t="s">
        <v>7467</v>
      </c>
      <c r="EM311" s="118" t="s">
        <v>7441</v>
      </c>
      <c r="EN311" s="118" t="s">
        <v>6415</v>
      </c>
      <c r="EO311" s="6" t="str">
        <f t="shared" si="26"/>
        <v>Pathweb</v>
      </c>
      <c r="EP311" s="6" t="str">
        <f t="shared" si="27"/>
        <v>Google Maps</v>
      </c>
      <c r="EQ311" s="6" t="str">
        <f t="shared" si="28"/>
        <v>Mashed Map</v>
      </c>
      <c r="ER311" s="118" t="s">
        <v>6727</v>
      </c>
      <c r="ES311" s="118" t="s">
        <v>71</v>
      </c>
      <c r="ET311" s="4">
        <v>0</v>
      </c>
      <c r="EU311" s="4"/>
      <c r="EV311" s="4"/>
    </row>
    <row r="312" spans="1:152" x14ac:dyDescent="0.15">
      <c r="A312" s="581" t="str">
        <f t="shared" si="25"/>
        <v>Crash Report</v>
      </c>
      <c r="B312" s="118">
        <v>20253084870</v>
      </c>
      <c r="C312" s="118">
        <v>2025</v>
      </c>
      <c r="D312" s="118">
        <v>25051229721747</v>
      </c>
      <c r="F312" s="118" t="s">
        <v>6440</v>
      </c>
      <c r="G312" s="118" t="s">
        <v>416</v>
      </c>
      <c r="H312" s="118">
        <v>2</v>
      </c>
      <c r="I312" s="118" t="s">
        <v>6055</v>
      </c>
      <c r="J312" s="118" t="s">
        <v>434</v>
      </c>
      <c r="K312" s="118" t="s">
        <v>6985</v>
      </c>
      <c r="L312" s="118">
        <v>0.88400000000000001</v>
      </c>
      <c r="M312" s="118">
        <v>0.88400000000000001</v>
      </c>
      <c r="N312" s="118" t="s">
        <v>7465</v>
      </c>
      <c r="O312" s="118">
        <v>1600</v>
      </c>
      <c r="P312" s="118">
        <v>41.655236000000002</v>
      </c>
      <c r="Q312" s="118">
        <v>-83.512490999999997</v>
      </c>
      <c r="R312" s="118">
        <v>77000</v>
      </c>
      <c r="S312" s="118" t="s">
        <v>6988</v>
      </c>
      <c r="T312" s="118">
        <v>1</v>
      </c>
      <c r="U312" s="118">
        <v>0</v>
      </c>
      <c r="V312" s="118">
        <v>0</v>
      </c>
      <c r="W312" s="118">
        <v>3</v>
      </c>
      <c r="X312" s="118">
        <v>0</v>
      </c>
      <c r="Y312" s="118">
        <v>0</v>
      </c>
      <c r="Z312" s="118">
        <v>1</v>
      </c>
      <c r="AA312" s="118">
        <v>1</v>
      </c>
      <c r="AB312" s="118" t="s">
        <v>1067</v>
      </c>
      <c r="AC312" s="118" t="s">
        <v>6989</v>
      </c>
      <c r="AD312" s="118" t="s">
        <v>1034</v>
      </c>
      <c r="AE312" s="118" t="s">
        <v>943</v>
      </c>
      <c r="AF312" s="118" t="s">
        <v>1041</v>
      </c>
      <c r="AG312" s="118" t="s">
        <v>6415</v>
      </c>
      <c r="AH312" s="118" t="s">
        <v>393</v>
      </c>
      <c r="AI312" s="118">
        <v>4</v>
      </c>
      <c r="AJ312" s="118" t="s">
        <v>6415</v>
      </c>
      <c r="AK312" s="118" t="s">
        <v>393</v>
      </c>
      <c r="AL312" s="118" t="s">
        <v>393</v>
      </c>
      <c r="AM312" s="118" t="s">
        <v>393</v>
      </c>
      <c r="AN312" s="402" t="s">
        <v>5975</v>
      </c>
      <c r="AO312" s="402">
        <v>45789</v>
      </c>
      <c r="AP312" s="118">
        <v>5</v>
      </c>
      <c r="AQ312" s="118">
        <v>17</v>
      </c>
      <c r="AR312" s="118" t="s">
        <v>6444</v>
      </c>
      <c r="AS312" s="118" t="s">
        <v>392</v>
      </c>
      <c r="AT312" s="118" t="s">
        <v>500</v>
      </c>
      <c r="AU312" s="118" t="s">
        <v>404</v>
      </c>
      <c r="AV312" s="118" t="s">
        <v>508</v>
      </c>
      <c r="AW312" s="118" t="s">
        <v>740</v>
      </c>
      <c r="AX312" s="118" t="s">
        <v>740</v>
      </c>
      <c r="AY312" s="118" t="s">
        <v>393</v>
      </c>
      <c r="AZ312" s="118" t="s">
        <v>393</v>
      </c>
      <c r="BA312" s="118" t="s">
        <v>393</v>
      </c>
      <c r="BB312" s="118" t="s">
        <v>393</v>
      </c>
      <c r="BC312" s="118" t="s">
        <v>393</v>
      </c>
      <c r="BD312" s="118" t="s">
        <v>393</v>
      </c>
      <c r="BE312" s="118" t="s">
        <v>740</v>
      </c>
      <c r="BF312" s="118" t="s">
        <v>393</v>
      </c>
      <c r="BG312" s="118" t="s">
        <v>393</v>
      </c>
      <c r="BH312" s="118" t="s">
        <v>394</v>
      </c>
      <c r="BI312" s="118" t="s">
        <v>394</v>
      </c>
      <c r="BJ312" s="118" t="s">
        <v>393</v>
      </c>
      <c r="BK312" s="118" t="s">
        <v>6988</v>
      </c>
      <c r="BL312" s="118" t="s">
        <v>6415</v>
      </c>
      <c r="BM312" s="118" t="s">
        <v>6990</v>
      </c>
      <c r="BN312" s="118" t="s">
        <v>6991</v>
      </c>
      <c r="BO312" s="118" t="s">
        <v>6415</v>
      </c>
      <c r="BP312" s="118" t="s">
        <v>6415</v>
      </c>
      <c r="BQ312" s="118" t="s">
        <v>6415</v>
      </c>
      <c r="BR312" s="118" t="s">
        <v>6415</v>
      </c>
      <c r="BS312" s="118" t="s">
        <v>6415</v>
      </c>
      <c r="BT312" s="118" t="s">
        <v>7444</v>
      </c>
      <c r="BU312" s="118" t="s">
        <v>6415</v>
      </c>
      <c r="BV312" s="118" t="s">
        <v>6415</v>
      </c>
      <c r="BW312" s="118" t="s">
        <v>6415</v>
      </c>
      <c r="BX312" s="118" t="s">
        <v>6415</v>
      </c>
      <c r="BY312" s="118" t="s">
        <v>6415</v>
      </c>
      <c r="BZ312" s="118">
        <v>1600</v>
      </c>
      <c r="CA312" s="118" t="s">
        <v>6415</v>
      </c>
      <c r="CB312" s="118" t="s">
        <v>422</v>
      </c>
      <c r="CC312" s="118" t="s">
        <v>740</v>
      </c>
      <c r="CD312" s="118">
        <v>1</v>
      </c>
      <c r="CE312" s="118" t="s">
        <v>406</v>
      </c>
      <c r="CF312" s="118" t="s">
        <v>405</v>
      </c>
      <c r="CG312" s="118" t="s">
        <v>924</v>
      </c>
      <c r="CH312" s="118" t="s">
        <v>6302</v>
      </c>
      <c r="CI312" s="118" t="s">
        <v>6303</v>
      </c>
      <c r="CJ312" s="118" t="s">
        <v>398</v>
      </c>
      <c r="CK312" s="118">
        <v>35</v>
      </c>
      <c r="CL312" s="118">
        <v>35</v>
      </c>
      <c r="CM312" s="118" t="s">
        <v>399</v>
      </c>
      <c r="CN312" s="118" t="s">
        <v>6331</v>
      </c>
      <c r="CO312" s="118" t="s">
        <v>491</v>
      </c>
      <c r="CP312" s="118" t="s">
        <v>432</v>
      </c>
      <c r="CQ312" s="118" t="s">
        <v>491</v>
      </c>
      <c r="CR312" s="118" t="s">
        <v>491</v>
      </c>
      <c r="CS312" s="118" t="s">
        <v>6415</v>
      </c>
      <c r="CT312" s="118" t="s">
        <v>6415</v>
      </c>
      <c r="CU312" s="118" t="s">
        <v>6415</v>
      </c>
      <c r="CV312" s="118" t="s">
        <v>6415</v>
      </c>
      <c r="CW312" s="118">
        <v>66</v>
      </c>
      <c r="CX312" s="118" t="s">
        <v>1066</v>
      </c>
      <c r="CY312" s="118" t="s">
        <v>6341</v>
      </c>
      <c r="CZ312" s="118" t="s">
        <v>6415</v>
      </c>
      <c r="DA312" s="118" t="s">
        <v>6415</v>
      </c>
      <c r="DB312" s="118" t="s">
        <v>6415</v>
      </c>
      <c r="DC312" s="118" t="s">
        <v>6415</v>
      </c>
      <c r="DD312" s="118" t="s">
        <v>6415</v>
      </c>
      <c r="DE312" s="118" t="s">
        <v>6415</v>
      </c>
      <c r="DF312" s="118" t="s">
        <v>6415</v>
      </c>
      <c r="DG312" s="118" t="s">
        <v>6415</v>
      </c>
      <c r="DH312" s="118" t="s">
        <v>6415</v>
      </c>
      <c r="DI312" s="118" t="s">
        <v>6415</v>
      </c>
      <c r="DJ312" s="118" t="s">
        <v>6415</v>
      </c>
      <c r="DK312" s="118" t="s">
        <v>6415</v>
      </c>
      <c r="DL312" s="118" t="s">
        <v>6415</v>
      </c>
      <c r="DM312" s="118" t="s">
        <v>6415</v>
      </c>
      <c r="DN312" s="118" t="s">
        <v>6415</v>
      </c>
      <c r="DO312" s="118" t="s">
        <v>6415</v>
      </c>
      <c r="DP312" s="118" t="s">
        <v>6415</v>
      </c>
      <c r="DQ312" s="118" t="s">
        <v>6415</v>
      </c>
      <c r="DR312" s="118">
        <v>0</v>
      </c>
      <c r="DS312" s="118" t="s">
        <v>6415</v>
      </c>
      <c r="DT312" s="118" t="s">
        <v>6415</v>
      </c>
      <c r="DU312" s="118" t="s">
        <v>6415</v>
      </c>
      <c r="DV312" s="118" t="s">
        <v>6415</v>
      </c>
      <c r="DW312" s="118" t="s">
        <v>6415</v>
      </c>
      <c r="DX312" s="118" t="s">
        <v>6415</v>
      </c>
      <c r="DY312" s="118" t="s">
        <v>6415</v>
      </c>
      <c r="DZ312" s="118" t="s">
        <v>6415</v>
      </c>
      <c r="EA312" s="118" t="s">
        <v>6415</v>
      </c>
      <c r="EB312" s="118" t="s">
        <v>6415</v>
      </c>
      <c r="EC312" s="118" t="s">
        <v>6415</v>
      </c>
      <c r="ED312" s="118" t="s">
        <v>6415</v>
      </c>
      <c r="EE312" s="118" t="s">
        <v>6415</v>
      </c>
      <c r="EF312" s="118" t="s">
        <v>6415</v>
      </c>
      <c r="EG312" s="118" t="s">
        <v>7065</v>
      </c>
      <c r="EH312" s="118" t="s">
        <v>7443</v>
      </c>
      <c r="EI312" s="118" t="s">
        <v>6415</v>
      </c>
      <c r="EJ312" s="118" t="s">
        <v>6415</v>
      </c>
      <c r="EK312" s="118">
        <v>89652</v>
      </c>
      <c r="EL312" s="118" t="s">
        <v>7467</v>
      </c>
      <c r="EM312" s="118" t="s">
        <v>7442</v>
      </c>
      <c r="EN312" s="118" t="s">
        <v>6415</v>
      </c>
      <c r="EO312" s="6" t="str">
        <f t="shared" si="26"/>
        <v>Pathweb</v>
      </c>
      <c r="EP312" s="6" t="str">
        <f t="shared" si="27"/>
        <v>Google Maps</v>
      </c>
      <c r="EQ312" s="6" t="str">
        <f t="shared" si="28"/>
        <v>Mashed Map</v>
      </c>
      <c r="ER312" s="118" t="s">
        <v>6726</v>
      </c>
      <c r="ES312" s="118" t="s">
        <v>6728</v>
      </c>
      <c r="ET312" s="4">
        <v>0</v>
      </c>
      <c r="EU312" s="4"/>
      <c r="EV312" s="4"/>
    </row>
    <row r="313" spans="1:152" x14ac:dyDescent="0.15">
      <c r="A313" s="581" t="str">
        <f t="shared" si="25"/>
        <v>Crash Report</v>
      </c>
      <c r="B313" s="118">
        <v>20253085652</v>
      </c>
      <c r="C313" s="118">
        <v>2025</v>
      </c>
      <c r="D313" s="118">
        <v>25051324071128</v>
      </c>
      <c r="F313" s="118" t="s">
        <v>6442</v>
      </c>
      <c r="G313" s="118" t="s">
        <v>860</v>
      </c>
      <c r="H313" s="118">
        <v>2</v>
      </c>
      <c r="I313" s="118" t="s">
        <v>6055</v>
      </c>
      <c r="J313" s="118" t="s">
        <v>434</v>
      </c>
      <c r="K313" s="118" t="s">
        <v>6985</v>
      </c>
      <c r="L313" s="118">
        <v>1.0740000000000001</v>
      </c>
      <c r="M313" s="118">
        <v>1.0740000000000001</v>
      </c>
      <c r="N313" s="118" t="s">
        <v>7465</v>
      </c>
      <c r="O313" s="118" t="s">
        <v>7488</v>
      </c>
      <c r="P313" s="118">
        <v>41.656910000000003</v>
      </c>
      <c r="Q313" s="118">
        <v>-83.509615999999994</v>
      </c>
      <c r="R313" s="118">
        <v>77000</v>
      </c>
      <c r="S313" s="118" t="s">
        <v>6988</v>
      </c>
      <c r="T313" s="118">
        <v>1</v>
      </c>
      <c r="U313" s="118">
        <v>0</v>
      </c>
      <c r="V313" s="118">
        <v>0</v>
      </c>
      <c r="W313" s="118">
        <v>0</v>
      </c>
      <c r="X313" s="118">
        <v>0</v>
      </c>
      <c r="Y313" s="118">
        <v>2</v>
      </c>
      <c r="Z313" s="118">
        <v>0</v>
      </c>
      <c r="AA313" s="118">
        <v>2</v>
      </c>
      <c r="AB313" s="118" t="s">
        <v>1067</v>
      </c>
      <c r="AC313" s="118" t="s">
        <v>6989</v>
      </c>
      <c r="AD313" s="118" t="s">
        <v>1034</v>
      </c>
      <c r="AE313" s="118" t="s">
        <v>943</v>
      </c>
      <c r="AF313" s="118" t="s">
        <v>1041</v>
      </c>
      <c r="AG313" s="118" t="s">
        <v>6415</v>
      </c>
      <c r="AH313" s="118" t="s">
        <v>393</v>
      </c>
      <c r="AI313" s="118">
        <v>4</v>
      </c>
      <c r="AJ313" s="118" t="s">
        <v>6415</v>
      </c>
      <c r="AK313" s="118" t="s">
        <v>393</v>
      </c>
      <c r="AL313" s="118" t="s">
        <v>393</v>
      </c>
      <c r="AM313" s="118" t="s">
        <v>393</v>
      </c>
      <c r="AN313" s="402" t="s">
        <v>5975</v>
      </c>
      <c r="AO313" s="402">
        <v>45790</v>
      </c>
      <c r="AP313" s="118">
        <v>5</v>
      </c>
      <c r="AQ313" s="118">
        <v>11</v>
      </c>
      <c r="AR313" s="118" t="s">
        <v>6445</v>
      </c>
      <c r="AS313" s="118" t="s">
        <v>392</v>
      </c>
      <c r="AT313" s="118" t="s">
        <v>500</v>
      </c>
      <c r="AU313" s="118" t="s">
        <v>404</v>
      </c>
      <c r="AV313" s="118" t="s">
        <v>508</v>
      </c>
      <c r="AW313" s="118" t="s">
        <v>393</v>
      </c>
      <c r="AX313" s="118" t="s">
        <v>740</v>
      </c>
      <c r="AY313" s="118" t="s">
        <v>393</v>
      </c>
      <c r="AZ313" s="118" t="s">
        <v>393</v>
      </c>
      <c r="BA313" s="118" t="s">
        <v>393</v>
      </c>
      <c r="BB313" s="118" t="s">
        <v>393</v>
      </c>
      <c r="BC313" s="118" t="s">
        <v>393</v>
      </c>
      <c r="BD313" s="118" t="s">
        <v>393</v>
      </c>
      <c r="BE313" s="118" t="s">
        <v>393</v>
      </c>
      <c r="BF313" s="118" t="s">
        <v>393</v>
      </c>
      <c r="BG313" s="118" t="s">
        <v>393</v>
      </c>
      <c r="BH313" s="118" t="s">
        <v>394</v>
      </c>
      <c r="BI313" s="118" t="s">
        <v>394</v>
      </c>
      <c r="BJ313" s="118" t="s">
        <v>393</v>
      </c>
      <c r="BK313" s="118" t="s">
        <v>6988</v>
      </c>
      <c r="BL313" s="118" t="s">
        <v>6415</v>
      </c>
      <c r="BM313" s="118" t="s">
        <v>6990</v>
      </c>
      <c r="BN313" s="118" t="s">
        <v>6991</v>
      </c>
      <c r="BO313" s="118" t="s">
        <v>6415</v>
      </c>
      <c r="BP313" s="118" t="s">
        <v>7401</v>
      </c>
      <c r="BQ313" s="118">
        <v>65</v>
      </c>
      <c r="BR313" s="118" t="s">
        <v>6415</v>
      </c>
      <c r="BS313" s="118" t="s">
        <v>6415</v>
      </c>
      <c r="BT313" s="118" t="s">
        <v>6415</v>
      </c>
      <c r="BU313" s="118" t="s">
        <v>6415</v>
      </c>
      <c r="BV313" s="118" t="s">
        <v>6415</v>
      </c>
      <c r="BW313" s="118" t="s">
        <v>7126</v>
      </c>
      <c r="BX313" s="118">
        <v>280</v>
      </c>
      <c r="BY313" s="118" t="s">
        <v>6415</v>
      </c>
      <c r="BZ313" s="118" t="s">
        <v>6415</v>
      </c>
      <c r="CA313" s="118" t="s">
        <v>6415</v>
      </c>
      <c r="CB313" s="118" t="s">
        <v>221</v>
      </c>
      <c r="CC313" s="118" t="s">
        <v>740</v>
      </c>
      <c r="CD313" s="118">
        <v>1</v>
      </c>
      <c r="CE313" s="118" t="s">
        <v>405</v>
      </c>
      <c r="CF313" s="118" t="s">
        <v>411</v>
      </c>
      <c r="CG313" s="118" t="s">
        <v>860</v>
      </c>
      <c r="CH313" s="118" t="s">
        <v>6300</v>
      </c>
      <c r="CI313" s="118" t="s">
        <v>6303</v>
      </c>
      <c r="CJ313" s="118" t="s">
        <v>398</v>
      </c>
      <c r="CK313" s="118">
        <v>0</v>
      </c>
      <c r="CL313" s="118">
        <v>35</v>
      </c>
      <c r="CM313" s="118" t="s">
        <v>435</v>
      </c>
      <c r="CN313" s="118" t="s">
        <v>407</v>
      </c>
      <c r="CO313" s="118" t="s">
        <v>1096</v>
      </c>
      <c r="CP313" s="118" t="s">
        <v>400</v>
      </c>
      <c r="CQ313" s="118" t="s">
        <v>6415</v>
      </c>
      <c r="CR313" s="118" t="s">
        <v>6415</v>
      </c>
      <c r="CS313" s="118" t="s">
        <v>6415</v>
      </c>
      <c r="CT313" s="118" t="s">
        <v>6415</v>
      </c>
      <c r="CU313" s="118" t="s">
        <v>6415</v>
      </c>
      <c r="CV313" s="118" t="s">
        <v>6415</v>
      </c>
      <c r="CW313" s="118">
        <v>37</v>
      </c>
      <c r="CX313" s="118" t="s">
        <v>1066</v>
      </c>
      <c r="CY313" s="118" t="s">
        <v>6151</v>
      </c>
      <c r="CZ313" s="118">
        <v>2</v>
      </c>
      <c r="DA313" s="118" t="s">
        <v>405</v>
      </c>
      <c r="DB313" s="118" t="s">
        <v>406</v>
      </c>
      <c r="DC313" s="118" t="s">
        <v>6415</v>
      </c>
      <c r="DD313" s="118" t="s">
        <v>6300</v>
      </c>
      <c r="DE313" s="118" t="s">
        <v>6315</v>
      </c>
      <c r="DF313" s="118" t="s">
        <v>398</v>
      </c>
      <c r="DG313" s="118" t="s">
        <v>6415</v>
      </c>
      <c r="DH313" s="118">
        <v>35</v>
      </c>
      <c r="DI313" s="118" t="s">
        <v>399</v>
      </c>
      <c r="DJ313" s="118" t="s">
        <v>398</v>
      </c>
      <c r="DK313" s="118" t="s">
        <v>400</v>
      </c>
      <c r="DL313" s="118" t="s">
        <v>6415</v>
      </c>
      <c r="DM313" s="118" t="s">
        <v>6415</v>
      </c>
      <c r="DN313" s="118" t="s">
        <v>6415</v>
      </c>
      <c r="DO313" s="118" t="s">
        <v>6415</v>
      </c>
      <c r="DP313" s="118" t="s">
        <v>6415</v>
      </c>
      <c r="DQ313" s="118" t="s">
        <v>6415</v>
      </c>
      <c r="DR313" s="118">
        <v>57</v>
      </c>
      <c r="DS313" s="118" t="s">
        <v>1068</v>
      </c>
      <c r="DT313" s="118" t="s">
        <v>6341</v>
      </c>
      <c r="DU313" s="118" t="s">
        <v>6415</v>
      </c>
      <c r="DV313" s="118" t="s">
        <v>6415</v>
      </c>
      <c r="DW313" s="118" t="s">
        <v>6415</v>
      </c>
      <c r="DX313" s="118" t="s">
        <v>6415</v>
      </c>
      <c r="DY313" s="118" t="s">
        <v>6415</v>
      </c>
      <c r="DZ313" s="118" t="s">
        <v>6415</v>
      </c>
      <c r="EA313" s="118" t="s">
        <v>6415</v>
      </c>
      <c r="EB313" s="118" t="s">
        <v>6415</v>
      </c>
      <c r="EC313" s="118" t="s">
        <v>6415</v>
      </c>
      <c r="ED313" s="118" t="s">
        <v>6415</v>
      </c>
      <c r="EE313" s="118" t="s">
        <v>6415</v>
      </c>
      <c r="EF313" s="118" t="s">
        <v>6415</v>
      </c>
      <c r="EG313" s="118" t="s">
        <v>7006</v>
      </c>
      <c r="EH313" s="118" t="s">
        <v>7007</v>
      </c>
      <c r="EI313" s="118" t="s">
        <v>6415</v>
      </c>
      <c r="EJ313" s="118" t="s">
        <v>6415</v>
      </c>
      <c r="EK313" s="118">
        <v>89652</v>
      </c>
      <c r="EL313" s="118" t="s">
        <v>7467</v>
      </c>
      <c r="EM313" s="118" t="s">
        <v>7445</v>
      </c>
      <c r="EN313" s="118" t="s">
        <v>6415</v>
      </c>
      <c r="EO313" s="6" t="str">
        <f t="shared" si="26"/>
        <v>Pathweb</v>
      </c>
      <c r="EP313" s="6" t="str">
        <f t="shared" si="27"/>
        <v>Google Maps</v>
      </c>
      <c r="EQ313" s="6" t="str">
        <f t="shared" si="28"/>
        <v>Mashed Map</v>
      </c>
      <c r="ER313" s="118" t="s">
        <v>6727</v>
      </c>
      <c r="ES313" s="118" t="s">
        <v>71</v>
      </c>
      <c r="ET313" s="4">
        <v>0</v>
      </c>
      <c r="EU313" s="4"/>
      <c r="EV313" s="4"/>
    </row>
    <row r="314" spans="1:152" x14ac:dyDescent="0.15">
      <c r="A314" s="581" t="str">
        <f t="shared" si="25"/>
        <v>Crash Report</v>
      </c>
      <c r="B314" s="118">
        <v>20253094161</v>
      </c>
      <c r="C314" s="118">
        <v>2025</v>
      </c>
      <c r="D314" s="118">
        <v>25052530300545</v>
      </c>
      <c r="F314" s="118" t="s">
        <v>6442</v>
      </c>
      <c r="G314" s="118" t="s">
        <v>210</v>
      </c>
      <c r="H314" s="118">
        <v>2</v>
      </c>
      <c r="I314" s="118" t="s">
        <v>6055</v>
      </c>
      <c r="J314" s="118" t="s">
        <v>391</v>
      </c>
      <c r="K314" s="118" t="s">
        <v>6985</v>
      </c>
      <c r="L314" s="118">
        <v>0.72</v>
      </c>
      <c r="M314" s="118">
        <v>0.72</v>
      </c>
      <c r="N314" s="118" t="s">
        <v>7465</v>
      </c>
      <c r="O314" s="118" t="s">
        <v>7476</v>
      </c>
      <c r="P314" s="118">
        <v>41.653736000000002</v>
      </c>
      <c r="Q314" s="118">
        <v>-83.514938000000001</v>
      </c>
      <c r="R314" s="118">
        <v>77000</v>
      </c>
      <c r="S314" s="118" t="s">
        <v>6988</v>
      </c>
      <c r="T314" s="118">
        <v>1</v>
      </c>
      <c r="U314" s="118">
        <v>0</v>
      </c>
      <c r="V314" s="118">
        <v>0</v>
      </c>
      <c r="W314" s="118">
        <v>0</v>
      </c>
      <c r="X314" s="118">
        <v>0</v>
      </c>
      <c r="Y314" s="118">
        <v>1</v>
      </c>
      <c r="Z314" s="118">
        <v>0</v>
      </c>
      <c r="AA314" s="118">
        <v>4</v>
      </c>
      <c r="AB314" s="118" t="s">
        <v>1067</v>
      </c>
      <c r="AC314" s="118" t="s">
        <v>6989</v>
      </c>
      <c r="AD314" s="118" t="s">
        <v>1034</v>
      </c>
      <c r="AE314" s="118" t="s">
        <v>943</v>
      </c>
      <c r="AF314" s="118" t="s">
        <v>1041</v>
      </c>
      <c r="AG314" s="118" t="s">
        <v>6415</v>
      </c>
      <c r="AH314" s="118" t="s">
        <v>393</v>
      </c>
      <c r="AI314" s="118">
        <v>4</v>
      </c>
      <c r="AJ314" s="118" t="s">
        <v>6415</v>
      </c>
      <c r="AK314" s="118" t="s">
        <v>393</v>
      </c>
      <c r="AL314" s="118" t="s">
        <v>393</v>
      </c>
      <c r="AM314" s="118" t="s">
        <v>393</v>
      </c>
      <c r="AN314" s="402" t="s">
        <v>5975</v>
      </c>
      <c r="AO314" s="402">
        <v>45802</v>
      </c>
      <c r="AP314" s="118">
        <v>5</v>
      </c>
      <c r="AQ314" s="118">
        <v>5</v>
      </c>
      <c r="AR314" s="118" t="s">
        <v>6443</v>
      </c>
      <c r="AS314" s="118" t="s">
        <v>392</v>
      </c>
      <c r="AT314" s="118" t="s">
        <v>500</v>
      </c>
      <c r="AU314" s="118" t="s">
        <v>6324</v>
      </c>
      <c r="AV314" s="118" t="s">
        <v>508</v>
      </c>
      <c r="AW314" s="118" t="s">
        <v>740</v>
      </c>
      <c r="AX314" s="118" t="s">
        <v>393</v>
      </c>
      <c r="AY314" s="118" t="s">
        <v>393</v>
      </c>
      <c r="AZ314" s="118" t="s">
        <v>393</v>
      </c>
      <c r="BA314" s="118" t="s">
        <v>393</v>
      </c>
      <c r="BB314" s="118" t="s">
        <v>393</v>
      </c>
      <c r="BC314" s="118" t="s">
        <v>393</v>
      </c>
      <c r="BD314" s="118" t="s">
        <v>393</v>
      </c>
      <c r="BE314" s="118" t="s">
        <v>393</v>
      </c>
      <c r="BF314" s="118" t="s">
        <v>393</v>
      </c>
      <c r="BG314" s="118" t="s">
        <v>393</v>
      </c>
      <c r="BH314" s="118" t="s">
        <v>394</v>
      </c>
      <c r="BI314" s="118" t="s">
        <v>394</v>
      </c>
      <c r="BJ314" s="118" t="s">
        <v>393</v>
      </c>
      <c r="BK314" s="118" t="s">
        <v>6988</v>
      </c>
      <c r="BL314" s="118" t="s">
        <v>6415</v>
      </c>
      <c r="BM314" s="118" t="s">
        <v>6990</v>
      </c>
      <c r="BN314" s="118" t="s">
        <v>6991</v>
      </c>
      <c r="BO314" s="118" t="s">
        <v>6415</v>
      </c>
      <c r="BP314" s="118" t="s">
        <v>6415</v>
      </c>
      <c r="BQ314" s="118" t="s">
        <v>6415</v>
      </c>
      <c r="BR314" s="118" t="s">
        <v>6415</v>
      </c>
      <c r="BS314" s="118" t="s">
        <v>6415</v>
      </c>
      <c r="BT314" s="118" t="s">
        <v>7033</v>
      </c>
      <c r="BU314" s="118" t="s">
        <v>6991</v>
      </c>
      <c r="BV314" s="118" t="s">
        <v>6415</v>
      </c>
      <c r="BW314" s="118" t="s">
        <v>6415</v>
      </c>
      <c r="BX314" s="118" t="s">
        <v>6415</v>
      </c>
      <c r="BY314" s="118" t="s">
        <v>6415</v>
      </c>
      <c r="BZ314" s="118" t="s">
        <v>6415</v>
      </c>
      <c r="CA314" s="118" t="s">
        <v>6415</v>
      </c>
      <c r="CB314" s="118" t="s">
        <v>221</v>
      </c>
      <c r="CC314" s="118" t="s">
        <v>740</v>
      </c>
      <c r="CD314" s="118">
        <v>1</v>
      </c>
      <c r="CE314" s="118" t="s">
        <v>411</v>
      </c>
      <c r="CF314" s="118" t="s">
        <v>410</v>
      </c>
      <c r="CG314" s="118" t="s">
        <v>924</v>
      </c>
      <c r="CH314" s="118" t="s">
        <v>6302</v>
      </c>
      <c r="CI314" s="118" t="s">
        <v>6307</v>
      </c>
      <c r="CJ314" s="118" t="s">
        <v>398</v>
      </c>
      <c r="CK314" s="118">
        <v>0</v>
      </c>
      <c r="CL314" s="118">
        <v>35</v>
      </c>
      <c r="CM314" s="118" t="s">
        <v>399</v>
      </c>
      <c r="CN314" s="118" t="s">
        <v>407</v>
      </c>
      <c r="CO314" s="118" t="s">
        <v>1096</v>
      </c>
      <c r="CP314" s="118" t="s">
        <v>450</v>
      </c>
      <c r="CQ314" s="118" t="s">
        <v>6415</v>
      </c>
      <c r="CR314" s="118" t="s">
        <v>6415</v>
      </c>
      <c r="CS314" s="118" t="s">
        <v>6415</v>
      </c>
      <c r="CT314" s="118" t="s">
        <v>6415</v>
      </c>
      <c r="CU314" s="118" t="s">
        <v>6415</v>
      </c>
      <c r="CV314" s="118" t="s">
        <v>6415</v>
      </c>
      <c r="CW314" s="118">
        <v>0</v>
      </c>
      <c r="CX314" s="118" t="s">
        <v>1068</v>
      </c>
      <c r="CY314" s="118" t="s">
        <v>6151</v>
      </c>
      <c r="CZ314" s="118">
        <v>2</v>
      </c>
      <c r="DA314" s="118" t="s">
        <v>401</v>
      </c>
      <c r="DB314" s="118" t="s">
        <v>401</v>
      </c>
      <c r="DC314" s="118" t="s">
        <v>6415</v>
      </c>
      <c r="DD314" s="118" t="s">
        <v>6302</v>
      </c>
      <c r="DE314" s="118" t="s">
        <v>6303</v>
      </c>
      <c r="DF314" s="118" t="s">
        <v>398</v>
      </c>
      <c r="DG314" s="118">
        <v>0</v>
      </c>
      <c r="DH314" s="118">
        <v>35</v>
      </c>
      <c r="DI314" s="118" t="s">
        <v>429</v>
      </c>
      <c r="DJ314" s="118" t="s">
        <v>398</v>
      </c>
      <c r="DK314" s="118" t="s">
        <v>400</v>
      </c>
      <c r="DL314" s="118" t="s">
        <v>450</v>
      </c>
      <c r="DM314" s="118" t="s">
        <v>6415</v>
      </c>
      <c r="DN314" s="118" t="s">
        <v>6415</v>
      </c>
      <c r="DO314" s="118" t="s">
        <v>6415</v>
      </c>
      <c r="DP314" s="118" t="s">
        <v>6415</v>
      </c>
      <c r="DQ314" s="118" t="s">
        <v>6415</v>
      </c>
      <c r="DR314" s="118">
        <v>0</v>
      </c>
      <c r="DS314" s="118" t="s">
        <v>6415</v>
      </c>
      <c r="DT314" s="118" t="s">
        <v>6415</v>
      </c>
      <c r="DU314" s="118">
        <v>3</v>
      </c>
      <c r="DV314" s="118" t="s">
        <v>6302</v>
      </c>
      <c r="DW314" s="118" t="s">
        <v>6303</v>
      </c>
      <c r="DX314" s="118" t="s">
        <v>398</v>
      </c>
      <c r="DY314" s="118" t="s">
        <v>429</v>
      </c>
      <c r="DZ314" s="118" t="s">
        <v>398</v>
      </c>
      <c r="EA314" s="118" t="s">
        <v>400</v>
      </c>
      <c r="EB314" s="118" t="s">
        <v>450</v>
      </c>
      <c r="EC314" s="118" t="s">
        <v>6415</v>
      </c>
      <c r="ED314" s="118" t="s">
        <v>6415</v>
      </c>
      <c r="EE314" s="118" t="s">
        <v>6415</v>
      </c>
      <c r="EF314" s="118" t="s">
        <v>6415</v>
      </c>
      <c r="EG314" s="118" t="s">
        <v>7031</v>
      </c>
      <c r="EH314" s="118" t="s">
        <v>7184</v>
      </c>
      <c r="EI314" s="118" t="s">
        <v>6415</v>
      </c>
      <c r="EJ314" s="118" t="s">
        <v>6415</v>
      </c>
      <c r="EK314" s="118">
        <v>145188</v>
      </c>
      <c r="EL314" s="118" t="s">
        <v>7467</v>
      </c>
      <c r="EM314" s="118" t="s">
        <v>7446</v>
      </c>
      <c r="EN314" s="118" t="s">
        <v>6415</v>
      </c>
      <c r="EO314" s="6" t="str">
        <f t="shared" si="26"/>
        <v>Pathweb</v>
      </c>
      <c r="EP314" s="6" t="str">
        <f t="shared" si="27"/>
        <v>Google Maps</v>
      </c>
      <c r="EQ314" s="6" t="str">
        <f t="shared" si="28"/>
        <v>Mashed Map</v>
      </c>
      <c r="ER314" s="118" t="s">
        <v>6726</v>
      </c>
      <c r="ES314" s="118" t="s">
        <v>71</v>
      </c>
      <c r="ET314" s="4">
        <v>0</v>
      </c>
      <c r="EU314" s="4"/>
      <c r="EV314" s="4"/>
    </row>
    <row r="315" spans="1:152" x14ac:dyDescent="0.15">
      <c r="A315" s="581" t="str">
        <f t="shared" si="25"/>
        <v>Crash Report</v>
      </c>
      <c r="B315" s="118">
        <v>20253098883</v>
      </c>
      <c r="C315" s="118">
        <v>2025</v>
      </c>
      <c r="D315" s="118">
        <v>25053121940037</v>
      </c>
      <c r="F315" s="118" t="s">
        <v>6439</v>
      </c>
      <c r="G315" s="118" t="s">
        <v>230</v>
      </c>
      <c r="H315" s="118">
        <v>2</v>
      </c>
      <c r="I315" s="118" t="s">
        <v>6055</v>
      </c>
      <c r="J315" s="118" t="s">
        <v>391</v>
      </c>
      <c r="K315" s="118" t="s">
        <v>6985</v>
      </c>
      <c r="L315" s="118">
        <v>0.254</v>
      </c>
      <c r="M315" s="118">
        <v>0.254</v>
      </c>
      <c r="N315" s="118" t="s">
        <v>7465</v>
      </c>
      <c r="O315" s="118">
        <v>708</v>
      </c>
      <c r="P315" s="118">
        <v>41.649487000000001</v>
      </c>
      <c r="Q315" s="118">
        <v>-83.521904000000006</v>
      </c>
      <c r="R315" s="118">
        <v>77000</v>
      </c>
      <c r="S315" s="118" t="s">
        <v>6988</v>
      </c>
      <c r="T315" s="118">
        <v>1</v>
      </c>
      <c r="U315" s="118">
        <v>0</v>
      </c>
      <c r="V315" s="118">
        <v>1</v>
      </c>
      <c r="W315" s="118">
        <v>0</v>
      </c>
      <c r="X315" s="118">
        <v>0</v>
      </c>
      <c r="Y315" s="118">
        <v>1</v>
      </c>
      <c r="Z315" s="118">
        <v>0</v>
      </c>
      <c r="AA315" s="118">
        <v>2</v>
      </c>
      <c r="AB315" s="118" t="s">
        <v>1067</v>
      </c>
      <c r="AC315" s="118" t="s">
        <v>6989</v>
      </c>
      <c r="AD315" s="118" t="s">
        <v>1034</v>
      </c>
      <c r="AE315" s="118" t="s">
        <v>943</v>
      </c>
      <c r="AF315" s="118" t="s">
        <v>1041</v>
      </c>
      <c r="AG315" s="118" t="s">
        <v>6415</v>
      </c>
      <c r="AH315" s="118" t="s">
        <v>393</v>
      </c>
      <c r="AI315" s="118">
        <v>4</v>
      </c>
      <c r="AJ315" s="118" t="s">
        <v>6415</v>
      </c>
      <c r="AK315" s="118" t="s">
        <v>393</v>
      </c>
      <c r="AL315" s="118" t="s">
        <v>393</v>
      </c>
      <c r="AM315" s="118" t="s">
        <v>393</v>
      </c>
      <c r="AN315" s="402" t="s">
        <v>5975</v>
      </c>
      <c r="AO315" s="402">
        <v>45808</v>
      </c>
      <c r="AP315" s="118">
        <v>5</v>
      </c>
      <c r="AQ315" s="118">
        <v>0</v>
      </c>
      <c r="AR315" s="118" t="s">
        <v>6449</v>
      </c>
      <c r="AS315" s="118" t="s">
        <v>392</v>
      </c>
      <c r="AT315" s="118" t="s">
        <v>500</v>
      </c>
      <c r="AU315" s="118" t="s">
        <v>505</v>
      </c>
      <c r="AV315" s="118" t="s">
        <v>508</v>
      </c>
      <c r="AW315" s="118" t="s">
        <v>393</v>
      </c>
      <c r="AX315" s="118" t="s">
        <v>393</v>
      </c>
      <c r="AY315" s="118" t="s">
        <v>393</v>
      </c>
      <c r="AZ315" s="118" t="s">
        <v>393</v>
      </c>
      <c r="BA315" s="118" t="s">
        <v>393</v>
      </c>
      <c r="BB315" s="118" t="s">
        <v>393</v>
      </c>
      <c r="BC315" s="118" t="s">
        <v>740</v>
      </c>
      <c r="BD315" s="118" t="s">
        <v>393</v>
      </c>
      <c r="BE315" s="118" t="s">
        <v>393</v>
      </c>
      <c r="BF315" s="118" t="s">
        <v>393</v>
      </c>
      <c r="BG315" s="118" t="s">
        <v>393</v>
      </c>
      <c r="BH315" s="118" t="s">
        <v>394</v>
      </c>
      <c r="BI315" s="118" t="s">
        <v>394</v>
      </c>
      <c r="BJ315" s="118" t="s">
        <v>393</v>
      </c>
      <c r="BK315" s="118" t="s">
        <v>6988</v>
      </c>
      <c r="BL315" s="118" t="s">
        <v>6415</v>
      </c>
      <c r="BM315" s="118" t="s">
        <v>6990</v>
      </c>
      <c r="BN315" s="118" t="s">
        <v>6991</v>
      </c>
      <c r="BO315" s="118" t="s">
        <v>6415</v>
      </c>
      <c r="BP315" s="118" t="s">
        <v>6415</v>
      </c>
      <c r="BQ315" s="118" t="s">
        <v>6415</v>
      </c>
      <c r="BR315" s="118" t="s">
        <v>6415</v>
      </c>
      <c r="BS315" s="118" t="s">
        <v>6415</v>
      </c>
      <c r="BT315" s="118" t="s">
        <v>7083</v>
      </c>
      <c r="BU315" s="118" t="s">
        <v>6415</v>
      </c>
      <c r="BV315" s="118" t="s">
        <v>6415</v>
      </c>
      <c r="BW315" s="118" t="s">
        <v>6415</v>
      </c>
      <c r="BX315" s="118" t="s">
        <v>6415</v>
      </c>
      <c r="BY315" s="118" t="s">
        <v>6415</v>
      </c>
      <c r="BZ315" s="118">
        <v>708</v>
      </c>
      <c r="CA315" s="118" t="s">
        <v>6415</v>
      </c>
      <c r="CB315" s="118" t="s">
        <v>422</v>
      </c>
      <c r="CC315" s="118" t="s">
        <v>740</v>
      </c>
      <c r="CD315" s="118">
        <v>2</v>
      </c>
      <c r="CE315" s="118" t="s">
        <v>410</v>
      </c>
      <c r="CF315" s="118" t="s">
        <v>406</v>
      </c>
      <c r="CG315" s="118" t="s">
        <v>230</v>
      </c>
      <c r="CH315" s="118" t="s">
        <v>6302</v>
      </c>
      <c r="CI315" s="118" t="s">
        <v>6305</v>
      </c>
      <c r="CJ315" s="118" t="s">
        <v>398</v>
      </c>
      <c r="CK315" s="118">
        <v>0</v>
      </c>
      <c r="CL315" s="118">
        <v>35</v>
      </c>
      <c r="CM315" s="118" t="s">
        <v>436</v>
      </c>
      <c r="CN315" s="118" t="s">
        <v>6327</v>
      </c>
      <c r="CO315" s="118" t="s">
        <v>1096</v>
      </c>
      <c r="CP315" s="118" t="s">
        <v>400</v>
      </c>
      <c r="CQ315" s="118" t="s">
        <v>6415</v>
      </c>
      <c r="CR315" s="118" t="s">
        <v>6415</v>
      </c>
      <c r="CS315" s="118" t="s">
        <v>6415</v>
      </c>
      <c r="CT315" s="118" t="s">
        <v>6415</v>
      </c>
      <c r="CU315" s="118" t="s">
        <v>6415</v>
      </c>
      <c r="CV315" s="118" t="s">
        <v>6415</v>
      </c>
      <c r="CW315" s="118">
        <v>45</v>
      </c>
      <c r="CX315" s="118" t="s">
        <v>1066</v>
      </c>
      <c r="CY315" s="118" t="s">
        <v>6341</v>
      </c>
      <c r="CZ315" s="118">
        <v>1</v>
      </c>
      <c r="DA315" s="118" t="s">
        <v>411</v>
      </c>
      <c r="DB315" s="118" t="s">
        <v>410</v>
      </c>
      <c r="DC315" s="118" t="s">
        <v>6415</v>
      </c>
      <c r="DD315" s="118" t="s">
        <v>6302</v>
      </c>
      <c r="DE315" s="118" t="s">
        <v>6308</v>
      </c>
      <c r="DF315" s="118" t="s">
        <v>398</v>
      </c>
      <c r="DG315" s="118" t="s">
        <v>6415</v>
      </c>
      <c r="DH315" s="118">
        <v>35</v>
      </c>
      <c r="DI315" s="118" t="s">
        <v>399</v>
      </c>
      <c r="DJ315" s="118" t="s">
        <v>398</v>
      </c>
      <c r="DK315" s="118" t="s">
        <v>400</v>
      </c>
      <c r="DL315" s="118" t="s">
        <v>6415</v>
      </c>
      <c r="DM315" s="118" t="s">
        <v>6415</v>
      </c>
      <c r="DN315" s="118" t="s">
        <v>6415</v>
      </c>
      <c r="DO315" s="118" t="s">
        <v>6415</v>
      </c>
      <c r="DP315" s="118" t="s">
        <v>6415</v>
      </c>
      <c r="DQ315" s="118" t="s">
        <v>6415</v>
      </c>
      <c r="DR315" s="118">
        <v>32</v>
      </c>
      <c r="DS315" s="118" t="s">
        <v>1068</v>
      </c>
      <c r="DT315" s="118" t="s">
        <v>6341</v>
      </c>
      <c r="DU315" s="118" t="s">
        <v>6415</v>
      </c>
      <c r="DV315" s="118" t="s">
        <v>6415</v>
      </c>
      <c r="DW315" s="118" t="s">
        <v>6415</v>
      </c>
      <c r="DX315" s="118" t="s">
        <v>6415</v>
      </c>
      <c r="DY315" s="118" t="s">
        <v>6415</v>
      </c>
      <c r="DZ315" s="118" t="s">
        <v>6415</v>
      </c>
      <c r="EA315" s="118" t="s">
        <v>6415</v>
      </c>
      <c r="EB315" s="118" t="s">
        <v>6415</v>
      </c>
      <c r="EC315" s="118" t="s">
        <v>6415</v>
      </c>
      <c r="ED315" s="118" t="s">
        <v>6415</v>
      </c>
      <c r="EE315" s="118" t="s">
        <v>6415</v>
      </c>
      <c r="EF315" s="118" t="s">
        <v>6415</v>
      </c>
      <c r="EG315" s="118" t="s">
        <v>7081</v>
      </c>
      <c r="EH315" s="118" t="s">
        <v>7082</v>
      </c>
      <c r="EI315" s="118" t="s">
        <v>6415</v>
      </c>
      <c r="EJ315" s="118" t="s">
        <v>6415</v>
      </c>
      <c r="EK315" s="118">
        <v>145188</v>
      </c>
      <c r="EL315" s="118" t="s">
        <v>7467</v>
      </c>
      <c r="EM315" s="118" t="s">
        <v>7447</v>
      </c>
      <c r="EN315" s="118" t="s">
        <v>6415</v>
      </c>
      <c r="EO315" s="6" t="str">
        <f t="shared" si="26"/>
        <v>Pathweb</v>
      </c>
      <c r="EP315" s="6" t="str">
        <f t="shared" si="27"/>
        <v>Google Maps</v>
      </c>
      <c r="EQ315" s="6" t="str">
        <f t="shared" si="28"/>
        <v>Mashed Map</v>
      </c>
      <c r="ER315" s="118" t="s">
        <v>6727</v>
      </c>
      <c r="ES315" s="118" t="s">
        <v>6728</v>
      </c>
      <c r="ET315" s="4">
        <v>0</v>
      </c>
      <c r="EU315" s="4"/>
      <c r="EV315" s="4"/>
    </row>
    <row r="316" spans="1:152" x14ac:dyDescent="0.15">
      <c r="A316" s="581" t="str">
        <f t="shared" si="25"/>
        <v>Crash Report</v>
      </c>
      <c r="B316" s="118">
        <v>20253112980</v>
      </c>
      <c r="C316" s="118">
        <v>2025</v>
      </c>
      <c r="D316" s="118">
        <v>25062128911447</v>
      </c>
      <c r="F316" s="118" t="s">
        <v>6442</v>
      </c>
      <c r="G316" s="118" t="s">
        <v>390</v>
      </c>
      <c r="H316" s="118">
        <v>2</v>
      </c>
      <c r="I316" s="118" t="s">
        <v>6055</v>
      </c>
      <c r="J316" s="118" t="s">
        <v>391</v>
      </c>
      <c r="K316" s="118" t="s">
        <v>6985</v>
      </c>
      <c r="L316" s="118">
        <v>0.77</v>
      </c>
      <c r="M316" s="118">
        <v>0.77</v>
      </c>
      <c r="N316" s="118" t="s">
        <v>7465</v>
      </c>
      <c r="O316" s="118" t="s">
        <v>7493</v>
      </c>
      <c r="P316" s="118">
        <v>41.654192000000002</v>
      </c>
      <c r="Q316" s="118">
        <v>-83.514189999999999</v>
      </c>
      <c r="R316" s="118">
        <v>77000</v>
      </c>
      <c r="S316" s="118" t="s">
        <v>6988</v>
      </c>
      <c r="T316" s="118">
        <v>1</v>
      </c>
      <c r="U316" s="118">
        <v>0</v>
      </c>
      <c r="V316" s="118">
        <v>0</v>
      </c>
      <c r="W316" s="118">
        <v>0</v>
      </c>
      <c r="X316" s="118">
        <v>0</v>
      </c>
      <c r="Y316" s="118">
        <v>3</v>
      </c>
      <c r="Z316" s="118">
        <v>0</v>
      </c>
      <c r="AA316" s="118">
        <v>3</v>
      </c>
      <c r="AB316" s="118" t="s">
        <v>1067</v>
      </c>
      <c r="AC316" s="118" t="s">
        <v>6989</v>
      </c>
      <c r="AD316" s="118" t="s">
        <v>1034</v>
      </c>
      <c r="AE316" s="118" t="s">
        <v>943</v>
      </c>
      <c r="AF316" s="118" t="s">
        <v>1041</v>
      </c>
      <c r="AG316" s="118" t="s">
        <v>6415</v>
      </c>
      <c r="AH316" s="118" t="s">
        <v>393</v>
      </c>
      <c r="AI316" s="118">
        <v>4</v>
      </c>
      <c r="AJ316" s="118" t="s">
        <v>6415</v>
      </c>
      <c r="AK316" s="118" t="s">
        <v>393</v>
      </c>
      <c r="AL316" s="118" t="s">
        <v>393</v>
      </c>
      <c r="AM316" s="118" t="s">
        <v>393</v>
      </c>
      <c r="AN316" s="402" t="s">
        <v>5975</v>
      </c>
      <c r="AO316" s="402">
        <v>45829</v>
      </c>
      <c r="AP316" s="118">
        <v>6</v>
      </c>
      <c r="AQ316" s="118">
        <v>14</v>
      </c>
      <c r="AR316" s="118" t="s">
        <v>6449</v>
      </c>
      <c r="AS316" s="118" t="s">
        <v>392</v>
      </c>
      <c r="AT316" s="118" t="s">
        <v>500</v>
      </c>
      <c r="AU316" s="118" t="s">
        <v>404</v>
      </c>
      <c r="AV316" s="118" t="s">
        <v>508</v>
      </c>
      <c r="AW316" s="118" t="s">
        <v>393</v>
      </c>
      <c r="AX316" s="118" t="s">
        <v>393</v>
      </c>
      <c r="AY316" s="118" t="s">
        <v>393</v>
      </c>
      <c r="AZ316" s="118" t="s">
        <v>393</v>
      </c>
      <c r="BA316" s="118" t="s">
        <v>393</v>
      </c>
      <c r="BB316" s="118" t="s">
        <v>393</v>
      </c>
      <c r="BC316" s="118" t="s">
        <v>393</v>
      </c>
      <c r="BD316" s="118" t="s">
        <v>393</v>
      </c>
      <c r="BE316" s="118" t="s">
        <v>393</v>
      </c>
      <c r="BF316" s="118" t="s">
        <v>740</v>
      </c>
      <c r="BG316" s="118" t="s">
        <v>393</v>
      </c>
      <c r="BH316" s="118" t="s">
        <v>394</v>
      </c>
      <c r="BI316" s="118" t="s">
        <v>394</v>
      </c>
      <c r="BJ316" s="118" t="s">
        <v>393</v>
      </c>
      <c r="BK316" s="118" t="s">
        <v>6988</v>
      </c>
      <c r="BL316" s="118" t="s">
        <v>6415</v>
      </c>
      <c r="BM316" s="118" t="s">
        <v>6990</v>
      </c>
      <c r="BN316" s="118" t="s">
        <v>6991</v>
      </c>
      <c r="BO316" s="118" t="s">
        <v>6415</v>
      </c>
      <c r="BP316" s="118" t="s">
        <v>6415</v>
      </c>
      <c r="BQ316" s="118" t="s">
        <v>6415</v>
      </c>
      <c r="BR316" s="118" t="s">
        <v>6415</v>
      </c>
      <c r="BS316" s="118" t="s">
        <v>6415</v>
      </c>
      <c r="BT316" s="118" t="s">
        <v>7214</v>
      </c>
      <c r="BU316" s="118" t="s">
        <v>6991</v>
      </c>
      <c r="BV316" s="118" t="s">
        <v>6415</v>
      </c>
      <c r="BW316" s="118" t="s">
        <v>6415</v>
      </c>
      <c r="BX316" s="118" t="s">
        <v>6415</v>
      </c>
      <c r="BY316" s="118" t="s">
        <v>6415</v>
      </c>
      <c r="BZ316" s="118" t="s">
        <v>6415</v>
      </c>
      <c r="CA316" s="118" t="s">
        <v>6415</v>
      </c>
      <c r="CB316" s="118" t="s">
        <v>221</v>
      </c>
      <c r="CC316" s="118" t="s">
        <v>740</v>
      </c>
      <c r="CD316" s="118">
        <v>1</v>
      </c>
      <c r="CE316" s="118" t="s">
        <v>396</v>
      </c>
      <c r="CF316" s="118" t="s">
        <v>397</v>
      </c>
      <c r="CG316" s="118" t="s">
        <v>924</v>
      </c>
      <c r="CH316" s="118" t="s">
        <v>6302</v>
      </c>
      <c r="CI316" s="118" t="s">
        <v>6307</v>
      </c>
      <c r="CJ316" s="118" t="s">
        <v>398</v>
      </c>
      <c r="CK316" s="118">
        <v>0</v>
      </c>
      <c r="CL316" s="118">
        <v>0</v>
      </c>
      <c r="CM316" s="118" t="s">
        <v>399</v>
      </c>
      <c r="CN316" s="118" t="s">
        <v>6512</v>
      </c>
      <c r="CO316" s="118" t="s">
        <v>1096</v>
      </c>
      <c r="CP316" s="118" t="s">
        <v>400</v>
      </c>
      <c r="CQ316" s="118" t="s">
        <v>6415</v>
      </c>
      <c r="CR316" s="118" t="s">
        <v>6415</v>
      </c>
      <c r="CS316" s="118" t="s">
        <v>6415</v>
      </c>
      <c r="CT316" s="118" t="s">
        <v>6415</v>
      </c>
      <c r="CU316" s="118" t="s">
        <v>6415</v>
      </c>
      <c r="CV316" s="118" t="s">
        <v>6415</v>
      </c>
      <c r="CW316" s="118">
        <v>24</v>
      </c>
      <c r="CX316" s="118" t="s">
        <v>1068</v>
      </c>
      <c r="CY316" s="118" t="s">
        <v>6151</v>
      </c>
      <c r="CZ316" s="118">
        <v>2</v>
      </c>
      <c r="DA316" s="118" t="s">
        <v>396</v>
      </c>
      <c r="DB316" s="118" t="s">
        <v>397</v>
      </c>
      <c r="DC316" s="118" t="s">
        <v>6415</v>
      </c>
      <c r="DD316" s="118" t="s">
        <v>6302</v>
      </c>
      <c r="DE316" s="118" t="s">
        <v>417</v>
      </c>
      <c r="DF316" s="118" t="s">
        <v>398</v>
      </c>
      <c r="DG316" s="118" t="s">
        <v>6415</v>
      </c>
      <c r="DH316" s="118" t="s">
        <v>6415</v>
      </c>
      <c r="DI316" s="118" t="s">
        <v>6355</v>
      </c>
      <c r="DJ316" s="118" t="s">
        <v>398</v>
      </c>
      <c r="DK316" s="118" t="s">
        <v>400</v>
      </c>
      <c r="DL316" s="118" t="s">
        <v>6415</v>
      </c>
      <c r="DM316" s="118" t="s">
        <v>6415</v>
      </c>
      <c r="DN316" s="118" t="s">
        <v>6415</v>
      </c>
      <c r="DO316" s="118" t="s">
        <v>6415</v>
      </c>
      <c r="DP316" s="118" t="s">
        <v>6415</v>
      </c>
      <c r="DQ316" s="118" t="s">
        <v>6415</v>
      </c>
      <c r="DR316" s="118">
        <v>33</v>
      </c>
      <c r="DS316" s="118" t="s">
        <v>1068</v>
      </c>
      <c r="DT316" s="118" t="s">
        <v>6341</v>
      </c>
      <c r="DU316" s="118">
        <v>3</v>
      </c>
      <c r="DV316" s="118" t="s">
        <v>6302</v>
      </c>
      <c r="DW316" s="118" t="s">
        <v>417</v>
      </c>
      <c r="DX316" s="118" t="s">
        <v>398</v>
      </c>
      <c r="DY316" s="118" t="s">
        <v>6355</v>
      </c>
      <c r="DZ316" s="118" t="s">
        <v>398</v>
      </c>
      <c r="EA316" s="118" t="s">
        <v>400</v>
      </c>
      <c r="EB316" s="118" t="s">
        <v>6415</v>
      </c>
      <c r="EC316" s="118" t="s">
        <v>6415</v>
      </c>
      <c r="ED316" s="118" t="s">
        <v>6415</v>
      </c>
      <c r="EE316" s="118" t="s">
        <v>6415</v>
      </c>
      <c r="EF316" s="118" t="s">
        <v>6415</v>
      </c>
      <c r="EG316" s="118" t="s">
        <v>7164</v>
      </c>
      <c r="EH316" s="118" t="s">
        <v>7206</v>
      </c>
      <c r="EI316" s="118" t="s">
        <v>6415</v>
      </c>
      <c r="EJ316" s="118" t="s">
        <v>6415</v>
      </c>
      <c r="EK316" s="118">
        <v>145188</v>
      </c>
      <c r="EL316" s="118" t="s">
        <v>7467</v>
      </c>
      <c r="EM316" s="118" t="s">
        <v>7448</v>
      </c>
      <c r="EN316" s="118" t="s">
        <v>6415</v>
      </c>
      <c r="EO316" s="6" t="str">
        <f t="shared" si="26"/>
        <v>Pathweb</v>
      </c>
      <c r="EP316" s="6" t="str">
        <f t="shared" si="27"/>
        <v>Google Maps</v>
      </c>
      <c r="EQ316" s="6" t="str">
        <f t="shared" si="28"/>
        <v>Mashed Map</v>
      </c>
      <c r="ER316" s="118" t="s">
        <v>6727</v>
      </c>
      <c r="ES316" s="118" t="s">
        <v>71</v>
      </c>
      <c r="ET316" s="4">
        <v>3.0000000000000001E-3</v>
      </c>
      <c r="EU316" s="4"/>
      <c r="EV316" s="4"/>
    </row>
    <row r="317" spans="1:152" x14ac:dyDescent="0.15">
      <c r="A317" s="581" t="str">
        <f t="shared" si="25"/>
        <v>Crash Report</v>
      </c>
      <c r="B317" s="118">
        <v>20253117416</v>
      </c>
      <c r="C317" s="118">
        <v>2025</v>
      </c>
      <c r="D317" s="118">
        <v>25062828271645</v>
      </c>
      <c r="F317" s="118" t="s">
        <v>6442</v>
      </c>
      <c r="G317" s="118" t="s">
        <v>402</v>
      </c>
      <c r="H317" s="118">
        <v>2</v>
      </c>
      <c r="I317" s="118" t="s">
        <v>6055</v>
      </c>
      <c r="J317" s="118" t="s">
        <v>423</v>
      </c>
      <c r="K317" s="118" t="s">
        <v>6997</v>
      </c>
      <c r="L317" s="118">
        <v>0.71299999999999997</v>
      </c>
      <c r="M317" s="118">
        <v>0.71299999999999997</v>
      </c>
      <c r="N317" s="118" t="s">
        <v>7469</v>
      </c>
      <c r="O317" s="118" t="s">
        <v>7466</v>
      </c>
      <c r="P317" s="118">
        <v>41.648519</v>
      </c>
      <c r="Q317" s="118">
        <v>-83.523447000000004</v>
      </c>
      <c r="R317" s="118">
        <v>77000</v>
      </c>
      <c r="S317" s="118" t="s">
        <v>6988</v>
      </c>
      <c r="T317" s="118">
        <v>1</v>
      </c>
      <c r="U317" s="118">
        <v>0</v>
      </c>
      <c r="V317" s="118">
        <v>0</v>
      </c>
      <c r="W317" s="118">
        <v>0</v>
      </c>
      <c r="X317" s="118">
        <v>0</v>
      </c>
      <c r="Y317" s="118">
        <v>3</v>
      </c>
      <c r="Z317" s="118">
        <v>1</v>
      </c>
      <c r="AA317" s="118">
        <v>2</v>
      </c>
      <c r="AB317" s="118" t="s">
        <v>1067</v>
      </c>
      <c r="AC317" s="118" t="s">
        <v>6989</v>
      </c>
      <c r="AD317" s="118" t="s">
        <v>1034</v>
      </c>
      <c r="AE317" s="118" t="s">
        <v>943</v>
      </c>
      <c r="AF317" s="118" t="s">
        <v>1042</v>
      </c>
      <c r="AG317" s="118" t="s">
        <v>6415</v>
      </c>
      <c r="AH317" s="118" t="s">
        <v>393</v>
      </c>
      <c r="AI317" s="118">
        <v>2</v>
      </c>
      <c r="AJ317" s="118" t="s">
        <v>6415</v>
      </c>
      <c r="AK317" s="118" t="s">
        <v>393</v>
      </c>
      <c r="AL317" s="118" t="s">
        <v>393</v>
      </c>
      <c r="AM317" s="118" t="s">
        <v>393</v>
      </c>
      <c r="AN317" s="402" t="s">
        <v>5975</v>
      </c>
      <c r="AO317" s="402">
        <v>45836</v>
      </c>
      <c r="AP317" s="118">
        <v>6</v>
      </c>
      <c r="AQ317" s="118">
        <v>16</v>
      </c>
      <c r="AR317" s="118" t="s">
        <v>6449</v>
      </c>
      <c r="AS317" s="118" t="s">
        <v>392</v>
      </c>
      <c r="AT317" s="118" t="s">
        <v>500</v>
      </c>
      <c r="AU317" s="118" t="s">
        <v>404</v>
      </c>
      <c r="AV317" s="118" t="s">
        <v>508</v>
      </c>
      <c r="AW317" s="118" t="s">
        <v>393</v>
      </c>
      <c r="AX317" s="118" t="s">
        <v>740</v>
      </c>
      <c r="AY317" s="118" t="s">
        <v>393</v>
      </c>
      <c r="AZ317" s="118" t="s">
        <v>393</v>
      </c>
      <c r="BA317" s="118" t="s">
        <v>393</v>
      </c>
      <c r="BB317" s="118" t="s">
        <v>393</v>
      </c>
      <c r="BC317" s="118" t="s">
        <v>393</v>
      </c>
      <c r="BD317" s="118" t="s">
        <v>393</v>
      </c>
      <c r="BE317" s="118" t="s">
        <v>393</v>
      </c>
      <c r="BF317" s="118" t="s">
        <v>393</v>
      </c>
      <c r="BG317" s="118" t="s">
        <v>393</v>
      </c>
      <c r="BH317" s="118" t="s">
        <v>394</v>
      </c>
      <c r="BI317" s="118" t="s">
        <v>394</v>
      </c>
      <c r="BJ317" s="118" t="s">
        <v>393</v>
      </c>
      <c r="BK317" s="118" t="s">
        <v>6988</v>
      </c>
      <c r="BL317" s="118" t="s">
        <v>6415</v>
      </c>
      <c r="BM317" s="118" t="s">
        <v>6990</v>
      </c>
      <c r="BN317" s="118" t="s">
        <v>6991</v>
      </c>
      <c r="BO317" s="118" t="s">
        <v>6415</v>
      </c>
      <c r="BP317" s="118" t="s">
        <v>6415</v>
      </c>
      <c r="BQ317" s="118" t="s">
        <v>6415</v>
      </c>
      <c r="BR317" s="118" t="s">
        <v>6415</v>
      </c>
      <c r="BS317" s="118" t="s">
        <v>6415</v>
      </c>
      <c r="BT317" s="118" t="s">
        <v>6992</v>
      </c>
      <c r="BU317" s="118" t="s">
        <v>6991</v>
      </c>
      <c r="BV317" s="118" t="s">
        <v>6415</v>
      </c>
      <c r="BW317" s="118" t="s">
        <v>6415</v>
      </c>
      <c r="BX317" s="118" t="s">
        <v>6415</v>
      </c>
      <c r="BY317" s="118" t="s">
        <v>6415</v>
      </c>
      <c r="BZ317" s="118" t="s">
        <v>6415</v>
      </c>
      <c r="CA317" s="118" t="s">
        <v>6415</v>
      </c>
      <c r="CB317" s="118" t="s">
        <v>221</v>
      </c>
      <c r="CC317" s="118" t="s">
        <v>740</v>
      </c>
      <c r="CD317" s="118">
        <v>2</v>
      </c>
      <c r="CE317" s="118" t="s">
        <v>410</v>
      </c>
      <c r="CF317" s="118" t="s">
        <v>411</v>
      </c>
      <c r="CG317" s="118" t="s">
        <v>924</v>
      </c>
      <c r="CH317" s="118" t="s">
        <v>6300</v>
      </c>
      <c r="CI317" s="118" t="s">
        <v>6303</v>
      </c>
      <c r="CJ317" s="118" t="s">
        <v>398</v>
      </c>
      <c r="CK317" s="118">
        <v>0</v>
      </c>
      <c r="CL317" s="118">
        <v>35</v>
      </c>
      <c r="CM317" s="118" t="s">
        <v>6151</v>
      </c>
      <c r="CN317" s="118" t="s">
        <v>407</v>
      </c>
      <c r="CO317" s="118" t="s">
        <v>1096</v>
      </c>
      <c r="CP317" s="118" t="s">
        <v>400</v>
      </c>
      <c r="CQ317" s="118" t="s">
        <v>6415</v>
      </c>
      <c r="CR317" s="118" t="s">
        <v>6415</v>
      </c>
      <c r="CS317" s="118" t="s">
        <v>6415</v>
      </c>
      <c r="CT317" s="118" t="s">
        <v>6415</v>
      </c>
      <c r="CU317" s="118" t="s">
        <v>6415</v>
      </c>
      <c r="CV317" s="118" t="s">
        <v>6415</v>
      </c>
      <c r="CW317" s="118">
        <v>0</v>
      </c>
      <c r="CX317" s="118" t="s">
        <v>1068</v>
      </c>
      <c r="CY317" s="118" t="s">
        <v>6151</v>
      </c>
      <c r="CZ317" s="118">
        <v>1</v>
      </c>
      <c r="DA317" s="118" t="s">
        <v>410</v>
      </c>
      <c r="DB317" s="118" t="s">
        <v>411</v>
      </c>
      <c r="DC317" s="118" t="s">
        <v>6415</v>
      </c>
      <c r="DD317" s="118" t="s">
        <v>6300</v>
      </c>
      <c r="DE317" s="118" t="s">
        <v>6303</v>
      </c>
      <c r="DF317" s="118" t="s">
        <v>398</v>
      </c>
      <c r="DG317" s="118" t="s">
        <v>6415</v>
      </c>
      <c r="DH317" s="118">
        <v>35</v>
      </c>
      <c r="DI317" s="118" t="s">
        <v>399</v>
      </c>
      <c r="DJ317" s="118" t="s">
        <v>398</v>
      </c>
      <c r="DK317" s="118" t="s">
        <v>400</v>
      </c>
      <c r="DL317" s="118" t="s">
        <v>6415</v>
      </c>
      <c r="DM317" s="118" t="s">
        <v>6415</v>
      </c>
      <c r="DN317" s="118" t="s">
        <v>6415</v>
      </c>
      <c r="DO317" s="118" t="s">
        <v>6415</v>
      </c>
      <c r="DP317" s="118" t="s">
        <v>6415</v>
      </c>
      <c r="DQ317" s="118" t="s">
        <v>6415</v>
      </c>
      <c r="DR317" s="118">
        <v>58</v>
      </c>
      <c r="DS317" s="118" t="s">
        <v>1066</v>
      </c>
      <c r="DT317" s="118" t="s">
        <v>6341</v>
      </c>
      <c r="DU317" s="118" t="s">
        <v>6415</v>
      </c>
      <c r="DV317" s="118" t="s">
        <v>6415</v>
      </c>
      <c r="DW317" s="118" t="s">
        <v>6415</v>
      </c>
      <c r="DX317" s="118" t="s">
        <v>6415</v>
      </c>
      <c r="DY317" s="118" t="s">
        <v>6415</v>
      </c>
      <c r="DZ317" s="118" t="s">
        <v>6415</v>
      </c>
      <c r="EA317" s="118" t="s">
        <v>6415</v>
      </c>
      <c r="EB317" s="118" t="s">
        <v>6415</v>
      </c>
      <c r="EC317" s="118" t="s">
        <v>6415</v>
      </c>
      <c r="ED317" s="118" t="s">
        <v>6415</v>
      </c>
      <c r="EE317" s="118" t="s">
        <v>6415</v>
      </c>
      <c r="EF317" s="118" t="s">
        <v>6415</v>
      </c>
      <c r="EG317" s="118" t="s">
        <v>6986</v>
      </c>
      <c r="EH317" s="118" t="s">
        <v>7168</v>
      </c>
      <c r="EI317" s="118" t="s">
        <v>6415</v>
      </c>
      <c r="EJ317" s="118" t="s">
        <v>6415</v>
      </c>
      <c r="EK317" s="118">
        <v>145048</v>
      </c>
      <c r="EL317" s="118" t="s">
        <v>7467</v>
      </c>
      <c r="EM317" s="118" t="s">
        <v>7449</v>
      </c>
      <c r="EN317" s="118" t="s">
        <v>6415</v>
      </c>
      <c r="EO317" s="6" t="str">
        <f t="shared" si="26"/>
        <v>Pathweb</v>
      </c>
      <c r="EP317" s="6" t="str">
        <f t="shared" si="27"/>
        <v>Google Maps</v>
      </c>
      <c r="EQ317" s="6" t="str">
        <f t="shared" si="28"/>
        <v>Mashed Map</v>
      </c>
      <c r="ER317" s="118" t="s">
        <v>6727</v>
      </c>
      <c r="ES317" s="118" t="s">
        <v>71</v>
      </c>
      <c r="ET317" s="4">
        <v>0</v>
      </c>
      <c r="EU317" s="4"/>
      <c r="EV317" s="4"/>
    </row>
    <row r="318" spans="1:152" x14ac:dyDescent="0.15">
      <c r="A318" s="581" t="str">
        <f t="shared" si="25"/>
        <v>Crash Report</v>
      </c>
      <c r="B318" s="118">
        <v>20253120022</v>
      </c>
      <c r="C318" s="118">
        <v>2025</v>
      </c>
      <c r="D318" s="118">
        <v>25070229092307</v>
      </c>
      <c r="F318" s="118" t="s">
        <v>6442</v>
      </c>
      <c r="G318" s="118" t="s">
        <v>211</v>
      </c>
      <c r="H318" s="118">
        <v>2</v>
      </c>
      <c r="I318" s="118" t="s">
        <v>6055</v>
      </c>
      <c r="J318" s="118" t="s">
        <v>391</v>
      </c>
      <c r="K318" s="118" t="s">
        <v>6997</v>
      </c>
      <c r="L318" s="118">
        <v>0.71299999999999997</v>
      </c>
      <c r="M318" s="118">
        <v>0.71299999999999997</v>
      </c>
      <c r="N318" s="118" t="s">
        <v>7469</v>
      </c>
      <c r="O318" s="118" t="s">
        <v>7466</v>
      </c>
      <c r="P318" s="118">
        <v>41.648519</v>
      </c>
      <c r="Q318" s="118">
        <v>-83.523447000000004</v>
      </c>
      <c r="R318" s="118">
        <v>77000</v>
      </c>
      <c r="S318" s="118" t="s">
        <v>6988</v>
      </c>
      <c r="T318" s="118">
        <v>1</v>
      </c>
      <c r="U318" s="118">
        <v>0</v>
      </c>
      <c r="V318" s="118">
        <v>0</v>
      </c>
      <c r="W318" s="118">
        <v>0</v>
      </c>
      <c r="X318" s="118">
        <v>0</v>
      </c>
      <c r="Y318" s="118">
        <v>4</v>
      </c>
      <c r="Z318" s="118">
        <v>0</v>
      </c>
      <c r="AA318" s="118">
        <v>2</v>
      </c>
      <c r="AB318" s="118" t="s">
        <v>1067</v>
      </c>
      <c r="AC318" s="118" t="s">
        <v>6989</v>
      </c>
      <c r="AD318" s="118" t="s">
        <v>1034</v>
      </c>
      <c r="AE318" s="118" t="s">
        <v>943</v>
      </c>
      <c r="AF318" s="118" t="s">
        <v>1042</v>
      </c>
      <c r="AG318" s="118" t="s">
        <v>6415</v>
      </c>
      <c r="AH318" s="118" t="s">
        <v>393</v>
      </c>
      <c r="AI318" s="118">
        <v>2</v>
      </c>
      <c r="AJ318" s="118" t="s">
        <v>6415</v>
      </c>
      <c r="AK318" s="118" t="s">
        <v>393</v>
      </c>
      <c r="AL318" s="118" t="s">
        <v>393</v>
      </c>
      <c r="AM318" s="118" t="s">
        <v>393</v>
      </c>
      <c r="AN318" s="402" t="s">
        <v>5975</v>
      </c>
      <c r="AO318" s="402">
        <v>45840</v>
      </c>
      <c r="AP318" s="118">
        <v>7</v>
      </c>
      <c r="AQ318" s="118">
        <v>23</v>
      </c>
      <c r="AR318" s="118" t="s">
        <v>6446</v>
      </c>
      <c r="AS318" s="118" t="s">
        <v>392</v>
      </c>
      <c r="AT318" s="118" t="s">
        <v>500</v>
      </c>
      <c r="AU318" s="118" t="s">
        <v>505</v>
      </c>
      <c r="AV318" s="118" t="s">
        <v>509</v>
      </c>
      <c r="AW318" s="118" t="s">
        <v>393</v>
      </c>
      <c r="AX318" s="118" t="s">
        <v>393</v>
      </c>
      <c r="AY318" s="118" t="s">
        <v>393</v>
      </c>
      <c r="AZ318" s="118" t="s">
        <v>393</v>
      </c>
      <c r="BA318" s="118" t="s">
        <v>393</v>
      </c>
      <c r="BB318" s="118" t="s">
        <v>393</v>
      </c>
      <c r="BC318" s="118" t="s">
        <v>393</v>
      </c>
      <c r="BD318" s="118" t="s">
        <v>393</v>
      </c>
      <c r="BE318" s="118" t="s">
        <v>393</v>
      </c>
      <c r="BF318" s="118" t="s">
        <v>740</v>
      </c>
      <c r="BG318" s="118" t="s">
        <v>393</v>
      </c>
      <c r="BH318" s="118" t="s">
        <v>394</v>
      </c>
      <c r="BI318" s="118" t="s">
        <v>394</v>
      </c>
      <c r="BJ318" s="118" t="s">
        <v>393</v>
      </c>
      <c r="BK318" s="118" t="s">
        <v>6988</v>
      </c>
      <c r="BL318" s="118" t="s">
        <v>6415</v>
      </c>
      <c r="BM318" s="118" t="s">
        <v>6990</v>
      </c>
      <c r="BN318" s="118" t="s">
        <v>6991</v>
      </c>
      <c r="BO318" s="118" t="s">
        <v>6415</v>
      </c>
      <c r="BP318" s="118" t="s">
        <v>6415</v>
      </c>
      <c r="BQ318" s="118" t="s">
        <v>6415</v>
      </c>
      <c r="BR318" s="118" t="s">
        <v>6415</v>
      </c>
      <c r="BS318" s="118" t="s">
        <v>6415</v>
      </c>
      <c r="BT318" s="118" t="s">
        <v>6992</v>
      </c>
      <c r="BU318" s="118" t="s">
        <v>6991</v>
      </c>
      <c r="BV318" s="118" t="s">
        <v>6415</v>
      </c>
      <c r="BW318" s="118" t="s">
        <v>6415</v>
      </c>
      <c r="BX318" s="118" t="s">
        <v>6415</v>
      </c>
      <c r="BY318" s="118" t="s">
        <v>6415</v>
      </c>
      <c r="BZ318" s="118" t="s">
        <v>6415</v>
      </c>
      <c r="CA318" s="118" t="s">
        <v>6415</v>
      </c>
      <c r="CB318" s="118" t="s">
        <v>221</v>
      </c>
      <c r="CC318" s="118" t="s">
        <v>740</v>
      </c>
      <c r="CD318" s="118">
        <v>1</v>
      </c>
      <c r="CE318" s="118" t="s">
        <v>405</v>
      </c>
      <c r="CF318" s="118" t="s">
        <v>406</v>
      </c>
      <c r="CG318" s="118" t="s">
        <v>924</v>
      </c>
      <c r="CH318" s="118" t="s">
        <v>6302</v>
      </c>
      <c r="CI318" s="118" t="s">
        <v>417</v>
      </c>
      <c r="CJ318" s="118" t="s">
        <v>398</v>
      </c>
      <c r="CK318" s="118">
        <v>10</v>
      </c>
      <c r="CL318" s="118">
        <v>35</v>
      </c>
      <c r="CM318" s="118" t="s">
        <v>444</v>
      </c>
      <c r="CN318" s="118" t="s">
        <v>6327</v>
      </c>
      <c r="CO318" s="118" t="s">
        <v>1096</v>
      </c>
      <c r="CP318" s="118" t="s">
        <v>400</v>
      </c>
      <c r="CQ318" s="118" t="s">
        <v>6415</v>
      </c>
      <c r="CR318" s="118" t="s">
        <v>6415</v>
      </c>
      <c r="CS318" s="118" t="s">
        <v>6415</v>
      </c>
      <c r="CT318" s="118" t="s">
        <v>6415</v>
      </c>
      <c r="CU318" s="118" t="s">
        <v>6415</v>
      </c>
      <c r="CV318" s="118" t="s">
        <v>6415</v>
      </c>
      <c r="CW318" s="118">
        <v>16</v>
      </c>
      <c r="CX318" s="118" t="s">
        <v>1066</v>
      </c>
      <c r="CY318" s="118" t="s">
        <v>6151</v>
      </c>
      <c r="CZ318" s="118">
        <v>2</v>
      </c>
      <c r="DA318" s="118" t="s">
        <v>410</v>
      </c>
      <c r="DB318" s="118" t="s">
        <v>411</v>
      </c>
      <c r="DC318" s="118" t="s">
        <v>6415</v>
      </c>
      <c r="DD318" s="118" t="s">
        <v>6302</v>
      </c>
      <c r="DE318" s="118" t="s">
        <v>417</v>
      </c>
      <c r="DF318" s="118" t="s">
        <v>398</v>
      </c>
      <c r="DG318" s="118">
        <v>25</v>
      </c>
      <c r="DH318" s="118">
        <v>35</v>
      </c>
      <c r="DI318" s="118" t="s">
        <v>399</v>
      </c>
      <c r="DJ318" s="118" t="s">
        <v>398</v>
      </c>
      <c r="DK318" s="118" t="s">
        <v>400</v>
      </c>
      <c r="DL318" s="118" t="s">
        <v>6415</v>
      </c>
      <c r="DM318" s="118" t="s">
        <v>6415</v>
      </c>
      <c r="DN318" s="118" t="s">
        <v>6415</v>
      </c>
      <c r="DO318" s="118" t="s">
        <v>6415</v>
      </c>
      <c r="DP318" s="118" t="s">
        <v>6415</v>
      </c>
      <c r="DQ318" s="118" t="s">
        <v>6415</v>
      </c>
      <c r="DR318" s="118">
        <v>53</v>
      </c>
      <c r="DS318" s="118" t="s">
        <v>1068</v>
      </c>
      <c r="DT318" s="118" t="s">
        <v>6341</v>
      </c>
      <c r="DU318" s="118" t="s">
        <v>6415</v>
      </c>
      <c r="DV318" s="118" t="s">
        <v>6415</v>
      </c>
      <c r="DW318" s="118" t="s">
        <v>6415</v>
      </c>
      <c r="DX318" s="118" t="s">
        <v>6415</v>
      </c>
      <c r="DY318" s="118" t="s">
        <v>6415</v>
      </c>
      <c r="DZ318" s="118" t="s">
        <v>6415</v>
      </c>
      <c r="EA318" s="118" t="s">
        <v>6415</v>
      </c>
      <c r="EB318" s="118" t="s">
        <v>6415</v>
      </c>
      <c r="EC318" s="118" t="s">
        <v>6415</v>
      </c>
      <c r="ED318" s="118" t="s">
        <v>6415</v>
      </c>
      <c r="EE318" s="118" t="s">
        <v>6415</v>
      </c>
      <c r="EF318" s="118" t="s">
        <v>6415</v>
      </c>
      <c r="EG318" s="118" t="s">
        <v>6986</v>
      </c>
      <c r="EH318" s="118" t="s">
        <v>7168</v>
      </c>
      <c r="EI318" s="118" t="s">
        <v>6415</v>
      </c>
      <c r="EJ318" s="118" t="s">
        <v>6415</v>
      </c>
      <c r="EK318" s="118">
        <v>145048</v>
      </c>
      <c r="EL318" s="118" t="s">
        <v>7467</v>
      </c>
      <c r="EM318" s="118" t="s">
        <v>7450</v>
      </c>
      <c r="EN318" s="118" t="s">
        <v>6415</v>
      </c>
      <c r="EO318" s="6" t="str">
        <f t="shared" si="26"/>
        <v>Pathweb</v>
      </c>
      <c r="EP318" s="6" t="str">
        <f t="shared" si="27"/>
        <v>Google Maps</v>
      </c>
      <c r="EQ318" s="6" t="str">
        <f t="shared" si="28"/>
        <v>Mashed Map</v>
      </c>
      <c r="ER318" s="118" t="s">
        <v>6727</v>
      </c>
      <c r="ES318" s="118" t="s">
        <v>71</v>
      </c>
      <c r="ET318" s="4">
        <v>1.9E-2</v>
      </c>
      <c r="EU318" s="4"/>
      <c r="EV318" s="4"/>
    </row>
    <row r="319" spans="1:152" x14ac:dyDescent="0.15">
      <c r="A319" s="581" t="str">
        <f t="shared" si="25"/>
        <v>Crash Report</v>
      </c>
      <c r="B319" s="118">
        <v>20253123341</v>
      </c>
      <c r="C319" s="118">
        <v>2025</v>
      </c>
      <c r="D319" s="118">
        <v>25070724651155</v>
      </c>
      <c r="F319" s="118" t="s">
        <v>6442</v>
      </c>
      <c r="G319" s="118" t="s">
        <v>390</v>
      </c>
      <c r="H319" s="118">
        <v>2</v>
      </c>
      <c r="I319" s="118" t="s">
        <v>6055</v>
      </c>
      <c r="J319" s="118" t="s">
        <v>434</v>
      </c>
      <c r="K319" s="118" t="s">
        <v>6997</v>
      </c>
      <c r="L319" s="118">
        <v>0.66200000000000003</v>
      </c>
      <c r="M319" s="118">
        <v>0.66200000000000003</v>
      </c>
      <c r="N319" s="118" t="s">
        <v>7469</v>
      </c>
      <c r="O319" s="118" t="s">
        <v>7466</v>
      </c>
      <c r="P319" s="118">
        <v>41.647948</v>
      </c>
      <c r="Q319" s="118">
        <v>-83.522822000000005</v>
      </c>
      <c r="R319" s="118">
        <v>77000</v>
      </c>
      <c r="S319" s="118" t="s">
        <v>6988</v>
      </c>
      <c r="T319" s="118">
        <v>1</v>
      </c>
      <c r="U319" s="118">
        <v>0</v>
      </c>
      <c r="V319" s="118">
        <v>0</v>
      </c>
      <c r="W319" s="118">
        <v>0</v>
      </c>
      <c r="X319" s="118">
        <v>0</v>
      </c>
      <c r="Y319" s="118">
        <v>2</v>
      </c>
      <c r="Z319" s="118">
        <v>0</v>
      </c>
      <c r="AA319" s="118">
        <v>2</v>
      </c>
      <c r="AB319" s="118" t="s">
        <v>1067</v>
      </c>
      <c r="AC319" s="118" t="s">
        <v>6989</v>
      </c>
      <c r="AD319" s="118" t="s">
        <v>1034</v>
      </c>
      <c r="AE319" s="118" t="s">
        <v>943</v>
      </c>
      <c r="AF319" s="118" t="s">
        <v>1042</v>
      </c>
      <c r="AG319" s="118" t="s">
        <v>6415</v>
      </c>
      <c r="AH319" s="118" t="s">
        <v>393</v>
      </c>
      <c r="AI319" s="118">
        <v>2</v>
      </c>
      <c r="AJ319" s="118" t="s">
        <v>6415</v>
      </c>
      <c r="AK319" s="118" t="s">
        <v>393</v>
      </c>
      <c r="AL319" s="118" t="s">
        <v>393</v>
      </c>
      <c r="AM319" s="118" t="s">
        <v>393</v>
      </c>
      <c r="AN319" s="402" t="s">
        <v>5975</v>
      </c>
      <c r="AO319" s="402">
        <v>45845</v>
      </c>
      <c r="AP319" s="118">
        <v>7</v>
      </c>
      <c r="AQ319" s="118">
        <v>11</v>
      </c>
      <c r="AR319" s="118" t="s">
        <v>6444</v>
      </c>
      <c r="AS319" s="118" t="s">
        <v>392</v>
      </c>
      <c r="AT319" s="118" t="s">
        <v>500</v>
      </c>
      <c r="AU319" s="118" t="s">
        <v>404</v>
      </c>
      <c r="AV319" s="118" t="s">
        <v>508</v>
      </c>
      <c r="AW319" s="118" t="s">
        <v>393</v>
      </c>
      <c r="AX319" s="118" t="s">
        <v>740</v>
      </c>
      <c r="AY319" s="118" t="s">
        <v>393</v>
      </c>
      <c r="AZ319" s="118" t="s">
        <v>393</v>
      </c>
      <c r="BA319" s="118" t="s">
        <v>393</v>
      </c>
      <c r="BB319" s="118" t="s">
        <v>393</v>
      </c>
      <c r="BC319" s="118" t="s">
        <v>393</v>
      </c>
      <c r="BD319" s="118" t="s">
        <v>393</v>
      </c>
      <c r="BE319" s="118" t="s">
        <v>393</v>
      </c>
      <c r="BF319" s="118" t="s">
        <v>393</v>
      </c>
      <c r="BG319" s="118" t="s">
        <v>393</v>
      </c>
      <c r="BH319" s="118" t="s">
        <v>394</v>
      </c>
      <c r="BI319" s="118" t="s">
        <v>394</v>
      </c>
      <c r="BJ319" s="118" t="s">
        <v>393</v>
      </c>
      <c r="BK319" s="118" t="s">
        <v>6988</v>
      </c>
      <c r="BL319" s="118" t="s">
        <v>6415</v>
      </c>
      <c r="BM319" s="118" t="s">
        <v>7453</v>
      </c>
      <c r="BN319" s="118" t="s">
        <v>6991</v>
      </c>
      <c r="BO319" s="118" t="s">
        <v>6415</v>
      </c>
      <c r="BP319" s="118" t="s">
        <v>6415</v>
      </c>
      <c r="BQ319" s="118" t="s">
        <v>6415</v>
      </c>
      <c r="BR319" s="118" t="s">
        <v>6415</v>
      </c>
      <c r="BS319" s="118" t="s">
        <v>6415</v>
      </c>
      <c r="BT319" s="118" t="s">
        <v>6992</v>
      </c>
      <c r="BU319" s="118" t="s">
        <v>6991</v>
      </c>
      <c r="BV319" s="118" t="s">
        <v>6415</v>
      </c>
      <c r="BW319" s="118" t="s">
        <v>6415</v>
      </c>
      <c r="BX319" s="118" t="s">
        <v>6415</v>
      </c>
      <c r="BY319" s="118" t="s">
        <v>6415</v>
      </c>
      <c r="BZ319" s="118" t="s">
        <v>6415</v>
      </c>
      <c r="CA319" s="118" t="s">
        <v>6415</v>
      </c>
      <c r="CB319" s="118" t="s">
        <v>221</v>
      </c>
      <c r="CC319" s="118" t="s">
        <v>740</v>
      </c>
      <c r="CD319" s="118">
        <v>1</v>
      </c>
      <c r="CE319" s="118" t="s">
        <v>411</v>
      </c>
      <c r="CF319" s="118" t="s">
        <v>410</v>
      </c>
      <c r="CG319" s="118" t="s">
        <v>924</v>
      </c>
      <c r="CH319" s="118" t="s">
        <v>433</v>
      </c>
      <c r="CI319" s="118" t="s">
        <v>6303</v>
      </c>
      <c r="CJ319" s="118" t="s">
        <v>6151</v>
      </c>
      <c r="CK319" s="118">
        <v>0</v>
      </c>
      <c r="CL319" s="118">
        <v>25</v>
      </c>
      <c r="CM319" s="118" t="s">
        <v>399</v>
      </c>
      <c r="CN319" s="118" t="s">
        <v>6512</v>
      </c>
      <c r="CO319" s="118" t="s">
        <v>1096</v>
      </c>
      <c r="CP319" s="118" t="s">
        <v>400</v>
      </c>
      <c r="CQ319" s="118" t="s">
        <v>6415</v>
      </c>
      <c r="CR319" s="118" t="s">
        <v>6415</v>
      </c>
      <c r="CS319" s="118" t="s">
        <v>6415</v>
      </c>
      <c r="CT319" s="118" t="s">
        <v>6415</v>
      </c>
      <c r="CU319" s="118" t="s">
        <v>6415</v>
      </c>
      <c r="CV319" s="118" t="s">
        <v>6415</v>
      </c>
      <c r="CW319" s="118">
        <v>28</v>
      </c>
      <c r="CX319" s="118" t="s">
        <v>1068</v>
      </c>
      <c r="CY319" s="118" t="s">
        <v>6151</v>
      </c>
      <c r="CZ319" s="118">
        <v>2</v>
      </c>
      <c r="DA319" s="118" t="s">
        <v>411</v>
      </c>
      <c r="DB319" s="118" t="s">
        <v>410</v>
      </c>
      <c r="DC319" s="118" t="s">
        <v>6415</v>
      </c>
      <c r="DD319" s="118" t="s">
        <v>433</v>
      </c>
      <c r="DE319" s="118" t="s">
        <v>6307</v>
      </c>
      <c r="DF319" s="118" t="s">
        <v>398</v>
      </c>
      <c r="DG319" s="118">
        <v>0</v>
      </c>
      <c r="DH319" s="118">
        <v>25</v>
      </c>
      <c r="DI319" s="118" t="s">
        <v>6355</v>
      </c>
      <c r="DJ319" s="118" t="s">
        <v>398</v>
      </c>
      <c r="DK319" s="118" t="s">
        <v>400</v>
      </c>
      <c r="DL319" s="118" t="s">
        <v>6415</v>
      </c>
      <c r="DM319" s="118" t="s">
        <v>6415</v>
      </c>
      <c r="DN319" s="118" t="s">
        <v>6415</v>
      </c>
      <c r="DO319" s="118" t="s">
        <v>6415</v>
      </c>
      <c r="DP319" s="118" t="s">
        <v>6415</v>
      </c>
      <c r="DQ319" s="118" t="s">
        <v>6415</v>
      </c>
      <c r="DR319" s="118">
        <v>61</v>
      </c>
      <c r="DS319" s="118" t="s">
        <v>1066</v>
      </c>
      <c r="DT319" s="118" t="s">
        <v>6341</v>
      </c>
      <c r="DU319" s="118" t="s">
        <v>6415</v>
      </c>
      <c r="DV319" s="118" t="s">
        <v>6415</v>
      </c>
      <c r="DW319" s="118" t="s">
        <v>6415</v>
      </c>
      <c r="DX319" s="118" t="s">
        <v>6415</v>
      </c>
      <c r="DY319" s="118" t="s">
        <v>6415</v>
      </c>
      <c r="DZ319" s="118" t="s">
        <v>6415</v>
      </c>
      <c r="EA319" s="118" t="s">
        <v>6415</v>
      </c>
      <c r="EB319" s="118" t="s">
        <v>6415</v>
      </c>
      <c r="EC319" s="118" t="s">
        <v>6415</v>
      </c>
      <c r="ED319" s="118" t="s">
        <v>6415</v>
      </c>
      <c r="EE319" s="118" t="s">
        <v>6415</v>
      </c>
      <c r="EF319" s="118" t="s">
        <v>6415</v>
      </c>
      <c r="EG319" s="118" t="s">
        <v>7193</v>
      </c>
      <c r="EH319" s="118" t="s">
        <v>7452</v>
      </c>
      <c r="EI319" s="118" t="s">
        <v>6415</v>
      </c>
      <c r="EJ319" s="118" t="s">
        <v>6415</v>
      </c>
      <c r="EK319" s="118">
        <v>145048</v>
      </c>
      <c r="EL319" s="118" t="s">
        <v>7467</v>
      </c>
      <c r="EM319" s="118" t="s">
        <v>7451</v>
      </c>
      <c r="EN319" s="118" t="s">
        <v>6415</v>
      </c>
      <c r="EO319" s="6" t="str">
        <f t="shared" si="26"/>
        <v>Pathweb</v>
      </c>
      <c r="EP319" s="6" t="str">
        <f t="shared" si="27"/>
        <v>Google Maps</v>
      </c>
      <c r="EQ319" s="6" t="str">
        <f t="shared" si="28"/>
        <v>Mashed Map</v>
      </c>
      <c r="ER319" s="118" t="s">
        <v>6727</v>
      </c>
      <c r="ES319" s="118" t="s">
        <v>71</v>
      </c>
      <c r="ET319" s="4">
        <v>0</v>
      </c>
      <c r="EU319" s="4"/>
      <c r="EV319" s="4"/>
    </row>
    <row r="320" spans="1:152" x14ac:dyDescent="0.15">
      <c r="A320" s="581" t="str">
        <f t="shared" si="25"/>
        <v>Crash Report</v>
      </c>
      <c r="B320" s="118">
        <v>20253123378</v>
      </c>
      <c r="C320" s="118">
        <v>2025</v>
      </c>
      <c r="D320" s="118">
        <v>25070724041222</v>
      </c>
      <c r="F320" s="118" t="s">
        <v>6442</v>
      </c>
      <c r="G320" s="118" t="s">
        <v>438</v>
      </c>
      <c r="H320" s="118">
        <v>2</v>
      </c>
      <c r="I320" s="118" t="s">
        <v>6055</v>
      </c>
      <c r="J320" s="118" t="s">
        <v>391</v>
      </c>
      <c r="K320" s="118" t="s">
        <v>6985</v>
      </c>
      <c r="L320" s="118">
        <v>9.0999999999999998E-2</v>
      </c>
      <c r="M320" s="118">
        <v>9.0999999999999998E-2</v>
      </c>
      <c r="N320" s="118" t="s">
        <v>7465</v>
      </c>
      <c r="O320" s="118" t="s">
        <v>7475</v>
      </c>
      <c r="P320" s="118">
        <v>41.648000000000003</v>
      </c>
      <c r="Q320" s="118">
        <v>-83.524338999999998</v>
      </c>
      <c r="R320" s="118">
        <v>77000</v>
      </c>
      <c r="S320" s="118" t="s">
        <v>6988</v>
      </c>
      <c r="T320" s="118">
        <v>1</v>
      </c>
      <c r="U320" s="118">
        <v>0</v>
      </c>
      <c r="V320" s="118">
        <v>0</v>
      </c>
      <c r="W320" s="118">
        <v>0</v>
      </c>
      <c r="X320" s="118">
        <v>0</v>
      </c>
      <c r="Y320" s="118">
        <v>5</v>
      </c>
      <c r="Z320" s="118">
        <v>0</v>
      </c>
      <c r="AA320" s="118">
        <v>3</v>
      </c>
      <c r="AB320" s="118" t="s">
        <v>1067</v>
      </c>
      <c r="AC320" s="118" t="s">
        <v>6989</v>
      </c>
      <c r="AD320" s="118" t="s">
        <v>1034</v>
      </c>
      <c r="AE320" s="118" t="s">
        <v>943</v>
      </c>
      <c r="AF320" s="118" t="s">
        <v>1042</v>
      </c>
      <c r="AG320" s="118" t="s">
        <v>6415</v>
      </c>
      <c r="AH320" s="118" t="s">
        <v>393</v>
      </c>
      <c r="AI320" s="118">
        <v>4</v>
      </c>
      <c r="AJ320" s="118" t="s">
        <v>6415</v>
      </c>
      <c r="AK320" s="118" t="s">
        <v>393</v>
      </c>
      <c r="AL320" s="118" t="s">
        <v>393</v>
      </c>
      <c r="AM320" s="118" t="s">
        <v>393</v>
      </c>
      <c r="AN320" s="402" t="s">
        <v>5975</v>
      </c>
      <c r="AO320" s="402">
        <v>45845</v>
      </c>
      <c r="AP320" s="118">
        <v>7</v>
      </c>
      <c r="AQ320" s="118">
        <v>12</v>
      </c>
      <c r="AR320" s="118" t="s">
        <v>6444</v>
      </c>
      <c r="AS320" s="118" t="s">
        <v>403</v>
      </c>
      <c r="AT320" s="118" t="s">
        <v>500</v>
      </c>
      <c r="AU320" s="118" t="s">
        <v>404</v>
      </c>
      <c r="AV320" s="118" t="s">
        <v>508</v>
      </c>
      <c r="AW320" s="118" t="s">
        <v>393</v>
      </c>
      <c r="AX320" s="118" t="s">
        <v>393</v>
      </c>
      <c r="AY320" s="118" t="s">
        <v>393</v>
      </c>
      <c r="AZ320" s="118" t="s">
        <v>393</v>
      </c>
      <c r="BA320" s="118" t="s">
        <v>393</v>
      </c>
      <c r="BB320" s="118" t="s">
        <v>393</v>
      </c>
      <c r="BC320" s="118" t="s">
        <v>393</v>
      </c>
      <c r="BD320" s="118" t="s">
        <v>393</v>
      </c>
      <c r="BE320" s="118" t="s">
        <v>393</v>
      </c>
      <c r="BF320" s="118" t="s">
        <v>393</v>
      </c>
      <c r="BG320" s="118" t="s">
        <v>393</v>
      </c>
      <c r="BH320" s="118" t="s">
        <v>394</v>
      </c>
      <c r="BI320" s="118" t="s">
        <v>394</v>
      </c>
      <c r="BJ320" s="118" t="s">
        <v>393</v>
      </c>
      <c r="BK320" s="118" t="s">
        <v>6988</v>
      </c>
      <c r="BL320" s="118" t="s">
        <v>6415</v>
      </c>
      <c r="BM320" s="118" t="s">
        <v>6990</v>
      </c>
      <c r="BN320" s="118" t="s">
        <v>6991</v>
      </c>
      <c r="BO320" s="118" t="s">
        <v>6415</v>
      </c>
      <c r="BP320" s="118" t="s">
        <v>6415</v>
      </c>
      <c r="BQ320" s="118" t="s">
        <v>6415</v>
      </c>
      <c r="BR320" s="118" t="s">
        <v>6415</v>
      </c>
      <c r="BS320" s="118" t="s">
        <v>6415</v>
      </c>
      <c r="BT320" s="118" t="s">
        <v>2583</v>
      </c>
      <c r="BU320" s="118" t="s">
        <v>7017</v>
      </c>
      <c r="BV320" s="118" t="s">
        <v>6415</v>
      </c>
      <c r="BW320" s="118" t="s">
        <v>6415</v>
      </c>
      <c r="BX320" s="118" t="s">
        <v>6415</v>
      </c>
      <c r="BY320" s="118" t="s">
        <v>6415</v>
      </c>
      <c r="BZ320" s="118" t="s">
        <v>6415</v>
      </c>
      <c r="CA320" s="118" t="s">
        <v>6415</v>
      </c>
      <c r="CB320" s="118" t="s">
        <v>221</v>
      </c>
      <c r="CC320" s="118" t="s">
        <v>740</v>
      </c>
      <c r="CD320" s="118">
        <v>1</v>
      </c>
      <c r="CE320" s="118" t="s">
        <v>405</v>
      </c>
      <c r="CF320" s="118" t="s">
        <v>410</v>
      </c>
      <c r="CG320" s="118" t="s">
        <v>230</v>
      </c>
      <c r="CH320" s="118" t="s">
        <v>6302</v>
      </c>
      <c r="CI320" s="118" t="s">
        <v>417</v>
      </c>
      <c r="CJ320" s="118" t="s">
        <v>398</v>
      </c>
      <c r="CK320" s="118">
        <v>35</v>
      </c>
      <c r="CL320" s="118">
        <v>35</v>
      </c>
      <c r="CM320" s="118" t="s">
        <v>436</v>
      </c>
      <c r="CN320" s="118" t="s">
        <v>6327</v>
      </c>
      <c r="CO320" s="118" t="s">
        <v>1096</v>
      </c>
      <c r="CP320" s="118" t="s">
        <v>400</v>
      </c>
      <c r="CQ320" s="118" t="s">
        <v>6415</v>
      </c>
      <c r="CR320" s="118" t="s">
        <v>6415</v>
      </c>
      <c r="CS320" s="118" t="s">
        <v>6415</v>
      </c>
      <c r="CT320" s="118" t="s">
        <v>6415</v>
      </c>
      <c r="CU320" s="118" t="s">
        <v>6415</v>
      </c>
      <c r="CV320" s="118" t="s">
        <v>6415</v>
      </c>
      <c r="CW320" s="118">
        <v>34</v>
      </c>
      <c r="CX320" s="118" t="s">
        <v>1066</v>
      </c>
      <c r="CY320" s="118" t="s">
        <v>6341</v>
      </c>
      <c r="CZ320" s="118">
        <v>2</v>
      </c>
      <c r="DA320" s="118" t="s">
        <v>406</v>
      </c>
      <c r="DB320" s="118" t="s">
        <v>405</v>
      </c>
      <c r="DC320" s="118" t="s">
        <v>6415</v>
      </c>
      <c r="DD320" s="118" t="s">
        <v>6302</v>
      </c>
      <c r="DE320" s="118" t="s">
        <v>6303</v>
      </c>
      <c r="DF320" s="118" t="s">
        <v>398</v>
      </c>
      <c r="DG320" s="118">
        <v>35</v>
      </c>
      <c r="DH320" s="118">
        <v>35</v>
      </c>
      <c r="DI320" s="118" t="s">
        <v>399</v>
      </c>
      <c r="DJ320" s="118" t="s">
        <v>398</v>
      </c>
      <c r="DK320" s="118" t="s">
        <v>400</v>
      </c>
      <c r="DL320" s="118" t="s">
        <v>6415</v>
      </c>
      <c r="DM320" s="118" t="s">
        <v>6415</v>
      </c>
      <c r="DN320" s="118" t="s">
        <v>6415</v>
      </c>
      <c r="DO320" s="118" t="s">
        <v>6415</v>
      </c>
      <c r="DP320" s="118" t="s">
        <v>6415</v>
      </c>
      <c r="DQ320" s="118" t="s">
        <v>6415</v>
      </c>
      <c r="DR320" s="118">
        <v>58</v>
      </c>
      <c r="DS320" s="118" t="s">
        <v>1068</v>
      </c>
      <c r="DT320" s="118" t="s">
        <v>6341</v>
      </c>
      <c r="DU320" s="118">
        <v>3</v>
      </c>
      <c r="DV320" s="118" t="s">
        <v>6302</v>
      </c>
      <c r="DW320" s="118" t="s">
        <v>417</v>
      </c>
      <c r="DX320" s="118" t="s">
        <v>398</v>
      </c>
      <c r="DY320" s="118" t="s">
        <v>399</v>
      </c>
      <c r="DZ320" s="118" t="s">
        <v>398</v>
      </c>
      <c r="EA320" s="118" t="s">
        <v>400</v>
      </c>
      <c r="EB320" s="118" t="s">
        <v>6415</v>
      </c>
      <c r="EC320" s="118" t="s">
        <v>6415</v>
      </c>
      <c r="ED320" s="118" t="s">
        <v>6415</v>
      </c>
      <c r="EE320" s="118" t="s">
        <v>6415</v>
      </c>
      <c r="EF320" s="118" t="s">
        <v>6415</v>
      </c>
      <c r="EG320" s="118" t="s">
        <v>7028</v>
      </c>
      <c r="EH320" s="118" t="s">
        <v>7097</v>
      </c>
      <c r="EI320" s="118" t="s">
        <v>6415</v>
      </c>
      <c r="EJ320" s="118" t="s">
        <v>6415</v>
      </c>
      <c r="EK320" s="118">
        <v>145187</v>
      </c>
      <c r="EL320" s="118" t="s">
        <v>7467</v>
      </c>
      <c r="EM320" s="118" t="s">
        <v>7454</v>
      </c>
      <c r="EN320" s="118" t="s">
        <v>6415</v>
      </c>
      <c r="EO320" s="6" t="str">
        <f t="shared" si="26"/>
        <v>Pathweb</v>
      </c>
      <c r="EP320" s="6" t="str">
        <f t="shared" si="27"/>
        <v>Google Maps</v>
      </c>
      <c r="EQ320" s="6" t="str">
        <f t="shared" si="28"/>
        <v>Mashed Map</v>
      </c>
      <c r="ER320" s="118" t="s">
        <v>6727</v>
      </c>
      <c r="ES320" s="118" t="s">
        <v>71</v>
      </c>
      <c r="ET320" s="4">
        <v>0</v>
      </c>
      <c r="EU320" s="4"/>
      <c r="EV320" s="4"/>
    </row>
    <row r="321" spans="1:152" x14ac:dyDescent="0.15">
      <c r="A321" s="581" t="str">
        <f t="shared" si="25"/>
        <v>Crash Report</v>
      </c>
      <c r="B321" s="118">
        <v>20253124795</v>
      </c>
      <c r="C321" s="118">
        <v>2025</v>
      </c>
      <c r="D321" s="118">
        <v>25070329691930</v>
      </c>
      <c r="F321" s="118" t="s">
        <v>6442</v>
      </c>
      <c r="G321" s="118" t="s">
        <v>438</v>
      </c>
      <c r="H321" s="118">
        <v>2</v>
      </c>
      <c r="I321" s="118" t="s">
        <v>6055</v>
      </c>
      <c r="J321" s="118" t="s">
        <v>423</v>
      </c>
      <c r="K321" s="118" t="s">
        <v>6997</v>
      </c>
      <c r="L321" s="118">
        <v>0.71299999999999997</v>
      </c>
      <c r="M321" s="118">
        <v>0.71299999999999997</v>
      </c>
      <c r="N321" s="118" t="s">
        <v>7469</v>
      </c>
      <c r="O321" s="118" t="s">
        <v>7473</v>
      </c>
      <c r="P321" s="118">
        <v>41.648519</v>
      </c>
      <c r="Q321" s="118">
        <v>-83.523447000000004</v>
      </c>
      <c r="R321" s="118">
        <v>77000</v>
      </c>
      <c r="S321" s="118" t="s">
        <v>6988</v>
      </c>
      <c r="T321" s="118">
        <v>1</v>
      </c>
      <c r="U321" s="118">
        <v>0</v>
      </c>
      <c r="V321" s="118">
        <v>0</v>
      </c>
      <c r="W321" s="118">
        <v>0</v>
      </c>
      <c r="X321" s="118">
        <v>0</v>
      </c>
      <c r="Y321" s="118">
        <v>8</v>
      </c>
      <c r="Z321" s="118">
        <v>3</v>
      </c>
      <c r="AA321" s="118">
        <v>2</v>
      </c>
      <c r="AB321" s="118" t="s">
        <v>1067</v>
      </c>
      <c r="AC321" s="118" t="s">
        <v>6989</v>
      </c>
      <c r="AD321" s="118" t="s">
        <v>1034</v>
      </c>
      <c r="AE321" s="118" t="s">
        <v>943</v>
      </c>
      <c r="AF321" s="118" t="s">
        <v>1042</v>
      </c>
      <c r="AG321" s="118" t="s">
        <v>6415</v>
      </c>
      <c r="AH321" s="118" t="s">
        <v>393</v>
      </c>
      <c r="AI321" s="118">
        <v>2</v>
      </c>
      <c r="AJ321" s="118" t="s">
        <v>6415</v>
      </c>
      <c r="AK321" s="118" t="s">
        <v>393</v>
      </c>
      <c r="AL321" s="118" t="s">
        <v>393</v>
      </c>
      <c r="AM321" s="118" t="s">
        <v>393</v>
      </c>
      <c r="AN321" s="402" t="s">
        <v>5975</v>
      </c>
      <c r="AO321" s="402">
        <v>45841</v>
      </c>
      <c r="AP321" s="118">
        <v>7</v>
      </c>
      <c r="AQ321" s="118">
        <v>19</v>
      </c>
      <c r="AR321" s="118" t="s">
        <v>6447</v>
      </c>
      <c r="AS321" s="118" t="s">
        <v>392</v>
      </c>
      <c r="AT321" s="118" t="s">
        <v>500</v>
      </c>
      <c r="AU321" s="118" t="s">
        <v>404</v>
      </c>
      <c r="AV321" s="118" t="s">
        <v>508</v>
      </c>
      <c r="AW321" s="118" t="s">
        <v>393</v>
      </c>
      <c r="AX321" s="118" t="s">
        <v>740</v>
      </c>
      <c r="AY321" s="118" t="s">
        <v>393</v>
      </c>
      <c r="AZ321" s="118" t="s">
        <v>393</v>
      </c>
      <c r="BA321" s="118" t="s">
        <v>393</v>
      </c>
      <c r="BB321" s="118" t="s">
        <v>393</v>
      </c>
      <c r="BC321" s="118" t="s">
        <v>393</v>
      </c>
      <c r="BD321" s="118" t="s">
        <v>393</v>
      </c>
      <c r="BE321" s="118" t="s">
        <v>393</v>
      </c>
      <c r="BF321" s="118" t="s">
        <v>393</v>
      </c>
      <c r="BG321" s="118" t="s">
        <v>393</v>
      </c>
      <c r="BH321" s="118" t="s">
        <v>394</v>
      </c>
      <c r="BI321" s="118" t="s">
        <v>394</v>
      </c>
      <c r="BJ321" s="118" t="s">
        <v>393</v>
      </c>
      <c r="BK321" s="118" t="s">
        <v>6988</v>
      </c>
      <c r="BL321" s="118" t="s">
        <v>6415</v>
      </c>
      <c r="BM321" s="118" t="s">
        <v>6992</v>
      </c>
      <c r="BN321" s="118" t="s">
        <v>6991</v>
      </c>
      <c r="BO321" s="118" t="s">
        <v>6415</v>
      </c>
      <c r="BP321" s="118" t="s">
        <v>6415</v>
      </c>
      <c r="BQ321" s="118" t="s">
        <v>6415</v>
      </c>
      <c r="BR321" s="118" t="s">
        <v>6415</v>
      </c>
      <c r="BS321" s="118" t="s">
        <v>6415</v>
      </c>
      <c r="BT321" s="118" t="s">
        <v>6990</v>
      </c>
      <c r="BU321" s="118" t="s">
        <v>6991</v>
      </c>
      <c r="BV321" s="118" t="s">
        <v>6415</v>
      </c>
      <c r="BW321" s="118" t="s">
        <v>6415</v>
      </c>
      <c r="BX321" s="118" t="s">
        <v>6415</v>
      </c>
      <c r="BY321" s="118" t="s">
        <v>6415</v>
      </c>
      <c r="BZ321" s="118" t="s">
        <v>6415</v>
      </c>
      <c r="CA321" s="118" t="s">
        <v>6415</v>
      </c>
      <c r="CB321" s="118" t="s">
        <v>221</v>
      </c>
      <c r="CC321" s="118" t="s">
        <v>740</v>
      </c>
      <c r="CD321" s="118">
        <v>1</v>
      </c>
      <c r="CE321" s="118" t="s">
        <v>410</v>
      </c>
      <c r="CF321" s="118" t="s">
        <v>446</v>
      </c>
      <c r="CG321" s="118" t="s">
        <v>230</v>
      </c>
      <c r="CH321" s="118" t="s">
        <v>6300</v>
      </c>
      <c r="CI321" s="118" t="s">
        <v>417</v>
      </c>
      <c r="CJ321" s="118" t="s">
        <v>398</v>
      </c>
      <c r="CK321" s="118">
        <v>0</v>
      </c>
      <c r="CL321" s="118">
        <v>0</v>
      </c>
      <c r="CM321" s="118" t="s">
        <v>436</v>
      </c>
      <c r="CN321" s="118" t="s">
        <v>451</v>
      </c>
      <c r="CO321" s="118" t="s">
        <v>1096</v>
      </c>
      <c r="CP321" s="118" t="s">
        <v>400</v>
      </c>
      <c r="CQ321" s="118" t="s">
        <v>6415</v>
      </c>
      <c r="CR321" s="118" t="s">
        <v>6415</v>
      </c>
      <c r="CS321" s="118" t="s">
        <v>6415</v>
      </c>
      <c r="CT321" s="118" t="s">
        <v>6415</v>
      </c>
      <c r="CU321" s="118" t="s">
        <v>6415</v>
      </c>
      <c r="CV321" s="118" t="s">
        <v>6415</v>
      </c>
      <c r="CW321" s="118">
        <v>46</v>
      </c>
      <c r="CX321" s="118" t="s">
        <v>1068</v>
      </c>
      <c r="CY321" s="118" t="s">
        <v>6341</v>
      </c>
      <c r="CZ321" s="118">
        <v>2</v>
      </c>
      <c r="DA321" s="118" t="s">
        <v>411</v>
      </c>
      <c r="DB321" s="118" t="s">
        <v>410</v>
      </c>
      <c r="DC321" s="118" t="s">
        <v>6415</v>
      </c>
      <c r="DD321" s="118" t="s">
        <v>6300</v>
      </c>
      <c r="DE321" s="118" t="s">
        <v>417</v>
      </c>
      <c r="DF321" s="118" t="s">
        <v>398</v>
      </c>
      <c r="DG321" s="118" t="s">
        <v>6415</v>
      </c>
      <c r="DH321" s="118" t="s">
        <v>6415</v>
      </c>
      <c r="DI321" s="118" t="s">
        <v>399</v>
      </c>
      <c r="DJ321" s="118" t="s">
        <v>398</v>
      </c>
      <c r="DK321" s="118" t="s">
        <v>400</v>
      </c>
      <c r="DL321" s="118" t="s">
        <v>6415</v>
      </c>
      <c r="DM321" s="118" t="s">
        <v>6415</v>
      </c>
      <c r="DN321" s="118" t="s">
        <v>6415</v>
      </c>
      <c r="DO321" s="118" t="s">
        <v>6415</v>
      </c>
      <c r="DP321" s="118" t="s">
        <v>6415</v>
      </c>
      <c r="DQ321" s="118" t="s">
        <v>6415</v>
      </c>
      <c r="DR321" s="118">
        <v>52</v>
      </c>
      <c r="DS321" s="118" t="s">
        <v>1068</v>
      </c>
      <c r="DT321" s="118" t="s">
        <v>6341</v>
      </c>
      <c r="DU321" s="118" t="s">
        <v>6415</v>
      </c>
      <c r="DV321" s="118" t="s">
        <v>6415</v>
      </c>
      <c r="DW321" s="118" t="s">
        <v>6415</v>
      </c>
      <c r="DX321" s="118" t="s">
        <v>6415</v>
      </c>
      <c r="DY321" s="118" t="s">
        <v>6415</v>
      </c>
      <c r="DZ321" s="118" t="s">
        <v>6415</v>
      </c>
      <c r="EA321" s="118" t="s">
        <v>6415</v>
      </c>
      <c r="EB321" s="118" t="s">
        <v>6415</v>
      </c>
      <c r="EC321" s="118" t="s">
        <v>6415</v>
      </c>
      <c r="ED321" s="118" t="s">
        <v>6415</v>
      </c>
      <c r="EE321" s="118" t="s">
        <v>6415</v>
      </c>
      <c r="EF321" s="118" t="s">
        <v>6415</v>
      </c>
      <c r="EG321" s="118" t="s">
        <v>6986</v>
      </c>
      <c r="EH321" s="118" t="s">
        <v>7168</v>
      </c>
      <c r="EI321" s="118" t="s">
        <v>6415</v>
      </c>
      <c r="EJ321" s="118" t="s">
        <v>6415</v>
      </c>
      <c r="EK321" s="118">
        <v>145048</v>
      </c>
      <c r="EL321" s="118" t="s">
        <v>7467</v>
      </c>
      <c r="EM321" s="118" t="s">
        <v>7455</v>
      </c>
      <c r="EN321" s="118" t="s">
        <v>6415</v>
      </c>
      <c r="EO321" s="6" t="str">
        <f t="shared" si="26"/>
        <v>Pathweb</v>
      </c>
      <c r="EP321" s="6" t="str">
        <f t="shared" si="27"/>
        <v>Google Maps</v>
      </c>
      <c r="EQ321" s="6" t="str">
        <f t="shared" si="28"/>
        <v>Mashed Map</v>
      </c>
      <c r="ER321" s="118" t="s">
        <v>6727</v>
      </c>
      <c r="ES321" s="118" t="s">
        <v>71</v>
      </c>
      <c r="ET321" s="4">
        <v>0</v>
      </c>
      <c r="EU321" s="4"/>
      <c r="EV321" s="4"/>
    </row>
    <row r="322" spans="1:152" x14ac:dyDescent="0.15">
      <c r="A322" s="581" t="str">
        <f t="shared" si="25"/>
        <v>Crash Report</v>
      </c>
      <c r="B322" s="118">
        <v>20253126146</v>
      </c>
      <c r="C322" s="118">
        <v>2025</v>
      </c>
      <c r="D322" s="118">
        <v>25070429412120</v>
      </c>
      <c r="F322" s="118" t="s">
        <v>6442</v>
      </c>
      <c r="G322" s="118" t="s">
        <v>212</v>
      </c>
      <c r="H322" s="118">
        <v>2</v>
      </c>
      <c r="I322" s="118" t="s">
        <v>6055</v>
      </c>
      <c r="J322" s="118" t="s">
        <v>434</v>
      </c>
      <c r="K322" s="118" t="s">
        <v>6985</v>
      </c>
      <c r="L322" s="118">
        <v>0.45200000000000001</v>
      </c>
      <c r="M322" s="118">
        <v>0.45200000000000001</v>
      </c>
      <c r="N322" s="118" t="s">
        <v>7465</v>
      </c>
      <c r="O322" s="118" t="s">
        <v>7473</v>
      </c>
      <c r="P322" s="118">
        <v>41.651294</v>
      </c>
      <c r="Q322" s="118">
        <v>-83.518946</v>
      </c>
      <c r="R322" s="118">
        <v>77000</v>
      </c>
      <c r="S322" s="118" t="s">
        <v>6988</v>
      </c>
      <c r="T322" s="118">
        <v>1</v>
      </c>
      <c r="U322" s="118">
        <v>0</v>
      </c>
      <c r="V322" s="118">
        <v>0</v>
      </c>
      <c r="W322" s="118">
        <v>0</v>
      </c>
      <c r="X322" s="118">
        <v>0</v>
      </c>
      <c r="Y322" s="118">
        <v>1</v>
      </c>
      <c r="Z322" s="118">
        <v>0</v>
      </c>
      <c r="AA322" s="118">
        <v>2</v>
      </c>
      <c r="AB322" s="118" t="s">
        <v>1067</v>
      </c>
      <c r="AC322" s="118" t="s">
        <v>6989</v>
      </c>
      <c r="AD322" s="118" t="s">
        <v>1034</v>
      </c>
      <c r="AE322" s="118" t="s">
        <v>943</v>
      </c>
      <c r="AF322" s="118" t="s">
        <v>1041</v>
      </c>
      <c r="AG322" s="118" t="s">
        <v>6415</v>
      </c>
      <c r="AH322" s="118" t="s">
        <v>393</v>
      </c>
      <c r="AI322" s="118">
        <v>4</v>
      </c>
      <c r="AJ322" s="118" t="s">
        <v>6415</v>
      </c>
      <c r="AK322" s="118" t="s">
        <v>393</v>
      </c>
      <c r="AL322" s="118" t="s">
        <v>393</v>
      </c>
      <c r="AM322" s="118" t="s">
        <v>393</v>
      </c>
      <c r="AN322" s="402" t="s">
        <v>5975</v>
      </c>
      <c r="AO322" s="402">
        <v>45842</v>
      </c>
      <c r="AP322" s="118">
        <v>7</v>
      </c>
      <c r="AQ322" s="118">
        <v>21</v>
      </c>
      <c r="AR322" s="118" t="s">
        <v>6448</v>
      </c>
      <c r="AS322" s="118" t="s">
        <v>392</v>
      </c>
      <c r="AT322" s="118" t="s">
        <v>500</v>
      </c>
      <c r="AU322" s="118" t="s">
        <v>404</v>
      </c>
      <c r="AV322" s="118" t="s">
        <v>508</v>
      </c>
      <c r="AW322" s="118" t="s">
        <v>393</v>
      </c>
      <c r="AX322" s="118" t="s">
        <v>740</v>
      </c>
      <c r="AY322" s="118" t="s">
        <v>393</v>
      </c>
      <c r="AZ322" s="118" t="s">
        <v>393</v>
      </c>
      <c r="BA322" s="118" t="s">
        <v>393</v>
      </c>
      <c r="BB322" s="118" t="s">
        <v>393</v>
      </c>
      <c r="BC322" s="118" t="s">
        <v>393</v>
      </c>
      <c r="BD322" s="118" t="s">
        <v>393</v>
      </c>
      <c r="BE322" s="118" t="s">
        <v>393</v>
      </c>
      <c r="BF322" s="118" t="s">
        <v>393</v>
      </c>
      <c r="BG322" s="118" t="s">
        <v>393</v>
      </c>
      <c r="BH322" s="118" t="s">
        <v>394</v>
      </c>
      <c r="BI322" s="118" t="s">
        <v>394</v>
      </c>
      <c r="BJ322" s="118" t="s">
        <v>393</v>
      </c>
      <c r="BK322" s="118" t="s">
        <v>6988</v>
      </c>
      <c r="BL322" s="118" t="s">
        <v>6415</v>
      </c>
      <c r="BM322" s="118" t="s">
        <v>2579</v>
      </c>
      <c r="BN322" s="118" t="s">
        <v>6991</v>
      </c>
      <c r="BO322" s="118" t="s">
        <v>6415</v>
      </c>
      <c r="BP322" s="118" t="s">
        <v>6415</v>
      </c>
      <c r="BQ322" s="118" t="s">
        <v>6415</v>
      </c>
      <c r="BR322" s="118" t="s">
        <v>6415</v>
      </c>
      <c r="BS322" s="118" t="s">
        <v>6415</v>
      </c>
      <c r="BT322" s="118" t="s">
        <v>6990</v>
      </c>
      <c r="BU322" s="118" t="s">
        <v>6991</v>
      </c>
      <c r="BV322" s="118" t="s">
        <v>6415</v>
      </c>
      <c r="BW322" s="118" t="s">
        <v>6415</v>
      </c>
      <c r="BX322" s="118" t="s">
        <v>6415</v>
      </c>
      <c r="BY322" s="118" t="s">
        <v>6415</v>
      </c>
      <c r="BZ322" s="118" t="s">
        <v>6415</v>
      </c>
      <c r="CA322" s="118" t="s">
        <v>6415</v>
      </c>
      <c r="CB322" s="118" t="s">
        <v>221</v>
      </c>
      <c r="CC322" s="118" t="s">
        <v>740</v>
      </c>
      <c r="CD322" s="118">
        <v>1</v>
      </c>
      <c r="CE322" s="118" t="s">
        <v>406</v>
      </c>
      <c r="CF322" s="118" t="s">
        <v>405</v>
      </c>
      <c r="CG322" s="118" t="s">
        <v>924</v>
      </c>
      <c r="CH322" s="118" t="s">
        <v>6302</v>
      </c>
      <c r="CI322" s="118" t="s">
        <v>6304</v>
      </c>
      <c r="CJ322" s="118" t="s">
        <v>398</v>
      </c>
      <c r="CK322" s="118">
        <v>10</v>
      </c>
      <c r="CL322" s="118">
        <v>25</v>
      </c>
      <c r="CM322" s="118" t="s">
        <v>212</v>
      </c>
      <c r="CN322" s="118" t="s">
        <v>441</v>
      </c>
      <c r="CO322" s="118" t="s">
        <v>1096</v>
      </c>
      <c r="CP322" s="118" t="s">
        <v>450</v>
      </c>
      <c r="CQ322" s="118" t="s">
        <v>6415</v>
      </c>
      <c r="CR322" s="118" t="s">
        <v>6415</v>
      </c>
      <c r="CS322" s="118" t="s">
        <v>6415</v>
      </c>
      <c r="CT322" s="118" t="s">
        <v>6415</v>
      </c>
      <c r="CU322" s="118" t="s">
        <v>6415</v>
      </c>
      <c r="CV322" s="118" t="s">
        <v>6415</v>
      </c>
      <c r="CW322" s="118">
        <v>0</v>
      </c>
      <c r="CX322" s="118" t="s">
        <v>401</v>
      </c>
      <c r="CY322" s="118" t="s">
        <v>6151</v>
      </c>
      <c r="CZ322" s="118">
        <v>2</v>
      </c>
      <c r="DA322" s="118" t="s">
        <v>401</v>
      </c>
      <c r="DB322" s="118" t="s">
        <v>401</v>
      </c>
      <c r="DC322" s="118" t="s">
        <v>6415</v>
      </c>
      <c r="DD322" s="118" t="s">
        <v>6302</v>
      </c>
      <c r="DE322" s="118" t="s">
        <v>6303</v>
      </c>
      <c r="DF322" s="118" t="s">
        <v>398</v>
      </c>
      <c r="DG322" s="118">
        <v>0</v>
      </c>
      <c r="DH322" s="118">
        <v>25</v>
      </c>
      <c r="DI322" s="118" t="s">
        <v>429</v>
      </c>
      <c r="DJ322" s="118" t="s">
        <v>398</v>
      </c>
      <c r="DK322" s="118" t="s">
        <v>400</v>
      </c>
      <c r="DL322" s="118" t="s">
        <v>6415</v>
      </c>
      <c r="DM322" s="118" t="s">
        <v>6415</v>
      </c>
      <c r="DN322" s="118" t="s">
        <v>6415</v>
      </c>
      <c r="DO322" s="118" t="s">
        <v>6415</v>
      </c>
      <c r="DP322" s="118" t="s">
        <v>6415</v>
      </c>
      <c r="DQ322" s="118" t="s">
        <v>6415</v>
      </c>
      <c r="DR322" s="118">
        <v>0</v>
      </c>
      <c r="DS322" s="118" t="s">
        <v>6415</v>
      </c>
      <c r="DT322" s="118" t="s">
        <v>6415</v>
      </c>
      <c r="DU322" s="118" t="s">
        <v>6415</v>
      </c>
      <c r="DV322" s="118" t="s">
        <v>6415</v>
      </c>
      <c r="DW322" s="118" t="s">
        <v>6415</v>
      </c>
      <c r="DX322" s="118" t="s">
        <v>6415</v>
      </c>
      <c r="DY322" s="118" t="s">
        <v>6415</v>
      </c>
      <c r="DZ322" s="118" t="s">
        <v>6415</v>
      </c>
      <c r="EA322" s="118" t="s">
        <v>6415</v>
      </c>
      <c r="EB322" s="118" t="s">
        <v>6415</v>
      </c>
      <c r="EC322" s="118" t="s">
        <v>6415</v>
      </c>
      <c r="ED322" s="118" t="s">
        <v>6415</v>
      </c>
      <c r="EE322" s="118" t="s">
        <v>6415</v>
      </c>
      <c r="EF322" s="118" t="s">
        <v>6415</v>
      </c>
      <c r="EG322" s="118" t="s">
        <v>7160</v>
      </c>
      <c r="EH322" s="118" t="s">
        <v>7382</v>
      </c>
      <c r="EI322" s="118" t="s">
        <v>6415</v>
      </c>
      <c r="EJ322" s="118" t="s">
        <v>6415</v>
      </c>
      <c r="EK322" s="118">
        <v>145188</v>
      </c>
      <c r="EL322" s="118" t="s">
        <v>7467</v>
      </c>
      <c r="EM322" s="118" t="s">
        <v>7456</v>
      </c>
      <c r="EN322" s="118" t="s">
        <v>6415</v>
      </c>
      <c r="EO322" s="6" t="str">
        <f t="shared" si="26"/>
        <v>Pathweb</v>
      </c>
      <c r="EP322" s="6" t="str">
        <f t="shared" si="27"/>
        <v>Google Maps</v>
      </c>
      <c r="EQ322" s="6" t="str">
        <f t="shared" si="28"/>
        <v>Mashed Map</v>
      </c>
      <c r="ER322" s="118" t="s">
        <v>6727</v>
      </c>
      <c r="ES322" s="118" t="s">
        <v>71</v>
      </c>
      <c r="ET322" s="4">
        <v>5.0000000000000001E-3</v>
      </c>
      <c r="EU322" s="4"/>
      <c r="EV322" s="4"/>
    </row>
    <row r="323" spans="1:152" x14ac:dyDescent="0.15">
      <c r="A323" s="581" t="str">
        <f t="shared" si="25"/>
        <v>Crash Report</v>
      </c>
      <c r="B323" s="118">
        <v>20253133598</v>
      </c>
      <c r="C323" s="118">
        <v>2025</v>
      </c>
      <c r="D323" s="118">
        <v>25072329011512</v>
      </c>
      <c r="F323" s="118" t="s">
        <v>6440</v>
      </c>
      <c r="G323" s="118" t="s">
        <v>230</v>
      </c>
      <c r="H323" s="118">
        <v>2</v>
      </c>
      <c r="I323" s="118" t="s">
        <v>6055</v>
      </c>
      <c r="J323" s="118" t="s">
        <v>423</v>
      </c>
      <c r="K323" s="118" t="s">
        <v>6985</v>
      </c>
      <c r="L323" s="118">
        <v>0.51</v>
      </c>
      <c r="M323" s="118">
        <v>0.51</v>
      </c>
      <c r="N323" s="118" t="s">
        <v>7465</v>
      </c>
      <c r="O323" s="118" t="s">
        <v>7468</v>
      </c>
      <c r="P323" s="118">
        <v>41.651823</v>
      </c>
      <c r="Q323" s="118">
        <v>-83.518079</v>
      </c>
      <c r="R323" s="118">
        <v>77000</v>
      </c>
      <c r="S323" s="118" t="s">
        <v>6988</v>
      </c>
      <c r="T323" s="118">
        <v>1</v>
      </c>
      <c r="U323" s="118">
        <v>0</v>
      </c>
      <c r="V323" s="118">
        <v>0</v>
      </c>
      <c r="W323" s="118">
        <v>2</v>
      </c>
      <c r="X323" s="118">
        <v>0</v>
      </c>
      <c r="Y323" s="118">
        <v>1</v>
      </c>
      <c r="Z323" s="118">
        <v>0</v>
      </c>
      <c r="AA323" s="118">
        <v>2</v>
      </c>
      <c r="AB323" s="118" t="s">
        <v>1067</v>
      </c>
      <c r="AC323" s="118" t="s">
        <v>6989</v>
      </c>
      <c r="AD323" s="118" t="s">
        <v>1034</v>
      </c>
      <c r="AE323" s="118" t="s">
        <v>943</v>
      </c>
      <c r="AF323" s="118" t="s">
        <v>1041</v>
      </c>
      <c r="AG323" s="118" t="s">
        <v>6415</v>
      </c>
      <c r="AH323" s="118" t="s">
        <v>393</v>
      </c>
      <c r="AI323" s="118">
        <v>4</v>
      </c>
      <c r="AJ323" s="118" t="s">
        <v>6415</v>
      </c>
      <c r="AK323" s="118" t="s">
        <v>393</v>
      </c>
      <c r="AL323" s="118" t="s">
        <v>393</v>
      </c>
      <c r="AM323" s="118" t="s">
        <v>393</v>
      </c>
      <c r="AN323" s="402" t="s">
        <v>5975</v>
      </c>
      <c r="AO323" s="402">
        <v>45861</v>
      </c>
      <c r="AP323" s="118">
        <v>7</v>
      </c>
      <c r="AQ323" s="118">
        <v>15</v>
      </c>
      <c r="AR323" s="118" t="s">
        <v>6446</v>
      </c>
      <c r="AS323" s="118" t="s">
        <v>392</v>
      </c>
      <c r="AT323" s="118" t="s">
        <v>500</v>
      </c>
      <c r="AU323" s="118" t="s">
        <v>404</v>
      </c>
      <c r="AV323" s="118" t="s">
        <v>509</v>
      </c>
      <c r="AW323" s="118" t="s">
        <v>393</v>
      </c>
      <c r="AX323" s="118" t="s">
        <v>740</v>
      </c>
      <c r="AY323" s="118" t="s">
        <v>393</v>
      </c>
      <c r="AZ323" s="118" t="s">
        <v>393</v>
      </c>
      <c r="BA323" s="118" t="s">
        <v>393</v>
      </c>
      <c r="BB323" s="118" t="s">
        <v>393</v>
      </c>
      <c r="BC323" s="118" t="s">
        <v>393</v>
      </c>
      <c r="BD323" s="118" t="s">
        <v>393</v>
      </c>
      <c r="BE323" s="118" t="s">
        <v>393</v>
      </c>
      <c r="BF323" s="118" t="s">
        <v>393</v>
      </c>
      <c r="BG323" s="118" t="s">
        <v>393</v>
      </c>
      <c r="BH323" s="118" t="s">
        <v>394</v>
      </c>
      <c r="BI323" s="118" t="s">
        <v>394</v>
      </c>
      <c r="BJ323" s="118" t="s">
        <v>393</v>
      </c>
      <c r="BK323" s="118" t="s">
        <v>6988</v>
      </c>
      <c r="BL323" s="118" t="s">
        <v>6415</v>
      </c>
      <c r="BM323" s="118" t="s">
        <v>6990</v>
      </c>
      <c r="BN323" s="118" t="s">
        <v>6991</v>
      </c>
      <c r="BO323" s="118" t="s">
        <v>6415</v>
      </c>
      <c r="BP323" s="118" t="s">
        <v>6415</v>
      </c>
      <c r="BQ323" s="118" t="s">
        <v>6415</v>
      </c>
      <c r="BR323" s="118" t="s">
        <v>6415</v>
      </c>
      <c r="BS323" s="118" t="s">
        <v>261</v>
      </c>
      <c r="BT323" s="118" t="s">
        <v>1791</v>
      </c>
      <c r="BU323" s="118" t="s">
        <v>6991</v>
      </c>
      <c r="BV323" s="118" t="s">
        <v>6415</v>
      </c>
      <c r="BW323" s="118" t="s">
        <v>6415</v>
      </c>
      <c r="BX323" s="118" t="s">
        <v>6415</v>
      </c>
      <c r="BY323" s="118" t="s">
        <v>6415</v>
      </c>
      <c r="BZ323" s="118" t="s">
        <v>6415</v>
      </c>
      <c r="CA323" s="118" t="s">
        <v>6415</v>
      </c>
      <c r="CB323" s="118" t="s">
        <v>221</v>
      </c>
      <c r="CC323" s="118" t="s">
        <v>740</v>
      </c>
      <c r="CD323" s="118">
        <v>1</v>
      </c>
      <c r="CE323" s="118" t="s">
        <v>406</v>
      </c>
      <c r="CF323" s="118" t="s">
        <v>411</v>
      </c>
      <c r="CG323" s="118" t="s">
        <v>230</v>
      </c>
      <c r="CH323" s="118" t="s">
        <v>6300</v>
      </c>
      <c r="CI323" s="118" t="s">
        <v>6303</v>
      </c>
      <c r="CJ323" s="118" t="s">
        <v>398</v>
      </c>
      <c r="CK323" s="118">
        <v>0</v>
      </c>
      <c r="CL323" s="118">
        <v>35</v>
      </c>
      <c r="CM323" s="118" t="s">
        <v>436</v>
      </c>
      <c r="CN323" s="118" t="s">
        <v>6327</v>
      </c>
      <c r="CO323" s="118" t="s">
        <v>1096</v>
      </c>
      <c r="CP323" s="118" t="s">
        <v>400</v>
      </c>
      <c r="CQ323" s="118" t="s">
        <v>6415</v>
      </c>
      <c r="CR323" s="118" t="s">
        <v>6415</v>
      </c>
      <c r="CS323" s="118" t="s">
        <v>6415</v>
      </c>
      <c r="CT323" s="118" t="s">
        <v>6415</v>
      </c>
      <c r="CU323" s="118" t="s">
        <v>6415</v>
      </c>
      <c r="CV323" s="118" t="s">
        <v>6415</v>
      </c>
      <c r="CW323" s="118">
        <v>35</v>
      </c>
      <c r="CX323" s="118" t="s">
        <v>1066</v>
      </c>
      <c r="CY323" s="118" t="s">
        <v>6341</v>
      </c>
      <c r="CZ323" s="118">
        <v>2</v>
      </c>
      <c r="DA323" s="118" t="s">
        <v>405</v>
      </c>
      <c r="DB323" s="118" t="s">
        <v>406</v>
      </c>
      <c r="DC323" s="118" t="s">
        <v>6415</v>
      </c>
      <c r="DD323" s="118" t="s">
        <v>6300</v>
      </c>
      <c r="DE323" s="118" t="s">
        <v>6303</v>
      </c>
      <c r="DF323" s="118" t="s">
        <v>398</v>
      </c>
      <c r="DG323" s="118" t="s">
        <v>6415</v>
      </c>
      <c r="DH323" s="118">
        <v>35</v>
      </c>
      <c r="DI323" s="118" t="s">
        <v>399</v>
      </c>
      <c r="DJ323" s="118" t="s">
        <v>398</v>
      </c>
      <c r="DK323" s="118" t="s">
        <v>400</v>
      </c>
      <c r="DL323" s="118" t="s">
        <v>6415</v>
      </c>
      <c r="DM323" s="118" t="s">
        <v>6415</v>
      </c>
      <c r="DN323" s="118" t="s">
        <v>6415</v>
      </c>
      <c r="DO323" s="118" t="s">
        <v>6415</v>
      </c>
      <c r="DP323" s="118" t="s">
        <v>6415</v>
      </c>
      <c r="DQ323" s="118" t="s">
        <v>6415</v>
      </c>
      <c r="DR323" s="118">
        <v>30</v>
      </c>
      <c r="DS323" s="118" t="s">
        <v>1068</v>
      </c>
      <c r="DT323" s="118" t="s">
        <v>6341</v>
      </c>
      <c r="DU323" s="118" t="s">
        <v>6415</v>
      </c>
      <c r="DV323" s="118" t="s">
        <v>6415</v>
      </c>
      <c r="DW323" s="118" t="s">
        <v>6415</v>
      </c>
      <c r="DX323" s="118" t="s">
        <v>6415</v>
      </c>
      <c r="DY323" s="118" t="s">
        <v>6415</v>
      </c>
      <c r="DZ323" s="118" t="s">
        <v>6415</v>
      </c>
      <c r="EA323" s="118" t="s">
        <v>6415</v>
      </c>
      <c r="EB323" s="118" t="s">
        <v>6415</v>
      </c>
      <c r="EC323" s="118" t="s">
        <v>6415</v>
      </c>
      <c r="ED323" s="118" t="s">
        <v>6415</v>
      </c>
      <c r="EE323" s="118" t="s">
        <v>6415</v>
      </c>
      <c r="EF323" s="118" t="s">
        <v>6415</v>
      </c>
      <c r="EG323" s="118" t="s">
        <v>6994</v>
      </c>
      <c r="EH323" s="118" t="s">
        <v>7175</v>
      </c>
      <c r="EI323" s="118" t="s">
        <v>6415</v>
      </c>
      <c r="EJ323" s="118" t="s">
        <v>6415</v>
      </c>
      <c r="EK323" s="118">
        <v>145188</v>
      </c>
      <c r="EL323" s="118" t="s">
        <v>7467</v>
      </c>
      <c r="EM323" s="118" t="s">
        <v>7457</v>
      </c>
      <c r="EN323" s="118" t="s">
        <v>6415</v>
      </c>
      <c r="EO323" s="6" t="str">
        <f t="shared" si="26"/>
        <v>Pathweb</v>
      </c>
      <c r="EP323" s="6" t="str">
        <f t="shared" si="27"/>
        <v>Google Maps</v>
      </c>
      <c r="EQ323" s="6" t="str">
        <f t="shared" si="28"/>
        <v>Mashed Map</v>
      </c>
      <c r="ER323" s="118" t="s">
        <v>6727</v>
      </c>
      <c r="ES323" s="118" t="s">
        <v>6728</v>
      </c>
      <c r="ET323" s="4">
        <v>0</v>
      </c>
      <c r="EU323" s="4"/>
      <c r="EV323" s="4"/>
    </row>
    <row r="324" spans="1:152" x14ac:dyDescent="0.15">
      <c r="A324" s="581" t="str">
        <f t="shared" si="25"/>
        <v>Crash Report</v>
      </c>
      <c r="B324" s="118">
        <v>20253138882</v>
      </c>
      <c r="C324" s="118">
        <v>2025</v>
      </c>
      <c r="D324" s="118">
        <v>25072727091115</v>
      </c>
      <c r="F324" s="118" t="s">
        <v>6442</v>
      </c>
      <c r="G324" s="118" t="s">
        <v>211</v>
      </c>
      <c r="H324" s="118">
        <v>2</v>
      </c>
      <c r="I324" s="118" t="s">
        <v>6055</v>
      </c>
      <c r="J324" s="118" t="s">
        <v>434</v>
      </c>
      <c r="K324" s="118" t="s">
        <v>6985</v>
      </c>
      <c r="L324" s="118">
        <v>0.89300000000000002</v>
      </c>
      <c r="M324" s="118">
        <v>0.89300000000000002</v>
      </c>
      <c r="N324" s="118" t="s">
        <v>7465</v>
      </c>
      <c r="O324" s="118">
        <v>1600</v>
      </c>
      <c r="P324" s="118">
        <v>41.655318000000001</v>
      </c>
      <c r="Q324" s="118">
        <v>-83.512356999999994</v>
      </c>
      <c r="R324" s="118">
        <v>77000</v>
      </c>
      <c r="S324" s="118" t="s">
        <v>6988</v>
      </c>
      <c r="T324" s="118">
        <v>1</v>
      </c>
      <c r="U324" s="118">
        <v>0</v>
      </c>
      <c r="V324" s="118">
        <v>0</v>
      </c>
      <c r="W324" s="118">
        <v>0</v>
      </c>
      <c r="X324" s="118">
        <v>0</v>
      </c>
      <c r="Y324" s="118">
        <v>3</v>
      </c>
      <c r="Z324" s="118">
        <v>0</v>
      </c>
      <c r="AA324" s="118">
        <v>2</v>
      </c>
      <c r="AB324" s="118" t="s">
        <v>1067</v>
      </c>
      <c r="AC324" s="118" t="s">
        <v>6989</v>
      </c>
      <c r="AD324" s="118" t="s">
        <v>1034</v>
      </c>
      <c r="AE324" s="118" t="s">
        <v>943</v>
      </c>
      <c r="AF324" s="118" t="s">
        <v>1041</v>
      </c>
      <c r="AG324" s="118" t="s">
        <v>6415</v>
      </c>
      <c r="AH324" s="118" t="s">
        <v>393</v>
      </c>
      <c r="AI324" s="118">
        <v>4</v>
      </c>
      <c r="AJ324" s="118" t="s">
        <v>6415</v>
      </c>
      <c r="AK324" s="118" t="s">
        <v>393</v>
      </c>
      <c r="AL324" s="118" t="s">
        <v>393</v>
      </c>
      <c r="AM324" s="118" t="s">
        <v>393</v>
      </c>
      <c r="AN324" s="402" t="s">
        <v>5975</v>
      </c>
      <c r="AO324" s="402">
        <v>45865</v>
      </c>
      <c r="AP324" s="118">
        <v>7</v>
      </c>
      <c r="AQ324" s="118">
        <v>11</v>
      </c>
      <c r="AR324" s="118" t="s">
        <v>6443</v>
      </c>
      <c r="AS324" s="118" t="s">
        <v>392</v>
      </c>
      <c r="AT324" s="118" t="s">
        <v>500</v>
      </c>
      <c r="AU324" s="118" t="s">
        <v>404</v>
      </c>
      <c r="AV324" s="118" t="s">
        <v>508</v>
      </c>
      <c r="AW324" s="118" t="s">
        <v>393</v>
      </c>
      <c r="AX324" s="118" t="s">
        <v>740</v>
      </c>
      <c r="AY324" s="118" t="s">
        <v>393</v>
      </c>
      <c r="AZ324" s="118" t="s">
        <v>393</v>
      </c>
      <c r="BA324" s="118" t="s">
        <v>393</v>
      </c>
      <c r="BB324" s="118" t="s">
        <v>393</v>
      </c>
      <c r="BC324" s="118" t="s">
        <v>393</v>
      </c>
      <c r="BD324" s="118" t="s">
        <v>393</v>
      </c>
      <c r="BE324" s="118" t="s">
        <v>393</v>
      </c>
      <c r="BF324" s="118" t="s">
        <v>740</v>
      </c>
      <c r="BG324" s="118" t="s">
        <v>393</v>
      </c>
      <c r="BH324" s="118" t="s">
        <v>394</v>
      </c>
      <c r="BI324" s="118" t="s">
        <v>394</v>
      </c>
      <c r="BJ324" s="118" t="s">
        <v>393</v>
      </c>
      <c r="BK324" s="118" t="s">
        <v>6988</v>
      </c>
      <c r="BL324" s="118" t="s">
        <v>6415</v>
      </c>
      <c r="BM324" s="118" t="s">
        <v>6990</v>
      </c>
      <c r="BN324" s="118" t="s">
        <v>6991</v>
      </c>
      <c r="BO324" s="118" t="s">
        <v>6415</v>
      </c>
      <c r="BP324" s="118" t="s">
        <v>6415</v>
      </c>
      <c r="BQ324" s="118" t="s">
        <v>6415</v>
      </c>
      <c r="BR324" s="118" t="s">
        <v>6415</v>
      </c>
      <c r="BS324" s="118" t="s">
        <v>6415</v>
      </c>
      <c r="BT324" s="118" t="s">
        <v>7444</v>
      </c>
      <c r="BU324" s="118" t="s">
        <v>6415</v>
      </c>
      <c r="BV324" s="118" t="s">
        <v>6415</v>
      </c>
      <c r="BW324" s="118" t="s">
        <v>6415</v>
      </c>
      <c r="BX324" s="118" t="s">
        <v>6415</v>
      </c>
      <c r="BY324" s="118" t="s">
        <v>6415</v>
      </c>
      <c r="BZ324" s="118">
        <v>1600</v>
      </c>
      <c r="CA324" s="118" t="s">
        <v>6415</v>
      </c>
      <c r="CB324" s="118" t="s">
        <v>422</v>
      </c>
      <c r="CC324" s="118" t="s">
        <v>740</v>
      </c>
      <c r="CD324" s="118">
        <v>2</v>
      </c>
      <c r="CE324" s="118" t="s">
        <v>411</v>
      </c>
      <c r="CF324" s="118" t="s">
        <v>405</v>
      </c>
      <c r="CG324" s="118" t="s">
        <v>230</v>
      </c>
      <c r="CH324" s="118" t="s">
        <v>433</v>
      </c>
      <c r="CI324" s="118" t="s">
        <v>6307</v>
      </c>
      <c r="CJ324" s="118" t="s">
        <v>398</v>
      </c>
      <c r="CK324" s="118">
        <v>25</v>
      </c>
      <c r="CL324" s="118">
        <v>25</v>
      </c>
      <c r="CM324" s="118" t="s">
        <v>436</v>
      </c>
      <c r="CN324" s="118" t="s">
        <v>6327</v>
      </c>
      <c r="CO324" s="118" t="s">
        <v>1096</v>
      </c>
      <c r="CP324" s="118" t="s">
        <v>400</v>
      </c>
      <c r="CQ324" s="118" t="s">
        <v>6415</v>
      </c>
      <c r="CR324" s="118" t="s">
        <v>6415</v>
      </c>
      <c r="CS324" s="118" t="s">
        <v>6415</v>
      </c>
      <c r="CT324" s="118" t="s">
        <v>6415</v>
      </c>
      <c r="CU324" s="118" t="s">
        <v>6415</v>
      </c>
      <c r="CV324" s="118" t="s">
        <v>6415</v>
      </c>
      <c r="CW324" s="118">
        <v>25</v>
      </c>
      <c r="CX324" s="118" t="s">
        <v>1068</v>
      </c>
      <c r="CY324" s="118" t="s">
        <v>6151</v>
      </c>
      <c r="CZ324" s="118">
        <v>1</v>
      </c>
      <c r="DA324" s="118" t="s">
        <v>405</v>
      </c>
      <c r="DB324" s="118" t="s">
        <v>406</v>
      </c>
      <c r="DC324" s="118" t="s">
        <v>6415</v>
      </c>
      <c r="DD324" s="118" t="s">
        <v>6302</v>
      </c>
      <c r="DE324" s="118" t="s">
        <v>6303</v>
      </c>
      <c r="DF324" s="118" t="s">
        <v>398</v>
      </c>
      <c r="DG324" s="118">
        <v>35</v>
      </c>
      <c r="DH324" s="118">
        <v>35</v>
      </c>
      <c r="DI324" s="118" t="s">
        <v>399</v>
      </c>
      <c r="DJ324" s="118" t="s">
        <v>398</v>
      </c>
      <c r="DK324" s="118" t="s">
        <v>400</v>
      </c>
      <c r="DL324" s="118" t="s">
        <v>6415</v>
      </c>
      <c r="DM324" s="118" t="s">
        <v>6415</v>
      </c>
      <c r="DN324" s="118" t="s">
        <v>6415</v>
      </c>
      <c r="DO324" s="118" t="s">
        <v>6415</v>
      </c>
      <c r="DP324" s="118" t="s">
        <v>6415</v>
      </c>
      <c r="DQ324" s="118" t="s">
        <v>6415</v>
      </c>
      <c r="DR324" s="118">
        <v>22</v>
      </c>
      <c r="DS324" s="118" t="s">
        <v>1068</v>
      </c>
      <c r="DT324" s="118" t="s">
        <v>6341</v>
      </c>
      <c r="DU324" s="118" t="s">
        <v>6415</v>
      </c>
      <c r="DV324" s="118" t="s">
        <v>6415</v>
      </c>
      <c r="DW324" s="118" t="s">
        <v>6415</v>
      </c>
      <c r="DX324" s="118" t="s">
        <v>6415</v>
      </c>
      <c r="DY324" s="118" t="s">
        <v>6415</v>
      </c>
      <c r="DZ324" s="118" t="s">
        <v>6415</v>
      </c>
      <c r="EA324" s="118" t="s">
        <v>6415</v>
      </c>
      <c r="EB324" s="118" t="s">
        <v>6415</v>
      </c>
      <c r="EC324" s="118" t="s">
        <v>6415</v>
      </c>
      <c r="ED324" s="118" t="s">
        <v>6415</v>
      </c>
      <c r="EE324" s="118" t="s">
        <v>6415</v>
      </c>
      <c r="EF324" s="118" t="s">
        <v>6415</v>
      </c>
      <c r="EG324" s="118" t="s">
        <v>7459</v>
      </c>
      <c r="EH324" s="118" t="s">
        <v>7460</v>
      </c>
      <c r="EI324" s="118" t="s">
        <v>6415</v>
      </c>
      <c r="EJ324" s="118" t="s">
        <v>6415</v>
      </c>
      <c r="EK324" s="118">
        <v>89652</v>
      </c>
      <c r="EL324" s="118" t="s">
        <v>7467</v>
      </c>
      <c r="EM324" s="118" t="s">
        <v>7458</v>
      </c>
      <c r="EN324" s="118" t="s">
        <v>6415</v>
      </c>
      <c r="EO324" s="6" t="str">
        <f t="shared" si="26"/>
        <v>Pathweb</v>
      </c>
      <c r="EP324" s="6" t="str">
        <f t="shared" si="27"/>
        <v>Google Maps</v>
      </c>
      <c r="EQ324" s="6" t="str">
        <f t="shared" si="28"/>
        <v>Mashed Map</v>
      </c>
      <c r="ER324" s="118" t="s">
        <v>6727</v>
      </c>
      <c r="ES324" s="118" t="s">
        <v>71</v>
      </c>
      <c r="ET324" s="4">
        <v>8.9999999999999993E-3</v>
      </c>
      <c r="EU324" s="4"/>
      <c r="EV324" s="4"/>
    </row>
    <row r="325" spans="1:152" x14ac:dyDescent="0.15">
      <c r="A325" s="581" t="str">
        <f t="shared" si="25"/>
        <v>Crash Report</v>
      </c>
      <c r="B325" s="118">
        <v>20253191734</v>
      </c>
      <c r="C325" s="118">
        <v>2025</v>
      </c>
      <c r="D325" s="118">
        <v>25100225120812</v>
      </c>
      <c r="F325" s="118" t="s">
        <v>6442</v>
      </c>
      <c r="G325" s="118" t="s">
        <v>390</v>
      </c>
      <c r="H325" s="118">
        <v>2</v>
      </c>
      <c r="I325" s="118" t="s">
        <v>6055</v>
      </c>
      <c r="J325" s="118" t="s">
        <v>391</v>
      </c>
      <c r="K325" s="118" t="s">
        <v>6997</v>
      </c>
      <c r="L325" s="118">
        <v>0.748</v>
      </c>
      <c r="M325" s="118">
        <v>0.748</v>
      </c>
      <c r="N325" s="118" t="s">
        <v>7469</v>
      </c>
      <c r="O325" s="118">
        <v>90</v>
      </c>
      <c r="P325" s="118">
        <v>41.648913</v>
      </c>
      <c r="Q325" s="118">
        <v>-83.523871999999997</v>
      </c>
      <c r="R325" s="118">
        <v>77000</v>
      </c>
      <c r="S325" s="118" t="s">
        <v>6988</v>
      </c>
      <c r="T325" s="118">
        <v>1</v>
      </c>
      <c r="U325" s="118">
        <v>0</v>
      </c>
      <c r="V325" s="118">
        <v>0</v>
      </c>
      <c r="W325" s="118">
        <v>0</v>
      </c>
      <c r="X325" s="118">
        <v>0</v>
      </c>
      <c r="Y325" s="118">
        <v>4</v>
      </c>
      <c r="Z325" s="118">
        <v>0</v>
      </c>
      <c r="AA325" s="118">
        <v>2</v>
      </c>
      <c r="AB325" s="118" t="s">
        <v>1067</v>
      </c>
      <c r="AC325" s="118" t="s">
        <v>6989</v>
      </c>
      <c r="AD325" s="118" t="s">
        <v>1034</v>
      </c>
      <c r="AE325" s="118" t="s">
        <v>943</v>
      </c>
      <c r="AF325" s="118" t="s">
        <v>1041</v>
      </c>
      <c r="AG325" s="118" t="s">
        <v>6415</v>
      </c>
      <c r="AH325" s="118" t="s">
        <v>393</v>
      </c>
      <c r="AI325" s="118">
        <v>2</v>
      </c>
      <c r="AJ325" s="118" t="s">
        <v>6415</v>
      </c>
      <c r="AK325" s="118" t="s">
        <v>393</v>
      </c>
      <c r="AL325" s="118" t="s">
        <v>393</v>
      </c>
      <c r="AM325" s="118" t="s">
        <v>393</v>
      </c>
      <c r="AN325" s="402" t="s">
        <v>5975</v>
      </c>
      <c r="AO325" s="402">
        <v>45932</v>
      </c>
      <c r="AP325" s="118">
        <v>10</v>
      </c>
      <c r="AQ325" s="118">
        <v>8</v>
      </c>
      <c r="AR325" s="118" t="s">
        <v>6447</v>
      </c>
      <c r="AS325" s="118" t="s">
        <v>392</v>
      </c>
      <c r="AT325" s="118" t="s">
        <v>500</v>
      </c>
      <c r="AU325" s="118" t="s">
        <v>404</v>
      </c>
      <c r="AV325" s="118" t="s">
        <v>508</v>
      </c>
      <c r="AW325" s="118" t="s">
        <v>393</v>
      </c>
      <c r="AX325" s="118" t="s">
        <v>740</v>
      </c>
      <c r="AY325" s="118" t="s">
        <v>393</v>
      </c>
      <c r="AZ325" s="118" t="s">
        <v>393</v>
      </c>
      <c r="BA325" s="118" t="s">
        <v>393</v>
      </c>
      <c r="BB325" s="118" t="s">
        <v>393</v>
      </c>
      <c r="BC325" s="118" t="s">
        <v>393</v>
      </c>
      <c r="BD325" s="118" t="s">
        <v>393</v>
      </c>
      <c r="BE325" s="118" t="s">
        <v>393</v>
      </c>
      <c r="BF325" s="118" t="s">
        <v>393</v>
      </c>
      <c r="BG325" s="118" t="s">
        <v>393</v>
      </c>
      <c r="BH325" s="118" t="s">
        <v>394</v>
      </c>
      <c r="BI325" s="118" t="s">
        <v>394</v>
      </c>
      <c r="BJ325" s="118" t="s">
        <v>393</v>
      </c>
      <c r="BK325" s="118" t="s">
        <v>6988</v>
      </c>
      <c r="BL325" s="118" t="s">
        <v>6415</v>
      </c>
      <c r="BM325" s="118" t="s">
        <v>6992</v>
      </c>
      <c r="BN325" s="118" t="s">
        <v>6991</v>
      </c>
      <c r="BO325" s="118" t="s">
        <v>6415</v>
      </c>
      <c r="BP325" s="118" t="s">
        <v>6415</v>
      </c>
      <c r="BQ325" s="118" t="s">
        <v>6415</v>
      </c>
      <c r="BR325" s="118" t="s">
        <v>6415</v>
      </c>
      <c r="BS325" s="118" t="s">
        <v>6415</v>
      </c>
      <c r="BT325" s="118" t="s">
        <v>7373</v>
      </c>
      <c r="BU325" s="118" t="s">
        <v>6415</v>
      </c>
      <c r="BV325" s="118" t="s">
        <v>6415</v>
      </c>
      <c r="BW325" s="118" t="s">
        <v>6415</v>
      </c>
      <c r="BX325" s="118" t="s">
        <v>6415</v>
      </c>
      <c r="BY325" s="118" t="s">
        <v>6415</v>
      </c>
      <c r="BZ325" s="118">
        <v>90</v>
      </c>
      <c r="CA325" s="118" t="s">
        <v>6415</v>
      </c>
      <c r="CB325" s="118" t="s">
        <v>422</v>
      </c>
      <c r="CC325" s="118" t="s">
        <v>740</v>
      </c>
      <c r="CD325" s="118">
        <v>2</v>
      </c>
      <c r="CE325" s="118" t="s">
        <v>446</v>
      </c>
      <c r="CF325" s="118" t="s">
        <v>445</v>
      </c>
      <c r="CG325" s="118" t="s">
        <v>924</v>
      </c>
      <c r="CH325" s="118" t="s">
        <v>468</v>
      </c>
      <c r="CI325" s="118" t="s">
        <v>6317</v>
      </c>
      <c r="CJ325" s="118" t="s">
        <v>6375</v>
      </c>
      <c r="CK325" s="118">
        <v>15</v>
      </c>
      <c r="CL325" s="118">
        <v>35</v>
      </c>
      <c r="CM325" s="118" t="s">
        <v>399</v>
      </c>
      <c r="CN325" s="118" t="s">
        <v>6512</v>
      </c>
      <c r="CO325" s="118" t="s">
        <v>1096</v>
      </c>
      <c r="CP325" s="118" t="s">
        <v>400</v>
      </c>
      <c r="CQ325" s="118" t="s">
        <v>6415</v>
      </c>
      <c r="CR325" s="118" t="s">
        <v>6415</v>
      </c>
      <c r="CS325" s="118" t="s">
        <v>6415</v>
      </c>
      <c r="CT325" s="118" t="s">
        <v>6415</v>
      </c>
      <c r="CU325" s="118" t="s">
        <v>6415</v>
      </c>
      <c r="CV325" s="118" t="s">
        <v>6415</v>
      </c>
      <c r="CW325" s="118">
        <v>34</v>
      </c>
      <c r="CX325" s="118" t="s">
        <v>1066</v>
      </c>
      <c r="CY325" s="118" t="s">
        <v>6341</v>
      </c>
      <c r="CZ325" s="118">
        <v>1</v>
      </c>
      <c r="DA325" s="118" t="s">
        <v>446</v>
      </c>
      <c r="DB325" s="118" t="s">
        <v>445</v>
      </c>
      <c r="DC325" s="118" t="s">
        <v>6415</v>
      </c>
      <c r="DD325" s="118" t="s">
        <v>6302</v>
      </c>
      <c r="DE325" s="118" t="s">
        <v>417</v>
      </c>
      <c r="DF325" s="118" t="s">
        <v>398</v>
      </c>
      <c r="DG325" s="118">
        <v>0</v>
      </c>
      <c r="DH325" s="118">
        <v>35</v>
      </c>
      <c r="DI325" s="118" t="s">
        <v>399</v>
      </c>
      <c r="DJ325" s="118" t="s">
        <v>398</v>
      </c>
      <c r="DK325" s="118" t="s">
        <v>400</v>
      </c>
      <c r="DL325" s="118" t="s">
        <v>6415</v>
      </c>
      <c r="DM325" s="118" t="s">
        <v>6415</v>
      </c>
      <c r="DN325" s="118" t="s">
        <v>6415</v>
      </c>
      <c r="DO325" s="118" t="s">
        <v>6415</v>
      </c>
      <c r="DP325" s="118" t="s">
        <v>6415</v>
      </c>
      <c r="DQ325" s="118" t="s">
        <v>6415</v>
      </c>
      <c r="DR325" s="118">
        <v>55</v>
      </c>
      <c r="DS325" s="118" t="s">
        <v>1066</v>
      </c>
      <c r="DT325" s="118" t="s">
        <v>6341</v>
      </c>
      <c r="DU325" s="118" t="s">
        <v>6415</v>
      </c>
      <c r="DV325" s="118" t="s">
        <v>6415</v>
      </c>
      <c r="DW325" s="118" t="s">
        <v>6415</v>
      </c>
      <c r="DX325" s="118" t="s">
        <v>6415</v>
      </c>
      <c r="DY325" s="118" t="s">
        <v>6415</v>
      </c>
      <c r="DZ325" s="118" t="s">
        <v>6415</v>
      </c>
      <c r="EA325" s="118" t="s">
        <v>6415</v>
      </c>
      <c r="EB325" s="118" t="s">
        <v>6415</v>
      </c>
      <c r="EC325" s="118" t="s">
        <v>6415</v>
      </c>
      <c r="ED325" s="118" t="s">
        <v>6415</v>
      </c>
      <c r="EE325" s="118" t="s">
        <v>6415</v>
      </c>
      <c r="EF325" s="118" t="s">
        <v>6415</v>
      </c>
      <c r="EG325" s="118" t="s">
        <v>6986</v>
      </c>
      <c r="EH325" s="118" t="s">
        <v>7145</v>
      </c>
      <c r="EI325" s="118" t="s">
        <v>6415</v>
      </c>
      <c r="EJ325" s="118" t="s">
        <v>6415</v>
      </c>
      <c r="EK325" s="118">
        <v>114957</v>
      </c>
      <c r="EL325" s="118" t="s">
        <v>7467</v>
      </c>
      <c r="EM325" s="118" t="s">
        <v>7461</v>
      </c>
      <c r="EN325" s="118" t="s">
        <v>6415</v>
      </c>
      <c r="EO325" s="6" t="str">
        <f t="shared" si="26"/>
        <v>Pathweb</v>
      </c>
      <c r="EP325" s="6" t="str">
        <f t="shared" si="27"/>
        <v>Google Maps</v>
      </c>
      <c r="EQ325" s="6" t="str">
        <f t="shared" si="28"/>
        <v>Mashed Map</v>
      </c>
      <c r="ER325" s="118" t="s">
        <v>6727</v>
      </c>
      <c r="ES325" s="118" t="s">
        <v>71</v>
      </c>
      <c r="ET325" s="4">
        <v>0</v>
      </c>
      <c r="EU325" s="4"/>
      <c r="EV325" s="4"/>
    </row>
    <row r="326" spans="1:152" x14ac:dyDescent="0.15">
      <c r="A326" s="581" t="str">
        <f t="shared" si="25"/>
        <v>Crash Report</v>
      </c>
      <c r="B326" s="118">
        <v>20253200844</v>
      </c>
      <c r="C326" s="118">
        <v>2025</v>
      </c>
      <c r="D326" s="118">
        <v>25102530242056</v>
      </c>
      <c r="F326" s="118" t="s">
        <v>6441</v>
      </c>
      <c r="G326" s="118" t="s">
        <v>211</v>
      </c>
      <c r="H326" s="118">
        <v>2</v>
      </c>
      <c r="I326" s="118" t="s">
        <v>6055</v>
      </c>
      <c r="J326" s="118" t="s">
        <v>423</v>
      </c>
      <c r="K326" s="118" t="s">
        <v>6997</v>
      </c>
      <c r="L326" s="118">
        <v>0.125</v>
      </c>
      <c r="M326" s="118">
        <v>0.125</v>
      </c>
      <c r="N326" s="118" t="s">
        <v>7469</v>
      </c>
      <c r="O326" s="118" t="s">
        <v>7466</v>
      </c>
      <c r="P326" s="118">
        <v>41.641641</v>
      </c>
      <c r="Q326" s="118">
        <v>-83.518208000000001</v>
      </c>
      <c r="R326" s="118">
        <v>77000</v>
      </c>
      <c r="S326" s="118" t="s">
        <v>6988</v>
      </c>
      <c r="T326" s="118">
        <v>1</v>
      </c>
      <c r="U326" s="118">
        <v>0</v>
      </c>
      <c r="V326" s="118">
        <v>0</v>
      </c>
      <c r="W326" s="118">
        <v>0</v>
      </c>
      <c r="X326" s="118">
        <v>1</v>
      </c>
      <c r="Y326" s="118">
        <v>1</v>
      </c>
      <c r="Z326" s="118">
        <v>0</v>
      </c>
      <c r="AA326" s="118">
        <v>2</v>
      </c>
      <c r="AB326" s="118" t="s">
        <v>1067</v>
      </c>
      <c r="AC326" s="118" t="s">
        <v>6989</v>
      </c>
      <c r="AD326" s="118" t="s">
        <v>1034</v>
      </c>
      <c r="AE326" s="118" t="s">
        <v>943</v>
      </c>
      <c r="AF326" s="118" t="s">
        <v>1045</v>
      </c>
      <c r="AG326" s="118" t="s">
        <v>6415</v>
      </c>
      <c r="AH326" s="118" t="s">
        <v>393</v>
      </c>
      <c r="AI326" s="118">
        <v>4</v>
      </c>
      <c r="AJ326" s="118" t="s">
        <v>6415</v>
      </c>
      <c r="AK326" s="118" t="s">
        <v>393</v>
      </c>
      <c r="AL326" s="118" t="s">
        <v>393</v>
      </c>
      <c r="AM326" s="118" t="s">
        <v>393</v>
      </c>
      <c r="AN326" s="402" t="s">
        <v>5975</v>
      </c>
      <c r="AO326" s="402">
        <v>45955</v>
      </c>
      <c r="AP326" s="118">
        <v>10</v>
      </c>
      <c r="AQ326" s="118">
        <v>20</v>
      </c>
      <c r="AR326" s="118" t="s">
        <v>6449</v>
      </c>
      <c r="AS326" s="118" t="s">
        <v>392</v>
      </c>
      <c r="AT326" s="118" t="s">
        <v>500</v>
      </c>
      <c r="AU326" s="118" t="s">
        <v>505</v>
      </c>
      <c r="AV326" s="118" t="s">
        <v>508</v>
      </c>
      <c r="AW326" s="118" t="s">
        <v>393</v>
      </c>
      <c r="AX326" s="118" t="s">
        <v>740</v>
      </c>
      <c r="AY326" s="118" t="s">
        <v>393</v>
      </c>
      <c r="AZ326" s="118" t="s">
        <v>393</v>
      </c>
      <c r="BA326" s="118" t="s">
        <v>393</v>
      </c>
      <c r="BB326" s="118" t="s">
        <v>393</v>
      </c>
      <c r="BC326" s="118" t="s">
        <v>393</v>
      </c>
      <c r="BD326" s="118" t="s">
        <v>393</v>
      </c>
      <c r="BE326" s="118" t="s">
        <v>393</v>
      </c>
      <c r="BF326" s="118" t="s">
        <v>740</v>
      </c>
      <c r="BG326" s="118" t="s">
        <v>393</v>
      </c>
      <c r="BH326" s="118" t="s">
        <v>394</v>
      </c>
      <c r="BI326" s="118" t="s">
        <v>394</v>
      </c>
      <c r="BJ326" s="118" t="s">
        <v>393</v>
      </c>
      <c r="BK326" s="118" t="s">
        <v>6988</v>
      </c>
      <c r="BL326" s="118" t="s">
        <v>6415</v>
      </c>
      <c r="BM326" s="118" t="s">
        <v>2930</v>
      </c>
      <c r="BN326" s="118" t="s">
        <v>7017</v>
      </c>
      <c r="BO326" s="118" t="s">
        <v>6415</v>
      </c>
      <c r="BP326" s="118" t="s">
        <v>6415</v>
      </c>
      <c r="BQ326" s="118" t="s">
        <v>6415</v>
      </c>
      <c r="BR326" s="118" t="s">
        <v>6415</v>
      </c>
      <c r="BS326" s="118" t="s">
        <v>6415</v>
      </c>
      <c r="BT326" s="118" t="s">
        <v>6992</v>
      </c>
      <c r="BU326" s="118" t="s">
        <v>6991</v>
      </c>
      <c r="BV326" s="118" t="s">
        <v>6415</v>
      </c>
      <c r="BW326" s="118" t="s">
        <v>6415</v>
      </c>
      <c r="BX326" s="118" t="s">
        <v>6415</v>
      </c>
      <c r="BY326" s="118" t="s">
        <v>6415</v>
      </c>
      <c r="BZ326" s="118" t="s">
        <v>6415</v>
      </c>
      <c r="CA326" s="118" t="s">
        <v>6415</v>
      </c>
      <c r="CB326" s="118" t="s">
        <v>221</v>
      </c>
      <c r="CC326" s="118" t="s">
        <v>740</v>
      </c>
      <c r="CD326" s="118">
        <v>1</v>
      </c>
      <c r="CE326" s="118" t="s">
        <v>405</v>
      </c>
      <c r="CF326" s="118" t="s">
        <v>406</v>
      </c>
      <c r="CG326" s="118" t="s">
        <v>924</v>
      </c>
      <c r="CH326" s="118" t="s">
        <v>433</v>
      </c>
      <c r="CI326" s="118" t="s">
        <v>6305</v>
      </c>
      <c r="CJ326" s="118" t="s">
        <v>398</v>
      </c>
      <c r="CK326" s="118">
        <v>0</v>
      </c>
      <c r="CL326" s="118">
        <v>25</v>
      </c>
      <c r="CM326" s="118" t="s">
        <v>399</v>
      </c>
      <c r="CN326" s="118" t="s">
        <v>6327</v>
      </c>
      <c r="CO326" s="118" t="s">
        <v>1096</v>
      </c>
      <c r="CP326" s="118" t="s">
        <v>400</v>
      </c>
      <c r="CQ326" s="118" t="s">
        <v>6415</v>
      </c>
      <c r="CR326" s="118" t="s">
        <v>6415</v>
      </c>
      <c r="CS326" s="118" t="s">
        <v>6415</v>
      </c>
      <c r="CT326" s="118" t="s">
        <v>6415</v>
      </c>
      <c r="CU326" s="118" t="s">
        <v>6415</v>
      </c>
      <c r="CV326" s="118" t="s">
        <v>6415</v>
      </c>
      <c r="CW326" s="118">
        <v>16</v>
      </c>
      <c r="CX326" s="118" t="s">
        <v>1068</v>
      </c>
      <c r="CY326" s="118" t="s">
        <v>6341</v>
      </c>
      <c r="CZ326" s="118">
        <v>2</v>
      </c>
      <c r="DA326" s="118" t="s">
        <v>410</v>
      </c>
      <c r="DB326" s="118" t="s">
        <v>411</v>
      </c>
      <c r="DC326" s="118" t="s">
        <v>6415</v>
      </c>
      <c r="DD326" s="118" t="s">
        <v>6302</v>
      </c>
      <c r="DE326" s="118" t="s">
        <v>6303</v>
      </c>
      <c r="DF326" s="118" t="s">
        <v>398</v>
      </c>
      <c r="DG326" s="118" t="s">
        <v>6415</v>
      </c>
      <c r="DH326" s="118">
        <v>25</v>
      </c>
      <c r="DI326" s="118" t="s">
        <v>399</v>
      </c>
      <c r="DJ326" s="118" t="s">
        <v>398</v>
      </c>
      <c r="DK326" s="118" t="s">
        <v>400</v>
      </c>
      <c r="DL326" s="118" t="s">
        <v>6415</v>
      </c>
      <c r="DM326" s="118" t="s">
        <v>6415</v>
      </c>
      <c r="DN326" s="118" t="s">
        <v>6415</v>
      </c>
      <c r="DO326" s="118" t="s">
        <v>6415</v>
      </c>
      <c r="DP326" s="118" t="s">
        <v>6415</v>
      </c>
      <c r="DQ326" s="118" t="s">
        <v>6415</v>
      </c>
      <c r="DR326" s="118">
        <v>24</v>
      </c>
      <c r="DS326" s="118" t="s">
        <v>1066</v>
      </c>
      <c r="DT326" s="118" t="s">
        <v>6341</v>
      </c>
      <c r="DU326" s="118" t="s">
        <v>6415</v>
      </c>
      <c r="DV326" s="118" t="s">
        <v>6415</v>
      </c>
      <c r="DW326" s="118" t="s">
        <v>6415</v>
      </c>
      <c r="DX326" s="118" t="s">
        <v>6415</v>
      </c>
      <c r="DY326" s="118" t="s">
        <v>6415</v>
      </c>
      <c r="DZ326" s="118" t="s">
        <v>6415</v>
      </c>
      <c r="EA326" s="118" t="s">
        <v>6415</v>
      </c>
      <c r="EB326" s="118" t="s">
        <v>6415</v>
      </c>
      <c r="EC326" s="118" t="s">
        <v>6415</v>
      </c>
      <c r="ED326" s="118" t="s">
        <v>6415</v>
      </c>
      <c r="EE326" s="118" t="s">
        <v>6415</v>
      </c>
      <c r="EF326" s="118" t="s">
        <v>6415</v>
      </c>
      <c r="EG326" s="118" t="s">
        <v>7062</v>
      </c>
      <c r="EH326" s="118" t="s">
        <v>7158</v>
      </c>
      <c r="EI326" s="118" t="s">
        <v>6415</v>
      </c>
      <c r="EJ326" s="118" t="s">
        <v>6415</v>
      </c>
      <c r="EK326" s="118">
        <v>114956</v>
      </c>
      <c r="EL326" s="118" t="s">
        <v>7467</v>
      </c>
      <c r="EM326" s="118" t="s">
        <v>7462</v>
      </c>
      <c r="EN326" s="118" t="s">
        <v>6415</v>
      </c>
      <c r="EO326" s="6" t="str">
        <f t="shared" si="26"/>
        <v>Pathweb</v>
      </c>
      <c r="EP326" s="6" t="str">
        <f t="shared" si="27"/>
        <v>Google Maps</v>
      </c>
      <c r="EQ326" s="6" t="str">
        <f t="shared" si="28"/>
        <v>Mashed Map</v>
      </c>
      <c r="ER326" s="118" t="s">
        <v>6727</v>
      </c>
      <c r="ES326" s="118" t="s">
        <v>6728</v>
      </c>
      <c r="ET326" s="4">
        <v>0</v>
      </c>
      <c r="EU326" s="4"/>
      <c r="EV326" s="4"/>
    </row>
    <row r="327" spans="1:152" x14ac:dyDescent="0.15">
      <c r="A327" s="581" t="str">
        <f t="shared" si="25"/>
        <v>Crash Report</v>
      </c>
      <c r="B327" s="118">
        <v>20253219582</v>
      </c>
      <c r="C327" s="118">
        <v>2025</v>
      </c>
      <c r="D327" s="118">
        <v>25111622481011</v>
      </c>
      <c r="F327" s="118" t="s">
        <v>6440</v>
      </c>
      <c r="G327" s="118" t="s">
        <v>211</v>
      </c>
      <c r="H327" s="118">
        <v>2</v>
      </c>
      <c r="I327" s="118" t="s">
        <v>6055</v>
      </c>
      <c r="J327" s="118" t="s">
        <v>423</v>
      </c>
      <c r="K327" s="118" t="s">
        <v>6997</v>
      </c>
      <c r="L327" s="118">
        <v>0.71299999999999997</v>
      </c>
      <c r="M327" s="118">
        <v>0.71299999999999997</v>
      </c>
      <c r="N327" s="118" t="s">
        <v>7469</v>
      </c>
      <c r="O327" s="118" t="s">
        <v>7466</v>
      </c>
      <c r="P327" s="118">
        <v>41.648519</v>
      </c>
      <c r="Q327" s="118">
        <v>-83.523447000000004</v>
      </c>
      <c r="R327" s="118">
        <v>77000</v>
      </c>
      <c r="S327" s="118" t="s">
        <v>6988</v>
      </c>
      <c r="T327" s="118">
        <v>1</v>
      </c>
      <c r="U327" s="118">
        <v>0</v>
      </c>
      <c r="V327" s="118">
        <v>0</v>
      </c>
      <c r="W327" s="118">
        <v>2</v>
      </c>
      <c r="X327" s="118">
        <v>0</v>
      </c>
      <c r="Y327" s="118">
        <v>3</v>
      </c>
      <c r="Z327" s="118">
        <v>0</v>
      </c>
      <c r="AA327" s="118">
        <v>2</v>
      </c>
      <c r="AB327" s="118" t="s">
        <v>1067</v>
      </c>
      <c r="AC327" s="118" t="s">
        <v>6989</v>
      </c>
      <c r="AD327" s="118" t="s">
        <v>1034</v>
      </c>
      <c r="AE327" s="118" t="s">
        <v>943</v>
      </c>
      <c r="AF327" s="118" t="s">
        <v>1042</v>
      </c>
      <c r="AG327" s="118" t="s">
        <v>6415</v>
      </c>
      <c r="AH327" s="118" t="s">
        <v>393</v>
      </c>
      <c r="AI327" s="118">
        <v>2</v>
      </c>
      <c r="AJ327" s="118" t="s">
        <v>6415</v>
      </c>
      <c r="AK327" s="118" t="s">
        <v>393</v>
      </c>
      <c r="AL327" s="118" t="s">
        <v>393</v>
      </c>
      <c r="AM327" s="118" t="s">
        <v>393</v>
      </c>
      <c r="AN327" s="402" t="s">
        <v>5975</v>
      </c>
      <c r="AO327" s="402">
        <v>45977</v>
      </c>
      <c r="AP327" s="118">
        <v>11</v>
      </c>
      <c r="AQ327" s="118">
        <v>10</v>
      </c>
      <c r="AR327" s="118" t="s">
        <v>6443</v>
      </c>
      <c r="AS327" s="118" t="s">
        <v>392</v>
      </c>
      <c r="AT327" s="118" t="s">
        <v>500</v>
      </c>
      <c r="AU327" s="118" t="s">
        <v>404</v>
      </c>
      <c r="AV327" s="118" t="s">
        <v>508</v>
      </c>
      <c r="AW327" s="118" t="s">
        <v>393</v>
      </c>
      <c r="AX327" s="118" t="s">
        <v>740</v>
      </c>
      <c r="AY327" s="118" t="s">
        <v>393</v>
      </c>
      <c r="AZ327" s="118" t="s">
        <v>393</v>
      </c>
      <c r="BA327" s="118" t="s">
        <v>393</v>
      </c>
      <c r="BB327" s="118" t="s">
        <v>393</v>
      </c>
      <c r="BC327" s="118" t="s">
        <v>393</v>
      </c>
      <c r="BD327" s="118" t="s">
        <v>393</v>
      </c>
      <c r="BE327" s="118" t="s">
        <v>393</v>
      </c>
      <c r="BF327" s="118" t="s">
        <v>740</v>
      </c>
      <c r="BG327" s="118" t="s">
        <v>393</v>
      </c>
      <c r="BH327" s="118" t="s">
        <v>394</v>
      </c>
      <c r="BI327" s="118" t="s">
        <v>394</v>
      </c>
      <c r="BJ327" s="118" t="s">
        <v>393</v>
      </c>
      <c r="BK327" s="118" t="s">
        <v>6988</v>
      </c>
      <c r="BL327" s="118" t="s">
        <v>6415</v>
      </c>
      <c r="BM327" s="118" t="s">
        <v>6990</v>
      </c>
      <c r="BN327" s="118" t="s">
        <v>6991</v>
      </c>
      <c r="BO327" s="118" t="s">
        <v>6415</v>
      </c>
      <c r="BP327" s="118" t="s">
        <v>6415</v>
      </c>
      <c r="BQ327" s="118" t="s">
        <v>6415</v>
      </c>
      <c r="BR327" s="118" t="s">
        <v>6415</v>
      </c>
      <c r="BS327" s="118" t="s">
        <v>6415</v>
      </c>
      <c r="BT327" s="118" t="s">
        <v>6992</v>
      </c>
      <c r="BU327" s="118" t="s">
        <v>6991</v>
      </c>
      <c r="BV327" s="118" t="s">
        <v>6415</v>
      </c>
      <c r="BW327" s="118" t="s">
        <v>6415</v>
      </c>
      <c r="BX327" s="118" t="s">
        <v>6415</v>
      </c>
      <c r="BY327" s="118" t="s">
        <v>6415</v>
      </c>
      <c r="BZ327" s="118" t="s">
        <v>6415</v>
      </c>
      <c r="CA327" s="118" t="s">
        <v>6415</v>
      </c>
      <c r="CB327" s="118" t="s">
        <v>221</v>
      </c>
      <c r="CC327" s="118" t="s">
        <v>740</v>
      </c>
      <c r="CD327" s="118">
        <v>2</v>
      </c>
      <c r="CE327" s="118" t="s">
        <v>405</v>
      </c>
      <c r="CF327" s="118" t="s">
        <v>406</v>
      </c>
      <c r="CG327" s="118" t="s">
        <v>924</v>
      </c>
      <c r="CH327" s="118" t="s">
        <v>6300</v>
      </c>
      <c r="CI327" s="118" t="s">
        <v>417</v>
      </c>
      <c r="CJ327" s="118" t="s">
        <v>398</v>
      </c>
      <c r="CK327" s="118">
        <v>35</v>
      </c>
      <c r="CL327" s="118">
        <v>35</v>
      </c>
      <c r="CM327" s="118" t="s">
        <v>399</v>
      </c>
      <c r="CN327" s="118" t="s">
        <v>440</v>
      </c>
      <c r="CO327" s="118" t="s">
        <v>1096</v>
      </c>
      <c r="CP327" s="118" t="s">
        <v>400</v>
      </c>
      <c r="CQ327" s="118" t="s">
        <v>6415</v>
      </c>
      <c r="CR327" s="118" t="s">
        <v>6415</v>
      </c>
      <c r="CS327" s="118" t="s">
        <v>6415</v>
      </c>
      <c r="CT327" s="118" t="s">
        <v>6415</v>
      </c>
      <c r="CU327" s="118" t="s">
        <v>6415</v>
      </c>
      <c r="CV327" s="118" t="s">
        <v>6415</v>
      </c>
      <c r="CW327" s="118">
        <v>17</v>
      </c>
      <c r="CX327" s="118" t="s">
        <v>1066</v>
      </c>
      <c r="CY327" s="118" t="s">
        <v>6341</v>
      </c>
      <c r="CZ327" s="118">
        <v>1</v>
      </c>
      <c r="DA327" s="118" t="s">
        <v>411</v>
      </c>
      <c r="DB327" s="118" t="s">
        <v>410</v>
      </c>
      <c r="DC327" s="118" t="s">
        <v>6415</v>
      </c>
      <c r="DD327" s="118" t="s">
        <v>6300</v>
      </c>
      <c r="DE327" s="118" t="s">
        <v>6317</v>
      </c>
      <c r="DF327" s="118" t="s">
        <v>6376</v>
      </c>
      <c r="DG327" s="118">
        <v>25</v>
      </c>
      <c r="DH327" s="118">
        <v>35</v>
      </c>
      <c r="DI327" s="118" t="s">
        <v>399</v>
      </c>
      <c r="DJ327" s="118" t="s">
        <v>398</v>
      </c>
      <c r="DK327" s="118" t="s">
        <v>400</v>
      </c>
      <c r="DL327" s="118" t="s">
        <v>6415</v>
      </c>
      <c r="DM327" s="118" t="s">
        <v>6415</v>
      </c>
      <c r="DN327" s="118" t="s">
        <v>6415</v>
      </c>
      <c r="DO327" s="118" t="s">
        <v>6415</v>
      </c>
      <c r="DP327" s="118" t="s">
        <v>6415</v>
      </c>
      <c r="DQ327" s="118" t="s">
        <v>6415</v>
      </c>
      <c r="DR327" s="118">
        <v>36</v>
      </c>
      <c r="DS327" s="118" t="s">
        <v>1066</v>
      </c>
      <c r="DT327" s="118" t="s">
        <v>6341</v>
      </c>
      <c r="DU327" s="118" t="s">
        <v>6415</v>
      </c>
      <c r="DV327" s="118" t="s">
        <v>6415</v>
      </c>
      <c r="DW327" s="118" t="s">
        <v>6415</v>
      </c>
      <c r="DX327" s="118" t="s">
        <v>6415</v>
      </c>
      <c r="DY327" s="118" t="s">
        <v>6415</v>
      </c>
      <c r="DZ327" s="118" t="s">
        <v>6415</v>
      </c>
      <c r="EA327" s="118" t="s">
        <v>6415</v>
      </c>
      <c r="EB327" s="118" t="s">
        <v>6415</v>
      </c>
      <c r="EC327" s="118" t="s">
        <v>6415</v>
      </c>
      <c r="ED327" s="118" t="s">
        <v>6415</v>
      </c>
      <c r="EE327" s="118" t="s">
        <v>6415</v>
      </c>
      <c r="EF327" s="118" t="s">
        <v>6415</v>
      </c>
      <c r="EG327" s="118" t="s">
        <v>6986</v>
      </c>
      <c r="EH327" s="118" t="s">
        <v>7168</v>
      </c>
      <c r="EI327" s="118" t="s">
        <v>6415</v>
      </c>
      <c r="EJ327" s="118" t="s">
        <v>6415</v>
      </c>
      <c r="EK327" s="118">
        <v>145048</v>
      </c>
      <c r="EL327" s="118" t="s">
        <v>7467</v>
      </c>
      <c r="EM327" s="118" t="s">
        <v>7463</v>
      </c>
      <c r="EN327" s="118" t="s">
        <v>6415</v>
      </c>
      <c r="EO327" s="6" t="str">
        <f t="shared" si="26"/>
        <v>Pathweb</v>
      </c>
      <c r="EP327" s="6" t="str">
        <f t="shared" si="27"/>
        <v>Google Maps</v>
      </c>
      <c r="EQ327" s="6" t="str">
        <f t="shared" si="28"/>
        <v>Mashed Map</v>
      </c>
      <c r="ER327" s="118" t="s">
        <v>6727</v>
      </c>
      <c r="ES327" s="118" t="s">
        <v>6728</v>
      </c>
      <c r="ET327" s="4">
        <v>0</v>
      </c>
      <c r="EU327" s="4"/>
      <c r="EV327" s="4"/>
    </row>
    <row r="328" spans="1:152" x14ac:dyDescent="0.15">
      <c r="A328" s="581" t="str">
        <f t="shared" si="25"/>
        <v>Crash Report</v>
      </c>
      <c r="B328" s="118">
        <v>20253226407</v>
      </c>
      <c r="C328" s="118">
        <v>2025</v>
      </c>
      <c r="D328" s="118">
        <v>25112230500244</v>
      </c>
      <c r="F328" s="118" t="s">
        <v>6442</v>
      </c>
      <c r="G328" s="118" t="s">
        <v>416</v>
      </c>
      <c r="H328" s="118">
        <v>2</v>
      </c>
      <c r="I328" s="118" t="s">
        <v>6055</v>
      </c>
      <c r="J328" s="118" t="s">
        <v>391</v>
      </c>
      <c r="K328" s="118" t="s">
        <v>6985</v>
      </c>
      <c r="L328" s="118">
        <v>0.75600000000000001</v>
      </c>
      <c r="M328" s="118">
        <v>0.75600000000000001</v>
      </c>
      <c r="N328" s="118" t="s">
        <v>7465</v>
      </c>
      <c r="O328" s="118">
        <v>1518</v>
      </c>
      <c r="P328" s="118">
        <v>41.654063999999998</v>
      </c>
      <c r="Q328" s="118">
        <v>-83.514399999999995</v>
      </c>
      <c r="R328" s="118">
        <v>77000</v>
      </c>
      <c r="S328" s="118" t="s">
        <v>6988</v>
      </c>
      <c r="T328" s="118">
        <v>1</v>
      </c>
      <c r="U328" s="118">
        <v>0</v>
      </c>
      <c r="V328" s="118">
        <v>0</v>
      </c>
      <c r="W328" s="118">
        <v>0</v>
      </c>
      <c r="X328" s="118">
        <v>0</v>
      </c>
      <c r="Y328" s="118">
        <v>2</v>
      </c>
      <c r="Z328" s="118">
        <v>0</v>
      </c>
      <c r="AA328" s="118">
        <v>1</v>
      </c>
      <c r="AB328" s="118" t="s">
        <v>1067</v>
      </c>
      <c r="AC328" s="118" t="s">
        <v>6989</v>
      </c>
      <c r="AD328" s="118" t="s">
        <v>1034</v>
      </c>
      <c r="AE328" s="118" t="s">
        <v>943</v>
      </c>
      <c r="AF328" s="118" t="s">
        <v>1041</v>
      </c>
      <c r="AG328" s="118" t="s">
        <v>6415</v>
      </c>
      <c r="AH328" s="118" t="s">
        <v>393</v>
      </c>
      <c r="AI328" s="118">
        <v>4</v>
      </c>
      <c r="AJ328" s="118" t="s">
        <v>6415</v>
      </c>
      <c r="AK328" s="118" t="s">
        <v>393</v>
      </c>
      <c r="AL328" s="118" t="s">
        <v>393</v>
      </c>
      <c r="AM328" s="118" t="s">
        <v>393</v>
      </c>
      <c r="AN328" s="402" t="s">
        <v>5975</v>
      </c>
      <c r="AO328" s="402">
        <v>45983</v>
      </c>
      <c r="AP328" s="118">
        <v>11</v>
      </c>
      <c r="AQ328" s="118">
        <v>2</v>
      </c>
      <c r="AR328" s="118" t="s">
        <v>6449</v>
      </c>
      <c r="AS328" s="118" t="s">
        <v>392</v>
      </c>
      <c r="AT328" s="118" t="s">
        <v>225</v>
      </c>
      <c r="AU328" s="118" t="s">
        <v>505</v>
      </c>
      <c r="AV328" s="118" t="s">
        <v>508</v>
      </c>
      <c r="AW328" s="118" t="s">
        <v>740</v>
      </c>
      <c r="AX328" s="118" t="s">
        <v>393</v>
      </c>
      <c r="AY328" s="118" t="s">
        <v>740</v>
      </c>
      <c r="AZ328" s="118" t="s">
        <v>393</v>
      </c>
      <c r="BA328" s="118" t="s">
        <v>393</v>
      </c>
      <c r="BB328" s="118" t="s">
        <v>393</v>
      </c>
      <c r="BC328" s="118" t="s">
        <v>393</v>
      </c>
      <c r="BD328" s="118" t="s">
        <v>393</v>
      </c>
      <c r="BE328" s="118" t="s">
        <v>393</v>
      </c>
      <c r="BF328" s="118" t="s">
        <v>740</v>
      </c>
      <c r="BG328" s="118" t="s">
        <v>393</v>
      </c>
      <c r="BH328" s="118" t="s">
        <v>394</v>
      </c>
      <c r="BI328" s="118" t="s">
        <v>394</v>
      </c>
      <c r="BJ328" s="118" t="s">
        <v>393</v>
      </c>
      <c r="BK328" s="118" t="s">
        <v>6988</v>
      </c>
      <c r="BL328" s="118" t="s">
        <v>6415</v>
      </c>
      <c r="BM328" s="118" t="s">
        <v>6990</v>
      </c>
      <c r="BN328" s="118" t="s">
        <v>6991</v>
      </c>
      <c r="BO328" s="118" t="s">
        <v>6415</v>
      </c>
      <c r="BP328" s="118" t="s">
        <v>6415</v>
      </c>
      <c r="BQ328" s="118" t="s">
        <v>6415</v>
      </c>
      <c r="BR328" s="118" t="s">
        <v>6415</v>
      </c>
      <c r="BS328" s="118" t="s">
        <v>6415</v>
      </c>
      <c r="BT328" s="118" t="s">
        <v>7421</v>
      </c>
      <c r="BU328" s="118" t="s">
        <v>6415</v>
      </c>
      <c r="BV328" s="118" t="s">
        <v>6415</v>
      </c>
      <c r="BW328" s="118" t="s">
        <v>6415</v>
      </c>
      <c r="BX328" s="118" t="s">
        <v>6415</v>
      </c>
      <c r="BY328" s="118" t="s">
        <v>6415</v>
      </c>
      <c r="BZ328" s="118">
        <v>1518</v>
      </c>
      <c r="CA328" s="118" t="s">
        <v>6415</v>
      </c>
      <c r="CB328" s="118" t="s">
        <v>422</v>
      </c>
      <c r="CC328" s="118" t="s">
        <v>740</v>
      </c>
      <c r="CD328" s="118">
        <v>1</v>
      </c>
      <c r="CE328" s="118" t="s">
        <v>410</v>
      </c>
      <c r="CF328" s="118" t="s">
        <v>411</v>
      </c>
      <c r="CG328" s="118" t="s">
        <v>924</v>
      </c>
      <c r="CH328" s="118" t="s">
        <v>6302</v>
      </c>
      <c r="CI328" s="118" t="s">
        <v>6303</v>
      </c>
      <c r="CJ328" s="118" t="s">
        <v>398</v>
      </c>
      <c r="CK328" s="118">
        <v>0</v>
      </c>
      <c r="CL328" s="118">
        <v>35</v>
      </c>
      <c r="CM328" s="118" t="s">
        <v>463</v>
      </c>
      <c r="CN328" s="118" t="s">
        <v>407</v>
      </c>
      <c r="CO328" s="118" t="s">
        <v>475</v>
      </c>
      <c r="CP328" s="118" t="s">
        <v>6363</v>
      </c>
      <c r="CQ328" s="118" t="s">
        <v>418</v>
      </c>
      <c r="CR328" s="118" t="s">
        <v>475</v>
      </c>
      <c r="CS328" s="118" t="s">
        <v>6415</v>
      </c>
      <c r="CT328" s="118" t="s">
        <v>6415</v>
      </c>
      <c r="CU328" s="118" t="s">
        <v>6415</v>
      </c>
      <c r="CV328" s="118" t="s">
        <v>6415</v>
      </c>
      <c r="CW328" s="118">
        <v>24</v>
      </c>
      <c r="CX328" s="118" t="s">
        <v>1068</v>
      </c>
      <c r="CY328" s="118" t="s">
        <v>6341</v>
      </c>
      <c r="CZ328" s="118" t="s">
        <v>6415</v>
      </c>
      <c r="DA328" s="118" t="s">
        <v>6415</v>
      </c>
      <c r="DB328" s="118" t="s">
        <v>6415</v>
      </c>
      <c r="DC328" s="118" t="s">
        <v>6415</v>
      </c>
      <c r="DD328" s="118" t="s">
        <v>6415</v>
      </c>
      <c r="DE328" s="118" t="s">
        <v>6415</v>
      </c>
      <c r="DF328" s="118" t="s">
        <v>6415</v>
      </c>
      <c r="DG328" s="118" t="s">
        <v>6415</v>
      </c>
      <c r="DH328" s="118" t="s">
        <v>6415</v>
      </c>
      <c r="DI328" s="118" t="s">
        <v>6415</v>
      </c>
      <c r="DJ328" s="118" t="s">
        <v>6415</v>
      </c>
      <c r="DK328" s="118" t="s">
        <v>6415</v>
      </c>
      <c r="DL328" s="118" t="s">
        <v>6415</v>
      </c>
      <c r="DM328" s="118" t="s">
        <v>6415</v>
      </c>
      <c r="DN328" s="118" t="s">
        <v>6415</v>
      </c>
      <c r="DO328" s="118" t="s">
        <v>6415</v>
      </c>
      <c r="DP328" s="118" t="s">
        <v>6415</v>
      </c>
      <c r="DQ328" s="118" t="s">
        <v>6415</v>
      </c>
      <c r="DR328" s="118">
        <v>0</v>
      </c>
      <c r="DS328" s="118" t="s">
        <v>6415</v>
      </c>
      <c r="DT328" s="118" t="s">
        <v>6415</v>
      </c>
      <c r="DU328" s="118" t="s">
        <v>6415</v>
      </c>
      <c r="DV328" s="118" t="s">
        <v>6415</v>
      </c>
      <c r="DW328" s="118" t="s">
        <v>6415</v>
      </c>
      <c r="DX328" s="118" t="s">
        <v>6415</v>
      </c>
      <c r="DY328" s="118" t="s">
        <v>6415</v>
      </c>
      <c r="DZ328" s="118" t="s">
        <v>6415</v>
      </c>
      <c r="EA328" s="118" t="s">
        <v>6415</v>
      </c>
      <c r="EB328" s="118" t="s">
        <v>6415</v>
      </c>
      <c r="EC328" s="118" t="s">
        <v>6415</v>
      </c>
      <c r="ED328" s="118" t="s">
        <v>6415</v>
      </c>
      <c r="EE328" s="118" t="s">
        <v>6415</v>
      </c>
      <c r="EF328" s="118" t="s">
        <v>6415</v>
      </c>
      <c r="EG328" s="118" t="s">
        <v>7031</v>
      </c>
      <c r="EH328" s="118" t="s">
        <v>7165</v>
      </c>
      <c r="EI328" s="118" t="s">
        <v>6415</v>
      </c>
      <c r="EJ328" s="118" t="s">
        <v>6415</v>
      </c>
      <c r="EK328" s="118">
        <v>145188</v>
      </c>
      <c r="EL328" s="118" t="s">
        <v>7467</v>
      </c>
      <c r="EM328" s="118" t="s">
        <v>7464</v>
      </c>
      <c r="EN328" s="118" t="s">
        <v>6415</v>
      </c>
      <c r="EO328" s="6" t="str">
        <f t="shared" si="26"/>
        <v>Pathweb</v>
      </c>
      <c r="EP328" s="6" t="str">
        <f t="shared" si="27"/>
        <v>Google Maps</v>
      </c>
      <c r="EQ328" s="6" t="str">
        <f t="shared" si="28"/>
        <v>Mashed Map</v>
      </c>
      <c r="ER328" s="118" t="s">
        <v>6726</v>
      </c>
      <c r="ES328" s="118" t="s">
        <v>71</v>
      </c>
      <c r="ET328" s="4">
        <v>0</v>
      </c>
      <c r="EU328" s="4"/>
      <c r="EV328" s="4"/>
    </row>
    <row r="329" spans="1:152" x14ac:dyDescent="0.15">
      <c r="A329" s="576"/>
      <c r="EO329" s="6"/>
      <c r="EP329" s="6"/>
      <c r="EQ329" s="6"/>
      <c r="ET329" s="4"/>
      <c r="EU329" s="4"/>
      <c r="EV329" s="4"/>
    </row>
    <row r="330" spans="1:152" x14ac:dyDescent="0.15">
      <c r="A330" s="576"/>
      <c r="EO330" s="6"/>
      <c r="EP330" s="6"/>
      <c r="EQ330" s="6"/>
      <c r="ET330" s="4"/>
      <c r="EU330" s="4"/>
      <c r="EV330" s="4"/>
    </row>
    <row r="331" spans="1:152" x14ac:dyDescent="0.15">
      <c r="A331" s="576"/>
      <c r="EO331" s="6"/>
      <c r="EP331" s="6"/>
      <c r="EQ331" s="6"/>
      <c r="ET331" s="4"/>
      <c r="EU331" s="4"/>
      <c r="EV331" s="4"/>
    </row>
    <row r="332" spans="1:152" x14ac:dyDescent="0.15">
      <c r="A332" s="576"/>
      <c r="EO332" s="6"/>
      <c r="EP332" s="6"/>
      <c r="EQ332" s="6"/>
      <c r="ET332" s="4"/>
      <c r="EU332" s="4"/>
      <c r="EV332" s="4"/>
    </row>
    <row r="333" spans="1:152" x14ac:dyDescent="0.15">
      <c r="A333" s="576"/>
      <c r="EO333" s="6"/>
      <c r="EP333" s="6"/>
      <c r="EQ333" s="6"/>
      <c r="ET333" s="4"/>
      <c r="EU333" s="4"/>
      <c r="EV333" s="4"/>
    </row>
    <row r="334" spans="1:152" x14ac:dyDescent="0.15">
      <c r="A334" s="576"/>
      <c r="EO334" s="6"/>
      <c r="EP334" s="6"/>
      <c r="EQ334" s="6"/>
      <c r="ET334" s="4"/>
      <c r="EU334" s="4"/>
      <c r="EV334" s="4"/>
    </row>
    <row r="335" spans="1:152" x14ac:dyDescent="0.15">
      <c r="A335" s="576"/>
      <c r="EO335" s="6"/>
      <c r="EP335" s="6"/>
      <c r="EQ335" s="6"/>
      <c r="ET335" s="4"/>
      <c r="EU335" s="4"/>
      <c r="EV335" s="4"/>
    </row>
    <row r="336" spans="1:152" x14ac:dyDescent="0.15">
      <c r="A336" s="576"/>
      <c r="EO336" s="6"/>
      <c r="EP336" s="6"/>
      <c r="EQ336" s="6"/>
      <c r="ET336" s="4"/>
      <c r="EU336" s="4"/>
      <c r="EV336" s="4"/>
    </row>
    <row r="337" spans="1:152" x14ac:dyDescent="0.15">
      <c r="A337" s="576"/>
      <c r="EO337" s="6"/>
      <c r="EP337" s="6"/>
      <c r="EQ337" s="6"/>
      <c r="ET337" s="4"/>
      <c r="EU337" s="4"/>
      <c r="EV337" s="4"/>
    </row>
    <row r="338" spans="1:152" x14ac:dyDescent="0.15">
      <c r="A338" s="576"/>
      <c r="EO338" s="6"/>
      <c r="EP338" s="6"/>
      <c r="EQ338" s="6"/>
      <c r="ET338" s="4"/>
      <c r="EU338" s="4"/>
      <c r="EV338" s="4"/>
    </row>
    <row r="339" spans="1:152" x14ac:dyDescent="0.15">
      <c r="A339" s="576"/>
      <c r="EO339" s="6"/>
      <c r="EP339" s="6"/>
      <c r="EQ339" s="6"/>
      <c r="ET339" s="4"/>
      <c r="EU339" s="4"/>
      <c r="EV339" s="4"/>
    </row>
    <row r="340" spans="1:152" x14ac:dyDescent="0.15">
      <c r="A340" s="576"/>
      <c r="EO340" s="6"/>
      <c r="EP340" s="6"/>
      <c r="EQ340" s="6"/>
      <c r="ET340" s="4"/>
      <c r="EU340" s="4"/>
      <c r="EV340" s="4"/>
    </row>
    <row r="341" spans="1:152" x14ac:dyDescent="0.15">
      <c r="A341" s="576"/>
      <c r="EO341" s="6"/>
      <c r="EP341" s="6"/>
      <c r="EQ341" s="6"/>
      <c r="ET341" s="4"/>
      <c r="EU341" s="4"/>
      <c r="EV341" s="4"/>
    </row>
    <row r="342" spans="1:152" x14ac:dyDescent="0.15">
      <c r="A342" s="576"/>
      <c r="EO342" s="6"/>
      <c r="EP342" s="6"/>
      <c r="EQ342" s="6"/>
      <c r="ET342" s="4"/>
      <c r="EU342" s="4"/>
      <c r="EV342" s="4"/>
    </row>
    <row r="343" spans="1:152" x14ac:dyDescent="0.15">
      <c r="A343" s="576"/>
      <c r="EO343" s="6"/>
      <c r="EP343" s="6"/>
      <c r="EQ343" s="6"/>
      <c r="ET343" s="4"/>
      <c r="EU343" s="4"/>
      <c r="EV343" s="4"/>
    </row>
    <row r="344" spans="1:152" x14ac:dyDescent="0.15">
      <c r="A344" s="576"/>
      <c r="EO344" s="6"/>
      <c r="EP344" s="6"/>
      <c r="EQ344" s="6"/>
      <c r="ET344" s="4"/>
      <c r="EU344" s="4"/>
      <c r="EV344" s="4"/>
    </row>
    <row r="345" spans="1:152" x14ac:dyDescent="0.15">
      <c r="A345" s="576"/>
      <c r="EO345" s="6"/>
      <c r="EP345" s="6"/>
      <c r="EQ345" s="6"/>
      <c r="ET345" s="4"/>
      <c r="EU345" s="4"/>
      <c r="EV345" s="4"/>
    </row>
    <row r="346" spans="1:152" x14ac:dyDescent="0.15">
      <c r="A346" s="576"/>
      <c r="EO346" s="6"/>
      <c r="EP346" s="6"/>
      <c r="EQ346" s="6"/>
      <c r="ET346" s="4"/>
      <c r="EU346" s="4"/>
      <c r="EV346" s="4"/>
    </row>
    <row r="347" spans="1:152" x14ac:dyDescent="0.15">
      <c r="A347" s="576"/>
      <c r="EO347" s="6"/>
      <c r="EP347" s="6"/>
      <c r="EQ347" s="6"/>
      <c r="ET347" s="4"/>
      <c r="EU347" s="4"/>
      <c r="EV347" s="4"/>
    </row>
    <row r="348" spans="1:152" x14ac:dyDescent="0.15">
      <c r="A348" s="576"/>
      <c r="EO348" s="6"/>
      <c r="EP348" s="6"/>
      <c r="EQ348" s="6"/>
      <c r="ET348" s="4"/>
      <c r="EU348" s="4"/>
      <c r="EV348" s="4"/>
    </row>
    <row r="349" spans="1:152" x14ac:dyDescent="0.15">
      <c r="A349" s="576"/>
      <c r="EO349" s="6"/>
      <c r="EP349" s="6"/>
      <c r="EQ349" s="6"/>
      <c r="ET349" s="4"/>
      <c r="EU349" s="4"/>
      <c r="EV349" s="4"/>
    </row>
    <row r="350" spans="1:152" x14ac:dyDescent="0.15">
      <c r="A350" s="576"/>
      <c r="EO350" s="6"/>
      <c r="EP350" s="6"/>
      <c r="EQ350" s="6"/>
      <c r="ET350" s="4"/>
      <c r="EU350" s="4"/>
      <c r="EV350" s="4"/>
    </row>
    <row r="351" spans="1:152" x14ac:dyDescent="0.15">
      <c r="A351" s="576"/>
      <c r="EO351" s="6"/>
      <c r="EP351" s="6"/>
      <c r="EQ351" s="6"/>
      <c r="ET351" s="4"/>
      <c r="EU351" s="4"/>
      <c r="EV351" s="4"/>
    </row>
    <row r="352" spans="1:152" x14ac:dyDescent="0.15">
      <c r="A352" s="576"/>
      <c r="EO352" s="6"/>
      <c r="EP352" s="6"/>
      <c r="EQ352" s="6"/>
      <c r="ET352" s="4"/>
      <c r="EU352" s="4"/>
      <c r="EV352" s="4"/>
    </row>
    <row r="353" spans="1:152" x14ac:dyDescent="0.15">
      <c r="A353" s="576"/>
      <c r="EO353" s="6"/>
      <c r="EP353" s="6"/>
      <c r="EQ353" s="6"/>
      <c r="ET353" s="4"/>
      <c r="EU353" s="4"/>
      <c r="EV353" s="4"/>
    </row>
    <row r="354" spans="1:152" x14ac:dyDescent="0.15">
      <c r="A354" s="576"/>
      <c r="EO354" s="6"/>
      <c r="EP354" s="6"/>
      <c r="EQ354" s="6"/>
      <c r="ET354" s="4"/>
      <c r="EU354" s="4"/>
      <c r="EV354" s="4"/>
    </row>
    <row r="355" spans="1:152" x14ac:dyDescent="0.15">
      <c r="A355" s="576"/>
      <c r="EO355" s="6"/>
      <c r="EP355" s="6"/>
      <c r="EQ355" s="6"/>
      <c r="ET355" s="4"/>
      <c r="EU355" s="4"/>
      <c r="EV355" s="4"/>
    </row>
    <row r="356" spans="1:152" x14ac:dyDescent="0.15">
      <c r="A356" s="576"/>
      <c r="EO356" s="6"/>
      <c r="EP356" s="6"/>
      <c r="EQ356" s="6"/>
      <c r="ET356" s="4"/>
      <c r="EU356" s="4"/>
      <c r="EV356" s="4"/>
    </row>
    <row r="357" spans="1:152" x14ac:dyDescent="0.15">
      <c r="A357" s="576"/>
      <c r="EO357" s="6"/>
      <c r="EP357" s="6"/>
      <c r="EQ357" s="6"/>
      <c r="ET357" s="4"/>
      <c r="EU357" s="4"/>
      <c r="EV357" s="4"/>
    </row>
    <row r="358" spans="1:152" x14ac:dyDescent="0.15">
      <c r="A358" s="576"/>
      <c r="EO358" s="6"/>
      <c r="EP358" s="6"/>
      <c r="EQ358" s="6"/>
      <c r="ET358" s="4"/>
      <c r="EU358" s="4"/>
      <c r="EV358" s="4"/>
    </row>
    <row r="359" spans="1:152" x14ac:dyDescent="0.15">
      <c r="A359" s="576"/>
      <c r="EO359" s="6"/>
      <c r="EP359" s="6"/>
      <c r="EQ359" s="6"/>
      <c r="ET359" s="4"/>
      <c r="EU359" s="4"/>
      <c r="EV359" s="4"/>
    </row>
    <row r="360" spans="1:152" x14ac:dyDescent="0.15">
      <c r="A360" s="576"/>
      <c r="EO360" s="6"/>
      <c r="EP360" s="6"/>
      <c r="EQ360" s="6"/>
      <c r="ET360" s="4"/>
      <c r="EU360" s="4"/>
      <c r="EV360" s="4"/>
    </row>
    <row r="361" spans="1:152" x14ac:dyDescent="0.15">
      <c r="A361" s="576"/>
      <c r="EO361" s="6"/>
      <c r="EP361" s="6"/>
      <c r="EQ361" s="6"/>
      <c r="ET361" s="4"/>
      <c r="EU361" s="4"/>
      <c r="EV361" s="4"/>
    </row>
    <row r="362" spans="1:152" x14ac:dyDescent="0.15">
      <c r="A362" s="576"/>
      <c r="EO362" s="6"/>
      <c r="EP362" s="6"/>
      <c r="EQ362" s="6"/>
      <c r="ET362" s="4"/>
      <c r="EU362" s="4"/>
      <c r="EV362" s="4"/>
    </row>
    <row r="363" spans="1:152" x14ac:dyDescent="0.15">
      <c r="A363" s="576"/>
      <c r="EO363" s="6"/>
      <c r="EP363" s="6"/>
      <c r="EQ363" s="6"/>
      <c r="ET363" s="4"/>
      <c r="EU363" s="4"/>
      <c r="EV363" s="4"/>
    </row>
    <row r="364" spans="1:152" x14ac:dyDescent="0.15">
      <c r="A364" s="576"/>
      <c r="EO364" s="6"/>
      <c r="EP364" s="6"/>
      <c r="EQ364" s="6"/>
      <c r="ET364" s="4"/>
      <c r="EU364" s="4"/>
      <c r="EV364" s="4"/>
    </row>
    <row r="365" spans="1:152" x14ac:dyDescent="0.15">
      <c r="A365" s="576"/>
      <c r="EO365" s="6"/>
      <c r="EP365" s="6"/>
      <c r="EQ365" s="6"/>
      <c r="ET365" s="4"/>
      <c r="EU365" s="4"/>
      <c r="EV365" s="4"/>
    </row>
    <row r="366" spans="1:152" x14ac:dyDescent="0.15">
      <c r="A366" s="576"/>
      <c r="EO366" s="6"/>
      <c r="EP366" s="6"/>
      <c r="EQ366" s="6"/>
      <c r="ET366" s="4"/>
      <c r="EU366" s="4"/>
      <c r="EV366" s="4"/>
    </row>
    <row r="367" spans="1:152" x14ac:dyDescent="0.15">
      <c r="A367" s="576"/>
      <c r="EO367" s="6"/>
      <c r="EP367" s="6"/>
      <c r="EQ367" s="6"/>
      <c r="ET367" s="4"/>
      <c r="EU367" s="4"/>
      <c r="EV367" s="4"/>
    </row>
    <row r="368" spans="1:152" x14ac:dyDescent="0.15">
      <c r="A368" s="576"/>
      <c r="EO368" s="6"/>
      <c r="EP368" s="6"/>
      <c r="EQ368" s="6"/>
      <c r="ET368" s="4"/>
      <c r="EU368" s="4"/>
      <c r="EV368" s="4"/>
    </row>
    <row r="369" spans="1:152" x14ac:dyDescent="0.15">
      <c r="A369" s="576"/>
      <c r="EO369" s="6"/>
      <c r="EP369" s="6"/>
      <c r="EQ369" s="6"/>
      <c r="ET369" s="4"/>
      <c r="EU369" s="4"/>
      <c r="EV369" s="4"/>
    </row>
    <row r="370" spans="1:152" x14ac:dyDescent="0.15">
      <c r="A370" s="576"/>
      <c r="EO370" s="6"/>
      <c r="EP370" s="6"/>
      <c r="EQ370" s="6"/>
      <c r="ET370" s="4"/>
      <c r="EU370" s="4"/>
      <c r="EV370" s="4"/>
    </row>
    <row r="371" spans="1:152" x14ac:dyDescent="0.15">
      <c r="A371" s="576"/>
      <c r="EO371" s="6"/>
      <c r="EP371" s="6"/>
      <c r="EQ371" s="6"/>
      <c r="ET371" s="4"/>
      <c r="EU371" s="4"/>
      <c r="EV371" s="4"/>
    </row>
    <row r="372" spans="1:152" x14ac:dyDescent="0.15">
      <c r="A372" s="576"/>
      <c r="EO372" s="6"/>
      <c r="EP372" s="6"/>
      <c r="EQ372" s="6"/>
      <c r="ET372" s="4"/>
      <c r="EU372" s="4"/>
      <c r="EV372" s="4"/>
    </row>
    <row r="373" spans="1:152" x14ac:dyDescent="0.15">
      <c r="A373" s="576"/>
      <c r="EO373" s="6"/>
      <c r="EP373" s="6"/>
      <c r="EQ373" s="6"/>
      <c r="ET373" s="4"/>
      <c r="EU373" s="4"/>
      <c r="EV373" s="4"/>
    </row>
    <row r="374" spans="1:152" x14ac:dyDescent="0.15">
      <c r="A374" s="576"/>
      <c r="EO374" s="6"/>
      <c r="EP374" s="6"/>
      <c r="EQ374" s="6"/>
      <c r="ET374" s="4"/>
      <c r="EU374" s="4"/>
      <c r="EV374" s="4"/>
    </row>
    <row r="375" spans="1:152" x14ac:dyDescent="0.15">
      <c r="A375" s="576"/>
      <c r="EO375" s="6"/>
      <c r="EP375" s="6"/>
      <c r="EQ375" s="6"/>
      <c r="ET375" s="4"/>
      <c r="EU375" s="4"/>
      <c r="EV375" s="4"/>
    </row>
    <row r="376" spans="1:152" x14ac:dyDescent="0.15">
      <c r="A376" s="576"/>
      <c r="EO376" s="6"/>
      <c r="EP376" s="6"/>
      <c r="EQ376" s="6"/>
      <c r="ET376" s="4"/>
      <c r="EU376" s="4"/>
      <c r="EV376" s="4"/>
    </row>
    <row r="377" spans="1:152" x14ac:dyDescent="0.15">
      <c r="A377" s="576"/>
      <c r="EO377" s="6"/>
      <c r="EP377" s="6"/>
      <c r="EQ377" s="6"/>
      <c r="ET377" s="4"/>
      <c r="EU377" s="4"/>
      <c r="EV377" s="4"/>
    </row>
    <row r="378" spans="1:152" x14ac:dyDescent="0.15">
      <c r="A378" s="576"/>
      <c r="EO378" s="6"/>
      <c r="EP378" s="6"/>
      <c r="EQ378" s="6"/>
      <c r="ET378" s="4"/>
      <c r="EU378" s="4"/>
      <c r="EV378" s="4"/>
    </row>
    <row r="379" spans="1:152" x14ac:dyDescent="0.15">
      <c r="A379" s="576"/>
      <c r="EO379" s="6"/>
      <c r="EP379" s="6"/>
      <c r="EQ379" s="6"/>
      <c r="ET379" s="4"/>
      <c r="EU379" s="4"/>
      <c r="EV379" s="4"/>
    </row>
    <row r="380" spans="1:152" x14ac:dyDescent="0.15">
      <c r="A380" s="576"/>
      <c r="EO380" s="6"/>
      <c r="EP380" s="6"/>
      <c r="EQ380" s="6"/>
      <c r="ET380" s="4"/>
      <c r="EU380" s="4"/>
      <c r="EV380" s="4"/>
    </row>
    <row r="381" spans="1:152" x14ac:dyDescent="0.15">
      <c r="A381" s="576"/>
      <c r="EO381" s="6"/>
      <c r="EP381" s="6"/>
      <c r="EQ381" s="6"/>
      <c r="ET381" s="4"/>
      <c r="EU381" s="4"/>
      <c r="EV381" s="4"/>
    </row>
    <row r="382" spans="1:152" x14ac:dyDescent="0.15">
      <c r="A382" s="576"/>
      <c r="EO382" s="6"/>
      <c r="EP382" s="6"/>
      <c r="EQ382" s="6"/>
      <c r="ET382" s="4"/>
      <c r="EU382" s="4"/>
      <c r="EV382" s="4"/>
    </row>
    <row r="383" spans="1:152" x14ac:dyDescent="0.15">
      <c r="A383" s="576"/>
      <c r="EO383" s="6"/>
      <c r="EP383" s="6"/>
      <c r="EQ383" s="6"/>
      <c r="ET383" s="4"/>
      <c r="EU383" s="4"/>
      <c r="EV383" s="4"/>
    </row>
    <row r="384" spans="1:152" x14ac:dyDescent="0.15">
      <c r="A384" s="576"/>
      <c r="EO384" s="6"/>
      <c r="EP384" s="6"/>
      <c r="EQ384" s="6"/>
      <c r="ET384" s="4"/>
      <c r="EU384" s="4"/>
      <c r="EV384" s="4"/>
    </row>
    <row r="385" spans="1:152" x14ac:dyDescent="0.15">
      <c r="A385" s="576"/>
      <c r="EO385" s="6"/>
      <c r="EP385" s="6"/>
      <c r="EQ385" s="6"/>
      <c r="ET385" s="4"/>
      <c r="EU385" s="4"/>
      <c r="EV385" s="4"/>
    </row>
    <row r="386" spans="1:152" x14ac:dyDescent="0.15">
      <c r="A386" s="576"/>
      <c r="EO386" s="6"/>
      <c r="EP386" s="6"/>
      <c r="EQ386" s="6"/>
      <c r="ET386" s="4"/>
      <c r="EU386" s="4"/>
      <c r="EV386" s="4"/>
    </row>
    <row r="387" spans="1:152" x14ac:dyDescent="0.15">
      <c r="A387" s="576"/>
      <c r="EO387" s="6"/>
      <c r="EP387" s="6"/>
      <c r="EQ387" s="6"/>
      <c r="ET387" s="4"/>
      <c r="EU387" s="4"/>
      <c r="EV387" s="4"/>
    </row>
    <row r="388" spans="1:152" x14ac:dyDescent="0.15">
      <c r="A388" s="576"/>
      <c r="EO388" s="6"/>
      <c r="EP388" s="6"/>
      <c r="EQ388" s="6"/>
      <c r="ET388" s="4"/>
      <c r="EU388" s="4"/>
      <c r="EV388" s="4"/>
    </row>
    <row r="389" spans="1:152" x14ac:dyDescent="0.15">
      <c r="A389" s="576"/>
      <c r="EO389" s="6"/>
      <c r="EP389" s="6"/>
      <c r="EQ389" s="6"/>
      <c r="ET389" s="4"/>
      <c r="EU389" s="4"/>
      <c r="EV389" s="4"/>
    </row>
    <row r="390" spans="1:152" x14ac:dyDescent="0.15">
      <c r="A390" s="576"/>
      <c r="EO390" s="6"/>
      <c r="EP390" s="6"/>
      <c r="EQ390" s="6"/>
      <c r="ET390" s="4"/>
      <c r="EU390" s="4"/>
      <c r="EV390" s="4"/>
    </row>
    <row r="391" spans="1:152" x14ac:dyDescent="0.15">
      <c r="A391" s="576"/>
      <c r="EO391" s="6"/>
      <c r="EP391" s="6"/>
      <c r="EQ391" s="6"/>
      <c r="ET391" s="4"/>
      <c r="EU391" s="4"/>
      <c r="EV391" s="4"/>
    </row>
    <row r="392" spans="1:152" x14ac:dyDescent="0.15">
      <c r="A392" s="576"/>
      <c r="EO392" s="6"/>
      <c r="EP392" s="6"/>
      <c r="EQ392" s="6"/>
      <c r="ET392" s="4"/>
      <c r="EU392" s="4"/>
      <c r="EV392" s="4"/>
    </row>
    <row r="393" spans="1:152" x14ac:dyDescent="0.15">
      <c r="A393" s="576"/>
      <c r="EO393" s="6"/>
      <c r="EP393" s="6"/>
      <c r="EQ393" s="6"/>
      <c r="ET393" s="4"/>
      <c r="EU393" s="4"/>
      <c r="EV393" s="4"/>
    </row>
    <row r="394" spans="1:152" x14ac:dyDescent="0.15">
      <c r="A394" s="576"/>
      <c r="EO394" s="6"/>
      <c r="EP394" s="6"/>
      <c r="EQ394" s="6"/>
      <c r="ET394" s="4"/>
      <c r="EU394" s="4"/>
      <c r="EV394" s="4"/>
    </row>
    <row r="395" spans="1:152" x14ac:dyDescent="0.15">
      <c r="A395" s="576"/>
      <c r="EO395" s="6"/>
      <c r="EP395" s="6"/>
      <c r="EQ395" s="6"/>
      <c r="ET395" s="4"/>
      <c r="EU395" s="4"/>
      <c r="EV395" s="4"/>
    </row>
    <row r="396" spans="1:152" x14ac:dyDescent="0.15">
      <c r="A396" s="576"/>
      <c r="EO396" s="6"/>
      <c r="EP396" s="6"/>
      <c r="EQ396" s="6"/>
      <c r="ET396" s="4"/>
      <c r="EU396" s="4"/>
      <c r="EV396" s="4"/>
    </row>
    <row r="397" spans="1:152" x14ac:dyDescent="0.15">
      <c r="A397" s="576"/>
      <c r="EO397" s="6"/>
      <c r="EP397" s="6"/>
      <c r="EQ397" s="6"/>
      <c r="ET397" s="4"/>
      <c r="EU397" s="4"/>
      <c r="EV397" s="4"/>
    </row>
    <row r="398" spans="1:152" x14ac:dyDescent="0.15">
      <c r="A398" s="576"/>
      <c r="EO398" s="6"/>
      <c r="EP398" s="6"/>
      <c r="EQ398" s="6"/>
      <c r="ET398" s="4"/>
      <c r="EU398" s="4"/>
      <c r="EV398" s="4"/>
    </row>
    <row r="399" spans="1:152" x14ac:dyDescent="0.15">
      <c r="A399" s="576"/>
      <c r="EO399" s="6"/>
      <c r="EP399" s="6"/>
      <c r="EQ399" s="6"/>
      <c r="ET399" s="4"/>
      <c r="EU399" s="4"/>
      <c r="EV399" s="4"/>
    </row>
    <row r="400" spans="1:152" x14ac:dyDescent="0.15">
      <c r="A400" s="576"/>
      <c r="EO400" s="6"/>
      <c r="EP400" s="6"/>
      <c r="EQ400" s="6"/>
      <c r="ET400" s="4"/>
      <c r="EU400" s="4"/>
      <c r="EV400" s="4"/>
    </row>
    <row r="401" spans="1:152" x14ac:dyDescent="0.15">
      <c r="A401" s="576"/>
      <c r="EO401" s="6"/>
      <c r="EP401" s="6"/>
      <c r="EQ401" s="6"/>
      <c r="ET401" s="4"/>
      <c r="EU401" s="4"/>
      <c r="EV401" s="4"/>
    </row>
    <row r="402" spans="1:152" x14ac:dyDescent="0.15">
      <c r="A402" s="576"/>
      <c r="EO402" s="6"/>
      <c r="EP402" s="6"/>
      <c r="EQ402" s="6"/>
      <c r="ET402" s="4"/>
      <c r="EU402" s="4"/>
      <c r="EV402" s="4"/>
    </row>
    <row r="403" spans="1:152" x14ac:dyDescent="0.15">
      <c r="A403" s="576"/>
      <c r="EO403" s="6"/>
      <c r="EP403" s="6"/>
      <c r="EQ403" s="6"/>
      <c r="ET403" s="4"/>
      <c r="EU403" s="4"/>
      <c r="EV403" s="4"/>
    </row>
    <row r="404" spans="1:152" x14ac:dyDescent="0.15">
      <c r="A404" s="576"/>
      <c r="EO404" s="6"/>
      <c r="EP404" s="6"/>
      <c r="EQ404" s="6"/>
      <c r="ET404" s="4"/>
      <c r="EU404" s="4"/>
      <c r="EV404" s="4"/>
    </row>
    <row r="405" spans="1:152" x14ac:dyDescent="0.15">
      <c r="A405" s="576"/>
      <c r="EO405" s="6"/>
      <c r="EP405" s="6"/>
      <c r="EQ405" s="6"/>
      <c r="ET405" s="4"/>
      <c r="EU405" s="4"/>
      <c r="EV405" s="4"/>
    </row>
    <row r="406" spans="1:152" x14ac:dyDescent="0.15">
      <c r="A406" s="576"/>
      <c r="EO406" s="6"/>
      <c r="EP406" s="6"/>
      <c r="EQ406" s="6"/>
      <c r="ET406" s="4"/>
      <c r="EU406" s="4"/>
      <c r="EV406" s="4"/>
    </row>
    <row r="407" spans="1:152" x14ac:dyDescent="0.15">
      <c r="A407" s="576"/>
      <c r="EO407" s="6"/>
      <c r="EP407" s="6"/>
      <c r="EQ407" s="6"/>
      <c r="ET407" s="4"/>
      <c r="EU407" s="4"/>
      <c r="EV407" s="4"/>
    </row>
    <row r="408" spans="1:152" x14ac:dyDescent="0.15">
      <c r="A408" s="576"/>
      <c r="EO408" s="6"/>
      <c r="EP408" s="6"/>
      <c r="EQ408" s="6"/>
      <c r="ET408" s="4"/>
      <c r="EU408" s="4"/>
      <c r="EV408" s="4"/>
    </row>
    <row r="409" spans="1:152" x14ac:dyDescent="0.15">
      <c r="A409" s="576"/>
      <c r="EO409" s="6"/>
      <c r="EP409" s="6"/>
      <c r="EQ409" s="6"/>
      <c r="ET409" s="4"/>
      <c r="EU409" s="4"/>
      <c r="EV409" s="4"/>
    </row>
    <row r="410" spans="1:152" x14ac:dyDescent="0.15">
      <c r="A410" s="576"/>
      <c r="EO410" s="6"/>
      <c r="EP410" s="6"/>
      <c r="EQ410" s="6"/>
      <c r="ET410" s="4"/>
      <c r="EU410" s="4"/>
      <c r="EV410" s="4"/>
    </row>
    <row r="411" spans="1:152" x14ac:dyDescent="0.15">
      <c r="A411" s="576"/>
      <c r="EO411" s="6"/>
      <c r="EP411" s="6"/>
      <c r="EQ411" s="6"/>
      <c r="ET411" s="4"/>
      <c r="EU411" s="4"/>
      <c r="EV411" s="4"/>
    </row>
    <row r="412" spans="1:152" x14ac:dyDescent="0.15">
      <c r="A412" s="576"/>
      <c r="EO412" s="6"/>
      <c r="EP412" s="6"/>
      <c r="EQ412" s="6"/>
      <c r="ET412" s="4"/>
      <c r="EU412" s="4"/>
      <c r="EV412" s="4"/>
    </row>
    <row r="413" spans="1:152" x14ac:dyDescent="0.15">
      <c r="A413" s="576"/>
      <c r="EO413" s="6"/>
      <c r="EP413" s="6"/>
      <c r="EQ413" s="6"/>
      <c r="ET413" s="4"/>
      <c r="EU413" s="4"/>
      <c r="EV413" s="4"/>
    </row>
    <row r="414" spans="1:152" x14ac:dyDescent="0.15">
      <c r="A414" s="576"/>
      <c r="EO414" s="6"/>
      <c r="EP414" s="6"/>
      <c r="EQ414" s="6"/>
      <c r="ET414" s="4"/>
      <c r="EU414" s="4"/>
      <c r="EV414" s="4"/>
    </row>
    <row r="415" spans="1:152" x14ac:dyDescent="0.15">
      <c r="A415" s="576"/>
      <c r="EO415" s="6"/>
      <c r="EP415" s="6"/>
      <c r="EQ415" s="6"/>
      <c r="ET415" s="4"/>
      <c r="EU415" s="4"/>
      <c r="EV415" s="4"/>
    </row>
    <row r="416" spans="1:152" x14ac:dyDescent="0.15">
      <c r="A416" s="576"/>
      <c r="EO416" s="6"/>
      <c r="EP416" s="6"/>
      <c r="EQ416" s="6"/>
      <c r="ET416" s="4"/>
      <c r="EU416" s="4"/>
      <c r="EV416" s="4"/>
    </row>
    <row r="417" spans="1:152" x14ac:dyDescent="0.15">
      <c r="A417" s="576"/>
      <c r="EO417" s="6"/>
      <c r="EP417" s="6"/>
      <c r="EQ417" s="6"/>
      <c r="ET417" s="4"/>
      <c r="EU417" s="4"/>
      <c r="EV417" s="4"/>
    </row>
    <row r="418" spans="1:152" x14ac:dyDescent="0.15">
      <c r="A418" s="576"/>
      <c r="EO418" s="6"/>
      <c r="EP418" s="6"/>
      <c r="EQ418" s="6"/>
      <c r="ET418" s="4"/>
      <c r="EU418" s="4"/>
      <c r="EV418" s="4"/>
    </row>
    <row r="419" spans="1:152" x14ac:dyDescent="0.15">
      <c r="A419" s="576"/>
      <c r="EO419" s="6"/>
      <c r="EP419" s="6"/>
      <c r="EQ419" s="6"/>
      <c r="ET419" s="4"/>
      <c r="EU419" s="4"/>
      <c r="EV419" s="4"/>
    </row>
    <row r="420" spans="1:152" x14ac:dyDescent="0.15">
      <c r="A420" s="576"/>
      <c r="EO420" s="6"/>
      <c r="EP420" s="6"/>
      <c r="EQ420" s="6"/>
      <c r="ET420" s="4"/>
      <c r="EU420" s="4"/>
      <c r="EV420" s="4"/>
    </row>
    <row r="421" spans="1:152" x14ac:dyDescent="0.15">
      <c r="A421" s="576"/>
      <c r="EO421" s="6"/>
      <c r="EP421" s="6"/>
      <c r="EQ421" s="6"/>
      <c r="ET421" s="4"/>
      <c r="EU421" s="4"/>
      <c r="EV421" s="4"/>
    </row>
    <row r="422" spans="1:152" x14ac:dyDescent="0.15">
      <c r="A422" s="576"/>
      <c r="EO422" s="6"/>
      <c r="EP422" s="6"/>
      <c r="EQ422" s="6"/>
      <c r="ET422" s="4"/>
      <c r="EU422" s="4"/>
      <c r="EV422" s="4"/>
    </row>
    <row r="423" spans="1:152" x14ac:dyDescent="0.15">
      <c r="A423" s="576"/>
      <c r="EO423" s="6"/>
      <c r="EP423" s="6"/>
      <c r="EQ423" s="6"/>
      <c r="ET423" s="4"/>
      <c r="EU423" s="4"/>
      <c r="EV423" s="4"/>
    </row>
    <row r="424" spans="1:152" x14ac:dyDescent="0.15">
      <c r="A424" s="576"/>
      <c r="EO424" s="6"/>
      <c r="EP424" s="6"/>
      <c r="EQ424" s="6"/>
      <c r="ET424" s="4"/>
      <c r="EU424" s="4"/>
      <c r="EV424" s="4"/>
    </row>
    <row r="425" spans="1:152" x14ac:dyDescent="0.15">
      <c r="A425" s="576"/>
      <c r="EO425" s="6"/>
      <c r="EP425" s="6"/>
      <c r="EQ425" s="6"/>
      <c r="ET425" s="4"/>
      <c r="EU425" s="4"/>
      <c r="EV425" s="4"/>
    </row>
    <row r="426" spans="1:152" x14ac:dyDescent="0.15">
      <c r="A426" s="576"/>
      <c r="EO426" s="6"/>
      <c r="EP426" s="6"/>
      <c r="EQ426" s="6"/>
      <c r="ET426" s="4"/>
      <c r="EU426" s="4"/>
      <c r="EV426" s="4"/>
    </row>
    <row r="427" spans="1:152" x14ac:dyDescent="0.15">
      <c r="A427" s="576"/>
      <c r="EO427" s="6"/>
      <c r="EP427" s="6"/>
      <c r="EQ427" s="6"/>
      <c r="ET427" s="4"/>
      <c r="EU427" s="4"/>
      <c r="EV427" s="4"/>
    </row>
    <row r="428" spans="1:152" x14ac:dyDescent="0.15">
      <c r="A428" s="576"/>
      <c r="EO428" s="6"/>
      <c r="EP428" s="6"/>
      <c r="EQ428" s="6"/>
      <c r="ET428" s="4"/>
      <c r="EU428" s="4"/>
      <c r="EV428" s="4"/>
    </row>
    <row r="429" spans="1:152" x14ac:dyDescent="0.15">
      <c r="A429" s="576"/>
      <c r="EO429" s="6"/>
      <c r="EP429" s="6"/>
      <c r="EQ429" s="6"/>
      <c r="ET429" s="4"/>
      <c r="EU429" s="4"/>
      <c r="EV429" s="4"/>
    </row>
    <row r="430" spans="1:152" x14ac:dyDescent="0.15">
      <c r="A430" s="576"/>
      <c r="EO430" s="6"/>
      <c r="EP430" s="6"/>
      <c r="EQ430" s="6"/>
      <c r="ET430" s="4"/>
      <c r="EU430" s="4"/>
      <c r="EV430" s="4"/>
    </row>
    <row r="431" spans="1:152" x14ac:dyDescent="0.15">
      <c r="A431" s="576"/>
      <c r="EO431" s="6"/>
      <c r="EP431" s="6"/>
      <c r="EQ431" s="6"/>
      <c r="ET431" s="4"/>
      <c r="EU431" s="4"/>
      <c r="EV431" s="4"/>
    </row>
    <row r="432" spans="1:152" x14ac:dyDescent="0.15">
      <c r="A432" s="576"/>
      <c r="EO432" s="6"/>
      <c r="EP432" s="6"/>
      <c r="EQ432" s="6"/>
      <c r="ET432" s="4"/>
      <c r="EU432" s="4"/>
      <c r="EV432" s="4"/>
    </row>
    <row r="433" spans="1:152" x14ac:dyDescent="0.15">
      <c r="A433" s="576"/>
      <c r="EO433" s="6"/>
      <c r="EP433" s="6"/>
      <c r="EQ433" s="6"/>
      <c r="ET433" s="4"/>
      <c r="EU433" s="4"/>
      <c r="EV433" s="4"/>
    </row>
    <row r="434" spans="1:152" x14ac:dyDescent="0.15">
      <c r="A434" s="576"/>
      <c r="EO434" s="6"/>
      <c r="EP434" s="6"/>
      <c r="EQ434" s="6"/>
      <c r="ET434" s="4"/>
      <c r="EU434" s="4"/>
      <c r="EV434" s="4"/>
    </row>
    <row r="435" spans="1:152" x14ac:dyDescent="0.15">
      <c r="A435" s="576"/>
      <c r="EO435" s="6"/>
      <c r="EP435" s="6"/>
      <c r="EQ435" s="6"/>
      <c r="ET435" s="4"/>
      <c r="EU435" s="4"/>
      <c r="EV435" s="4"/>
    </row>
    <row r="436" spans="1:152" x14ac:dyDescent="0.15">
      <c r="A436" s="576"/>
      <c r="EO436" s="6"/>
      <c r="EP436" s="6"/>
      <c r="EQ436" s="6"/>
      <c r="ET436" s="4"/>
      <c r="EU436" s="4"/>
      <c r="EV436" s="4"/>
    </row>
    <row r="437" spans="1:152" x14ac:dyDescent="0.15">
      <c r="A437" s="576"/>
      <c r="EO437" s="6"/>
      <c r="EP437" s="6"/>
      <c r="EQ437" s="6"/>
      <c r="ET437" s="4"/>
      <c r="EU437" s="4"/>
      <c r="EV437" s="4"/>
    </row>
    <row r="438" spans="1:152" x14ac:dyDescent="0.15">
      <c r="A438" s="576"/>
      <c r="EO438" s="6"/>
      <c r="EP438" s="6"/>
      <c r="EQ438" s="6"/>
      <c r="ET438" s="4"/>
      <c r="EU438" s="4"/>
      <c r="EV438" s="4"/>
    </row>
    <row r="439" spans="1:152" x14ac:dyDescent="0.15">
      <c r="A439" s="576"/>
      <c r="EO439" s="6"/>
      <c r="EP439" s="6"/>
      <c r="EQ439" s="6"/>
      <c r="ET439" s="4"/>
      <c r="EU439" s="4"/>
      <c r="EV439" s="4"/>
    </row>
    <row r="440" spans="1:152" x14ac:dyDescent="0.15">
      <c r="A440" s="576"/>
      <c r="EO440" s="6"/>
      <c r="EP440" s="6"/>
      <c r="EQ440" s="6"/>
      <c r="ET440" s="4"/>
      <c r="EU440" s="4"/>
      <c r="EV440" s="4"/>
    </row>
    <row r="441" spans="1:152" x14ac:dyDescent="0.15">
      <c r="A441" s="576"/>
      <c r="EO441" s="6"/>
      <c r="EP441" s="6"/>
      <c r="EQ441" s="6"/>
      <c r="ET441" s="4"/>
      <c r="EU441" s="4"/>
      <c r="EV441" s="4"/>
    </row>
    <row r="442" spans="1:152" x14ac:dyDescent="0.15">
      <c r="A442" s="576"/>
      <c r="EO442" s="6"/>
      <c r="EP442" s="6"/>
      <c r="EQ442" s="6"/>
      <c r="ET442" s="4"/>
      <c r="EU442" s="4"/>
      <c r="EV442" s="4"/>
    </row>
    <row r="443" spans="1:152" x14ac:dyDescent="0.15">
      <c r="A443" s="576"/>
      <c r="EO443" s="6"/>
      <c r="EP443" s="6"/>
      <c r="EQ443" s="6"/>
      <c r="ET443" s="4"/>
      <c r="EU443" s="4"/>
      <c r="EV443" s="4"/>
    </row>
    <row r="444" spans="1:152" x14ac:dyDescent="0.15">
      <c r="A444" s="576"/>
      <c r="EO444" s="6"/>
      <c r="EP444" s="6"/>
      <c r="EQ444" s="6"/>
      <c r="ET444" s="4"/>
      <c r="EU444" s="4"/>
      <c r="EV444" s="4"/>
    </row>
    <row r="445" spans="1:152" x14ac:dyDescent="0.15">
      <c r="A445" s="576"/>
      <c r="EO445" s="6"/>
      <c r="EP445" s="6"/>
      <c r="EQ445" s="6"/>
      <c r="ET445" s="4"/>
      <c r="EU445" s="4"/>
      <c r="EV445" s="4"/>
    </row>
    <row r="446" spans="1:152" x14ac:dyDescent="0.15">
      <c r="A446" s="576"/>
      <c r="EO446" s="6"/>
      <c r="EP446" s="6"/>
      <c r="EQ446" s="6"/>
      <c r="ET446" s="4"/>
      <c r="EU446" s="4"/>
      <c r="EV446" s="4"/>
    </row>
    <row r="447" spans="1:152" x14ac:dyDescent="0.15">
      <c r="A447" s="576"/>
      <c r="EO447" s="6"/>
      <c r="EP447" s="6"/>
      <c r="EQ447" s="6"/>
      <c r="ET447" s="4"/>
      <c r="EU447" s="4"/>
      <c r="EV447" s="4"/>
    </row>
    <row r="448" spans="1:152" x14ac:dyDescent="0.15">
      <c r="A448" s="576"/>
      <c r="EO448" s="6"/>
      <c r="EP448" s="6"/>
      <c r="EQ448" s="6"/>
      <c r="ET448" s="4"/>
      <c r="EU448" s="4"/>
      <c r="EV448" s="4"/>
    </row>
    <row r="449" spans="1:152" x14ac:dyDescent="0.15">
      <c r="A449" s="576"/>
      <c r="EO449" s="6"/>
      <c r="EP449" s="6"/>
      <c r="EQ449" s="6"/>
      <c r="ET449" s="4"/>
      <c r="EU449" s="4"/>
      <c r="EV449" s="4"/>
    </row>
    <row r="450" spans="1:152" x14ac:dyDescent="0.15">
      <c r="A450" s="576"/>
      <c r="EO450" s="6"/>
      <c r="EP450" s="6"/>
      <c r="EQ450" s="6"/>
      <c r="ET450" s="4"/>
      <c r="EU450" s="4"/>
      <c r="EV450" s="4"/>
    </row>
    <row r="451" spans="1:152" x14ac:dyDescent="0.15">
      <c r="A451" s="576"/>
      <c r="EO451" s="6"/>
      <c r="EP451" s="6"/>
      <c r="EQ451" s="6"/>
      <c r="ET451" s="4"/>
      <c r="EU451" s="4"/>
      <c r="EV451" s="4"/>
    </row>
    <row r="452" spans="1:152" x14ac:dyDescent="0.15">
      <c r="A452" s="576"/>
      <c r="EO452" s="6"/>
      <c r="EP452" s="6"/>
      <c r="EQ452" s="6"/>
      <c r="ET452" s="4"/>
      <c r="EU452" s="4"/>
      <c r="EV452" s="4"/>
    </row>
    <row r="453" spans="1:152" x14ac:dyDescent="0.15">
      <c r="A453" s="576"/>
      <c r="EO453" s="6"/>
      <c r="EP453" s="6"/>
      <c r="EQ453" s="6"/>
      <c r="ET453" s="4"/>
      <c r="EU453" s="4"/>
      <c r="EV453" s="4"/>
    </row>
    <row r="454" spans="1:152" x14ac:dyDescent="0.15">
      <c r="A454" s="576"/>
      <c r="EO454" s="6"/>
      <c r="EP454" s="6"/>
      <c r="EQ454" s="6"/>
      <c r="ET454" s="4"/>
      <c r="EU454" s="4"/>
      <c r="EV454" s="4"/>
    </row>
    <row r="455" spans="1:152" x14ac:dyDescent="0.15">
      <c r="A455" s="576"/>
      <c r="EO455" s="6"/>
      <c r="EP455" s="6"/>
      <c r="EQ455" s="6"/>
      <c r="ET455" s="4"/>
      <c r="EU455" s="4"/>
      <c r="EV455" s="4"/>
    </row>
    <row r="456" spans="1:152" x14ac:dyDescent="0.15">
      <c r="A456" s="576"/>
      <c r="EO456" s="6"/>
      <c r="EP456" s="6"/>
      <c r="EQ456" s="6"/>
      <c r="ET456" s="4"/>
      <c r="EU456" s="4"/>
      <c r="EV456" s="4"/>
    </row>
    <row r="457" spans="1:152" x14ac:dyDescent="0.15">
      <c r="A457" s="576"/>
      <c r="EO457" s="6"/>
      <c r="EP457" s="6"/>
      <c r="EQ457" s="6"/>
      <c r="ET457" s="4"/>
      <c r="EU457" s="4"/>
      <c r="EV457" s="4"/>
    </row>
    <row r="458" spans="1:152" x14ac:dyDescent="0.15">
      <c r="A458" s="576"/>
      <c r="EO458" s="6"/>
      <c r="EP458" s="6"/>
      <c r="EQ458" s="6"/>
      <c r="ET458" s="4"/>
      <c r="EU458" s="4"/>
      <c r="EV458" s="4"/>
    </row>
    <row r="459" spans="1:152" x14ac:dyDescent="0.15">
      <c r="A459" s="576"/>
      <c r="EO459" s="6"/>
      <c r="EP459" s="6"/>
      <c r="EQ459" s="6"/>
      <c r="ET459" s="4"/>
      <c r="EU459" s="4"/>
      <c r="EV459" s="4"/>
    </row>
    <row r="460" spans="1:152" x14ac:dyDescent="0.15">
      <c r="A460" s="576"/>
      <c r="EO460" s="6"/>
      <c r="EP460" s="6"/>
      <c r="EQ460" s="6"/>
      <c r="ET460" s="4"/>
      <c r="EU460" s="4"/>
      <c r="EV460" s="4"/>
    </row>
    <row r="461" spans="1:152" x14ac:dyDescent="0.15">
      <c r="A461" s="576"/>
      <c r="EO461" s="6"/>
      <c r="EP461" s="6"/>
      <c r="EQ461" s="6"/>
      <c r="ET461" s="4"/>
      <c r="EU461" s="4"/>
      <c r="EV461" s="4"/>
    </row>
    <row r="462" spans="1:152" x14ac:dyDescent="0.15">
      <c r="A462" s="576"/>
      <c r="EO462" s="6"/>
      <c r="EP462" s="6"/>
      <c r="EQ462" s="6"/>
      <c r="ET462" s="4"/>
      <c r="EU462" s="4"/>
      <c r="EV462" s="4"/>
    </row>
    <row r="463" spans="1:152" x14ac:dyDescent="0.15">
      <c r="A463" s="576"/>
      <c r="EO463" s="6"/>
      <c r="EP463" s="6"/>
      <c r="EQ463" s="6"/>
      <c r="ET463" s="4"/>
      <c r="EU463" s="4"/>
      <c r="EV463" s="4"/>
    </row>
    <row r="464" spans="1:152" x14ac:dyDescent="0.15">
      <c r="A464" s="576"/>
      <c r="EO464" s="6"/>
      <c r="EP464" s="6"/>
      <c r="EQ464" s="6"/>
      <c r="ET464" s="4"/>
      <c r="EU464" s="4"/>
      <c r="EV464" s="4"/>
    </row>
    <row r="465" spans="1:152" x14ac:dyDescent="0.15">
      <c r="A465" s="576"/>
      <c r="EO465" s="6"/>
      <c r="EP465" s="6"/>
      <c r="EQ465" s="6"/>
      <c r="ET465" s="4"/>
      <c r="EU465" s="4"/>
      <c r="EV465" s="4"/>
    </row>
    <row r="466" spans="1:152" x14ac:dyDescent="0.15">
      <c r="A466" s="576"/>
      <c r="EO466" s="6"/>
      <c r="EP466" s="6"/>
      <c r="EQ466" s="6"/>
      <c r="ET466" s="4"/>
      <c r="EU466" s="4"/>
      <c r="EV466" s="4"/>
    </row>
    <row r="467" spans="1:152" x14ac:dyDescent="0.15">
      <c r="A467" s="576"/>
      <c r="EO467" s="6"/>
      <c r="EP467" s="6"/>
      <c r="EQ467" s="6"/>
      <c r="ET467" s="4"/>
      <c r="EU467" s="4"/>
      <c r="EV467" s="4"/>
    </row>
    <row r="468" spans="1:152" x14ac:dyDescent="0.15">
      <c r="A468" s="576"/>
      <c r="EO468" s="6"/>
      <c r="EP468" s="6"/>
      <c r="EQ468" s="6"/>
      <c r="ET468" s="4"/>
      <c r="EU468" s="4"/>
      <c r="EV468" s="4"/>
    </row>
    <row r="469" spans="1:152" x14ac:dyDescent="0.15">
      <c r="A469" s="576"/>
      <c r="EO469" s="6"/>
      <c r="EP469" s="6"/>
      <c r="EQ469" s="6"/>
      <c r="ET469" s="4"/>
      <c r="EU469" s="4"/>
      <c r="EV469" s="4"/>
    </row>
    <row r="470" spans="1:152" x14ac:dyDescent="0.15">
      <c r="A470" s="576"/>
      <c r="EO470" s="6"/>
      <c r="EP470" s="6"/>
      <c r="EQ470" s="6"/>
      <c r="ET470" s="4"/>
      <c r="EU470" s="4"/>
      <c r="EV470" s="4"/>
    </row>
    <row r="471" spans="1:152" x14ac:dyDescent="0.15">
      <c r="A471" s="576"/>
      <c r="EO471" s="6"/>
      <c r="EP471" s="6"/>
      <c r="EQ471" s="6"/>
      <c r="ET471" s="4"/>
      <c r="EU471" s="4"/>
      <c r="EV471" s="4"/>
    </row>
    <row r="472" spans="1:152" x14ac:dyDescent="0.15">
      <c r="A472" s="576"/>
      <c r="EO472" s="6"/>
      <c r="EP472" s="6"/>
      <c r="EQ472" s="6"/>
      <c r="ET472" s="4"/>
      <c r="EU472" s="4"/>
      <c r="EV472" s="4"/>
    </row>
    <row r="473" spans="1:152" x14ac:dyDescent="0.15">
      <c r="A473" s="576"/>
      <c r="EO473" s="6"/>
      <c r="EP473" s="6"/>
      <c r="EQ473" s="6"/>
      <c r="ET473" s="4"/>
      <c r="EU473" s="4"/>
      <c r="EV473" s="4"/>
    </row>
    <row r="474" spans="1:152" x14ac:dyDescent="0.15">
      <c r="A474" s="576"/>
      <c r="EO474" s="6"/>
      <c r="EP474" s="6"/>
      <c r="EQ474" s="6"/>
      <c r="ET474" s="4"/>
      <c r="EU474" s="4"/>
      <c r="EV474" s="4"/>
    </row>
    <row r="475" spans="1:152" x14ac:dyDescent="0.15">
      <c r="A475" s="576"/>
      <c r="EO475" s="6"/>
      <c r="EP475" s="6"/>
      <c r="EQ475" s="6"/>
      <c r="ET475" s="4"/>
      <c r="EU475" s="4"/>
      <c r="EV475" s="4"/>
    </row>
    <row r="476" spans="1:152" x14ac:dyDescent="0.15">
      <c r="A476" s="576"/>
      <c r="EO476" s="6"/>
      <c r="EP476" s="6"/>
      <c r="EQ476" s="6"/>
      <c r="ET476" s="4"/>
      <c r="EU476" s="4"/>
      <c r="EV476" s="4"/>
    </row>
    <row r="477" spans="1:152" x14ac:dyDescent="0.15">
      <c r="A477" s="576"/>
      <c r="EO477" s="6"/>
      <c r="EP477" s="6"/>
      <c r="EQ477" s="6"/>
      <c r="ET477" s="4"/>
      <c r="EU477" s="4"/>
      <c r="EV477" s="4"/>
    </row>
    <row r="478" spans="1:152" x14ac:dyDescent="0.15">
      <c r="A478" s="576"/>
      <c r="EO478" s="6"/>
      <c r="EP478" s="6"/>
      <c r="EQ478" s="6"/>
      <c r="ET478" s="4"/>
      <c r="EU478" s="4"/>
      <c r="EV478" s="4"/>
    </row>
    <row r="479" spans="1:152" x14ac:dyDescent="0.15">
      <c r="A479" s="576"/>
      <c r="EO479" s="6"/>
      <c r="EP479" s="6"/>
      <c r="EQ479" s="6"/>
      <c r="ET479" s="4"/>
      <c r="EU479" s="4"/>
      <c r="EV479" s="4"/>
    </row>
    <row r="480" spans="1:152" x14ac:dyDescent="0.15">
      <c r="A480" s="576"/>
      <c r="EO480" s="6"/>
      <c r="EP480" s="6"/>
      <c r="EQ480" s="6"/>
      <c r="ET480" s="4"/>
      <c r="EU480" s="4"/>
      <c r="EV480" s="4"/>
    </row>
    <row r="481" spans="1:152" x14ac:dyDescent="0.15">
      <c r="A481" s="576"/>
      <c r="EO481" s="6"/>
      <c r="EP481" s="6"/>
      <c r="EQ481" s="6"/>
      <c r="ET481" s="4"/>
      <c r="EU481" s="4"/>
      <c r="EV481" s="4"/>
    </row>
    <row r="482" spans="1:152" x14ac:dyDescent="0.15">
      <c r="A482" s="576"/>
      <c r="EO482" s="6"/>
      <c r="EP482" s="6"/>
      <c r="EQ482" s="6"/>
      <c r="ET482" s="4"/>
      <c r="EU482" s="4"/>
      <c r="EV482" s="4"/>
    </row>
    <row r="483" spans="1:152" x14ac:dyDescent="0.15">
      <c r="A483" s="576"/>
      <c r="EO483" s="6"/>
      <c r="EP483" s="6"/>
      <c r="EQ483" s="6"/>
      <c r="ET483" s="4"/>
      <c r="EU483" s="4"/>
      <c r="EV483" s="4"/>
    </row>
    <row r="484" spans="1:152" x14ac:dyDescent="0.15">
      <c r="A484" s="576"/>
      <c r="EO484" s="6"/>
      <c r="EP484" s="6"/>
      <c r="EQ484" s="6"/>
      <c r="ET484" s="4"/>
      <c r="EU484" s="4"/>
      <c r="EV484" s="4"/>
    </row>
    <row r="485" spans="1:152" x14ac:dyDescent="0.15">
      <c r="A485" s="576"/>
      <c r="EO485" s="6"/>
      <c r="EP485" s="6"/>
      <c r="EQ485" s="6"/>
      <c r="ET485" s="4"/>
      <c r="EU485" s="4"/>
      <c r="EV485" s="4"/>
    </row>
    <row r="486" spans="1:152" x14ac:dyDescent="0.15">
      <c r="A486" s="576"/>
      <c r="EO486" s="6"/>
      <c r="EP486" s="6"/>
      <c r="EQ486" s="6"/>
      <c r="ET486" s="4"/>
      <c r="EU486" s="4"/>
      <c r="EV486" s="4"/>
    </row>
    <row r="487" spans="1:152" x14ac:dyDescent="0.15">
      <c r="A487" s="576"/>
      <c r="EO487" s="6"/>
      <c r="EP487" s="6"/>
      <c r="EQ487" s="6"/>
      <c r="ET487" s="4"/>
      <c r="EU487" s="4"/>
      <c r="EV487" s="4"/>
    </row>
    <row r="488" spans="1:152" x14ac:dyDescent="0.15">
      <c r="A488" s="576"/>
      <c r="EO488" s="6"/>
      <c r="EP488" s="6"/>
      <c r="EQ488" s="6"/>
      <c r="ET488" s="4"/>
      <c r="EU488" s="4"/>
      <c r="EV488" s="4"/>
    </row>
    <row r="489" spans="1:152" x14ac:dyDescent="0.15">
      <c r="A489" s="576"/>
      <c r="EO489" s="6"/>
      <c r="EP489" s="6"/>
      <c r="EQ489" s="6"/>
      <c r="ET489" s="4"/>
      <c r="EU489" s="4"/>
      <c r="EV489" s="4"/>
    </row>
    <row r="490" spans="1:152" x14ac:dyDescent="0.15">
      <c r="A490" s="576"/>
      <c r="EO490" s="6"/>
      <c r="EP490" s="6"/>
      <c r="EQ490" s="6"/>
      <c r="ET490" s="4"/>
      <c r="EU490" s="4"/>
      <c r="EV490" s="4"/>
    </row>
    <row r="491" spans="1:152" x14ac:dyDescent="0.15">
      <c r="A491" s="576"/>
      <c r="EO491" s="6"/>
      <c r="EP491" s="6"/>
      <c r="EQ491" s="6"/>
      <c r="ET491" s="4"/>
      <c r="EU491" s="4"/>
      <c r="EV491" s="4"/>
    </row>
    <row r="492" spans="1:152" x14ac:dyDescent="0.15">
      <c r="A492" s="576"/>
      <c r="EO492" s="6"/>
      <c r="EP492" s="6"/>
      <c r="EQ492" s="6"/>
      <c r="ET492" s="4"/>
      <c r="EU492" s="4"/>
      <c r="EV492" s="4"/>
    </row>
    <row r="493" spans="1:152" x14ac:dyDescent="0.15">
      <c r="A493" s="576"/>
      <c r="EO493" s="6"/>
      <c r="EP493" s="6"/>
      <c r="EQ493" s="6"/>
      <c r="ET493" s="4"/>
      <c r="EU493" s="4"/>
      <c r="EV493" s="4"/>
    </row>
    <row r="494" spans="1:152" x14ac:dyDescent="0.15">
      <c r="A494" s="576"/>
      <c r="EO494" s="6"/>
      <c r="EP494" s="6"/>
      <c r="EQ494" s="6"/>
      <c r="ET494" s="4"/>
      <c r="EU494" s="4"/>
      <c r="EV494" s="4"/>
    </row>
    <row r="495" spans="1:152" x14ac:dyDescent="0.15">
      <c r="A495" s="576"/>
      <c r="EO495" s="6"/>
      <c r="EP495" s="6"/>
      <c r="EQ495" s="6"/>
      <c r="ET495" s="4"/>
      <c r="EU495" s="4"/>
      <c r="EV495" s="4"/>
    </row>
    <row r="496" spans="1:152" x14ac:dyDescent="0.15">
      <c r="A496" s="576"/>
      <c r="EO496" s="6"/>
      <c r="EP496" s="6"/>
      <c r="EQ496" s="6"/>
      <c r="ET496" s="4"/>
      <c r="EU496" s="4"/>
      <c r="EV496" s="4"/>
    </row>
    <row r="497" spans="1:152" x14ac:dyDescent="0.15">
      <c r="A497" s="576"/>
      <c r="EO497" s="6"/>
      <c r="EP497" s="6"/>
      <c r="EQ497" s="6"/>
      <c r="ET497" s="4"/>
      <c r="EU497" s="4"/>
      <c r="EV497" s="4"/>
    </row>
    <row r="498" spans="1:152" x14ac:dyDescent="0.15">
      <c r="A498" s="576"/>
      <c r="EO498" s="6"/>
      <c r="EP498" s="6"/>
      <c r="EQ498" s="6"/>
      <c r="ET498" s="4"/>
      <c r="EU498" s="4"/>
      <c r="EV498" s="4"/>
    </row>
    <row r="499" spans="1:152" x14ac:dyDescent="0.15">
      <c r="A499" s="576"/>
      <c r="EO499" s="6"/>
      <c r="EP499" s="6"/>
      <c r="EQ499" s="6"/>
      <c r="ET499" s="4"/>
      <c r="EU499" s="4"/>
      <c r="EV499" s="4"/>
    </row>
    <row r="500" spans="1:152" x14ac:dyDescent="0.15">
      <c r="A500" s="576"/>
      <c r="EO500" s="6"/>
      <c r="EP500" s="6"/>
      <c r="EQ500" s="6"/>
      <c r="ET500" s="4"/>
      <c r="EU500" s="4"/>
      <c r="EV500" s="4"/>
    </row>
    <row r="501" spans="1:152" x14ac:dyDescent="0.15">
      <c r="A501" s="576"/>
      <c r="EO501" s="6"/>
      <c r="EP501" s="6"/>
      <c r="EQ501" s="6"/>
      <c r="ET501" s="4"/>
      <c r="EU501" s="4"/>
      <c r="EV501" s="4"/>
    </row>
    <row r="502" spans="1:152" x14ac:dyDescent="0.15">
      <c r="A502" s="576"/>
      <c r="EO502" s="6"/>
      <c r="EP502" s="6"/>
      <c r="EQ502" s="6"/>
      <c r="ET502" s="4"/>
      <c r="EU502" s="4"/>
      <c r="EV502" s="4"/>
    </row>
    <row r="503" spans="1:152" x14ac:dyDescent="0.15">
      <c r="A503" s="576"/>
      <c r="EO503" s="6"/>
      <c r="EP503" s="6"/>
      <c r="EQ503" s="6"/>
      <c r="ET503" s="4"/>
      <c r="EU503" s="4"/>
      <c r="EV503" s="4"/>
    </row>
    <row r="504" spans="1:152" x14ac:dyDescent="0.15">
      <c r="A504" s="576"/>
      <c r="EO504" s="6"/>
      <c r="EP504" s="6"/>
      <c r="EQ504" s="6"/>
      <c r="ET504" s="4"/>
      <c r="EU504" s="4"/>
      <c r="EV504" s="4"/>
    </row>
    <row r="505" spans="1:152" x14ac:dyDescent="0.15">
      <c r="A505" s="576"/>
      <c r="EO505" s="6"/>
      <c r="EP505" s="6"/>
      <c r="EQ505" s="6"/>
      <c r="ET505" s="4"/>
      <c r="EU505" s="4"/>
      <c r="EV505" s="4"/>
    </row>
    <row r="506" spans="1:152" x14ac:dyDescent="0.15">
      <c r="A506" s="576"/>
      <c r="EO506" s="6"/>
      <c r="EP506" s="6"/>
      <c r="EQ506" s="6"/>
      <c r="ET506" s="4"/>
      <c r="EU506" s="4"/>
      <c r="EV506" s="4"/>
    </row>
    <row r="507" spans="1:152" x14ac:dyDescent="0.15">
      <c r="A507" s="576"/>
      <c r="EO507" s="6"/>
      <c r="EP507" s="6"/>
      <c r="EQ507" s="6"/>
      <c r="ET507" s="4"/>
      <c r="EU507" s="4"/>
      <c r="EV507" s="4"/>
    </row>
    <row r="508" spans="1:152" x14ac:dyDescent="0.15">
      <c r="A508" s="576"/>
      <c r="EO508" s="6"/>
      <c r="EP508" s="6"/>
      <c r="EQ508" s="6"/>
      <c r="ET508" s="4"/>
      <c r="EU508" s="4"/>
      <c r="EV508" s="4"/>
    </row>
    <row r="509" spans="1:152" x14ac:dyDescent="0.15">
      <c r="A509" s="576"/>
      <c r="EO509" s="6"/>
      <c r="EP509" s="6"/>
      <c r="EQ509" s="6"/>
      <c r="ET509" s="4"/>
      <c r="EU509" s="4"/>
      <c r="EV509" s="4"/>
    </row>
    <row r="510" spans="1:152" x14ac:dyDescent="0.15">
      <c r="A510" s="576"/>
      <c r="EO510" s="6"/>
      <c r="EP510" s="6"/>
      <c r="EQ510" s="6"/>
      <c r="ET510" s="4"/>
      <c r="EU510" s="4"/>
      <c r="EV510" s="4"/>
    </row>
    <row r="511" spans="1:152" x14ac:dyDescent="0.15">
      <c r="A511" s="576"/>
      <c r="EO511" s="6"/>
      <c r="EP511" s="6"/>
      <c r="EQ511" s="6"/>
      <c r="ET511" s="4"/>
      <c r="EU511" s="4"/>
      <c r="EV511" s="4"/>
    </row>
    <row r="512" spans="1:152" x14ac:dyDescent="0.15">
      <c r="A512" s="576"/>
      <c r="EO512" s="6"/>
      <c r="EP512" s="6"/>
      <c r="EQ512" s="6"/>
      <c r="ET512" s="4"/>
      <c r="EU512" s="4"/>
      <c r="EV512" s="4"/>
    </row>
    <row r="513" spans="1:152" x14ac:dyDescent="0.15">
      <c r="A513" s="576"/>
      <c r="EO513" s="6"/>
      <c r="EP513" s="6"/>
      <c r="EQ513" s="6"/>
      <c r="ET513" s="4"/>
      <c r="EU513" s="4"/>
      <c r="EV513" s="4"/>
    </row>
    <row r="514" spans="1:152" x14ac:dyDescent="0.15">
      <c r="A514" s="576"/>
      <c r="EO514" s="6"/>
      <c r="EP514" s="6"/>
      <c r="EQ514" s="6"/>
      <c r="ET514" s="4"/>
      <c r="EU514" s="4"/>
      <c r="EV514" s="4"/>
    </row>
    <row r="515" spans="1:152" x14ac:dyDescent="0.15">
      <c r="A515" s="576"/>
      <c r="EO515" s="6"/>
      <c r="EP515" s="6"/>
      <c r="EQ515" s="6"/>
      <c r="ET515" s="4"/>
      <c r="EU515" s="4"/>
      <c r="EV515" s="4"/>
    </row>
    <row r="516" spans="1:152" x14ac:dyDescent="0.15">
      <c r="A516" s="576"/>
      <c r="EO516" s="6"/>
      <c r="EP516" s="6"/>
      <c r="EQ516" s="6"/>
      <c r="ET516" s="4"/>
      <c r="EU516" s="4"/>
      <c r="EV516" s="4"/>
    </row>
    <row r="517" spans="1:152" x14ac:dyDescent="0.15">
      <c r="A517" s="576"/>
      <c r="EO517" s="6"/>
      <c r="EP517" s="6"/>
      <c r="EQ517" s="6"/>
      <c r="ET517" s="4"/>
      <c r="EU517" s="4"/>
      <c r="EV517" s="4"/>
    </row>
    <row r="518" spans="1:152" x14ac:dyDescent="0.15">
      <c r="A518" s="576"/>
      <c r="EO518" s="6"/>
      <c r="EP518" s="6"/>
      <c r="EQ518" s="6"/>
      <c r="ET518" s="4"/>
      <c r="EU518" s="4"/>
      <c r="EV518" s="4"/>
    </row>
    <row r="519" spans="1:152" x14ac:dyDescent="0.15">
      <c r="A519" s="576"/>
      <c r="EO519" s="6"/>
      <c r="EP519" s="6"/>
      <c r="EQ519" s="6"/>
      <c r="ET519" s="4"/>
      <c r="EU519" s="4"/>
      <c r="EV519" s="4"/>
    </row>
    <row r="520" spans="1:152" x14ac:dyDescent="0.15">
      <c r="A520" s="576"/>
      <c r="EO520" s="6"/>
      <c r="EP520" s="6"/>
      <c r="EQ520" s="6"/>
      <c r="ET520" s="4"/>
      <c r="EU520" s="4"/>
      <c r="EV520" s="4"/>
    </row>
    <row r="521" spans="1:152" x14ac:dyDescent="0.15">
      <c r="A521" s="576"/>
      <c r="EO521" s="6"/>
      <c r="EP521" s="6"/>
      <c r="EQ521" s="6"/>
      <c r="ET521" s="4"/>
      <c r="EU521" s="4"/>
      <c r="EV521" s="4"/>
    </row>
    <row r="522" spans="1:152" x14ac:dyDescent="0.15">
      <c r="A522" s="576"/>
      <c r="EO522" s="6"/>
      <c r="EP522" s="6"/>
      <c r="EQ522" s="6"/>
      <c r="ET522" s="4"/>
      <c r="EU522" s="4"/>
      <c r="EV522" s="4"/>
    </row>
    <row r="523" spans="1:152" x14ac:dyDescent="0.15">
      <c r="A523" s="576"/>
      <c r="EO523" s="6"/>
      <c r="EP523" s="6"/>
      <c r="EQ523" s="6"/>
      <c r="ET523" s="4"/>
      <c r="EU523" s="4"/>
      <c r="EV523" s="4"/>
    </row>
    <row r="524" spans="1:152" x14ac:dyDescent="0.15">
      <c r="A524" s="576"/>
      <c r="EO524" s="6"/>
      <c r="EP524" s="6"/>
      <c r="EQ524" s="6"/>
      <c r="ET524" s="4"/>
      <c r="EU524" s="4"/>
      <c r="EV524" s="4"/>
    </row>
    <row r="525" spans="1:152" x14ac:dyDescent="0.15">
      <c r="A525" s="576"/>
      <c r="EO525" s="6"/>
      <c r="EP525" s="6"/>
      <c r="EQ525" s="6"/>
      <c r="ET525" s="4"/>
      <c r="EU525" s="4"/>
      <c r="EV525" s="4"/>
    </row>
    <row r="526" spans="1:152" x14ac:dyDescent="0.15">
      <c r="A526" s="576"/>
      <c r="EO526" s="6"/>
      <c r="EP526" s="6"/>
      <c r="EQ526" s="6"/>
      <c r="ET526" s="4"/>
      <c r="EU526" s="4"/>
      <c r="EV526" s="4"/>
    </row>
    <row r="527" spans="1:152" x14ac:dyDescent="0.15">
      <c r="A527" s="576"/>
      <c r="EO527" s="6"/>
      <c r="EP527" s="6"/>
      <c r="EQ527" s="6"/>
      <c r="ET527" s="4"/>
      <c r="EU527" s="4"/>
      <c r="EV527" s="4"/>
    </row>
    <row r="528" spans="1:152" x14ac:dyDescent="0.15">
      <c r="A528" s="576"/>
      <c r="EO528" s="6"/>
      <c r="EP528" s="6"/>
      <c r="EQ528" s="6"/>
      <c r="ET528" s="4"/>
      <c r="EU528" s="4"/>
      <c r="EV528" s="4"/>
    </row>
    <row r="529" spans="1:152" x14ac:dyDescent="0.15">
      <c r="A529" s="576"/>
      <c r="EO529" s="6"/>
      <c r="EP529" s="6"/>
      <c r="EQ529" s="6"/>
      <c r="ET529" s="4"/>
      <c r="EU529" s="4"/>
      <c r="EV529" s="4"/>
    </row>
    <row r="530" spans="1:152" x14ac:dyDescent="0.15">
      <c r="A530" s="576"/>
      <c r="EO530" s="6"/>
      <c r="EP530" s="6"/>
      <c r="EQ530" s="6"/>
      <c r="ET530" s="4"/>
      <c r="EU530" s="4"/>
      <c r="EV530" s="4"/>
    </row>
    <row r="531" spans="1:152" x14ac:dyDescent="0.15">
      <c r="A531" s="576"/>
      <c r="EO531" s="6"/>
      <c r="EP531" s="6"/>
      <c r="EQ531" s="6"/>
      <c r="ET531" s="4"/>
      <c r="EU531" s="4"/>
      <c r="EV531" s="4"/>
    </row>
    <row r="532" spans="1:152" x14ac:dyDescent="0.15">
      <c r="A532" s="576"/>
      <c r="EO532" s="6"/>
      <c r="EP532" s="6"/>
      <c r="EQ532" s="6"/>
      <c r="ET532" s="4"/>
      <c r="EU532" s="4"/>
      <c r="EV532" s="4"/>
    </row>
    <row r="533" spans="1:152" x14ac:dyDescent="0.15">
      <c r="A533" s="576"/>
      <c r="EO533" s="6"/>
      <c r="EP533" s="6"/>
      <c r="EQ533" s="6"/>
      <c r="ET533" s="4"/>
      <c r="EU533" s="4"/>
      <c r="EV533" s="4"/>
    </row>
    <row r="534" spans="1:152" x14ac:dyDescent="0.15">
      <c r="A534" s="576"/>
      <c r="EO534" s="6"/>
      <c r="EP534" s="6"/>
      <c r="EQ534" s="6"/>
      <c r="ET534" s="4"/>
      <c r="EU534" s="4"/>
      <c r="EV534" s="4"/>
    </row>
    <row r="535" spans="1:152" x14ac:dyDescent="0.15">
      <c r="A535" s="576"/>
      <c r="EO535" s="6"/>
      <c r="EP535" s="6"/>
      <c r="EQ535" s="6"/>
      <c r="ET535" s="4"/>
      <c r="EU535" s="4"/>
      <c r="EV535" s="4"/>
    </row>
    <row r="536" spans="1:152" x14ac:dyDescent="0.15">
      <c r="A536" s="576"/>
      <c r="EO536" s="6"/>
      <c r="EP536" s="6"/>
      <c r="EQ536" s="6"/>
      <c r="ET536" s="4"/>
      <c r="EU536" s="4"/>
      <c r="EV536" s="4"/>
    </row>
    <row r="537" spans="1:152" x14ac:dyDescent="0.15">
      <c r="A537" s="576"/>
      <c r="EO537" s="6"/>
      <c r="EP537" s="6"/>
      <c r="EQ537" s="6"/>
      <c r="ET537" s="4"/>
      <c r="EU537" s="4"/>
      <c r="EV537" s="4"/>
    </row>
    <row r="538" spans="1:152" x14ac:dyDescent="0.15">
      <c r="A538" s="576"/>
      <c r="EO538" s="6"/>
      <c r="EP538" s="6"/>
      <c r="EQ538" s="6"/>
      <c r="ET538" s="4"/>
      <c r="EU538" s="4"/>
      <c r="EV538" s="4"/>
    </row>
    <row r="539" spans="1:152" x14ac:dyDescent="0.15">
      <c r="A539" s="576"/>
      <c r="EO539" s="6"/>
      <c r="EP539" s="6"/>
      <c r="EQ539" s="6"/>
      <c r="ET539" s="4"/>
      <c r="EU539" s="4"/>
      <c r="EV539" s="4"/>
    </row>
    <row r="540" spans="1:152" x14ac:dyDescent="0.15">
      <c r="A540" s="576"/>
      <c r="EO540" s="6"/>
      <c r="EP540" s="6"/>
      <c r="EQ540" s="6"/>
      <c r="ET540" s="4"/>
      <c r="EU540" s="4"/>
      <c r="EV540" s="4"/>
    </row>
    <row r="541" spans="1:152" x14ac:dyDescent="0.15">
      <c r="A541" s="576"/>
      <c r="EO541" s="6"/>
      <c r="EP541" s="6"/>
      <c r="EQ541" s="6"/>
      <c r="ET541" s="4"/>
      <c r="EU541" s="4"/>
      <c r="EV541" s="4"/>
    </row>
    <row r="542" spans="1:152" x14ac:dyDescent="0.15">
      <c r="A542" s="576"/>
      <c r="EO542" s="6"/>
      <c r="EP542" s="6"/>
      <c r="EQ542" s="6"/>
      <c r="ET542" s="4"/>
      <c r="EU542" s="4"/>
      <c r="EV542" s="4"/>
    </row>
    <row r="543" spans="1:152" x14ac:dyDescent="0.15">
      <c r="A543" s="576"/>
      <c r="EO543" s="6"/>
      <c r="EP543" s="6"/>
      <c r="EQ543" s="6"/>
      <c r="ET543" s="4"/>
      <c r="EU543" s="4"/>
      <c r="EV543" s="4"/>
    </row>
    <row r="544" spans="1:152" x14ac:dyDescent="0.15">
      <c r="A544" s="576"/>
      <c r="EO544" s="6"/>
      <c r="EP544" s="6"/>
      <c r="EQ544" s="6"/>
      <c r="ET544" s="4"/>
      <c r="EU544" s="4"/>
      <c r="EV544" s="4"/>
    </row>
    <row r="545" spans="1:152" x14ac:dyDescent="0.15">
      <c r="A545" s="576"/>
      <c r="EO545" s="6"/>
      <c r="EP545" s="6"/>
      <c r="EQ545" s="6"/>
      <c r="ET545" s="4"/>
      <c r="EU545" s="4"/>
      <c r="EV545" s="4"/>
    </row>
    <row r="546" spans="1:152" x14ac:dyDescent="0.15">
      <c r="A546" s="576"/>
      <c r="EO546" s="6"/>
      <c r="EP546" s="6"/>
      <c r="EQ546" s="6"/>
      <c r="ET546" s="4"/>
      <c r="EU546" s="4"/>
      <c r="EV546" s="4"/>
    </row>
    <row r="547" spans="1:152" x14ac:dyDescent="0.15">
      <c r="A547" s="576"/>
      <c r="EO547" s="6"/>
      <c r="EP547" s="6"/>
      <c r="EQ547" s="6"/>
      <c r="ET547" s="4"/>
      <c r="EU547" s="4"/>
      <c r="EV547" s="4"/>
    </row>
    <row r="548" spans="1:152" x14ac:dyDescent="0.15">
      <c r="A548" s="576"/>
      <c r="EO548" s="6"/>
      <c r="EP548" s="6"/>
      <c r="EQ548" s="6"/>
      <c r="ET548" s="4"/>
      <c r="EU548" s="4"/>
      <c r="EV548" s="4"/>
    </row>
    <row r="549" spans="1:152" x14ac:dyDescent="0.15">
      <c r="A549" s="576"/>
      <c r="EO549" s="6"/>
      <c r="EP549" s="6"/>
      <c r="EQ549" s="6"/>
      <c r="ET549" s="4"/>
      <c r="EU549" s="4"/>
      <c r="EV549" s="4"/>
    </row>
    <row r="550" spans="1:152" x14ac:dyDescent="0.15">
      <c r="A550" s="576"/>
      <c r="EO550" s="6"/>
      <c r="EP550" s="6"/>
      <c r="EQ550" s="6"/>
      <c r="ET550" s="4"/>
      <c r="EU550" s="4"/>
      <c r="EV550" s="4"/>
    </row>
    <row r="551" spans="1:152" x14ac:dyDescent="0.15">
      <c r="A551" s="576"/>
      <c r="EO551" s="6"/>
      <c r="EP551" s="6"/>
      <c r="EQ551" s="6"/>
      <c r="ET551" s="4"/>
      <c r="EU551" s="4"/>
      <c r="EV551" s="4"/>
    </row>
    <row r="552" spans="1:152" x14ac:dyDescent="0.15">
      <c r="A552" s="576"/>
      <c r="EO552" s="6"/>
      <c r="EP552" s="6"/>
      <c r="EQ552" s="6"/>
      <c r="ET552" s="4"/>
      <c r="EU552" s="4"/>
      <c r="EV552" s="4"/>
    </row>
    <row r="553" spans="1:152" x14ac:dyDescent="0.15">
      <c r="A553" s="576"/>
      <c r="EO553" s="6"/>
      <c r="EP553" s="6"/>
      <c r="EQ553" s="6"/>
      <c r="ET553" s="4"/>
      <c r="EU553" s="4"/>
      <c r="EV553" s="4"/>
    </row>
    <row r="554" spans="1:152" x14ac:dyDescent="0.15">
      <c r="A554" s="576"/>
      <c r="EO554" s="6"/>
      <c r="EP554" s="6"/>
      <c r="EQ554" s="6"/>
      <c r="ET554" s="4"/>
      <c r="EU554" s="4"/>
      <c r="EV554" s="4"/>
    </row>
    <row r="555" spans="1:152" x14ac:dyDescent="0.15">
      <c r="A555" s="576"/>
      <c r="EO555" s="6"/>
      <c r="EP555" s="6"/>
      <c r="EQ555" s="6"/>
      <c r="ET555" s="4"/>
      <c r="EU555" s="4"/>
      <c r="EV555" s="4"/>
    </row>
    <row r="556" spans="1:152" x14ac:dyDescent="0.15">
      <c r="A556" s="576"/>
      <c r="EO556" s="6"/>
      <c r="EP556" s="6"/>
      <c r="EQ556" s="6"/>
      <c r="ET556" s="4"/>
      <c r="EU556" s="4"/>
      <c r="EV556" s="4"/>
    </row>
    <row r="557" spans="1:152" x14ac:dyDescent="0.15">
      <c r="A557" s="576"/>
      <c r="EO557" s="6"/>
      <c r="EP557" s="6"/>
      <c r="EQ557" s="6"/>
      <c r="ET557" s="4"/>
      <c r="EU557" s="4"/>
      <c r="EV557" s="4"/>
    </row>
    <row r="558" spans="1:152" x14ac:dyDescent="0.15">
      <c r="A558" s="576"/>
      <c r="EO558" s="6"/>
      <c r="EP558" s="6"/>
      <c r="EQ558" s="6"/>
      <c r="ET558" s="4"/>
      <c r="EU558" s="4"/>
      <c r="EV558" s="4"/>
    </row>
    <row r="559" spans="1:152" x14ac:dyDescent="0.15">
      <c r="A559" s="576"/>
      <c r="EO559" s="6"/>
      <c r="EP559" s="6"/>
      <c r="EQ559" s="6"/>
      <c r="ET559" s="4"/>
      <c r="EU559" s="4"/>
      <c r="EV559" s="4"/>
    </row>
    <row r="560" spans="1:152" x14ac:dyDescent="0.15">
      <c r="A560" s="576"/>
      <c r="EO560" s="6"/>
      <c r="EP560" s="6"/>
      <c r="EQ560" s="6"/>
      <c r="ET560" s="4"/>
      <c r="EU560" s="4"/>
      <c r="EV560" s="4"/>
    </row>
    <row r="561" spans="1:152" x14ac:dyDescent="0.15">
      <c r="A561" s="576"/>
      <c r="EO561" s="6"/>
      <c r="EP561" s="6"/>
      <c r="EQ561" s="6"/>
      <c r="ET561" s="4"/>
      <c r="EU561" s="4"/>
      <c r="EV561" s="4"/>
    </row>
    <row r="562" spans="1:152" x14ac:dyDescent="0.15">
      <c r="A562" s="576"/>
      <c r="EO562" s="6"/>
      <c r="EP562" s="6"/>
      <c r="EQ562" s="6"/>
      <c r="ET562" s="4"/>
      <c r="EU562" s="4"/>
      <c r="EV562" s="4"/>
    </row>
    <row r="563" spans="1:152" x14ac:dyDescent="0.15">
      <c r="A563" s="576"/>
      <c r="EO563" s="6"/>
      <c r="EP563" s="6"/>
      <c r="EQ563" s="6"/>
      <c r="ET563" s="4"/>
      <c r="EU563" s="4"/>
      <c r="EV563" s="4"/>
    </row>
    <row r="564" spans="1:152" x14ac:dyDescent="0.15">
      <c r="A564" s="576"/>
      <c r="EO564" s="6"/>
      <c r="EP564" s="6"/>
      <c r="EQ564" s="6"/>
      <c r="ET564" s="4"/>
      <c r="EU564" s="4"/>
      <c r="EV564" s="4"/>
    </row>
    <row r="565" spans="1:152" x14ac:dyDescent="0.15">
      <c r="A565" s="576"/>
      <c r="EO565" s="6"/>
      <c r="EP565" s="6"/>
      <c r="EQ565" s="6"/>
      <c r="ET565" s="4"/>
      <c r="EU565" s="4"/>
      <c r="EV565" s="4"/>
    </row>
    <row r="566" spans="1:152" x14ac:dyDescent="0.15">
      <c r="A566" s="576"/>
      <c r="EO566" s="6"/>
      <c r="EP566" s="6"/>
      <c r="EQ566" s="6"/>
      <c r="ET566" s="4"/>
      <c r="EU566" s="4"/>
      <c r="EV566" s="4"/>
    </row>
    <row r="567" spans="1:152" x14ac:dyDescent="0.15">
      <c r="A567" s="576"/>
      <c r="EO567" s="6"/>
      <c r="EP567" s="6"/>
      <c r="EQ567" s="6"/>
      <c r="ET567" s="4"/>
      <c r="EU567" s="4"/>
      <c r="EV567" s="4"/>
    </row>
    <row r="568" spans="1:152" x14ac:dyDescent="0.15">
      <c r="A568" s="576"/>
      <c r="EO568" s="6"/>
      <c r="EP568" s="6"/>
      <c r="EQ568" s="6"/>
      <c r="ET568" s="4"/>
      <c r="EU568" s="4"/>
      <c r="EV568" s="4"/>
    </row>
    <row r="569" spans="1:152" x14ac:dyDescent="0.15">
      <c r="A569" s="576"/>
      <c r="EO569" s="6"/>
      <c r="EP569" s="6"/>
      <c r="EQ569" s="6"/>
      <c r="ET569" s="4"/>
      <c r="EU569" s="4"/>
      <c r="EV569" s="4"/>
    </row>
    <row r="570" spans="1:152" x14ac:dyDescent="0.15">
      <c r="A570" s="576"/>
      <c r="EO570" s="6"/>
      <c r="EP570" s="6"/>
      <c r="EQ570" s="6"/>
      <c r="ET570" s="4"/>
      <c r="EU570" s="4"/>
      <c r="EV570" s="4"/>
    </row>
    <row r="571" spans="1:152" x14ac:dyDescent="0.15">
      <c r="A571" s="576"/>
      <c r="EO571" s="6"/>
      <c r="EP571" s="6"/>
      <c r="EQ571" s="6"/>
      <c r="ET571" s="4"/>
      <c r="EU571" s="4"/>
      <c r="EV571" s="4"/>
    </row>
    <row r="572" spans="1:152" x14ac:dyDescent="0.15">
      <c r="A572" s="576"/>
      <c r="EO572" s="6"/>
      <c r="EP572" s="6"/>
      <c r="EQ572" s="6"/>
      <c r="ET572" s="4"/>
      <c r="EU572" s="4"/>
      <c r="EV572" s="4"/>
    </row>
    <row r="573" spans="1:152" x14ac:dyDescent="0.15">
      <c r="A573" s="576"/>
      <c r="EO573" s="6"/>
      <c r="EP573" s="6"/>
      <c r="EQ573" s="6"/>
      <c r="ET573" s="4"/>
      <c r="EU573" s="4"/>
      <c r="EV573" s="4"/>
    </row>
    <row r="574" spans="1:152" x14ac:dyDescent="0.15">
      <c r="A574" s="576"/>
      <c r="EO574" s="6"/>
      <c r="EP574" s="6"/>
      <c r="EQ574" s="6"/>
      <c r="ET574" s="4"/>
      <c r="EU574" s="4"/>
      <c r="EV574" s="4"/>
    </row>
    <row r="575" spans="1:152" x14ac:dyDescent="0.15">
      <c r="A575" s="576"/>
      <c r="EO575" s="6"/>
      <c r="EP575" s="6"/>
      <c r="EQ575" s="6"/>
      <c r="ET575" s="4"/>
      <c r="EU575" s="4"/>
      <c r="EV575" s="4"/>
    </row>
    <row r="576" spans="1:152" x14ac:dyDescent="0.15">
      <c r="A576" s="576"/>
      <c r="EO576" s="6"/>
      <c r="EP576" s="6"/>
      <c r="EQ576" s="6"/>
      <c r="ET576" s="4"/>
      <c r="EU576" s="4"/>
      <c r="EV576" s="4"/>
    </row>
    <row r="577" spans="1:152" x14ac:dyDescent="0.15">
      <c r="A577" s="576"/>
      <c r="EO577" s="6"/>
      <c r="EP577" s="6"/>
      <c r="EQ577" s="6"/>
      <c r="ET577" s="4"/>
      <c r="EU577" s="4"/>
      <c r="EV577" s="4"/>
    </row>
    <row r="578" spans="1:152" x14ac:dyDescent="0.15">
      <c r="A578" s="576"/>
      <c r="EO578" s="6"/>
      <c r="EP578" s="6"/>
      <c r="EQ578" s="6"/>
      <c r="ET578" s="4"/>
      <c r="EU578" s="4"/>
      <c r="EV578" s="4"/>
    </row>
    <row r="579" spans="1:152" x14ac:dyDescent="0.15">
      <c r="A579" s="576"/>
      <c r="EO579" s="6"/>
      <c r="EP579" s="6"/>
      <c r="EQ579" s="6"/>
      <c r="ET579" s="4"/>
      <c r="EU579" s="4"/>
      <c r="EV579" s="4"/>
    </row>
    <row r="580" spans="1:152" x14ac:dyDescent="0.15">
      <c r="A580" s="576"/>
      <c r="EO580" s="6"/>
      <c r="EP580" s="6"/>
      <c r="EQ580" s="6"/>
      <c r="ET580" s="4"/>
      <c r="EU580" s="4"/>
      <c r="EV580" s="4"/>
    </row>
    <row r="581" spans="1:152" x14ac:dyDescent="0.15">
      <c r="A581" s="576"/>
      <c r="EO581" s="6"/>
      <c r="EP581" s="6"/>
      <c r="EQ581" s="6"/>
      <c r="ET581" s="4"/>
      <c r="EU581" s="4"/>
      <c r="EV581" s="4"/>
    </row>
    <row r="582" spans="1:152" x14ac:dyDescent="0.15">
      <c r="A582" s="576"/>
      <c r="EO582" s="6"/>
      <c r="EP582" s="6"/>
      <c r="EQ582" s="6"/>
      <c r="ET582" s="4"/>
      <c r="EU582" s="4"/>
      <c r="EV582" s="4"/>
    </row>
    <row r="583" spans="1:152" x14ac:dyDescent="0.15">
      <c r="A583" s="576"/>
      <c r="EO583" s="6"/>
      <c r="EP583" s="6"/>
      <c r="EQ583" s="6"/>
      <c r="ET583" s="4"/>
      <c r="EU583" s="4"/>
      <c r="EV583" s="4"/>
    </row>
    <row r="584" spans="1:152" x14ac:dyDescent="0.15">
      <c r="A584" s="576"/>
      <c r="EO584" s="6"/>
      <c r="EP584" s="6"/>
      <c r="EQ584" s="6"/>
      <c r="ET584" s="4"/>
      <c r="EU584" s="4"/>
      <c r="EV584" s="4"/>
    </row>
    <row r="585" spans="1:152" x14ac:dyDescent="0.15">
      <c r="A585" s="576"/>
      <c r="EO585" s="6"/>
      <c r="EP585" s="6"/>
      <c r="EQ585" s="6"/>
      <c r="ET585" s="4"/>
      <c r="EU585" s="4"/>
      <c r="EV585" s="4"/>
    </row>
    <row r="586" spans="1:152" x14ac:dyDescent="0.15">
      <c r="A586" s="576"/>
      <c r="EO586" s="6"/>
      <c r="EP586" s="6"/>
      <c r="EQ586" s="6"/>
      <c r="ET586" s="4"/>
      <c r="EU586" s="4"/>
      <c r="EV586" s="4"/>
    </row>
    <row r="587" spans="1:152" x14ac:dyDescent="0.15">
      <c r="A587" s="576"/>
      <c r="EO587" s="6"/>
      <c r="EP587" s="6"/>
      <c r="EQ587" s="6"/>
      <c r="ET587" s="4"/>
      <c r="EU587" s="4"/>
      <c r="EV587" s="4"/>
    </row>
    <row r="588" spans="1:152" x14ac:dyDescent="0.15">
      <c r="A588" s="576"/>
      <c r="EO588" s="6"/>
      <c r="EP588" s="6"/>
      <c r="EQ588" s="6"/>
      <c r="ET588" s="4"/>
      <c r="EU588" s="4"/>
      <c r="EV588" s="4"/>
    </row>
    <row r="589" spans="1:152" x14ac:dyDescent="0.15">
      <c r="A589" s="576"/>
      <c r="EO589" s="6"/>
      <c r="EP589" s="6"/>
      <c r="EQ589" s="6"/>
      <c r="ET589" s="4"/>
      <c r="EU589" s="4"/>
      <c r="EV589" s="4"/>
    </row>
    <row r="590" spans="1:152" x14ac:dyDescent="0.15">
      <c r="A590" s="576"/>
      <c r="EO590" s="6"/>
      <c r="EP590" s="6"/>
      <c r="EQ590" s="6"/>
      <c r="ET590" s="4"/>
      <c r="EU590" s="4"/>
      <c r="EV590" s="4"/>
    </row>
    <row r="591" spans="1:152" x14ac:dyDescent="0.15">
      <c r="A591" s="576"/>
      <c r="EO591" s="6"/>
      <c r="EP591" s="6"/>
      <c r="EQ591" s="6"/>
      <c r="ET591" s="4"/>
      <c r="EU591" s="4"/>
      <c r="EV591" s="4"/>
    </row>
    <row r="592" spans="1:152" x14ac:dyDescent="0.15">
      <c r="A592" s="576"/>
      <c r="EO592" s="6"/>
      <c r="EP592" s="6"/>
      <c r="EQ592" s="6"/>
      <c r="ET592" s="4"/>
      <c r="EU592" s="4"/>
      <c r="EV592" s="4"/>
    </row>
    <row r="593" spans="1:152" x14ac:dyDescent="0.15">
      <c r="A593" s="576"/>
      <c r="EO593" s="6"/>
      <c r="EP593" s="6"/>
      <c r="EQ593" s="6"/>
      <c r="ET593" s="4"/>
      <c r="EU593" s="4"/>
      <c r="EV593" s="4"/>
    </row>
    <row r="594" spans="1:152" x14ac:dyDescent="0.15">
      <c r="A594" s="576"/>
      <c r="EO594" s="6"/>
      <c r="EP594" s="6"/>
      <c r="EQ594" s="6"/>
      <c r="ET594" s="4"/>
      <c r="EU594" s="4"/>
      <c r="EV594" s="4"/>
    </row>
    <row r="595" spans="1:152" x14ac:dyDescent="0.15">
      <c r="A595" s="576"/>
      <c r="EO595" s="6"/>
      <c r="EP595" s="6"/>
      <c r="EQ595" s="6"/>
      <c r="ET595" s="4"/>
      <c r="EU595" s="4"/>
      <c r="EV595" s="4"/>
    </row>
    <row r="596" spans="1:152" x14ac:dyDescent="0.15">
      <c r="A596" s="576"/>
      <c r="EO596" s="6"/>
      <c r="EP596" s="6"/>
      <c r="EQ596" s="6"/>
      <c r="ET596" s="4"/>
      <c r="EU596" s="4"/>
      <c r="EV596" s="4"/>
    </row>
    <row r="597" spans="1:152" x14ac:dyDescent="0.15">
      <c r="A597" s="576"/>
      <c r="EO597" s="6"/>
      <c r="EP597" s="6"/>
      <c r="EQ597" s="6"/>
      <c r="ET597" s="4"/>
      <c r="EU597" s="4"/>
      <c r="EV597" s="4"/>
    </row>
    <row r="598" spans="1:152" x14ac:dyDescent="0.15">
      <c r="A598" s="576"/>
      <c r="EO598" s="6"/>
      <c r="EP598" s="6"/>
      <c r="EQ598" s="6"/>
      <c r="ET598" s="4"/>
      <c r="EU598" s="4"/>
      <c r="EV598" s="4"/>
    </row>
    <row r="599" spans="1:152" x14ac:dyDescent="0.15">
      <c r="A599" s="576"/>
      <c r="EO599" s="6"/>
      <c r="EP599" s="6"/>
      <c r="EQ599" s="6"/>
      <c r="ET599" s="4"/>
      <c r="EU599" s="4"/>
      <c r="EV599" s="4"/>
    </row>
    <row r="600" spans="1:152" x14ac:dyDescent="0.15">
      <c r="A600" s="576"/>
      <c r="EO600" s="6"/>
      <c r="EP600" s="6"/>
      <c r="EQ600" s="6"/>
      <c r="ET600" s="4"/>
      <c r="EU600" s="4"/>
      <c r="EV600" s="4"/>
    </row>
    <row r="601" spans="1:152" x14ac:dyDescent="0.15">
      <c r="A601" s="576"/>
      <c r="EO601" s="6"/>
      <c r="EP601" s="6"/>
      <c r="EQ601" s="6"/>
      <c r="ET601" s="4"/>
      <c r="EU601" s="4"/>
      <c r="EV601" s="4"/>
    </row>
    <row r="602" spans="1:152" x14ac:dyDescent="0.15">
      <c r="A602" s="576"/>
      <c r="EO602" s="6"/>
      <c r="EP602" s="6"/>
      <c r="EQ602" s="6"/>
      <c r="ET602" s="4"/>
      <c r="EU602" s="4"/>
      <c r="EV602" s="4"/>
    </row>
    <row r="603" spans="1:152" x14ac:dyDescent="0.15">
      <c r="A603" s="576"/>
      <c r="EO603" s="6"/>
      <c r="EP603" s="6"/>
      <c r="EQ603" s="6"/>
      <c r="ET603" s="4"/>
      <c r="EU603" s="4"/>
      <c r="EV603" s="4"/>
    </row>
    <row r="604" spans="1:152" x14ac:dyDescent="0.15">
      <c r="A604" s="576"/>
      <c r="EO604" s="6"/>
      <c r="EP604" s="6"/>
      <c r="EQ604" s="6"/>
      <c r="ET604" s="4"/>
      <c r="EU604" s="4"/>
      <c r="EV604" s="4"/>
    </row>
    <row r="605" spans="1:152" x14ac:dyDescent="0.15">
      <c r="A605" s="576"/>
      <c r="EO605" s="6"/>
      <c r="EP605" s="6"/>
      <c r="EQ605" s="6"/>
      <c r="ET605" s="4"/>
      <c r="EU605" s="4"/>
      <c r="EV605" s="4"/>
    </row>
    <row r="606" spans="1:152" x14ac:dyDescent="0.15">
      <c r="A606" s="576"/>
      <c r="EO606" s="6"/>
      <c r="EP606" s="6"/>
      <c r="EQ606" s="6"/>
      <c r="ET606" s="4"/>
      <c r="EU606" s="4"/>
      <c r="EV606" s="4"/>
    </row>
    <row r="607" spans="1:152" x14ac:dyDescent="0.15">
      <c r="A607" s="576"/>
      <c r="EO607" s="6"/>
      <c r="EP607" s="6"/>
      <c r="EQ607" s="6"/>
      <c r="ET607" s="4"/>
      <c r="EU607" s="4"/>
      <c r="EV607" s="4"/>
    </row>
    <row r="608" spans="1:152" x14ac:dyDescent="0.15">
      <c r="A608" s="576"/>
      <c r="EO608" s="6"/>
      <c r="EP608" s="6"/>
      <c r="EQ608" s="6"/>
      <c r="ET608" s="4"/>
      <c r="EU608" s="4"/>
      <c r="EV608" s="4"/>
    </row>
    <row r="609" spans="1:152" x14ac:dyDescent="0.15">
      <c r="A609" s="576"/>
      <c r="EO609" s="6"/>
      <c r="EP609" s="6"/>
      <c r="EQ609" s="6"/>
      <c r="ET609" s="4"/>
      <c r="EU609" s="4"/>
      <c r="EV609" s="4"/>
    </row>
    <row r="610" spans="1:152" x14ac:dyDescent="0.15">
      <c r="A610" s="576"/>
      <c r="EO610" s="6"/>
      <c r="EP610" s="6"/>
      <c r="EQ610" s="6"/>
      <c r="ET610" s="4"/>
      <c r="EU610" s="4"/>
      <c r="EV610" s="4"/>
    </row>
    <row r="611" spans="1:152" x14ac:dyDescent="0.15">
      <c r="A611" s="576"/>
      <c r="EO611" s="6"/>
      <c r="EP611" s="6"/>
      <c r="EQ611" s="6"/>
      <c r="ET611" s="4"/>
      <c r="EU611" s="4"/>
      <c r="EV611" s="4"/>
    </row>
    <row r="612" spans="1:152" x14ac:dyDescent="0.15">
      <c r="A612" s="576"/>
      <c r="EO612" s="6"/>
      <c r="EP612" s="6"/>
      <c r="EQ612" s="6"/>
      <c r="ET612" s="4"/>
      <c r="EU612" s="4"/>
      <c r="EV612" s="4"/>
    </row>
    <row r="613" spans="1:152" x14ac:dyDescent="0.15">
      <c r="A613" s="576"/>
      <c r="EO613" s="6"/>
      <c r="EP613" s="6"/>
      <c r="EQ613" s="6"/>
      <c r="ET613" s="4"/>
      <c r="EU613" s="4"/>
      <c r="EV613" s="4"/>
    </row>
    <row r="614" spans="1:152" x14ac:dyDescent="0.15">
      <c r="A614" s="576"/>
      <c r="EO614" s="6"/>
      <c r="EP614" s="6"/>
      <c r="EQ614" s="6"/>
      <c r="ET614" s="4"/>
      <c r="EU614" s="4"/>
      <c r="EV614" s="4"/>
    </row>
    <row r="615" spans="1:152" x14ac:dyDescent="0.15">
      <c r="A615" s="576"/>
      <c r="EO615" s="6"/>
      <c r="EP615" s="6"/>
      <c r="EQ615" s="6"/>
      <c r="ET615" s="4"/>
      <c r="EU615" s="4"/>
      <c r="EV615" s="4"/>
    </row>
    <row r="616" spans="1:152" x14ac:dyDescent="0.15">
      <c r="A616" s="576"/>
      <c r="EO616" s="6"/>
      <c r="EP616" s="6"/>
      <c r="EQ616" s="6"/>
      <c r="ET616" s="4"/>
      <c r="EU616" s="4"/>
      <c r="EV616" s="4"/>
    </row>
    <row r="617" spans="1:152" x14ac:dyDescent="0.15">
      <c r="A617" s="576"/>
      <c r="EO617" s="6"/>
      <c r="EP617" s="6"/>
      <c r="EQ617" s="6"/>
      <c r="ET617" s="4"/>
      <c r="EU617" s="4"/>
      <c r="EV617" s="4"/>
    </row>
    <row r="618" spans="1:152" x14ac:dyDescent="0.15">
      <c r="A618" s="576"/>
      <c r="EO618" s="6"/>
      <c r="EP618" s="6"/>
      <c r="EQ618" s="6"/>
      <c r="ET618" s="4"/>
      <c r="EU618" s="4"/>
      <c r="EV618" s="4"/>
    </row>
    <row r="619" spans="1:152" x14ac:dyDescent="0.15">
      <c r="A619" s="576"/>
      <c r="EO619" s="6"/>
      <c r="EP619" s="6"/>
      <c r="EQ619" s="6"/>
      <c r="ET619" s="4"/>
      <c r="EU619" s="4"/>
      <c r="EV619" s="4"/>
    </row>
    <row r="620" spans="1:152" x14ac:dyDescent="0.15">
      <c r="A620" s="576"/>
      <c r="EO620" s="6"/>
      <c r="EP620" s="6"/>
      <c r="EQ620" s="6"/>
      <c r="ET620" s="4"/>
      <c r="EU620" s="4"/>
      <c r="EV620" s="4"/>
    </row>
    <row r="621" spans="1:152" x14ac:dyDescent="0.15">
      <c r="A621" s="576"/>
      <c r="EO621" s="6"/>
      <c r="EP621" s="6"/>
      <c r="EQ621" s="6"/>
      <c r="ET621" s="4"/>
      <c r="EU621" s="4"/>
      <c r="EV621" s="4"/>
    </row>
    <row r="622" spans="1:152" x14ac:dyDescent="0.15">
      <c r="A622" s="576"/>
      <c r="EO622" s="6"/>
      <c r="EP622" s="6"/>
      <c r="EQ622" s="6"/>
      <c r="ET622" s="4"/>
      <c r="EU622" s="4"/>
      <c r="EV622" s="4"/>
    </row>
    <row r="623" spans="1:152" x14ac:dyDescent="0.15">
      <c r="A623" s="576"/>
      <c r="EO623" s="6"/>
      <c r="EP623" s="6"/>
      <c r="EQ623" s="6"/>
      <c r="ET623" s="4"/>
      <c r="EU623" s="4"/>
      <c r="EV623" s="4"/>
    </row>
    <row r="624" spans="1:152" x14ac:dyDescent="0.15">
      <c r="A624" s="576"/>
      <c r="EO624" s="6"/>
      <c r="EP624" s="6"/>
      <c r="EQ624" s="6"/>
      <c r="ET624" s="4"/>
      <c r="EU624" s="4"/>
      <c r="EV624" s="4"/>
    </row>
    <row r="625" spans="1:152" x14ac:dyDescent="0.15">
      <c r="A625" s="576"/>
      <c r="EO625" s="6"/>
      <c r="EP625" s="6"/>
      <c r="EQ625" s="6"/>
      <c r="ET625" s="4"/>
      <c r="EU625" s="4"/>
      <c r="EV625" s="4"/>
    </row>
    <row r="626" spans="1:152" x14ac:dyDescent="0.15">
      <c r="A626" s="576"/>
      <c r="EO626" s="6"/>
      <c r="EP626" s="6"/>
      <c r="EQ626" s="6"/>
      <c r="ET626" s="4"/>
      <c r="EU626" s="4"/>
      <c r="EV626" s="4"/>
    </row>
    <row r="627" spans="1:152" x14ac:dyDescent="0.15">
      <c r="A627" s="576"/>
      <c r="EO627" s="6"/>
      <c r="EP627" s="6"/>
      <c r="EQ627" s="6"/>
      <c r="ET627" s="4"/>
      <c r="EU627" s="4"/>
      <c r="EV627" s="4"/>
    </row>
    <row r="628" spans="1:152" x14ac:dyDescent="0.15">
      <c r="A628" s="576"/>
      <c r="EO628" s="6"/>
      <c r="EP628" s="6"/>
      <c r="EQ628" s="6"/>
      <c r="ET628" s="4"/>
      <c r="EU628" s="4"/>
      <c r="EV628" s="4"/>
    </row>
    <row r="629" spans="1:152" x14ac:dyDescent="0.15">
      <c r="A629" s="576"/>
      <c r="EO629" s="6"/>
      <c r="EP629" s="6"/>
      <c r="EQ629" s="6"/>
      <c r="ET629" s="4"/>
      <c r="EU629" s="4"/>
      <c r="EV629" s="4"/>
    </row>
    <row r="630" spans="1:152" x14ac:dyDescent="0.15">
      <c r="A630" s="576"/>
      <c r="EO630" s="6"/>
      <c r="EP630" s="6"/>
      <c r="EQ630" s="6"/>
      <c r="ET630" s="4"/>
      <c r="EU630" s="4"/>
      <c r="EV630" s="4"/>
    </row>
    <row r="631" spans="1:152" x14ac:dyDescent="0.15">
      <c r="A631" s="576"/>
      <c r="EO631" s="6"/>
      <c r="EP631" s="6"/>
      <c r="EQ631" s="6"/>
      <c r="ET631" s="4"/>
      <c r="EU631" s="4"/>
      <c r="EV631" s="4"/>
    </row>
    <row r="632" spans="1:152" x14ac:dyDescent="0.15">
      <c r="A632" s="576"/>
      <c r="EO632" s="6"/>
      <c r="EP632" s="6"/>
      <c r="EQ632" s="6"/>
      <c r="ET632" s="4"/>
      <c r="EU632" s="4"/>
      <c r="EV632" s="4"/>
    </row>
    <row r="633" spans="1:152" x14ac:dyDescent="0.15">
      <c r="A633" s="576"/>
      <c r="EO633" s="6"/>
      <c r="EP633" s="6"/>
      <c r="EQ633" s="6"/>
      <c r="ET633" s="4"/>
      <c r="EU633" s="4"/>
      <c r="EV633" s="4"/>
    </row>
    <row r="634" spans="1:152" x14ac:dyDescent="0.15">
      <c r="A634" s="576"/>
      <c r="EO634" s="6"/>
      <c r="EP634" s="6"/>
      <c r="EQ634" s="6"/>
      <c r="ET634" s="4"/>
      <c r="EU634" s="4"/>
      <c r="EV634" s="4"/>
    </row>
    <row r="635" spans="1:152" x14ac:dyDescent="0.15">
      <c r="A635" s="576"/>
      <c r="EO635" s="6"/>
      <c r="EP635" s="6"/>
      <c r="EQ635" s="6"/>
      <c r="ET635" s="4"/>
      <c r="EU635" s="4"/>
      <c r="EV635" s="4"/>
    </row>
    <row r="636" spans="1:152" x14ac:dyDescent="0.15">
      <c r="A636" s="576"/>
      <c r="EO636" s="6"/>
      <c r="EP636" s="6"/>
      <c r="EQ636" s="6"/>
      <c r="ET636" s="4"/>
      <c r="EU636" s="4"/>
      <c r="EV636" s="4"/>
    </row>
    <row r="637" spans="1:152" x14ac:dyDescent="0.15">
      <c r="A637" s="576"/>
      <c r="EO637" s="6"/>
      <c r="EP637" s="6"/>
      <c r="EQ637" s="6"/>
      <c r="ET637" s="4"/>
      <c r="EU637" s="4"/>
      <c r="EV637" s="4"/>
    </row>
    <row r="638" spans="1:152" x14ac:dyDescent="0.15">
      <c r="A638" s="576"/>
      <c r="EO638" s="6"/>
      <c r="EP638" s="6"/>
      <c r="EQ638" s="6"/>
      <c r="ET638" s="4"/>
      <c r="EU638" s="4"/>
      <c r="EV638" s="4"/>
    </row>
    <row r="639" spans="1:152" x14ac:dyDescent="0.15">
      <c r="A639" s="576"/>
      <c r="EO639" s="6"/>
      <c r="EP639" s="6"/>
      <c r="EQ639" s="6"/>
      <c r="ET639" s="4"/>
      <c r="EU639" s="4"/>
      <c r="EV639" s="4"/>
    </row>
    <row r="640" spans="1:152" x14ac:dyDescent="0.15">
      <c r="A640" s="576"/>
      <c r="EO640" s="6"/>
      <c r="EP640" s="6"/>
      <c r="EQ640" s="6"/>
      <c r="ET640" s="4"/>
      <c r="EU640" s="4"/>
      <c r="EV640" s="4"/>
    </row>
    <row r="641" spans="1:152" x14ac:dyDescent="0.15">
      <c r="A641" s="576"/>
      <c r="EO641" s="6"/>
      <c r="EP641" s="6"/>
      <c r="EQ641" s="6"/>
      <c r="ET641" s="4"/>
      <c r="EU641" s="4"/>
      <c r="EV641" s="4"/>
    </row>
    <row r="642" spans="1:152" x14ac:dyDescent="0.15">
      <c r="A642" s="576"/>
      <c r="EO642" s="6"/>
      <c r="EP642" s="6"/>
      <c r="EQ642" s="6"/>
      <c r="ET642" s="4"/>
      <c r="EU642" s="4"/>
      <c r="EV642" s="4"/>
    </row>
    <row r="643" spans="1:152" x14ac:dyDescent="0.15">
      <c r="A643" s="576"/>
      <c r="EO643" s="6"/>
      <c r="EP643" s="6"/>
      <c r="EQ643" s="6"/>
      <c r="ET643" s="4"/>
      <c r="EU643" s="4"/>
      <c r="EV643" s="4"/>
    </row>
    <row r="644" spans="1:152" x14ac:dyDescent="0.15">
      <c r="A644" s="576"/>
      <c r="EO644" s="6"/>
      <c r="EP644" s="6"/>
      <c r="EQ644" s="6"/>
      <c r="ET644" s="4"/>
      <c r="EU644" s="4"/>
      <c r="EV644" s="4"/>
    </row>
    <row r="645" spans="1:152" x14ac:dyDescent="0.15">
      <c r="A645" s="576"/>
      <c r="EO645" s="6"/>
      <c r="EP645" s="6"/>
      <c r="EQ645" s="6"/>
      <c r="ET645" s="4"/>
      <c r="EU645" s="4"/>
      <c r="EV645" s="4"/>
    </row>
    <row r="646" spans="1:152" x14ac:dyDescent="0.15">
      <c r="A646" s="576"/>
      <c r="EO646" s="6"/>
      <c r="EP646" s="6"/>
      <c r="EQ646" s="6"/>
      <c r="ET646" s="4"/>
      <c r="EU646" s="4"/>
      <c r="EV646" s="4"/>
    </row>
    <row r="647" spans="1:152" x14ac:dyDescent="0.15">
      <c r="A647" s="576"/>
      <c r="EO647" s="6"/>
      <c r="EP647" s="6"/>
      <c r="EQ647" s="6"/>
      <c r="ET647" s="4"/>
      <c r="EU647" s="4"/>
      <c r="EV647" s="4"/>
    </row>
    <row r="648" spans="1:152" x14ac:dyDescent="0.15">
      <c r="A648" s="576"/>
      <c r="EO648" s="6"/>
      <c r="EP648" s="6"/>
      <c r="EQ648" s="6"/>
      <c r="ET648" s="4"/>
      <c r="EU648" s="4"/>
      <c r="EV648" s="4"/>
    </row>
    <row r="649" spans="1:152" x14ac:dyDescent="0.15">
      <c r="A649" s="576"/>
      <c r="EO649" s="6"/>
      <c r="EP649" s="6"/>
      <c r="EQ649" s="6"/>
      <c r="ET649" s="4"/>
      <c r="EU649" s="4"/>
      <c r="EV649" s="4"/>
    </row>
    <row r="650" spans="1:152" x14ac:dyDescent="0.15">
      <c r="A650" s="576"/>
      <c r="EO650" s="6"/>
      <c r="EP650" s="6"/>
      <c r="EQ650" s="6"/>
      <c r="ET650" s="4"/>
      <c r="EU650" s="4"/>
      <c r="EV650" s="4"/>
    </row>
    <row r="651" spans="1:152" x14ac:dyDescent="0.15">
      <c r="A651" s="576"/>
      <c r="EO651" s="6"/>
      <c r="EP651" s="6"/>
      <c r="EQ651" s="6"/>
      <c r="ET651" s="4"/>
      <c r="EU651" s="4"/>
      <c r="EV651" s="4"/>
    </row>
    <row r="652" spans="1:152" x14ac:dyDescent="0.15">
      <c r="A652" s="576"/>
      <c r="EO652" s="6"/>
      <c r="EP652" s="6"/>
      <c r="EQ652" s="6"/>
      <c r="ET652" s="4"/>
      <c r="EU652" s="4"/>
      <c r="EV652" s="4"/>
    </row>
    <row r="653" spans="1:152" x14ac:dyDescent="0.15">
      <c r="A653" s="576"/>
      <c r="EO653" s="6"/>
      <c r="EP653" s="6"/>
      <c r="EQ653" s="6"/>
      <c r="ET653" s="4"/>
      <c r="EU653" s="4"/>
      <c r="EV653" s="4"/>
    </row>
    <row r="654" spans="1:152" x14ac:dyDescent="0.15">
      <c r="A654" s="576"/>
      <c r="EO654" s="6"/>
      <c r="EP654" s="6"/>
      <c r="EQ654" s="6"/>
      <c r="ET654" s="4"/>
      <c r="EU654" s="4"/>
      <c r="EV654" s="4"/>
    </row>
    <row r="655" spans="1:152" x14ac:dyDescent="0.15">
      <c r="A655" s="576"/>
      <c r="EO655" s="6"/>
      <c r="EP655" s="6"/>
      <c r="EQ655" s="6"/>
      <c r="ET655" s="4"/>
      <c r="EU655" s="4"/>
      <c r="EV655" s="4"/>
    </row>
    <row r="656" spans="1:152" x14ac:dyDescent="0.15">
      <c r="A656" s="576"/>
      <c r="EO656" s="6"/>
      <c r="EP656" s="6"/>
      <c r="EQ656" s="6"/>
      <c r="ET656" s="4"/>
      <c r="EU656" s="4"/>
      <c r="EV656" s="4"/>
    </row>
    <row r="657" spans="1:152" x14ac:dyDescent="0.15">
      <c r="A657" s="576"/>
      <c r="EO657" s="6"/>
      <c r="EP657" s="6"/>
      <c r="EQ657" s="6"/>
      <c r="ET657" s="4"/>
      <c r="EU657" s="4"/>
      <c r="EV657" s="4"/>
    </row>
    <row r="658" spans="1:152" x14ac:dyDescent="0.15">
      <c r="A658" s="576"/>
      <c r="EO658" s="6"/>
      <c r="EP658" s="6"/>
      <c r="EQ658" s="6"/>
      <c r="ET658" s="4"/>
      <c r="EU658" s="4"/>
      <c r="EV658" s="4"/>
    </row>
    <row r="659" spans="1:152" x14ac:dyDescent="0.15">
      <c r="A659" s="576"/>
      <c r="EO659" s="6"/>
      <c r="EP659" s="6"/>
      <c r="EQ659" s="6"/>
      <c r="ET659" s="4"/>
      <c r="EU659" s="4"/>
      <c r="EV659" s="4"/>
    </row>
    <row r="660" spans="1:152" x14ac:dyDescent="0.15">
      <c r="A660" s="576"/>
      <c r="EO660" s="6"/>
      <c r="EP660" s="6"/>
      <c r="EQ660" s="6"/>
      <c r="ET660" s="4"/>
      <c r="EU660" s="4"/>
      <c r="EV660" s="4"/>
    </row>
    <row r="661" spans="1:152" x14ac:dyDescent="0.15">
      <c r="A661" s="576"/>
      <c r="EO661" s="6"/>
      <c r="EP661" s="6"/>
      <c r="EQ661" s="6"/>
      <c r="ET661" s="4"/>
      <c r="EU661" s="4"/>
      <c r="EV661" s="4"/>
    </row>
    <row r="662" spans="1:152" x14ac:dyDescent="0.15">
      <c r="A662" s="576"/>
      <c r="EO662" s="6"/>
      <c r="EP662" s="6"/>
      <c r="EQ662" s="6"/>
      <c r="ET662" s="4"/>
      <c r="EU662" s="4"/>
      <c r="EV662" s="4"/>
    </row>
    <row r="663" spans="1:152" x14ac:dyDescent="0.15">
      <c r="A663" s="576"/>
      <c r="EO663" s="6"/>
      <c r="EP663" s="6"/>
      <c r="EQ663" s="6"/>
      <c r="ET663" s="4"/>
      <c r="EU663" s="4"/>
      <c r="EV663" s="4"/>
    </row>
    <row r="664" spans="1:152" x14ac:dyDescent="0.15">
      <c r="A664" s="576"/>
      <c r="EO664" s="6"/>
      <c r="EP664" s="6"/>
      <c r="EQ664" s="6"/>
      <c r="ET664" s="4"/>
      <c r="EU664" s="4"/>
      <c r="EV664" s="4"/>
    </row>
    <row r="665" spans="1:152" x14ac:dyDescent="0.15">
      <c r="A665" s="576"/>
      <c r="EO665" s="6"/>
      <c r="EP665" s="6"/>
      <c r="EQ665" s="6"/>
      <c r="ET665" s="4"/>
      <c r="EU665" s="4"/>
      <c r="EV665" s="4"/>
    </row>
    <row r="666" spans="1:152" x14ac:dyDescent="0.15">
      <c r="A666" s="576"/>
      <c r="EO666" s="6"/>
      <c r="EP666" s="6"/>
      <c r="EQ666" s="6"/>
      <c r="ET666" s="4"/>
      <c r="EU666" s="4"/>
      <c r="EV666" s="4"/>
    </row>
    <row r="667" spans="1:152" x14ac:dyDescent="0.15">
      <c r="A667" s="576"/>
      <c r="EO667" s="6"/>
      <c r="EP667" s="6"/>
      <c r="EQ667" s="6"/>
      <c r="ET667" s="4"/>
      <c r="EU667" s="4"/>
      <c r="EV667" s="4"/>
    </row>
    <row r="668" spans="1:152" x14ac:dyDescent="0.15">
      <c r="A668" s="576"/>
      <c r="EO668" s="6"/>
      <c r="EP668" s="6"/>
      <c r="EQ668" s="6"/>
      <c r="ET668" s="4"/>
      <c r="EU668" s="4"/>
      <c r="EV668" s="4"/>
    </row>
    <row r="669" spans="1:152" x14ac:dyDescent="0.15">
      <c r="A669" s="576"/>
      <c r="EO669" s="6"/>
      <c r="EP669" s="6"/>
      <c r="EQ669" s="6"/>
      <c r="ET669" s="4"/>
      <c r="EU669" s="4"/>
      <c r="EV669" s="4"/>
    </row>
    <row r="670" spans="1:152" x14ac:dyDescent="0.15">
      <c r="A670" s="576"/>
      <c r="EO670" s="6"/>
      <c r="EP670" s="6"/>
      <c r="EQ670" s="6"/>
      <c r="ET670" s="4"/>
      <c r="EU670" s="4"/>
      <c r="EV670" s="4"/>
    </row>
    <row r="671" spans="1:152" x14ac:dyDescent="0.15">
      <c r="A671" s="576"/>
      <c r="EO671" s="6"/>
      <c r="EP671" s="6"/>
      <c r="EQ671" s="6"/>
      <c r="ET671" s="4"/>
      <c r="EU671" s="4"/>
      <c r="EV671" s="4"/>
    </row>
    <row r="672" spans="1:152" x14ac:dyDescent="0.15">
      <c r="A672" s="576"/>
      <c r="EO672" s="6"/>
      <c r="EP672" s="6"/>
      <c r="EQ672" s="6"/>
      <c r="ET672" s="4"/>
      <c r="EU672" s="4"/>
      <c r="EV672" s="4"/>
    </row>
    <row r="673" spans="1:152" x14ac:dyDescent="0.15">
      <c r="A673" s="576"/>
      <c r="EO673" s="6"/>
      <c r="EP673" s="6"/>
      <c r="EQ673" s="6"/>
      <c r="ET673" s="4"/>
      <c r="EU673" s="4"/>
      <c r="EV673" s="4"/>
    </row>
    <row r="674" spans="1:152" x14ac:dyDescent="0.15">
      <c r="A674" s="576"/>
      <c r="EO674" s="6"/>
      <c r="EP674" s="6"/>
      <c r="EQ674" s="6"/>
      <c r="ET674" s="4"/>
      <c r="EU674" s="4"/>
      <c r="EV674" s="4"/>
    </row>
    <row r="675" spans="1:152" x14ac:dyDescent="0.15">
      <c r="A675" s="576"/>
      <c r="EO675" s="6"/>
      <c r="EP675" s="6"/>
      <c r="EQ675" s="6"/>
      <c r="ET675" s="4"/>
      <c r="EU675" s="4"/>
      <c r="EV675" s="4"/>
    </row>
    <row r="676" spans="1:152" x14ac:dyDescent="0.15">
      <c r="A676" s="576"/>
      <c r="EO676" s="6"/>
      <c r="EP676" s="6"/>
      <c r="EQ676" s="6"/>
      <c r="ET676" s="4"/>
      <c r="EU676" s="4"/>
      <c r="EV676" s="4"/>
    </row>
    <row r="677" spans="1:152" x14ac:dyDescent="0.15">
      <c r="A677" s="576"/>
      <c r="EO677" s="6"/>
      <c r="EP677" s="6"/>
      <c r="EQ677" s="6"/>
      <c r="ET677" s="4"/>
      <c r="EU677" s="4"/>
      <c r="EV677" s="4"/>
    </row>
    <row r="678" spans="1:152" x14ac:dyDescent="0.15">
      <c r="A678" s="576"/>
      <c r="EO678" s="6"/>
      <c r="EP678" s="6"/>
      <c r="EQ678" s="6"/>
      <c r="ET678" s="4"/>
      <c r="EU678" s="4"/>
      <c r="EV678" s="4"/>
    </row>
    <row r="679" spans="1:152" x14ac:dyDescent="0.15">
      <c r="A679" s="576"/>
      <c r="EO679" s="6"/>
      <c r="EP679" s="6"/>
      <c r="EQ679" s="6"/>
      <c r="ET679" s="4"/>
      <c r="EU679" s="4"/>
      <c r="EV679" s="4"/>
    </row>
    <row r="680" spans="1:152" x14ac:dyDescent="0.15">
      <c r="A680" s="576"/>
      <c r="EO680" s="6"/>
      <c r="EP680" s="6"/>
      <c r="EQ680" s="6"/>
      <c r="ET680" s="4"/>
      <c r="EU680" s="4"/>
      <c r="EV680" s="4"/>
    </row>
    <row r="681" spans="1:152" x14ac:dyDescent="0.15">
      <c r="A681" s="576"/>
      <c r="EO681" s="6"/>
      <c r="EP681" s="6"/>
      <c r="EQ681" s="6"/>
      <c r="ET681" s="4"/>
      <c r="EU681" s="4"/>
      <c r="EV681" s="4"/>
    </row>
    <row r="682" spans="1:152" x14ac:dyDescent="0.15">
      <c r="A682" s="576"/>
      <c r="EO682" s="6"/>
      <c r="EP682" s="6"/>
      <c r="EQ682" s="6"/>
      <c r="ET682" s="4"/>
      <c r="EU682" s="4"/>
      <c r="EV682" s="4"/>
    </row>
    <row r="683" spans="1:152" x14ac:dyDescent="0.15">
      <c r="A683" s="576"/>
      <c r="EO683" s="6"/>
      <c r="EP683" s="6"/>
      <c r="EQ683" s="6"/>
      <c r="ET683" s="4"/>
      <c r="EU683" s="4"/>
      <c r="EV683" s="4"/>
    </row>
    <row r="684" spans="1:152" x14ac:dyDescent="0.15">
      <c r="A684" s="576"/>
      <c r="EO684" s="6"/>
      <c r="EP684" s="6"/>
      <c r="EQ684" s="6"/>
      <c r="ET684" s="4"/>
      <c r="EU684" s="4"/>
      <c r="EV684" s="4"/>
    </row>
    <row r="685" spans="1:152" x14ac:dyDescent="0.15">
      <c r="A685" s="576"/>
      <c r="EO685" s="6"/>
      <c r="EP685" s="6"/>
      <c r="EQ685" s="6"/>
      <c r="ET685" s="4"/>
      <c r="EU685" s="4"/>
      <c r="EV685" s="4"/>
    </row>
    <row r="686" spans="1:152" x14ac:dyDescent="0.15">
      <c r="A686" s="576"/>
      <c r="EO686" s="6"/>
      <c r="EP686" s="6"/>
      <c r="EQ686" s="6"/>
      <c r="ET686" s="4"/>
      <c r="EU686" s="4"/>
      <c r="EV686" s="4"/>
    </row>
    <row r="687" spans="1:152" x14ac:dyDescent="0.15">
      <c r="A687" s="576"/>
      <c r="EO687" s="6"/>
      <c r="EP687" s="6"/>
      <c r="EQ687" s="6"/>
      <c r="ET687" s="4"/>
      <c r="EU687" s="4"/>
      <c r="EV687" s="4"/>
    </row>
    <row r="688" spans="1:152" x14ac:dyDescent="0.15">
      <c r="A688" s="576"/>
      <c r="EO688" s="6"/>
      <c r="EP688" s="6"/>
      <c r="EQ688" s="6"/>
      <c r="ET688" s="4"/>
      <c r="EU688" s="4"/>
      <c r="EV688" s="4"/>
    </row>
    <row r="689" spans="1:152" x14ac:dyDescent="0.15">
      <c r="A689" s="576"/>
      <c r="EO689" s="6"/>
      <c r="EP689" s="6"/>
      <c r="EQ689" s="6"/>
      <c r="ET689" s="4"/>
      <c r="EU689" s="4"/>
      <c r="EV689" s="4"/>
    </row>
    <row r="690" spans="1:152" x14ac:dyDescent="0.15">
      <c r="A690" s="576"/>
      <c r="EO690" s="6"/>
      <c r="EP690" s="6"/>
      <c r="EQ690" s="6"/>
      <c r="ET690" s="4"/>
      <c r="EU690" s="4"/>
      <c r="EV690" s="4"/>
    </row>
    <row r="691" spans="1:152" x14ac:dyDescent="0.15">
      <c r="A691" s="576"/>
      <c r="EO691" s="6"/>
      <c r="EP691" s="6"/>
      <c r="EQ691" s="6"/>
      <c r="ET691" s="4"/>
      <c r="EU691" s="4"/>
      <c r="EV691" s="4"/>
    </row>
    <row r="692" spans="1:152" x14ac:dyDescent="0.15">
      <c r="A692" s="576"/>
      <c r="EO692" s="6"/>
      <c r="EP692" s="6"/>
      <c r="EQ692" s="6"/>
      <c r="ET692" s="4"/>
      <c r="EU692" s="4"/>
      <c r="EV692" s="4"/>
    </row>
    <row r="693" spans="1:152" x14ac:dyDescent="0.15">
      <c r="A693" s="576"/>
      <c r="EO693" s="6"/>
      <c r="EP693" s="6"/>
      <c r="EQ693" s="6"/>
      <c r="ET693" s="4"/>
      <c r="EU693" s="4"/>
      <c r="EV693" s="4"/>
    </row>
    <row r="694" spans="1:152" x14ac:dyDescent="0.15">
      <c r="A694" s="576"/>
      <c r="EO694" s="6"/>
      <c r="EP694" s="6"/>
      <c r="EQ694" s="6"/>
      <c r="ET694" s="4"/>
      <c r="EU694" s="4"/>
      <c r="EV694" s="4"/>
    </row>
    <row r="695" spans="1:152" x14ac:dyDescent="0.15">
      <c r="A695" s="576"/>
      <c r="EO695" s="6"/>
      <c r="EP695" s="6"/>
      <c r="EQ695" s="6"/>
      <c r="ET695" s="4"/>
      <c r="EU695" s="4"/>
      <c r="EV695" s="4"/>
    </row>
    <row r="696" spans="1:152" x14ac:dyDescent="0.15">
      <c r="A696" s="576"/>
      <c r="EO696" s="6"/>
      <c r="EP696" s="6"/>
      <c r="EQ696" s="6"/>
      <c r="ET696" s="4"/>
      <c r="EU696" s="4"/>
      <c r="EV696" s="4"/>
    </row>
    <row r="697" spans="1:152" x14ac:dyDescent="0.15">
      <c r="A697" s="576"/>
      <c r="EO697" s="6"/>
      <c r="EP697" s="6"/>
      <c r="EQ697" s="6"/>
      <c r="ET697" s="4"/>
      <c r="EU697" s="4"/>
      <c r="EV697" s="4"/>
    </row>
    <row r="698" spans="1:152" x14ac:dyDescent="0.15">
      <c r="A698" s="576"/>
      <c r="EO698" s="6"/>
      <c r="EP698" s="6"/>
      <c r="EQ698" s="6"/>
      <c r="ET698" s="4"/>
      <c r="EU698" s="4"/>
      <c r="EV698" s="4"/>
    </row>
    <row r="699" spans="1:152" x14ac:dyDescent="0.15">
      <c r="A699" s="576"/>
      <c r="EO699" s="6"/>
      <c r="EP699" s="6"/>
      <c r="EQ699" s="6"/>
      <c r="ET699" s="4"/>
      <c r="EU699" s="4"/>
      <c r="EV699" s="4"/>
    </row>
    <row r="700" spans="1:152" x14ac:dyDescent="0.15">
      <c r="A700" s="576"/>
      <c r="EO700" s="6"/>
      <c r="EP700" s="6"/>
      <c r="EQ700" s="6"/>
      <c r="ET700" s="4"/>
      <c r="EU700" s="4"/>
      <c r="EV700" s="4"/>
    </row>
    <row r="701" spans="1:152" x14ac:dyDescent="0.15">
      <c r="A701" s="576"/>
      <c r="EO701" s="6"/>
      <c r="EP701" s="6"/>
      <c r="EQ701" s="6"/>
      <c r="ET701" s="4"/>
      <c r="EU701" s="4"/>
      <c r="EV701" s="4"/>
    </row>
    <row r="702" spans="1:152" x14ac:dyDescent="0.15">
      <c r="A702" s="576"/>
      <c r="EO702" s="6"/>
      <c r="EP702" s="6"/>
      <c r="EQ702" s="6"/>
      <c r="ET702" s="4"/>
      <c r="EU702" s="4"/>
      <c r="EV702" s="4"/>
    </row>
    <row r="703" spans="1:152" x14ac:dyDescent="0.15">
      <c r="A703" s="576"/>
      <c r="EO703" s="6"/>
      <c r="EP703" s="6"/>
      <c r="EQ703" s="6"/>
      <c r="ET703" s="4"/>
      <c r="EU703" s="4"/>
      <c r="EV703" s="4"/>
    </row>
    <row r="704" spans="1:152" x14ac:dyDescent="0.15">
      <c r="A704" s="576"/>
      <c r="EO704" s="6"/>
      <c r="EP704" s="6"/>
      <c r="EQ704" s="6"/>
      <c r="ET704" s="4"/>
      <c r="EU704" s="4"/>
      <c r="EV704" s="4"/>
    </row>
    <row r="705" spans="1:152" x14ac:dyDescent="0.15">
      <c r="A705" s="576"/>
      <c r="EO705" s="6"/>
      <c r="EP705" s="6"/>
      <c r="EQ705" s="6"/>
      <c r="ET705" s="4"/>
      <c r="EU705" s="4"/>
      <c r="EV705" s="4"/>
    </row>
    <row r="706" spans="1:152" x14ac:dyDescent="0.15">
      <c r="A706" s="576"/>
      <c r="EO706" s="6"/>
      <c r="EP706" s="6"/>
      <c r="EQ706" s="6"/>
      <c r="ET706" s="4"/>
      <c r="EU706" s="4"/>
      <c r="EV706" s="4"/>
    </row>
    <row r="707" spans="1:152" x14ac:dyDescent="0.15">
      <c r="A707" s="576"/>
      <c r="EO707" s="6"/>
      <c r="EP707" s="6"/>
      <c r="EQ707" s="6"/>
      <c r="ET707" s="4"/>
      <c r="EU707" s="4"/>
      <c r="EV707" s="4"/>
    </row>
    <row r="708" spans="1:152" x14ac:dyDescent="0.15">
      <c r="A708" s="576"/>
      <c r="EO708" s="6"/>
      <c r="EP708" s="6"/>
      <c r="EQ708" s="6"/>
      <c r="ET708" s="4"/>
      <c r="EU708" s="4"/>
      <c r="EV708" s="4"/>
    </row>
    <row r="709" spans="1:152" x14ac:dyDescent="0.15">
      <c r="A709" s="576"/>
      <c r="EO709" s="6"/>
      <c r="EP709" s="6"/>
      <c r="EQ709" s="6"/>
      <c r="ET709" s="4"/>
      <c r="EU709" s="4"/>
      <c r="EV709" s="4"/>
    </row>
    <row r="710" spans="1:152" x14ac:dyDescent="0.15">
      <c r="A710" s="576"/>
      <c r="EO710" s="6"/>
      <c r="EP710" s="6"/>
      <c r="EQ710" s="6"/>
      <c r="ET710" s="4"/>
      <c r="EU710" s="4"/>
      <c r="EV710" s="4"/>
    </row>
    <row r="711" spans="1:152" x14ac:dyDescent="0.15">
      <c r="A711" s="576"/>
      <c r="EO711" s="6"/>
      <c r="EP711" s="6"/>
      <c r="EQ711" s="6"/>
      <c r="ET711" s="4"/>
      <c r="EU711" s="4"/>
      <c r="EV711" s="4"/>
    </row>
    <row r="712" spans="1:152" x14ac:dyDescent="0.15">
      <c r="A712" s="576"/>
      <c r="EO712" s="6"/>
      <c r="EP712" s="6"/>
      <c r="EQ712" s="6"/>
      <c r="ET712" s="4"/>
      <c r="EU712" s="4"/>
      <c r="EV712" s="4"/>
    </row>
    <row r="713" spans="1:152" x14ac:dyDescent="0.15">
      <c r="A713" s="576"/>
      <c r="EO713" s="6"/>
      <c r="EP713" s="6"/>
      <c r="EQ713" s="6"/>
      <c r="ET713" s="4"/>
      <c r="EU713" s="4"/>
      <c r="EV713" s="4"/>
    </row>
    <row r="714" spans="1:152" x14ac:dyDescent="0.15">
      <c r="A714" s="576"/>
      <c r="EO714" s="6"/>
      <c r="EP714" s="6"/>
      <c r="EQ714" s="6"/>
      <c r="ET714" s="4"/>
      <c r="EU714" s="4"/>
      <c r="EV714" s="4"/>
    </row>
    <row r="715" spans="1:152" x14ac:dyDescent="0.15">
      <c r="A715" s="576"/>
      <c r="EO715" s="6"/>
      <c r="EP715" s="6"/>
      <c r="EQ715" s="6"/>
      <c r="ET715" s="4"/>
      <c r="EU715" s="4"/>
      <c r="EV715" s="4"/>
    </row>
    <row r="716" spans="1:152" x14ac:dyDescent="0.15">
      <c r="A716" s="576"/>
      <c r="EO716" s="6"/>
      <c r="EP716" s="6"/>
      <c r="EQ716" s="6"/>
      <c r="ET716" s="4"/>
      <c r="EU716" s="4"/>
      <c r="EV716" s="4"/>
    </row>
    <row r="717" spans="1:152" x14ac:dyDescent="0.15">
      <c r="A717" s="576"/>
      <c r="EO717" s="6"/>
      <c r="EP717" s="6"/>
      <c r="EQ717" s="6"/>
      <c r="ET717" s="4"/>
      <c r="EU717" s="4"/>
      <c r="EV717" s="4"/>
    </row>
    <row r="718" spans="1:152" x14ac:dyDescent="0.15">
      <c r="A718" s="576"/>
      <c r="EO718" s="6"/>
      <c r="EP718" s="6"/>
      <c r="EQ718" s="6"/>
      <c r="ET718" s="4"/>
      <c r="EU718" s="4"/>
      <c r="EV718" s="4"/>
    </row>
    <row r="719" spans="1:152" x14ac:dyDescent="0.15">
      <c r="A719" s="576"/>
      <c r="EO719" s="6"/>
      <c r="EP719" s="6"/>
      <c r="EQ719" s="6"/>
      <c r="ET719" s="4"/>
      <c r="EU719" s="4"/>
      <c r="EV719" s="4"/>
    </row>
    <row r="720" spans="1:152" x14ac:dyDescent="0.15">
      <c r="A720" s="576"/>
      <c r="EO720" s="6"/>
      <c r="EP720" s="6"/>
      <c r="EQ720" s="6"/>
      <c r="ET720" s="4"/>
      <c r="EU720" s="4"/>
      <c r="EV720" s="4"/>
    </row>
    <row r="721" spans="1:152" x14ac:dyDescent="0.15">
      <c r="A721" s="576"/>
      <c r="EO721" s="6"/>
      <c r="EP721" s="6"/>
      <c r="EQ721" s="6"/>
      <c r="ET721" s="4"/>
      <c r="EU721" s="4"/>
      <c r="EV721" s="4"/>
    </row>
    <row r="722" spans="1:152" x14ac:dyDescent="0.15">
      <c r="A722" s="576"/>
      <c r="EO722" s="6"/>
      <c r="EP722" s="6"/>
      <c r="EQ722" s="6"/>
      <c r="ET722" s="4"/>
      <c r="EU722" s="4"/>
      <c r="EV722" s="4"/>
    </row>
    <row r="723" spans="1:152" x14ac:dyDescent="0.15">
      <c r="A723" s="576"/>
      <c r="EO723" s="6"/>
      <c r="EP723" s="6"/>
      <c r="EQ723" s="6"/>
      <c r="ET723" s="4"/>
      <c r="EU723" s="4"/>
      <c r="EV723" s="4"/>
    </row>
    <row r="724" spans="1:152" x14ac:dyDescent="0.15">
      <c r="A724" s="576"/>
      <c r="EO724" s="6"/>
      <c r="EP724" s="6"/>
      <c r="EQ724" s="6"/>
      <c r="ET724" s="4"/>
      <c r="EU724" s="4"/>
      <c r="EV724" s="4"/>
    </row>
    <row r="725" spans="1:152" x14ac:dyDescent="0.15">
      <c r="A725" s="576"/>
      <c r="EO725" s="6"/>
      <c r="EP725" s="6"/>
      <c r="EQ725" s="6"/>
      <c r="ET725" s="4"/>
      <c r="EU725" s="4"/>
      <c r="EV725" s="4"/>
    </row>
    <row r="726" spans="1:152" x14ac:dyDescent="0.15">
      <c r="A726" s="576"/>
      <c r="EO726" s="6"/>
      <c r="EP726" s="6"/>
      <c r="EQ726" s="6"/>
      <c r="ET726" s="4"/>
      <c r="EU726" s="4"/>
      <c r="EV726" s="4"/>
    </row>
    <row r="727" spans="1:152" x14ac:dyDescent="0.15">
      <c r="A727" s="576"/>
      <c r="EO727" s="6"/>
      <c r="EP727" s="6"/>
      <c r="EQ727" s="6"/>
      <c r="ET727" s="4"/>
      <c r="EU727" s="4"/>
      <c r="EV727" s="4"/>
    </row>
    <row r="728" spans="1:152" x14ac:dyDescent="0.15">
      <c r="A728" s="576"/>
      <c r="EO728" s="6"/>
      <c r="EP728" s="6"/>
      <c r="EQ728" s="6"/>
      <c r="ET728" s="4"/>
      <c r="EU728" s="4"/>
      <c r="EV728" s="4"/>
    </row>
    <row r="729" spans="1:152" x14ac:dyDescent="0.15">
      <c r="A729" s="576"/>
      <c r="EO729" s="6"/>
      <c r="EP729" s="6"/>
      <c r="EQ729" s="6"/>
      <c r="ET729" s="4"/>
      <c r="EU729" s="4"/>
      <c r="EV729" s="4"/>
    </row>
    <row r="730" spans="1:152" x14ac:dyDescent="0.15">
      <c r="A730" s="576"/>
      <c r="EO730" s="6"/>
      <c r="EP730" s="6"/>
      <c r="EQ730" s="6"/>
      <c r="ET730" s="4"/>
      <c r="EU730" s="4"/>
      <c r="EV730" s="4"/>
    </row>
    <row r="731" spans="1:152" x14ac:dyDescent="0.15">
      <c r="A731" s="576"/>
      <c r="EO731" s="6"/>
      <c r="EP731" s="6"/>
      <c r="EQ731" s="6"/>
      <c r="ET731" s="4"/>
      <c r="EU731" s="4"/>
      <c r="EV731" s="4"/>
    </row>
    <row r="732" spans="1:152" x14ac:dyDescent="0.15">
      <c r="A732" s="576"/>
      <c r="EO732" s="6"/>
      <c r="EP732" s="6"/>
      <c r="EQ732" s="6"/>
      <c r="ET732" s="4"/>
      <c r="EU732" s="4"/>
      <c r="EV732" s="4"/>
    </row>
    <row r="733" spans="1:152" x14ac:dyDescent="0.15">
      <c r="A733" s="576"/>
      <c r="EO733" s="6"/>
      <c r="EP733" s="6"/>
      <c r="EQ733" s="6"/>
      <c r="ET733" s="4"/>
      <c r="EU733" s="4"/>
      <c r="EV733" s="4"/>
    </row>
    <row r="734" spans="1:152" x14ac:dyDescent="0.15">
      <c r="A734" s="576"/>
      <c r="EO734" s="6"/>
      <c r="EP734" s="6"/>
      <c r="EQ734" s="6"/>
      <c r="ET734" s="4"/>
      <c r="EU734" s="4"/>
      <c r="EV734" s="4"/>
    </row>
    <row r="735" spans="1:152" x14ac:dyDescent="0.15">
      <c r="A735" s="576"/>
      <c r="EO735" s="6"/>
      <c r="EP735" s="6"/>
      <c r="EQ735" s="6"/>
      <c r="ET735" s="4"/>
      <c r="EU735" s="4"/>
      <c r="EV735" s="4"/>
    </row>
    <row r="736" spans="1:152" x14ac:dyDescent="0.15">
      <c r="A736" s="576"/>
      <c r="EO736" s="6"/>
      <c r="EP736" s="6"/>
      <c r="EQ736" s="6"/>
      <c r="ET736" s="4"/>
      <c r="EU736" s="4"/>
      <c r="EV736" s="4"/>
    </row>
    <row r="737" spans="1:152" x14ac:dyDescent="0.15">
      <c r="A737" s="576"/>
      <c r="EO737" s="6"/>
      <c r="EP737" s="6"/>
      <c r="EQ737" s="6"/>
      <c r="ET737" s="4"/>
      <c r="EU737" s="4"/>
      <c r="EV737" s="4"/>
    </row>
    <row r="738" spans="1:152" x14ac:dyDescent="0.15">
      <c r="A738" s="576"/>
      <c r="EO738" s="6"/>
      <c r="EP738" s="6"/>
      <c r="EQ738" s="6"/>
      <c r="ET738" s="4"/>
      <c r="EU738" s="4"/>
      <c r="EV738" s="4"/>
    </row>
    <row r="739" spans="1:152" x14ac:dyDescent="0.15">
      <c r="A739" s="576"/>
      <c r="EO739" s="6"/>
      <c r="EP739" s="6"/>
      <c r="EQ739" s="6"/>
      <c r="ET739" s="4"/>
      <c r="EU739" s="4"/>
      <c r="EV739" s="4"/>
    </row>
    <row r="740" spans="1:152" x14ac:dyDescent="0.15">
      <c r="A740" s="576"/>
      <c r="EO740" s="6"/>
      <c r="EP740" s="6"/>
      <c r="EQ740" s="6"/>
      <c r="ET740" s="4"/>
      <c r="EU740" s="4"/>
      <c r="EV740" s="4"/>
    </row>
    <row r="741" spans="1:152" x14ac:dyDescent="0.15">
      <c r="A741" s="576"/>
      <c r="EO741" s="6"/>
      <c r="EP741" s="6"/>
      <c r="EQ741" s="6"/>
      <c r="ET741" s="4"/>
      <c r="EU741" s="4"/>
      <c r="EV741" s="4"/>
    </row>
    <row r="742" spans="1:152" x14ac:dyDescent="0.15">
      <c r="A742" s="576"/>
      <c r="EO742" s="6"/>
      <c r="EP742" s="6"/>
      <c r="EQ742" s="6"/>
      <c r="ET742" s="4"/>
      <c r="EU742" s="4"/>
      <c r="EV742" s="4"/>
    </row>
    <row r="743" spans="1:152" x14ac:dyDescent="0.15">
      <c r="A743" s="576"/>
      <c r="EO743" s="6"/>
      <c r="EP743" s="6"/>
      <c r="EQ743" s="6"/>
      <c r="ET743" s="4"/>
      <c r="EU743" s="4"/>
      <c r="EV743" s="4"/>
    </row>
    <row r="744" spans="1:152" x14ac:dyDescent="0.15">
      <c r="A744" s="576"/>
      <c r="EO744" s="6"/>
      <c r="EP744" s="6"/>
      <c r="EQ744" s="6"/>
      <c r="ET744" s="4"/>
      <c r="EU744" s="4"/>
      <c r="EV744" s="4"/>
    </row>
    <row r="745" spans="1:152" x14ac:dyDescent="0.15">
      <c r="A745" s="576"/>
      <c r="EO745" s="6"/>
      <c r="EP745" s="6"/>
      <c r="EQ745" s="6"/>
      <c r="ET745" s="4"/>
      <c r="EU745" s="4"/>
      <c r="EV745" s="4"/>
    </row>
    <row r="746" spans="1:152" x14ac:dyDescent="0.15">
      <c r="A746" s="576"/>
      <c r="EO746" s="6"/>
      <c r="EP746" s="6"/>
      <c r="EQ746" s="6"/>
      <c r="ET746" s="4"/>
      <c r="EU746" s="4"/>
      <c r="EV746" s="4"/>
    </row>
    <row r="747" spans="1:152" x14ac:dyDescent="0.15">
      <c r="A747" s="576"/>
      <c r="EO747" s="6"/>
      <c r="EP747" s="6"/>
      <c r="EQ747" s="6"/>
      <c r="ET747" s="4"/>
      <c r="EU747" s="4"/>
      <c r="EV747" s="4"/>
    </row>
    <row r="748" spans="1:152" x14ac:dyDescent="0.15">
      <c r="A748" s="576"/>
      <c r="EO748" s="6"/>
      <c r="EP748" s="6"/>
      <c r="EQ748" s="6"/>
      <c r="ET748" s="4"/>
      <c r="EU748" s="4"/>
      <c r="EV748" s="4"/>
    </row>
    <row r="749" spans="1:152" x14ac:dyDescent="0.15">
      <c r="A749" s="576"/>
      <c r="EO749" s="6"/>
      <c r="EP749" s="6"/>
      <c r="EQ749" s="6"/>
      <c r="ET749" s="4"/>
      <c r="EU749" s="4"/>
      <c r="EV749" s="4"/>
    </row>
    <row r="750" spans="1:152" x14ac:dyDescent="0.15">
      <c r="A750" s="576"/>
      <c r="EO750" s="6"/>
      <c r="EP750" s="6"/>
      <c r="EQ750" s="6"/>
      <c r="ET750" s="4"/>
      <c r="EU750" s="4"/>
      <c r="EV750" s="4"/>
    </row>
    <row r="751" spans="1:152" x14ac:dyDescent="0.15">
      <c r="A751" s="576"/>
      <c r="EO751" s="6"/>
      <c r="EP751" s="6"/>
      <c r="EQ751" s="6"/>
      <c r="ET751" s="4"/>
      <c r="EU751" s="4"/>
      <c r="EV751" s="4"/>
    </row>
    <row r="752" spans="1:152" x14ac:dyDescent="0.15">
      <c r="A752" s="576"/>
      <c r="EO752" s="6"/>
      <c r="EP752" s="6"/>
      <c r="EQ752" s="6"/>
      <c r="ET752" s="4"/>
      <c r="EU752" s="4"/>
      <c r="EV752" s="4"/>
    </row>
    <row r="753" spans="1:152" x14ac:dyDescent="0.15">
      <c r="A753" s="576"/>
      <c r="EO753" s="6"/>
      <c r="EP753" s="6"/>
      <c r="EQ753" s="6"/>
      <c r="ET753" s="4"/>
      <c r="EU753" s="4"/>
      <c r="EV753" s="4"/>
    </row>
    <row r="754" spans="1:152" x14ac:dyDescent="0.15">
      <c r="A754" s="576"/>
      <c r="EO754" s="6"/>
      <c r="EP754" s="6"/>
      <c r="EQ754" s="6"/>
      <c r="ET754" s="4"/>
      <c r="EU754" s="4"/>
      <c r="EV754" s="4"/>
    </row>
    <row r="755" spans="1:152" x14ac:dyDescent="0.15">
      <c r="A755" s="576"/>
      <c r="EO755" s="6"/>
      <c r="EP755" s="6"/>
      <c r="EQ755" s="6"/>
      <c r="ET755" s="4"/>
      <c r="EU755" s="4"/>
      <c r="EV755" s="4"/>
    </row>
    <row r="756" spans="1:152" x14ac:dyDescent="0.15">
      <c r="A756" s="576"/>
      <c r="EO756" s="6"/>
      <c r="EP756" s="6"/>
      <c r="EQ756" s="6"/>
      <c r="ET756" s="4"/>
      <c r="EU756" s="4"/>
      <c r="EV756" s="4"/>
    </row>
    <row r="757" spans="1:152" x14ac:dyDescent="0.15">
      <c r="A757" s="576"/>
      <c r="EO757" s="6"/>
      <c r="EP757" s="6"/>
      <c r="EQ757" s="6"/>
      <c r="ET757" s="4"/>
      <c r="EU757" s="4"/>
      <c r="EV757" s="4"/>
    </row>
    <row r="758" spans="1:152" x14ac:dyDescent="0.15">
      <c r="A758" s="576"/>
      <c r="EO758" s="6"/>
      <c r="EP758" s="6"/>
      <c r="EQ758" s="6"/>
      <c r="ET758" s="4"/>
      <c r="EU758" s="4"/>
      <c r="EV758" s="4"/>
    </row>
    <row r="759" spans="1:152" x14ac:dyDescent="0.15">
      <c r="A759" s="576"/>
      <c r="EO759" s="6"/>
      <c r="EP759" s="6"/>
      <c r="EQ759" s="6"/>
      <c r="ET759" s="4"/>
      <c r="EU759" s="4"/>
      <c r="EV759" s="4"/>
    </row>
    <row r="760" spans="1:152" x14ac:dyDescent="0.15">
      <c r="A760" s="576"/>
      <c r="EO760" s="6"/>
      <c r="EP760" s="6"/>
      <c r="EQ760" s="6"/>
      <c r="ET760" s="4"/>
      <c r="EU760" s="4"/>
      <c r="EV760" s="4"/>
    </row>
    <row r="761" spans="1:152" x14ac:dyDescent="0.15">
      <c r="A761" s="576"/>
      <c r="EO761" s="6"/>
      <c r="EP761" s="6"/>
      <c r="EQ761" s="6"/>
      <c r="ET761" s="4"/>
      <c r="EU761" s="4"/>
      <c r="EV761" s="4"/>
    </row>
    <row r="762" spans="1:152" x14ac:dyDescent="0.15">
      <c r="A762" s="576"/>
      <c r="EO762" s="6"/>
      <c r="EP762" s="6"/>
      <c r="EQ762" s="6"/>
      <c r="ET762" s="4"/>
      <c r="EU762" s="4"/>
      <c r="EV762" s="4"/>
    </row>
    <row r="763" spans="1:152" x14ac:dyDescent="0.15">
      <c r="A763" s="576"/>
      <c r="EO763" s="6"/>
      <c r="EP763" s="6"/>
      <c r="EQ763" s="6"/>
      <c r="ET763" s="4"/>
      <c r="EU763" s="4"/>
      <c r="EV763" s="4"/>
    </row>
    <row r="764" spans="1:152" x14ac:dyDescent="0.15">
      <c r="A764" s="576"/>
      <c r="EO764" s="6"/>
      <c r="EP764" s="6"/>
      <c r="EQ764" s="6"/>
      <c r="ET764" s="4"/>
      <c r="EU764" s="4"/>
      <c r="EV764" s="4"/>
    </row>
    <row r="765" spans="1:152" x14ac:dyDescent="0.15">
      <c r="A765" s="576"/>
      <c r="EO765" s="6"/>
      <c r="EP765" s="6"/>
      <c r="EQ765" s="6"/>
      <c r="ET765" s="4"/>
      <c r="EU765" s="4"/>
      <c r="EV765" s="4"/>
    </row>
    <row r="766" spans="1:152" x14ac:dyDescent="0.15">
      <c r="A766" s="576"/>
      <c r="EO766" s="6"/>
      <c r="EP766" s="6"/>
      <c r="EQ766" s="6"/>
      <c r="ET766" s="4"/>
      <c r="EU766" s="4"/>
      <c r="EV766" s="4"/>
    </row>
    <row r="767" spans="1:152" x14ac:dyDescent="0.15">
      <c r="A767" s="576"/>
      <c r="EO767" s="6"/>
      <c r="EP767" s="6"/>
      <c r="EQ767" s="6"/>
      <c r="ET767" s="4"/>
      <c r="EU767" s="4"/>
      <c r="EV767" s="4"/>
    </row>
    <row r="768" spans="1:152" x14ac:dyDescent="0.15">
      <c r="A768" s="576"/>
      <c r="EO768" s="6"/>
      <c r="EP768" s="6"/>
      <c r="EQ768" s="6"/>
      <c r="ET768" s="4"/>
      <c r="EU768" s="4"/>
      <c r="EV768" s="4"/>
    </row>
    <row r="769" spans="1:152" x14ac:dyDescent="0.15">
      <c r="A769" s="576"/>
      <c r="EO769" s="6"/>
      <c r="EP769" s="6"/>
      <c r="EQ769" s="6"/>
      <c r="ET769" s="4"/>
      <c r="EU769" s="4"/>
      <c r="EV769" s="4"/>
    </row>
    <row r="770" spans="1:152" x14ac:dyDescent="0.15">
      <c r="A770" s="576"/>
      <c r="EO770" s="6"/>
      <c r="EP770" s="6"/>
      <c r="EQ770" s="6"/>
      <c r="ET770" s="4"/>
      <c r="EU770" s="4"/>
      <c r="EV770" s="4"/>
    </row>
    <row r="771" spans="1:152" x14ac:dyDescent="0.15">
      <c r="A771" s="576"/>
      <c r="EO771" s="6"/>
      <c r="EP771" s="6"/>
      <c r="EQ771" s="6"/>
      <c r="ET771" s="4"/>
      <c r="EU771" s="4"/>
      <c r="EV771" s="4"/>
    </row>
    <row r="772" spans="1:152" x14ac:dyDescent="0.15">
      <c r="A772" s="576"/>
      <c r="EO772" s="6"/>
      <c r="EP772" s="6"/>
      <c r="EQ772" s="6"/>
      <c r="ET772" s="4"/>
      <c r="EU772" s="4"/>
      <c r="EV772" s="4"/>
    </row>
    <row r="773" spans="1:152" x14ac:dyDescent="0.15">
      <c r="A773" s="576"/>
      <c r="EO773" s="6"/>
      <c r="EP773" s="6"/>
      <c r="EQ773" s="6"/>
      <c r="ET773" s="4"/>
      <c r="EU773" s="4"/>
      <c r="EV773" s="4"/>
    </row>
    <row r="774" spans="1:152" x14ac:dyDescent="0.15">
      <c r="A774" s="576"/>
      <c r="EO774" s="6"/>
      <c r="EP774" s="6"/>
      <c r="EQ774" s="6"/>
      <c r="ET774" s="4"/>
      <c r="EU774" s="4"/>
      <c r="EV774" s="4"/>
    </row>
    <row r="775" spans="1:152" x14ac:dyDescent="0.15">
      <c r="A775" s="576"/>
      <c r="EO775" s="6"/>
      <c r="EP775" s="6"/>
      <c r="EQ775" s="6"/>
      <c r="ET775" s="4"/>
      <c r="EU775" s="4"/>
      <c r="EV775" s="4"/>
    </row>
    <row r="776" spans="1:152" x14ac:dyDescent="0.15">
      <c r="A776" s="576"/>
      <c r="EO776" s="6"/>
      <c r="EP776" s="6"/>
      <c r="EQ776" s="6"/>
      <c r="ET776" s="4"/>
      <c r="EU776" s="4"/>
      <c r="EV776" s="4"/>
    </row>
    <row r="777" spans="1:152" x14ac:dyDescent="0.15">
      <c r="A777" s="576"/>
      <c r="EO777" s="6"/>
      <c r="EP777" s="6"/>
      <c r="EQ777" s="6"/>
      <c r="ET777" s="4"/>
      <c r="EU777" s="4"/>
      <c r="EV777" s="4"/>
    </row>
    <row r="778" spans="1:152" x14ac:dyDescent="0.15">
      <c r="A778" s="576"/>
      <c r="EO778" s="6"/>
      <c r="EP778" s="6"/>
      <c r="EQ778" s="6"/>
      <c r="ET778" s="4"/>
      <c r="EU778" s="4"/>
      <c r="EV778" s="4"/>
    </row>
    <row r="779" spans="1:152" x14ac:dyDescent="0.15">
      <c r="A779" s="576"/>
      <c r="EO779" s="6"/>
      <c r="EP779" s="6"/>
      <c r="EQ779" s="6"/>
      <c r="ET779" s="4"/>
      <c r="EU779" s="4"/>
      <c r="EV779" s="4"/>
    </row>
    <row r="780" spans="1:152" x14ac:dyDescent="0.15">
      <c r="A780" s="576"/>
      <c r="EO780" s="6"/>
      <c r="EP780" s="6"/>
      <c r="EQ780" s="6"/>
      <c r="ET780" s="4"/>
      <c r="EU780" s="4"/>
      <c r="EV780" s="4"/>
    </row>
    <row r="781" spans="1:152" x14ac:dyDescent="0.15">
      <c r="A781" s="576"/>
      <c r="EO781" s="6"/>
      <c r="EP781" s="6"/>
      <c r="EQ781" s="6"/>
      <c r="ET781" s="4"/>
      <c r="EU781" s="4"/>
      <c r="EV781" s="4"/>
    </row>
    <row r="782" spans="1:152" x14ac:dyDescent="0.15">
      <c r="A782" s="576"/>
      <c r="EO782" s="6"/>
      <c r="EP782" s="6"/>
      <c r="EQ782" s="6"/>
      <c r="ET782" s="4"/>
      <c r="EU782" s="4"/>
      <c r="EV782" s="4"/>
    </row>
    <row r="783" spans="1:152" x14ac:dyDescent="0.15">
      <c r="A783" s="576"/>
      <c r="EO783" s="6"/>
      <c r="EP783" s="6"/>
      <c r="EQ783" s="6"/>
      <c r="ET783" s="4"/>
      <c r="EU783" s="4"/>
      <c r="EV783" s="4"/>
    </row>
    <row r="784" spans="1:152" x14ac:dyDescent="0.15">
      <c r="A784" s="576"/>
      <c r="EO784" s="6"/>
      <c r="EP784" s="6"/>
      <c r="EQ784" s="6"/>
      <c r="ET784" s="4"/>
      <c r="EU784" s="4"/>
      <c r="EV784" s="4"/>
    </row>
    <row r="785" spans="1:152" x14ac:dyDescent="0.15">
      <c r="A785" s="576"/>
      <c r="EO785" s="6"/>
      <c r="EP785" s="6"/>
      <c r="EQ785" s="6"/>
      <c r="ET785" s="4"/>
      <c r="EU785" s="4"/>
      <c r="EV785" s="4"/>
    </row>
    <row r="786" spans="1:152" x14ac:dyDescent="0.15">
      <c r="A786" s="576"/>
      <c r="EO786" s="6"/>
      <c r="EP786" s="6"/>
      <c r="EQ786" s="6"/>
      <c r="ET786" s="4"/>
      <c r="EU786" s="4"/>
      <c r="EV786" s="4"/>
    </row>
    <row r="787" spans="1:152" x14ac:dyDescent="0.15">
      <c r="A787" s="576"/>
      <c r="EO787" s="6"/>
      <c r="EP787" s="6"/>
      <c r="EQ787" s="6"/>
      <c r="ET787" s="4"/>
      <c r="EU787" s="4"/>
      <c r="EV787" s="4"/>
    </row>
    <row r="788" spans="1:152" x14ac:dyDescent="0.15">
      <c r="A788" s="576"/>
      <c r="EO788" s="6"/>
      <c r="EP788" s="6"/>
      <c r="EQ788" s="6"/>
      <c r="ET788" s="4"/>
      <c r="EU788" s="4"/>
      <c r="EV788" s="4"/>
    </row>
    <row r="789" spans="1:152" x14ac:dyDescent="0.15">
      <c r="A789" s="576"/>
      <c r="EO789" s="6"/>
      <c r="EP789" s="6"/>
      <c r="EQ789" s="6"/>
      <c r="ET789" s="4"/>
      <c r="EU789" s="4"/>
      <c r="EV789" s="4"/>
    </row>
    <row r="790" spans="1:152" x14ac:dyDescent="0.15">
      <c r="A790" s="576"/>
      <c r="EO790" s="6"/>
      <c r="EP790" s="6"/>
      <c r="EQ790" s="6"/>
      <c r="ET790" s="4"/>
      <c r="EU790" s="4"/>
      <c r="EV790" s="4"/>
    </row>
    <row r="791" spans="1:152" x14ac:dyDescent="0.15">
      <c r="A791" s="576"/>
      <c r="EO791" s="6"/>
      <c r="EP791" s="6"/>
      <c r="EQ791" s="6"/>
      <c r="ET791" s="4"/>
      <c r="EU791" s="4"/>
      <c r="EV791" s="4"/>
    </row>
    <row r="792" spans="1:152" x14ac:dyDescent="0.15">
      <c r="A792" s="576"/>
      <c r="EO792" s="6"/>
      <c r="EP792" s="6"/>
      <c r="EQ792" s="6"/>
      <c r="ET792" s="4"/>
      <c r="EU792" s="4"/>
      <c r="EV792" s="4"/>
    </row>
    <row r="793" spans="1:152" x14ac:dyDescent="0.15">
      <c r="A793" s="576"/>
      <c r="EO793" s="6"/>
      <c r="EP793" s="6"/>
      <c r="EQ793" s="6"/>
      <c r="ET793" s="4"/>
      <c r="EU793" s="4"/>
      <c r="EV793" s="4"/>
    </row>
    <row r="794" spans="1:152" x14ac:dyDescent="0.15">
      <c r="A794" s="576"/>
      <c r="EO794" s="6"/>
      <c r="EP794" s="6"/>
      <c r="EQ794" s="6"/>
      <c r="ET794" s="4"/>
      <c r="EU794" s="4"/>
      <c r="EV794" s="4"/>
    </row>
    <row r="795" spans="1:152" x14ac:dyDescent="0.15">
      <c r="A795" s="576"/>
      <c r="EO795" s="6"/>
      <c r="EP795" s="6"/>
      <c r="EQ795" s="6"/>
      <c r="ET795" s="4"/>
      <c r="EU795" s="4"/>
      <c r="EV795" s="4"/>
    </row>
    <row r="796" spans="1:152" x14ac:dyDescent="0.15">
      <c r="A796" s="576"/>
      <c r="EO796" s="6"/>
      <c r="EP796" s="6"/>
      <c r="EQ796" s="6"/>
      <c r="ET796" s="4"/>
      <c r="EU796" s="4"/>
      <c r="EV796" s="4"/>
    </row>
    <row r="797" spans="1:152" x14ac:dyDescent="0.15">
      <c r="A797" s="576"/>
      <c r="EO797" s="6"/>
      <c r="EP797" s="6"/>
      <c r="EQ797" s="6"/>
      <c r="ET797" s="4"/>
      <c r="EU797" s="4"/>
      <c r="EV797" s="4"/>
    </row>
    <row r="798" spans="1:152" x14ac:dyDescent="0.15">
      <c r="A798" s="576"/>
      <c r="EO798" s="6"/>
      <c r="EP798" s="6"/>
      <c r="EQ798" s="6"/>
      <c r="ET798" s="4"/>
      <c r="EU798" s="4"/>
      <c r="EV798" s="4"/>
    </row>
    <row r="799" spans="1:152" x14ac:dyDescent="0.15">
      <c r="A799" s="576"/>
      <c r="EO799" s="6"/>
      <c r="EP799" s="6"/>
      <c r="EQ799" s="6"/>
      <c r="ET799" s="4"/>
      <c r="EU799" s="4"/>
      <c r="EV799" s="4"/>
    </row>
    <row r="800" spans="1:152" x14ac:dyDescent="0.15">
      <c r="A800" s="576"/>
      <c r="EO800" s="6"/>
      <c r="EP800" s="6"/>
      <c r="EQ800" s="6"/>
      <c r="ET800" s="4"/>
      <c r="EU800" s="4"/>
      <c r="EV800" s="4"/>
    </row>
    <row r="801" spans="1:152" x14ac:dyDescent="0.15">
      <c r="A801" s="576"/>
      <c r="EO801" s="6"/>
      <c r="EP801" s="6"/>
      <c r="EQ801" s="6"/>
      <c r="ET801" s="4"/>
      <c r="EU801" s="4"/>
      <c r="EV801" s="4"/>
    </row>
    <row r="802" spans="1:152" x14ac:dyDescent="0.15">
      <c r="A802" s="576"/>
      <c r="EO802" s="6"/>
      <c r="EP802" s="6"/>
      <c r="EQ802" s="6"/>
      <c r="ET802" s="4"/>
      <c r="EU802" s="4"/>
      <c r="EV802" s="4"/>
    </row>
    <row r="803" spans="1:152" x14ac:dyDescent="0.15">
      <c r="A803" s="576"/>
      <c r="EO803" s="6"/>
      <c r="EP803" s="6"/>
      <c r="EQ803" s="6"/>
      <c r="ET803" s="4"/>
      <c r="EU803" s="4"/>
      <c r="EV803" s="4"/>
    </row>
    <row r="804" spans="1:152" x14ac:dyDescent="0.15">
      <c r="A804" s="576"/>
      <c r="EO804" s="6"/>
      <c r="EP804" s="6"/>
      <c r="EQ804" s="6"/>
      <c r="ET804" s="4"/>
      <c r="EU804" s="4"/>
      <c r="EV804" s="4"/>
    </row>
    <row r="805" spans="1:152" x14ac:dyDescent="0.15">
      <c r="A805" s="576"/>
      <c r="EO805" s="6"/>
      <c r="EP805" s="6"/>
      <c r="EQ805" s="6"/>
      <c r="ET805" s="4"/>
      <c r="EU805" s="4"/>
      <c r="EV805" s="4"/>
    </row>
    <row r="806" spans="1:152" x14ac:dyDescent="0.15">
      <c r="A806" s="576"/>
      <c r="EO806" s="6"/>
      <c r="EP806" s="6"/>
      <c r="EQ806" s="6"/>
      <c r="ET806" s="4"/>
      <c r="EU806" s="4"/>
      <c r="EV806" s="4"/>
    </row>
    <row r="807" spans="1:152" x14ac:dyDescent="0.15">
      <c r="A807" s="576"/>
      <c r="EO807" s="6"/>
      <c r="EP807" s="6"/>
      <c r="EQ807" s="6"/>
      <c r="ET807" s="4"/>
      <c r="EU807" s="4"/>
      <c r="EV807" s="4"/>
    </row>
    <row r="808" spans="1:152" x14ac:dyDescent="0.15">
      <c r="A808" s="576"/>
      <c r="EO808" s="6"/>
      <c r="EP808" s="6"/>
      <c r="EQ808" s="6"/>
      <c r="ET808" s="4"/>
      <c r="EU808" s="4"/>
      <c r="EV808" s="4"/>
    </row>
    <row r="809" spans="1:152" x14ac:dyDescent="0.15">
      <c r="A809" s="576"/>
      <c r="EO809" s="6"/>
      <c r="EP809" s="6"/>
      <c r="EQ809" s="6"/>
      <c r="ET809" s="4"/>
      <c r="EU809" s="4"/>
      <c r="EV809" s="4"/>
    </row>
    <row r="810" spans="1:152" x14ac:dyDescent="0.15">
      <c r="A810" s="576"/>
      <c r="EO810" s="6"/>
      <c r="EP810" s="6"/>
      <c r="EQ810" s="6"/>
      <c r="ET810" s="4"/>
      <c r="EU810" s="4"/>
      <c r="EV810" s="4"/>
    </row>
    <row r="811" spans="1:152" x14ac:dyDescent="0.15">
      <c r="A811" s="576"/>
      <c r="EO811" s="6"/>
      <c r="EP811" s="6"/>
      <c r="EQ811" s="6"/>
      <c r="ET811" s="4"/>
      <c r="EU811" s="4"/>
      <c r="EV811" s="4"/>
    </row>
    <row r="812" spans="1:152" x14ac:dyDescent="0.15">
      <c r="A812" s="576"/>
      <c r="EO812" s="6"/>
      <c r="EP812" s="6"/>
      <c r="EQ812" s="6"/>
      <c r="ET812" s="4"/>
      <c r="EU812" s="4"/>
      <c r="EV812" s="4"/>
    </row>
    <row r="813" spans="1:152" x14ac:dyDescent="0.15">
      <c r="A813" s="576"/>
      <c r="EO813" s="6"/>
      <c r="EP813" s="6"/>
      <c r="EQ813" s="6"/>
      <c r="ET813" s="4"/>
      <c r="EU813" s="4"/>
      <c r="EV813" s="4"/>
    </row>
    <row r="814" spans="1:152" x14ac:dyDescent="0.15">
      <c r="A814" s="576"/>
      <c r="EO814" s="6"/>
      <c r="EP814" s="6"/>
      <c r="EQ814" s="6"/>
      <c r="ET814" s="4"/>
      <c r="EU814" s="4"/>
      <c r="EV814" s="4"/>
    </row>
    <row r="815" spans="1:152" x14ac:dyDescent="0.15">
      <c r="A815" s="576"/>
      <c r="EO815" s="6"/>
      <c r="EP815" s="6"/>
      <c r="EQ815" s="6"/>
      <c r="ET815" s="4"/>
      <c r="EU815" s="4"/>
      <c r="EV815" s="4"/>
    </row>
    <row r="816" spans="1:152" x14ac:dyDescent="0.15">
      <c r="A816" s="576"/>
      <c r="EO816" s="6"/>
      <c r="EP816" s="6"/>
      <c r="EQ816" s="6"/>
      <c r="ET816" s="4"/>
      <c r="EU816" s="4"/>
      <c r="EV816" s="4"/>
    </row>
    <row r="817" spans="1:152" x14ac:dyDescent="0.15">
      <c r="A817" s="576"/>
      <c r="EO817" s="6"/>
      <c r="EP817" s="6"/>
      <c r="EQ817" s="6"/>
      <c r="ET817" s="4"/>
      <c r="EU817" s="4"/>
      <c r="EV817" s="4"/>
    </row>
    <row r="818" spans="1:152" x14ac:dyDescent="0.15">
      <c r="A818" s="576"/>
      <c r="EO818" s="6"/>
      <c r="EP818" s="6"/>
      <c r="EQ818" s="6"/>
      <c r="ET818" s="4"/>
      <c r="EU818" s="4"/>
      <c r="EV818" s="4"/>
    </row>
    <row r="819" spans="1:152" x14ac:dyDescent="0.15">
      <c r="A819" s="576"/>
      <c r="EO819" s="6"/>
      <c r="EP819" s="6"/>
      <c r="EQ819" s="6"/>
      <c r="ET819" s="4"/>
      <c r="EU819" s="4"/>
      <c r="EV819" s="4"/>
    </row>
    <row r="820" spans="1:152" x14ac:dyDescent="0.15">
      <c r="A820" s="576"/>
      <c r="EO820" s="6"/>
      <c r="EP820" s="6"/>
      <c r="EQ820" s="6"/>
      <c r="ET820" s="4"/>
      <c r="EU820" s="4"/>
      <c r="EV820" s="4"/>
    </row>
    <row r="821" spans="1:152" x14ac:dyDescent="0.15">
      <c r="A821" s="576"/>
      <c r="EO821" s="6"/>
      <c r="EP821" s="6"/>
      <c r="EQ821" s="6"/>
      <c r="ET821" s="4"/>
      <c r="EU821" s="4"/>
      <c r="EV821" s="4"/>
    </row>
    <row r="822" spans="1:152" x14ac:dyDescent="0.15">
      <c r="A822" s="576"/>
      <c r="EO822" s="6"/>
      <c r="EP822" s="6"/>
      <c r="EQ822" s="6"/>
      <c r="ET822" s="4"/>
      <c r="EU822" s="4"/>
      <c r="EV822" s="4"/>
    </row>
    <row r="823" spans="1:152" x14ac:dyDescent="0.15">
      <c r="A823" s="576"/>
      <c r="EO823" s="6"/>
      <c r="EP823" s="6"/>
      <c r="EQ823" s="6"/>
      <c r="ET823" s="4"/>
      <c r="EU823" s="4"/>
      <c r="EV823" s="4"/>
    </row>
    <row r="824" spans="1:152" x14ac:dyDescent="0.15">
      <c r="A824" s="576"/>
      <c r="EO824" s="6"/>
      <c r="EP824" s="6"/>
      <c r="EQ824" s="6"/>
      <c r="ET824" s="4"/>
      <c r="EU824" s="4"/>
      <c r="EV824" s="4"/>
    </row>
    <row r="825" spans="1:152" x14ac:dyDescent="0.15">
      <c r="A825" s="576"/>
      <c r="EO825" s="6"/>
      <c r="EP825" s="6"/>
      <c r="EQ825" s="6"/>
      <c r="ET825" s="4"/>
      <c r="EU825" s="4"/>
      <c r="EV825" s="4"/>
    </row>
    <row r="826" spans="1:152" x14ac:dyDescent="0.15">
      <c r="A826" s="576"/>
      <c r="EO826" s="6"/>
      <c r="EP826" s="6"/>
      <c r="EQ826" s="6"/>
      <c r="ET826" s="4"/>
      <c r="EU826" s="4"/>
      <c r="EV826" s="4"/>
    </row>
    <row r="827" spans="1:152" x14ac:dyDescent="0.15">
      <c r="A827" s="576"/>
      <c r="EO827" s="6"/>
      <c r="EP827" s="6"/>
      <c r="EQ827" s="6"/>
      <c r="ET827" s="4"/>
      <c r="EU827" s="4"/>
      <c r="EV827" s="4"/>
    </row>
    <row r="828" spans="1:152" x14ac:dyDescent="0.15">
      <c r="A828" s="576"/>
      <c r="EO828" s="6"/>
      <c r="EP828" s="6"/>
      <c r="EQ828" s="6"/>
      <c r="ET828" s="4"/>
      <c r="EU828" s="4"/>
      <c r="EV828" s="4"/>
    </row>
    <row r="829" spans="1:152" x14ac:dyDescent="0.15">
      <c r="A829" s="576"/>
      <c r="EO829" s="6"/>
      <c r="EP829" s="6"/>
      <c r="EQ829" s="6"/>
      <c r="ET829" s="4"/>
      <c r="EU829" s="4"/>
      <c r="EV829" s="4"/>
    </row>
    <row r="830" spans="1:152" x14ac:dyDescent="0.15">
      <c r="A830" s="576"/>
      <c r="EO830" s="6"/>
      <c r="EP830" s="6"/>
      <c r="EQ830" s="6"/>
      <c r="ET830" s="4"/>
      <c r="EU830" s="4"/>
      <c r="EV830" s="4"/>
    </row>
    <row r="831" spans="1:152" x14ac:dyDescent="0.15">
      <c r="A831" s="576"/>
      <c r="EO831" s="6"/>
      <c r="EP831" s="6"/>
      <c r="EQ831" s="6"/>
      <c r="ET831" s="4"/>
      <c r="EU831" s="4"/>
      <c r="EV831" s="4"/>
    </row>
    <row r="832" spans="1:152" x14ac:dyDescent="0.15">
      <c r="A832" s="576"/>
      <c r="EO832" s="6"/>
      <c r="EP832" s="6"/>
      <c r="EQ832" s="6"/>
      <c r="ET832" s="4"/>
      <c r="EU832" s="4"/>
      <c r="EV832" s="4"/>
    </row>
    <row r="833" spans="1:152" x14ac:dyDescent="0.15">
      <c r="A833" s="576"/>
      <c r="EO833" s="6"/>
      <c r="EP833" s="6"/>
      <c r="EQ833" s="6"/>
      <c r="ET833" s="4"/>
      <c r="EU833" s="4"/>
      <c r="EV833" s="4"/>
    </row>
    <row r="834" spans="1:152" x14ac:dyDescent="0.15">
      <c r="A834" s="576"/>
      <c r="EO834" s="6"/>
      <c r="EP834" s="6"/>
      <c r="EQ834" s="6"/>
      <c r="ET834" s="4"/>
      <c r="EU834" s="4"/>
      <c r="EV834" s="4"/>
    </row>
    <row r="835" spans="1:152" x14ac:dyDescent="0.15">
      <c r="A835" s="576"/>
      <c r="EO835" s="6"/>
      <c r="EP835" s="6"/>
      <c r="EQ835" s="6"/>
      <c r="ET835" s="4"/>
      <c r="EU835" s="4"/>
      <c r="EV835" s="4"/>
    </row>
    <row r="836" spans="1:152" x14ac:dyDescent="0.15">
      <c r="A836" s="576"/>
      <c r="EO836" s="6"/>
      <c r="EP836" s="6"/>
      <c r="EQ836" s="6"/>
      <c r="ET836" s="4"/>
      <c r="EU836" s="4"/>
      <c r="EV836" s="4"/>
    </row>
    <row r="837" spans="1:152" x14ac:dyDescent="0.15">
      <c r="A837" s="576"/>
      <c r="EO837" s="6"/>
      <c r="EP837" s="6"/>
      <c r="EQ837" s="6"/>
      <c r="ET837" s="4"/>
      <c r="EU837" s="4"/>
      <c r="EV837" s="4"/>
    </row>
    <row r="838" spans="1:152" x14ac:dyDescent="0.15">
      <c r="A838" s="576"/>
      <c r="EO838" s="6"/>
      <c r="EP838" s="6"/>
      <c r="EQ838" s="6"/>
      <c r="ET838" s="4"/>
      <c r="EU838" s="4"/>
      <c r="EV838" s="4"/>
    </row>
    <row r="839" spans="1:152" x14ac:dyDescent="0.15">
      <c r="A839" s="576"/>
      <c r="EO839" s="6"/>
      <c r="EP839" s="6"/>
      <c r="EQ839" s="6"/>
      <c r="ET839" s="4"/>
      <c r="EU839" s="4"/>
      <c r="EV839" s="4"/>
    </row>
    <row r="840" spans="1:152" x14ac:dyDescent="0.15">
      <c r="A840" s="576"/>
      <c r="EO840" s="6"/>
      <c r="EP840" s="6"/>
      <c r="EQ840" s="6"/>
      <c r="ET840" s="4"/>
      <c r="EU840" s="4"/>
      <c r="EV840" s="4"/>
    </row>
    <row r="841" spans="1:152" x14ac:dyDescent="0.15">
      <c r="A841" s="576"/>
      <c r="EO841" s="6"/>
      <c r="EP841" s="6"/>
      <c r="EQ841" s="6"/>
      <c r="ET841" s="4"/>
      <c r="EU841" s="4"/>
      <c r="EV841" s="4"/>
    </row>
    <row r="842" spans="1:152" x14ac:dyDescent="0.15">
      <c r="A842" s="576"/>
      <c r="EO842" s="6"/>
      <c r="EP842" s="6"/>
      <c r="EQ842" s="6"/>
      <c r="ET842" s="4"/>
      <c r="EU842" s="4"/>
      <c r="EV842" s="4"/>
    </row>
    <row r="843" spans="1:152" x14ac:dyDescent="0.15">
      <c r="A843" s="576"/>
      <c r="EO843" s="6"/>
      <c r="EP843" s="6"/>
      <c r="EQ843" s="6"/>
      <c r="ET843" s="4"/>
      <c r="EU843" s="4"/>
      <c r="EV843" s="4"/>
    </row>
    <row r="844" spans="1:152" x14ac:dyDescent="0.15">
      <c r="A844" s="576"/>
      <c r="EO844" s="6"/>
      <c r="EP844" s="6"/>
      <c r="EQ844" s="6"/>
      <c r="ET844" s="4"/>
      <c r="EU844" s="4"/>
      <c r="EV844" s="4"/>
    </row>
    <row r="845" spans="1:152" x14ac:dyDescent="0.15">
      <c r="A845" s="576"/>
      <c r="EO845" s="6"/>
      <c r="EP845" s="6"/>
      <c r="EQ845" s="6"/>
      <c r="ET845" s="4"/>
      <c r="EU845" s="4"/>
      <c r="EV845" s="4"/>
    </row>
    <row r="846" spans="1:152" x14ac:dyDescent="0.15">
      <c r="A846" s="576"/>
      <c r="EO846" s="6"/>
      <c r="EP846" s="6"/>
      <c r="EQ846" s="6"/>
      <c r="ET846" s="4"/>
      <c r="EU846" s="4"/>
      <c r="EV846" s="4"/>
    </row>
    <row r="847" spans="1:152" x14ac:dyDescent="0.15">
      <c r="A847" s="576"/>
      <c r="EO847" s="6"/>
      <c r="EP847" s="6"/>
      <c r="EQ847" s="6"/>
      <c r="ET847" s="4"/>
      <c r="EU847" s="4"/>
      <c r="EV847" s="4"/>
    </row>
    <row r="848" spans="1:152" x14ac:dyDescent="0.15">
      <c r="A848" s="576"/>
      <c r="EO848" s="6"/>
      <c r="EP848" s="6"/>
      <c r="EQ848" s="6"/>
      <c r="ET848" s="4"/>
      <c r="EU848" s="4"/>
      <c r="EV848" s="4"/>
    </row>
    <row r="849" spans="1:152" x14ac:dyDescent="0.15">
      <c r="A849" s="576"/>
      <c r="EO849" s="6"/>
      <c r="EP849" s="6"/>
      <c r="EQ849" s="6"/>
      <c r="ET849" s="4"/>
      <c r="EU849" s="4"/>
      <c r="EV849" s="4"/>
    </row>
    <row r="850" spans="1:152" x14ac:dyDescent="0.15">
      <c r="A850" s="576"/>
      <c r="EO850" s="6"/>
      <c r="EP850" s="6"/>
      <c r="EQ850" s="6"/>
      <c r="ET850" s="4"/>
      <c r="EU850" s="4"/>
      <c r="EV850" s="4"/>
    </row>
    <row r="851" spans="1:152" x14ac:dyDescent="0.15">
      <c r="A851" s="576"/>
      <c r="EO851" s="6"/>
      <c r="EP851" s="6"/>
      <c r="EQ851" s="6"/>
      <c r="ET851" s="4"/>
      <c r="EU851" s="4"/>
      <c r="EV851" s="4"/>
    </row>
    <row r="852" spans="1:152" x14ac:dyDescent="0.15">
      <c r="A852" s="576"/>
      <c r="EO852" s="6"/>
      <c r="EP852" s="6"/>
      <c r="EQ852" s="6"/>
      <c r="ET852" s="4"/>
      <c r="EU852" s="4"/>
      <c r="EV852" s="4"/>
    </row>
    <row r="853" spans="1:152" x14ac:dyDescent="0.15">
      <c r="A853" s="576"/>
      <c r="EO853" s="6"/>
      <c r="EP853" s="6"/>
      <c r="EQ853" s="6"/>
      <c r="ET853" s="4"/>
      <c r="EU853" s="4"/>
      <c r="EV853" s="4"/>
    </row>
    <row r="854" spans="1:152" x14ac:dyDescent="0.15">
      <c r="A854" s="576"/>
      <c r="EO854" s="6"/>
      <c r="EP854" s="6"/>
      <c r="EQ854" s="6"/>
      <c r="ET854" s="4"/>
      <c r="EU854" s="4"/>
      <c r="EV854" s="4"/>
    </row>
    <row r="855" spans="1:152" x14ac:dyDescent="0.15">
      <c r="A855" s="576"/>
      <c r="EO855" s="6"/>
      <c r="EP855" s="6"/>
      <c r="EQ855" s="6"/>
      <c r="ET855" s="4"/>
      <c r="EU855" s="4"/>
      <c r="EV855" s="4"/>
    </row>
    <row r="856" spans="1:152" x14ac:dyDescent="0.15">
      <c r="A856" s="576"/>
      <c r="EO856" s="6"/>
      <c r="EP856" s="6"/>
      <c r="EQ856" s="6"/>
      <c r="ET856" s="4"/>
      <c r="EU856" s="4"/>
      <c r="EV856" s="4"/>
    </row>
    <row r="857" spans="1:152" x14ac:dyDescent="0.15">
      <c r="A857" s="576"/>
      <c r="EO857" s="6"/>
      <c r="EP857" s="6"/>
      <c r="EQ857" s="6"/>
      <c r="ET857" s="4"/>
      <c r="EU857" s="4"/>
      <c r="EV857" s="4"/>
    </row>
    <row r="858" spans="1:152" x14ac:dyDescent="0.15">
      <c r="A858" s="576"/>
      <c r="EO858" s="6"/>
      <c r="EP858" s="6"/>
      <c r="EQ858" s="6"/>
      <c r="ET858" s="4"/>
      <c r="EU858" s="4"/>
      <c r="EV858" s="4"/>
    </row>
    <row r="859" spans="1:152" x14ac:dyDescent="0.15">
      <c r="A859" s="576"/>
      <c r="EO859" s="6"/>
      <c r="EP859" s="6"/>
      <c r="EQ859" s="6"/>
      <c r="ET859" s="4"/>
      <c r="EU859" s="4"/>
      <c r="EV859" s="4"/>
    </row>
    <row r="860" spans="1:152" x14ac:dyDescent="0.15">
      <c r="A860" s="576"/>
      <c r="EO860" s="6"/>
      <c r="EP860" s="6"/>
      <c r="EQ860" s="6"/>
      <c r="ET860" s="4"/>
      <c r="EU860" s="4"/>
      <c r="EV860" s="4"/>
    </row>
    <row r="861" spans="1:152" x14ac:dyDescent="0.15">
      <c r="A861" s="576"/>
      <c r="EO861" s="6"/>
      <c r="EP861" s="6"/>
      <c r="EQ861" s="6"/>
      <c r="ET861" s="4"/>
      <c r="EU861" s="4"/>
      <c r="EV861" s="4"/>
    </row>
    <row r="862" spans="1:152" x14ac:dyDescent="0.15">
      <c r="A862" s="576"/>
      <c r="EO862" s="6"/>
      <c r="EP862" s="6"/>
      <c r="EQ862" s="6"/>
      <c r="ET862" s="4"/>
      <c r="EU862" s="4"/>
      <c r="EV862" s="4"/>
    </row>
    <row r="863" spans="1:152" x14ac:dyDescent="0.15">
      <c r="A863" s="576"/>
      <c r="EO863" s="6"/>
      <c r="EP863" s="6"/>
      <c r="EQ863" s="6"/>
      <c r="ET863" s="4"/>
      <c r="EU863" s="4"/>
      <c r="EV863" s="4"/>
    </row>
    <row r="864" spans="1:152" x14ac:dyDescent="0.15">
      <c r="A864" s="576"/>
      <c r="EO864" s="6"/>
      <c r="EP864" s="6"/>
      <c r="EQ864" s="6"/>
      <c r="ET864" s="4"/>
      <c r="EU864" s="4"/>
      <c r="EV864" s="4"/>
    </row>
    <row r="865" spans="1:152" x14ac:dyDescent="0.15">
      <c r="A865" s="576"/>
      <c r="EO865" s="6"/>
      <c r="EP865" s="6"/>
      <c r="EQ865" s="6"/>
      <c r="ET865" s="4"/>
      <c r="EU865" s="4"/>
      <c r="EV865" s="4"/>
    </row>
    <row r="866" spans="1:152" x14ac:dyDescent="0.15">
      <c r="A866" s="576"/>
      <c r="EO866" s="6"/>
      <c r="EP866" s="6"/>
      <c r="EQ866" s="6"/>
      <c r="ET866" s="4"/>
      <c r="EU866" s="4"/>
      <c r="EV866" s="4"/>
    </row>
    <row r="867" spans="1:152" x14ac:dyDescent="0.15">
      <c r="A867" s="576"/>
      <c r="EO867" s="6"/>
      <c r="EP867" s="6"/>
      <c r="EQ867" s="6"/>
      <c r="ET867" s="4"/>
      <c r="EU867" s="4"/>
      <c r="EV867" s="4"/>
    </row>
    <row r="868" spans="1:152" x14ac:dyDescent="0.15">
      <c r="A868" s="576"/>
      <c r="EO868" s="6"/>
      <c r="EP868" s="6"/>
      <c r="EQ868" s="6"/>
      <c r="ET868" s="4"/>
      <c r="EU868" s="4"/>
      <c r="EV868" s="4"/>
    </row>
    <row r="869" spans="1:152" x14ac:dyDescent="0.15">
      <c r="A869" s="576"/>
      <c r="EO869" s="6"/>
      <c r="EP869" s="6"/>
      <c r="EQ869" s="6"/>
      <c r="ET869" s="4"/>
      <c r="EU869" s="4"/>
      <c r="EV869" s="4"/>
    </row>
    <row r="870" spans="1:152" x14ac:dyDescent="0.15">
      <c r="A870" s="576"/>
      <c r="EO870" s="6"/>
      <c r="EP870" s="6"/>
      <c r="EQ870" s="6"/>
      <c r="ET870" s="4"/>
      <c r="EU870" s="4"/>
      <c r="EV870" s="4"/>
    </row>
    <row r="871" spans="1:152" x14ac:dyDescent="0.15">
      <c r="A871" s="576"/>
      <c r="EO871" s="6"/>
      <c r="EP871" s="6"/>
      <c r="EQ871" s="6"/>
      <c r="ET871" s="4"/>
      <c r="EU871" s="4"/>
      <c r="EV871" s="4"/>
    </row>
    <row r="872" spans="1:152" x14ac:dyDescent="0.15">
      <c r="A872" s="576"/>
      <c r="EO872" s="6"/>
      <c r="EP872" s="6"/>
      <c r="EQ872" s="6"/>
      <c r="ET872" s="4"/>
      <c r="EU872" s="4"/>
      <c r="EV872" s="4"/>
    </row>
    <row r="873" spans="1:152" x14ac:dyDescent="0.15">
      <c r="A873" s="576"/>
      <c r="EO873" s="6"/>
      <c r="EP873" s="6"/>
      <c r="EQ873" s="6"/>
      <c r="ET873" s="4"/>
      <c r="EU873" s="4"/>
      <c r="EV873" s="4"/>
    </row>
    <row r="874" spans="1:152" x14ac:dyDescent="0.15">
      <c r="A874" s="576"/>
      <c r="EO874" s="6"/>
      <c r="EP874" s="6"/>
      <c r="EQ874" s="6"/>
      <c r="ET874" s="4"/>
      <c r="EU874" s="4"/>
      <c r="EV874" s="4"/>
    </row>
    <row r="875" spans="1:152" x14ac:dyDescent="0.15">
      <c r="A875" s="576"/>
      <c r="EO875" s="6"/>
      <c r="EP875" s="6"/>
      <c r="EQ875" s="6"/>
      <c r="ET875" s="4"/>
      <c r="EU875" s="4"/>
      <c r="EV875" s="4"/>
    </row>
    <row r="876" spans="1:152" x14ac:dyDescent="0.15">
      <c r="A876" s="576"/>
      <c r="EO876" s="6"/>
      <c r="EP876" s="6"/>
      <c r="EQ876" s="6"/>
      <c r="ET876" s="4"/>
      <c r="EU876" s="4"/>
      <c r="EV876" s="4"/>
    </row>
    <row r="877" spans="1:152" x14ac:dyDescent="0.15">
      <c r="A877" s="576"/>
      <c r="EO877" s="6"/>
      <c r="EP877" s="6"/>
      <c r="EQ877" s="6"/>
      <c r="ET877" s="4"/>
      <c r="EU877" s="4"/>
      <c r="EV877" s="4"/>
    </row>
    <row r="878" spans="1:152" x14ac:dyDescent="0.15">
      <c r="A878" s="576"/>
      <c r="EO878" s="6"/>
      <c r="EP878" s="6"/>
      <c r="EQ878" s="6"/>
      <c r="ET878" s="4"/>
      <c r="EU878" s="4"/>
      <c r="EV878" s="4"/>
    </row>
    <row r="879" spans="1:152" x14ac:dyDescent="0.15">
      <c r="A879" s="576"/>
      <c r="EO879" s="6"/>
      <c r="EP879" s="6"/>
      <c r="EQ879" s="6"/>
      <c r="ET879" s="4"/>
      <c r="EU879" s="4"/>
      <c r="EV879" s="4"/>
    </row>
    <row r="880" spans="1:152" x14ac:dyDescent="0.15">
      <c r="A880" s="576"/>
      <c r="EO880" s="6"/>
      <c r="EP880" s="6"/>
      <c r="EQ880" s="6"/>
      <c r="ET880" s="4"/>
      <c r="EU880" s="4"/>
      <c r="EV880" s="4"/>
    </row>
    <row r="881" spans="1:152" x14ac:dyDescent="0.15">
      <c r="A881" s="576"/>
      <c r="EO881" s="6"/>
      <c r="EP881" s="6"/>
      <c r="EQ881" s="6"/>
      <c r="ET881" s="4"/>
      <c r="EU881" s="4"/>
      <c r="EV881" s="4"/>
    </row>
    <row r="882" spans="1:152" x14ac:dyDescent="0.15">
      <c r="A882" s="576"/>
      <c r="EO882" s="6"/>
      <c r="EP882" s="6"/>
      <c r="EQ882" s="6"/>
      <c r="ET882" s="4"/>
      <c r="EU882" s="4"/>
      <c r="EV882" s="4"/>
    </row>
    <row r="883" spans="1:152" x14ac:dyDescent="0.15">
      <c r="A883" s="576"/>
      <c r="EO883" s="6"/>
      <c r="EP883" s="6"/>
      <c r="EQ883" s="6"/>
      <c r="ET883" s="4"/>
      <c r="EU883" s="4"/>
      <c r="EV883" s="4"/>
    </row>
    <row r="884" spans="1:152" x14ac:dyDescent="0.15">
      <c r="A884" s="576"/>
      <c r="EO884" s="6"/>
      <c r="EP884" s="6"/>
      <c r="EQ884" s="6"/>
      <c r="ET884" s="4"/>
      <c r="EU884" s="4"/>
      <c r="EV884" s="4"/>
    </row>
    <row r="885" spans="1:152" x14ac:dyDescent="0.15">
      <c r="A885" s="576"/>
      <c r="EO885" s="6"/>
      <c r="EP885" s="6"/>
      <c r="EQ885" s="6"/>
      <c r="ET885" s="4"/>
      <c r="EU885" s="4"/>
      <c r="EV885" s="4"/>
    </row>
    <row r="886" spans="1:152" x14ac:dyDescent="0.15">
      <c r="A886" s="576"/>
      <c r="EO886" s="6"/>
      <c r="EP886" s="6"/>
      <c r="EQ886" s="6"/>
      <c r="ET886" s="4"/>
      <c r="EU886" s="4"/>
      <c r="EV886" s="4"/>
    </row>
    <row r="887" spans="1:152" x14ac:dyDescent="0.15">
      <c r="A887" s="576"/>
      <c r="EO887" s="6"/>
      <c r="EP887" s="6"/>
      <c r="EQ887" s="6"/>
      <c r="ET887" s="4"/>
      <c r="EU887" s="4"/>
      <c r="EV887" s="4"/>
    </row>
    <row r="888" spans="1:152" x14ac:dyDescent="0.15">
      <c r="A888" s="576"/>
      <c r="EO888" s="6"/>
      <c r="EP888" s="6"/>
      <c r="EQ888" s="6"/>
      <c r="ET888" s="4"/>
      <c r="EU888" s="4"/>
      <c r="EV888" s="4"/>
    </row>
    <row r="889" spans="1:152" x14ac:dyDescent="0.15">
      <c r="A889" s="576"/>
      <c r="EO889" s="6"/>
      <c r="EP889" s="6"/>
      <c r="EQ889" s="6"/>
      <c r="ET889" s="4"/>
      <c r="EU889" s="4"/>
      <c r="EV889" s="4"/>
    </row>
    <row r="890" spans="1:152" x14ac:dyDescent="0.15">
      <c r="A890" s="576"/>
      <c r="EO890" s="6"/>
      <c r="EP890" s="6"/>
      <c r="EQ890" s="6"/>
      <c r="ET890" s="4"/>
      <c r="EU890" s="4"/>
      <c r="EV890" s="4"/>
    </row>
    <row r="891" spans="1:152" x14ac:dyDescent="0.15">
      <c r="A891" s="576"/>
      <c r="EO891" s="6"/>
      <c r="EP891" s="6"/>
      <c r="EQ891" s="6"/>
      <c r="ET891" s="4"/>
      <c r="EU891" s="4"/>
      <c r="EV891" s="4"/>
    </row>
    <row r="892" spans="1:152" x14ac:dyDescent="0.15">
      <c r="A892" s="576"/>
      <c r="EO892" s="6"/>
      <c r="EP892" s="6"/>
      <c r="EQ892" s="6"/>
      <c r="ET892" s="4"/>
      <c r="EU892" s="4"/>
      <c r="EV892" s="4"/>
    </row>
    <row r="893" spans="1:152" x14ac:dyDescent="0.15">
      <c r="A893" s="576"/>
      <c r="EO893" s="6"/>
      <c r="EP893" s="6"/>
      <c r="EQ893" s="6"/>
      <c r="ET893" s="4"/>
      <c r="EU893" s="4"/>
      <c r="EV893" s="4"/>
    </row>
    <row r="894" spans="1:152" x14ac:dyDescent="0.15">
      <c r="A894" s="576"/>
      <c r="EO894" s="6"/>
      <c r="EP894" s="6"/>
      <c r="EQ894" s="6"/>
      <c r="ET894" s="4"/>
      <c r="EU894" s="4"/>
      <c r="EV894" s="4"/>
    </row>
    <row r="895" spans="1:152" x14ac:dyDescent="0.15">
      <c r="A895" s="576"/>
      <c r="EO895" s="6"/>
      <c r="EP895" s="6"/>
      <c r="EQ895" s="6"/>
      <c r="ET895" s="4"/>
      <c r="EU895" s="4"/>
      <c r="EV895" s="4"/>
    </row>
    <row r="896" spans="1:152" x14ac:dyDescent="0.15">
      <c r="A896" s="576"/>
      <c r="EO896" s="6"/>
      <c r="EP896" s="6"/>
      <c r="EQ896" s="6"/>
      <c r="ET896" s="4"/>
      <c r="EU896" s="4"/>
      <c r="EV896" s="4"/>
    </row>
    <row r="897" spans="1:152" x14ac:dyDescent="0.15">
      <c r="A897" s="576"/>
      <c r="EO897" s="6"/>
      <c r="EP897" s="6"/>
      <c r="EQ897" s="6"/>
      <c r="ET897" s="4"/>
      <c r="EU897" s="4"/>
      <c r="EV897" s="4"/>
    </row>
    <row r="898" spans="1:152" x14ac:dyDescent="0.15">
      <c r="A898" s="576"/>
      <c r="EO898" s="6"/>
      <c r="EP898" s="6"/>
      <c r="EQ898" s="6"/>
      <c r="ET898" s="4"/>
      <c r="EU898" s="4"/>
      <c r="EV898" s="4"/>
    </row>
    <row r="899" spans="1:152" x14ac:dyDescent="0.15">
      <c r="A899" s="576"/>
      <c r="EO899" s="6"/>
      <c r="EP899" s="6"/>
      <c r="EQ899" s="6"/>
      <c r="ET899" s="4"/>
      <c r="EU899" s="4"/>
      <c r="EV899" s="4"/>
    </row>
    <row r="900" spans="1:152" x14ac:dyDescent="0.15">
      <c r="A900" s="576"/>
      <c r="EO900" s="6"/>
      <c r="EP900" s="6"/>
      <c r="EQ900" s="6"/>
      <c r="ET900" s="4"/>
      <c r="EU900" s="4"/>
      <c r="EV900" s="4"/>
    </row>
    <row r="901" spans="1:152" x14ac:dyDescent="0.15">
      <c r="A901" s="576"/>
      <c r="EO901" s="6"/>
      <c r="EP901" s="6"/>
      <c r="EQ901" s="6"/>
      <c r="ET901" s="4"/>
      <c r="EU901" s="4"/>
      <c r="EV901" s="4"/>
    </row>
    <row r="902" spans="1:152" x14ac:dyDescent="0.15">
      <c r="A902" s="576"/>
      <c r="EO902" s="6"/>
      <c r="EP902" s="6"/>
      <c r="EQ902" s="6"/>
      <c r="ET902" s="4"/>
      <c r="EU902" s="4"/>
      <c r="EV902" s="4"/>
    </row>
    <row r="903" spans="1:152" x14ac:dyDescent="0.15">
      <c r="A903" s="576"/>
      <c r="EO903" s="6"/>
      <c r="EP903" s="6"/>
      <c r="EQ903" s="6"/>
      <c r="ET903" s="4"/>
      <c r="EU903" s="4"/>
      <c r="EV903" s="4"/>
    </row>
    <row r="904" spans="1:152" x14ac:dyDescent="0.15">
      <c r="A904" s="576"/>
      <c r="EO904" s="6"/>
      <c r="EP904" s="6"/>
      <c r="EQ904" s="6"/>
      <c r="ET904" s="4"/>
      <c r="EU904" s="4"/>
      <c r="EV904" s="4"/>
    </row>
    <row r="905" spans="1:152" x14ac:dyDescent="0.15">
      <c r="A905" s="576"/>
      <c r="EO905" s="6"/>
      <c r="EP905" s="6"/>
      <c r="EQ905" s="6"/>
      <c r="ET905" s="4"/>
      <c r="EU905" s="4"/>
      <c r="EV905" s="4"/>
    </row>
    <row r="906" spans="1:152" x14ac:dyDescent="0.15">
      <c r="A906" s="576"/>
      <c r="EO906" s="6"/>
      <c r="EP906" s="6"/>
      <c r="EQ906" s="6"/>
      <c r="ET906" s="4"/>
      <c r="EU906" s="4"/>
      <c r="EV906" s="4"/>
    </row>
    <row r="907" spans="1:152" x14ac:dyDescent="0.15">
      <c r="A907" s="576"/>
      <c r="EO907" s="6"/>
      <c r="EP907" s="6"/>
      <c r="EQ907" s="6"/>
      <c r="ET907" s="4"/>
      <c r="EU907" s="4"/>
      <c r="EV907" s="4"/>
    </row>
    <row r="908" spans="1:152" x14ac:dyDescent="0.15">
      <c r="A908" s="576"/>
      <c r="EO908" s="6"/>
      <c r="EP908" s="6"/>
      <c r="EQ908" s="6"/>
      <c r="ET908" s="4"/>
      <c r="EU908" s="4"/>
      <c r="EV908" s="4"/>
    </row>
    <row r="909" spans="1:152" x14ac:dyDescent="0.15">
      <c r="A909" s="576"/>
      <c r="EO909" s="6"/>
      <c r="EP909" s="6"/>
      <c r="EQ909" s="6"/>
      <c r="ET909" s="4"/>
      <c r="EU909" s="4"/>
      <c r="EV909" s="4"/>
    </row>
    <row r="910" spans="1:152" x14ac:dyDescent="0.15">
      <c r="A910" s="576"/>
      <c r="EO910" s="6"/>
      <c r="EP910" s="6"/>
      <c r="EQ910" s="6"/>
      <c r="ET910" s="4"/>
      <c r="EU910" s="4"/>
      <c r="EV910" s="4"/>
    </row>
    <row r="911" spans="1:152" x14ac:dyDescent="0.15">
      <c r="A911" s="576"/>
      <c r="EO911" s="6"/>
      <c r="EP911" s="6"/>
      <c r="EQ911" s="6"/>
      <c r="ET911" s="4"/>
      <c r="EU911" s="4"/>
      <c r="EV911" s="4"/>
    </row>
    <row r="912" spans="1:152" x14ac:dyDescent="0.15">
      <c r="A912" s="576"/>
      <c r="EO912" s="6"/>
      <c r="EP912" s="6"/>
      <c r="EQ912" s="6"/>
      <c r="ET912" s="4"/>
      <c r="EU912" s="4"/>
      <c r="EV912" s="4"/>
    </row>
    <row r="913" spans="1:152" x14ac:dyDescent="0.15">
      <c r="A913" s="576"/>
      <c r="EO913" s="6"/>
      <c r="EP913" s="6"/>
      <c r="EQ913" s="6"/>
      <c r="ET913" s="4"/>
      <c r="EU913" s="4"/>
      <c r="EV913" s="4"/>
    </row>
    <row r="914" spans="1:152" x14ac:dyDescent="0.15">
      <c r="A914" s="576"/>
      <c r="EO914" s="6"/>
      <c r="EP914" s="6"/>
      <c r="EQ914" s="6"/>
      <c r="ET914" s="4"/>
      <c r="EU914" s="4"/>
      <c r="EV914" s="4"/>
    </row>
    <row r="915" spans="1:152" x14ac:dyDescent="0.15">
      <c r="A915" s="576"/>
      <c r="EO915" s="6"/>
      <c r="EP915" s="6"/>
      <c r="EQ915" s="6"/>
      <c r="ET915" s="4"/>
      <c r="EU915" s="4"/>
      <c r="EV915" s="4"/>
    </row>
    <row r="916" spans="1:152" x14ac:dyDescent="0.15">
      <c r="A916" s="576"/>
      <c r="EO916" s="6"/>
      <c r="EP916" s="6"/>
      <c r="EQ916" s="6"/>
      <c r="ET916" s="4"/>
      <c r="EU916" s="4"/>
      <c r="EV916" s="4"/>
    </row>
    <row r="917" spans="1:152" x14ac:dyDescent="0.15">
      <c r="A917" s="576"/>
      <c r="EO917" s="6"/>
      <c r="EP917" s="6"/>
      <c r="EQ917" s="6"/>
      <c r="ET917" s="4"/>
      <c r="EU917" s="4"/>
      <c r="EV917" s="4"/>
    </row>
    <row r="918" spans="1:152" x14ac:dyDescent="0.15">
      <c r="A918" s="576"/>
      <c r="EO918" s="6"/>
      <c r="EP918" s="6"/>
      <c r="EQ918" s="6"/>
      <c r="ET918" s="4"/>
      <c r="EU918" s="4"/>
      <c r="EV918" s="4"/>
    </row>
    <row r="919" spans="1:152" x14ac:dyDescent="0.15">
      <c r="A919" s="576"/>
      <c r="EO919" s="6"/>
      <c r="EP919" s="6"/>
      <c r="EQ919" s="6"/>
      <c r="ET919" s="4"/>
      <c r="EU919" s="4"/>
      <c r="EV919" s="4"/>
    </row>
    <row r="920" spans="1:152" x14ac:dyDescent="0.15">
      <c r="A920" s="576"/>
      <c r="EO920" s="6"/>
      <c r="EP920" s="6"/>
      <c r="EQ920" s="6"/>
      <c r="ET920" s="4"/>
      <c r="EU920" s="4"/>
      <c r="EV920" s="4"/>
    </row>
    <row r="921" spans="1:152" x14ac:dyDescent="0.15">
      <c r="A921" s="576"/>
      <c r="EO921" s="6"/>
      <c r="EP921" s="6"/>
      <c r="EQ921" s="6"/>
      <c r="ET921" s="4"/>
      <c r="EU921" s="4"/>
      <c r="EV921" s="4"/>
    </row>
    <row r="922" spans="1:152" x14ac:dyDescent="0.15">
      <c r="A922" s="576"/>
      <c r="EO922" s="6"/>
      <c r="EP922" s="6"/>
      <c r="EQ922" s="6"/>
      <c r="ET922" s="4"/>
      <c r="EU922" s="4"/>
      <c r="EV922" s="4"/>
    </row>
    <row r="923" spans="1:152" x14ac:dyDescent="0.15">
      <c r="A923" s="576"/>
      <c r="EO923" s="6"/>
      <c r="EP923" s="6"/>
      <c r="EQ923" s="6"/>
      <c r="ET923" s="4"/>
      <c r="EU923" s="4"/>
      <c r="EV923" s="4"/>
    </row>
    <row r="924" spans="1:152" x14ac:dyDescent="0.15">
      <c r="A924" s="576"/>
      <c r="EO924" s="6"/>
      <c r="EP924" s="6"/>
      <c r="EQ924" s="6"/>
      <c r="ET924" s="4"/>
      <c r="EU924" s="4"/>
      <c r="EV924" s="4"/>
    </row>
    <row r="925" spans="1:152" x14ac:dyDescent="0.15">
      <c r="A925" s="576"/>
      <c r="EO925" s="6"/>
      <c r="EP925" s="6"/>
      <c r="EQ925" s="6"/>
      <c r="ET925" s="4"/>
      <c r="EU925" s="4"/>
      <c r="EV925" s="4"/>
    </row>
    <row r="926" spans="1:152" x14ac:dyDescent="0.15">
      <c r="A926" s="576"/>
      <c r="EO926" s="6"/>
      <c r="EP926" s="6"/>
      <c r="EQ926" s="6"/>
      <c r="ET926" s="4"/>
      <c r="EU926" s="4"/>
      <c r="EV926" s="4"/>
    </row>
    <row r="927" spans="1:152" x14ac:dyDescent="0.15">
      <c r="A927" s="576"/>
      <c r="EO927" s="6"/>
      <c r="EP927" s="6"/>
      <c r="EQ927" s="6"/>
      <c r="ET927" s="4"/>
      <c r="EU927" s="4"/>
      <c r="EV927" s="4"/>
    </row>
    <row r="928" spans="1:152" x14ac:dyDescent="0.15">
      <c r="A928" s="576"/>
      <c r="EO928" s="6"/>
      <c r="EP928" s="6"/>
      <c r="EQ928" s="6"/>
      <c r="ET928" s="4"/>
      <c r="EU928" s="4"/>
      <c r="EV928" s="4"/>
    </row>
    <row r="929" spans="1:152" x14ac:dyDescent="0.15">
      <c r="A929" s="576"/>
      <c r="EO929" s="6"/>
      <c r="EP929" s="6"/>
      <c r="EQ929" s="6"/>
      <c r="ET929" s="4"/>
      <c r="EU929" s="4"/>
      <c r="EV929" s="4"/>
    </row>
    <row r="930" spans="1:152" x14ac:dyDescent="0.15">
      <c r="A930" s="576"/>
      <c r="EO930" s="6"/>
      <c r="EP930" s="6"/>
      <c r="EQ930" s="6"/>
      <c r="ET930" s="4"/>
      <c r="EU930" s="4"/>
      <c r="EV930" s="4"/>
    </row>
    <row r="931" spans="1:152" x14ac:dyDescent="0.15">
      <c r="A931" s="576"/>
      <c r="EO931" s="6"/>
      <c r="EP931" s="6"/>
      <c r="EQ931" s="6"/>
      <c r="ET931" s="4"/>
      <c r="EU931" s="4"/>
      <c r="EV931" s="4"/>
    </row>
    <row r="932" spans="1:152" x14ac:dyDescent="0.15">
      <c r="A932" s="576"/>
      <c r="EO932" s="6"/>
      <c r="EP932" s="6"/>
      <c r="EQ932" s="6"/>
      <c r="ET932" s="4"/>
      <c r="EU932" s="4"/>
      <c r="EV932" s="4"/>
    </row>
    <row r="933" spans="1:152" x14ac:dyDescent="0.15">
      <c r="A933" s="576"/>
      <c r="EO933" s="6"/>
      <c r="EP933" s="6"/>
      <c r="EQ933" s="6"/>
      <c r="ET933" s="4"/>
      <c r="EU933" s="4"/>
      <c r="EV933" s="4"/>
    </row>
    <row r="934" spans="1:152" x14ac:dyDescent="0.15">
      <c r="A934" s="576"/>
      <c r="EO934" s="6"/>
      <c r="EP934" s="6"/>
      <c r="EQ934" s="6"/>
      <c r="ET934" s="4"/>
      <c r="EU934" s="4"/>
      <c r="EV934" s="4"/>
    </row>
    <row r="935" spans="1:152" x14ac:dyDescent="0.15">
      <c r="A935" s="576"/>
      <c r="EO935" s="6"/>
      <c r="EP935" s="6"/>
      <c r="EQ935" s="6"/>
      <c r="ET935" s="4"/>
      <c r="EU935" s="4"/>
      <c r="EV935" s="4"/>
    </row>
    <row r="936" spans="1:152" x14ac:dyDescent="0.15">
      <c r="A936" s="576"/>
      <c r="EO936" s="6"/>
      <c r="EP936" s="6"/>
      <c r="EQ936" s="6"/>
      <c r="ET936" s="4"/>
      <c r="EU936" s="4"/>
      <c r="EV936" s="4"/>
    </row>
    <row r="937" spans="1:152" x14ac:dyDescent="0.15">
      <c r="A937" s="576"/>
      <c r="EO937" s="6"/>
      <c r="EP937" s="6"/>
      <c r="EQ937" s="6"/>
      <c r="ET937" s="4"/>
      <c r="EU937" s="4"/>
      <c r="EV937" s="4"/>
    </row>
    <row r="938" spans="1:152" x14ac:dyDescent="0.15">
      <c r="A938" s="576"/>
      <c r="EO938" s="6"/>
      <c r="EP938" s="6"/>
      <c r="EQ938" s="6"/>
      <c r="ET938" s="4"/>
      <c r="EU938" s="4"/>
      <c r="EV938" s="4"/>
    </row>
    <row r="939" spans="1:152" x14ac:dyDescent="0.15">
      <c r="A939" s="576"/>
      <c r="EO939" s="6"/>
      <c r="EP939" s="6"/>
      <c r="EQ939" s="6"/>
      <c r="ET939" s="4"/>
      <c r="EU939" s="4"/>
      <c r="EV939" s="4"/>
    </row>
    <row r="940" spans="1:152" x14ac:dyDescent="0.15">
      <c r="A940" s="576"/>
      <c r="EO940" s="6"/>
      <c r="EP940" s="6"/>
      <c r="EQ940" s="6"/>
      <c r="ET940" s="4"/>
      <c r="EU940" s="4"/>
      <c r="EV940" s="4"/>
    </row>
    <row r="941" spans="1:152" x14ac:dyDescent="0.15">
      <c r="A941" s="576"/>
      <c r="EO941" s="6"/>
      <c r="EP941" s="6"/>
      <c r="EQ941" s="6"/>
      <c r="ET941" s="4"/>
      <c r="EU941" s="4"/>
      <c r="EV941" s="4"/>
    </row>
    <row r="942" spans="1:152" x14ac:dyDescent="0.15">
      <c r="A942" s="576"/>
      <c r="EO942" s="6"/>
      <c r="EP942" s="6"/>
      <c r="EQ942" s="6"/>
      <c r="ET942" s="4"/>
      <c r="EU942" s="4"/>
      <c r="EV942" s="4"/>
    </row>
    <row r="943" spans="1:152" x14ac:dyDescent="0.15">
      <c r="A943" s="576"/>
      <c r="EO943" s="6"/>
      <c r="EP943" s="6"/>
      <c r="EQ943" s="6"/>
      <c r="ET943" s="4"/>
      <c r="EU943" s="4"/>
      <c r="EV943" s="4"/>
    </row>
    <row r="944" spans="1:152" x14ac:dyDescent="0.15">
      <c r="A944" s="576"/>
      <c r="EO944" s="6"/>
      <c r="EP944" s="6"/>
      <c r="EQ944" s="6"/>
      <c r="ET944" s="4"/>
      <c r="EU944" s="4"/>
      <c r="EV944" s="4"/>
    </row>
    <row r="945" spans="1:152" x14ac:dyDescent="0.15">
      <c r="A945" s="576"/>
      <c r="EO945" s="6"/>
      <c r="EP945" s="6"/>
      <c r="EQ945" s="6"/>
      <c r="ET945" s="4"/>
      <c r="EU945" s="4"/>
      <c r="EV945" s="4"/>
    </row>
    <row r="946" spans="1:152" x14ac:dyDescent="0.15">
      <c r="A946" s="576"/>
      <c r="EO946" s="6"/>
      <c r="EP946" s="6"/>
      <c r="EQ946" s="6"/>
      <c r="ET946" s="4"/>
      <c r="EU946" s="4"/>
      <c r="EV946" s="4"/>
    </row>
    <row r="947" spans="1:152" x14ac:dyDescent="0.15">
      <c r="A947" s="576"/>
      <c r="EO947" s="6"/>
      <c r="EP947" s="6"/>
      <c r="EQ947" s="6"/>
      <c r="ET947" s="4"/>
      <c r="EU947" s="4"/>
      <c r="EV947" s="4"/>
    </row>
    <row r="948" spans="1:152" x14ac:dyDescent="0.15">
      <c r="A948" s="576"/>
      <c r="EO948" s="6"/>
      <c r="EP948" s="6"/>
      <c r="EQ948" s="6"/>
      <c r="ET948" s="4"/>
      <c r="EU948" s="4"/>
      <c r="EV948" s="4"/>
    </row>
    <row r="949" spans="1:152" x14ac:dyDescent="0.15">
      <c r="A949" s="576"/>
      <c r="EO949" s="6"/>
      <c r="EP949" s="6"/>
      <c r="EQ949" s="6"/>
      <c r="ET949" s="4"/>
      <c r="EU949" s="4"/>
      <c r="EV949" s="4"/>
    </row>
    <row r="950" spans="1:152" x14ac:dyDescent="0.15">
      <c r="A950" s="576"/>
      <c r="EO950" s="6"/>
      <c r="EP950" s="6"/>
      <c r="EQ950" s="6"/>
      <c r="ET950" s="4"/>
      <c r="EU950" s="4"/>
      <c r="EV950" s="4"/>
    </row>
    <row r="951" spans="1:152" x14ac:dyDescent="0.15">
      <c r="A951" s="576"/>
      <c r="EO951" s="6"/>
      <c r="EP951" s="6"/>
      <c r="EQ951" s="6"/>
      <c r="ET951" s="4"/>
      <c r="EU951" s="4"/>
      <c r="EV951" s="4"/>
    </row>
    <row r="952" spans="1:152" x14ac:dyDescent="0.15">
      <c r="A952" s="576"/>
      <c r="EO952" s="6"/>
      <c r="EP952" s="6"/>
      <c r="EQ952" s="6"/>
      <c r="ET952" s="4"/>
      <c r="EU952" s="4"/>
      <c r="EV952" s="4"/>
    </row>
    <row r="953" spans="1:152" x14ac:dyDescent="0.15">
      <c r="A953" s="576"/>
      <c r="EO953" s="6"/>
      <c r="EP953" s="6"/>
      <c r="EQ953" s="6"/>
      <c r="ET953" s="4"/>
      <c r="EU953" s="4"/>
      <c r="EV953" s="4"/>
    </row>
    <row r="954" spans="1:152" x14ac:dyDescent="0.15">
      <c r="A954" s="576"/>
      <c r="EO954" s="6"/>
      <c r="EP954" s="6"/>
      <c r="EQ954" s="6"/>
      <c r="ET954" s="4"/>
      <c r="EU954" s="4"/>
      <c r="EV954" s="4"/>
    </row>
    <row r="955" spans="1:152" x14ac:dyDescent="0.15">
      <c r="A955" s="576"/>
      <c r="EO955" s="6"/>
      <c r="EP955" s="6"/>
      <c r="EQ955" s="6"/>
      <c r="ET955" s="4"/>
      <c r="EU955" s="4"/>
      <c r="EV955" s="4"/>
    </row>
    <row r="956" spans="1:152" x14ac:dyDescent="0.15">
      <c r="A956" s="576"/>
      <c r="EO956" s="6"/>
      <c r="EP956" s="6"/>
      <c r="EQ956" s="6"/>
      <c r="ET956" s="4"/>
      <c r="EU956" s="4"/>
      <c r="EV956" s="4"/>
    </row>
    <row r="957" spans="1:152" x14ac:dyDescent="0.15">
      <c r="A957" s="576"/>
      <c r="EO957" s="6"/>
      <c r="EP957" s="6"/>
      <c r="EQ957" s="6"/>
      <c r="ET957" s="4"/>
      <c r="EU957" s="4"/>
      <c r="EV957" s="4"/>
    </row>
    <row r="958" spans="1:152" x14ac:dyDescent="0.15">
      <c r="A958" s="576"/>
      <c r="EO958" s="6"/>
      <c r="EP958" s="6"/>
      <c r="EQ958" s="6"/>
      <c r="ET958" s="4"/>
      <c r="EU958" s="4"/>
      <c r="EV958" s="4"/>
    </row>
    <row r="959" spans="1:152" x14ac:dyDescent="0.15">
      <c r="A959" s="576"/>
      <c r="EO959" s="6"/>
      <c r="EP959" s="6"/>
      <c r="EQ959" s="6"/>
      <c r="ET959" s="4"/>
      <c r="EU959" s="4"/>
      <c r="EV959" s="4"/>
    </row>
    <row r="960" spans="1:152" x14ac:dyDescent="0.15">
      <c r="A960" s="576"/>
      <c r="EO960" s="6"/>
      <c r="EP960" s="6"/>
      <c r="EQ960" s="6"/>
      <c r="ET960" s="4"/>
      <c r="EU960" s="4"/>
      <c r="EV960" s="4"/>
    </row>
    <row r="961" spans="1:152" x14ac:dyDescent="0.15">
      <c r="A961" s="576"/>
      <c r="EO961" s="6"/>
      <c r="EP961" s="6"/>
      <c r="EQ961" s="6"/>
      <c r="ET961" s="4"/>
      <c r="EU961" s="4"/>
      <c r="EV961" s="4"/>
    </row>
    <row r="962" spans="1:152" x14ac:dyDescent="0.15">
      <c r="A962" s="576"/>
      <c r="EO962" s="6"/>
      <c r="EP962" s="6"/>
      <c r="EQ962" s="6"/>
      <c r="ET962" s="4"/>
      <c r="EU962" s="4"/>
      <c r="EV962" s="4"/>
    </row>
    <row r="963" spans="1:152" x14ac:dyDescent="0.15">
      <c r="A963" s="576"/>
      <c r="EO963" s="6"/>
      <c r="EP963" s="6"/>
      <c r="EQ963" s="6"/>
      <c r="ET963" s="4"/>
      <c r="EU963" s="4"/>
      <c r="EV963" s="4"/>
    </row>
    <row r="964" spans="1:152" x14ac:dyDescent="0.15">
      <c r="A964" s="576"/>
      <c r="EO964" s="6"/>
      <c r="EP964" s="6"/>
      <c r="EQ964" s="6"/>
      <c r="ET964" s="4"/>
      <c r="EU964" s="4"/>
      <c r="EV964" s="4"/>
    </row>
    <row r="965" spans="1:152" x14ac:dyDescent="0.15">
      <c r="A965" s="576"/>
      <c r="EO965" s="6"/>
      <c r="EP965" s="6"/>
      <c r="EQ965" s="6"/>
      <c r="ET965" s="4"/>
      <c r="EU965" s="4"/>
      <c r="EV965" s="4"/>
    </row>
    <row r="966" spans="1:152" x14ac:dyDescent="0.15">
      <c r="A966" s="576"/>
      <c r="EO966" s="6"/>
      <c r="EP966" s="6"/>
      <c r="EQ966" s="6"/>
      <c r="ET966" s="4"/>
      <c r="EU966" s="4"/>
      <c r="EV966" s="4"/>
    </row>
    <row r="967" spans="1:152" x14ac:dyDescent="0.15">
      <c r="A967" s="576"/>
      <c r="EO967" s="6"/>
      <c r="EP967" s="6"/>
      <c r="EQ967" s="6"/>
      <c r="ET967" s="4"/>
      <c r="EU967" s="4"/>
      <c r="EV967" s="4"/>
    </row>
    <row r="968" spans="1:152" x14ac:dyDescent="0.15">
      <c r="A968" s="576"/>
      <c r="EO968" s="6"/>
      <c r="EP968" s="6"/>
      <c r="EQ968" s="6"/>
      <c r="ET968" s="4"/>
      <c r="EU968" s="4"/>
      <c r="EV968" s="4"/>
    </row>
    <row r="969" spans="1:152" x14ac:dyDescent="0.15">
      <c r="A969" s="576"/>
      <c r="EO969" s="6"/>
      <c r="EP969" s="6"/>
      <c r="EQ969" s="6"/>
      <c r="ET969" s="4"/>
      <c r="EU969" s="4"/>
      <c r="EV969" s="4"/>
    </row>
    <row r="970" spans="1:152" x14ac:dyDescent="0.15">
      <c r="A970" s="576"/>
      <c r="EO970" s="6"/>
      <c r="EP970" s="6"/>
      <c r="EQ970" s="6"/>
      <c r="ET970" s="4"/>
      <c r="EU970" s="4"/>
      <c r="EV970" s="4"/>
    </row>
    <row r="971" spans="1:152" x14ac:dyDescent="0.15">
      <c r="A971" s="576"/>
      <c r="EO971" s="6"/>
      <c r="EP971" s="6"/>
      <c r="EQ971" s="6"/>
      <c r="ET971" s="4"/>
      <c r="EU971" s="4"/>
      <c r="EV971" s="4"/>
    </row>
    <row r="972" spans="1:152" x14ac:dyDescent="0.15">
      <c r="A972" s="576"/>
      <c r="EO972" s="6"/>
      <c r="EP972" s="6"/>
      <c r="EQ972" s="6"/>
      <c r="ET972" s="4"/>
      <c r="EU972" s="4"/>
      <c r="EV972" s="4"/>
    </row>
    <row r="973" spans="1:152" x14ac:dyDescent="0.15">
      <c r="A973" s="576"/>
      <c r="EO973" s="6"/>
      <c r="EP973" s="6"/>
      <c r="EQ973" s="6"/>
      <c r="ET973" s="4"/>
      <c r="EU973" s="4"/>
      <c r="EV973" s="4"/>
    </row>
    <row r="974" spans="1:152" x14ac:dyDescent="0.15">
      <c r="A974" s="576"/>
      <c r="EO974" s="6"/>
      <c r="EP974" s="6"/>
      <c r="EQ974" s="6"/>
      <c r="ET974" s="4"/>
      <c r="EU974" s="4"/>
      <c r="EV974" s="4"/>
    </row>
    <row r="975" spans="1:152" x14ac:dyDescent="0.15">
      <c r="A975" s="576"/>
      <c r="EO975" s="6"/>
      <c r="EP975" s="6"/>
      <c r="EQ975" s="6"/>
      <c r="ET975" s="4"/>
      <c r="EU975" s="4"/>
      <c r="EV975" s="4"/>
    </row>
    <row r="976" spans="1:152" x14ac:dyDescent="0.15">
      <c r="A976" s="576"/>
      <c r="EO976" s="6"/>
      <c r="EP976" s="6"/>
      <c r="EQ976" s="6"/>
      <c r="ET976" s="4"/>
      <c r="EU976" s="4"/>
      <c r="EV976" s="4"/>
    </row>
    <row r="977" spans="1:152" x14ac:dyDescent="0.15">
      <c r="A977" s="576"/>
      <c r="EO977" s="6"/>
      <c r="EP977" s="6"/>
      <c r="EQ977" s="6"/>
      <c r="ET977" s="4"/>
      <c r="EU977" s="4"/>
      <c r="EV977" s="4"/>
    </row>
    <row r="978" spans="1:152" x14ac:dyDescent="0.15">
      <c r="A978" s="576"/>
      <c r="EO978" s="6"/>
      <c r="EP978" s="6"/>
      <c r="EQ978" s="6"/>
      <c r="ET978" s="4"/>
      <c r="EU978" s="4"/>
      <c r="EV978" s="4"/>
    </row>
    <row r="979" spans="1:152" x14ac:dyDescent="0.15">
      <c r="A979" s="576"/>
      <c r="EO979" s="6"/>
      <c r="EP979" s="6"/>
      <c r="EQ979" s="6"/>
      <c r="ET979" s="4"/>
      <c r="EU979" s="4"/>
      <c r="EV979" s="4"/>
    </row>
    <row r="980" spans="1:152" x14ac:dyDescent="0.15">
      <c r="A980" s="576"/>
      <c r="EO980" s="6"/>
      <c r="EP980" s="6"/>
      <c r="EQ980" s="6"/>
      <c r="ET980" s="4"/>
      <c r="EU980" s="4"/>
      <c r="EV980" s="4"/>
    </row>
    <row r="981" spans="1:152" x14ac:dyDescent="0.15">
      <c r="A981" s="576"/>
      <c r="EO981" s="6"/>
      <c r="EP981" s="6"/>
      <c r="EQ981" s="6"/>
      <c r="ET981" s="4"/>
      <c r="EU981" s="4"/>
      <c r="EV981" s="4"/>
    </row>
    <row r="982" spans="1:152" x14ac:dyDescent="0.15">
      <c r="A982" s="576"/>
      <c r="EO982" s="6"/>
      <c r="EP982" s="6"/>
      <c r="EQ982" s="6"/>
      <c r="ET982" s="4"/>
      <c r="EU982" s="4"/>
      <c r="EV982" s="4"/>
    </row>
    <row r="983" spans="1:152" x14ac:dyDescent="0.15">
      <c r="A983" s="576"/>
      <c r="EO983" s="6"/>
      <c r="EP983" s="6"/>
      <c r="EQ983" s="6"/>
      <c r="ET983" s="4"/>
      <c r="EU983" s="4"/>
      <c r="EV983" s="4"/>
    </row>
    <row r="984" spans="1:152" x14ac:dyDescent="0.15">
      <c r="A984" s="576"/>
      <c r="EO984" s="6"/>
      <c r="EP984" s="6"/>
      <c r="EQ984" s="6"/>
      <c r="ET984" s="4"/>
      <c r="EU984" s="4"/>
      <c r="EV984" s="4"/>
    </row>
    <row r="985" spans="1:152" x14ac:dyDescent="0.15">
      <c r="A985" s="576"/>
      <c r="EO985" s="6"/>
      <c r="EP985" s="6"/>
      <c r="EQ985" s="6"/>
      <c r="ET985" s="4"/>
      <c r="EU985" s="4"/>
      <c r="EV985" s="4"/>
    </row>
    <row r="986" spans="1:152" x14ac:dyDescent="0.15">
      <c r="A986" s="576"/>
      <c r="EO986" s="6"/>
      <c r="EP986" s="6"/>
      <c r="EQ986" s="6"/>
      <c r="ET986" s="4"/>
      <c r="EU986" s="4"/>
      <c r="EV986" s="4"/>
    </row>
    <row r="987" spans="1:152" x14ac:dyDescent="0.15">
      <c r="A987" s="576"/>
      <c r="EO987" s="6"/>
      <c r="EP987" s="6"/>
      <c r="EQ987" s="6"/>
      <c r="ET987" s="4"/>
      <c r="EU987" s="4"/>
      <c r="EV987" s="4"/>
    </row>
    <row r="988" spans="1:152" x14ac:dyDescent="0.15">
      <c r="A988" s="576"/>
      <c r="EO988" s="6"/>
      <c r="EP988" s="6"/>
      <c r="EQ988" s="6"/>
      <c r="ET988" s="4"/>
      <c r="EU988" s="4"/>
      <c r="EV988" s="4"/>
    </row>
    <row r="989" spans="1:152" x14ac:dyDescent="0.15">
      <c r="A989" s="576"/>
      <c r="EO989" s="6"/>
      <c r="EP989" s="6"/>
      <c r="EQ989" s="6"/>
      <c r="ET989" s="4"/>
      <c r="EU989" s="4"/>
      <c r="EV989" s="4"/>
    </row>
    <row r="990" spans="1:152" x14ac:dyDescent="0.15">
      <c r="A990" s="576"/>
      <c r="EO990" s="6"/>
      <c r="EP990" s="6"/>
      <c r="EQ990" s="6"/>
      <c r="ET990" s="4"/>
      <c r="EU990" s="4"/>
      <c r="EV990" s="4"/>
    </row>
    <row r="991" spans="1:152" x14ac:dyDescent="0.15">
      <c r="A991" s="576"/>
      <c r="EO991" s="6"/>
      <c r="EP991" s="6"/>
      <c r="EQ991" s="6"/>
      <c r="ET991" s="4"/>
      <c r="EU991" s="4"/>
      <c r="EV991" s="4"/>
    </row>
    <row r="992" spans="1:152" x14ac:dyDescent="0.15">
      <c r="A992" s="576"/>
      <c r="EO992" s="6"/>
      <c r="EP992" s="6"/>
      <c r="EQ992" s="6"/>
      <c r="ET992" s="4"/>
      <c r="EU992" s="4"/>
      <c r="EV992" s="4"/>
    </row>
    <row r="993" spans="1:152" x14ac:dyDescent="0.15">
      <c r="A993" s="576"/>
      <c r="EO993" s="6"/>
      <c r="EP993" s="6"/>
      <c r="EQ993" s="6"/>
      <c r="ET993" s="4"/>
      <c r="EU993" s="4"/>
      <c r="EV993" s="4"/>
    </row>
    <row r="994" spans="1:152" x14ac:dyDescent="0.15">
      <c r="A994" s="576"/>
      <c r="EO994" s="6"/>
      <c r="EP994" s="6"/>
      <c r="EQ994" s="6"/>
      <c r="ET994" s="4"/>
      <c r="EU994" s="4"/>
      <c r="EV994" s="4"/>
    </row>
    <row r="995" spans="1:152" x14ac:dyDescent="0.15">
      <c r="A995" s="576"/>
      <c r="EO995" s="6"/>
      <c r="EP995" s="6"/>
      <c r="EQ995" s="6"/>
      <c r="ET995" s="4"/>
      <c r="EU995" s="4"/>
      <c r="EV995" s="4"/>
    </row>
    <row r="996" spans="1:152" x14ac:dyDescent="0.15">
      <c r="A996" s="576"/>
      <c r="EO996" s="6"/>
      <c r="EP996" s="6"/>
      <c r="EQ996" s="6"/>
      <c r="ET996" s="4"/>
      <c r="EU996" s="4"/>
      <c r="EV996" s="4"/>
    </row>
    <row r="997" spans="1:152" x14ac:dyDescent="0.15">
      <c r="A997" s="576"/>
      <c r="EO997" s="6"/>
      <c r="EP997" s="6"/>
      <c r="EQ997" s="6"/>
      <c r="ET997" s="4"/>
      <c r="EU997" s="4"/>
      <c r="EV997" s="4"/>
    </row>
    <row r="998" spans="1:152" x14ac:dyDescent="0.15">
      <c r="A998" s="576"/>
      <c r="EO998" s="6"/>
      <c r="EP998" s="6"/>
      <c r="EQ998" s="6"/>
      <c r="ET998" s="4"/>
      <c r="EU998" s="4"/>
      <c r="EV998" s="4"/>
    </row>
    <row r="999" spans="1:152" x14ac:dyDescent="0.15">
      <c r="A999" s="576"/>
      <c r="EO999" s="6"/>
      <c r="EP999" s="6"/>
      <c r="EQ999" s="6"/>
      <c r="ET999" s="4"/>
      <c r="EU999" s="4"/>
      <c r="EV999" s="4"/>
    </row>
    <row r="1000" spans="1:152" x14ac:dyDescent="0.15">
      <c r="A1000" s="576"/>
      <c r="EO1000" s="6"/>
      <c r="EP1000" s="6"/>
      <c r="EQ1000" s="6"/>
      <c r="ET1000" s="4"/>
      <c r="EU1000" s="4"/>
      <c r="EV1000" s="4"/>
    </row>
    <row r="1001" spans="1:152" x14ac:dyDescent="0.15">
      <c r="A1001" s="576"/>
      <c r="EO1001" s="6"/>
      <c r="EP1001" s="6"/>
      <c r="EQ1001" s="6"/>
      <c r="ET1001" s="4"/>
      <c r="EU1001" s="4"/>
      <c r="EV1001" s="4"/>
    </row>
    <row r="1002" spans="1:152" x14ac:dyDescent="0.15">
      <c r="A1002" s="576"/>
      <c r="EO1002" s="6"/>
      <c r="EP1002" s="6"/>
      <c r="EQ1002" s="6"/>
      <c r="ET1002" s="4"/>
      <c r="EU1002" s="4"/>
      <c r="EV1002" s="4"/>
    </row>
    <row r="1003" spans="1:152" x14ac:dyDescent="0.15">
      <c r="A1003" s="576"/>
      <c r="EO1003" s="6"/>
      <c r="EP1003" s="6"/>
      <c r="EQ1003" s="6"/>
      <c r="ET1003" s="4"/>
      <c r="EU1003" s="4"/>
      <c r="EV1003" s="4"/>
    </row>
    <row r="1004" spans="1:152" x14ac:dyDescent="0.15">
      <c r="A1004" s="576"/>
      <c r="EO1004" s="6"/>
      <c r="EP1004" s="6"/>
      <c r="EQ1004" s="6"/>
      <c r="ET1004" s="4"/>
      <c r="EU1004" s="4"/>
      <c r="EV1004" s="4"/>
    </row>
    <row r="1005" spans="1:152" x14ac:dyDescent="0.15">
      <c r="A1005" s="576"/>
      <c r="EO1005" s="6"/>
      <c r="EP1005" s="6"/>
      <c r="EQ1005" s="6"/>
      <c r="ET1005" s="4"/>
      <c r="EU1005" s="4"/>
      <c r="EV1005" s="4"/>
    </row>
    <row r="1006" spans="1:152" x14ac:dyDescent="0.15">
      <c r="A1006" s="576"/>
      <c r="EO1006" s="6"/>
      <c r="EP1006" s="6"/>
      <c r="EQ1006" s="6"/>
      <c r="ET1006" s="4"/>
      <c r="EU1006" s="4"/>
      <c r="EV1006" s="4"/>
    </row>
    <row r="1007" spans="1:152" x14ac:dyDescent="0.15">
      <c r="A1007" s="576"/>
      <c r="EO1007" s="6"/>
      <c r="EP1007" s="6"/>
      <c r="EQ1007" s="6"/>
      <c r="ET1007" s="4"/>
      <c r="EU1007" s="4"/>
      <c r="EV1007" s="4"/>
    </row>
    <row r="1008" spans="1:152" x14ac:dyDescent="0.15">
      <c r="A1008" s="576"/>
      <c r="EO1008" s="6"/>
      <c r="EP1008" s="6"/>
      <c r="EQ1008" s="6"/>
      <c r="ET1008" s="4"/>
      <c r="EU1008" s="4"/>
      <c r="EV1008" s="4"/>
    </row>
    <row r="1009" spans="1:152" x14ac:dyDescent="0.15">
      <c r="A1009" s="576"/>
      <c r="EO1009" s="6"/>
      <c r="EP1009" s="6"/>
      <c r="EQ1009" s="6"/>
      <c r="ET1009" s="4"/>
      <c r="EU1009" s="4"/>
      <c r="EV1009" s="4"/>
    </row>
    <row r="1010" spans="1:152" x14ac:dyDescent="0.15">
      <c r="A1010" s="576"/>
      <c r="EO1010" s="6"/>
      <c r="EP1010" s="6"/>
      <c r="EQ1010" s="6"/>
      <c r="ET1010" s="4"/>
      <c r="EU1010" s="4"/>
      <c r="EV1010" s="4"/>
    </row>
    <row r="1011" spans="1:152" x14ac:dyDescent="0.15">
      <c r="A1011" s="576"/>
      <c r="EO1011" s="6"/>
      <c r="EP1011" s="6"/>
      <c r="EQ1011" s="6"/>
      <c r="ET1011" s="4"/>
      <c r="EU1011" s="4"/>
      <c r="EV1011" s="4"/>
    </row>
    <row r="1012" spans="1:152" x14ac:dyDescent="0.15">
      <c r="A1012" s="576"/>
      <c r="EO1012" s="6"/>
      <c r="EP1012" s="6"/>
      <c r="EQ1012" s="6"/>
      <c r="ET1012" s="4"/>
      <c r="EU1012" s="4"/>
      <c r="EV1012" s="4"/>
    </row>
    <row r="1013" spans="1:152" x14ac:dyDescent="0.15">
      <c r="A1013" s="576"/>
      <c r="EO1013" s="6"/>
      <c r="EP1013" s="6"/>
      <c r="EQ1013" s="6"/>
      <c r="ET1013" s="4"/>
      <c r="EU1013" s="4"/>
      <c r="EV1013" s="4"/>
    </row>
    <row r="1014" spans="1:152" x14ac:dyDescent="0.15">
      <c r="A1014" s="576"/>
      <c r="EO1014" s="6"/>
      <c r="EP1014" s="6"/>
      <c r="EQ1014" s="6"/>
      <c r="ET1014" s="4"/>
      <c r="EU1014" s="4"/>
      <c r="EV1014" s="4"/>
    </row>
    <row r="1015" spans="1:152" x14ac:dyDescent="0.15">
      <c r="A1015" s="576"/>
      <c r="EO1015" s="6"/>
      <c r="EP1015" s="6"/>
      <c r="EQ1015" s="6"/>
      <c r="ET1015" s="4"/>
      <c r="EU1015" s="4"/>
      <c r="EV1015" s="4"/>
    </row>
    <row r="1016" spans="1:152" x14ac:dyDescent="0.15">
      <c r="A1016" s="576"/>
      <c r="EO1016" s="6"/>
      <c r="EP1016" s="6"/>
      <c r="EQ1016" s="6"/>
      <c r="ET1016" s="4"/>
      <c r="EU1016" s="4"/>
      <c r="EV1016" s="4"/>
    </row>
    <row r="1017" spans="1:152" x14ac:dyDescent="0.15">
      <c r="A1017" s="576"/>
      <c r="EO1017" s="6"/>
      <c r="EP1017" s="6"/>
      <c r="EQ1017" s="6"/>
      <c r="ET1017" s="4"/>
      <c r="EU1017" s="4"/>
      <c r="EV1017" s="4"/>
    </row>
    <row r="1018" spans="1:152" x14ac:dyDescent="0.15">
      <c r="A1018" s="576"/>
      <c r="EO1018" s="6"/>
      <c r="EP1018" s="6"/>
      <c r="EQ1018" s="6"/>
      <c r="ET1018" s="4"/>
      <c r="EU1018" s="4"/>
      <c r="EV1018" s="4"/>
    </row>
    <row r="1019" spans="1:152" x14ac:dyDescent="0.15">
      <c r="A1019" s="576"/>
      <c r="EO1019" s="6"/>
      <c r="EP1019" s="6"/>
      <c r="EQ1019" s="6"/>
      <c r="ET1019" s="4"/>
      <c r="EU1019" s="4"/>
      <c r="EV1019" s="4"/>
    </row>
    <row r="1020" spans="1:152" x14ac:dyDescent="0.15">
      <c r="A1020" s="576"/>
      <c r="EO1020" s="6"/>
      <c r="EP1020" s="6"/>
      <c r="EQ1020" s="6"/>
      <c r="ET1020" s="4"/>
      <c r="EU1020" s="4"/>
      <c r="EV1020" s="4"/>
    </row>
    <row r="1021" spans="1:152" x14ac:dyDescent="0.15">
      <c r="A1021" s="576"/>
      <c r="EO1021" s="6"/>
      <c r="EP1021" s="6"/>
      <c r="EQ1021" s="6"/>
      <c r="ET1021" s="4"/>
      <c r="EU1021" s="4"/>
      <c r="EV1021" s="4"/>
    </row>
    <row r="1022" spans="1:152" x14ac:dyDescent="0.15">
      <c r="A1022" s="576"/>
      <c r="EO1022" s="6"/>
      <c r="EP1022" s="6"/>
      <c r="EQ1022" s="6"/>
      <c r="ET1022" s="4"/>
      <c r="EU1022" s="4"/>
      <c r="EV1022" s="4"/>
    </row>
    <row r="1023" spans="1:152" x14ac:dyDescent="0.15">
      <c r="A1023" s="576"/>
      <c r="EO1023" s="6"/>
      <c r="EP1023" s="6"/>
      <c r="EQ1023" s="6"/>
      <c r="ET1023" s="4"/>
      <c r="EU1023" s="4"/>
      <c r="EV1023" s="4"/>
    </row>
    <row r="1024" spans="1:152" x14ac:dyDescent="0.15">
      <c r="A1024" s="576"/>
      <c r="EO1024" s="6"/>
      <c r="EP1024" s="6"/>
      <c r="EQ1024" s="6"/>
      <c r="ET1024" s="4"/>
      <c r="EU1024" s="4"/>
      <c r="EV1024" s="4"/>
    </row>
    <row r="1025" spans="1:152" x14ac:dyDescent="0.15">
      <c r="A1025" s="576"/>
      <c r="EO1025" s="6"/>
      <c r="EP1025" s="6"/>
      <c r="EQ1025" s="6"/>
      <c r="ET1025" s="4"/>
      <c r="EU1025" s="4"/>
      <c r="EV1025" s="4"/>
    </row>
    <row r="1026" spans="1:152" x14ac:dyDescent="0.15">
      <c r="A1026" s="576"/>
      <c r="EO1026" s="6"/>
      <c r="EP1026" s="6"/>
      <c r="EQ1026" s="6"/>
      <c r="ET1026" s="4"/>
      <c r="EU1026" s="4"/>
      <c r="EV1026" s="4"/>
    </row>
    <row r="1027" spans="1:152" x14ac:dyDescent="0.15">
      <c r="A1027" s="576"/>
      <c r="EO1027" s="6"/>
      <c r="EP1027" s="6"/>
      <c r="EQ1027" s="6"/>
      <c r="ET1027" s="4"/>
      <c r="EU1027" s="4"/>
      <c r="EV1027" s="4"/>
    </row>
    <row r="1028" spans="1:152" x14ac:dyDescent="0.15">
      <c r="A1028" s="576"/>
      <c r="EO1028" s="6"/>
      <c r="EP1028" s="6"/>
      <c r="EQ1028" s="6"/>
      <c r="ET1028" s="4"/>
      <c r="EU1028" s="4"/>
      <c r="EV1028" s="4"/>
    </row>
    <row r="1029" spans="1:152" x14ac:dyDescent="0.15">
      <c r="A1029" s="576"/>
      <c r="EO1029" s="6"/>
      <c r="EP1029" s="6"/>
      <c r="EQ1029" s="6"/>
      <c r="ET1029" s="4"/>
      <c r="EU1029" s="4"/>
      <c r="EV1029" s="4"/>
    </row>
    <row r="1030" spans="1:152" x14ac:dyDescent="0.15">
      <c r="A1030" s="576"/>
      <c r="EO1030" s="6"/>
      <c r="EP1030" s="6"/>
      <c r="EQ1030" s="6"/>
      <c r="ET1030" s="4"/>
      <c r="EU1030" s="4"/>
      <c r="EV1030" s="4"/>
    </row>
    <row r="1031" spans="1:152" x14ac:dyDescent="0.15">
      <c r="A1031" s="576"/>
      <c r="EO1031" s="6"/>
      <c r="EP1031" s="6"/>
      <c r="EQ1031" s="6"/>
      <c r="ET1031" s="4"/>
      <c r="EU1031" s="4"/>
      <c r="EV1031" s="4"/>
    </row>
    <row r="1032" spans="1:152" x14ac:dyDescent="0.15">
      <c r="A1032" s="576"/>
      <c r="EO1032" s="6"/>
      <c r="EP1032" s="6"/>
      <c r="EQ1032" s="6"/>
      <c r="ET1032" s="4"/>
      <c r="EU1032" s="4"/>
      <c r="EV1032" s="4"/>
    </row>
    <row r="1033" spans="1:152" x14ac:dyDescent="0.15">
      <c r="A1033" s="576"/>
      <c r="EO1033" s="6"/>
      <c r="EP1033" s="6"/>
      <c r="EQ1033" s="6"/>
      <c r="ET1033" s="4"/>
      <c r="EU1033" s="4"/>
      <c r="EV1033" s="4"/>
    </row>
    <row r="1034" spans="1:152" x14ac:dyDescent="0.15">
      <c r="A1034" s="576"/>
      <c r="EO1034" s="6"/>
      <c r="EP1034" s="6"/>
      <c r="EQ1034" s="6"/>
      <c r="ET1034" s="4"/>
      <c r="EU1034" s="4"/>
      <c r="EV1034" s="4"/>
    </row>
    <row r="1035" spans="1:152" x14ac:dyDescent="0.15">
      <c r="A1035" s="576"/>
      <c r="EO1035" s="6"/>
      <c r="EP1035" s="6"/>
      <c r="EQ1035" s="6"/>
      <c r="ET1035" s="4"/>
      <c r="EU1035" s="4"/>
      <c r="EV1035" s="4"/>
    </row>
    <row r="1036" spans="1:152" x14ac:dyDescent="0.15">
      <c r="A1036" s="576"/>
      <c r="EO1036" s="6"/>
      <c r="EP1036" s="6"/>
      <c r="EQ1036" s="6"/>
      <c r="ET1036" s="4"/>
      <c r="EU1036" s="4"/>
      <c r="EV1036" s="4"/>
    </row>
    <row r="1037" spans="1:152" x14ac:dyDescent="0.15">
      <c r="A1037" s="576"/>
      <c r="EO1037" s="6"/>
      <c r="EP1037" s="6"/>
      <c r="EQ1037" s="6"/>
      <c r="ET1037" s="4"/>
      <c r="EU1037" s="4"/>
      <c r="EV1037" s="4"/>
    </row>
    <row r="1038" spans="1:152" x14ac:dyDescent="0.15">
      <c r="A1038" s="576"/>
      <c r="EO1038" s="6"/>
      <c r="EP1038" s="6"/>
      <c r="EQ1038" s="6"/>
      <c r="ET1038" s="4"/>
      <c r="EU1038" s="4"/>
      <c r="EV1038" s="4"/>
    </row>
    <row r="1039" spans="1:152" x14ac:dyDescent="0.15">
      <c r="A1039" s="576"/>
      <c r="EO1039" s="6"/>
      <c r="EP1039" s="6"/>
      <c r="EQ1039" s="6"/>
      <c r="ET1039" s="4"/>
      <c r="EU1039" s="4"/>
      <c r="EV1039" s="4"/>
    </row>
    <row r="1040" spans="1:152" x14ac:dyDescent="0.15">
      <c r="A1040" s="576"/>
      <c r="EO1040" s="6"/>
      <c r="EP1040" s="6"/>
      <c r="EQ1040" s="6"/>
      <c r="ET1040" s="4"/>
      <c r="EU1040" s="4"/>
      <c r="EV1040" s="4"/>
    </row>
    <row r="1041" spans="1:152" x14ac:dyDescent="0.15">
      <c r="A1041" s="576"/>
      <c r="EO1041" s="6"/>
      <c r="EP1041" s="6"/>
      <c r="EQ1041" s="6"/>
      <c r="ET1041" s="4"/>
      <c r="EU1041" s="4"/>
      <c r="EV1041" s="4"/>
    </row>
    <row r="1042" spans="1:152" x14ac:dyDescent="0.15">
      <c r="A1042" s="576"/>
      <c r="EO1042" s="6"/>
      <c r="EP1042" s="6"/>
      <c r="EQ1042" s="6"/>
      <c r="ET1042" s="4"/>
      <c r="EU1042" s="4"/>
      <c r="EV1042" s="4"/>
    </row>
    <row r="1043" spans="1:152" x14ac:dyDescent="0.15">
      <c r="A1043" s="576"/>
      <c r="EO1043" s="6"/>
      <c r="EP1043" s="6"/>
      <c r="EQ1043" s="6"/>
      <c r="ET1043" s="4"/>
      <c r="EU1043" s="4"/>
      <c r="EV1043" s="4"/>
    </row>
    <row r="1044" spans="1:152" x14ac:dyDescent="0.15">
      <c r="A1044" s="576"/>
      <c r="EO1044" s="6"/>
      <c r="EP1044" s="6"/>
      <c r="EQ1044" s="6"/>
      <c r="ET1044" s="4"/>
      <c r="EU1044" s="4"/>
      <c r="EV1044" s="4"/>
    </row>
    <row r="1045" spans="1:152" x14ac:dyDescent="0.15">
      <c r="A1045" s="576"/>
      <c r="EO1045" s="6"/>
      <c r="EP1045" s="6"/>
      <c r="EQ1045" s="6"/>
      <c r="ET1045" s="4"/>
      <c r="EU1045" s="4"/>
      <c r="EV1045" s="4"/>
    </row>
    <row r="1046" spans="1:152" x14ac:dyDescent="0.15">
      <c r="A1046" s="576"/>
      <c r="EO1046" s="6"/>
      <c r="EP1046" s="6"/>
      <c r="EQ1046" s="6"/>
      <c r="ET1046" s="4"/>
      <c r="EU1046" s="4"/>
      <c r="EV1046" s="4"/>
    </row>
    <row r="1047" spans="1:152" x14ac:dyDescent="0.15">
      <c r="A1047" s="576"/>
      <c r="EO1047" s="6"/>
      <c r="EP1047" s="6"/>
      <c r="EQ1047" s="6"/>
      <c r="ET1047" s="4"/>
      <c r="EU1047" s="4"/>
      <c r="EV1047" s="4"/>
    </row>
    <row r="1048" spans="1:152" x14ac:dyDescent="0.15">
      <c r="A1048" s="576"/>
      <c r="EO1048" s="6"/>
      <c r="EP1048" s="6"/>
      <c r="EQ1048" s="6"/>
      <c r="ET1048" s="4"/>
      <c r="EU1048" s="4"/>
      <c r="EV1048" s="4"/>
    </row>
    <row r="1049" spans="1:152" x14ac:dyDescent="0.15">
      <c r="A1049" s="576"/>
      <c r="EO1049" s="6"/>
      <c r="EP1049" s="6"/>
      <c r="EQ1049" s="6"/>
      <c r="ET1049" s="4"/>
      <c r="EU1049" s="4"/>
      <c r="EV1049" s="4"/>
    </row>
    <row r="1050" spans="1:152" x14ac:dyDescent="0.15">
      <c r="A1050" s="576"/>
      <c r="EO1050" s="6"/>
      <c r="EP1050" s="6"/>
      <c r="EQ1050" s="6"/>
      <c r="ET1050" s="4"/>
      <c r="EU1050" s="4"/>
      <c r="EV1050" s="4"/>
    </row>
    <row r="1051" spans="1:152" x14ac:dyDescent="0.15">
      <c r="A1051" s="576"/>
      <c r="EO1051" s="6"/>
      <c r="EP1051" s="6"/>
      <c r="EQ1051" s="6"/>
      <c r="ET1051" s="4"/>
      <c r="EU1051" s="4"/>
      <c r="EV1051" s="4"/>
    </row>
    <row r="1052" spans="1:152" x14ac:dyDescent="0.15">
      <c r="A1052" s="576"/>
      <c r="EO1052" s="6"/>
      <c r="EP1052" s="6"/>
      <c r="EQ1052" s="6"/>
      <c r="ET1052" s="4"/>
      <c r="EU1052" s="4"/>
      <c r="EV1052" s="4"/>
    </row>
    <row r="1053" spans="1:152" x14ac:dyDescent="0.15">
      <c r="A1053" s="576"/>
      <c r="EO1053" s="6"/>
      <c r="EP1053" s="6"/>
      <c r="EQ1053" s="6"/>
      <c r="ET1053" s="4"/>
      <c r="EU1053" s="4"/>
      <c r="EV1053" s="4"/>
    </row>
    <row r="1054" spans="1:152" x14ac:dyDescent="0.15">
      <c r="A1054" s="576"/>
      <c r="EO1054" s="6"/>
      <c r="EP1054" s="6"/>
      <c r="EQ1054" s="6"/>
      <c r="ET1054" s="4"/>
      <c r="EU1054" s="4"/>
      <c r="EV1054" s="4"/>
    </row>
    <row r="1055" spans="1:152" x14ac:dyDescent="0.15">
      <c r="A1055" s="576"/>
      <c r="EO1055" s="6"/>
      <c r="EP1055" s="6"/>
      <c r="EQ1055" s="6"/>
      <c r="ET1055" s="4"/>
      <c r="EU1055" s="4"/>
      <c r="EV1055" s="4"/>
    </row>
    <row r="1056" spans="1:152" x14ac:dyDescent="0.15">
      <c r="A1056" s="576"/>
      <c r="EO1056" s="6"/>
      <c r="EP1056" s="6"/>
      <c r="EQ1056" s="6"/>
      <c r="ET1056" s="4"/>
      <c r="EU1056" s="4"/>
      <c r="EV1056" s="4"/>
    </row>
    <row r="1057" spans="1:152" x14ac:dyDescent="0.15">
      <c r="A1057" s="576"/>
      <c r="EO1057" s="6"/>
      <c r="EP1057" s="6"/>
      <c r="EQ1057" s="6"/>
      <c r="ET1057" s="4"/>
      <c r="EU1057" s="4"/>
      <c r="EV1057" s="4"/>
    </row>
    <row r="1058" spans="1:152" x14ac:dyDescent="0.15">
      <c r="A1058" s="576"/>
      <c r="EO1058" s="6"/>
      <c r="EP1058" s="6"/>
      <c r="EQ1058" s="6"/>
      <c r="ET1058" s="4"/>
      <c r="EU1058" s="4"/>
      <c r="EV1058" s="4"/>
    </row>
    <row r="1059" spans="1:152" x14ac:dyDescent="0.15">
      <c r="A1059" s="576"/>
      <c r="EO1059" s="6"/>
      <c r="EP1059" s="6"/>
      <c r="EQ1059" s="6"/>
      <c r="ET1059" s="4"/>
      <c r="EU1059" s="4"/>
      <c r="EV1059" s="4"/>
    </row>
    <row r="1060" spans="1:152" x14ac:dyDescent="0.15">
      <c r="A1060" s="576"/>
      <c r="EO1060" s="6"/>
      <c r="EP1060" s="6"/>
      <c r="EQ1060" s="6"/>
      <c r="ET1060" s="4"/>
      <c r="EU1060" s="4"/>
      <c r="EV1060" s="4"/>
    </row>
    <row r="1061" spans="1:152" x14ac:dyDescent="0.15">
      <c r="A1061" s="576"/>
      <c r="EO1061" s="6"/>
      <c r="EP1061" s="6"/>
      <c r="EQ1061" s="6"/>
      <c r="ET1061" s="4"/>
      <c r="EU1061" s="4"/>
      <c r="EV1061" s="4"/>
    </row>
    <row r="1062" spans="1:152" x14ac:dyDescent="0.15">
      <c r="A1062" s="576"/>
      <c r="EO1062" s="6"/>
      <c r="EP1062" s="6"/>
      <c r="EQ1062" s="6"/>
      <c r="ET1062" s="4"/>
      <c r="EU1062" s="4"/>
      <c r="EV1062" s="4"/>
    </row>
    <row r="1063" spans="1:152" x14ac:dyDescent="0.15">
      <c r="A1063" s="576"/>
      <c r="EO1063" s="6"/>
      <c r="EP1063" s="6"/>
      <c r="EQ1063" s="6"/>
      <c r="ET1063" s="4"/>
      <c r="EU1063" s="4"/>
      <c r="EV1063" s="4"/>
    </row>
    <row r="1064" spans="1:152" x14ac:dyDescent="0.15">
      <c r="A1064" s="576"/>
      <c r="EO1064" s="6"/>
      <c r="EP1064" s="6"/>
      <c r="EQ1064" s="6"/>
      <c r="ET1064" s="4"/>
      <c r="EU1064" s="4"/>
      <c r="EV1064" s="4"/>
    </row>
    <row r="1065" spans="1:152" x14ac:dyDescent="0.15">
      <c r="A1065" s="576"/>
      <c r="EO1065" s="6"/>
      <c r="EP1065" s="6"/>
      <c r="EQ1065" s="6"/>
      <c r="ET1065" s="4"/>
      <c r="EU1065" s="4"/>
      <c r="EV1065" s="4"/>
    </row>
    <row r="1066" spans="1:152" x14ac:dyDescent="0.15">
      <c r="A1066" s="576"/>
      <c r="EO1066" s="6"/>
      <c r="EP1066" s="6"/>
      <c r="EQ1066" s="6"/>
      <c r="ET1066" s="4"/>
      <c r="EU1066" s="4"/>
      <c r="EV1066" s="4"/>
    </row>
    <row r="1067" spans="1:152" x14ac:dyDescent="0.15">
      <c r="A1067" s="576"/>
      <c r="EO1067" s="6"/>
      <c r="EP1067" s="6"/>
      <c r="EQ1067" s="6"/>
      <c r="ET1067" s="4"/>
      <c r="EU1067" s="4"/>
      <c r="EV1067" s="4"/>
    </row>
    <row r="1068" spans="1:152" x14ac:dyDescent="0.15">
      <c r="A1068" s="576"/>
      <c r="EO1068" s="6"/>
      <c r="EP1068" s="6"/>
      <c r="EQ1068" s="6"/>
      <c r="ET1068" s="4"/>
      <c r="EU1068" s="4"/>
      <c r="EV1068" s="4"/>
    </row>
    <row r="1069" spans="1:152" x14ac:dyDescent="0.15">
      <c r="A1069" s="576"/>
      <c r="EO1069" s="6"/>
      <c r="EP1069" s="6"/>
      <c r="EQ1069" s="6"/>
      <c r="ET1069" s="4"/>
      <c r="EU1069" s="4"/>
      <c r="EV1069" s="4"/>
    </row>
    <row r="1070" spans="1:152" x14ac:dyDescent="0.15">
      <c r="A1070" s="576"/>
      <c r="EO1070" s="6"/>
      <c r="EP1070" s="6"/>
      <c r="EQ1070" s="6"/>
      <c r="ET1070" s="4"/>
      <c r="EU1070" s="4"/>
      <c r="EV1070" s="4"/>
    </row>
    <row r="1071" spans="1:152" x14ac:dyDescent="0.15">
      <c r="A1071" s="576"/>
      <c r="EO1071" s="6"/>
      <c r="EP1071" s="6"/>
      <c r="EQ1071" s="6"/>
      <c r="ET1071" s="4"/>
      <c r="EU1071" s="4"/>
      <c r="EV1071" s="4"/>
    </row>
    <row r="1072" spans="1:152" x14ac:dyDescent="0.15">
      <c r="A1072" s="576"/>
      <c r="EO1072" s="6"/>
      <c r="EP1072" s="6"/>
      <c r="EQ1072" s="6"/>
      <c r="ET1072" s="4"/>
      <c r="EU1072" s="4"/>
      <c r="EV1072" s="4"/>
    </row>
    <row r="1073" spans="1:152" x14ac:dyDescent="0.15">
      <c r="A1073" s="576"/>
      <c r="EO1073" s="6"/>
      <c r="EP1073" s="6"/>
      <c r="EQ1073" s="6"/>
      <c r="ET1073" s="4"/>
      <c r="EU1073" s="4"/>
      <c r="EV1073" s="4"/>
    </row>
    <row r="1074" spans="1:152" x14ac:dyDescent="0.15">
      <c r="A1074" s="576"/>
      <c r="EO1074" s="6"/>
      <c r="EP1074" s="6"/>
      <c r="EQ1074" s="6"/>
      <c r="ET1074" s="4"/>
      <c r="EU1074" s="4"/>
      <c r="EV1074" s="4"/>
    </row>
    <row r="1075" spans="1:152" x14ac:dyDescent="0.15">
      <c r="A1075" s="576"/>
      <c r="EO1075" s="6"/>
      <c r="EP1075" s="6"/>
      <c r="EQ1075" s="6"/>
      <c r="ET1075" s="4"/>
      <c r="EU1075" s="4"/>
      <c r="EV1075" s="4"/>
    </row>
    <row r="1076" spans="1:152" x14ac:dyDescent="0.15">
      <c r="A1076" s="576"/>
      <c r="EO1076" s="6"/>
      <c r="EP1076" s="6"/>
      <c r="EQ1076" s="6"/>
      <c r="ET1076" s="4"/>
      <c r="EU1076" s="4"/>
      <c r="EV1076" s="4"/>
    </row>
    <row r="1077" spans="1:152" x14ac:dyDescent="0.15">
      <c r="A1077" s="576"/>
      <c r="EO1077" s="6"/>
      <c r="EP1077" s="6"/>
      <c r="EQ1077" s="6"/>
      <c r="ET1077" s="4"/>
      <c r="EU1077" s="4"/>
      <c r="EV1077" s="4"/>
    </row>
    <row r="1078" spans="1:152" x14ac:dyDescent="0.15">
      <c r="A1078" s="576"/>
      <c r="EO1078" s="6"/>
      <c r="EP1078" s="6"/>
      <c r="EQ1078" s="6"/>
      <c r="ET1078" s="4"/>
      <c r="EU1078" s="4"/>
      <c r="EV1078" s="4"/>
    </row>
    <row r="1079" spans="1:152" x14ac:dyDescent="0.15">
      <c r="A1079" s="576"/>
      <c r="EO1079" s="6"/>
      <c r="EP1079" s="6"/>
      <c r="EQ1079" s="6"/>
      <c r="ET1079" s="4"/>
      <c r="EU1079" s="4"/>
      <c r="EV1079" s="4"/>
    </row>
    <row r="1080" spans="1:152" x14ac:dyDescent="0.15">
      <c r="A1080" s="576"/>
      <c r="EO1080" s="6"/>
      <c r="EP1080" s="6"/>
      <c r="EQ1080" s="6"/>
      <c r="ET1080" s="4"/>
      <c r="EU1080" s="4"/>
      <c r="EV1080" s="4"/>
    </row>
    <row r="1081" spans="1:152" x14ac:dyDescent="0.15">
      <c r="A1081" s="576"/>
      <c r="EO1081" s="6"/>
      <c r="EP1081" s="6"/>
      <c r="EQ1081" s="6"/>
      <c r="ET1081" s="4"/>
      <c r="EU1081" s="4"/>
      <c r="EV1081" s="4"/>
    </row>
    <row r="1082" spans="1:152" x14ac:dyDescent="0.15">
      <c r="A1082" s="576"/>
      <c r="EO1082" s="6"/>
      <c r="EP1082" s="6"/>
      <c r="EQ1082" s="6"/>
      <c r="ET1082" s="4"/>
      <c r="EU1082" s="4"/>
      <c r="EV1082" s="4"/>
    </row>
    <row r="1083" spans="1:152" x14ac:dyDescent="0.15">
      <c r="A1083" s="576"/>
      <c r="EO1083" s="6"/>
      <c r="EP1083" s="6"/>
      <c r="EQ1083" s="6"/>
      <c r="ET1083" s="4"/>
      <c r="EU1083" s="4"/>
      <c r="EV1083" s="4"/>
    </row>
    <row r="1084" spans="1:152" x14ac:dyDescent="0.15">
      <c r="A1084" s="576"/>
      <c r="EO1084" s="6"/>
      <c r="EP1084" s="6"/>
      <c r="EQ1084" s="6"/>
      <c r="ET1084" s="4"/>
      <c r="EU1084" s="4"/>
      <c r="EV1084" s="4"/>
    </row>
    <row r="1085" spans="1:152" x14ac:dyDescent="0.15">
      <c r="A1085" s="576"/>
      <c r="EO1085" s="6"/>
      <c r="EP1085" s="6"/>
      <c r="EQ1085" s="6"/>
      <c r="ET1085" s="4"/>
      <c r="EU1085" s="4"/>
      <c r="EV1085" s="4"/>
    </row>
    <row r="1086" spans="1:152" x14ac:dyDescent="0.15">
      <c r="A1086" s="576"/>
      <c r="EO1086" s="6"/>
      <c r="EP1086" s="6"/>
      <c r="EQ1086" s="6"/>
      <c r="ET1086" s="4"/>
      <c r="EU1086" s="4"/>
      <c r="EV1086" s="4"/>
    </row>
    <row r="1087" spans="1:152" x14ac:dyDescent="0.15">
      <c r="A1087" s="576"/>
      <c r="EO1087" s="6"/>
      <c r="EP1087" s="6"/>
      <c r="EQ1087" s="6"/>
      <c r="ET1087" s="4"/>
      <c r="EU1087" s="4"/>
      <c r="EV1087" s="4"/>
    </row>
    <row r="1088" spans="1:152" x14ac:dyDescent="0.15">
      <c r="A1088" s="576"/>
      <c r="EO1088" s="6"/>
      <c r="EP1088" s="6"/>
      <c r="EQ1088" s="6"/>
      <c r="ET1088" s="4"/>
      <c r="EU1088" s="4"/>
      <c r="EV1088" s="4"/>
    </row>
    <row r="1089" spans="1:152" x14ac:dyDescent="0.15">
      <c r="A1089" s="576"/>
      <c r="EO1089" s="6"/>
      <c r="EP1089" s="6"/>
      <c r="EQ1089" s="6"/>
      <c r="ET1089" s="4"/>
      <c r="EU1089" s="4"/>
      <c r="EV1089" s="4"/>
    </row>
    <row r="1090" spans="1:152" x14ac:dyDescent="0.15">
      <c r="A1090" s="576"/>
      <c r="EO1090" s="6"/>
      <c r="EP1090" s="6"/>
      <c r="EQ1090" s="6"/>
      <c r="ET1090" s="4"/>
      <c r="EU1090" s="4"/>
      <c r="EV1090" s="4"/>
    </row>
    <row r="1091" spans="1:152" x14ac:dyDescent="0.15">
      <c r="A1091" s="576"/>
      <c r="EO1091" s="6"/>
      <c r="EP1091" s="6"/>
      <c r="EQ1091" s="6"/>
      <c r="ET1091" s="4"/>
      <c r="EU1091" s="4"/>
      <c r="EV1091" s="4"/>
    </row>
    <row r="1092" spans="1:152" x14ac:dyDescent="0.15">
      <c r="A1092" s="576"/>
      <c r="EO1092" s="6"/>
      <c r="EP1092" s="6"/>
      <c r="EQ1092" s="6"/>
      <c r="ET1092" s="4"/>
      <c r="EU1092" s="4"/>
      <c r="EV1092" s="4"/>
    </row>
    <row r="1093" spans="1:152" x14ac:dyDescent="0.15">
      <c r="A1093" s="576"/>
      <c r="EO1093" s="6"/>
      <c r="EP1093" s="6"/>
      <c r="EQ1093" s="6"/>
      <c r="ET1093" s="4"/>
      <c r="EU1093" s="4"/>
      <c r="EV1093" s="4"/>
    </row>
    <row r="1094" spans="1:152" x14ac:dyDescent="0.15">
      <c r="A1094" s="576"/>
      <c r="EO1094" s="6"/>
      <c r="EP1094" s="6"/>
      <c r="EQ1094" s="6"/>
      <c r="ET1094" s="4"/>
      <c r="EU1094" s="4"/>
      <c r="EV1094" s="4"/>
    </row>
    <row r="1095" spans="1:152" x14ac:dyDescent="0.15">
      <c r="A1095" s="576"/>
      <c r="EO1095" s="6"/>
      <c r="EP1095" s="6"/>
      <c r="EQ1095" s="6"/>
      <c r="ET1095" s="4"/>
      <c r="EU1095" s="4"/>
      <c r="EV1095" s="4"/>
    </row>
    <row r="1096" spans="1:152" x14ac:dyDescent="0.15">
      <c r="A1096" s="576"/>
      <c r="EO1096" s="6"/>
      <c r="EP1096" s="6"/>
      <c r="EQ1096" s="6"/>
      <c r="ET1096" s="4"/>
      <c r="EU1096" s="4"/>
      <c r="EV1096" s="4"/>
    </row>
    <row r="1097" spans="1:152" x14ac:dyDescent="0.15">
      <c r="A1097" s="576"/>
      <c r="EO1097" s="6"/>
      <c r="EP1097" s="6"/>
      <c r="EQ1097" s="6"/>
      <c r="ET1097" s="4"/>
      <c r="EU1097" s="4"/>
      <c r="EV1097" s="4"/>
    </row>
    <row r="1098" spans="1:152" x14ac:dyDescent="0.15">
      <c r="A1098" s="576"/>
      <c r="EO1098" s="6"/>
      <c r="EP1098" s="6"/>
      <c r="EQ1098" s="6"/>
      <c r="ET1098" s="4"/>
      <c r="EU1098" s="4"/>
      <c r="EV1098" s="4"/>
    </row>
    <row r="1099" spans="1:152" x14ac:dyDescent="0.15">
      <c r="A1099" s="576"/>
      <c r="EO1099" s="6"/>
      <c r="EP1099" s="6"/>
      <c r="EQ1099" s="6"/>
      <c r="ET1099" s="4"/>
      <c r="EU1099" s="4"/>
      <c r="EV1099" s="4"/>
    </row>
    <row r="1100" spans="1:152" x14ac:dyDescent="0.15">
      <c r="A1100" s="576"/>
      <c r="EO1100" s="6"/>
      <c r="EP1100" s="6"/>
      <c r="EQ1100" s="6"/>
      <c r="ET1100" s="4"/>
      <c r="EU1100" s="4"/>
      <c r="EV1100" s="4"/>
    </row>
    <row r="1101" spans="1:152" x14ac:dyDescent="0.15">
      <c r="A1101" s="576"/>
      <c r="EO1101" s="6"/>
      <c r="EP1101" s="6"/>
      <c r="EQ1101" s="6"/>
      <c r="ET1101" s="4"/>
      <c r="EU1101" s="4"/>
      <c r="EV1101" s="4"/>
    </row>
    <row r="1102" spans="1:152" x14ac:dyDescent="0.15">
      <c r="A1102" s="576"/>
      <c r="EO1102" s="6"/>
      <c r="EP1102" s="6"/>
      <c r="EQ1102" s="6"/>
      <c r="ET1102" s="4"/>
      <c r="EU1102" s="4"/>
      <c r="EV1102" s="4"/>
    </row>
    <row r="1103" spans="1:152" x14ac:dyDescent="0.15">
      <c r="A1103" s="576"/>
      <c r="EO1103" s="6"/>
      <c r="EP1103" s="6"/>
      <c r="EQ1103" s="6"/>
      <c r="ET1103" s="4"/>
      <c r="EU1103" s="4"/>
      <c r="EV1103" s="4"/>
    </row>
    <row r="1104" spans="1:152" x14ac:dyDescent="0.15">
      <c r="A1104" s="576"/>
      <c r="EO1104" s="6"/>
      <c r="EP1104" s="6"/>
      <c r="EQ1104" s="6"/>
      <c r="ET1104" s="4"/>
      <c r="EU1104" s="4"/>
      <c r="EV1104" s="4"/>
    </row>
    <row r="1105" spans="1:152" x14ac:dyDescent="0.15">
      <c r="A1105" s="576"/>
      <c r="EO1105" s="6"/>
      <c r="EP1105" s="6"/>
      <c r="EQ1105" s="6"/>
      <c r="ET1105" s="4"/>
      <c r="EU1105" s="4"/>
      <c r="EV1105" s="4"/>
    </row>
    <row r="1106" spans="1:152" x14ac:dyDescent="0.15">
      <c r="A1106" s="576"/>
      <c r="EO1106" s="6"/>
      <c r="EP1106" s="6"/>
      <c r="EQ1106" s="6"/>
      <c r="ET1106" s="4"/>
      <c r="EU1106" s="4"/>
      <c r="EV1106" s="4"/>
    </row>
    <row r="1107" spans="1:152" x14ac:dyDescent="0.15">
      <c r="A1107" s="576"/>
      <c r="EO1107" s="6"/>
      <c r="EP1107" s="6"/>
      <c r="EQ1107" s="6"/>
      <c r="ET1107" s="4"/>
      <c r="EU1107" s="4"/>
      <c r="EV1107" s="4"/>
    </row>
    <row r="1108" spans="1:152" x14ac:dyDescent="0.15">
      <c r="A1108" s="576"/>
      <c r="EO1108" s="6"/>
      <c r="EP1108" s="6"/>
      <c r="EQ1108" s="6"/>
      <c r="ET1108" s="4"/>
      <c r="EU1108" s="4"/>
      <c r="EV1108" s="4"/>
    </row>
    <row r="1109" spans="1:152" x14ac:dyDescent="0.15">
      <c r="A1109" s="576"/>
      <c r="EO1109" s="6"/>
      <c r="EP1109" s="6"/>
      <c r="EQ1109" s="6"/>
      <c r="ET1109" s="4"/>
      <c r="EU1109" s="4"/>
      <c r="EV1109" s="4"/>
    </row>
    <row r="1110" spans="1:152" x14ac:dyDescent="0.15">
      <c r="A1110" s="576"/>
      <c r="EO1110" s="6"/>
      <c r="EP1110" s="6"/>
      <c r="EQ1110" s="6"/>
      <c r="ET1110" s="4"/>
      <c r="EU1110" s="4"/>
      <c r="EV1110" s="4"/>
    </row>
    <row r="1111" spans="1:152" x14ac:dyDescent="0.15">
      <c r="A1111" s="576"/>
      <c r="EO1111" s="6"/>
      <c r="EP1111" s="6"/>
      <c r="EQ1111" s="6"/>
      <c r="ET1111" s="4"/>
      <c r="EU1111" s="4"/>
      <c r="EV1111" s="4"/>
    </row>
    <row r="1112" spans="1:152" x14ac:dyDescent="0.15">
      <c r="A1112" s="576"/>
      <c r="EO1112" s="6"/>
      <c r="EP1112" s="6"/>
      <c r="EQ1112" s="6"/>
      <c r="ET1112" s="4"/>
      <c r="EU1112" s="4"/>
      <c r="EV1112" s="4"/>
    </row>
    <row r="1113" spans="1:152" x14ac:dyDescent="0.15">
      <c r="A1113" s="576"/>
      <c r="EO1113" s="6"/>
      <c r="EP1113" s="6"/>
      <c r="EQ1113" s="6"/>
      <c r="ET1113" s="4"/>
      <c r="EU1113" s="4"/>
      <c r="EV1113" s="4"/>
    </row>
    <row r="1114" spans="1:152" x14ac:dyDescent="0.15">
      <c r="A1114" s="576"/>
      <c r="EO1114" s="6"/>
      <c r="EP1114" s="6"/>
      <c r="EQ1114" s="6"/>
      <c r="ET1114" s="4"/>
      <c r="EU1114" s="4"/>
      <c r="EV1114" s="4"/>
    </row>
    <row r="1115" spans="1:152" x14ac:dyDescent="0.15">
      <c r="A1115" s="576"/>
      <c r="EO1115" s="6"/>
      <c r="EP1115" s="6"/>
      <c r="EQ1115" s="6"/>
      <c r="ET1115" s="4"/>
      <c r="EU1115" s="4"/>
      <c r="EV1115" s="4"/>
    </row>
    <row r="1116" spans="1:152" x14ac:dyDescent="0.15">
      <c r="A1116" s="576"/>
      <c r="EO1116" s="6"/>
      <c r="EP1116" s="6"/>
      <c r="EQ1116" s="6"/>
      <c r="ET1116" s="4"/>
      <c r="EU1116" s="4"/>
      <c r="EV1116" s="4"/>
    </row>
    <row r="1117" spans="1:152" x14ac:dyDescent="0.15">
      <c r="A1117" s="576"/>
      <c r="EO1117" s="6"/>
      <c r="EP1117" s="6"/>
      <c r="EQ1117" s="6"/>
      <c r="ET1117" s="4"/>
      <c r="EU1117" s="4"/>
      <c r="EV1117" s="4"/>
    </row>
    <row r="1118" spans="1:152" x14ac:dyDescent="0.15">
      <c r="A1118" s="576"/>
      <c r="EO1118" s="6"/>
      <c r="EP1118" s="6"/>
      <c r="EQ1118" s="6"/>
      <c r="ET1118" s="4"/>
      <c r="EU1118" s="4"/>
      <c r="EV1118" s="4"/>
    </row>
    <row r="1119" spans="1:152" x14ac:dyDescent="0.15">
      <c r="A1119" s="576"/>
      <c r="EO1119" s="6"/>
      <c r="EP1119" s="6"/>
      <c r="EQ1119" s="6"/>
      <c r="ET1119" s="4"/>
      <c r="EU1119" s="4"/>
      <c r="EV1119" s="4"/>
    </row>
    <row r="1120" spans="1:152" x14ac:dyDescent="0.15">
      <c r="A1120" s="576"/>
      <c r="EO1120" s="6"/>
      <c r="EP1120" s="6"/>
      <c r="EQ1120" s="6"/>
      <c r="ET1120" s="4"/>
      <c r="EU1120" s="4"/>
      <c r="EV1120" s="4"/>
    </row>
    <row r="1121" spans="1:152" x14ac:dyDescent="0.15">
      <c r="A1121" s="576"/>
      <c r="EO1121" s="6"/>
      <c r="EP1121" s="6"/>
      <c r="EQ1121" s="6"/>
      <c r="ET1121" s="4"/>
      <c r="EU1121" s="4"/>
      <c r="EV1121" s="4"/>
    </row>
    <row r="1122" spans="1:152" x14ac:dyDescent="0.15">
      <c r="A1122" s="576"/>
      <c r="EO1122" s="6"/>
      <c r="EP1122" s="6"/>
      <c r="EQ1122" s="6"/>
      <c r="ET1122" s="4"/>
      <c r="EU1122" s="4"/>
      <c r="EV1122" s="4"/>
    </row>
    <row r="1123" spans="1:152" x14ac:dyDescent="0.15">
      <c r="A1123" s="576"/>
      <c r="EO1123" s="6"/>
      <c r="EP1123" s="6"/>
      <c r="EQ1123" s="6"/>
      <c r="ET1123" s="4"/>
      <c r="EU1123" s="4"/>
      <c r="EV1123" s="4"/>
    </row>
    <row r="1124" spans="1:152" x14ac:dyDescent="0.15">
      <c r="A1124" s="576"/>
      <c r="EO1124" s="6"/>
      <c r="EP1124" s="6"/>
      <c r="EQ1124" s="6"/>
      <c r="ET1124" s="4"/>
      <c r="EU1124" s="4"/>
      <c r="EV1124" s="4"/>
    </row>
    <row r="1125" spans="1:152" x14ac:dyDescent="0.15">
      <c r="A1125" s="576"/>
      <c r="EO1125" s="6"/>
      <c r="EP1125" s="6"/>
      <c r="EQ1125" s="6"/>
      <c r="ET1125" s="4"/>
      <c r="EU1125" s="4"/>
      <c r="EV1125" s="4"/>
    </row>
    <row r="1126" spans="1:152" x14ac:dyDescent="0.15">
      <c r="A1126" s="576"/>
      <c r="EO1126" s="6"/>
      <c r="EP1126" s="6"/>
      <c r="EQ1126" s="6"/>
      <c r="ET1126" s="4"/>
      <c r="EU1126" s="4"/>
      <c r="EV1126" s="4"/>
    </row>
    <row r="1127" spans="1:152" x14ac:dyDescent="0.15">
      <c r="A1127" s="576"/>
      <c r="EO1127" s="6"/>
      <c r="EP1127" s="6"/>
      <c r="EQ1127" s="6"/>
      <c r="ET1127" s="4"/>
      <c r="EU1127" s="4"/>
      <c r="EV1127" s="4"/>
    </row>
    <row r="1128" spans="1:152" x14ac:dyDescent="0.15">
      <c r="A1128" s="576"/>
      <c r="EO1128" s="6"/>
      <c r="EP1128" s="6"/>
      <c r="EQ1128" s="6"/>
      <c r="ET1128" s="4"/>
      <c r="EU1128" s="4"/>
      <c r="EV1128" s="4"/>
    </row>
    <row r="1129" spans="1:152" x14ac:dyDescent="0.15">
      <c r="A1129" s="576"/>
      <c r="EO1129" s="6"/>
      <c r="EP1129" s="6"/>
      <c r="EQ1129" s="6"/>
      <c r="ET1129" s="4"/>
      <c r="EU1129" s="4"/>
      <c r="EV1129" s="4"/>
    </row>
    <row r="1130" spans="1:152" x14ac:dyDescent="0.15">
      <c r="A1130" s="576"/>
      <c r="EO1130" s="6"/>
      <c r="EP1130" s="6"/>
      <c r="EQ1130" s="6"/>
      <c r="ET1130" s="4"/>
      <c r="EU1130" s="4"/>
      <c r="EV1130" s="4"/>
    </row>
    <row r="1131" spans="1:152" x14ac:dyDescent="0.15">
      <c r="A1131" s="576"/>
      <c r="EO1131" s="6"/>
      <c r="EP1131" s="6"/>
      <c r="EQ1131" s="6"/>
      <c r="ET1131" s="4"/>
      <c r="EU1131" s="4"/>
      <c r="EV1131" s="4"/>
    </row>
    <row r="1132" spans="1:152" x14ac:dyDescent="0.15">
      <c r="A1132" s="576"/>
      <c r="EO1132" s="6"/>
      <c r="EP1132" s="6"/>
      <c r="EQ1132" s="6"/>
      <c r="ET1132" s="4"/>
      <c r="EU1132" s="4"/>
      <c r="EV1132" s="4"/>
    </row>
    <row r="1133" spans="1:152" x14ac:dyDescent="0.15">
      <c r="A1133" s="576"/>
      <c r="EO1133" s="6"/>
      <c r="EP1133" s="6"/>
      <c r="EQ1133" s="6"/>
      <c r="ET1133" s="4"/>
      <c r="EU1133" s="4"/>
      <c r="EV1133" s="4"/>
    </row>
    <row r="1134" spans="1:152" x14ac:dyDescent="0.15">
      <c r="A1134" s="576"/>
      <c r="EO1134" s="6"/>
      <c r="EP1134" s="6"/>
      <c r="EQ1134" s="6"/>
      <c r="ET1134" s="4"/>
      <c r="EU1134" s="4"/>
      <c r="EV1134" s="4"/>
    </row>
    <row r="1135" spans="1:152" x14ac:dyDescent="0.15">
      <c r="A1135" s="576"/>
      <c r="EO1135" s="6"/>
      <c r="EP1135" s="6"/>
      <c r="EQ1135" s="6"/>
      <c r="ET1135" s="4"/>
      <c r="EU1135" s="4"/>
      <c r="EV1135" s="4"/>
    </row>
    <row r="1136" spans="1:152" x14ac:dyDescent="0.15">
      <c r="A1136" s="576"/>
      <c r="EO1136" s="6"/>
      <c r="EP1136" s="6"/>
      <c r="EQ1136" s="6"/>
      <c r="ET1136" s="4"/>
      <c r="EU1136" s="4"/>
      <c r="EV1136" s="4"/>
    </row>
    <row r="1137" spans="1:152" x14ac:dyDescent="0.15">
      <c r="A1137" s="576"/>
      <c r="EO1137" s="6"/>
      <c r="EP1137" s="6"/>
      <c r="EQ1137" s="6"/>
      <c r="ET1137" s="4"/>
      <c r="EU1137" s="4"/>
      <c r="EV1137" s="4"/>
    </row>
    <row r="1138" spans="1:152" x14ac:dyDescent="0.15">
      <c r="A1138" s="576"/>
      <c r="EO1138" s="6"/>
      <c r="EP1138" s="6"/>
      <c r="EQ1138" s="6"/>
      <c r="ET1138" s="4"/>
      <c r="EU1138" s="4"/>
      <c r="EV1138" s="4"/>
    </row>
    <row r="1139" spans="1:152" x14ac:dyDescent="0.15">
      <c r="A1139" s="576"/>
      <c r="EO1139" s="6"/>
      <c r="EP1139" s="6"/>
      <c r="EQ1139" s="6"/>
      <c r="ET1139" s="4"/>
      <c r="EU1139" s="4"/>
      <c r="EV1139" s="4"/>
    </row>
    <row r="1140" spans="1:152" x14ac:dyDescent="0.15">
      <c r="A1140" s="576"/>
      <c r="EO1140" s="6"/>
      <c r="EP1140" s="6"/>
      <c r="EQ1140" s="6"/>
      <c r="ET1140" s="4"/>
      <c r="EU1140" s="4"/>
      <c r="EV1140" s="4"/>
    </row>
    <row r="1141" spans="1:152" x14ac:dyDescent="0.15">
      <c r="A1141" s="576"/>
      <c r="EO1141" s="6"/>
      <c r="EP1141" s="6"/>
      <c r="EQ1141" s="6"/>
      <c r="ET1141" s="4"/>
      <c r="EU1141" s="4"/>
      <c r="EV1141" s="4"/>
    </row>
    <row r="1142" spans="1:152" x14ac:dyDescent="0.15">
      <c r="A1142" s="576"/>
      <c r="EO1142" s="6"/>
      <c r="EP1142" s="6"/>
      <c r="EQ1142" s="6"/>
      <c r="ET1142" s="4"/>
      <c r="EU1142" s="4"/>
      <c r="EV1142" s="4"/>
    </row>
    <row r="1143" spans="1:152" x14ac:dyDescent="0.15">
      <c r="A1143" s="576"/>
      <c r="EO1143" s="6"/>
      <c r="EP1143" s="6"/>
      <c r="EQ1143" s="6"/>
      <c r="ET1143" s="4"/>
      <c r="EU1143" s="4"/>
      <c r="EV1143" s="4"/>
    </row>
    <row r="1144" spans="1:152" x14ac:dyDescent="0.15">
      <c r="A1144" s="576"/>
      <c r="EO1144" s="6"/>
      <c r="EP1144" s="6"/>
      <c r="EQ1144" s="6"/>
      <c r="ET1144" s="4"/>
      <c r="EU1144" s="4"/>
      <c r="EV1144" s="4"/>
    </row>
    <row r="1145" spans="1:152" x14ac:dyDescent="0.15">
      <c r="A1145" s="576"/>
      <c r="EO1145" s="6"/>
      <c r="EP1145" s="6"/>
      <c r="EQ1145" s="6"/>
      <c r="ET1145" s="4"/>
      <c r="EU1145" s="4"/>
      <c r="EV1145" s="4"/>
    </row>
    <row r="1146" spans="1:152" x14ac:dyDescent="0.15">
      <c r="A1146" s="576"/>
      <c r="EO1146" s="6"/>
      <c r="EP1146" s="6"/>
      <c r="EQ1146" s="6"/>
      <c r="ET1146" s="4"/>
      <c r="EU1146" s="4"/>
      <c r="EV1146" s="4"/>
    </row>
    <row r="1147" spans="1:152" x14ac:dyDescent="0.15">
      <c r="A1147" s="576"/>
      <c r="EO1147" s="6"/>
      <c r="EP1147" s="6"/>
      <c r="EQ1147" s="6"/>
      <c r="ET1147" s="4"/>
      <c r="EU1147" s="4"/>
      <c r="EV1147" s="4"/>
    </row>
    <row r="1148" spans="1:152" x14ac:dyDescent="0.15">
      <c r="A1148" s="576"/>
      <c r="EO1148" s="6"/>
      <c r="EP1148" s="6"/>
      <c r="EQ1148" s="6"/>
      <c r="ET1148" s="4"/>
      <c r="EU1148" s="4"/>
      <c r="EV1148" s="4"/>
    </row>
    <row r="1149" spans="1:152" x14ac:dyDescent="0.15">
      <c r="A1149" s="576"/>
      <c r="EO1149" s="6"/>
      <c r="EP1149" s="6"/>
      <c r="EQ1149" s="6"/>
      <c r="ET1149" s="4"/>
      <c r="EU1149" s="4"/>
      <c r="EV1149" s="4"/>
    </row>
    <row r="1150" spans="1:152" x14ac:dyDescent="0.15">
      <c r="A1150" s="576"/>
      <c r="EO1150" s="6"/>
      <c r="EP1150" s="6"/>
      <c r="EQ1150" s="6"/>
      <c r="ET1150" s="4"/>
      <c r="EU1150" s="4"/>
      <c r="EV1150" s="4"/>
    </row>
    <row r="1151" spans="1:152" x14ac:dyDescent="0.15">
      <c r="A1151" s="576"/>
      <c r="EO1151" s="6"/>
      <c r="EP1151" s="6"/>
      <c r="EQ1151" s="6"/>
      <c r="ET1151" s="4"/>
      <c r="EU1151" s="4"/>
      <c r="EV1151" s="4"/>
    </row>
    <row r="1152" spans="1:152" x14ac:dyDescent="0.15">
      <c r="A1152" s="576"/>
      <c r="EO1152" s="6"/>
      <c r="EP1152" s="6"/>
      <c r="EQ1152" s="6"/>
      <c r="ET1152" s="4"/>
      <c r="EU1152" s="4"/>
      <c r="EV1152" s="4"/>
    </row>
    <row r="1153" spans="1:152" x14ac:dyDescent="0.15">
      <c r="A1153" s="576"/>
      <c r="EO1153" s="6"/>
      <c r="EP1153" s="6"/>
      <c r="EQ1153" s="6"/>
      <c r="ET1153" s="4"/>
      <c r="EU1153" s="4"/>
      <c r="EV1153" s="4"/>
    </row>
    <row r="1154" spans="1:152" x14ac:dyDescent="0.15">
      <c r="A1154" s="576"/>
      <c r="EO1154" s="6"/>
      <c r="EP1154" s="6"/>
      <c r="EQ1154" s="6"/>
      <c r="ET1154" s="4"/>
      <c r="EU1154" s="4"/>
      <c r="EV1154" s="4"/>
    </row>
    <row r="1155" spans="1:152" x14ac:dyDescent="0.15">
      <c r="A1155" s="576"/>
      <c r="EO1155" s="6"/>
      <c r="EP1155" s="6"/>
      <c r="EQ1155" s="6"/>
      <c r="ET1155" s="4"/>
      <c r="EU1155" s="4"/>
      <c r="EV1155" s="4"/>
    </row>
    <row r="1156" spans="1:152" x14ac:dyDescent="0.15">
      <c r="A1156" s="576"/>
      <c r="EO1156" s="6"/>
      <c r="EP1156" s="6"/>
      <c r="EQ1156" s="6"/>
      <c r="ET1156" s="4"/>
      <c r="EU1156" s="4"/>
      <c r="EV1156" s="4"/>
    </row>
    <row r="1157" spans="1:152" x14ac:dyDescent="0.15">
      <c r="A1157" s="576"/>
      <c r="EO1157" s="6"/>
      <c r="EP1157" s="6"/>
      <c r="EQ1157" s="6"/>
      <c r="ET1157" s="4"/>
      <c r="EU1157" s="4"/>
      <c r="EV1157" s="4"/>
    </row>
    <row r="1158" spans="1:152" x14ac:dyDescent="0.15">
      <c r="A1158" s="576"/>
      <c r="EO1158" s="6"/>
      <c r="EP1158" s="6"/>
      <c r="EQ1158" s="6"/>
      <c r="ET1158" s="4"/>
      <c r="EU1158" s="4"/>
      <c r="EV1158" s="4"/>
    </row>
    <row r="1159" spans="1:152" x14ac:dyDescent="0.15">
      <c r="A1159" s="576"/>
      <c r="EO1159" s="6"/>
      <c r="EP1159" s="6"/>
      <c r="EQ1159" s="6"/>
      <c r="ET1159" s="4"/>
      <c r="EU1159" s="4"/>
      <c r="EV1159" s="4"/>
    </row>
    <row r="1160" spans="1:152" x14ac:dyDescent="0.15">
      <c r="A1160" s="576"/>
      <c r="EO1160" s="6"/>
      <c r="EP1160" s="6"/>
      <c r="EQ1160" s="6"/>
      <c r="ET1160" s="4"/>
      <c r="EU1160" s="4"/>
      <c r="EV1160" s="4"/>
    </row>
    <row r="1161" spans="1:152" x14ac:dyDescent="0.15">
      <c r="A1161" s="576"/>
      <c r="EO1161" s="6"/>
      <c r="EP1161" s="6"/>
      <c r="EQ1161" s="6"/>
      <c r="ET1161" s="4"/>
      <c r="EU1161" s="4"/>
      <c r="EV1161" s="4"/>
    </row>
    <row r="1162" spans="1:152" x14ac:dyDescent="0.15">
      <c r="A1162" s="576"/>
      <c r="EO1162" s="6"/>
      <c r="EP1162" s="6"/>
      <c r="EQ1162" s="6"/>
      <c r="ET1162" s="4"/>
      <c r="EU1162" s="4"/>
      <c r="EV1162" s="4"/>
    </row>
    <row r="1163" spans="1:152" x14ac:dyDescent="0.15">
      <c r="A1163" s="576"/>
      <c r="EO1163" s="6"/>
      <c r="EP1163" s="6"/>
      <c r="EQ1163" s="6"/>
      <c r="ET1163" s="4"/>
      <c r="EU1163" s="4"/>
      <c r="EV1163" s="4"/>
    </row>
    <row r="1164" spans="1:152" x14ac:dyDescent="0.15">
      <c r="A1164" s="576"/>
      <c r="EO1164" s="6"/>
      <c r="EP1164" s="6"/>
      <c r="EQ1164" s="6"/>
      <c r="ET1164" s="4"/>
      <c r="EU1164" s="4"/>
      <c r="EV1164" s="4"/>
    </row>
    <row r="1165" spans="1:152" x14ac:dyDescent="0.15">
      <c r="A1165" s="576"/>
      <c r="EO1165" s="6"/>
      <c r="EP1165" s="6"/>
      <c r="EQ1165" s="6"/>
      <c r="ET1165" s="4"/>
      <c r="EU1165" s="4"/>
      <c r="EV1165" s="4"/>
    </row>
    <row r="1166" spans="1:152" x14ac:dyDescent="0.15">
      <c r="A1166" s="576"/>
      <c r="EO1166" s="6"/>
      <c r="EP1166" s="6"/>
      <c r="EQ1166" s="6"/>
      <c r="ET1166" s="4"/>
      <c r="EU1166" s="4"/>
      <c r="EV1166" s="4"/>
    </row>
    <row r="1167" spans="1:152" x14ac:dyDescent="0.15">
      <c r="A1167" s="576"/>
      <c r="EO1167" s="6"/>
      <c r="EP1167" s="6"/>
      <c r="EQ1167" s="6"/>
      <c r="ET1167" s="4"/>
      <c r="EU1167" s="4"/>
      <c r="EV1167" s="4"/>
    </row>
    <row r="1168" spans="1:152" x14ac:dyDescent="0.15">
      <c r="A1168" s="576"/>
      <c r="EO1168" s="6"/>
      <c r="EP1168" s="6"/>
      <c r="EQ1168" s="6"/>
      <c r="ET1168" s="4"/>
      <c r="EU1168" s="4"/>
      <c r="EV1168" s="4"/>
    </row>
    <row r="1169" spans="1:152" x14ac:dyDescent="0.15">
      <c r="A1169" s="576"/>
      <c r="EO1169" s="6"/>
      <c r="EP1169" s="6"/>
      <c r="EQ1169" s="6"/>
      <c r="ET1169" s="4"/>
      <c r="EU1169" s="4"/>
      <c r="EV1169" s="4"/>
    </row>
    <row r="1170" spans="1:152" x14ac:dyDescent="0.15">
      <c r="A1170" s="576"/>
      <c r="EO1170" s="6"/>
      <c r="EP1170" s="6"/>
      <c r="EQ1170" s="6"/>
      <c r="ET1170" s="4"/>
      <c r="EU1170" s="4"/>
      <c r="EV1170" s="4"/>
    </row>
    <row r="1171" spans="1:152" x14ac:dyDescent="0.15">
      <c r="A1171" s="576"/>
      <c r="EO1171" s="6"/>
      <c r="EP1171" s="6"/>
      <c r="EQ1171" s="6"/>
      <c r="ET1171" s="4"/>
      <c r="EU1171" s="4"/>
      <c r="EV1171" s="4"/>
    </row>
    <row r="1172" spans="1:152" x14ac:dyDescent="0.15">
      <c r="A1172" s="576"/>
      <c r="EO1172" s="6"/>
      <c r="EP1172" s="6"/>
      <c r="EQ1172" s="6"/>
      <c r="ET1172" s="4"/>
      <c r="EU1172" s="4"/>
      <c r="EV1172" s="4"/>
    </row>
    <row r="1173" spans="1:152" x14ac:dyDescent="0.15">
      <c r="A1173" s="576"/>
      <c r="EO1173" s="6"/>
      <c r="EP1173" s="6"/>
      <c r="EQ1173" s="6"/>
      <c r="ET1173" s="4"/>
      <c r="EU1173" s="4"/>
      <c r="EV1173" s="4"/>
    </row>
    <row r="1174" spans="1:152" x14ac:dyDescent="0.15">
      <c r="A1174" s="576"/>
      <c r="EO1174" s="6"/>
      <c r="EP1174" s="6"/>
      <c r="EQ1174" s="6"/>
      <c r="ET1174" s="4"/>
      <c r="EU1174" s="4"/>
      <c r="EV1174" s="4"/>
    </row>
    <row r="1175" spans="1:152" x14ac:dyDescent="0.15">
      <c r="A1175" s="576"/>
      <c r="EO1175" s="6"/>
      <c r="EP1175" s="6"/>
      <c r="EQ1175" s="6"/>
      <c r="ET1175" s="4"/>
      <c r="EU1175" s="4"/>
      <c r="EV1175" s="4"/>
    </row>
    <row r="1176" spans="1:152" x14ac:dyDescent="0.15">
      <c r="A1176" s="576"/>
      <c r="EO1176" s="6"/>
      <c r="EP1176" s="6"/>
      <c r="EQ1176" s="6"/>
      <c r="ET1176" s="4"/>
      <c r="EU1176" s="4"/>
      <c r="EV1176" s="4"/>
    </row>
    <row r="1177" spans="1:152" x14ac:dyDescent="0.15">
      <c r="A1177" s="576"/>
      <c r="EO1177" s="6"/>
      <c r="EP1177" s="6"/>
      <c r="EQ1177" s="6"/>
      <c r="ET1177" s="4"/>
      <c r="EU1177" s="4"/>
      <c r="EV1177" s="4"/>
    </row>
    <row r="1178" spans="1:152" x14ac:dyDescent="0.15">
      <c r="A1178" s="576"/>
      <c r="EO1178" s="6"/>
      <c r="EP1178" s="6"/>
      <c r="EQ1178" s="6"/>
      <c r="ET1178" s="4"/>
      <c r="EU1178" s="4"/>
      <c r="EV1178" s="4"/>
    </row>
    <row r="1179" spans="1:152" x14ac:dyDescent="0.15">
      <c r="A1179" s="576"/>
      <c r="EO1179" s="6"/>
      <c r="EP1179" s="6"/>
      <c r="EQ1179" s="6"/>
      <c r="ET1179" s="4"/>
      <c r="EU1179" s="4"/>
      <c r="EV1179" s="4"/>
    </row>
    <row r="1180" spans="1:152" x14ac:dyDescent="0.15">
      <c r="A1180" s="576"/>
      <c r="EO1180" s="6"/>
      <c r="EP1180" s="6"/>
      <c r="EQ1180" s="6"/>
      <c r="ET1180" s="4"/>
      <c r="EU1180" s="4"/>
      <c r="EV1180" s="4"/>
    </row>
    <row r="1181" spans="1:152" x14ac:dyDescent="0.15">
      <c r="A1181" s="576"/>
      <c r="EO1181" s="6"/>
      <c r="EP1181" s="6"/>
      <c r="EQ1181" s="6"/>
      <c r="ET1181" s="4"/>
      <c r="EU1181" s="4"/>
      <c r="EV1181" s="4"/>
    </row>
    <row r="1182" spans="1:152" x14ac:dyDescent="0.15">
      <c r="A1182" s="576"/>
      <c r="EO1182" s="6"/>
      <c r="EP1182" s="6"/>
      <c r="EQ1182" s="6"/>
      <c r="ET1182" s="4"/>
      <c r="EU1182" s="4"/>
      <c r="EV1182" s="4"/>
    </row>
    <row r="1183" spans="1:152" x14ac:dyDescent="0.15">
      <c r="A1183" s="576"/>
      <c r="EO1183" s="6"/>
      <c r="EP1183" s="6"/>
      <c r="EQ1183" s="6"/>
      <c r="ET1183" s="4"/>
      <c r="EU1183" s="4"/>
      <c r="EV1183" s="4"/>
    </row>
    <row r="1184" spans="1:152" x14ac:dyDescent="0.15">
      <c r="A1184" s="576"/>
      <c r="EO1184" s="6"/>
      <c r="EP1184" s="6"/>
      <c r="EQ1184" s="6"/>
      <c r="ET1184" s="4"/>
      <c r="EU1184" s="4"/>
      <c r="EV1184" s="4"/>
    </row>
    <row r="1185" spans="1:152" x14ac:dyDescent="0.15">
      <c r="A1185" s="576"/>
      <c r="EO1185" s="6"/>
      <c r="EP1185" s="6"/>
      <c r="EQ1185" s="6"/>
      <c r="ET1185" s="4"/>
      <c r="EU1185" s="4"/>
      <c r="EV1185" s="4"/>
    </row>
    <row r="1186" spans="1:152" x14ac:dyDescent="0.15">
      <c r="A1186" s="576"/>
      <c r="EO1186" s="6"/>
      <c r="EP1186" s="6"/>
      <c r="EQ1186" s="6"/>
      <c r="ET1186" s="4"/>
      <c r="EU1186" s="4"/>
      <c r="EV1186" s="4"/>
    </row>
    <row r="1187" spans="1:152" x14ac:dyDescent="0.15">
      <c r="A1187" s="576"/>
      <c r="EO1187" s="6"/>
      <c r="EP1187" s="6"/>
      <c r="EQ1187" s="6"/>
      <c r="ET1187" s="4"/>
      <c r="EU1187" s="4"/>
      <c r="EV1187" s="4"/>
    </row>
    <row r="1188" spans="1:152" x14ac:dyDescent="0.15">
      <c r="A1188" s="576"/>
      <c r="EO1188" s="6"/>
      <c r="EP1188" s="6"/>
      <c r="EQ1188" s="6"/>
      <c r="ET1188" s="4"/>
      <c r="EU1188" s="4"/>
      <c r="EV1188" s="4"/>
    </row>
    <row r="1189" spans="1:152" x14ac:dyDescent="0.15">
      <c r="A1189" s="576"/>
      <c r="EO1189" s="6"/>
      <c r="EP1189" s="6"/>
      <c r="EQ1189" s="6"/>
      <c r="ET1189" s="4"/>
      <c r="EU1189" s="4"/>
      <c r="EV1189" s="4"/>
    </row>
    <row r="1190" spans="1:152" x14ac:dyDescent="0.15">
      <c r="A1190" s="576"/>
      <c r="EO1190" s="6"/>
      <c r="EP1190" s="6"/>
      <c r="EQ1190" s="6"/>
      <c r="ET1190" s="4"/>
      <c r="EU1190" s="4"/>
      <c r="EV1190" s="4"/>
    </row>
    <row r="1191" spans="1:152" x14ac:dyDescent="0.15">
      <c r="A1191" s="576"/>
      <c r="EO1191" s="6"/>
      <c r="EP1191" s="6"/>
      <c r="EQ1191" s="6"/>
      <c r="ET1191" s="4"/>
      <c r="EU1191" s="4"/>
      <c r="EV1191" s="4"/>
    </row>
    <row r="1192" spans="1:152" x14ac:dyDescent="0.15">
      <c r="A1192" s="576"/>
      <c r="EO1192" s="6"/>
      <c r="EP1192" s="6"/>
      <c r="EQ1192" s="6"/>
      <c r="ET1192" s="4"/>
      <c r="EU1192" s="4"/>
      <c r="EV1192" s="4"/>
    </row>
    <row r="1193" spans="1:152" x14ac:dyDescent="0.15">
      <c r="A1193" s="576"/>
      <c r="EO1193" s="6"/>
      <c r="EP1193" s="6"/>
      <c r="EQ1193" s="6"/>
      <c r="ET1193" s="4"/>
      <c r="EU1193" s="4"/>
      <c r="EV1193" s="4"/>
    </row>
    <row r="1194" spans="1:152" x14ac:dyDescent="0.15">
      <c r="A1194" s="576"/>
      <c r="EO1194" s="6"/>
      <c r="EP1194" s="6"/>
      <c r="EQ1194" s="6"/>
      <c r="ET1194" s="4"/>
      <c r="EU1194" s="4"/>
      <c r="EV1194" s="4"/>
    </row>
    <row r="1195" spans="1:152" x14ac:dyDescent="0.15">
      <c r="A1195" s="576"/>
      <c r="EO1195" s="6"/>
      <c r="EP1195" s="6"/>
      <c r="EQ1195" s="6"/>
      <c r="ET1195" s="4"/>
      <c r="EU1195" s="4"/>
      <c r="EV1195" s="4"/>
    </row>
    <row r="1196" spans="1:152" x14ac:dyDescent="0.15">
      <c r="A1196" s="576"/>
      <c r="EO1196" s="6"/>
      <c r="EP1196" s="6"/>
      <c r="EQ1196" s="6"/>
      <c r="ET1196" s="4"/>
      <c r="EU1196" s="4"/>
      <c r="EV1196" s="4"/>
    </row>
    <row r="1197" spans="1:152" x14ac:dyDescent="0.15">
      <c r="A1197" s="576"/>
      <c r="EO1197" s="6"/>
      <c r="EP1197" s="6"/>
      <c r="EQ1197" s="6"/>
      <c r="ET1197" s="4"/>
      <c r="EU1197" s="4"/>
      <c r="EV1197" s="4"/>
    </row>
    <row r="1198" spans="1:152" x14ac:dyDescent="0.15">
      <c r="A1198" s="576"/>
      <c r="EO1198" s="6"/>
      <c r="EP1198" s="6"/>
      <c r="EQ1198" s="6"/>
      <c r="ET1198" s="4"/>
      <c r="EU1198" s="4"/>
      <c r="EV1198" s="4"/>
    </row>
    <row r="1199" spans="1:152" x14ac:dyDescent="0.15">
      <c r="A1199" s="576"/>
      <c r="EO1199" s="6"/>
      <c r="EP1199" s="6"/>
      <c r="EQ1199" s="6"/>
      <c r="ET1199" s="4"/>
      <c r="EU1199" s="4"/>
      <c r="EV1199" s="4"/>
    </row>
    <row r="1200" spans="1:152" x14ac:dyDescent="0.15">
      <c r="A1200" s="576"/>
      <c r="EO1200" s="6"/>
      <c r="EP1200" s="6"/>
      <c r="EQ1200" s="6"/>
      <c r="ET1200" s="4"/>
      <c r="EU1200" s="4"/>
      <c r="EV1200" s="4"/>
    </row>
    <row r="1201" spans="1:152" x14ac:dyDescent="0.15">
      <c r="A1201" s="576"/>
      <c r="EO1201" s="6"/>
      <c r="EP1201" s="6"/>
      <c r="EQ1201" s="6"/>
      <c r="ET1201" s="4"/>
      <c r="EU1201" s="4"/>
      <c r="EV1201" s="4"/>
    </row>
    <row r="1202" spans="1:152" x14ac:dyDescent="0.15">
      <c r="A1202" s="576"/>
      <c r="EO1202" s="6"/>
      <c r="EP1202" s="6"/>
      <c r="EQ1202" s="6"/>
      <c r="ET1202" s="4"/>
      <c r="EU1202" s="4"/>
      <c r="EV1202" s="4"/>
    </row>
    <row r="1203" spans="1:152" x14ac:dyDescent="0.15">
      <c r="A1203" s="576"/>
      <c r="EO1203" s="6"/>
      <c r="EP1203" s="6"/>
      <c r="EQ1203" s="6"/>
      <c r="ET1203" s="4"/>
      <c r="EU1203" s="4"/>
      <c r="EV1203" s="4"/>
    </row>
    <row r="1204" spans="1:152" x14ac:dyDescent="0.15">
      <c r="A1204" s="576"/>
      <c r="EO1204" s="6"/>
      <c r="EP1204" s="6"/>
      <c r="EQ1204" s="6"/>
      <c r="ET1204" s="4"/>
      <c r="EU1204" s="4"/>
      <c r="EV1204" s="4"/>
    </row>
    <row r="1205" spans="1:152" x14ac:dyDescent="0.15">
      <c r="A1205" s="576"/>
      <c r="EO1205" s="6"/>
      <c r="EP1205" s="6"/>
      <c r="EQ1205" s="6"/>
      <c r="ET1205" s="4"/>
      <c r="EU1205" s="4"/>
      <c r="EV1205" s="4"/>
    </row>
    <row r="1206" spans="1:152" x14ac:dyDescent="0.15">
      <c r="A1206" s="576"/>
      <c r="EO1206" s="6"/>
      <c r="EP1206" s="6"/>
      <c r="EQ1206" s="6"/>
      <c r="ET1206" s="4"/>
      <c r="EU1206" s="4"/>
      <c r="EV1206" s="4"/>
    </row>
    <row r="1207" spans="1:152" x14ac:dyDescent="0.15">
      <c r="A1207" s="576"/>
      <c r="EO1207" s="6"/>
      <c r="EP1207" s="6"/>
      <c r="EQ1207" s="6"/>
      <c r="ET1207" s="4"/>
      <c r="EU1207" s="4"/>
      <c r="EV1207" s="4"/>
    </row>
    <row r="1208" spans="1:152" x14ac:dyDescent="0.15">
      <c r="A1208" s="576"/>
      <c r="EO1208" s="6"/>
      <c r="EP1208" s="6"/>
      <c r="EQ1208" s="6"/>
      <c r="ET1208" s="4"/>
      <c r="EU1208" s="4"/>
      <c r="EV1208" s="4"/>
    </row>
    <row r="1209" spans="1:152" x14ac:dyDescent="0.15">
      <c r="A1209" s="576"/>
      <c r="EO1209" s="6"/>
      <c r="EP1209" s="6"/>
      <c r="EQ1209" s="6"/>
      <c r="ET1209" s="4"/>
      <c r="EU1209" s="4"/>
      <c r="EV1209" s="4"/>
    </row>
    <row r="1210" spans="1:152" x14ac:dyDescent="0.15">
      <c r="A1210" s="576"/>
      <c r="EO1210" s="6"/>
      <c r="EP1210" s="6"/>
      <c r="EQ1210" s="6"/>
      <c r="ET1210" s="4"/>
      <c r="EU1210" s="4"/>
      <c r="EV1210" s="4"/>
    </row>
    <row r="1211" spans="1:152" x14ac:dyDescent="0.15">
      <c r="A1211" s="576"/>
      <c r="EO1211" s="6"/>
      <c r="EP1211" s="6"/>
      <c r="EQ1211" s="6"/>
      <c r="ET1211" s="4"/>
      <c r="EU1211" s="4"/>
      <c r="EV1211" s="4"/>
    </row>
    <row r="1212" spans="1:152" x14ac:dyDescent="0.15">
      <c r="A1212" s="576"/>
      <c r="EO1212" s="6"/>
      <c r="EP1212" s="6"/>
      <c r="EQ1212" s="6"/>
      <c r="ET1212" s="4"/>
      <c r="EU1212" s="4"/>
      <c r="EV1212" s="4"/>
    </row>
    <row r="1213" spans="1:152" x14ac:dyDescent="0.15">
      <c r="A1213" s="576"/>
      <c r="EO1213" s="6"/>
      <c r="EP1213" s="6"/>
      <c r="EQ1213" s="6"/>
      <c r="ET1213" s="4"/>
      <c r="EU1213" s="4"/>
      <c r="EV1213" s="4"/>
    </row>
    <row r="1214" spans="1:152" x14ac:dyDescent="0.15">
      <c r="A1214" s="576"/>
      <c r="EO1214" s="6"/>
      <c r="EP1214" s="6"/>
      <c r="EQ1214" s="6"/>
      <c r="ET1214" s="4"/>
      <c r="EU1214" s="4"/>
      <c r="EV1214" s="4"/>
    </row>
    <row r="1215" spans="1:152" x14ac:dyDescent="0.15">
      <c r="A1215" s="576"/>
      <c r="EO1215" s="6"/>
      <c r="EP1215" s="6"/>
      <c r="EQ1215" s="6"/>
      <c r="ET1215" s="4"/>
      <c r="EU1215" s="4"/>
      <c r="EV1215" s="4"/>
    </row>
    <row r="1216" spans="1:152" x14ac:dyDescent="0.15">
      <c r="A1216" s="576"/>
      <c r="EO1216" s="6"/>
      <c r="EP1216" s="6"/>
      <c r="EQ1216" s="6"/>
      <c r="ET1216" s="4"/>
      <c r="EU1216" s="4"/>
      <c r="EV1216" s="4"/>
    </row>
    <row r="1217" spans="1:152" x14ac:dyDescent="0.15">
      <c r="A1217" s="576"/>
      <c r="EO1217" s="6"/>
      <c r="EP1217" s="6"/>
      <c r="EQ1217" s="6"/>
      <c r="ET1217" s="4"/>
      <c r="EU1217" s="4"/>
      <c r="EV1217" s="4"/>
    </row>
    <row r="1218" spans="1:152" x14ac:dyDescent="0.15">
      <c r="A1218" s="576"/>
      <c r="EO1218" s="6"/>
      <c r="EP1218" s="6"/>
      <c r="EQ1218" s="6"/>
      <c r="ET1218" s="4"/>
      <c r="EU1218" s="4"/>
      <c r="EV1218" s="4"/>
    </row>
    <row r="1219" spans="1:152" x14ac:dyDescent="0.15">
      <c r="A1219" s="576"/>
      <c r="EO1219" s="6"/>
      <c r="EP1219" s="6"/>
      <c r="EQ1219" s="6"/>
      <c r="ET1219" s="4"/>
      <c r="EU1219" s="4"/>
      <c r="EV1219" s="4"/>
    </row>
    <row r="1220" spans="1:152" x14ac:dyDescent="0.15">
      <c r="A1220" s="576"/>
      <c r="EO1220" s="6"/>
      <c r="EP1220" s="6"/>
      <c r="EQ1220" s="6"/>
      <c r="ET1220" s="4"/>
      <c r="EU1220" s="4"/>
      <c r="EV1220" s="4"/>
    </row>
    <row r="1221" spans="1:152" x14ac:dyDescent="0.15">
      <c r="A1221" s="576"/>
      <c r="EO1221" s="6"/>
      <c r="EP1221" s="6"/>
      <c r="EQ1221" s="6"/>
      <c r="ET1221" s="4"/>
      <c r="EU1221" s="4"/>
      <c r="EV1221" s="4"/>
    </row>
    <row r="1222" spans="1:152" x14ac:dyDescent="0.15">
      <c r="A1222" s="576"/>
      <c r="EO1222" s="6"/>
      <c r="EP1222" s="6"/>
      <c r="EQ1222" s="6"/>
      <c r="ET1222" s="4"/>
      <c r="EU1222" s="4"/>
      <c r="EV1222" s="4"/>
    </row>
    <row r="1223" spans="1:152" x14ac:dyDescent="0.15">
      <c r="A1223" s="576"/>
      <c r="EO1223" s="6"/>
      <c r="EP1223" s="6"/>
      <c r="EQ1223" s="6"/>
      <c r="ET1223" s="4"/>
      <c r="EU1223" s="4"/>
      <c r="EV1223" s="4"/>
    </row>
    <row r="1224" spans="1:152" x14ac:dyDescent="0.15">
      <c r="A1224" s="576"/>
      <c r="EO1224" s="6"/>
      <c r="EP1224" s="6"/>
      <c r="EQ1224" s="6"/>
      <c r="ET1224" s="4"/>
      <c r="EU1224" s="4"/>
      <c r="EV1224" s="4"/>
    </row>
    <row r="1225" spans="1:152" x14ac:dyDescent="0.15">
      <c r="A1225" s="576"/>
      <c r="EO1225" s="6"/>
      <c r="EP1225" s="6"/>
      <c r="EQ1225" s="6"/>
      <c r="ET1225" s="4"/>
      <c r="EU1225" s="4"/>
      <c r="EV1225" s="4"/>
    </row>
    <row r="1226" spans="1:152" x14ac:dyDescent="0.15">
      <c r="A1226" s="576"/>
      <c r="EO1226" s="6"/>
      <c r="EP1226" s="6"/>
      <c r="EQ1226" s="6"/>
      <c r="ET1226" s="4"/>
      <c r="EU1226" s="4"/>
      <c r="EV1226" s="4"/>
    </row>
    <row r="1227" spans="1:152" x14ac:dyDescent="0.15">
      <c r="A1227" s="576"/>
      <c r="EO1227" s="6"/>
      <c r="EP1227" s="6"/>
      <c r="EQ1227" s="6"/>
      <c r="ET1227" s="4"/>
      <c r="EU1227" s="4"/>
      <c r="EV1227" s="4"/>
    </row>
    <row r="1228" spans="1:152" x14ac:dyDescent="0.15">
      <c r="A1228" s="576"/>
      <c r="EO1228" s="6"/>
      <c r="EP1228" s="6"/>
      <c r="EQ1228" s="6"/>
      <c r="ET1228" s="4"/>
      <c r="EU1228" s="4"/>
      <c r="EV1228" s="4"/>
    </row>
    <row r="1229" spans="1:152" x14ac:dyDescent="0.15">
      <c r="A1229" s="576"/>
      <c r="EO1229" s="6"/>
      <c r="EP1229" s="6"/>
      <c r="EQ1229" s="6"/>
      <c r="ET1229" s="4"/>
      <c r="EU1229" s="4"/>
      <c r="EV1229" s="4"/>
    </row>
    <row r="1230" spans="1:152" x14ac:dyDescent="0.15">
      <c r="A1230" s="576"/>
      <c r="EO1230" s="6"/>
      <c r="EP1230" s="6"/>
      <c r="EQ1230" s="6"/>
      <c r="ET1230" s="4"/>
      <c r="EU1230" s="4"/>
      <c r="EV1230" s="4"/>
    </row>
    <row r="1231" spans="1:152" x14ac:dyDescent="0.15">
      <c r="A1231" s="576"/>
      <c r="EO1231" s="6"/>
      <c r="EP1231" s="6"/>
      <c r="EQ1231" s="6"/>
      <c r="ET1231" s="4"/>
      <c r="EU1231" s="4"/>
      <c r="EV1231" s="4"/>
    </row>
    <row r="1232" spans="1:152" x14ac:dyDescent="0.15">
      <c r="A1232" s="576"/>
      <c r="EO1232" s="6"/>
      <c r="EP1232" s="6"/>
      <c r="EQ1232" s="6"/>
      <c r="ET1232" s="4"/>
      <c r="EU1232" s="4"/>
      <c r="EV1232" s="4"/>
    </row>
    <row r="1233" spans="1:152" x14ac:dyDescent="0.15">
      <c r="A1233" s="576"/>
      <c r="EO1233" s="6"/>
      <c r="EP1233" s="6"/>
      <c r="EQ1233" s="6"/>
      <c r="ET1233" s="4"/>
      <c r="EU1233" s="4"/>
      <c r="EV1233" s="4"/>
    </row>
    <row r="1234" spans="1:152" x14ac:dyDescent="0.15">
      <c r="A1234" s="576"/>
      <c r="EO1234" s="6"/>
      <c r="EP1234" s="6"/>
      <c r="EQ1234" s="6"/>
      <c r="ET1234" s="4"/>
      <c r="EU1234" s="4"/>
      <c r="EV1234" s="4"/>
    </row>
    <row r="1235" spans="1:152" x14ac:dyDescent="0.15">
      <c r="A1235" s="576"/>
      <c r="EO1235" s="6"/>
      <c r="EP1235" s="6"/>
      <c r="EQ1235" s="6"/>
      <c r="ET1235" s="4"/>
      <c r="EU1235" s="4"/>
      <c r="EV1235" s="4"/>
    </row>
    <row r="1236" spans="1:152" x14ac:dyDescent="0.15">
      <c r="A1236" s="576"/>
      <c r="EO1236" s="6"/>
      <c r="EP1236" s="6"/>
      <c r="EQ1236" s="6"/>
      <c r="ET1236" s="4"/>
      <c r="EU1236" s="4"/>
      <c r="EV1236" s="4"/>
    </row>
    <row r="1237" spans="1:152" x14ac:dyDescent="0.15">
      <c r="A1237" s="576"/>
      <c r="EO1237" s="6"/>
      <c r="EP1237" s="6"/>
      <c r="EQ1237" s="6"/>
      <c r="ET1237" s="4"/>
      <c r="EU1237" s="4"/>
      <c r="EV1237" s="4"/>
    </row>
    <row r="1238" spans="1:152" x14ac:dyDescent="0.15">
      <c r="A1238" s="576"/>
      <c r="EO1238" s="6"/>
      <c r="EP1238" s="6"/>
      <c r="EQ1238" s="6"/>
      <c r="ET1238" s="4"/>
      <c r="EU1238" s="4"/>
      <c r="EV1238" s="4"/>
    </row>
    <row r="1239" spans="1:152" x14ac:dyDescent="0.15">
      <c r="A1239" s="576"/>
      <c r="EO1239" s="6"/>
      <c r="EP1239" s="6"/>
      <c r="EQ1239" s="6"/>
      <c r="ET1239" s="4"/>
      <c r="EU1239" s="4"/>
      <c r="EV1239" s="4"/>
    </row>
    <row r="1240" spans="1:152" x14ac:dyDescent="0.15">
      <c r="A1240" s="576"/>
      <c r="EO1240" s="6"/>
      <c r="EP1240" s="6"/>
      <c r="EQ1240" s="6"/>
      <c r="ET1240" s="4"/>
      <c r="EU1240" s="4"/>
      <c r="EV1240" s="4"/>
    </row>
    <row r="1241" spans="1:152" x14ac:dyDescent="0.15">
      <c r="A1241" s="576"/>
      <c r="EO1241" s="6"/>
      <c r="EP1241" s="6"/>
      <c r="EQ1241" s="6"/>
      <c r="ET1241" s="4"/>
      <c r="EU1241" s="4"/>
      <c r="EV1241" s="4"/>
    </row>
    <row r="1242" spans="1:152" x14ac:dyDescent="0.15">
      <c r="A1242" s="576"/>
      <c r="EO1242" s="6"/>
      <c r="EP1242" s="6"/>
      <c r="EQ1242" s="6"/>
      <c r="ET1242" s="4"/>
      <c r="EU1242" s="4"/>
      <c r="EV1242" s="4"/>
    </row>
    <row r="1243" spans="1:152" x14ac:dyDescent="0.15">
      <c r="A1243" s="576"/>
      <c r="EO1243" s="6"/>
      <c r="EP1243" s="6"/>
      <c r="EQ1243" s="6"/>
      <c r="ET1243" s="4"/>
      <c r="EU1243" s="4"/>
      <c r="EV1243" s="4"/>
    </row>
    <row r="1244" spans="1:152" x14ac:dyDescent="0.15">
      <c r="A1244" s="576"/>
      <c r="EO1244" s="6"/>
      <c r="EP1244" s="6"/>
      <c r="EQ1244" s="6"/>
      <c r="ET1244" s="4"/>
      <c r="EU1244" s="4"/>
      <c r="EV1244" s="4"/>
    </row>
    <row r="1245" spans="1:152" x14ac:dyDescent="0.15">
      <c r="A1245" s="576"/>
      <c r="EO1245" s="6"/>
      <c r="EP1245" s="6"/>
      <c r="EQ1245" s="6"/>
      <c r="ET1245" s="4"/>
      <c r="EU1245" s="4"/>
      <c r="EV1245" s="4"/>
    </row>
    <row r="1246" spans="1:152" x14ac:dyDescent="0.15">
      <c r="A1246" s="576"/>
      <c r="EO1246" s="6"/>
      <c r="EP1246" s="6"/>
      <c r="EQ1246" s="6"/>
      <c r="ET1246" s="4"/>
      <c r="EU1246" s="4"/>
      <c r="EV1246" s="4"/>
    </row>
    <row r="1247" spans="1:152" x14ac:dyDescent="0.15">
      <c r="A1247" s="576"/>
      <c r="EO1247" s="6"/>
      <c r="EP1247" s="6"/>
      <c r="EQ1247" s="6"/>
      <c r="ET1247" s="4"/>
      <c r="EU1247" s="4"/>
      <c r="EV1247" s="4"/>
    </row>
    <row r="1248" spans="1:152" x14ac:dyDescent="0.15">
      <c r="A1248" s="576"/>
      <c r="EO1248" s="6"/>
      <c r="EP1248" s="6"/>
      <c r="EQ1248" s="6"/>
      <c r="ET1248" s="4"/>
      <c r="EU1248" s="4"/>
      <c r="EV1248" s="4"/>
    </row>
    <row r="1249" spans="1:152" x14ac:dyDescent="0.15">
      <c r="A1249" s="576"/>
      <c r="EO1249" s="6"/>
      <c r="EP1249" s="6"/>
      <c r="EQ1249" s="6"/>
      <c r="ET1249" s="4"/>
      <c r="EU1249" s="4"/>
      <c r="EV1249" s="4"/>
    </row>
    <row r="1250" spans="1:152" x14ac:dyDescent="0.15">
      <c r="A1250" s="576"/>
      <c r="EO1250" s="6"/>
      <c r="EP1250" s="6"/>
      <c r="EQ1250" s="6"/>
      <c r="ET1250" s="4"/>
      <c r="EU1250" s="4"/>
      <c r="EV1250" s="4"/>
    </row>
    <row r="1251" spans="1:152" x14ac:dyDescent="0.15">
      <c r="A1251" s="576"/>
      <c r="EO1251" s="6"/>
      <c r="EP1251" s="6"/>
      <c r="EQ1251" s="6"/>
      <c r="ET1251" s="4"/>
      <c r="EU1251" s="4"/>
      <c r="EV1251" s="4"/>
    </row>
    <row r="1252" spans="1:152" x14ac:dyDescent="0.15">
      <c r="A1252" s="576"/>
      <c r="EO1252" s="6"/>
      <c r="EP1252" s="6"/>
      <c r="EQ1252" s="6"/>
      <c r="ET1252" s="4"/>
      <c r="EU1252" s="4"/>
      <c r="EV1252" s="4"/>
    </row>
    <row r="1253" spans="1:152" x14ac:dyDescent="0.15">
      <c r="A1253" s="576"/>
      <c r="EO1253" s="6"/>
      <c r="EP1253" s="6"/>
      <c r="EQ1253" s="6"/>
      <c r="ET1253" s="4"/>
      <c r="EU1253" s="4"/>
      <c r="EV1253" s="4"/>
    </row>
    <row r="1254" spans="1:152" x14ac:dyDescent="0.15">
      <c r="A1254" s="576"/>
      <c r="EO1254" s="6"/>
      <c r="EP1254" s="6"/>
      <c r="EQ1254" s="6"/>
      <c r="ET1254" s="4"/>
      <c r="EU1254" s="4"/>
      <c r="EV1254" s="4"/>
    </row>
    <row r="1255" spans="1:152" x14ac:dyDescent="0.15">
      <c r="A1255" s="576"/>
      <c r="EO1255" s="6"/>
      <c r="EP1255" s="6"/>
      <c r="EQ1255" s="6"/>
      <c r="ET1255" s="4"/>
      <c r="EU1255" s="4"/>
      <c r="EV1255" s="4"/>
    </row>
    <row r="1256" spans="1:152" x14ac:dyDescent="0.15">
      <c r="A1256" s="576"/>
      <c r="EO1256" s="6"/>
      <c r="EP1256" s="6"/>
      <c r="EQ1256" s="6"/>
      <c r="ET1256" s="4"/>
      <c r="EU1256" s="4"/>
      <c r="EV1256" s="4"/>
    </row>
    <row r="1257" spans="1:152" x14ac:dyDescent="0.15">
      <c r="A1257" s="576"/>
      <c r="EO1257" s="6"/>
      <c r="EP1257" s="6"/>
      <c r="EQ1257" s="6"/>
      <c r="ET1257" s="4"/>
      <c r="EU1257" s="4"/>
      <c r="EV1257" s="4"/>
    </row>
    <row r="1258" spans="1:152" x14ac:dyDescent="0.15">
      <c r="A1258" s="576"/>
      <c r="EO1258" s="6"/>
      <c r="EP1258" s="6"/>
      <c r="EQ1258" s="6"/>
      <c r="ET1258" s="4"/>
      <c r="EU1258" s="4"/>
      <c r="EV1258" s="4"/>
    </row>
    <row r="1259" spans="1:152" x14ac:dyDescent="0.15">
      <c r="A1259" s="576"/>
      <c r="EO1259" s="6"/>
      <c r="EP1259" s="6"/>
      <c r="EQ1259" s="6"/>
      <c r="ET1259" s="4"/>
      <c r="EU1259" s="4"/>
      <c r="EV1259" s="4"/>
    </row>
    <row r="1260" spans="1:152" x14ac:dyDescent="0.15">
      <c r="A1260" s="576"/>
      <c r="EO1260" s="6"/>
      <c r="EP1260" s="6"/>
      <c r="EQ1260" s="6"/>
      <c r="ET1260" s="4"/>
      <c r="EU1260" s="4"/>
      <c r="EV1260" s="4"/>
    </row>
    <row r="1261" spans="1:152" x14ac:dyDescent="0.15">
      <c r="A1261" s="576"/>
      <c r="EO1261" s="6"/>
      <c r="EP1261" s="6"/>
      <c r="EQ1261" s="6"/>
      <c r="ET1261" s="4"/>
      <c r="EU1261" s="4"/>
      <c r="EV1261" s="4"/>
    </row>
    <row r="1262" spans="1:152" x14ac:dyDescent="0.15">
      <c r="A1262" s="576"/>
      <c r="EO1262" s="6"/>
      <c r="EP1262" s="6"/>
      <c r="EQ1262" s="6"/>
      <c r="ET1262" s="4"/>
      <c r="EU1262" s="4"/>
      <c r="EV1262" s="4"/>
    </row>
    <row r="1263" spans="1:152" x14ac:dyDescent="0.15">
      <c r="A1263" s="576"/>
      <c r="EO1263" s="6"/>
      <c r="EP1263" s="6"/>
      <c r="EQ1263" s="6"/>
      <c r="ET1263" s="4"/>
      <c r="EU1263" s="4"/>
      <c r="EV1263" s="4"/>
    </row>
    <row r="1264" spans="1:152" x14ac:dyDescent="0.15">
      <c r="A1264" s="576"/>
      <c r="EO1264" s="6"/>
      <c r="EP1264" s="6"/>
      <c r="EQ1264" s="6"/>
      <c r="ET1264" s="4"/>
      <c r="EU1264" s="4"/>
      <c r="EV1264" s="4"/>
    </row>
    <row r="1265" spans="1:152" x14ac:dyDescent="0.15">
      <c r="A1265" s="576"/>
      <c r="EO1265" s="6"/>
      <c r="EP1265" s="6"/>
      <c r="EQ1265" s="6"/>
      <c r="ET1265" s="4"/>
      <c r="EU1265" s="4"/>
      <c r="EV1265" s="4"/>
    </row>
    <row r="1266" spans="1:152" x14ac:dyDescent="0.15">
      <c r="A1266" s="576"/>
      <c r="EO1266" s="6"/>
      <c r="EP1266" s="6"/>
      <c r="EQ1266" s="6"/>
      <c r="ET1266" s="4"/>
      <c r="EU1266" s="4"/>
      <c r="EV1266" s="4"/>
    </row>
    <row r="1267" spans="1:152" x14ac:dyDescent="0.15">
      <c r="A1267" s="576"/>
      <c r="EO1267" s="6"/>
      <c r="EP1267" s="6"/>
      <c r="EQ1267" s="6"/>
      <c r="ET1267" s="4"/>
      <c r="EU1267" s="4"/>
      <c r="EV1267" s="4"/>
    </row>
    <row r="1268" spans="1:152" x14ac:dyDescent="0.15">
      <c r="A1268" s="576"/>
      <c r="EO1268" s="6"/>
      <c r="EP1268" s="6"/>
      <c r="EQ1268" s="6"/>
      <c r="ET1268" s="4"/>
      <c r="EU1268" s="4"/>
      <c r="EV1268" s="4"/>
    </row>
    <row r="1269" spans="1:152" x14ac:dyDescent="0.15">
      <c r="A1269" s="576"/>
      <c r="EO1269" s="6"/>
      <c r="EP1269" s="6"/>
      <c r="EQ1269" s="6"/>
      <c r="ET1269" s="4"/>
      <c r="EU1269" s="4"/>
      <c r="EV1269" s="4"/>
    </row>
    <row r="1270" spans="1:152" x14ac:dyDescent="0.15">
      <c r="A1270" s="576"/>
      <c r="EO1270" s="6"/>
      <c r="EP1270" s="6"/>
      <c r="EQ1270" s="6"/>
      <c r="ET1270" s="4"/>
      <c r="EU1270" s="4"/>
      <c r="EV1270" s="4"/>
    </row>
    <row r="1271" spans="1:152" x14ac:dyDescent="0.15">
      <c r="A1271" s="576"/>
      <c r="EO1271" s="6"/>
      <c r="EP1271" s="6"/>
      <c r="EQ1271" s="6"/>
      <c r="ET1271" s="4"/>
      <c r="EU1271" s="4"/>
      <c r="EV1271" s="4"/>
    </row>
    <row r="1272" spans="1:152" x14ac:dyDescent="0.15">
      <c r="A1272" s="576"/>
      <c r="EO1272" s="6"/>
      <c r="EP1272" s="6"/>
      <c r="EQ1272" s="6"/>
      <c r="ET1272" s="4"/>
      <c r="EU1272" s="4"/>
      <c r="EV1272" s="4"/>
    </row>
    <row r="1273" spans="1:152" x14ac:dyDescent="0.15">
      <c r="A1273" s="576"/>
      <c r="EO1273" s="6"/>
      <c r="EP1273" s="6"/>
      <c r="EQ1273" s="6"/>
      <c r="ET1273" s="4"/>
      <c r="EU1273" s="4"/>
      <c r="EV1273" s="4"/>
    </row>
    <row r="1274" spans="1:152" x14ac:dyDescent="0.15">
      <c r="A1274" s="576"/>
      <c r="EO1274" s="6"/>
      <c r="EP1274" s="6"/>
      <c r="EQ1274" s="6"/>
      <c r="ET1274" s="4"/>
      <c r="EU1274" s="4"/>
      <c r="EV1274" s="4"/>
    </row>
    <row r="1275" spans="1:152" x14ac:dyDescent="0.15">
      <c r="A1275" s="576"/>
      <c r="EO1275" s="6"/>
      <c r="EP1275" s="6"/>
      <c r="EQ1275" s="6"/>
      <c r="ET1275" s="4"/>
      <c r="EU1275" s="4"/>
      <c r="EV1275" s="4"/>
    </row>
    <row r="1276" spans="1:152" x14ac:dyDescent="0.15">
      <c r="A1276" s="576"/>
      <c r="EO1276" s="6"/>
      <c r="EP1276" s="6"/>
      <c r="EQ1276" s="6"/>
      <c r="ET1276" s="4"/>
      <c r="EU1276" s="4"/>
      <c r="EV1276" s="4"/>
    </row>
    <row r="1277" spans="1:152" x14ac:dyDescent="0.15">
      <c r="A1277" s="576"/>
      <c r="EO1277" s="6"/>
      <c r="EP1277" s="6"/>
      <c r="EQ1277" s="6"/>
      <c r="ET1277" s="4"/>
      <c r="EU1277" s="4"/>
      <c r="EV1277" s="4"/>
    </row>
    <row r="1278" spans="1:152" x14ac:dyDescent="0.15">
      <c r="A1278" s="576"/>
      <c r="EO1278" s="6"/>
      <c r="EP1278" s="6"/>
      <c r="EQ1278" s="6"/>
      <c r="ET1278" s="4"/>
      <c r="EU1278" s="4"/>
      <c r="EV1278" s="4"/>
    </row>
    <row r="1279" spans="1:152" x14ac:dyDescent="0.15">
      <c r="A1279" s="576"/>
      <c r="EO1279" s="6"/>
      <c r="EP1279" s="6"/>
      <c r="EQ1279" s="6"/>
      <c r="ET1279" s="4"/>
      <c r="EU1279" s="4"/>
      <c r="EV1279" s="4"/>
    </row>
    <row r="1280" spans="1:152" x14ac:dyDescent="0.15">
      <c r="A1280" s="576"/>
      <c r="EO1280" s="6"/>
      <c r="EP1280" s="6"/>
      <c r="EQ1280" s="6"/>
      <c r="ET1280" s="4"/>
      <c r="EU1280" s="4"/>
      <c r="EV1280" s="4"/>
    </row>
    <row r="1281" spans="1:152" x14ac:dyDescent="0.15">
      <c r="A1281" s="576"/>
      <c r="EO1281" s="6"/>
      <c r="EP1281" s="6"/>
      <c r="EQ1281" s="6"/>
      <c r="ET1281" s="4"/>
      <c r="EU1281" s="4"/>
      <c r="EV1281" s="4"/>
    </row>
    <row r="1282" spans="1:152" x14ac:dyDescent="0.15">
      <c r="A1282" s="576"/>
      <c r="EO1282" s="6"/>
      <c r="EP1282" s="6"/>
      <c r="EQ1282" s="6"/>
      <c r="ET1282" s="4"/>
      <c r="EU1282" s="4"/>
      <c r="EV1282" s="4"/>
    </row>
    <row r="1283" spans="1:152" x14ac:dyDescent="0.15">
      <c r="A1283" s="576"/>
      <c r="EO1283" s="6"/>
      <c r="EP1283" s="6"/>
      <c r="EQ1283" s="6"/>
      <c r="ET1283" s="4"/>
      <c r="EU1283" s="4"/>
      <c r="EV1283" s="4"/>
    </row>
    <row r="1284" spans="1:152" x14ac:dyDescent="0.15">
      <c r="A1284" s="576"/>
      <c r="EO1284" s="6"/>
      <c r="EP1284" s="6"/>
      <c r="EQ1284" s="6"/>
      <c r="ET1284" s="4"/>
      <c r="EU1284" s="4"/>
      <c r="EV1284" s="4"/>
    </row>
    <row r="1285" spans="1:152" x14ac:dyDescent="0.15">
      <c r="A1285" s="576"/>
      <c r="EO1285" s="6"/>
      <c r="EP1285" s="6"/>
      <c r="EQ1285" s="6"/>
      <c r="ET1285" s="4"/>
      <c r="EU1285" s="4"/>
      <c r="EV1285" s="4"/>
    </row>
    <row r="1286" spans="1:152" x14ac:dyDescent="0.15">
      <c r="A1286" s="576"/>
      <c r="EO1286" s="6"/>
      <c r="EP1286" s="6"/>
      <c r="EQ1286" s="6"/>
      <c r="ET1286" s="4"/>
      <c r="EU1286" s="4"/>
      <c r="EV1286" s="4"/>
    </row>
    <row r="1287" spans="1:152" x14ac:dyDescent="0.15">
      <c r="A1287" s="576"/>
      <c r="EO1287" s="6"/>
      <c r="EP1287" s="6"/>
      <c r="EQ1287" s="6"/>
      <c r="ET1287" s="4"/>
      <c r="EU1287" s="4"/>
      <c r="EV1287" s="4"/>
    </row>
    <row r="1288" spans="1:152" x14ac:dyDescent="0.15">
      <c r="A1288" s="576"/>
      <c r="EO1288" s="6"/>
      <c r="EP1288" s="6"/>
      <c r="EQ1288" s="6"/>
      <c r="ET1288" s="4"/>
      <c r="EU1288" s="4"/>
      <c r="EV1288" s="4"/>
    </row>
    <row r="1289" spans="1:152" x14ac:dyDescent="0.15">
      <c r="A1289" s="576"/>
      <c r="EO1289" s="6"/>
      <c r="EP1289" s="6"/>
      <c r="EQ1289" s="6"/>
      <c r="ET1289" s="4"/>
      <c r="EU1289" s="4"/>
      <c r="EV1289" s="4"/>
    </row>
    <row r="1290" spans="1:152" x14ac:dyDescent="0.15">
      <c r="A1290" s="576"/>
      <c r="EO1290" s="6"/>
      <c r="EP1290" s="6"/>
      <c r="EQ1290" s="6"/>
      <c r="ET1290" s="4"/>
      <c r="EU1290" s="4"/>
      <c r="EV1290" s="4"/>
    </row>
    <row r="1291" spans="1:152" x14ac:dyDescent="0.15">
      <c r="A1291" s="576"/>
      <c r="EO1291" s="6"/>
      <c r="EP1291" s="6"/>
      <c r="EQ1291" s="6"/>
      <c r="ET1291" s="4"/>
      <c r="EU1291" s="4"/>
      <c r="EV1291" s="4"/>
    </row>
    <row r="1292" spans="1:152" x14ac:dyDescent="0.15">
      <c r="A1292" s="576"/>
      <c r="EO1292" s="6"/>
      <c r="EP1292" s="6"/>
      <c r="EQ1292" s="6"/>
      <c r="ET1292" s="4"/>
      <c r="EU1292" s="4"/>
      <c r="EV1292" s="4"/>
    </row>
    <row r="1293" spans="1:152" x14ac:dyDescent="0.15">
      <c r="A1293" s="576"/>
      <c r="EO1293" s="6"/>
      <c r="EP1293" s="6"/>
      <c r="EQ1293" s="6"/>
      <c r="ET1293" s="4"/>
      <c r="EU1293" s="4"/>
      <c r="EV1293" s="4"/>
    </row>
    <row r="1294" spans="1:152" x14ac:dyDescent="0.15">
      <c r="A1294" s="576"/>
      <c r="EO1294" s="6"/>
      <c r="EP1294" s="6"/>
      <c r="EQ1294" s="6"/>
      <c r="ET1294" s="4"/>
      <c r="EU1294" s="4"/>
      <c r="EV1294" s="4"/>
    </row>
    <row r="1295" spans="1:152" x14ac:dyDescent="0.15">
      <c r="A1295" s="576"/>
      <c r="EO1295" s="6"/>
      <c r="EP1295" s="6"/>
      <c r="EQ1295" s="6"/>
      <c r="ET1295" s="4"/>
      <c r="EU1295" s="4"/>
      <c r="EV1295" s="4"/>
    </row>
    <row r="1296" spans="1:152" x14ac:dyDescent="0.15">
      <c r="A1296" s="576"/>
      <c r="EO1296" s="6"/>
      <c r="EP1296" s="6"/>
      <c r="EQ1296" s="6"/>
      <c r="ET1296" s="4"/>
      <c r="EU1296" s="4"/>
      <c r="EV1296" s="4"/>
    </row>
    <row r="1297" spans="1:152" x14ac:dyDescent="0.15">
      <c r="A1297" s="576"/>
      <c r="EO1297" s="6"/>
      <c r="EP1297" s="6"/>
      <c r="EQ1297" s="6"/>
      <c r="ET1297" s="4"/>
      <c r="EU1297" s="4"/>
      <c r="EV1297" s="4"/>
    </row>
    <row r="1298" spans="1:152" x14ac:dyDescent="0.15">
      <c r="A1298" s="576"/>
      <c r="EO1298" s="6"/>
      <c r="EP1298" s="6"/>
      <c r="EQ1298" s="6"/>
      <c r="ET1298" s="4"/>
      <c r="EU1298" s="4"/>
      <c r="EV1298" s="4"/>
    </row>
    <row r="1299" spans="1:152" x14ac:dyDescent="0.15">
      <c r="A1299" s="576"/>
      <c r="EO1299" s="6"/>
      <c r="EP1299" s="6"/>
      <c r="EQ1299" s="6"/>
      <c r="ET1299" s="4"/>
      <c r="EU1299" s="4"/>
      <c r="EV1299" s="4"/>
    </row>
    <row r="1300" spans="1:152" x14ac:dyDescent="0.15">
      <c r="A1300" s="576"/>
      <c r="EO1300" s="6"/>
      <c r="EP1300" s="6"/>
      <c r="EQ1300" s="6"/>
      <c r="ET1300" s="4"/>
      <c r="EU1300" s="4"/>
      <c r="EV1300" s="4"/>
    </row>
    <row r="1301" spans="1:152" x14ac:dyDescent="0.15">
      <c r="A1301" s="576"/>
      <c r="EO1301" s="6"/>
      <c r="EP1301" s="6"/>
      <c r="EQ1301" s="6"/>
      <c r="ET1301" s="4"/>
      <c r="EU1301" s="4"/>
      <c r="EV1301" s="4"/>
    </row>
    <row r="1302" spans="1:152" x14ac:dyDescent="0.15">
      <c r="A1302" s="576"/>
      <c r="EO1302" s="6"/>
      <c r="EP1302" s="6"/>
      <c r="EQ1302" s="6"/>
      <c r="ET1302" s="4"/>
      <c r="EU1302" s="4"/>
      <c r="EV1302" s="4"/>
    </row>
    <row r="1303" spans="1:152" x14ac:dyDescent="0.15">
      <c r="A1303" s="576"/>
      <c r="EO1303" s="6"/>
      <c r="EP1303" s="6"/>
      <c r="EQ1303" s="6"/>
      <c r="ET1303" s="4"/>
      <c r="EU1303" s="4"/>
      <c r="EV1303" s="4"/>
    </row>
    <row r="1304" spans="1:152" x14ac:dyDescent="0.15">
      <c r="A1304" s="576"/>
      <c r="EO1304" s="6"/>
      <c r="EP1304" s="6"/>
      <c r="EQ1304" s="6"/>
      <c r="ET1304" s="4"/>
      <c r="EU1304" s="4"/>
      <c r="EV1304" s="4"/>
    </row>
    <row r="1305" spans="1:152" x14ac:dyDescent="0.15">
      <c r="A1305" s="576"/>
      <c r="EO1305" s="6"/>
      <c r="EP1305" s="6"/>
      <c r="EQ1305" s="6"/>
      <c r="ET1305" s="4"/>
      <c r="EU1305" s="4"/>
      <c r="EV1305" s="4"/>
    </row>
    <row r="1306" spans="1:152" x14ac:dyDescent="0.15">
      <c r="A1306" s="576"/>
      <c r="EO1306" s="6"/>
      <c r="EP1306" s="6"/>
      <c r="EQ1306" s="6"/>
      <c r="ET1306" s="4"/>
      <c r="EU1306" s="4"/>
      <c r="EV1306" s="4"/>
    </row>
    <row r="1307" spans="1:152" x14ac:dyDescent="0.15">
      <c r="A1307" s="576"/>
      <c r="EO1307" s="6"/>
      <c r="EP1307" s="6"/>
      <c r="EQ1307" s="6"/>
      <c r="ET1307" s="4"/>
      <c r="EU1307" s="4"/>
      <c r="EV1307" s="4"/>
    </row>
    <row r="1308" spans="1:152" x14ac:dyDescent="0.15">
      <c r="A1308" s="576"/>
      <c r="EO1308" s="6"/>
      <c r="EP1308" s="6"/>
      <c r="EQ1308" s="6"/>
      <c r="ET1308" s="4"/>
      <c r="EU1308" s="4"/>
      <c r="EV1308" s="4"/>
    </row>
    <row r="1309" spans="1:152" x14ac:dyDescent="0.15">
      <c r="A1309" s="576"/>
      <c r="EO1309" s="6"/>
      <c r="EP1309" s="6"/>
      <c r="EQ1309" s="6"/>
      <c r="ET1309" s="4"/>
      <c r="EU1309" s="4"/>
      <c r="EV1309" s="4"/>
    </row>
    <row r="1310" spans="1:152" x14ac:dyDescent="0.15">
      <c r="A1310" s="576"/>
      <c r="EO1310" s="6"/>
      <c r="EP1310" s="6"/>
      <c r="EQ1310" s="6"/>
      <c r="ET1310" s="4"/>
      <c r="EU1310" s="4"/>
      <c r="EV1310" s="4"/>
    </row>
    <row r="1311" spans="1:152" x14ac:dyDescent="0.15">
      <c r="A1311" s="576"/>
      <c r="EO1311" s="6"/>
      <c r="EP1311" s="6"/>
      <c r="EQ1311" s="6"/>
      <c r="ET1311" s="4"/>
      <c r="EU1311" s="4"/>
      <c r="EV1311" s="4"/>
    </row>
    <row r="1312" spans="1:152" x14ac:dyDescent="0.15">
      <c r="A1312" s="576"/>
      <c r="EO1312" s="6"/>
      <c r="EP1312" s="6"/>
      <c r="EQ1312" s="6"/>
      <c r="ET1312" s="4"/>
      <c r="EU1312" s="4"/>
      <c r="EV1312" s="4"/>
    </row>
    <row r="1313" spans="1:152" x14ac:dyDescent="0.15">
      <c r="A1313" s="576"/>
      <c r="EO1313" s="6"/>
      <c r="EP1313" s="6"/>
      <c r="EQ1313" s="6"/>
      <c r="ET1313" s="4"/>
      <c r="EU1313" s="4"/>
      <c r="EV1313" s="4"/>
    </row>
    <row r="1314" spans="1:152" x14ac:dyDescent="0.15">
      <c r="A1314" s="576"/>
      <c r="EO1314" s="6"/>
      <c r="EP1314" s="6"/>
      <c r="EQ1314" s="6"/>
      <c r="ET1314" s="4"/>
      <c r="EU1314" s="4"/>
      <c r="EV1314" s="4"/>
    </row>
    <row r="1315" spans="1:152" x14ac:dyDescent="0.15">
      <c r="A1315" s="576"/>
      <c r="EO1315" s="6"/>
      <c r="EP1315" s="6"/>
      <c r="EQ1315" s="6"/>
      <c r="ET1315" s="4"/>
      <c r="EU1315" s="4"/>
      <c r="EV1315" s="4"/>
    </row>
    <row r="1316" spans="1:152" x14ac:dyDescent="0.15">
      <c r="A1316" s="576"/>
      <c r="EO1316" s="6"/>
      <c r="EP1316" s="6"/>
      <c r="EQ1316" s="6"/>
      <c r="ET1316" s="4"/>
      <c r="EU1316" s="4"/>
      <c r="EV1316" s="4"/>
    </row>
    <row r="1317" spans="1:152" x14ac:dyDescent="0.15">
      <c r="A1317" s="576"/>
      <c r="EO1317" s="6"/>
      <c r="EP1317" s="6"/>
      <c r="EQ1317" s="6"/>
      <c r="ET1317" s="4"/>
      <c r="EU1317" s="4"/>
      <c r="EV1317" s="4"/>
    </row>
    <row r="1318" spans="1:152" x14ac:dyDescent="0.15">
      <c r="A1318" s="576"/>
      <c r="EO1318" s="6"/>
      <c r="EP1318" s="6"/>
      <c r="EQ1318" s="6"/>
      <c r="ET1318" s="4"/>
      <c r="EU1318" s="4"/>
      <c r="EV1318" s="4"/>
    </row>
    <row r="1319" spans="1:152" x14ac:dyDescent="0.15">
      <c r="A1319" s="576"/>
      <c r="EO1319" s="6"/>
      <c r="EP1319" s="6"/>
      <c r="EQ1319" s="6"/>
      <c r="ET1319" s="4"/>
      <c r="EU1319" s="4"/>
      <c r="EV1319" s="4"/>
    </row>
    <row r="1320" spans="1:152" x14ac:dyDescent="0.15">
      <c r="A1320" s="576"/>
      <c r="EO1320" s="6"/>
      <c r="EP1320" s="6"/>
      <c r="EQ1320" s="6"/>
      <c r="ET1320" s="4"/>
      <c r="EU1320" s="4"/>
      <c r="EV1320" s="4"/>
    </row>
    <row r="1321" spans="1:152" x14ac:dyDescent="0.15">
      <c r="A1321" s="576"/>
      <c r="EO1321" s="6"/>
      <c r="EP1321" s="6"/>
      <c r="EQ1321" s="6"/>
      <c r="ET1321" s="4"/>
      <c r="EU1321" s="4"/>
      <c r="EV1321" s="4"/>
    </row>
    <row r="1322" spans="1:152" x14ac:dyDescent="0.15">
      <c r="A1322" s="576"/>
      <c r="EO1322" s="6"/>
      <c r="EP1322" s="6"/>
      <c r="EQ1322" s="6"/>
      <c r="ET1322" s="4"/>
      <c r="EU1322" s="4"/>
      <c r="EV1322" s="4"/>
    </row>
    <row r="1323" spans="1:152" x14ac:dyDescent="0.15">
      <c r="A1323" s="576"/>
      <c r="EO1323" s="6"/>
      <c r="EP1323" s="6"/>
      <c r="EQ1323" s="6"/>
      <c r="ET1323" s="4"/>
      <c r="EU1323" s="4"/>
      <c r="EV1323" s="4"/>
    </row>
    <row r="1324" spans="1:152" x14ac:dyDescent="0.15">
      <c r="A1324" s="576"/>
      <c r="EO1324" s="6"/>
      <c r="EP1324" s="6"/>
      <c r="EQ1324" s="6"/>
      <c r="ET1324" s="4"/>
      <c r="EU1324" s="4"/>
      <c r="EV1324" s="4"/>
    </row>
    <row r="1325" spans="1:152" x14ac:dyDescent="0.15">
      <c r="A1325" s="576"/>
      <c r="EO1325" s="6"/>
      <c r="EP1325" s="6"/>
      <c r="EQ1325" s="6"/>
      <c r="ET1325" s="4"/>
      <c r="EU1325" s="4"/>
      <c r="EV1325" s="4"/>
    </row>
    <row r="1326" spans="1:152" x14ac:dyDescent="0.15">
      <c r="A1326" s="576"/>
      <c r="EO1326" s="6"/>
      <c r="EP1326" s="6"/>
      <c r="EQ1326" s="6"/>
      <c r="ET1326" s="4"/>
      <c r="EU1326" s="4"/>
      <c r="EV1326" s="4"/>
    </row>
    <row r="1327" spans="1:152" x14ac:dyDescent="0.15">
      <c r="A1327" s="576"/>
      <c r="EO1327" s="6"/>
      <c r="EP1327" s="6"/>
      <c r="EQ1327" s="6"/>
      <c r="ET1327" s="4"/>
      <c r="EU1327" s="4"/>
      <c r="EV1327" s="4"/>
    </row>
    <row r="1328" spans="1:152" x14ac:dyDescent="0.15">
      <c r="A1328" s="576"/>
      <c r="EO1328" s="6"/>
      <c r="EP1328" s="6"/>
      <c r="EQ1328" s="6"/>
      <c r="ET1328" s="4"/>
      <c r="EU1328" s="4"/>
      <c r="EV1328" s="4"/>
    </row>
    <row r="1329" spans="1:152" x14ac:dyDescent="0.15">
      <c r="A1329" s="576"/>
      <c r="EO1329" s="6"/>
      <c r="EP1329" s="6"/>
      <c r="EQ1329" s="6"/>
      <c r="ET1329" s="4"/>
      <c r="EU1329" s="4"/>
      <c r="EV1329" s="4"/>
    </row>
    <row r="1330" spans="1:152" x14ac:dyDescent="0.15">
      <c r="A1330" s="576"/>
      <c r="EO1330" s="6"/>
      <c r="EP1330" s="6"/>
      <c r="EQ1330" s="6"/>
      <c r="ET1330" s="4"/>
      <c r="EU1330" s="4"/>
      <c r="EV1330" s="4"/>
    </row>
    <row r="1331" spans="1:152" x14ac:dyDescent="0.15">
      <c r="A1331" s="576"/>
      <c r="EO1331" s="6"/>
      <c r="EP1331" s="6"/>
      <c r="EQ1331" s="6"/>
      <c r="ET1331" s="4"/>
      <c r="EU1331" s="4"/>
      <c r="EV1331" s="4"/>
    </row>
    <row r="1332" spans="1:152" x14ac:dyDescent="0.15">
      <c r="A1332" s="576"/>
      <c r="EO1332" s="6"/>
      <c r="EP1332" s="6"/>
      <c r="EQ1332" s="6"/>
      <c r="ET1332" s="4"/>
      <c r="EU1332" s="4"/>
      <c r="EV1332" s="4"/>
    </row>
    <row r="1333" spans="1:152" x14ac:dyDescent="0.15">
      <c r="A1333" s="576"/>
      <c r="EO1333" s="6"/>
      <c r="EP1333" s="6"/>
      <c r="EQ1333" s="6"/>
      <c r="ET1333" s="4"/>
      <c r="EU1333" s="4"/>
      <c r="EV1333" s="4"/>
    </row>
    <row r="1334" spans="1:152" x14ac:dyDescent="0.15">
      <c r="A1334" s="576"/>
      <c r="EO1334" s="6"/>
      <c r="EP1334" s="6"/>
      <c r="EQ1334" s="6"/>
      <c r="ET1334" s="4"/>
      <c r="EU1334" s="4"/>
      <c r="EV1334" s="4"/>
    </row>
    <row r="1335" spans="1:152" x14ac:dyDescent="0.15">
      <c r="A1335" s="576"/>
      <c r="EO1335" s="6"/>
      <c r="EP1335" s="6"/>
      <c r="EQ1335" s="6"/>
      <c r="ET1335" s="4"/>
      <c r="EU1335" s="4"/>
      <c r="EV1335" s="4"/>
    </row>
    <row r="1336" spans="1:152" x14ac:dyDescent="0.15">
      <c r="A1336" s="576"/>
      <c r="EO1336" s="6"/>
      <c r="EP1336" s="6"/>
      <c r="EQ1336" s="6"/>
      <c r="ET1336" s="4"/>
      <c r="EU1336" s="4"/>
      <c r="EV1336" s="4"/>
    </row>
    <row r="1337" spans="1:152" x14ac:dyDescent="0.15">
      <c r="A1337" s="576"/>
      <c r="EO1337" s="6"/>
      <c r="EP1337" s="6"/>
      <c r="EQ1337" s="6"/>
      <c r="ET1337" s="4"/>
      <c r="EU1337" s="4"/>
      <c r="EV1337" s="4"/>
    </row>
    <row r="1338" spans="1:152" x14ac:dyDescent="0.15">
      <c r="A1338" s="576"/>
      <c r="EO1338" s="6"/>
      <c r="EP1338" s="6"/>
      <c r="EQ1338" s="6"/>
      <c r="ET1338" s="4"/>
      <c r="EU1338" s="4"/>
      <c r="EV1338" s="4"/>
    </row>
    <row r="1339" spans="1:152" x14ac:dyDescent="0.15">
      <c r="A1339" s="576"/>
      <c r="EO1339" s="6"/>
      <c r="EP1339" s="6"/>
      <c r="EQ1339" s="6"/>
      <c r="ET1339" s="4"/>
      <c r="EU1339" s="4"/>
      <c r="EV1339" s="4"/>
    </row>
    <row r="1340" spans="1:152" x14ac:dyDescent="0.15">
      <c r="A1340" s="576"/>
      <c r="EO1340" s="6"/>
      <c r="EP1340" s="6"/>
      <c r="EQ1340" s="6"/>
      <c r="ET1340" s="4"/>
      <c r="EU1340" s="4"/>
      <c r="EV1340" s="4"/>
    </row>
    <row r="1341" spans="1:152" x14ac:dyDescent="0.15">
      <c r="A1341" s="576"/>
      <c r="EO1341" s="6"/>
      <c r="EP1341" s="6"/>
      <c r="EQ1341" s="6"/>
      <c r="ET1341" s="4"/>
      <c r="EU1341" s="4"/>
      <c r="EV1341" s="4"/>
    </row>
    <row r="1342" spans="1:152" x14ac:dyDescent="0.15">
      <c r="A1342" s="576"/>
      <c r="EO1342" s="6"/>
      <c r="EP1342" s="6"/>
      <c r="EQ1342" s="6"/>
      <c r="ET1342" s="4"/>
      <c r="EU1342" s="4"/>
      <c r="EV1342" s="4"/>
    </row>
    <row r="1343" spans="1:152" x14ac:dyDescent="0.15">
      <c r="A1343" s="576"/>
      <c r="EO1343" s="6"/>
      <c r="EP1343" s="6"/>
      <c r="EQ1343" s="6"/>
      <c r="ET1343" s="4"/>
      <c r="EU1343" s="4"/>
      <c r="EV1343" s="4"/>
    </row>
    <row r="1344" spans="1:152" x14ac:dyDescent="0.15">
      <c r="A1344" s="576"/>
      <c r="EO1344" s="6"/>
      <c r="EP1344" s="6"/>
      <c r="EQ1344" s="6"/>
      <c r="ET1344" s="4"/>
      <c r="EU1344" s="4"/>
      <c r="EV1344" s="4"/>
    </row>
    <row r="1345" spans="1:152" x14ac:dyDescent="0.15">
      <c r="A1345" s="576"/>
      <c r="EO1345" s="6"/>
      <c r="EP1345" s="6"/>
      <c r="EQ1345" s="6"/>
      <c r="ET1345" s="4"/>
      <c r="EU1345" s="4"/>
      <c r="EV1345" s="4"/>
    </row>
    <row r="1346" spans="1:152" x14ac:dyDescent="0.15">
      <c r="A1346" s="576"/>
      <c r="EO1346" s="6"/>
      <c r="EP1346" s="6"/>
      <c r="EQ1346" s="6"/>
      <c r="ET1346" s="4"/>
      <c r="EU1346" s="4"/>
      <c r="EV1346" s="4"/>
    </row>
    <row r="1347" spans="1:152" x14ac:dyDescent="0.15">
      <c r="A1347" s="576"/>
      <c r="EO1347" s="6"/>
      <c r="EP1347" s="6"/>
      <c r="EQ1347" s="6"/>
      <c r="ET1347" s="4"/>
      <c r="EU1347" s="4"/>
      <c r="EV1347" s="4"/>
    </row>
    <row r="1348" spans="1:152" x14ac:dyDescent="0.15">
      <c r="A1348" s="576"/>
      <c r="EO1348" s="6"/>
      <c r="EP1348" s="6"/>
      <c r="EQ1348" s="6"/>
      <c r="ET1348" s="4"/>
      <c r="EU1348" s="4"/>
      <c r="EV1348" s="4"/>
    </row>
    <row r="1349" spans="1:152" x14ac:dyDescent="0.15">
      <c r="A1349" s="576"/>
      <c r="EO1349" s="6"/>
      <c r="EP1349" s="6"/>
      <c r="EQ1349" s="6"/>
      <c r="ET1349" s="4"/>
      <c r="EU1349" s="4"/>
      <c r="EV1349" s="4"/>
    </row>
    <row r="1350" spans="1:152" x14ac:dyDescent="0.15">
      <c r="A1350" s="576"/>
      <c r="EO1350" s="6"/>
      <c r="EP1350" s="6"/>
      <c r="EQ1350" s="6"/>
      <c r="ET1350" s="4"/>
      <c r="EU1350" s="4"/>
      <c r="EV1350" s="4"/>
    </row>
    <row r="1351" spans="1:152" x14ac:dyDescent="0.15">
      <c r="A1351" s="576"/>
      <c r="EO1351" s="6"/>
      <c r="EP1351" s="6"/>
      <c r="EQ1351" s="6"/>
      <c r="ET1351" s="4"/>
      <c r="EU1351" s="4"/>
      <c r="EV1351" s="4"/>
    </row>
    <row r="1352" spans="1:152" x14ac:dyDescent="0.15">
      <c r="A1352" s="576"/>
      <c r="EO1352" s="6"/>
      <c r="EP1352" s="6"/>
      <c r="EQ1352" s="6"/>
      <c r="ET1352" s="4"/>
      <c r="EU1352" s="4"/>
      <c r="EV1352" s="4"/>
    </row>
    <row r="1353" spans="1:152" x14ac:dyDescent="0.15">
      <c r="A1353" s="576"/>
      <c r="EO1353" s="6"/>
      <c r="EP1353" s="6"/>
      <c r="EQ1353" s="6"/>
      <c r="ET1353" s="4"/>
      <c r="EU1353" s="4"/>
      <c r="EV1353" s="4"/>
    </row>
    <row r="1354" spans="1:152" x14ac:dyDescent="0.15">
      <c r="A1354" s="576"/>
      <c r="EO1354" s="6"/>
      <c r="EP1354" s="6"/>
      <c r="EQ1354" s="6"/>
      <c r="ET1354" s="4"/>
      <c r="EU1354" s="4"/>
      <c r="EV1354" s="4"/>
    </row>
    <row r="1355" spans="1:152" x14ac:dyDescent="0.15">
      <c r="A1355" s="576"/>
      <c r="EO1355" s="6"/>
      <c r="EP1355" s="6"/>
      <c r="EQ1355" s="6"/>
      <c r="ET1355" s="4"/>
      <c r="EU1355" s="4"/>
      <c r="EV1355" s="4"/>
    </row>
    <row r="1356" spans="1:152" x14ac:dyDescent="0.15">
      <c r="A1356" s="576"/>
      <c r="EO1356" s="6"/>
      <c r="EP1356" s="6"/>
      <c r="EQ1356" s="6"/>
      <c r="ET1356" s="4"/>
      <c r="EU1356" s="4"/>
      <c r="EV1356" s="4"/>
    </row>
    <row r="1357" spans="1:152" x14ac:dyDescent="0.15">
      <c r="A1357" s="576"/>
      <c r="EO1357" s="6"/>
      <c r="EP1357" s="6"/>
      <c r="EQ1357" s="6"/>
      <c r="ET1357" s="4"/>
      <c r="EU1357" s="4"/>
      <c r="EV1357" s="4"/>
    </row>
    <row r="1358" spans="1:152" x14ac:dyDescent="0.15">
      <c r="A1358" s="576"/>
      <c r="EO1358" s="6"/>
      <c r="EP1358" s="6"/>
      <c r="EQ1358" s="6"/>
      <c r="ET1358" s="4"/>
      <c r="EU1358" s="4"/>
      <c r="EV1358" s="4"/>
    </row>
    <row r="1359" spans="1:152" x14ac:dyDescent="0.15">
      <c r="A1359" s="576"/>
      <c r="EO1359" s="6"/>
      <c r="EP1359" s="6"/>
      <c r="EQ1359" s="6"/>
      <c r="ET1359" s="4"/>
      <c r="EU1359" s="4"/>
      <c r="EV1359" s="4"/>
    </row>
    <row r="1360" spans="1:152" x14ac:dyDescent="0.15">
      <c r="A1360" s="576"/>
      <c r="EO1360" s="6"/>
      <c r="EP1360" s="6"/>
      <c r="EQ1360" s="6"/>
      <c r="ET1360" s="4"/>
      <c r="EU1360" s="4"/>
      <c r="EV1360" s="4"/>
    </row>
    <row r="1361" spans="1:152" x14ac:dyDescent="0.15">
      <c r="A1361" s="576"/>
      <c r="EO1361" s="6"/>
      <c r="EP1361" s="6"/>
      <c r="EQ1361" s="6"/>
      <c r="ET1361" s="4"/>
      <c r="EU1361" s="4"/>
      <c r="EV1361" s="4"/>
    </row>
    <row r="1362" spans="1:152" x14ac:dyDescent="0.15">
      <c r="A1362" s="576"/>
      <c r="EO1362" s="6"/>
      <c r="EP1362" s="6"/>
      <c r="EQ1362" s="6"/>
      <c r="ET1362" s="4"/>
      <c r="EU1362" s="4"/>
      <c r="EV1362" s="4"/>
    </row>
    <row r="1363" spans="1:152" x14ac:dyDescent="0.15">
      <c r="A1363" s="576"/>
      <c r="EO1363" s="6"/>
      <c r="EP1363" s="6"/>
      <c r="EQ1363" s="6"/>
      <c r="ET1363" s="4"/>
      <c r="EU1363" s="4"/>
      <c r="EV1363" s="4"/>
    </row>
    <row r="1364" spans="1:152" x14ac:dyDescent="0.15">
      <c r="A1364" s="576"/>
      <c r="EO1364" s="6"/>
      <c r="EP1364" s="6"/>
      <c r="EQ1364" s="6"/>
      <c r="ET1364" s="4"/>
      <c r="EU1364" s="4"/>
      <c r="EV1364" s="4"/>
    </row>
    <row r="1365" spans="1:152" x14ac:dyDescent="0.15">
      <c r="A1365" s="576"/>
      <c r="EO1365" s="6"/>
      <c r="EP1365" s="6"/>
      <c r="EQ1365" s="6"/>
      <c r="ET1365" s="4"/>
      <c r="EU1365" s="4"/>
      <c r="EV1365" s="4"/>
    </row>
    <row r="1366" spans="1:152" x14ac:dyDescent="0.15">
      <c r="A1366" s="576"/>
      <c r="EO1366" s="6"/>
      <c r="EP1366" s="6"/>
      <c r="EQ1366" s="6"/>
      <c r="ET1366" s="4"/>
      <c r="EU1366" s="4"/>
      <c r="EV1366" s="4"/>
    </row>
    <row r="1367" spans="1:152" x14ac:dyDescent="0.15">
      <c r="A1367" s="576"/>
      <c r="EO1367" s="6"/>
      <c r="EP1367" s="6"/>
      <c r="EQ1367" s="6"/>
      <c r="ET1367" s="4"/>
      <c r="EU1367" s="4"/>
      <c r="EV1367" s="4"/>
    </row>
    <row r="1368" spans="1:152" x14ac:dyDescent="0.15">
      <c r="A1368" s="576"/>
      <c r="EO1368" s="6"/>
      <c r="EP1368" s="6"/>
      <c r="EQ1368" s="6"/>
      <c r="ET1368" s="4"/>
      <c r="EU1368" s="4"/>
      <c r="EV1368" s="4"/>
    </row>
    <row r="1369" spans="1:152" x14ac:dyDescent="0.15">
      <c r="A1369" s="576"/>
      <c r="EO1369" s="6"/>
      <c r="EP1369" s="6"/>
      <c r="EQ1369" s="6"/>
      <c r="ET1369" s="4"/>
      <c r="EU1369" s="4"/>
      <c r="EV1369" s="4"/>
    </row>
    <row r="1370" spans="1:152" x14ac:dyDescent="0.15">
      <c r="A1370" s="576"/>
      <c r="EO1370" s="6"/>
      <c r="EP1370" s="6"/>
      <c r="EQ1370" s="6"/>
      <c r="ET1370" s="4"/>
      <c r="EU1370" s="4"/>
      <c r="EV1370" s="4"/>
    </row>
    <row r="1371" spans="1:152" x14ac:dyDescent="0.15">
      <c r="A1371" s="576"/>
      <c r="EO1371" s="6"/>
      <c r="EP1371" s="6"/>
      <c r="EQ1371" s="6"/>
      <c r="ET1371" s="4"/>
      <c r="EU1371" s="4"/>
      <c r="EV1371" s="4"/>
    </row>
    <row r="1372" spans="1:152" x14ac:dyDescent="0.15">
      <c r="A1372" s="576"/>
      <c r="EO1372" s="6"/>
      <c r="EP1372" s="6"/>
      <c r="EQ1372" s="6"/>
      <c r="ET1372" s="4"/>
      <c r="EU1372" s="4"/>
      <c r="EV1372" s="4"/>
    </row>
    <row r="1373" spans="1:152" x14ac:dyDescent="0.15">
      <c r="A1373" s="576"/>
      <c r="EO1373" s="6"/>
      <c r="EP1373" s="6"/>
      <c r="EQ1373" s="6"/>
      <c r="ET1373" s="4"/>
      <c r="EU1373" s="4"/>
      <c r="EV1373" s="4"/>
    </row>
    <row r="1374" spans="1:152" x14ac:dyDescent="0.15">
      <c r="A1374" s="576"/>
      <c r="EO1374" s="6"/>
      <c r="EP1374" s="6"/>
      <c r="EQ1374" s="6"/>
      <c r="ET1374" s="4"/>
      <c r="EU1374" s="4"/>
      <c r="EV1374" s="4"/>
    </row>
    <row r="1375" spans="1:152" x14ac:dyDescent="0.15">
      <c r="A1375" s="576"/>
      <c r="EO1375" s="6"/>
      <c r="EP1375" s="6"/>
      <c r="EQ1375" s="6"/>
      <c r="ET1375" s="4"/>
      <c r="EU1375" s="4"/>
      <c r="EV1375" s="4"/>
    </row>
    <row r="1376" spans="1:152" x14ac:dyDescent="0.15">
      <c r="A1376" s="576"/>
      <c r="EO1376" s="6"/>
      <c r="EP1376" s="6"/>
      <c r="EQ1376" s="6"/>
      <c r="ET1376" s="4"/>
      <c r="EU1376" s="4"/>
      <c r="EV1376" s="4"/>
    </row>
    <row r="1377" spans="1:152" x14ac:dyDescent="0.15">
      <c r="A1377" s="576"/>
      <c r="EO1377" s="6"/>
      <c r="EP1377" s="6"/>
      <c r="EQ1377" s="6"/>
      <c r="ET1377" s="4"/>
      <c r="EU1377" s="4"/>
      <c r="EV1377" s="4"/>
    </row>
    <row r="1378" spans="1:152" x14ac:dyDescent="0.15">
      <c r="A1378" s="576"/>
      <c r="EO1378" s="6"/>
      <c r="EP1378" s="6"/>
      <c r="EQ1378" s="6"/>
      <c r="ET1378" s="4"/>
      <c r="EU1378" s="4"/>
      <c r="EV1378" s="4"/>
    </row>
    <row r="1379" spans="1:152" x14ac:dyDescent="0.15">
      <c r="A1379" s="576"/>
      <c r="EO1379" s="6"/>
      <c r="EP1379" s="6"/>
      <c r="EQ1379" s="6"/>
      <c r="ET1379" s="4"/>
      <c r="EU1379" s="4"/>
      <c r="EV1379" s="4"/>
    </row>
    <row r="1380" spans="1:152" x14ac:dyDescent="0.15">
      <c r="A1380" s="576"/>
      <c r="EO1380" s="6"/>
      <c r="EP1380" s="6"/>
      <c r="EQ1380" s="6"/>
      <c r="ET1380" s="4"/>
      <c r="EU1380" s="4"/>
      <c r="EV1380" s="4"/>
    </row>
    <row r="1381" spans="1:152" x14ac:dyDescent="0.15">
      <c r="A1381" s="576"/>
      <c r="EO1381" s="6"/>
      <c r="EP1381" s="6"/>
      <c r="EQ1381" s="6"/>
      <c r="ET1381" s="4"/>
      <c r="EU1381" s="4"/>
      <c r="EV1381" s="4"/>
    </row>
    <row r="1382" spans="1:152" x14ac:dyDescent="0.15">
      <c r="A1382" s="576"/>
      <c r="EO1382" s="6"/>
      <c r="EP1382" s="6"/>
      <c r="EQ1382" s="6"/>
      <c r="ET1382" s="4"/>
      <c r="EU1382" s="4"/>
      <c r="EV1382" s="4"/>
    </row>
    <row r="1383" spans="1:152" x14ac:dyDescent="0.15">
      <c r="A1383" s="576"/>
      <c r="EO1383" s="6"/>
      <c r="EP1383" s="6"/>
      <c r="EQ1383" s="6"/>
      <c r="ET1383" s="4"/>
      <c r="EU1383" s="4"/>
      <c r="EV1383" s="4"/>
    </row>
    <row r="1384" spans="1:152" x14ac:dyDescent="0.15">
      <c r="A1384" s="576"/>
      <c r="EO1384" s="6"/>
      <c r="EP1384" s="6"/>
      <c r="EQ1384" s="6"/>
      <c r="ET1384" s="4"/>
      <c r="EU1384" s="4"/>
      <c r="EV1384" s="4"/>
    </row>
    <row r="1385" spans="1:152" x14ac:dyDescent="0.15">
      <c r="A1385" s="576"/>
      <c r="EO1385" s="6"/>
      <c r="EP1385" s="6"/>
      <c r="EQ1385" s="6"/>
      <c r="ET1385" s="4"/>
      <c r="EU1385" s="4"/>
      <c r="EV1385" s="4"/>
    </row>
    <row r="1386" spans="1:152" x14ac:dyDescent="0.15">
      <c r="A1386" s="576"/>
      <c r="EO1386" s="6"/>
      <c r="EP1386" s="6"/>
      <c r="EQ1386" s="6"/>
      <c r="ET1386" s="4"/>
      <c r="EU1386" s="4"/>
      <c r="EV1386" s="4"/>
    </row>
    <row r="1387" spans="1:152" x14ac:dyDescent="0.15">
      <c r="A1387" s="576"/>
      <c r="EO1387" s="6"/>
      <c r="EP1387" s="6"/>
      <c r="EQ1387" s="6"/>
      <c r="ET1387" s="4"/>
      <c r="EU1387" s="4"/>
      <c r="EV1387" s="4"/>
    </row>
    <row r="1388" spans="1:152" x14ac:dyDescent="0.15">
      <c r="A1388" s="576"/>
      <c r="EO1388" s="6"/>
      <c r="EP1388" s="6"/>
      <c r="EQ1388" s="6"/>
      <c r="ET1388" s="4"/>
      <c r="EU1388" s="4"/>
      <c r="EV1388" s="4"/>
    </row>
    <row r="1389" spans="1:152" x14ac:dyDescent="0.15">
      <c r="A1389" s="576"/>
      <c r="EO1389" s="6"/>
      <c r="EP1389" s="6"/>
      <c r="EQ1389" s="6"/>
      <c r="ET1389" s="4"/>
      <c r="EU1389" s="4"/>
      <c r="EV1389" s="4"/>
    </row>
    <row r="1390" spans="1:152" x14ac:dyDescent="0.15">
      <c r="A1390" s="576"/>
      <c r="EO1390" s="6"/>
      <c r="EP1390" s="6"/>
      <c r="EQ1390" s="6"/>
      <c r="ET1390" s="4"/>
      <c r="EU1390" s="4"/>
      <c r="EV1390" s="4"/>
    </row>
    <row r="1391" spans="1:152" x14ac:dyDescent="0.15">
      <c r="A1391" s="576"/>
      <c r="EO1391" s="6"/>
      <c r="EP1391" s="6"/>
      <c r="EQ1391" s="6"/>
      <c r="ET1391" s="4"/>
      <c r="EU1391" s="4"/>
      <c r="EV1391" s="4"/>
    </row>
    <row r="1392" spans="1:152" x14ac:dyDescent="0.15">
      <c r="A1392" s="576"/>
      <c r="EO1392" s="6"/>
      <c r="EP1392" s="6"/>
      <c r="EQ1392" s="6"/>
      <c r="ET1392" s="4"/>
      <c r="EU1392" s="4"/>
      <c r="EV1392" s="4"/>
    </row>
    <row r="1393" spans="1:152" x14ac:dyDescent="0.15">
      <c r="A1393" s="576"/>
      <c r="EO1393" s="6"/>
      <c r="EP1393" s="6"/>
      <c r="EQ1393" s="6"/>
      <c r="ET1393" s="4"/>
      <c r="EU1393" s="4"/>
      <c r="EV1393" s="4"/>
    </row>
    <row r="1394" spans="1:152" x14ac:dyDescent="0.15">
      <c r="A1394" s="576"/>
      <c r="EO1394" s="6"/>
      <c r="EP1394" s="6"/>
      <c r="EQ1394" s="6"/>
      <c r="ET1394" s="4"/>
      <c r="EU1394" s="4"/>
      <c r="EV1394" s="4"/>
    </row>
    <row r="1395" spans="1:152" x14ac:dyDescent="0.15">
      <c r="A1395" s="576"/>
      <c r="EO1395" s="6"/>
      <c r="EP1395" s="6"/>
      <c r="EQ1395" s="6"/>
      <c r="ET1395" s="4"/>
      <c r="EU1395" s="4"/>
      <c r="EV1395" s="4"/>
    </row>
    <row r="1396" spans="1:152" x14ac:dyDescent="0.15">
      <c r="A1396" s="576"/>
      <c r="EO1396" s="6"/>
      <c r="EP1396" s="6"/>
      <c r="EQ1396" s="6"/>
      <c r="ET1396" s="4"/>
      <c r="EU1396" s="4"/>
      <c r="EV1396" s="4"/>
    </row>
    <row r="1397" spans="1:152" x14ac:dyDescent="0.15">
      <c r="A1397" s="576"/>
      <c r="EO1397" s="6"/>
      <c r="EP1397" s="6"/>
      <c r="EQ1397" s="6"/>
      <c r="ET1397" s="4"/>
      <c r="EU1397" s="4"/>
      <c r="EV1397" s="4"/>
    </row>
    <row r="1398" spans="1:152" x14ac:dyDescent="0.15">
      <c r="A1398" s="576"/>
      <c r="EO1398" s="6"/>
      <c r="EP1398" s="6"/>
      <c r="EQ1398" s="6"/>
      <c r="ET1398" s="4"/>
      <c r="EU1398" s="4"/>
      <c r="EV1398" s="4"/>
    </row>
    <row r="1399" spans="1:152" x14ac:dyDescent="0.15">
      <c r="A1399" s="576"/>
      <c r="EO1399" s="6"/>
      <c r="EP1399" s="6"/>
      <c r="EQ1399" s="6"/>
      <c r="ET1399" s="4"/>
      <c r="EU1399" s="4"/>
      <c r="EV1399" s="4"/>
    </row>
    <row r="1400" spans="1:152" x14ac:dyDescent="0.15">
      <c r="A1400" s="576"/>
      <c r="EO1400" s="6"/>
      <c r="EP1400" s="6"/>
      <c r="EQ1400" s="6"/>
      <c r="ET1400" s="4"/>
      <c r="EU1400" s="4"/>
      <c r="EV1400" s="4"/>
    </row>
    <row r="1401" spans="1:152" x14ac:dyDescent="0.15">
      <c r="A1401" s="576"/>
      <c r="EO1401" s="6"/>
      <c r="EP1401" s="6"/>
      <c r="EQ1401" s="6"/>
      <c r="ET1401" s="4"/>
      <c r="EU1401" s="4"/>
      <c r="EV1401" s="4"/>
    </row>
    <row r="1402" spans="1:152" x14ac:dyDescent="0.15">
      <c r="A1402" s="576"/>
      <c r="EO1402" s="6"/>
      <c r="EP1402" s="6"/>
      <c r="EQ1402" s="6"/>
      <c r="ET1402" s="4"/>
      <c r="EU1402" s="4"/>
      <c r="EV1402" s="4"/>
    </row>
    <row r="1403" spans="1:152" x14ac:dyDescent="0.15">
      <c r="A1403" s="576"/>
      <c r="EO1403" s="6"/>
      <c r="EP1403" s="6"/>
      <c r="EQ1403" s="6"/>
      <c r="ET1403" s="4"/>
      <c r="EU1403" s="4"/>
      <c r="EV1403" s="4"/>
    </row>
    <row r="1404" spans="1:152" x14ac:dyDescent="0.15">
      <c r="A1404" s="576"/>
      <c r="EO1404" s="6"/>
      <c r="EP1404" s="6"/>
      <c r="EQ1404" s="6"/>
      <c r="ET1404" s="4"/>
      <c r="EU1404" s="4"/>
      <c r="EV1404" s="4"/>
    </row>
    <row r="1405" spans="1:152" x14ac:dyDescent="0.15">
      <c r="A1405" s="576"/>
      <c r="EO1405" s="6"/>
      <c r="EP1405" s="6"/>
      <c r="EQ1405" s="6"/>
      <c r="ET1405" s="4"/>
      <c r="EU1405" s="4"/>
      <c r="EV1405" s="4"/>
    </row>
    <row r="1406" spans="1:152" x14ac:dyDescent="0.15">
      <c r="A1406" s="576"/>
      <c r="EO1406" s="6"/>
      <c r="EP1406" s="6"/>
      <c r="EQ1406" s="6"/>
      <c r="ET1406" s="4"/>
      <c r="EU1406" s="4"/>
      <c r="EV1406" s="4"/>
    </row>
    <row r="1407" spans="1:152" x14ac:dyDescent="0.15">
      <c r="A1407" s="576"/>
      <c r="EO1407" s="6"/>
      <c r="EP1407" s="6"/>
      <c r="EQ1407" s="6"/>
      <c r="ET1407" s="4"/>
      <c r="EU1407" s="4"/>
      <c r="EV1407" s="4"/>
    </row>
    <row r="1408" spans="1:152" x14ac:dyDescent="0.15">
      <c r="A1408" s="576"/>
      <c r="EO1408" s="6"/>
      <c r="EP1408" s="6"/>
      <c r="EQ1408" s="6"/>
      <c r="ET1408" s="4"/>
      <c r="EU1408" s="4"/>
      <c r="EV1408" s="4"/>
    </row>
    <row r="1409" spans="1:152" x14ac:dyDescent="0.15">
      <c r="A1409" s="576"/>
      <c r="EO1409" s="6"/>
      <c r="EP1409" s="6"/>
      <c r="EQ1409" s="6"/>
      <c r="ET1409" s="4"/>
      <c r="EU1409" s="4"/>
      <c r="EV1409" s="4"/>
    </row>
    <row r="1410" spans="1:152" x14ac:dyDescent="0.15">
      <c r="A1410" s="576"/>
      <c r="EO1410" s="6"/>
      <c r="EP1410" s="6"/>
      <c r="EQ1410" s="6"/>
      <c r="ET1410" s="4"/>
      <c r="EU1410" s="4"/>
      <c r="EV1410" s="4"/>
    </row>
    <row r="1411" spans="1:152" x14ac:dyDescent="0.15">
      <c r="A1411" s="576"/>
      <c r="EO1411" s="6"/>
      <c r="EP1411" s="6"/>
      <c r="EQ1411" s="6"/>
      <c r="ET1411" s="4"/>
      <c r="EU1411" s="4"/>
      <c r="EV1411" s="4"/>
    </row>
    <row r="1412" spans="1:152" x14ac:dyDescent="0.15">
      <c r="A1412" s="576"/>
      <c r="EO1412" s="6"/>
      <c r="EP1412" s="6"/>
      <c r="EQ1412" s="6"/>
      <c r="ET1412" s="4"/>
      <c r="EU1412" s="4"/>
      <c r="EV1412" s="4"/>
    </row>
    <row r="1413" spans="1:152" x14ac:dyDescent="0.15">
      <c r="A1413" s="576"/>
      <c r="EO1413" s="6"/>
      <c r="EP1413" s="6"/>
      <c r="EQ1413" s="6"/>
      <c r="ET1413" s="4"/>
      <c r="EU1413" s="4"/>
      <c r="EV1413" s="4"/>
    </row>
    <row r="1414" spans="1:152" x14ac:dyDescent="0.15">
      <c r="A1414" s="576"/>
      <c r="EO1414" s="6"/>
      <c r="EP1414" s="6"/>
      <c r="EQ1414" s="6"/>
      <c r="ET1414" s="4"/>
      <c r="EU1414" s="4"/>
      <c r="EV1414" s="4"/>
    </row>
    <row r="1415" spans="1:152" x14ac:dyDescent="0.15">
      <c r="A1415" s="576"/>
      <c r="EO1415" s="6"/>
      <c r="EP1415" s="6"/>
      <c r="EQ1415" s="6"/>
      <c r="ET1415" s="4"/>
      <c r="EU1415" s="4"/>
      <c r="EV1415" s="4"/>
    </row>
    <row r="1416" spans="1:152" x14ac:dyDescent="0.15">
      <c r="A1416" s="576"/>
      <c r="EO1416" s="6"/>
      <c r="EP1416" s="6"/>
      <c r="EQ1416" s="6"/>
      <c r="ET1416" s="4"/>
      <c r="EU1416" s="4"/>
      <c r="EV1416" s="4"/>
    </row>
    <row r="1417" spans="1:152" x14ac:dyDescent="0.15">
      <c r="A1417" s="576"/>
      <c r="EO1417" s="6"/>
      <c r="EP1417" s="6"/>
      <c r="EQ1417" s="6"/>
      <c r="ET1417" s="4"/>
      <c r="EU1417" s="4"/>
      <c r="EV1417" s="4"/>
    </row>
    <row r="1418" spans="1:152" x14ac:dyDescent="0.15">
      <c r="A1418" s="576"/>
      <c r="EO1418" s="6"/>
      <c r="EP1418" s="6"/>
      <c r="EQ1418" s="6"/>
      <c r="ET1418" s="4"/>
      <c r="EU1418" s="4"/>
      <c r="EV1418" s="4"/>
    </row>
    <row r="1419" spans="1:152" x14ac:dyDescent="0.15">
      <c r="A1419" s="576"/>
      <c r="EO1419" s="6"/>
      <c r="EP1419" s="6"/>
      <c r="EQ1419" s="6"/>
      <c r="ET1419" s="4"/>
      <c r="EU1419" s="4"/>
      <c r="EV1419" s="4"/>
    </row>
    <row r="1420" spans="1:152" x14ac:dyDescent="0.15">
      <c r="A1420" s="576"/>
      <c r="EO1420" s="6"/>
      <c r="EP1420" s="6"/>
      <c r="EQ1420" s="6"/>
      <c r="ET1420" s="4"/>
      <c r="EU1420" s="4"/>
      <c r="EV1420" s="4"/>
    </row>
    <row r="1421" spans="1:152" x14ac:dyDescent="0.15">
      <c r="A1421" s="576"/>
      <c r="EO1421" s="6"/>
      <c r="EP1421" s="6"/>
      <c r="EQ1421" s="6"/>
      <c r="ET1421" s="4"/>
      <c r="EU1421" s="4"/>
      <c r="EV1421" s="4"/>
    </row>
    <row r="1422" spans="1:152" x14ac:dyDescent="0.15">
      <c r="A1422" s="576"/>
      <c r="EO1422" s="6"/>
      <c r="EP1422" s="6"/>
      <c r="EQ1422" s="6"/>
      <c r="ET1422" s="4"/>
      <c r="EU1422" s="4"/>
      <c r="EV1422" s="4"/>
    </row>
    <row r="1423" spans="1:152" x14ac:dyDescent="0.15">
      <c r="A1423" s="576"/>
      <c r="EO1423" s="6"/>
      <c r="EP1423" s="6"/>
      <c r="EQ1423" s="6"/>
      <c r="ET1423" s="4"/>
      <c r="EU1423" s="4"/>
      <c r="EV1423" s="4"/>
    </row>
    <row r="1424" spans="1:152" x14ac:dyDescent="0.15">
      <c r="A1424" s="576"/>
      <c r="EO1424" s="6"/>
      <c r="EP1424" s="6"/>
      <c r="EQ1424" s="6"/>
      <c r="ET1424" s="4"/>
      <c r="EU1424" s="4"/>
      <c r="EV1424" s="4"/>
    </row>
    <row r="1425" spans="1:152" x14ac:dyDescent="0.15">
      <c r="A1425" s="576"/>
      <c r="EO1425" s="6"/>
      <c r="EP1425" s="6"/>
      <c r="EQ1425" s="6"/>
      <c r="ET1425" s="4"/>
      <c r="EU1425" s="4"/>
      <c r="EV1425" s="4"/>
    </row>
    <row r="1426" spans="1:152" x14ac:dyDescent="0.15">
      <c r="A1426" s="576"/>
      <c r="EO1426" s="6"/>
      <c r="EP1426" s="6"/>
      <c r="EQ1426" s="6"/>
      <c r="ET1426" s="4"/>
      <c r="EU1426" s="4"/>
      <c r="EV1426" s="4"/>
    </row>
    <row r="1427" spans="1:152" x14ac:dyDescent="0.15">
      <c r="A1427" s="576"/>
      <c r="EO1427" s="6"/>
      <c r="EP1427" s="6"/>
      <c r="EQ1427" s="6"/>
      <c r="ET1427" s="4"/>
      <c r="EU1427" s="4"/>
      <c r="EV1427" s="4"/>
    </row>
    <row r="1428" spans="1:152" x14ac:dyDescent="0.15">
      <c r="A1428" s="576"/>
      <c r="EO1428" s="6"/>
      <c r="EP1428" s="6"/>
      <c r="EQ1428" s="6"/>
      <c r="ET1428" s="4"/>
      <c r="EU1428" s="4"/>
      <c r="EV1428" s="4"/>
    </row>
    <row r="1429" spans="1:152" x14ac:dyDescent="0.15">
      <c r="A1429" s="576"/>
      <c r="EO1429" s="6"/>
      <c r="EP1429" s="6"/>
      <c r="EQ1429" s="6"/>
      <c r="ET1429" s="4"/>
      <c r="EU1429" s="4"/>
      <c r="EV1429" s="4"/>
    </row>
    <row r="1430" spans="1:152" x14ac:dyDescent="0.15">
      <c r="A1430" s="576"/>
      <c r="EO1430" s="6"/>
      <c r="EP1430" s="6"/>
      <c r="EQ1430" s="6"/>
      <c r="ET1430" s="4"/>
      <c r="EU1430" s="4"/>
      <c r="EV1430" s="4"/>
    </row>
    <row r="1431" spans="1:152" x14ac:dyDescent="0.15">
      <c r="A1431" s="576"/>
      <c r="EO1431" s="6"/>
      <c r="EP1431" s="6"/>
      <c r="EQ1431" s="6"/>
      <c r="ET1431" s="4"/>
      <c r="EU1431" s="4"/>
      <c r="EV1431" s="4"/>
    </row>
    <row r="1432" spans="1:152" x14ac:dyDescent="0.15">
      <c r="A1432" s="576"/>
      <c r="EO1432" s="6"/>
      <c r="EP1432" s="6"/>
      <c r="EQ1432" s="6"/>
      <c r="ET1432" s="4"/>
      <c r="EU1432" s="4"/>
      <c r="EV1432" s="4"/>
    </row>
    <row r="1433" spans="1:152" x14ac:dyDescent="0.15">
      <c r="A1433" s="576"/>
      <c r="EO1433" s="6"/>
      <c r="EP1433" s="6"/>
      <c r="EQ1433" s="6"/>
      <c r="ET1433" s="4"/>
      <c r="EU1433" s="4"/>
      <c r="EV1433" s="4"/>
    </row>
    <row r="1434" spans="1:152" x14ac:dyDescent="0.15">
      <c r="A1434" s="576"/>
      <c r="EO1434" s="6"/>
      <c r="EP1434" s="6"/>
      <c r="EQ1434" s="6"/>
      <c r="ET1434" s="4"/>
      <c r="EU1434" s="4"/>
      <c r="EV1434" s="4"/>
    </row>
    <row r="1435" spans="1:152" x14ac:dyDescent="0.15">
      <c r="A1435" s="576"/>
      <c r="EO1435" s="6"/>
      <c r="EP1435" s="6"/>
      <c r="EQ1435" s="6"/>
      <c r="ET1435" s="4"/>
      <c r="EU1435" s="4"/>
      <c r="EV1435" s="4"/>
    </row>
    <row r="1436" spans="1:152" x14ac:dyDescent="0.15">
      <c r="A1436" s="576"/>
      <c r="EO1436" s="6"/>
      <c r="EP1436" s="6"/>
      <c r="EQ1436" s="6"/>
      <c r="ET1436" s="4"/>
      <c r="EU1436" s="4"/>
      <c r="EV1436" s="4"/>
    </row>
    <row r="1437" spans="1:152" x14ac:dyDescent="0.15">
      <c r="A1437" s="576"/>
      <c r="EO1437" s="6"/>
      <c r="EP1437" s="6"/>
      <c r="EQ1437" s="6"/>
      <c r="ET1437" s="4"/>
      <c r="EU1437" s="4"/>
      <c r="EV1437" s="4"/>
    </row>
    <row r="1438" spans="1:152" x14ac:dyDescent="0.15">
      <c r="A1438" s="576"/>
      <c r="EO1438" s="6"/>
      <c r="EP1438" s="6"/>
      <c r="EQ1438" s="6"/>
      <c r="ET1438" s="4"/>
      <c r="EU1438" s="4"/>
      <c r="EV1438" s="4"/>
    </row>
    <row r="1439" spans="1:152" x14ac:dyDescent="0.15">
      <c r="A1439" s="576"/>
      <c r="EO1439" s="6"/>
      <c r="EP1439" s="6"/>
      <c r="EQ1439" s="6"/>
      <c r="ET1439" s="4"/>
      <c r="EU1439" s="4"/>
      <c r="EV1439" s="4"/>
    </row>
    <row r="1440" spans="1:152" x14ac:dyDescent="0.15">
      <c r="A1440" s="576"/>
      <c r="EO1440" s="6"/>
      <c r="EP1440" s="6"/>
      <c r="EQ1440" s="6"/>
      <c r="ET1440" s="4"/>
      <c r="EU1440" s="4"/>
      <c r="EV1440" s="4"/>
    </row>
    <row r="1441" spans="1:152" x14ac:dyDescent="0.15">
      <c r="A1441" s="576"/>
      <c r="EO1441" s="6"/>
      <c r="EP1441" s="6"/>
      <c r="EQ1441" s="6"/>
      <c r="ET1441" s="4"/>
      <c r="EU1441" s="4"/>
      <c r="EV1441" s="4"/>
    </row>
    <row r="1442" spans="1:152" x14ac:dyDescent="0.15">
      <c r="A1442" s="576"/>
      <c r="EO1442" s="6"/>
      <c r="EP1442" s="6"/>
      <c r="EQ1442" s="6"/>
      <c r="ET1442" s="4"/>
      <c r="EU1442" s="4"/>
      <c r="EV1442" s="4"/>
    </row>
    <row r="1443" spans="1:152" x14ac:dyDescent="0.15">
      <c r="A1443" s="576"/>
      <c r="EO1443" s="6"/>
      <c r="EP1443" s="6"/>
      <c r="EQ1443" s="6"/>
      <c r="ET1443" s="4"/>
      <c r="EU1443" s="4"/>
      <c r="EV1443" s="4"/>
    </row>
    <row r="1444" spans="1:152" x14ac:dyDescent="0.15">
      <c r="A1444" s="576"/>
      <c r="EO1444" s="6"/>
      <c r="EP1444" s="6"/>
      <c r="EQ1444" s="6"/>
      <c r="ET1444" s="4"/>
      <c r="EU1444" s="4"/>
      <c r="EV1444" s="4"/>
    </row>
    <row r="1445" spans="1:152" x14ac:dyDescent="0.15">
      <c r="A1445" s="576"/>
      <c r="EO1445" s="6"/>
      <c r="EP1445" s="6"/>
      <c r="EQ1445" s="6"/>
      <c r="ET1445" s="4"/>
      <c r="EU1445" s="4"/>
      <c r="EV1445" s="4"/>
    </row>
    <row r="1446" spans="1:152" x14ac:dyDescent="0.15">
      <c r="A1446" s="576"/>
      <c r="EO1446" s="6"/>
      <c r="EP1446" s="6"/>
      <c r="EQ1446" s="6"/>
      <c r="ET1446" s="4"/>
      <c r="EU1446" s="4"/>
      <c r="EV1446" s="4"/>
    </row>
    <row r="1447" spans="1:152" x14ac:dyDescent="0.15">
      <c r="A1447" s="576"/>
      <c r="EO1447" s="6"/>
      <c r="EP1447" s="6"/>
      <c r="EQ1447" s="6"/>
      <c r="ET1447" s="4"/>
      <c r="EU1447" s="4"/>
      <c r="EV1447" s="4"/>
    </row>
    <row r="1448" spans="1:152" x14ac:dyDescent="0.15">
      <c r="A1448" s="576"/>
      <c r="EO1448" s="6"/>
      <c r="EP1448" s="6"/>
      <c r="EQ1448" s="6"/>
      <c r="ET1448" s="4"/>
      <c r="EU1448" s="4"/>
      <c r="EV1448" s="4"/>
    </row>
    <row r="1449" spans="1:152" x14ac:dyDescent="0.15">
      <c r="A1449" s="576"/>
      <c r="EO1449" s="6"/>
      <c r="EP1449" s="6"/>
      <c r="EQ1449" s="6"/>
      <c r="ET1449" s="4"/>
      <c r="EU1449" s="4"/>
      <c r="EV1449" s="4"/>
    </row>
    <row r="1450" spans="1:152" x14ac:dyDescent="0.15">
      <c r="A1450" s="576"/>
      <c r="EO1450" s="6"/>
      <c r="EP1450" s="6"/>
      <c r="EQ1450" s="6"/>
      <c r="ET1450" s="4"/>
      <c r="EU1450" s="4"/>
      <c r="EV1450" s="4"/>
    </row>
    <row r="1451" spans="1:152" x14ac:dyDescent="0.15">
      <c r="A1451" s="576"/>
      <c r="EO1451" s="6"/>
      <c r="EP1451" s="6"/>
      <c r="EQ1451" s="6"/>
      <c r="ET1451" s="4"/>
      <c r="EU1451" s="4"/>
      <c r="EV1451" s="4"/>
    </row>
    <row r="1452" spans="1:152" x14ac:dyDescent="0.15">
      <c r="A1452" s="576"/>
      <c r="EO1452" s="6"/>
      <c r="EP1452" s="6"/>
      <c r="EQ1452" s="6"/>
      <c r="ET1452" s="4"/>
      <c r="EU1452" s="4"/>
      <c r="EV1452" s="4"/>
    </row>
    <row r="1453" spans="1:152" x14ac:dyDescent="0.15">
      <c r="A1453" s="576"/>
      <c r="EO1453" s="6"/>
      <c r="EP1453" s="6"/>
      <c r="EQ1453" s="6"/>
      <c r="ET1453" s="4"/>
      <c r="EU1453" s="4"/>
      <c r="EV1453" s="4"/>
    </row>
    <row r="1454" spans="1:152" x14ac:dyDescent="0.15">
      <c r="A1454" s="576"/>
      <c r="EO1454" s="6"/>
      <c r="EP1454" s="6"/>
      <c r="EQ1454" s="6"/>
      <c r="ET1454" s="4"/>
      <c r="EU1454" s="4"/>
      <c r="EV1454" s="4"/>
    </row>
    <row r="1455" spans="1:152" x14ac:dyDescent="0.15">
      <c r="A1455" s="576"/>
      <c r="EO1455" s="6"/>
      <c r="EP1455" s="6"/>
      <c r="EQ1455" s="6"/>
      <c r="ET1455" s="4"/>
      <c r="EU1455" s="4"/>
      <c r="EV1455" s="4"/>
    </row>
    <row r="1456" spans="1:152" x14ac:dyDescent="0.15">
      <c r="A1456" s="576"/>
      <c r="EO1456" s="6"/>
      <c r="EP1456" s="6"/>
      <c r="EQ1456" s="6"/>
      <c r="ET1456" s="4"/>
      <c r="EU1456" s="4"/>
      <c r="EV1456" s="4"/>
    </row>
    <row r="1457" spans="1:152" x14ac:dyDescent="0.15">
      <c r="A1457" s="576"/>
      <c r="EO1457" s="6"/>
      <c r="EP1457" s="6"/>
      <c r="EQ1457" s="6"/>
      <c r="ET1457" s="4"/>
      <c r="EU1457" s="4"/>
      <c r="EV1457" s="4"/>
    </row>
    <row r="1458" spans="1:152" x14ac:dyDescent="0.15">
      <c r="A1458" s="576"/>
      <c r="EO1458" s="6"/>
      <c r="EP1458" s="6"/>
      <c r="EQ1458" s="6"/>
      <c r="ET1458" s="4"/>
      <c r="EU1458" s="4"/>
      <c r="EV1458" s="4"/>
    </row>
    <row r="1459" spans="1:152" x14ac:dyDescent="0.15">
      <c r="A1459" s="576"/>
      <c r="EO1459" s="6"/>
      <c r="EP1459" s="6"/>
      <c r="EQ1459" s="6"/>
      <c r="ET1459" s="4"/>
      <c r="EU1459" s="4"/>
      <c r="EV1459" s="4"/>
    </row>
    <row r="1460" spans="1:152" x14ac:dyDescent="0.15">
      <c r="A1460" s="576"/>
      <c r="EO1460" s="6"/>
      <c r="EP1460" s="6"/>
      <c r="EQ1460" s="6"/>
      <c r="ET1460" s="4"/>
      <c r="EU1460" s="4"/>
      <c r="EV1460" s="4"/>
    </row>
    <row r="1461" spans="1:152" x14ac:dyDescent="0.15">
      <c r="A1461" s="576"/>
      <c r="EO1461" s="6"/>
      <c r="EP1461" s="6"/>
      <c r="EQ1461" s="6"/>
      <c r="ET1461" s="4"/>
      <c r="EU1461" s="4"/>
      <c r="EV1461" s="4"/>
    </row>
    <row r="1462" spans="1:152" x14ac:dyDescent="0.15">
      <c r="A1462" s="576"/>
      <c r="EO1462" s="6"/>
      <c r="EP1462" s="6"/>
      <c r="EQ1462" s="6"/>
      <c r="ET1462" s="4"/>
      <c r="EU1462" s="4"/>
      <c r="EV1462" s="4"/>
    </row>
    <row r="1463" spans="1:152" x14ac:dyDescent="0.15">
      <c r="A1463" s="576"/>
      <c r="EO1463" s="6"/>
      <c r="EP1463" s="6"/>
      <c r="EQ1463" s="6"/>
      <c r="ET1463" s="4"/>
      <c r="EU1463" s="4"/>
      <c r="EV1463" s="4"/>
    </row>
    <row r="1464" spans="1:152" x14ac:dyDescent="0.15">
      <c r="A1464" s="576"/>
      <c r="EO1464" s="6"/>
      <c r="EP1464" s="6"/>
      <c r="EQ1464" s="6"/>
      <c r="ET1464" s="4"/>
      <c r="EU1464" s="4"/>
      <c r="EV1464" s="4"/>
    </row>
    <row r="1465" spans="1:152" x14ac:dyDescent="0.15">
      <c r="A1465" s="576"/>
      <c r="EO1465" s="6"/>
      <c r="EP1465" s="6"/>
      <c r="EQ1465" s="6"/>
      <c r="ET1465" s="4"/>
      <c r="EU1465" s="4"/>
      <c r="EV1465" s="4"/>
    </row>
    <row r="1466" spans="1:152" x14ac:dyDescent="0.15">
      <c r="A1466" s="576"/>
      <c r="EO1466" s="6"/>
      <c r="EP1466" s="6"/>
      <c r="EQ1466" s="6"/>
      <c r="ET1466" s="4"/>
      <c r="EU1466" s="4"/>
      <c r="EV1466" s="4"/>
    </row>
    <row r="1467" spans="1:152" x14ac:dyDescent="0.15">
      <c r="A1467" s="576"/>
      <c r="EO1467" s="6"/>
      <c r="EP1467" s="6"/>
      <c r="EQ1467" s="6"/>
      <c r="ET1467" s="4"/>
      <c r="EU1467" s="4"/>
      <c r="EV1467" s="4"/>
    </row>
    <row r="1468" spans="1:152" x14ac:dyDescent="0.15">
      <c r="A1468" s="576"/>
      <c r="EO1468" s="6"/>
      <c r="EP1468" s="6"/>
      <c r="EQ1468" s="6"/>
      <c r="ET1468" s="4"/>
      <c r="EU1468" s="4"/>
      <c r="EV1468" s="4"/>
    </row>
    <row r="1469" spans="1:152" x14ac:dyDescent="0.15">
      <c r="A1469" s="576"/>
      <c r="EO1469" s="6"/>
      <c r="EP1469" s="6"/>
      <c r="EQ1469" s="6"/>
      <c r="ET1469" s="4"/>
      <c r="EU1469" s="4"/>
      <c r="EV1469" s="4"/>
    </row>
    <row r="1470" spans="1:152" x14ac:dyDescent="0.15">
      <c r="A1470" s="576"/>
      <c r="EO1470" s="6"/>
      <c r="EP1470" s="6"/>
      <c r="EQ1470" s="6"/>
      <c r="ET1470" s="4"/>
      <c r="EU1470" s="4"/>
      <c r="EV1470" s="4"/>
    </row>
    <row r="1471" spans="1:152" x14ac:dyDescent="0.15">
      <c r="A1471" s="576"/>
      <c r="EO1471" s="6"/>
      <c r="EP1471" s="6"/>
      <c r="EQ1471" s="6"/>
      <c r="ET1471" s="4"/>
      <c r="EU1471" s="4"/>
      <c r="EV1471" s="4"/>
    </row>
    <row r="1472" spans="1:152" x14ac:dyDescent="0.15">
      <c r="A1472" s="576"/>
      <c r="EO1472" s="6"/>
      <c r="EP1472" s="6"/>
      <c r="EQ1472" s="6"/>
      <c r="ET1472" s="4"/>
      <c r="EU1472" s="4"/>
      <c r="EV1472" s="4"/>
    </row>
    <row r="1473" spans="1:152" x14ac:dyDescent="0.15">
      <c r="A1473" s="576"/>
      <c r="EO1473" s="6"/>
      <c r="EP1473" s="6"/>
      <c r="EQ1473" s="6"/>
      <c r="ET1473" s="4"/>
      <c r="EU1473" s="4"/>
      <c r="EV1473" s="4"/>
    </row>
    <row r="1474" spans="1:152" x14ac:dyDescent="0.15">
      <c r="A1474" s="576"/>
      <c r="EO1474" s="6"/>
      <c r="EP1474" s="6"/>
      <c r="EQ1474" s="6"/>
      <c r="ET1474" s="4"/>
      <c r="EU1474" s="4"/>
      <c r="EV1474" s="4"/>
    </row>
    <row r="1475" spans="1:152" x14ac:dyDescent="0.15">
      <c r="A1475" s="576"/>
      <c r="EO1475" s="6"/>
      <c r="EP1475" s="6"/>
      <c r="EQ1475" s="6"/>
      <c r="ET1475" s="4"/>
      <c r="EU1475" s="4"/>
      <c r="EV1475" s="4"/>
    </row>
    <row r="1476" spans="1:152" x14ac:dyDescent="0.15">
      <c r="A1476" s="576"/>
      <c r="EO1476" s="6"/>
      <c r="EP1476" s="6"/>
      <c r="EQ1476" s="6"/>
      <c r="ET1476" s="4"/>
      <c r="EU1476" s="4"/>
      <c r="EV1476" s="4"/>
    </row>
    <row r="1477" spans="1:152" x14ac:dyDescent="0.15">
      <c r="A1477" s="576"/>
      <c r="EO1477" s="6"/>
      <c r="EP1477" s="6"/>
      <c r="EQ1477" s="6"/>
      <c r="ET1477" s="4"/>
      <c r="EU1477" s="4"/>
      <c r="EV1477" s="4"/>
    </row>
    <row r="1478" spans="1:152" x14ac:dyDescent="0.15">
      <c r="A1478" s="576"/>
      <c r="EO1478" s="6"/>
      <c r="EP1478" s="6"/>
      <c r="EQ1478" s="6"/>
      <c r="ET1478" s="4"/>
      <c r="EU1478" s="4"/>
      <c r="EV1478" s="4"/>
    </row>
    <row r="1479" spans="1:152" x14ac:dyDescent="0.15">
      <c r="A1479" s="576"/>
      <c r="EO1479" s="6"/>
      <c r="EP1479" s="6"/>
      <c r="EQ1479" s="6"/>
      <c r="ET1479" s="4"/>
      <c r="EU1479" s="4"/>
      <c r="EV1479" s="4"/>
    </row>
    <row r="1480" spans="1:152" x14ac:dyDescent="0.15">
      <c r="A1480" s="576"/>
      <c r="EO1480" s="6"/>
      <c r="EP1480" s="6"/>
      <c r="EQ1480" s="6"/>
      <c r="ET1480" s="4"/>
      <c r="EU1480" s="4"/>
      <c r="EV1480" s="4"/>
    </row>
    <row r="1481" spans="1:152" x14ac:dyDescent="0.15">
      <c r="A1481" s="576"/>
      <c r="EO1481" s="6"/>
      <c r="EP1481" s="6"/>
      <c r="EQ1481" s="6"/>
      <c r="ET1481" s="4"/>
      <c r="EU1481" s="4"/>
      <c r="EV1481" s="4"/>
    </row>
    <row r="1482" spans="1:152" x14ac:dyDescent="0.15">
      <c r="A1482" s="576"/>
      <c r="EO1482" s="6"/>
      <c r="EP1482" s="6"/>
      <c r="EQ1482" s="6"/>
      <c r="ET1482" s="4"/>
      <c r="EU1482" s="4"/>
      <c r="EV1482" s="4"/>
    </row>
    <row r="1483" spans="1:152" x14ac:dyDescent="0.15">
      <c r="A1483" s="576"/>
      <c r="EO1483" s="6"/>
      <c r="EP1483" s="6"/>
      <c r="EQ1483" s="6"/>
      <c r="ET1483" s="4"/>
      <c r="EU1483" s="4"/>
      <c r="EV1483" s="4"/>
    </row>
    <row r="1484" spans="1:152" x14ac:dyDescent="0.15">
      <c r="A1484" s="576"/>
      <c r="EO1484" s="6"/>
      <c r="EP1484" s="6"/>
      <c r="EQ1484" s="6"/>
      <c r="ET1484" s="4"/>
      <c r="EU1484" s="4"/>
      <c r="EV1484" s="4"/>
    </row>
    <row r="1485" spans="1:152" x14ac:dyDescent="0.15">
      <c r="A1485" s="576"/>
      <c r="EO1485" s="6"/>
      <c r="EP1485" s="6"/>
      <c r="EQ1485" s="6"/>
      <c r="ET1485" s="4"/>
      <c r="EU1485" s="4"/>
      <c r="EV1485" s="4"/>
    </row>
    <row r="1486" spans="1:152" x14ac:dyDescent="0.15">
      <c r="A1486" s="576"/>
      <c r="EO1486" s="6"/>
      <c r="EP1486" s="6"/>
      <c r="EQ1486" s="6"/>
      <c r="ET1486" s="4"/>
      <c r="EU1486" s="4"/>
      <c r="EV1486" s="4"/>
    </row>
    <row r="1487" spans="1:152" x14ac:dyDescent="0.15">
      <c r="A1487" s="576"/>
      <c r="EO1487" s="6"/>
      <c r="EP1487" s="6"/>
      <c r="EQ1487" s="6"/>
      <c r="ET1487" s="4"/>
      <c r="EU1487" s="4"/>
      <c r="EV1487" s="4"/>
    </row>
    <row r="1488" spans="1:152" x14ac:dyDescent="0.15">
      <c r="A1488" s="576"/>
      <c r="EO1488" s="6"/>
      <c r="EP1488" s="6"/>
      <c r="EQ1488" s="6"/>
      <c r="ET1488" s="4"/>
      <c r="EU1488" s="4"/>
      <c r="EV1488" s="4"/>
    </row>
    <row r="1489" spans="1:152" x14ac:dyDescent="0.15">
      <c r="A1489" s="576"/>
      <c r="EO1489" s="6"/>
      <c r="EP1489" s="6"/>
      <c r="EQ1489" s="6"/>
      <c r="ET1489" s="4"/>
      <c r="EU1489" s="4"/>
      <c r="EV1489" s="4"/>
    </row>
    <row r="1490" spans="1:152" x14ac:dyDescent="0.15">
      <c r="A1490" s="576"/>
      <c r="EO1490" s="6"/>
      <c r="EP1490" s="6"/>
      <c r="EQ1490" s="6"/>
      <c r="ET1490" s="4"/>
      <c r="EU1490" s="4"/>
      <c r="EV1490" s="4"/>
    </row>
    <row r="1491" spans="1:152" x14ac:dyDescent="0.15">
      <c r="A1491" s="576"/>
      <c r="EO1491" s="6"/>
      <c r="EP1491" s="6"/>
      <c r="EQ1491" s="6"/>
      <c r="ET1491" s="4"/>
      <c r="EU1491" s="4"/>
      <c r="EV1491" s="4"/>
    </row>
    <row r="1492" spans="1:152" x14ac:dyDescent="0.15">
      <c r="A1492" s="576"/>
      <c r="EO1492" s="6"/>
      <c r="EP1492" s="6"/>
      <c r="EQ1492" s="6"/>
      <c r="ET1492" s="4"/>
      <c r="EU1492" s="4"/>
      <c r="EV1492" s="4"/>
    </row>
    <row r="1493" spans="1:152" x14ac:dyDescent="0.15">
      <c r="A1493" s="576"/>
      <c r="EO1493" s="6"/>
      <c r="EP1493" s="6"/>
      <c r="EQ1493" s="6"/>
      <c r="ET1493" s="4"/>
      <c r="EU1493" s="4"/>
      <c r="EV1493" s="4"/>
    </row>
    <row r="1494" spans="1:152" x14ac:dyDescent="0.15">
      <c r="A1494" s="576"/>
      <c r="EO1494" s="6"/>
      <c r="EP1494" s="6"/>
      <c r="EQ1494" s="6"/>
      <c r="ET1494" s="4"/>
      <c r="EU1494" s="4"/>
      <c r="EV1494" s="4"/>
    </row>
    <row r="1495" spans="1:152" x14ac:dyDescent="0.15">
      <c r="A1495" s="576"/>
      <c r="EO1495" s="6"/>
      <c r="EP1495" s="6"/>
      <c r="EQ1495" s="6"/>
      <c r="ET1495" s="4"/>
      <c r="EU1495" s="4"/>
      <c r="EV1495" s="4"/>
    </row>
    <row r="1496" spans="1:152" x14ac:dyDescent="0.15">
      <c r="A1496" s="576"/>
      <c r="EO1496" s="6"/>
      <c r="EP1496" s="6"/>
      <c r="EQ1496" s="6"/>
      <c r="ET1496" s="4"/>
      <c r="EU1496" s="4"/>
      <c r="EV1496" s="4"/>
    </row>
    <row r="1497" spans="1:152" x14ac:dyDescent="0.15">
      <c r="A1497" s="576"/>
      <c r="EO1497" s="6"/>
      <c r="EP1497" s="6"/>
      <c r="EQ1497" s="6"/>
      <c r="ET1497" s="4"/>
      <c r="EU1497" s="4"/>
      <c r="EV1497" s="4"/>
    </row>
    <row r="1498" spans="1:152" x14ac:dyDescent="0.15">
      <c r="A1498" s="576"/>
      <c r="EO1498" s="6"/>
      <c r="EP1498" s="6"/>
      <c r="EQ1498" s="6"/>
      <c r="ET1498" s="4"/>
      <c r="EU1498" s="4"/>
      <c r="EV1498" s="4"/>
    </row>
    <row r="1499" spans="1:152" x14ac:dyDescent="0.15">
      <c r="A1499" s="576"/>
      <c r="EO1499" s="6"/>
      <c r="EP1499" s="6"/>
      <c r="EQ1499" s="6"/>
      <c r="ET1499" s="4"/>
      <c r="EU1499" s="4"/>
      <c r="EV1499" s="4"/>
    </row>
    <row r="1500" spans="1:152" x14ac:dyDescent="0.15">
      <c r="A1500" s="576"/>
      <c r="EO1500" s="6"/>
      <c r="EP1500" s="6"/>
      <c r="EQ1500" s="6"/>
      <c r="ET1500" s="4"/>
      <c r="EU1500" s="4"/>
      <c r="EV1500" s="4"/>
    </row>
    <row r="1501" spans="1:152" x14ac:dyDescent="0.15">
      <c r="A1501" s="576"/>
      <c r="EO1501" s="6"/>
      <c r="EP1501" s="6"/>
      <c r="EQ1501" s="6"/>
      <c r="ET1501" s="4"/>
      <c r="EU1501" s="4"/>
      <c r="EV1501" s="4"/>
    </row>
    <row r="1502" spans="1:152" x14ac:dyDescent="0.15">
      <c r="A1502" s="576"/>
      <c r="EO1502" s="6"/>
      <c r="EP1502" s="6"/>
      <c r="EQ1502" s="6"/>
      <c r="ET1502" s="4"/>
      <c r="EU1502" s="4"/>
      <c r="EV1502" s="4"/>
    </row>
    <row r="1503" spans="1:152" x14ac:dyDescent="0.15">
      <c r="A1503" s="576"/>
      <c r="EO1503" s="6"/>
      <c r="EP1503" s="6"/>
      <c r="EQ1503" s="6"/>
      <c r="ET1503" s="4"/>
      <c r="EU1503" s="4"/>
      <c r="EV1503" s="4"/>
    </row>
    <row r="1504" spans="1:152" x14ac:dyDescent="0.15">
      <c r="A1504" s="576"/>
      <c r="EO1504" s="6"/>
      <c r="EP1504" s="6"/>
      <c r="EQ1504" s="6"/>
      <c r="ET1504" s="4"/>
      <c r="EU1504" s="4"/>
      <c r="EV1504" s="4"/>
    </row>
    <row r="1505" spans="1:152" x14ac:dyDescent="0.15">
      <c r="A1505" s="576"/>
      <c r="EO1505" s="6"/>
      <c r="EP1505" s="6"/>
      <c r="EQ1505" s="6"/>
      <c r="ET1505" s="4"/>
      <c r="EU1505" s="4"/>
      <c r="EV1505" s="4"/>
    </row>
    <row r="1506" spans="1:152" x14ac:dyDescent="0.15">
      <c r="A1506" s="576"/>
      <c r="EO1506" s="6"/>
      <c r="EP1506" s="6"/>
      <c r="EQ1506" s="6"/>
      <c r="ET1506" s="4"/>
      <c r="EU1506" s="4"/>
      <c r="EV1506" s="4"/>
    </row>
    <row r="1507" spans="1:152" x14ac:dyDescent="0.15">
      <c r="A1507" s="576"/>
      <c r="EO1507" s="6"/>
      <c r="EP1507" s="6"/>
      <c r="EQ1507" s="6"/>
      <c r="ET1507" s="4"/>
      <c r="EU1507" s="4"/>
      <c r="EV1507" s="4"/>
    </row>
    <row r="1508" spans="1:152" x14ac:dyDescent="0.15">
      <c r="A1508" s="576"/>
      <c r="EO1508" s="6"/>
      <c r="EP1508" s="6"/>
      <c r="EQ1508" s="6"/>
      <c r="ET1508" s="4"/>
      <c r="EU1508" s="4"/>
      <c r="EV1508" s="4"/>
    </row>
    <row r="1509" spans="1:152" x14ac:dyDescent="0.15">
      <c r="A1509" s="576"/>
      <c r="EO1509" s="6"/>
      <c r="EP1509" s="6"/>
      <c r="EQ1509" s="6"/>
      <c r="ET1509" s="4"/>
      <c r="EU1509" s="4"/>
      <c r="EV1509" s="4"/>
    </row>
    <row r="1510" spans="1:152" x14ac:dyDescent="0.15">
      <c r="A1510" s="576"/>
      <c r="EO1510" s="6"/>
      <c r="EP1510" s="6"/>
      <c r="EQ1510" s="6"/>
      <c r="ET1510" s="4"/>
      <c r="EU1510" s="4"/>
      <c r="EV1510" s="4"/>
    </row>
    <row r="1511" spans="1:152" x14ac:dyDescent="0.15">
      <c r="A1511" s="576"/>
      <c r="EO1511" s="6"/>
      <c r="EP1511" s="6"/>
      <c r="EQ1511" s="6"/>
      <c r="ET1511" s="4"/>
      <c r="EU1511" s="4"/>
      <c r="EV1511" s="4"/>
    </row>
    <row r="1512" spans="1:152" x14ac:dyDescent="0.15">
      <c r="A1512" s="576"/>
      <c r="EO1512" s="6"/>
      <c r="EP1512" s="6"/>
      <c r="EQ1512" s="6"/>
      <c r="ET1512" s="4"/>
      <c r="EU1512" s="4"/>
      <c r="EV1512" s="4"/>
    </row>
    <row r="1513" spans="1:152" x14ac:dyDescent="0.15">
      <c r="A1513" s="576"/>
      <c r="EO1513" s="6"/>
      <c r="EP1513" s="6"/>
      <c r="EQ1513" s="6"/>
      <c r="ET1513" s="4"/>
      <c r="EU1513" s="4"/>
      <c r="EV1513" s="4"/>
    </row>
    <row r="1514" spans="1:152" x14ac:dyDescent="0.15">
      <c r="A1514" s="576"/>
      <c r="EO1514" s="6"/>
      <c r="EP1514" s="6"/>
      <c r="EQ1514" s="6"/>
      <c r="ET1514" s="4"/>
      <c r="EU1514" s="4"/>
      <c r="EV1514" s="4"/>
    </row>
    <row r="1515" spans="1:152" x14ac:dyDescent="0.15">
      <c r="A1515" s="576"/>
      <c r="EO1515" s="6"/>
      <c r="EP1515" s="6"/>
      <c r="EQ1515" s="6"/>
      <c r="ET1515" s="4"/>
      <c r="EU1515" s="4"/>
      <c r="EV1515" s="4"/>
    </row>
    <row r="1516" spans="1:152" x14ac:dyDescent="0.15">
      <c r="A1516" s="576"/>
      <c r="EO1516" s="6"/>
      <c r="EP1516" s="6"/>
      <c r="EQ1516" s="6"/>
      <c r="ET1516" s="4"/>
      <c r="EU1516" s="4"/>
      <c r="EV1516" s="4"/>
    </row>
    <row r="1517" spans="1:152" x14ac:dyDescent="0.15">
      <c r="A1517" s="576"/>
      <c r="EO1517" s="6"/>
      <c r="EP1517" s="6"/>
      <c r="EQ1517" s="6"/>
      <c r="ET1517" s="4"/>
      <c r="EU1517" s="4"/>
      <c r="EV1517" s="4"/>
    </row>
    <row r="1518" spans="1:152" x14ac:dyDescent="0.15">
      <c r="A1518" s="576"/>
      <c r="EO1518" s="6"/>
      <c r="EP1518" s="6"/>
      <c r="EQ1518" s="6"/>
      <c r="ET1518" s="4"/>
      <c r="EU1518" s="4"/>
      <c r="EV1518" s="4"/>
    </row>
    <row r="1519" spans="1:152" x14ac:dyDescent="0.15">
      <c r="A1519" s="576"/>
      <c r="EO1519" s="6"/>
      <c r="EP1519" s="6"/>
      <c r="EQ1519" s="6"/>
      <c r="ET1519" s="4"/>
      <c r="EU1519" s="4"/>
      <c r="EV1519" s="4"/>
    </row>
    <row r="1520" spans="1:152" x14ac:dyDescent="0.15">
      <c r="A1520" s="576"/>
      <c r="EO1520" s="6"/>
      <c r="EP1520" s="6"/>
      <c r="EQ1520" s="6"/>
      <c r="ET1520" s="4"/>
      <c r="EU1520" s="4"/>
      <c r="EV1520" s="4"/>
    </row>
    <row r="1521" spans="1:152" x14ac:dyDescent="0.15">
      <c r="A1521" s="576"/>
      <c r="EO1521" s="6"/>
      <c r="EP1521" s="6"/>
      <c r="EQ1521" s="6"/>
      <c r="ET1521" s="4"/>
      <c r="EU1521" s="4"/>
      <c r="EV1521" s="4"/>
    </row>
    <row r="1522" spans="1:152" x14ac:dyDescent="0.15">
      <c r="A1522" s="576"/>
      <c r="EO1522" s="6"/>
      <c r="EP1522" s="6"/>
      <c r="EQ1522" s="6"/>
      <c r="ET1522" s="4"/>
      <c r="EU1522" s="4"/>
      <c r="EV1522" s="4"/>
    </row>
    <row r="1523" spans="1:152" x14ac:dyDescent="0.15">
      <c r="A1523" s="576"/>
      <c r="EO1523" s="6"/>
      <c r="EP1523" s="6"/>
      <c r="EQ1523" s="6"/>
      <c r="ET1523" s="4"/>
      <c r="EU1523" s="4"/>
      <c r="EV1523" s="4"/>
    </row>
    <row r="1524" spans="1:152" x14ac:dyDescent="0.15">
      <c r="A1524" s="576"/>
      <c r="EO1524" s="6"/>
      <c r="EP1524" s="6"/>
      <c r="EQ1524" s="6"/>
      <c r="ET1524" s="4"/>
      <c r="EU1524" s="4"/>
      <c r="EV1524" s="4"/>
    </row>
    <row r="1525" spans="1:152" x14ac:dyDescent="0.15">
      <c r="A1525" s="576"/>
      <c r="EO1525" s="6"/>
      <c r="EP1525" s="6"/>
      <c r="EQ1525" s="6"/>
      <c r="ET1525" s="4"/>
      <c r="EU1525" s="4"/>
      <c r="EV1525" s="4"/>
    </row>
    <row r="1526" spans="1:152" x14ac:dyDescent="0.15">
      <c r="A1526" s="576"/>
      <c r="EO1526" s="6"/>
      <c r="EP1526" s="6"/>
      <c r="EQ1526" s="6"/>
      <c r="ET1526" s="4"/>
      <c r="EU1526" s="4"/>
      <c r="EV1526" s="4"/>
    </row>
    <row r="1527" spans="1:152" x14ac:dyDescent="0.15">
      <c r="A1527" s="576"/>
      <c r="EO1527" s="6"/>
      <c r="EP1527" s="6"/>
      <c r="EQ1527" s="6"/>
      <c r="ET1527" s="4"/>
      <c r="EU1527" s="4"/>
      <c r="EV1527" s="4"/>
    </row>
    <row r="1528" spans="1:152" x14ac:dyDescent="0.15">
      <c r="A1528" s="576"/>
      <c r="EO1528" s="6"/>
      <c r="EP1528" s="6"/>
      <c r="EQ1528" s="6"/>
      <c r="ET1528" s="4"/>
      <c r="EU1528" s="4"/>
      <c r="EV1528" s="4"/>
    </row>
    <row r="1529" spans="1:152" x14ac:dyDescent="0.15">
      <c r="A1529" s="576"/>
      <c r="EO1529" s="6"/>
      <c r="EP1529" s="6"/>
      <c r="EQ1529" s="6"/>
      <c r="ET1529" s="4"/>
      <c r="EU1529" s="4"/>
      <c r="EV1529" s="4"/>
    </row>
    <row r="1530" spans="1:152" x14ac:dyDescent="0.15">
      <c r="A1530" s="576"/>
      <c r="EO1530" s="6"/>
      <c r="EP1530" s="6"/>
      <c r="EQ1530" s="6"/>
      <c r="ET1530" s="4"/>
      <c r="EU1530" s="4"/>
      <c r="EV1530" s="4"/>
    </row>
    <row r="1531" spans="1:152" x14ac:dyDescent="0.15">
      <c r="A1531" s="576"/>
      <c r="EO1531" s="6"/>
      <c r="EP1531" s="6"/>
      <c r="EQ1531" s="6"/>
      <c r="ET1531" s="4"/>
      <c r="EU1531" s="4"/>
      <c r="EV1531" s="4"/>
    </row>
    <row r="1532" spans="1:152" x14ac:dyDescent="0.15">
      <c r="A1532" s="576"/>
      <c r="EO1532" s="6"/>
      <c r="EP1532" s="6"/>
      <c r="EQ1532" s="6"/>
      <c r="ET1532" s="4"/>
      <c r="EU1532" s="4"/>
      <c r="EV1532" s="4"/>
    </row>
    <row r="1533" spans="1:152" x14ac:dyDescent="0.15">
      <c r="A1533" s="576"/>
      <c r="EO1533" s="6"/>
      <c r="EP1533" s="6"/>
      <c r="EQ1533" s="6"/>
      <c r="ET1533" s="4"/>
      <c r="EU1533" s="4"/>
      <c r="EV1533" s="4"/>
    </row>
    <row r="1534" spans="1:152" x14ac:dyDescent="0.15">
      <c r="A1534" s="576"/>
      <c r="EO1534" s="6"/>
      <c r="EP1534" s="6"/>
      <c r="EQ1534" s="6"/>
      <c r="ET1534" s="4"/>
      <c r="EU1534" s="4"/>
      <c r="EV1534" s="4"/>
    </row>
    <row r="1535" spans="1:152" x14ac:dyDescent="0.15">
      <c r="A1535" s="576"/>
      <c r="EO1535" s="6"/>
      <c r="EP1535" s="6"/>
      <c r="EQ1535" s="6"/>
      <c r="ET1535" s="4"/>
      <c r="EU1535" s="4"/>
      <c r="EV1535" s="4"/>
    </row>
    <row r="1536" spans="1:152" x14ac:dyDescent="0.15">
      <c r="A1536" s="576"/>
      <c r="EO1536" s="6"/>
      <c r="EP1536" s="6"/>
      <c r="EQ1536" s="6"/>
      <c r="ET1536" s="4"/>
      <c r="EU1536" s="4"/>
      <c r="EV1536" s="4"/>
    </row>
    <row r="1537" spans="1:152" x14ac:dyDescent="0.15">
      <c r="A1537" s="576"/>
      <c r="EO1537" s="6"/>
      <c r="EP1537" s="6"/>
      <c r="EQ1537" s="6"/>
      <c r="ET1537" s="4"/>
      <c r="EU1537" s="4"/>
      <c r="EV1537" s="4"/>
    </row>
    <row r="1538" spans="1:152" x14ac:dyDescent="0.15">
      <c r="A1538" s="576"/>
      <c r="EO1538" s="6"/>
      <c r="EP1538" s="6"/>
      <c r="EQ1538" s="6"/>
      <c r="ET1538" s="4"/>
      <c r="EU1538" s="4"/>
      <c r="EV1538" s="4"/>
    </row>
    <row r="1539" spans="1:152" x14ac:dyDescent="0.15">
      <c r="A1539" s="576"/>
      <c r="EO1539" s="6"/>
      <c r="EP1539" s="6"/>
      <c r="EQ1539" s="6"/>
      <c r="ET1539" s="4"/>
      <c r="EU1539" s="4"/>
      <c r="EV1539" s="4"/>
    </row>
    <row r="1540" spans="1:152" x14ac:dyDescent="0.15">
      <c r="A1540" s="576"/>
      <c r="EO1540" s="6"/>
      <c r="EP1540" s="6"/>
      <c r="EQ1540" s="6"/>
      <c r="ET1540" s="4"/>
      <c r="EU1540" s="4"/>
      <c r="EV1540" s="4"/>
    </row>
    <row r="1541" spans="1:152" x14ac:dyDescent="0.15">
      <c r="A1541" s="576"/>
      <c r="EO1541" s="6"/>
      <c r="EP1541" s="6"/>
      <c r="EQ1541" s="6"/>
      <c r="ET1541" s="4"/>
      <c r="EU1541" s="4"/>
      <c r="EV1541" s="4"/>
    </row>
    <row r="1542" spans="1:152" x14ac:dyDescent="0.15">
      <c r="A1542" s="576"/>
      <c r="EO1542" s="6"/>
      <c r="EP1542" s="6"/>
      <c r="EQ1542" s="6"/>
      <c r="ET1542" s="4"/>
      <c r="EU1542" s="4"/>
      <c r="EV1542" s="4"/>
    </row>
    <row r="1543" spans="1:152" x14ac:dyDescent="0.15">
      <c r="A1543" s="576"/>
      <c r="EO1543" s="6"/>
      <c r="EP1543" s="6"/>
      <c r="EQ1543" s="6"/>
      <c r="ET1543" s="4"/>
      <c r="EU1543" s="4"/>
      <c r="EV1543" s="4"/>
    </row>
    <row r="1544" spans="1:152" x14ac:dyDescent="0.15">
      <c r="A1544" s="576"/>
      <c r="EO1544" s="6"/>
      <c r="EP1544" s="6"/>
      <c r="EQ1544" s="6"/>
      <c r="ET1544" s="4"/>
      <c r="EU1544" s="4"/>
      <c r="EV1544" s="4"/>
    </row>
    <row r="1545" spans="1:152" x14ac:dyDescent="0.15">
      <c r="A1545" s="576"/>
      <c r="EO1545" s="6"/>
      <c r="EP1545" s="6"/>
      <c r="EQ1545" s="6"/>
      <c r="ET1545" s="4"/>
      <c r="EU1545" s="4"/>
      <c r="EV1545" s="4"/>
    </row>
    <row r="1546" spans="1:152" x14ac:dyDescent="0.15">
      <c r="A1546" s="576"/>
      <c r="EO1546" s="6"/>
      <c r="EP1546" s="6"/>
      <c r="EQ1546" s="6"/>
      <c r="ET1546" s="4"/>
      <c r="EU1546" s="4"/>
      <c r="EV1546" s="4"/>
    </row>
    <row r="1547" spans="1:152" x14ac:dyDescent="0.15">
      <c r="A1547" s="576"/>
      <c r="EO1547" s="6"/>
      <c r="EP1547" s="6"/>
      <c r="EQ1547" s="6"/>
      <c r="ET1547" s="4"/>
      <c r="EU1547" s="4"/>
      <c r="EV1547" s="4"/>
    </row>
    <row r="1548" spans="1:152" x14ac:dyDescent="0.15">
      <c r="A1548" s="576"/>
      <c r="EO1548" s="6"/>
      <c r="EP1548" s="6"/>
      <c r="EQ1548" s="6"/>
      <c r="ET1548" s="4"/>
      <c r="EU1548" s="4"/>
      <c r="EV1548" s="4"/>
    </row>
    <row r="1549" spans="1:152" x14ac:dyDescent="0.15">
      <c r="A1549" s="576"/>
      <c r="EO1549" s="6"/>
      <c r="EP1549" s="6"/>
      <c r="EQ1549" s="6"/>
      <c r="ET1549" s="4"/>
      <c r="EU1549" s="4"/>
      <c r="EV1549" s="4"/>
    </row>
    <row r="1550" spans="1:152" x14ac:dyDescent="0.15">
      <c r="A1550" s="576"/>
      <c r="EO1550" s="6"/>
      <c r="EP1550" s="6"/>
      <c r="EQ1550" s="6"/>
      <c r="ET1550" s="4"/>
      <c r="EU1550" s="4"/>
      <c r="EV1550" s="4"/>
    </row>
    <row r="1551" spans="1:152" x14ac:dyDescent="0.15">
      <c r="A1551" s="576"/>
      <c r="EO1551" s="6"/>
      <c r="EP1551" s="6"/>
      <c r="EQ1551" s="6"/>
      <c r="ET1551" s="4"/>
      <c r="EU1551" s="4"/>
      <c r="EV1551" s="4"/>
    </row>
    <row r="1552" spans="1:152" x14ac:dyDescent="0.15">
      <c r="A1552" s="576"/>
      <c r="EO1552" s="6"/>
      <c r="EP1552" s="6"/>
      <c r="EQ1552" s="6"/>
      <c r="ET1552" s="4"/>
      <c r="EU1552" s="4"/>
      <c r="EV1552" s="4"/>
    </row>
    <row r="1553" spans="1:152" x14ac:dyDescent="0.15">
      <c r="A1553" s="576"/>
      <c r="EO1553" s="6"/>
      <c r="EP1553" s="6"/>
      <c r="EQ1553" s="6"/>
      <c r="ET1553" s="4"/>
      <c r="EU1553" s="4"/>
      <c r="EV1553" s="4"/>
    </row>
    <row r="1554" spans="1:152" x14ac:dyDescent="0.15">
      <c r="A1554" s="576"/>
      <c r="EO1554" s="6"/>
      <c r="EP1554" s="6"/>
      <c r="EQ1554" s="6"/>
      <c r="ET1554" s="4"/>
      <c r="EU1554" s="4"/>
      <c r="EV1554" s="4"/>
    </row>
    <row r="1555" spans="1:152" x14ac:dyDescent="0.15">
      <c r="A1555" s="576"/>
      <c r="EO1555" s="6"/>
      <c r="EP1555" s="6"/>
      <c r="EQ1555" s="6"/>
      <c r="ET1555" s="4"/>
      <c r="EU1555" s="4"/>
      <c r="EV1555" s="4"/>
    </row>
    <row r="1556" spans="1:152" x14ac:dyDescent="0.15">
      <c r="A1556" s="576"/>
      <c r="EO1556" s="6"/>
      <c r="EP1556" s="6"/>
      <c r="EQ1556" s="6"/>
      <c r="ET1556" s="4"/>
      <c r="EU1556" s="4"/>
      <c r="EV1556" s="4"/>
    </row>
    <row r="1557" spans="1:152" x14ac:dyDescent="0.15">
      <c r="A1557" s="576"/>
      <c r="EO1557" s="6"/>
      <c r="EP1557" s="6"/>
      <c r="EQ1557" s="6"/>
      <c r="ET1557" s="4"/>
      <c r="EU1557" s="4"/>
      <c r="EV1557" s="4"/>
    </row>
    <row r="1558" spans="1:152" x14ac:dyDescent="0.15">
      <c r="A1558" s="576"/>
      <c r="EO1558" s="6"/>
      <c r="EP1558" s="6"/>
      <c r="EQ1558" s="6"/>
      <c r="ET1558" s="4"/>
      <c r="EU1558" s="4"/>
      <c r="EV1558" s="4"/>
    </row>
    <row r="1559" spans="1:152" x14ac:dyDescent="0.15">
      <c r="A1559" s="576"/>
      <c r="EO1559" s="6"/>
      <c r="EP1559" s="6"/>
      <c r="EQ1559" s="6"/>
      <c r="ET1559" s="4"/>
      <c r="EU1559" s="4"/>
      <c r="EV1559" s="4"/>
    </row>
    <row r="1560" spans="1:152" x14ac:dyDescent="0.15">
      <c r="A1560" s="576"/>
      <c r="EO1560" s="6"/>
      <c r="EP1560" s="6"/>
      <c r="EQ1560" s="6"/>
      <c r="ET1560" s="4"/>
      <c r="EU1560" s="4"/>
      <c r="EV1560" s="4"/>
    </row>
    <row r="1561" spans="1:152" x14ac:dyDescent="0.15">
      <c r="A1561" s="576"/>
      <c r="EO1561" s="6"/>
      <c r="EP1561" s="6"/>
      <c r="EQ1561" s="6"/>
      <c r="ET1561" s="4"/>
      <c r="EU1561" s="4"/>
      <c r="EV1561" s="4"/>
    </row>
    <row r="1562" spans="1:152" x14ac:dyDescent="0.15">
      <c r="A1562" s="576"/>
      <c r="EO1562" s="6"/>
      <c r="EP1562" s="6"/>
      <c r="EQ1562" s="6"/>
      <c r="ET1562" s="4"/>
      <c r="EU1562" s="4"/>
      <c r="EV1562" s="4"/>
    </row>
    <row r="1563" spans="1:152" x14ac:dyDescent="0.15">
      <c r="A1563" s="576"/>
      <c r="EO1563" s="6"/>
      <c r="EP1563" s="6"/>
      <c r="EQ1563" s="6"/>
      <c r="ET1563" s="4"/>
      <c r="EU1563" s="4"/>
      <c r="EV1563" s="4"/>
    </row>
    <row r="1564" spans="1:152" x14ac:dyDescent="0.15">
      <c r="A1564" s="576"/>
      <c r="EO1564" s="6"/>
      <c r="EP1564" s="6"/>
      <c r="EQ1564" s="6"/>
      <c r="ET1564" s="4"/>
      <c r="EU1564" s="4"/>
      <c r="EV1564" s="4"/>
    </row>
    <row r="1565" spans="1:152" x14ac:dyDescent="0.15">
      <c r="A1565" s="576"/>
      <c r="EO1565" s="6"/>
      <c r="EP1565" s="6"/>
      <c r="EQ1565" s="6"/>
      <c r="ET1565" s="4"/>
      <c r="EU1565" s="4"/>
      <c r="EV1565" s="4"/>
    </row>
    <row r="1566" spans="1:152" x14ac:dyDescent="0.15">
      <c r="A1566" s="576"/>
      <c r="EO1566" s="6"/>
      <c r="EP1566" s="6"/>
      <c r="EQ1566" s="6"/>
      <c r="ET1566" s="4"/>
      <c r="EU1566" s="4"/>
      <c r="EV1566" s="4"/>
    </row>
    <row r="1567" spans="1:152" x14ac:dyDescent="0.15">
      <c r="A1567" s="576"/>
      <c r="EO1567" s="6"/>
      <c r="EP1567" s="6"/>
      <c r="EQ1567" s="6"/>
      <c r="ET1567" s="4"/>
      <c r="EU1567" s="4"/>
      <c r="EV1567" s="4"/>
    </row>
    <row r="1568" spans="1:152" x14ac:dyDescent="0.15">
      <c r="A1568" s="576"/>
      <c r="EO1568" s="6"/>
      <c r="EP1568" s="6"/>
      <c r="EQ1568" s="6"/>
      <c r="ET1568" s="4"/>
      <c r="EU1568" s="4"/>
      <c r="EV1568" s="4"/>
    </row>
    <row r="1569" spans="1:152" x14ac:dyDescent="0.15">
      <c r="A1569" s="576"/>
      <c r="EO1569" s="6"/>
      <c r="EP1569" s="6"/>
      <c r="EQ1569" s="6"/>
      <c r="ET1569" s="4"/>
      <c r="EU1569" s="4"/>
      <c r="EV1569" s="4"/>
    </row>
    <row r="1570" spans="1:152" x14ac:dyDescent="0.15">
      <c r="A1570" s="576"/>
      <c r="EO1570" s="6"/>
      <c r="EP1570" s="6"/>
      <c r="EQ1570" s="6"/>
      <c r="ET1570" s="4"/>
      <c r="EU1570" s="4"/>
      <c r="EV1570" s="4"/>
    </row>
    <row r="1571" spans="1:152" x14ac:dyDescent="0.15">
      <c r="A1571" s="576"/>
      <c r="EO1571" s="6"/>
      <c r="EP1571" s="6"/>
      <c r="EQ1571" s="6"/>
      <c r="ET1571" s="4"/>
      <c r="EU1571" s="4"/>
      <c r="EV1571" s="4"/>
    </row>
    <row r="1572" spans="1:152" x14ac:dyDescent="0.15">
      <c r="A1572" s="576"/>
      <c r="EO1572" s="6"/>
      <c r="EP1572" s="6"/>
      <c r="EQ1572" s="6"/>
      <c r="ET1572" s="4"/>
      <c r="EU1572" s="4"/>
      <c r="EV1572" s="4"/>
    </row>
    <row r="1573" spans="1:152" x14ac:dyDescent="0.15">
      <c r="A1573" s="576"/>
      <c r="EO1573" s="6"/>
      <c r="EP1573" s="6"/>
      <c r="EQ1573" s="6"/>
      <c r="ET1573" s="4"/>
      <c r="EU1573" s="4"/>
      <c r="EV1573" s="4"/>
    </row>
    <row r="1574" spans="1:152" x14ac:dyDescent="0.15">
      <c r="A1574" s="576"/>
      <c r="EO1574" s="6"/>
      <c r="EP1574" s="6"/>
      <c r="EQ1574" s="6"/>
      <c r="ET1574" s="4"/>
      <c r="EU1574" s="4"/>
      <c r="EV1574" s="4"/>
    </row>
    <row r="1575" spans="1:152" x14ac:dyDescent="0.15">
      <c r="A1575" s="576"/>
      <c r="EO1575" s="6"/>
      <c r="EP1575" s="6"/>
      <c r="EQ1575" s="6"/>
      <c r="ET1575" s="4"/>
      <c r="EU1575" s="4"/>
      <c r="EV1575" s="4"/>
    </row>
    <row r="1576" spans="1:152" x14ac:dyDescent="0.15">
      <c r="A1576" s="576"/>
      <c r="EO1576" s="6"/>
      <c r="EP1576" s="6"/>
      <c r="EQ1576" s="6"/>
      <c r="ET1576" s="4"/>
      <c r="EU1576" s="4"/>
      <c r="EV1576" s="4"/>
    </row>
    <row r="1577" spans="1:152" x14ac:dyDescent="0.15">
      <c r="A1577" s="576"/>
      <c r="EO1577" s="6"/>
      <c r="EP1577" s="6"/>
      <c r="EQ1577" s="6"/>
      <c r="ET1577" s="4"/>
      <c r="EU1577" s="4"/>
      <c r="EV1577" s="4"/>
    </row>
    <row r="1578" spans="1:152" x14ac:dyDescent="0.15">
      <c r="A1578" s="576"/>
      <c r="EO1578" s="6"/>
      <c r="EP1578" s="6"/>
      <c r="EQ1578" s="6"/>
      <c r="ET1578" s="4"/>
      <c r="EU1578" s="4"/>
      <c r="EV1578" s="4"/>
    </row>
    <row r="1579" spans="1:152" x14ac:dyDescent="0.15">
      <c r="A1579" s="576"/>
      <c r="EO1579" s="6"/>
      <c r="EP1579" s="6"/>
      <c r="EQ1579" s="6"/>
      <c r="ET1579" s="4"/>
      <c r="EU1579" s="4"/>
      <c r="EV1579" s="4"/>
    </row>
    <row r="1580" spans="1:152" x14ac:dyDescent="0.15">
      <c r="A1580" s="576"/>
      <c r="EO1580" s="6"/>
      <c r="EP1580" s="6"/>
      <c r="EQ1580" s="6"/>
      <c r="ET1580" s="4"/>
      <c r="EU1580" s="4"/>
      <c r="EV1580" s="4"/>
    </row>
    <row r="1581" spans="1:152" x14ac:dyDescent="0.15">
      <c r="A1581" s="576"/>
      <c r="EO1581" s="6"/>
      <c r="EP1581" s="6"/>
      <c r="EQ1581" s="6"/>
      <c r="ET1581" s="4"/>
      <c r="EU1581" s="4"/>
      <c r="EV1581" s="4"/>
    </row>
    <row r="1582" spans="1:152" x14ac:dyDescent="0.15">
      <c r="A1582" s="576"/>
      <c r="EO1582" s="6"/>
      <c r="EP1582" s="6"/>
      <c r="EQ1582" s="6"/>
      <c r="ET1582" s="4"/>
      <c r="EU1582" s="4"/>
      <c r="EV1582" s="4"/>
    </row>
    <row r="1583" spans="1:152" x14ac:dyDescent="0.15">
      <c r="A1583" s="576"/>
      <c r="EO1583" s="6"/>
      <c r="EP1583" s="6"/>
      <c r="EQ1583" s="6"/>
      <c r="ET1583" s="4"/>
      <c r="EU1583" s="4"/>
      <c r="EV1583" s="4"/>
    </row>
    <row r="1584" spans="1:152" x14ac:dyDescent="0.15">
      <c r="A1584" s="576"/>
      <c r="EO1584" s="6"/>
      <c r="EP1584" s="6"/>
      <c r="EQ1584" s="6"/>
      <c r="ET1584" s="4"/>
      <c r="EU1584" s="4"/>
      <c r="EV1584" s="4"/>
    </row>
    <row r="1585" spans="1:152" x14ac:dyDescent="0.15">
      <c r="A1585" s="576"/>
      <c r="EO1585" s="6"/>
      <c r="EP1585" s="6"/>
      <c r="EQ1585" s="6"/>
      <c r="ET1585" s="4"/>
      <c r="EU1585" s="4"/>
      <c r="EV1585" s="4"/>
    </row>
    <row r="1586" spans="1:152" x14ac:dyDescent="0.15">
      <c r="A1586" s="576"/>
      <c r="EO1586" s="6"/>
      <c r="EP1586" s="6"/>
      <c r="EQ1586" s="6"/>
      <c r="ET1586" s="4"/>
      <c r="EU1586" s="4"/>
      <c r="EV1586" s="4"/>
    </row>
    <row r="1587" spans="1:152" x14ac:dyDescent="0.15">
      <c r="A1587" s="576"/>
      <c r="EO1587" s="6"/>
      <c r="EP1587" s="6"/>
      <c r="EQ1587" s="6"/>
      <c r="ET1587" s="4"/>
      <c r="EU1587" s="4"/>
      <c r="EV1587" s="4"/>
    </row>
    <row r="1588" spans="1:152" x14ac:dyDescent="0.15">
      <c r="A1588" s="576"/>
      <c r="EO1588" s="6"/>
      <c r="EP1588" s="6"/>
      <c r="EQ1588" s="6"/>
      <c r="ET1588" s="4"/>
      <c r="EU1588" s="4"/>
      <c r="EV1588" s="4"/>
    </row>
    <row r="1589" spans="1:152" x14ac:dyDescent="0.15">
      <c r="A1589" s="576"/>
      <c r="EO1589" s="6"/>
      <c r="EP1589" s="6"/>
      <c r="EQ1589" s="6"/>
      <c r="ET1589" s="4"/>
      <c r="EU1589" s="4"/>
      <c r="EV1589" s="4"/>
    </row>
    <row r="1590" spans="1:152" x14ac:dyDescent="0.15">
      <c r="A1590" s="576"/>
      <c r="EO1590" s="6"/>
      <c r="EP1590" s="6"/>
      <c r="EQ1590" s="6"/>
      <c r="ET1590" s="4"/>
      <c r="EU1590" s="4"/>
      <c r="EV1590" s="4"/>
    </row>
    <row r="1591" spans="1:152" x14ac:dyDescent="0.15">
      <c r="A1591" s="576"/>
      <c r="EO1591" s="6"/>
      <c r="EP1591" s="6"/>
      <c r="EQ1591" s="6"/>
      <c r="ET1591" s="4"/>
      <c r="EU1591" s="4"/>
      <c r="EV1591" s="4"/>
    </row>
    <row r="1592" spans="1:152" x14ac:dyDescent="0.15">
      <c r="A1592" s="576"/>
      <c r="EO1592" s="6"/>
      <c r="EP1592" s="6"/>
      <c r="EQ1592" s="6"/>
      <c r="ET1592" s="4"/>
      <c r="EU1592" s="4"/>
      <c r="EV1592" s="4"/>
    </row>
    <row r="1593" spans="1:152" x14ac:dyDescent="0.15">
      <c r="A1593" s="576"/>
      <c r="EO1593" s="6"/>
      <c r="EP1593" s="6"/>
      <c r="EQ1593" s="6"/>
      <c r="ET1593" s="4"/>
      <c r="EU1593" s="4"/>
      <c r="EV1593" s="4"/>
    </row>
    <row r="1594" spans="1:152" x14ac:dyDescent="0.15">
      <c r="A1594" s="576"/>
      <c r="EO1594" s="6"/>
      <c r="EP1594" s="6"/>
      <c r="EQ1594" s="6"/>
      <c r="ET1594" s="4"/>
      <c r="EU1594" s="4"/>
      <c r="EV1594" s="4"/>
    </row>
    <row r="1595" spans="1:152" x14ac:dyDescent="0.15">
      <c r="A1595" s="576"/>
      <c r="EO1595" s="6"/>
      <c r="EP1595" s="6"/>
      <c r="EQ1595" s="6"/>
      <c r="ET1595" s="4"/>
      <c r="EU1595" s="4"/>
      <c r="EV1595" s="4"/>
    </row>
    <row r="1596" spans="1:152" x14ac:dyDescent="0.15">
      <c r="A1596" s="576"/>
      <c r="EO1596" s="6"/>
      <c r="EP1596" s="6"/>
      <c r="EQ1596" s="6"/>
      <c r="ET1596" s="4"/>
      <c r="EU1596" s="4"/>
      <c r="EV1596" s="4"/>
    </row>
    <row r="1597" spans="1:152" x14ac:dyDescent="0.15">
      <c r="A1597" s="576"/>
      <c r="EO1597" s="6"/>
      <c r="EP1597" s="6"/>
      <c r="EQ1597" s="6"/>
      <c r="ET1597" s="4"/>
      <c r="EU1597" s="4"/>
      <c r="EV1597" s="4"/>
    </row>
    <row r="1598" spans="1:152" x14ac:dyDescent="0.15">
      <c r="A1598" s="576"/>
      <c r="EO1598" s="6"/>
      <c r="EP1598" s="6"/>
      <c r="EQ1598" s="6"/>
      <c r="ET1598" s="4"/>
      <c r="EU1598" s="4"/>
      <c r="EV1598" s="4"/>
    </row>
    <row r="1599" spans="1:152" x14ac:dyDescent="0.15">
      <c r="A1599" s="576"/>
      <c r="EO1599" s="6"/>
      <c r="EP1599" s="6"/>
      <c r="EQ1599" s="6"/>
      <c r="ET1599" s="4"/>
      <c r="EU1599" s="4"/>
      <c r="EV1599" s="4"/>
    </row>
    <row r="1600" spans="1:152" x14ac:dyDescent="0.15">
      <c r="A1600" s="576"/>
      <c r="EO1600" s="6"/>
      <c r="EP1600" s="6"/>
      <c r="EQ1600" s="6"/>
      <c r="ET1600" s="4"/>
      <c r="EU1600" s="4"/>
      <c r="EV1600" s="4"/>
    </row>
    <row r="1601" spans="1:152" x14ac:dyDescent="0.15">
      <c r="A1601" s="576"/>
      <c r="EO1601" s="6"/>
      <c r="EP1601" s="6"/>
      <c r="EQ1601" s="6"/>
      <c r="ET1601" s="4"/>
      <c r="EU1601" s="4"/>
      <c r="EV1601" s="4"/>
    </row>
    <row r="1602" spans="1:152" x14ac:dyDescent="0.15">
      <c r="A1602" s="576"/>
      <c r="EO1602" s="6"/>
      <c r="EP1602" s="6"/>
      <c r="EQ1602" s="6"/>
      <c r="ET1602" s="4"/>
      <c r="EU1602" s="4"/>
      <c r="EV1602" s="4"/>
    </row>
    <row r="1603" spans="1:152" x14ac:dyDescent="0.15">
      <c r="A1603" s="576"/>
      <c r="EO1603" s="6"/>
      <c r="EP1603" s="6"/>
      <c r="EQ1603" s="6"/>
      <c r="ET1603" s="4"/>
      <c r="EU1603" s="4"/>
      <c r="EV1603" s="4"/>
    </row>
    <row r="1604" spans="1:152" x14ac:dyDescent="0.15">
      <c r="A1604" s="576"/>
      <c r="EO1604" s="6"/>
      <c r="EP1604" s="6"/>
      <c r="EQ1604" s="6"/>
      <c r="ET1604" s="4"/>
      <c r="EU1604" s="4"/>
      <c r="EV1604" s="4"/>
    </row>
    <row r="1605" spans="1:152" x14ac:dyDescent="0.15">
      <c r="A1605" s="576"/>
      <c r="EO1605" s="6"/>
      <c r="EP1605" s="6"/>
      <c r="EQ1605" s="6"/>
      <c r="ET1605" s="4"/>
      <c r="EU1605" s="4"/>
      <c r="EV1605" s="4"/>
    </row>
    <row r="1606" spans="1:152" x14ac:dyDescent="0.15">
      <c r="A1606" s="576"/>
      <c r="EO1606" s="6"/>
      <c r="EP1606" s="6"/>
      <c r="EQ1606" s="6"/>
      <c r="ET1606" s="4"/>
      <c r="EU1606" s="4"/>
      <c r="EV1606" s="4"/>
    </row>
    <row r="1607" spans="1:152" x14ac:dyDescent="0.15">
      <c r="A1607" s="576"/>
      <c r="EO1607" s="6"/>
      <c r="EP1607" s="6"/>
      <c r="EQ1607" s="6"/>
      <c r="ET1607" s="4"/>
      <c r="EU1607" s="4"/>
      <c r="EV1607" s="4"/>
    </row>
    <row r="1608" spans="1:152" x14ac:dyDescent="0.15">
      <c r="A1608" s="576"/>
      <c r="EO1608" s="6"/>
      <c r="EP1608" s="6"/>
      <c r="EQ1608" s="6"/>
      <c r="ET1608" s="4"/>
      <c r="EU1608" s="4"/>
      <c r="EV1608" s="4"/>
    </row>
    <row r="1609" spans="1:152" x14ac:dyDescent="0.15">
      <c r="A1609" s="576"/>
      <c r="EO1609" s="6"/>
      <c r="EP1609" s="6"/>
      <c r="EQ1609" s="6"/>
      <c r="ET1609" s="4"/>
      <c r="EU1609" s="4"/>
      <c r="EV1609" s="4"/>
    </row>
    <row r="1610" spans="1:152" x14ac:dyDescent="0.15">
      <c r="A1610" s="576"/>
      <c r="EO1610" s="6"/>
      <c r="EP1610" s="6"/>
      <c r="EQ1610" s="6"/>
      <c r="ET1610" s="4"/>
      <c r="EU1610" s="4"/>
      <c r="EV1610" s="4"/>
    </row>
    <row r="1611" spans="1:152" x14ac:dyDescent="0.15">
      <c r="A1611" s="576"/>
      <c r="EO1611" s="6"/>
      <c r="EP1611" s="6"/>
      <c r="EQ1611" s="6"/>
      <c r="ET1611" s="4"/>
      <c r="EU1611" s="4"/>
      <c r="EV1611" s="4"/>
    </row>
    <row r="1612" spans="1:152" x14ac:dyDescent="0.15">
      <c r="A1612" s="576"/>
      <c r="EO1612" s="6"/>
      <c r="EP1612" s="6"/>
      <c r="EQ1612" s="6"/>
      <c r="ET1612" s="4"/>
      <c r="EU1612" s="4"/>
      <c r="EV1612" s="4"/>
    </row>
    <row r="1613" spans="1:152" x14ac:dyDescent="0.15">
      <c r="A1613" s="576"/>
      <c r="EO1613" s="6"/>
      <c r="EP1613" s="6"/>
      <c r="EQ1613" s="6"/>
      <c r="ET1613" s="4"/>
      <c r="EU1613" s="4"/>
      <c r="EV1613" s="4"/>
    </row>
    <row r="1614" spans="1:152" x14ac:dyDescent="0.15">
      <c r="A1614" s="576"/>
      <c r="EO1614" s="6"/>
      <c r="EP1614" s="6"/>
      <c r="EQ1614" s="6"/>
      <c r="ET1614" s="4"/>
      <c r="EU1614" s="4"/>
      <c r="EV1614" s="4"/>
    </row>
    <row r="1615" spans="1:152" x14ac:dyDescent="0.15">
      <c r="A1615" s="576"/>
      <c r="EO1615" s="6"/>
      <c r="EP1615" s="6"/>
      <c r="EQ1615" s="6"/>
      <c r="ET1615" s="4"/>
      <c r="EU1615" s="4"/>
      <c r="EV1615" s="4"/>
    </row>
    <row r="1616" spans="1:152" x14ac:dyDescent="0.15">
      <c r="A1616" s="576"/>
      <c r="EO1616" s="6"/>
      <c r="EP1616" s="6"/>
      <c r="EQ1616" s="6"/>
      <c r="ET1616" s="4"/>
      <c r="EU1616" s="4"/>
      <c r="EV1616" s="4"/>
    </row>
    <row r="1617" spans="1:152" x14ac:dyDescent="0.15">
      <c r="A1617" s="576"/>
      <c r="EO1617" s="6"/>
      <c r="EP1617" s="6"/>
      <c r="EQ1617" s="6"/>
      <c r="ET1617" s="4"/>
      <c r="EU1617" s="4"/>
      <c r="EV1617" s="4"/>
    </row>
    <row r="1618" spans="1:152" x14ac:dyDescent="0.15">
      <c r="A1618" s="576"/>
      <c r="EO1618" s="6"/>
      <c r="EP1618" s="6"/>
      <c r="EQ1618" s="6"/>
      <c r="ET1618" s="4"/>
      <c r="EU1618" s="4"/>
      <c r="EV1618" s="4"/>
    </row>
    <row r="1619" spans="1:152" x14ac:dyDescent="0.15">
      <c r="A1619" s="576"/>
      <c r="EO1619" s="6"/>
      <c r="EP1619" s="6"/>
      <c r="EQ1619" s="6"/>
      <c r="ET1619" s="4"/>
      <c r="EU1619" s="4"/>
      <c r="EV1619" s="4"/>
    </row>
    <row r="1620" spans="1:152" x14ac:dyDescent="0.15">
      <c r="A1620" s="576"/>
      <c r="EO1620" s="6"/>
      <c r="EP1620" s="6"/>
      <c r="EQ1620" s="6"/>
      <c r="ET1620" s="4"/>
      <c r="EU1620" s="4"/>
      <c r="EV1620" s="4"/>
    </row>
    <row r="1621" spans="1:152" x14ac:dyDescent="0.15">
      <c r="A1621" s="576"/>
      <c r="EO1621" s="6"/>
      <c r="EP1621" s="6"/>
      <c r="EQ1621" s="6"/>
      <c r="ET1621" s="4"/>
      <c r="EU1621" s="4"/>
      <c r="EV1621" s="4"/>
    </row>
    <row r="1622" spans="1:152" x14ac:dyDescent="0.15">
      <c r="A1622" s="576"/>
      <c r="EO1622" s="6"/>
      <c r="EP1622" s="6"/>
      <c r="EQ1622" s="6"/>
      <c r="ET1622" s="4"/>
      <c r="EU1622" s="4"/>
      <c r="EV1622" s="4"/>
    </row>
    <row r="1623" spans="1:152" x14ac:dyDescent="0.15">
      <c r="A1623" s="576"/>
      <c r="EO1623" s="6"/>
      <c r="EP1623" s="6"/>
      <c r="EQ1623" s="6"/>
      <c r="ET1623" s="4"/>
      <c r="EU1623" s="4"/>
      <c r="EV1623" s="4"/>
    </row>
    <row r="1624" spans="1:152" x14ac:dyDescent="0.15">
      <c r="A1624" s="576"/>
      <c r="EO1624" s="6"/>
      <c r="EP1624" s="6"/>
      <c r="EQ1624" s="6"/>
      <c r="ET1624" s="4"/>
      <c r="EU1624" s="4"/>
      <c r="EV1624" s="4"/>
    </row>
    <row r="1625" spans="1:152" x14ac:dyDescent="0.15">
      <c r="A1625" s="576"/>
      <c r="EO1625" s="6"/>
      <c r="EP1625" s="6"/>
      <c r="EQ1625" s="6"/>
      <c r="ET1625" s="4"/>
      <c r="EU1625" s="4"/>
      <c r="EV1625" s="4"/>
    </row>
    <row r="1626" spans="1:152" x14ac:dyDescent="0.15">
      <c r="A1626" s="576"/>
      <c r="EO1626" s="6"/>
      <c r="EP1626" s="6"/>
      <c r="EQ1626" s="6"/>
      <c r="ET1626" s="4"/>
      <c r="EU1626" s="4"/>
      <c r="EV1626" s="4"/>
    </row>
    <row r="1627" spans="1:152" x14ac:dyDescent="0.15">
      <c r="A1627" s="576"/>
      <c r="EO1627" s="6"/>
      <c r="EP1627" s="6"/>
      <c r="EQ1627" s="6"/>
      <c r="ET1627" s="4"/>
      <c r="EU1627" s="4"/>
      <c r="EV1627" s="4"/>
    </row>
    <row r="1628" spans="1:152" x14ac:dyDescent="0.15">
      <c r="A1628" s="576"/>
      <c r="EO1628" s="6"/>
      <c r="EP1628" s="6"/>
      <c r="EQ1628" s="6"/>
      <c r="ET1628" s="4"/>
      <c r="EU1628" s="4"/>
      <c r="EV1628" s="4"/>
    </row>
    <row r="1629" spans="1:152" x14ac:dyDescent="0.15">
      <c r="A1629" s="576"/>
      <c r="EO1629" s="6"/>
      <c r="EP1629" s="6"/>
      <c r="EQ1629" s="6"/>
      <c r="ET1629" s="4"/>
      <c r="EU1629" s="4"/>
      <c r="EV1629" s="4"/>
    </row>
    <row r="1630" spans="1:152" x14ac:dyDescent="0.15">
      <c r="A1630" s="576"/>
      <c r="EO1630" s="6"/>
      <c r="EP1630" s="6"/>
      <c r="EQ1630" s="6"/>
      <c r="ET1630" s="4"/>
      <c r="EU1630" s="4"/>
      <c r="EV1630" s="4"/>
    </row>
    <row r="1631" spans="1:152" x14ac:dyDescent="0.15">
      <c r="A1631" s="576"/>
      <c r="EO1631" s="6"/>
      <c r="EP1631" s="6"/>
      <c r="EQ1631" s="6"/>
      <c r="ET1631" s="4"/>
      <c r="EU1631" s="4"/>
      <c r="EV1631" s="4"/>
    </row>
    <row r="1632" spans="1:152" x14ac:dyDescent="0.15">
      <c r="A1632" s="576"/>
      <c r="EO1632" s="6"/>
      <c r="EP1632" s="6"/>
      <c r="EQ1632" s="6"/>
      <c r="ET1632" s="4"/>
      <c r="EU1632" s="4"/>
      <c r="EV1632" s="4"/>
    </row>
    <row r="1633" spans="1:152" x14ac:dyDescent="0.15">
      <c r="A1633" s="576"/>
      <c r="EO1633" s="6"/>
      <c r="EP1633" s="6"/>
      <c r="EQ1633" s="6"/>
      <c r="ET1633" s="4"/>
      <c r="EU1633" s="4"/>
      <c r="EV1633" s="4"/>
    </row>
    <row r="1634" spans="1:152" x14ac:dyDescent="0.15">
      <c r="A1634" s="576"/>
      <c r="EO1634" s="6"/>
      <c r="EP1634" s="6"/>
      <c r="EQ1634" s="6"/>
      <c r="ET1634" s="4"/>
      <c r="EU1634" s="4"/>
      <c r="EV1634" s="4"/>
    </row>
    <row r="1635" spans="1:152" x14ac:dyDescent="0.15">
      <c r="A1635" s="576"/>
      <c r="EO1635" s="6"/>
      <c r="EP1635" s="6"/>
      <c r="EQ1635" s="6"/>
      <c r="ET1635" s="4"/>
      <c r="EU1635" s="4"/>
      <c r="EV1635" s="4"/>
    </row>
    <row r="1636" spans="1:152" x14ac:dyDescent="0.15">
      <c r="A1636" s="576"/>
      <c r="EO1636" s="6"/>
      <c r="EP1636" s="6"/>
      <c r="EQ1636" s="6"/>
      <c r="ET1636" s="4"/>
      <c r="EU1636" s="4"/>
      <c r="EV1636" s="4"/>
    </row>
    <row r="1637" spans="1:152" x14ac:dyDescent="0.15">
      <c r="A1637" s="576"/>
      <c r="EO1637" s="6"/>
      <c r="EP1637" s="6"/>
      <c r="EQ1637" s="6"/>
      <c r="ET1637" s="4"/>
      <c r="EU1637" s="4"/>
      <c r="EV1637" s="4"/>
    </row>
    <row r="1638" spans="1:152" x14ac:dyDescent="0.15">
      <c r="A1638" s="576"/>
      <c r="EO1638" s="6"/>
      <c r="EP1638" s="6"/>
      <c r="EQ1638" s="6"/>
      <c r="ET1638" s="4"/>
      <c r="EU1638" s="4"/>
      <c r="EV1638" s="4"/>
    </row>
    <row r="1639" spans="1:152" x14ac:dyDescent="0.15">
      <c r="A1639" s="576"/>
      <c r="EO1639" s="6"/>
      <c r="EP1639" s="6"/>
      <c r="EQ1639" s="6"/>
      <c r="ET1639" s="4"/>
      <c r="EU1639" s="4"/>
      <c r="EV1639" s="4"/>
    </row>
    <row r="1640" spans="1:152" x14ac:dyDescent="0.15">
      <c r="A1640" s="576"/>
      <c r="EO1640" s="6"/>
      <c r="EP1640" s="6"/>
      <c r="EQ1640" s="6"/>
      <c r="ET1640" s="4"/>
      <c r="EU1640" s="4"/>
      <c r="EV1640" s="4"/>
    </row>
    <row r="1641" spans="1:152" x14ac:dyDescent="0.15">
      <c r="A1641" s="576"/>
      <c r="EO1641" s="6"/>
      <c r="EP1641" s="6"/>
      <c r="EQ1641" s="6"/>
      <c r="ET1641" s="4"/>
      <c r="EU1641" s="4"/>
      <c r="EV1641" s="4"/>
    </row>
    <row r="1642" spans="1:152" x14ac:dyDescent="0.15">
      <c r="A1642" s="576"/>
      <c r="EO1642" s="6"/>
      <c r="EP1642" s="6"/>
      <c r="EQ1642" s="6"/>
      <c r="ET1642" s="4"/>
      <c r="EU1642" s="4"/>
      <c r="EV1642" s="4"/>
    </row>
    <row r="1643" spans="1:152" x14ac:dyDescent="0.15">
      <c r="A1643" s="576"/>
      <c r="EO1643" s="6"/>
      <c r="EP1643" s="6"/>
      <c r="EQ1643" s="6"/>
      <c r="ET1643" s="4"/>
      <c r="EU1643" s="4"/>
      <c r="EV1643" s="4"/>
    </row>
    <row r="1644" spans="1:152" x14ac:dyDescent="0.15">
      <c r="A1644" s="576"/>
      <c r="EO1644" s="6"/>
      <c r="EP1644" s="6"/>
      <c r="EQ1644" s="6"/>
      <c r="ET1644" s="4"/>
      <c r="EU1644" s="4"/>
      <c r="EV1644" s="4"/>
    </row>
    <row r="1645" spans="1:152" x14ac:dyDescent="0.15">
      <c r="A1645" s="576"/>
      <c r="EO1645" s="6"/>
      <c r="EP1645" s="6"/>
      <c r="EQ1645" s="6"/>
      <c r="ET1645" s="4"/>
      <c r="EU1645" s="4"/>
      <c r="EV1645" s="4"/>
    </row>
    <row r="1646" spans="1:152" x14ac:dyDescent="0.15">
      <c r="A1646" s="576"/>
      <c r="EO1646" s="6"/>
      <c r="EP1646" s="6"/>
      <c r="EQ1646" s="6"/>
      <c r="ET1646" s="4"/>
      <c r="EU1646" s="4"/>
      <c r="EV1646" s="4"/>
    </row>
    <row r="1647" spans="1:152" x14ac:dyDescent="0.15">
      <c r="A1647" s="576"/>
      <c r="EO1647" s="6"/>
      <c r="EP1647" s="6"/>
      <c r="EQ1647" s="6"/>
      <c r="ET1647" s="4"/>
      <c r="EU1647" s="4"/>
      <c r="EV1647" s="4"/>
    </row>
    <row r="1648" spans="1:152" x14ac:dyDescent="0.15">
      <c r="A1648" s="576"/>
      <c r="EO1648" s="6"/>
      <c r="EP1648" s="6"/>
      <c r="EQ1648" s="6"/>
      <c r="ET1648" s="4"/>
      <c r="EU1648" s="4"/>
      <c r="EV1648" s="4"/>
    </row>
    <row r="1649" spans="1:152" x14ac:dyDescent="0.15">
      <c r="A1649" s="576"/>
      <c r="EO1649" s="6"/>
      <c r="EP1649" s="6"/>
      <c r="EQ1649" s="6"/>
      <c r="ET1649" s="4"/>
      <c r="EU1649" s="4"/>
      <c r="EV1649" s="4"/>
    </row>
    <row r="1650" spans="1:152" x14ac:dyDescent="0.15">
      <c r="A1650" s="576"/>
      <c r="EO1650" s="6"/>
      <c r="EP1650" s="6"/>
      <c r="EQ1650" s="6"/>
      <c r="ET1650" s="4"/>
      <c r="EU1650" s="4"/>
      <c r="EV1650" s="4"/>
    </row>
    <row r="1651" spans="1:152" x14ac:dyDescent="0.15">
      <c r="A1651" s="576"/>
      <c r="EO1651" s="6"/>
      <c r="EP1651" s="6"/>
      <c r="EQ1651" s="6"/>
      <c r="ET1651" s="4"/>
      <c r="EU1651" s="4"/>
      <c r="EV1651" s="4"/>
    </row>
    <row r="1652" spans="1:152" x14ac:dyDescent="0.15">
      <c r="A1652" s="576"/>
      <c r="EO1652" s="6"/>
      <c r="EP1652" s="6"/>
      <c r="EQ1652" s="6"/>
      <c r="ET1652" s="4"/>
      <c r="EU1652" s="4"/>
      <c r="EV1652" s="4"/>
    </row>
    <row r="1653" spans="1:152" x14ac:dyDescent="0.15">
      <c r="A1653" s="576"/>
      <c r="EO1653" s="6"/>
      <c r="EP1653" s="6"/>
      <c r="EQ1653" s="6"/>
      <c r="ET1653" s="4"/>
      <c r="EU1653" s="4"/>
      <c r="EV1653" s="4"/>
    </row>
    <row r="1654" spans="1:152" x14ac:dyDescent="0.15">
      <c r="A1654" s="576"/>
      <c r="EO1654" s="6"/>
      <c r="EP1654" s="6"/>
      <c r="EQ1654" s="6"/>
      <c r="ET1654" s="4"/>
      <c r="EU1654" s="4"/>
      <c r="EV1654" s="4"/>
    </row>
    <row r="1655" spans="1:152" x14ac:dyDescent="0.15">
      <c r="A1655" s="576"/>
      <c r="EO1655" s="6"/>
      <c r="EP1655" s="6"/>
      <c r="EQ1655" s="6"/>
      <c r="ET1655" s="4"/>
      <c r="EU1655" s="4"/>
      <c r="EV1655" s="4"/>
    </row>
    <row r="1656" spans="1:152" x14ac:dyDescent="0.15">
      <c r="A1656" s="576"/>
      <c r="EO1656" s="6"/>
      <c r="EP1656" s="6"/>
      <c r="EQ1656" s="6"/>
      <c r="ET1656" s="4"/>
      <c r="EU1656" s="4"/>
      <c r="EV1656" s="4"/>
    </row>
    <row r="1657" spans="1:152" x14ac:dyDescent="0.15">
      <c r="A1657" s="576"/>
      <c r="EO1657" s="6"/>
      <c r="EP1657" s="6"/>
      <c r="EQ1657" s="6"/>
      <c r="ET1657" s="4"/>
      <c r="EU1657" s="4"/>
      <c r="EV1657" s="4"/>
    </row>
    <row r="1658" spans="1:152" x14ac:dyDescent="0.15">
      <c r="A1658" s="576"/>
      <c r="EO1658" s="6"/>
      <c r="EP1658" s="6"/>
      <c r="EQ1658" s="6"/>
      <c r="ET1658" s="4"/>
      <c r="EU1658" s="4"/>
      <c r="EV1658" s="4"/>
    </row>
    <row r="1659" spans="1:152" x14ac:dyDescent="0.15">
      <c r="A1659" s="576"/>
      <c r="EO1659" s="6"/>
      <c r="EP1659" s="6"/>
      <c r="EQ1659" s="6"/>
      <c r="ET1659" s="4"/>
      <c r="EU1659" s="4"/>
      <c r="EV1659" s="4"/>
    </row>
    <row r="1660" spans="1:152" x14ac:dyDescent="0.15">
      <c r="A1660" s="576"/>
      <c r="EO1660" s="6"/>
      <c r="EP1660" s="6"/>
      <c r="EQ1660" s="6"/>
      <c r="ET1660" s="4"/>
      <c r="EU1660" s="4"/>
      <c r="EV1660" s="4"/>
    </row>
    <row r="1661" spans="1:152" x14ac:dyDescent="0.15">
      <c r="A1661" s="576"/>
      <c r="EO1661" s="6"/>
      <c r="EP1661" s="6"/>
      <c r="EQ1661" s="6"/>
      <c r="ET1661" s="4"/>
      <c r="EU1661" s="4"/>
      <c r="EV1661" s="4"/>
    </row>
    <row r="1662" spans="1:152" x14ac:dyDescent="0.15">
      <c r="A1662" s="576"/>
      <c r="EO1662" s="6"/>
      <c r="EP1662" s="6"/>
      <c r="EQ1662" s="6"/>
      <c r="ET1662" s="4"/>
      <c r="EU1662" s="4"/>
      <c r="EV1662" s="4"/>
    </row>
    <row r="1663" spans="1:152" x14ac:dyDescent="0.15">
      <c r="A1663" s="576"/>
      <c r="EO1663" s="6"/>
      <c r="EP1663" s="6"/>
      <c r="EQ1663" s="6"/>
      <c r="ET1663" s="4"/>
      <c r="EU1663" s="4"/>
      <c r="EV1663" s="4"/>
    </row>
    <row r="1664" spans="1:152" x14ac:dyDescent="0.15">
      <c r="A1664" s="576"/>
      <c r="EO1664" s="6"/>
      <c r="EP1664" s="6"/>
      <c r="EQ1664" s="6"/>
      <c r="ET1664" s="4"/>
      <c r="EU1664" s="4"/>
      <c r="EV1664" s="4"/>
    </row>
    <row r="1665" spans="1:152" x14ac:dyDescent="0.15">
      <c r="A1665" s="576"/>
      <c r="EO1665" s="6"/>
      <c r="EP1665" s="6"/>
      <c r="EQ1665" s="6"/>
      <c r="ET1665" s="4"/>
      <c r="EU1665" s="4"/>
      <c r="EV1665" s="4"/>
    </row>
    <row r="1666" spans="1:152" x14ac:dyDescent="0.15">
      <c r="A1666" s="576"/>
      <c r="EO1666" s="6"/>
      <c r="EP1666" s="6"/>
      <c r="EQ1666" s="6"/>
      <c r="ET1666" s="4"/>
      <c r="EU1666" s="4"/>
      <c r="EV1666" s="4"/>
    </row>
    <row r="1667" spans="1:152" x14ac:dyDescent="0.15">
      <c r="A1667" s="576"/>
      <c r="EO1667" s="6"/>
      <c r="EP1667" s="6"/>
      <c r="EQ1667" s="6"/>
      <c r="ET1667" s="4"/>
      <c r="EU1667" s="4"/>
      <c r="EV1667" s="4"/>
    </row>
    <row r="1668" spans="1:152" x14ac:dyDescent="0.15">
      <c r="A1668" s="576"/>
      <c r="EO1668" s="6"/>
      <c r="EP1668" s="6"/>
      <c r="EQ1668" s="6"/>
      <c r="ET1668" s="4"/>
      <c r="EU1668" s="4"/>
      <c r="EV1668" s="4"/>
    </row>
    <row r="1669" spans="1:152" x14ac:dyDescent="0.15">
      <c r="A1669" s="576"/>
      <c r="EO1669" s="6"/>
      <c r="EP1669" s="6"/>
      <c r="EQ1669" s="6"/>
      <c r="ET1669" s="4"/>
      <c r="EU1669" s="4"/>
      <c r="EV1669" s="4"/>
    </row>
    <row r="1670" spans="1:152" x14ac:dyDescent="0.15">
      <c r="A1670" s="576"/>
      <c r="EO1670" s="6"/>
      <c r="EP1670" s="6"/>
      <c r="EQ1670" s="6"/>
      <c r="ET1670" s="4"/>
      <c r="EU1670" s="4"/>
      <c r="EV1670" s="4"/>
    </row>
    <row r="1671" spans="1:152" x14ac:dyDescent="0.15">
      <c r="A1671" s="576"/>
      <c r="EO1671" s="6"/>
      <c r="EP1671" s="6"/>
      <c r="EQ1671" s="6"/>
      <c r="ET1671" s="4"/>
      <c r="EU1671" s="4"/>
      <c r="EV1671" s="4"/>
    </row>
    <row r="1672" spans="1:152" x14ac:dyDescent="0.15">
      <c r="A1672" s="576"/>
      <c r="EO1672" s="6"/>
      <c r="EP1672" s="6"/>
      <c r="EQ1672" s="6"/>
      <c r="ET1672" s="4"/>
      <c r="EU1672" s="4"/>
      <c r="EV1672" s="4"/>
    </row>
    <row r="1673" spans="1:152" x14ac:dyDescent="0.15">
      <c r="A1673" s="576"/>
      <c r="EO1673" s="6"/>
      <c r="EP1673" s="6"/>
      <c r="EQ1673" s="6"/>
      <c r="ET1673" s="4"/>
      <c r="EU1673" s="4"/>
      <c r="EV1673" s="4"/>
    </row>
    <row r="1674" spans="1:152" x14ac:dyDescent="0.15">
      <c r="A1674" s="576"/>
      <c r="EO1674" s="6"/>
      <c r="EP1674" s="6"/>
      <c r="EQ1674" s="6"/>
      <c r="ET1674" s="4"/>
      <c r="EU1674" s="4"/>
      <c r="EV1674" s="4"/>
    </row>
    <row r="1675" spans="1:152" x14ac:dyDescent="0.15">
      <c r="A1675" s="576"/>
      <c r="EO1675" s="6"/>
      <c r="EP1675" s="6"/>
      <c r="EQ1675" s="6"/>
      <c r="ET1675" s="4"/>
      <c r="EU1675" s="4"/>
      <c r="EV1675" s="4"/>
    </row>
    <row r="1676" spans="1:152" x14ac:dyDescent="0.15">
      <c r="A1676" s="576"/>
      <c r="EO1676" s="6"/>
      <c r="EP1676" s="6"/>
      <c r="EQ1676" s="6"/>
      <c r="ET1676" s="4"/>
      <c r="EU1676" s="4"/>
      <c r="EV1676" s="4"/>
    </row>
    <row r="1677" spans="1:152" x14ac:dyDescent="0.15">
      <c r="A1677" s="576"/>
      <c r="EO1677" s="6"/>
      <c r="EP1677" s="6"/>
      <c r="EQ1677" s="6"/>
      <c r="ET1677" s="4"/>
      <c r="EU1677" s="4"/>
      <c r="EV1677" s="4"/>
    </row>
    <row r="1678" spans="1:152" x14ac:dyDescent="0.15">
      <c r="A1678" s="576"/>
      <c r="EO1678" s="6"/>
      <c r="EP1678" s="6"/>
      <c r="EQ1678" s="6"/>
      <c r="ET1678" s="4"/>
      <c r="EU1678" s="4"/>
      <c r="EV1678" s="4"/>
    </row>
    <row r="1679" spans="1:152" x14ac:dyDescent="0.15">
      <c r="A1679" s="576"/>
      <c r="EO1679" s="6"/>
      <c r="EP1679" s="6"/>
      <c r="EQ1679" s="6"/>
      <c r="ET1679" s="4"/>
      <c r="EU1679" s="4"/>
      <c r="EV1679" s="4"/>
    </row>
    <row r="1680" spans="1:152" x14ac:dyDescent="0.15">
      <c r="A1680" s="576"/>
      <c r="EO1680" s="6"/>
      <c r="EP1680" s="6"/>
      <c r="EQ1680" s="6"/>
      <c r="ET1680" s="4"/>
      <c r="EU1680" s="4"/>
      <c r="EV1680" s="4"/>
    </row>
    <row r="1681" spans="1:152" x14ac:dyDescent="0.15">
      <c r="A1681" s="576"/>
      <c r="EO1681" s="6"/>
      <c r="EP1681" s="6"/>
      <c r="EQ1681" s="6"/>
      <c r="ET1681" s="4"/>
      <c r="EU1681" s="4"/>
      <c r="EV1681" s="4"/>
    </row>
    <row r="1682" spans="1:152" x14ac:dyDescent="0.15">
      <c r="A1682" s="576"/>
      <c r="EO1682" s="6"/>
      <c r="EP1682" s="6"/>
      <c r="EQ1682" s="6"/>
      <c r="ET1682" s="4"/>
      <c r="EU1682" s="4"/>
      <c r="EV1682" s="4"/>
    </row>
    <row r="1683" spans="1:152" x14ac:dyDescent="0.15">
      <c r="A1683" s="576"/>
      <c r="EO1683" s="6"/>
      <c r="EP1683" s="6"/>
      <c r="EQ1683" s="6"/>
      <c r="ET1683" s="4"/>
      <c r="EU1683" s="4"/>
      <c r="EV1683" s="4"/>
    </row>
    <row r="1684" spans="1:152" x14ac:dyDescent="0.15">
      <c r="A1684" s="576"/>
      <c r="EO1684" s="6"/>
      <c r="EP1684" s="6"/>
      <c r="EQ1684" s="6"/>
      <c r="ET1684" s="4"/>
      <c r="EU1684" s="4"/>
      <c r="EV1684" s="4"/>
    </row>
    <row r="1685" spans="1:152" x14ac:dyDescent="0.15">
      <c r="A1685" s="576"/>
      <c r="EO1685" s="6"/>
      <c r="EP1685" s="6"/>
      <c r="EQ1685" s="6"/>
      <c r="ET1685" s="4"/>
      <c r="EU1685" s="4"/>
      <c r="EV1685" s="4"/>
    </row>
    <row r="1686" spans="1:152" x14ac:dyDescent="0.15">
      <c r="A1686" s="576"/>
      <c r="EO1686" s="6"/>
      <c r="EP1686" s="6"/>
      <c r="EQ1686" s="6"/>
      <c r="ET1686" s="4"/>
      <c r="EU1686" s="4"/>
      <c r="EV1686" s="4"/>
    </row>
    <row r="1687" spans="1:152" x14ac:dyDescent="0.15">
      <c r="A1687" s="576"/>
      <c r="EO1687" s="6"/>
      <c r="EP1687" s="6"/>
      <c r="EQ1687" s="6"/>
      <c r="ET1687" s="4"/>
      <c r="EU1687" s="4"/>
      <c r="EV1687" s="4"/>
    </row>
    <row r="1688" spans="1:152" x14ac:dyDescent="0.15">
      <c r="A1688" s="576"/>
      <c r="EO1688" s="6"/>
      <c r="EP1688" s="6"/>
      <c r="EQ1688" s="6"/>
      <c r="ET1688" s="4"/>
      <c r="EU1688" s="4"/>
      <c r="EV1688" s="4"/>
    </row>
    <row r="1689" spans="1:152" x14ac:dyDescent="0.15">
      <c r="A1689" s="576"/>
      <c r="EO1689" s="6"/>
      <c r="EP1689" s="6"/>
      <c r="EQ1689" s="6"/>
      <c r="ET1689" s="4"/>
      <c r="EU1689" s="4"/>
      <c r="EV1689" s="4"/>
    </row>
    <row r="1690" spans="1:152" x14ac:dyDescent="0.15">
      <c r="A1690" s="576"/>
      <c r="EO1690" s="6"/>
      <c r="EP1690" s="6"/>
      <c r="EQ1690" s="6"/>
      <c r="ET1690" s="4"/>
      <c r="EU1690" s="4"/>
      <c r="EV1690" s="4"/>
    </row>
    <row r="1691" spans="1:152" x14ac:dyDescent="0.15">
      <c r="A1691" s="576"/>
      <c r="EO1691" s="6"/>
      <c r="EP1691" s="6"/>
      <c r="EQ1691" s="6"/>
      <c r="ET1691" s="4"/>
      <c r="EU1691" s="4"/>
      <c r="EV1691" s="4"/>
    </row>
    <row r="1692" spans="1:152" x14ac:dyDescent="0.15">
      <c r="A1692" s="576"/>
      <c r="EO1692" s="6"/>
      <c r="EP1692" s="6"/>
      <c r="EQ1692" s="6"/>
      <c r="ET1692" s="4"/>
      <c r="EU1692" s="4"/>
      <c r="EV1692" s="4"/>
    </row>
    <row r="1693" spans="1:152" x14ac:dyDescent="0.15">
      <c r="A1693" s="576"/>
      <c r="EO1693" s="6"/>
      <c r="EP1693" s="6"/>
      <c r="EQ1693" s="6"/>
      <c r="ET1693" s="4"/>
      <c r="EU1693" s="4"/>
      <c r="EV1693" s="4"/>
    </row>
    <row r="1694" spans="1:152" x14ac:dyDescent="0.15">
      <c r="A1694" s="576"/>
      <c r="EO1694" s="6"/>
      <c r="EP1694" s="6"/>
      <c r="EQ1694" s="6"/>
      <c r="ET1694" s="4"/>
      <c r="EU1694" s="4"/>
      <c r="EV1694" s="4"/>
    </row>
    <row r="1695" spans="1:152" x14ac:dyDescent="0.15">
      <c r="A1695" s="576"/>
      <c r="EO1695" s="6"/>
      <c r="EP1695" s="6"/>
      <c r="EQ1695" s="6"/>
      <c r="ET1695" s="4"/>
      <c r="EU1695" s="4"/>
      <c r="EV1695" s="4"/>
    </row>
    <row r="1696" spans="1:152" x14ac:dyDescent="0.15">
      <c r="A1696" s="576"/>
      <c r="EO1696" s="6"/>
      <c r="EP1696" s="6"/>
      <c r="EQ1696" s="6"/>
      <c r="ET1696" s="4"/>
      <c r="EU1696" s="4"/>
      <c r="EV1696" s="4"/>
    </row>
    <row r="1697" spans="1:152" x14ac:dyDescent="0.15">
      <c r="A1697" s="576"/>
      <c r="EO1697" s="6"/>
      <c r="EP1697" s="6"/>
      <c r="EQ1697" s="6"/>
      <c r="ET1697" s="4"/>
      <c r="EU1697" s="4"/>
      <c r="EV1697" s="4"/>
    </row>
    <row r="1698" spans="1:152" x14ac:dyDescent="0.15">
      <c r="A1698" s="576"/>
      <c r="EO1698" s="6"/>
      <c r="EP1698" s="6"/>
      <c r="EQ1698" s="6"/>
      <c r="ET1698" s="4"/>
      <c r="EU1698" s="4"/>
      <c r="EV1698" s="4"/>
    </row>
    <row r="1699" spans="1:152" x14ac:dyDescent="0.15">
      <c r="A1699" s="576"/>
      <c r="EO1699" s="6"/>
      <c r="EP1699" s="6"/>
      <c r="EQ1699" s="6"/>
      <c r="ET1699" s="4"/>
      <c r="EU1699" s="4"/>
      <c r="EV1699" s="4"/>
    </row>
    <row r="1700" spans="1:152" x14ac:dyDescent="0.15">
      <c r="A1700" s="576"/>
      <c r="EO1700" s="6"/>
      <c r="EP1700" s="6"/>
      <c r="EQ1700" s="6"/>
      <c r="ET1700" s="4"/>
      <c r="EU1700" s="4"/>
      <c r="EV1700" s="4"/>
    </row>
    <row r="1701" spans="1:152" x14ac:dyDescent="0.15">
      <c r="A1701" s="576"/>
      <c r="EO1701" s="6"/>
      <c r="EP1701" s="6"/>
      <c r="EQ1701" s="6"/>
      <c r="ET1701" s="4"/>
      <c r="EU1701" s="4"/>
      <c r="EV1701" s="4"/>
    </row>
    <row r="1702" spans="1:152" x14ac:dyDescent="0.15">
      <c r="A1702" s="576"/>
      <c r="EO1702" s="6"/>
      <c r="EP1702" s="6"/>
      <c r="EQ1702" s="6"/>
      <c r="ET1702" s="4"/>
      <c r="EU1702" s="4"/>
      <c r="EV1702" s="4"/>
    </row>
    <row r="1703" spans="1:152" x14ac:dyDescent="0.15">
      <c r="A1703" s="576"/>
      <c r="EO1703" s="6"/>
      <c r="EP1703" s="6"/>
      <c r="EQ1703" s="6"/>
      <c r="ET1703" s="4"/>
      <c r="EU1703" s="4"/>
      <c r="EV1703" s="4"/>
    </row>
    <row r="1704" spans="1:152" x14ac:dyDescent="0.15">
      <c r="A1704" s="576"/>
      <c r="EO1704" s="6"/>
      <c r="EP1704" s="6"/>
      <c r="EQ1704" s="6"/>
      <c r="ET1704" s="4"/>
      <c r="EU1704" s="4"/>
      <c r="EV1704" s="4"/>
    </row>
    <row r="1705" spans="1:152" x14ac:dyDescent="0.15">
      <c r="A1705" s="576"/>
      <c r="EO1705" s="6"/>
      <c r="EP1705" s="6"/>
      <c r="EQ1705" s="6"/>
      <c r="ET1705" s="4"/>
      <c r="EU1705" s="4"/>
      <c r="EV1705" s="4"/>
    </row>
    <row r="1706" spans="1:152" x14ac:dyDescent="0.15">
      <c r="A1706" s="576"/>
      <c r="EO1706" s="6"/>
      <c r="EP1706" s="6"/>
      <c r="EQ1706" s="6"/>
      <c r="ET1706" s="4"/>
      <c r="EU1706" s="4"/>
      <c r="EV1706" s="4"/>
    </row>
    <row r="1707" spans="1:152" x14ac:dyDescent="0.15">
      <c r="A1707" s="576"/>
      <c r="EO1707" s="6"/>
      <c r="EP1707" s="6"/>
      <c r="EQ1707" s="6"/>
      <c r="ET1707" s="4"/>
      <c r="EU1707" s="4"/>
      <c r="EV1707" s="4"/>
    </row>
    <row r="1708" spans="1:152" x14ac:dyDescent="0.15">
      <c r="A1708" s="576"/>
      <c r="EO1708" s="6"/>
      <c r="EP1708" s="6"/>
      <c r="EQ1708" s="6"/>
      <c r="ET1708" s="4"/>
      <c r="EU1708" s="4"/>
      <c r="EV1708" s="4"/>
    </row>
    <row r="1709" spans="1:152" x14ac:dyDescent="0.15">
      <c r="A1709" s="576"/>
      <c r="EO1709" s="6"/>
      <c r="EP1709" s="6"/>
      <c r="EQ1709" s="6"/>
      <c r="ET1709" s="4"/>
      <c r="EU1709" s="4"/>
      <c r="EV1709" s="4"/>
    </row>
    <row r="1710" spans="1:152" x14ac:dyDescent="0.15">
      <c r="A1710" s="576"/>
      <c r="EO1710" s="6"/>
      <c r="EP1710" s="6"/>
      <c r="EQ1710" s="6"/>
      <c r="ET1710" s="4"/>
      <c r="EU1710" s="4"/>
      <c r="EV1710" s="4"/>
    </row>
    <row r="1711" spans="1:152" x14ac:dyDescent="0.15">
      <c r="A1711" s="576"/>
      <c r="EO1711" s="6"/>
      <c r="EP1711" s="6"/>
      <c r="EQ1711" s="6"/>
      <c r="ET1711" s="4"/>
      <c r="EU1711" s="4"/>
      <c r="EV1711" s="4"/>
    </row>
    <row r="1712" spans="1:152" x14ac:dyDescent="0.15">
      <c r="A1712" s="576"/>
      <c r="EO1712" s="6"/>
      <c r="EP1712" s="6"/>
      <c r="EQ1712" s="6"/>
      <c r="ET1712" s="4"/>
      <c r="EU1712" s="4"/>
      <c r="EV1712" s="4"/>
    </row>
    <row r="1713" spans="1:152" x14ac:dyDescent="0.15">
      <c r="A1713" s="576"/>
      <c r="EO1713" s="6"/>
      <c r="EP1713" s="6"/>
      <c r="EQ1713" s="6"/>
      <c r="ET1713" s="4"/>
      <c r="EU1713" s="4"/>
      <c r="EV1713" s="4"/>
    </row>
    <row r="1714" spans="1:152" x14ac:dyDescent="0.15">
      <c r="A1714" s="576"/>
      <c r="EO1714" s="6"/>
      <c r="EP1714" s="6"/>
      <c r="EQ1714" s="6"/>
      <c r="ET1714" s="4"/>
      <c r="EU1714" s="4"/>
      <c r="EV1714" s="4"/>
    </row>
    <row r="1715" spans="1:152" x14ac:dyDescent="0.15">
      <c r="A1715" s="576"/>
      <c r="EO1715" s="6"/>
      <c r="EP1715" s="6"/>
      <c r="EQ1715" s="6"/>
      <c r="ET1715" s="4"/>
      <c r="EU1715" s="4"/>
      <c r="EV1715" s="4"/>
    </row>
    <row r="1716" spans="1:152" x14ac:dyDescent="0.15">
      <c r="A1716" s="576"/>
      <c r="EO1716" s="6"/>
      <c r="EP1716" s="6"/>
      <c r="EQ1716" s="6"/>
      <c r="ET1716" s="4"/>
      <c r="EU1716" s="4"/>
      <c r="EV1716" s="4"/>
    </row>
    <row r="1717" spans="1:152" x14ac:dyDescent="0.15">
      <c r="A1717" s="576"/>
      <c r="EO1717" s="6"/>
      <c r="EP1717" s="6"/>
      <c r="EQ1717" s="6"/>
      <c r="ET1717" s="4"/>
      <c r="EU1717" s="4"/>
      <c r="EV1717" s="4"/>
    </row>
    <row r="1718" spans="1:152" x14ac:dyDescent="0.15">
      <c r="A1718" s="576"/>
      <c r="EO1718" s="6"/>
      <c r="EP1718" s="6"/>
      <c r="EQ1718" s="6"/>
      <c r="ET1718" s="4"/>
      <c r="EU1718" s="4"/>
      <c r="EV1718" s="4"/>
    </row>
    <row r="1719" spans="1:152" x14ac:dyDescent="0.15">
      <c r="A1719" s="576"/>
      <c r="EO1719" s="6"/>
      <c r="EP1719" s="6"/>
      <c r="EQ1719" s="6"/>
      <c r="ET1719" s="4"/>
      <c r="EU1719" s="4"/>
      <c r="EV1719" s="4"/>
    </row>
    <row r="1720" spans="1:152" x14ac:dyDescent="0.15">
      <c r="A1720" s="576"/>
      <c r="EO1720" s="6"/>
      <c r="EP1720" s="6"/>
      <c r="EQ1720" s="6"/>
      <c r="ET1720" s="4"/>
      <c r="EU1720" s="4"/>
      <c r="EV1720" s="4"/>
    </row>
    <row r="1721" spans="1:152" x14ac:dyDescent="0.15">
      <c r="A1721" s="576"/>
      <c r="EO1721" s="6"/>
      <c r="EP1721" s="6"/>
      <c r="EQ1721" s="6"/>
      <c r="ET1721" s="4"/>
      <c r="EU1721" s="4"/>
      <c r="EV1721" s="4"/>
    </row>
    <row r="1722" spans="1:152" x14ac:dyDescent="0.15">
      <c r="A1722" s="576"/>
      <c r="EO1722" s="6"/>
      <c r="EP1722" s="6"/>
      <c r="EQ1722" s="6"/>
      <c r="ET1722" s="4"/>
      <c r="EU1722" s="4"/>
      <c r="EV1722" s="4"/>
    </row>
    <row r="1723" spans="1:152" x14ac:dyDescent="0.15">
      <c r="A1723" s="576"/>
      <c r="EO1723" s="6"/>
      <c r="EP1723" s="6"/>
      <c r="EQ1723" s="6"/>
      <c r="ET1723" s="4"/>
      <c r="EU1723" s="4"/>
      <c r="EV1723" s="4"/>
    </row>
    <row r="1724" spans="1:152" x14ac:dyDescent="0.15">
      <c r="A1724" s="576"/>
      <c r="EO1724" s="6"/>
      <c r="EP1724" s="6"/>
      <c r="EQ1724" s="6"/>
      <c r="ET1724" s="4"/>
      <c r="EU1724" s="4"/>
      <c r="EV1724" s="4"/>
    </row>
    <row r="1725" spans="1:152" x14ac:dyDescent="0.15">
      <c r="A1725" s="576"/>
      <c r="EO1725" s="6"/>
      <c r="EP1725" s="6"/>
      <c r="EQ1725" s="6"/>
      <c r="ET1725" s="4"/>
      <c r="EU1725" s="4"/>
      <c r="EV1725" s="4"/>
    </row>
    <row r="1726" spans="1:152" x14ac:dyDescent="0.15">
      <c r="A1726" s="576"/>
      <c r="EO1726" s="6"/>
      <c r="EP1726" s="6"/>
      <c r="EQ1726" s="6"/>
      <c r="ET1726" s="4"/>
      <c r="EU1726" s="4"/>
      <c r="EV1726" s="4"/>
    </row>
    <row r="1727" spans="1:152" x14ac:dyDescent="0.15">
      <c r="A1727" s="576"/>
      <c r="EO1727" s="6"/>
      <c r="EP1727" s="6"/>
      <c r="EQ1727" s="6"/>
      <c r="ET1727" s="4"/>
      <c r="EU1727" s="4"/>
      <c r="EV1727" s="4"/>
    </row>
    <row r="1728" spans="1:152" x14ac:dyDescent="0.15">
      <c r="A1728" s="576"/>
      <c r="EO1728" s="6"/>
      <c r="EP1728" s="6"/>
      <c r="EQ1728" s="6"/>
      <c r="ET1728" s="4"/>
      <c r="EU1728" s="4"/>
      <c r="EV1728" s="4"/>
    </row>
    <row r="1729" spans="1:152" x14ac:dyDescent="0.15">
      <c r="A1729" s="576"/>
      <c r="EO1729" s="6"/>
      <c r="EP1729" s="6"/>
      <c r="EQ1729" s="6"/>
      <c r="ET1729" s="4"/>
      <c r="EU1729" s="4"/>
      <c r="EV1729" s="4"/>
    </row>
    <row r="1730" spans="1:152" x14ac:dyDescent="0.15">
      <c r="A1730" s="576"/>
      <c r="EO1730" s="6"/>
      <c r="EP1730" s="6"/>
      <c r="EQ1730" s="6"/>
      <c r="ET1730" s="4"/>
      <c r="EU1730" s="4"/>
      <c r="EV1730" s="4"/>
    </row>
    <row r="1731" spans="1:152" x14ac:dyDescent="0.15">
      <c r="A1731" s="576"/>
      <c r="EO1731" s="6"/>
      <c r="EP1731" s="6"/>
      <c r="EQ1731" s="6"/>
      <c r="ET1731" s="4"/>
      <c r="EU1731" s="4"/>
      <c r="EV1731" s="4"/>
    </row>
    <row r="1732" spans="1:152" x14ac:dyDescent="0.15">
      <c r="A1732" s="576"/>
      <c r="EO1732" s="6"/>
      <c r="EP1732" s="6"/>
      <c r="EQ1732" s="6"/>
      <c r="ET1732" s="4"/>
      <c r="EU1732" s="4"/>
      <c r="EV1732" s="4"/>
    </row>
    <row r="1733" spans="1:152" x14ac:dyDescent="0.15">
      <c r="A1733" s="576"/>
      <c r="EO1733" s="6"/>
      <c r="EP1733" s="6"/>
      <c r="EQ1733" s="6"/>
      <c r="ET1733" s="4"/>
      <c r="EU1733" s="4"/>
      <c r="EV1733" s="4"/>
    </row>
    <row r="1734" spans="1:152" x14ac:dyDescent="0.15">
      <c r="A1734" s="576"/>
      <c r="EO1734" s="6"/>
      <c r="EP1734" s="6"/>
      <c r="EQ1734" s="6"/>
      <c r="ET1734" s="4"/>
      <c r="EU1734" s="4"/>
      <c r="EV1734" s="4"/>
    </row>
    <row r="1735" spans="1:152" x14ac:dyDescent="0.15">
      <c r="A1735" s="576"/>
      <c r="EO1735" s="6"/>
      <c r="EP1735" s="6"/>
      <c r="EQ1735" s="6"/>
      <c r="ET1735" s="4"/>
      <c r="EU1735" s="4"/>
      <c r="EV1735" s="4"/>
    </row>
    <row r="1736" spans="1:152" x14ac:dyDescent="0.15">
      <c r="A1736" s="576"/>
      <c r="EO1736" s="6"/>
      <c r="EP1736" s="6"/>
      <c r="EQ1736" s="6"/>
      <c r="ET1736" s="4"/>
      <c r="EU1736" s="4"/>
      <c r="EV1736" s="4"/>
    </row>
    <row r="1737" spans="1:152" x14ac:dyDescent="0.15">
      <c r="A1737" s="576"/>
      <c r="EO1737" s="6"/>
      <c r="EP1737" s="6"/>
      <c r="EQ1737" s="6"/>
      <c r="ET1737" s="4"/>
      <c r="EU1737" s="4"/>
      <c r="EV1737" s="4"/>
    </row>
    <row r="1738" spans="1:152" x14ac:dyDescent="0.15">
      <c r="A1738" s="576"/>
      <c r="EO1738" s="6"/>
      <c r="EP1738" s="6"/>
      <c r="EQ1738" s="6"/>
      <c r="ET1738" s="4"/>
      <c r="EU1738" s="4"/>
      <c r="EV1738" s="4"/>
    </row>
    <row r="1739" spans="1:152" x14ac:dyDescent="0.15">
      <c r="A1739" s="576"/>
      <c r="EO1739" s="6"/>
      <c r="EP1739" s="6"/>
      <c r="EQ1739" s="6"/>
      <c r="ET1739" s="4"/>
      <c r="EU1739" s="4"/>
      <c r="EV1739" s="4"/>
    </row>
    <row r="1740" spans="1:152" x14ac:dyDescent="0.15">
      <c r="A1740" s="576"/>
      <c r="EO1740" s="6"/>
      <c r="EP1740" s="6"/>
      <c r="EQ1740" s="6"/>
      <c r="ET1740" s="4"/>
      <c r="EU1740" s="4"/>
      <c r="EV1740" s="4"/>
    </row>
    <row r="1741" spans="1:152" x14ac:dyDescent="0.15">
      <c r="A1741" s="576"/>
      <c r="EO1741" s="6"/>
      <c r="EP1741" s="6"/>
      <c r="EQ1741" s="6"/>
      <c r="ET1741" s="4"/>
      <c r="EU1741" s="4"/>
      <c r="EV1741" s="4"/>
    </row>
    <row r="1742" spans="1:152" x14ac:dyDescent="0.15">
      <c r="A1742" s="576"/>
      <c r="EO1742" s="6"/>
      <c r="EP1742" s="6"/>
      <c r="EQ1742" s="6"/>
      <c r="ET1742" s="4"/>
      <c r="EU1742" s="4"/>
      <c r="EV1742" s="4"/>
    </row>
    <row r="1743" spans="1:152" x14ac:dyDescent="0.15">
      <c r="A1743" s="576"/>
      <c r="EO1743" s="6"/>
      <c r="EP1743" s="6"/>
      <c r="EQ1743" s="6"/>
      <c r="ET1743" s="4"/>
      <c r="EU1743" s="4"/>
      <c r="EV1743" s="4"/>
    </row>
    <row r="1744" spans="1:152" x14ac:dyDescent="0.15">
      <c r="A1744" s="576"/>
      <c r="EO1744" s="6"/>
      <c r="EP1744" s="6"/>
      <c r="EQ1744" s="6"/>
      <c r="ET1744" s="4"/>
      <c r="EU1744" s="4"/>
      <c r="EV1744" s="4"/>
    </row>
    <row r="1745" spans="1:152" x14ac:dyDescent="0.15">
      <c r="A1745" s="576"/>
      <c r="EO1745" s="6"/>
      <c r="EP1745" s="6"/>
      <c r="EQ1745" s="6"/>
      <c r="ET1745" s="4"/>
      <c r="EU1745" s="4"/>
      <c r="EV1745" s="4"/>
    </row>
    <row r="1746" spans="1:152" x14ac:dyDescent="0.15">
      <c r="A1746" s="576"/>
      <c r="EO1746" s="6"/>
      <c r="EP1746" s="6"/>
      <c r="EQ1746" s="6"/>
      <c r="ET1746" s="4"/>
      <c r="EU1746" s="4"/>
      <c r="EV1746" s="4"/>
    </row>
    <row r="1747" spans="1:152" x14ac:dyDescent="0.15">
      <c r="A1747" s="576"/>
      <c r="EO1747" s="6"/>
      <c r="EP1747" s="6"/>
      <c r="EQ1747" s="6"/>
      <c r="ET1747" s="4"/>
      <c r="EU1747" s="4"/>
      <c r="EV1747" s="4"/>
    </row>
    <row r="1748" spans="1:152" x14ac:dyDescent="0.15">
      <c r="A1748" s="576"/>
      <c r="EO1748" s="6"/>
      <c r="EP1748" s="6"/>
      <c r="EQ1748" s="6"/>
      <c r="ET1748" s="4"/>
      <c r="EU1748" s="4"/>
      <c r="EV1748" s="4"/>
    </row>
    <row r="1749" spans="1:152" x14ac:dyDescent="0.15">
      <c r="A1749" s="576"/>
      <c r="EO1749" s="6"/>
      <c r="EP1749" s="6"/>
      <c r="EQ1749" s="6"/>
      <c r="ET1749" s="4"/>
      <c r="EU1749" s="4"/>
      <c r="EV1749" s="4"/>
    </row>
    <row r="1750" spans="1:152" x14ac:dyDescent="0.15">
      <c r="A1750" s="576"/>
      <c r="EO1750" s="6"/>
      <c r="EP1750" s="6"/>
      <c r="EQ1750" s="6"/>
      <c r="ET1750" s="4"/>
      <c r="EU1750" s="4"/>
      <c r="EV1750" s="4"/>
    </row>
    <row r="1751" spans="1:152" x14ac:dyDescent="0.15">
      <c r="A1751" s="576"/>
      <c r="EO1751" s="6"/>
      <c r="EP1751" s="6"/>
      <c r="EQ1751" s="6"/>
      <c r="ET1751" s="4"/>
      <c r="EU1751" s="4"/>
      <c r="EV1751" s="4"/>
    </row>
    <row r="1752" spans="1:152" x14ac:dyDescent="0.15">
      <c r="A1752" s="576"/>
      <c r="EO1752" s="6"/>
      <c r="EP1752" s="6"/>
      <c r="EQ1752" s="6"/>
      <c r="ET1752" s="4"/>
      <c r="EU1752" s="4"/>
      <c r="EV1752" s="4"/>
    </row>
    <row r="1753" spans="1:152" x14ac:dyDescent="0.15">
      <c r="A1753" s="576"/>
      <c r="EO1753" s="6"/>
      <c r="EP1753" s="6"/>
      <c r="EQ1753" s="6"/>
      <c r="ET1753" s="4"/>
      <c r="EU1753" s="4"/>
      <c r="EV1753" s="4"/>
    </row>
    <row r="1754" spans="1:152" x14ac:dyDescent="0.15">
      <c r="A1754" s="576"/>
      <c r="EO1754" s="6"/>
      <c r="EP1754" s="6"/>
      <c r="EQ1754" s="6"/>
      <c r="ET1754" s="4"/>
      <c r="EU1754" s="4"/>
      <c r="EV1754" s="4"/>
    </row>
    <row r="1755" spans="1:152" x14ac:dyDescent="0.15">
      <c r="A1755" s="576"/>
      <c r="EO1755" s="6"/>
      <c r="EP1755" s="6"/>
      <c r="EQ1755" s="6"/>
      <c r="ET1755" s="4"/>
      <c r="EU1755" s="4"/>
      <c r="EV1755" s="4"/>
    </row>
    <row r="1756" spans="1:152" x14ac:dyDescent="0.15">
      <c r="A1756" s="576"/>
      <c r="EO1756" s="6"/>
      <c r="EP1756" s="6"/>
      <c r="EQ1756" s="6"/>
      <c r="ET1756" s="4"/>
      <c r="EU1756" s="4"/>
      <c r="EV1756" s="4"/>
    </row>
    <row r="1757" spans="1:152" x14ac:dyDescent="0.15">
      <c r="A1757" s="576"/>
      <c r="EO1757" s="6"/>
      <c r="EP1757" s="6"/>
      <c r="EQ1757" s="6"/>
      <c r="ET1757" s="4"/>
      <c r="EU1757" s="4"/>
      <c r="EV1757" s="4"/>
    </row>
    <row r="1758" spans="1:152" x14ac:dyDescent="0.15">
      <c r="A1758" s="576"/>
      <c r="EO1758" s="6"/>
      <c r="EP1758" s="6"/>
      <c r="EQ1758" s="6"/>
      <c r="ET1758" s="4"/>
      <c r="EU1758" s="4"/>
      <c r="EV1758" s="4"/>
    </row>
    <row r="1759" spans="1:152" x14ac:dyDescent="0.15">
      <c r="A1759" s="576"/>
      <c r="EO1759" s="6"/>
      <c r="EP1759" s="6"/>
      <c r="EQ1759" s="6"/>
      <c r="ET1759" s="4"/>
      <c r="EU1759" s="4"/>
      <c r="EV1759" s="4"/>
    </row>
    <row r="1760" spans="1:152" x14ac:dyDescent="0.15">
      <c r="A1760" s="576"/>
      <c r="EO1760" s="6"/>
      <c r="EP1760" s="6"/>
      <c r="EQ1760" s="6"/>
      <c r="ET1760" s="4"/>
      <c r="EU1760" s="4"/>
      <c r="EV1760" s="4"/>
    </row>
    <row r="1761" spans="1:152" x14ac:dyDescent="0.15">
      <c r="A1761" s="576"/>
      <c r="EO1761" s="6"/>
      <c r="EP1761" s="6"/>
      <c r="EQ1761" s="6"/>
      <c r="ET1761" s="4"/>
      <c r="EU1761" s="4"/>
      <c r="EV1761" s="4"/>
    </row>
    <row r="1762" spans="1:152" x14ac:dyDescent="0.15">
      <c r="A1762" s="576"/>
      <c r="EO1762" s="6"/>
      <c r="EP1762" s="6"/>
      <c r="EQ1762" s="6"/>
      <c r="ET1762" s="4"/>
      <c r="EU1762" s="4"/>
      <c r="EV1762" s="4"/>
    </row>
    <row r="1763" spans="1:152" x14ac:dyDescent="0.15">
      <c r="A1763" s="576"/>
      <c r="EO1763" s="6"/>
      <c r="EP1763" s="6"/>
      <c r="EQ1763" s="6"/>
      <c r="ET1763" s="4"/>
      <c r="EU1763" s="4"/>
      <c r="EV1763" s="4"/>
    </row>
    <row r="1764" spans="1:152" x14ac:dyDescent="0.15">
      <c r="A1764" s="576"/>
      <c r="EO1764" s="6"/>
      <c r="EP1764" s="6"/>
      <c r="EQ1764" s="6"/>
      <c r="ET1764" s="4"/>
      <c r="EU1764" s="4"/>
      <c r="EV1764" s="4"/>
    </row>
    <row r="1765" spans="1:152" x14ac:dyDescent="0.15">
      <c r="A1765" s="576"/>
      <c r="EO1765" s="6"/>
      <c r="EP1765" s="6"/>
      <c r="EQ1765" s="6"/>
      <c r="ET1765" s="4"/>
      <c r="EU1765" s="4"/>
      <c r="EV1765" s="4"/>
    </row>
    <row r="1766" spans="1:152" x14ac:dyDescent="0.15">
      <c r="A1766" s="576"/>
      <c r="EO1766" s="6"/>
      <c r="EP1766" s="6"/>
      <c r="EQ1766" s="6"/>
      <c r="ET1766" s="4"/>
      <c r="EU1766" s="4"/>
      <c r="EV1766" s="4"/>
    </row>
    <row r="1767" spans="1:152" x14ac:dyDescent="0.15">
      <c r="A1767" s="576"/>
      <c r="EO1767" s="6"/>
      <c r="EP1767" s="6"/>
      <c r="EQ1767" s="6"/>
      <c r="ET1767" s="4"/>
      <c r="EU1767" s="4"/>
      <c r="EV1767" s="4"/>
    </row>
    <row r="1768" spans="1:152" x14ac:dyDescent="0.15">
      <c r="A1768" s="576"/>
      <c r="EO1768" s="6"/>
      <c r="EP1768" s="6"/>
      <c r="EQ1768" s="6"/>
      <c r="ET1768" s="4"/>
      <c r="EU1768" s="4"/>
      <c r="EV1768" s="4"/>
    </row>
    <row r="1769" spans="1:152" x14ac:dyDescent="0.15">
      <c r="A1769" s="576"/>
      <c r="EO1769" s="6"/>
      <c r="EP1769" s="6"/>
      <c r="EQ1769" s="6"/>
      <c r="ET1769" s="4"/>
      <c r="EU1769" s="4"/>
      <c r="EV1769" s="4"/>
    </row>
    <row r="1770" spans="1:152" x14ac:dyDescent="0.15">
      <c r="A1770" s="576"/>
      <c r="EO1770" s="6"/>
      <c r="EP1770" s="6"/>
      <c r="EQ1770" s="6"/>
      <c r="ET1770" s="4"/>
      <c r="EU1770" s="4"/>
      <c r="EV1770" s="4"/>
    </row>
    <row r="1771" spans="1:152" x14ac:dyDescent="0.15">
      <c r="A1771" s="576"/>
      <c r="EO1771" s="6"/>
      <c r="EP1771" s="6"/>
      <c r="EQ1771" s="6"/>
      <c r="ET1771" s="4"/>
      <c r="EU1771" s="4"/>
      <c r="EV1771" s="4"/>
    </row>
    <row r="1772" spans="1:152" x14ac:dyDescent="0.15">
      <c r="A1772" s="576"/>
      <c r="EO1772" s="6"/>
      <c r="EP1772" s="6"/>
      <c r="EQ1772" s="6"/>
      <c r="ET1772" s="4"/>
      <c r="EU1772" s="4"/>
      <c r="EV1772" s="4"/>
    </row>
    <row r="1773" spans="1:152" x14ac:dyDescent="0.15">
      <c r="A1773" s="576"/>
      <c r="EO1773" s="6"/>
      <c r="EP1773" s="6"/>
      <c r="EQ1773" s="6"/>
      <c r="ET1773" s="4"/>
      <c r="EU1773" s="4"/>
      <c r="EV1773" s="4"/>
    </row>
    <row r="1774" spans="1:152" x14ac:dyDescent="0.15">
      <c r="A1774" s="576"/>
      <c r="EO1774" s="6"/>
      <c r="EP1774" s="6"/>
      <c r="EQ1774" s="6"/>
      <c r="ET1774" s="4"/>
      <c r="EU1774" s="4"/>
      <c r="EV1774" s="4"/>
    </row>
    <row r="1775" spans="1:152" x14ac:dyDescent="0.15">
      <c r="A1775" s="576"/>
      <c r="EO1775" s="6"/>
      <c r="EP1775" s="6"/>
      <c r="EQ1775" s="6"/>
      <c r="ET1775" s="4"/>
      <c r="EU1775" s="4"/>
      <c r="EV1775" s="4"/>
    </row>
    <row r="1776" spans="1:152" x14ac:dyDescent="0.15">
      <c r="A1776" s="576"/>
      <c r="EO1776" s="6"/>
      <c r="EP1776" s="6"/>
      <c r="EQ1776" s="6"/>
      <c r="ET1776" s="4"/>
      <c r="EU1776" s="4"/>
      <c r="EV1776" s="4"/>
    </row>
    <row r="1777" spans="1:152" x14ac:dyDescent="0.15">
      <c r="A1777" s="576"/>
      <c r="EO1777" s="6"/>
      <c r="EP1777" s="6"/>
      <c r="EQ1777" s="6"/>
      <c r="ET1777" s="4"/>
      <c r="EU1777" s="4"/>
      <c r="EV1777" s="4"/>
    </row>
    <row r="1778" spans="1:152" x14ac:dyDescent="0.15">
      <c r="A1778" s="576"/>
      <c r="EO1778" s="6"/>
      <c r="EP1778" s="6"/>
      <c r="EQ1778" s="6"/>
      <c r="ET1778" s="4"/>
      <c r="EU1778" s="4"/>
      <c r="EV1778" s="4"/>
    </row>
    <row r="1779" spans="1:152" x14ac:dyDescent="0.15">
      <c r="A1779" s="576"/>
      <c r="EO1779" s="6"/>
      <c r="EP1779" s="6"/>
      <c r="EQ1779" s="6"/>
      <c r="ET1779" s="4"/>
      <c r="EU1779" s="4"/>
      <c r="EV1779" s="4"/>
    </row>
    <row r="1780" spans="1:152" x14ac:dyDescent="0.15">
      <c r="A1780" s="576"/>
      <c r="EO1780" s="6"/>
      <c r="EP1780" s="6"/>
      <c r="EQ1780" s="6"/>
      <c r="ET1780" s="4"/>
      <c r="EU1780" s="4"/>
      <c r="EV1780" s="4"/>
    </row>
    <row r="1781" spans="1:152" x14ac:dyDescent="0.15">
      <c r="A1781" s="576"/>
      <c r="EO1781" s="6"/>
      <c r="EP1781" s="6"/>
      <c r="EQ1781" s="6"/>
      <c r="ET1781" s="4"/>
      <c r="EU1781" s="4"/>
      <c r="EV1781" s="4"/>
    </row>
    <row r="1782" spans="1:152" x14ac:dyDescent="0.15">
      <c r="A1782" s="576"/>
      <c r="EO1782" s="6"/>
      <c r="EP1782" s="6"/>
      <c r="EQ1782" s="6"/>
      <c r="ET1782" s="4"/>
      <c r="EU1782" s="4"/>
      <c r="EV1782" s="4"/>
    </row>
    <row r="1783" spans="1:152" x14ac:dyDescent="0.15">
      <c r="A1783" s="576"/>
      <c r="EO1783" s="6"/>
      <c r="EP1783" s="6"/>
      <c r="EQ1783" s="6"/>
      <c r="ET1783" s="4"/>
      <c r="EU1783" s="4"/>
      <c r="EV1783" s="4"/>
    </row>
    <row r="1784" spans="1:152" x14ac:dyDescent="0.15">
      <c r="A1784" s="576"/>
      <c r="EO1784" s="6"/>
      <c r="EP1784" s="6"/>
      <c r="EQ1784" s="6"/>
      <c r="ET1784" s="4"/>
      <c r="EU1784" s="4"/>
      <c r="EV1784" s="4"/>
    </row>
    <row r="1785" spans="1:152" x14ac:dyDescent="0.15">
      <c r="A1785" s="576"/>
      <c r="EO1785" s="6"/>
      <c r="EP1785" s="6"/>
      <c r="EQ1785" s="6"/>
      <c r="ET1785" s="4"/>
      <c r="EU1785" s="4"/>
      <c r="EV1785" s="4"/>
    </row>
    <row r="1786" spans="1:152" x14ac:dyDescent="0.15">
      <c r="A1786" s="576"/>
      <c r="EO1786" s="6"/>
      <c r="EP1786" s="6"/>
      <c r="EQ1786" s="6"/>
      <c r="ET1786" s="4"/>
      <c r="EU1786" s="4"/>
      <c r="EV1786" s="4"/>
    </row>
    <row r="1787" spans="1:152" x14ac:dyDescent="0.15">
      <c r="A1787" s="576"/>
      <c r="EO1787" s="6"/>
      <c r="EP1787" s="6"/>
      <c r="EQ1787" s="6"/>
      <c r="ET1787" s="4"/>
      <c r="EU1787" s="4"/>
      <c r="EV1787" s="4"/>
    </row>
    <row r="1788" spans="1:152" x14ac:dyDescent="0.15">
      <c r="A1788" s="576"/>
      <c r="EO1788" s="6"/>
      <c r="EP1788" s="6"/>
      <c r="EQ1788" s="6"/>
      <c r="ET1788" s="4"/>
      <c r="EU1788" s="4"/>
      <c r="EV1788" s="4"/>
    </row>
    <row r="1789" spans="1:152" x14ac:dyDescent="0.15">
      <c r="A1789" s="576"/>
      <c r="EO1789" s="6"/>
      <c r="EP1789" s="6"/>
      <c r="EQ1789" s="6"/>
      <c r="ET1789" s="4"/>
      <c r="EU1789" s="4"/>
      <c r="EV1789" s="4"/>
    </row>
    <row r="1790" spans="1:152" x14ac:dyDescent="0.15">
      <c r="A1790" s="576"/>
      <c r="EO1790" s="6"/>
      <c r="EP1790" s="6"/>
      <c r="EQ1790" s="6"/>
      <c r="ET1790" s="4"/>
      <c r="EU1790" s="4"/>
      <c r="EV1790" s="4"/>
    </row>
    <row r="1791" spans="1:152" x14ac:dyDescent="0.15">
      <c r="A1791" s="576"/>
      <c r="EO1791" s="6"/>
      <c r="EP1791" s="6"/>
      <c r="EQ1791" s="6"/>
      <c r="ET1791" s="4"/>
      <c r="EU1791" s="4"/>
      <c r="EV1791" s="4"/>
    </row>
    <row r="1792" spans="1:152" x14ac:dyDescent="0.15">
      <c r="A1792" s="576"/>
      <c r="EO1792" s="6"/>
      <c r="EP1792" s="6"/>
      <c r="EQ1792" s="6"/>
      <c r="ET1792" s="4"/>
      <c r="EU1792" s="4"/>
      <c r="EV1792" s="4"/>
    </row>
    <row r="1793" spans="1:152" x14ac:dyDescent="0.15">
      <c r="A1793" s="576"/>
      <c r="EO1793" s="6"/>
      <c r="EP1793" s="6"/>
      <c r="EQ1793" s="6"/>
      <c r="ET1793" s="4"/>
      <c r="EU1793" s="4"/>
      <c r="EV1793" s="4"/>
    </row>
    <row r="1794" spans="1:152" x14ac:dyDescent="0.15">
      <c r="A1794" s="576"/>
      <c r="EO1794" s="6"/>
      <c r="EP1794" s="6"/>
      <c r="EQ1794" s="6"/>
      <c r="ET1794" s="4"/>
      <c r="EU1794" s="4"/>
      <c r="EV1794" s="4"/>
    </row>
    <row r="1795" spans="1:152" x14ac:dyDescent="0.15">
      <c r="A1795" s="576"/>
      <c r="EO1795" s="6"/>
      <c r="EP1795" s="6"/>
      <c r="EQ1795" s="6"/>
      <c r="ET1795" s="4"/>
      <c r="EU1795" s="4"/>
      <c r="EV1795" s="4"/>
    </row>
    <row r="1796" spans="1:152" x14ac:dyDescent="0.15">
      <c r="A1796" s="576"/>
      <c r="EO1796" s="6"/>
      <c r="EP1796" s="6"/>
      <c r="EQ1796" s="6"/>
      <c r="ET1796" s="4"/>
      <c r="EU1796" s="4"/>
      <c r="EV1796" s="4"/>
    </row>
    <row r="1797" spans="1:152" x14ac:dyDescent="0.15">
      <c r="A1797" s="576"/>
      <c r="EO1797" s="6"/>
      <c r="EP1797" s="6"/>
      <c r="EQ1797" s="6"/>
      <c r="ET1797" s="4"/>
      <c r="EU1797" s="4"/>
      <c r="EV1797" s="4"/>
    </row>
    <row r="1798" spans="1:152" x14ac:dyDescent="0.15">
      <c r="A1798" s="576"/>
      <c r="EO1798" s="6"/>
      <c r="EP1798" s="6"/>
      <c r="EQ1798" s="6"/>
      <c r="ET1798" s="4"/>
      <c r="EU1798" s="4"/>
      <c r="EV1798" s="4"/>
    </row>
    <row r="1799" spans="1:152" x14ac:dyDescent="0.15">
      <c r="A1799" s="576"/>
      <c r="EO1799" s="6"/>
      <c r="EP1799" s="6"/>
      <c r="EQ1799" s="6"/>
      <c r="ET1799" s="4"/>
      <c r="EU1799" s="4"/>
      <c r="EV1799" s="4"/>
    </row>
    <row r="1800" spans="1:152" x14ac:dyDescent="0.15">
      <c r="A1800" s="576"/>
      <c r="EO1800" s="6"/>
      <c r="EP1800" s="6"/>
      <c r="EQ1800" s="6"/>
      <c r="ET1800" s="4"/>
      <c r="EU1800" s="4"/>
      <c r="EV1800" s="4"/>
    </row>
    <row r="1801" spans="1:152" x14ac:dyDescent="0.15">
      <c r="A1801" s="576"/>
      <c r="EO1801" s="6"/>
      <c r="EP1801" s="6"/>
      <c r="EQ1801" s="6"/>
      <c r="ET1801" s="4"/>
      <c r="EU1801" s="4"/>
      <c r="EV1801" s="4"/>
    </row>
    <row r="1802" spans="1:152" x14ac:dyDescent="0.15">
      <c r="A1802" s="576"/>
      <c r="EO1802" s="6"/>
      <c r="EP1802" s="6"/>
      <c r="EQ1802" s="6"/>
      <c r="ET1802" s="4"/>
      <c r="EU1802" s="4"/>
      <c r="EV1802" s="4"/>
    </row>
    <row r="1803" spans="1:152" x14ac:dyDescent="0.15">
      <c r="A1803" s="576"/>
      <c r="EO1803" s="6"/>
      <c r="EP1803" s="6"/>
      <c r="EQ1803" s="6"/>
      <c r="ET1803" s="4"/>
      <c r="EU1803" s="4"/>
      <c r="EV1803" s="4"/>
    </row>
    <row r="1804" spans="1:152" x14ac:dyDescent="0.15">
      <c r="A1804" s="576"/>
      <c r="EO1804" s="6"/>
      <c r="EP1804" s="6"/>
      <c r="EQ1804" s="6"/>
      <c r="ET1804" s="4"/>
      <c r="EU1804" s="4"/>
      <c r="EV1804" s="4"/>
    </row>
    <row r="1805" spans="1:152" x14ac:dyDescent="0.15">
      <c r="A1805" s="576"/>
      <c r="EO1805" s="6"/>
      <c r="EP1805" s="6"/>
      <c r="EQ1805" s="6"/>
      <c r="ET1805" s="4"/>
      <c r="EU1805" s="4"/>
      <c r="EV1805" s="4"/>
    </row>
    <row r="1806" spans="1:152" x14ac:dyDescent="0.15">
      <c r="A1806" s="576"/>
      <c r="EO1806" s="6"/>
      <c r="EP1806" s="6"/>
      <c r="EQ1806" s="6"/>
      <c r="ET1806" s="4"/>
      <c r="EU1806" s="4"/>
      <c r="EV1806" s="4"/>
    </row>
    <row r="1807" spans="1:152" x14ac:dyDescent="0.15">
      <c r="A1807" s="576"/>
      <c r="EO1807" s="6"/>
      <c r="EP1807" s="6"/>
      <c r="EQ1807" s="6"/>
      <c r="ET1807" s="4"/>
      <c r="EU1807" s="4"/>
      <c r="EV1807" s="4"/>
    </row>
    <row r="1808" spans="1:152" x14ac:dyDescent="0.15">
      <c r="A1808" s="576"/>
      <c r="EO1808" s="6"/>
      <c r="EP1808" s="6"/>
      <c r="EQ1808" s="6"/>
      <c r="ET1808" s="4"/>
      <c r="EU1808" s="4"/>
      <c r="EV1808" s="4"/>
    </row>
    <row r="1809" spans="1:152" x14ac:dyDescent="0.15">
      <c r="A1809" s="576"/>
      <c r="EO1809" s="6"/>
      <c r="EP1809" s="6"/>
      <c r="EQ1809" s="6"/>
      <c r="ET1809" s="4"/>
      <c r="EU1809" s="4"/>
      <c r="EV1809" s="4"/>
    </row>
    <row r="1810" spans="1:152" x14ac:dyDescent="0.15">
      <c r="A1810" s="576"/>
      <c r="EO1810" s="6"/>
      <c r="EP1810" s="6"/>
      <c r="EQ1810" s="6"/>
      <c r="ET1810" s="4"/>
      <c r="EU1810" s="4"/>
      <c r="EV1810" s="4"/>
    </row>
    <row r="1811" spans="1:152" x14ac:dyDescent="0.15">
      <c r="A1811" s="576"/>
      <c r="EO1811" s="6"/>
      <c r="EP1811" s="6"/>
      <c r="EQ1811" s="6"/>
      <c r="ET1811" s="4"/>
      <c r="EU1811" s="4"/>
      <c r="EV1811" s="4"/>
    </row>
    <row r="1812" spans="1:152" x14ac:dyDescent="0.15">
      <c r="A1812" s="576"/>
      <c r="EO1812" s="6"/>
      <c r="EP1812" s="6"/>
      <c r="EQ1812" s="6"/>
      <c r="ET1812" s="4"/>
      <c r="EU1812" s="4"/>
      <c r="EV1812" s="4"/>
    </row>
    <row r="1813" spans="1:152" x14ac:dyDescent="0.15">
      <c r="A1813" s="576"/>
      <c r="EO1813" s="6"/>
      <c r="EP1813" s="6"/>
      <c r="EQ1813" s="6"/>
      <c r="ET1813" s="4"/>
      <c r="EU1813" s="4"/>
      <c r="EV1813" s="4"/>
    </row>
    <row r="1814" spans="1:152" x14ac:dyDescent="0.15">
      <c r="A1814" s="576"/>
      <c r="EO1814" s="6"/>
      <c r="EP1814" s="6"/>
      <c r="EQ1814" s="6"/>
      <c r="ET1814" s="4"/>
      <c r="EU1814" s="4"/>
      <c r="EV1814" s="4"/>
    </row>
    <row r="1815" spans="1:152" x14ac:dyDescent="0.15">
      <c r="A1815" s="576"/>
      <c r="EO1815" s="6"/>
      <c r="EP1815" s="6"/>
      <c r="EQ1815" s="6"/>
      <c r="ET1815" s="4"/>
      <c r="EU1815" s="4"/>
      <c r="EV1815" s="4"/>
    </row>
    <row r="1816" spans="1:152" x14ac:dyDescent="0.15">
      <c r="A1816" s="576"/>
      <c r="EO1816" s="6"/>
      <c r="EP1816" s="6"/>
      <c r="EQ1816" s="6"/>
      <c r="ET1816" s="4"/>
      <c r="EU1816" s="4"/>
      <c r="EV1816" s="4"/>
    </row>
    <row r="1817" spans="1:152" x14ac:dyDescent="0.15">
      <c r="A1817" s="576"/>
      <c r="EO1817" s="6"/>
      <c r="EP1817" s="6"/>
      <c r="EQ1817" s="6"/>
      <c r="ET1817" s="4"/>
      <c r="EU1817" s="4"/>
      <c r="EV1817" s="4"/>
    </row>
    <row r="1818" spans="1:152" x14ac:dyDescent="0.15">
      <c r="A1818" s="576"/>
      <c r="EO1818" s="6"/>
      <c r="EP1818" s="6"/>
      <c r="EQ1818" s="6"/>
      <c r="ET1818" s="4"/>
      <c r="EU1818" s="4"/>
      <c r="EV1818" s="4"/>
    </row>
    <row r="1819" spans="1:152" x14ac:dyDescent="0.15">
      <c r="A1819" s="576"/>
      <c r="EO1819" s="6"/>
      <c r="EP1819" s="6"/>
      <c r="EQ1819" s="6"/>
      <c r="ET1819" s="4"/>
      <c r="EU1819" s="4"/>
      <c r="EV1819" s="4"/>
    </row>
    <row r="1820" spans="1:152" x14ac:dyDescent="0.15">
      <c r="A1820" s="576"/>
      <c r="EO1820" s="6"/>
      <c r="EP1820" s="6"/>
      <c r="EQ1820" s="6"/>
      <c r="ET1820" s="4"/>
      <c r="EU1820" s="4"/>
      <c r="EV1820" s="4"/>
    </row>
    <row r="1821" spans="1:152" x14ac:dyDescent="0.15">
      <c r="A1821" s="576"/>
      <c r="EO1821" s="6"/>
      <c r="EP1821" s="6"/>
      <c r="EQ1821" s="6"/>
      <c r="ET1821" s="4"/>
      <c r="EU1821" s="4"/>
      <c r="EV1821" s="4"/>
    </row>
    <row r="1822" spans="1:152" x14ac:dyDescent="0.15">
      <c r="A1822" s="576"/>
      <c r="EO1822" s="6"/>
      <c r="EP1822" s="6"/>
      <c r="EQ1822" s="6"/>
      <c r="ET1822" s="4"/>
      <c r="EU1822" s="4"/>
      <c r="EV1822" s="4"/>
    </row>
    <row r="1823" spans="1:152" x14ac:dyDescent="0.15">
      <c r="A1823" s="576"/>
      <c r="EO1823" s="6"/>
      <c r="EP1823" s="6"/>
      <c r="EQ1823" s="6"/>
      <c r="ET1823" s="4"/>
      <c r="EU1823" s="4"/>
      <c r="EV1823" s="4"/>
    </row>
    <row r="1824" spans="1:152" x14ac:dyDescent="0.15">
      <c r="A1824" s="576"/>
      <c r="EO1824" s="6"/>
      <c r="EP1824" s="6"/>
      <c r="EQ1824" s="6"/>
      <c r="ET1824" s="4"/>
      <c r="EU1824" s="4"/>
      <c r="EV1824" s="4"/>
    </row>
    <row r="1825" spans="1:152" x14ac:dyDescent="0.15">
      <c r="A1825" s="576"/>
      <c r="EO1825" s="6"/>
      <c r="EP1825" s="6"/>
      <c r="EQ1825" s="6"/>
      <c r="ET1825" s="4"/>
      <c r="EU1825" s="4"/>
      <c r="EV1825" s="4"/>
    </row>
    <row r="1826" spans="1:152" x14ac:dyDescent="0.15">
      <c r="A1826" s="576"/>
      <c r="EO1826" s="6"/>
      <c r="EP1826" s="6"/>
      <c r="EQ1826" s="6"/>
      <c r="ET1826" s="4"/>
      <c r="EU1826" s="4"/>
      <c r="EV1826" s="4"/>
    </row>
    <row r="1827" spans="1:152" x14ac:dyDescent="0.15">
      <c r="A1827" s="576"/>
      <c r="EO1827" s="6"/>
      <c r="EP1827" s="6"/>
      <c r="EQ1827" s="6"/>
      <c r="ET1827" s="4"/>
      <c r="EU1827" s="4"/>
      <c r="EV1827" s="4"/>
    </row>
    <row r="1828" spans="1:152" x14ac:dyDescent="0.15">
      <c r="A1828" s="576"/>
      <c r="EO1828" s="6"/>
      <c r="EP1828" s="6"/>
      <c r="EQ1828" s="6"/>
      <c r="ET1828" s="4"/>
      <c r="EU1828" s="4"/>
      <c r="EV1828" s="4"/>
    </row>
    <row r="1829" spans="1:152" x14ac:dyDescent="0.15">
      <c r="A1829" s="576"/>
      <c r="EO1829" s="6"/>
      <c r="EP1829" s="6"/>
      <c r="EQ1829" s="6"/>
      <c r="ET1829" s="4"/>
      <c r="EU1829" s="4"/>
      <c r="EV1829" s="4"/>
    </row>
    <row r="1830" spans="1:152" x14ac:dyDescent="0.15">
      <c r="A1830" s="576"/>
      <c r="EO1830" s="6"/>
      <c r="EP1830" s="6"/>
      <c r="EQ1830" s="6"/>
      <c r="ET1830" s="4"/>
      <c r="EU1830" s="4"/>
      <c r="EV1830" s="4"/>
    </row>
    <row r="1831" spans="1:152" x14ac:dyDescent="0.15">
      <c r="A1831" s="576"/>
      <c r="EO1831" s="6"/>
      <c r="EP1831" s="6"/>
      <c r="EQ1831" s="6"/>
      <c r="ET1831" s="4"/>
      <c r="EU1831" s="4"/>
      <c r="EV1831" s="4"/>
    </row>
    <row r="1832" spans="1:152" x14ac:dyDescent="0.15">
      <c r="A1832" s="576"/>
      <c r="EO1832" s="6"/>
      <c r="EP1832" s="6"/>
      <c r="EQ1832" s="6"/>
      <c r="ET1832" s="4"/>
      <c r="EU1832" s="4"/>
      <c r="EV1832" s="4"/>
    </row>
    <row r="1833" spans="1:152" x14ac:dyDescent="0.15">
      <c r="A1833" s="576"/>
      <c r="EO1833" s="6"/>
      <c r="EP1833" s="6"/>
      <c r="EQ1833" s="6"/>
      <c r="ET1833" s="4"/>
      <c r="EU1833" s="4"/>
      <c r="EV1833" s="4"/>
    </row>
    <row r="1834" spans="1:152" x14ac:dyDescent="0.15">
      <c r="A1834" s="576"/>
      <c r="EO1834" s="6"/>
      <c r="EP1834" s="6"/>
      <c r="EQ1834" s="6"/>
      <c r="ET1834" s="4"/>
      <c r="EU1834" s="4"/>
      <c r="EV1834" s="4"/>
    </row>
    <row r="1835" spans="1:152" x14ac:dyDescent="0.15">
      <c r="A1835" s="576"/>
      <c r="EO1835" s="6"/>
      <c r="EP1835" s="6"/>
      <c r="EQ1835" s="6"/>
      <c r="ET1835" s="4"/>
      <c r="EU1835" s="4"/>
      <c r="EV1835" s="4"/>
    </row>
    <row r="1836" spans="1:152" x14ac:dyDescent="0.15">
      <c r="A1836" s="576"/>
      <c r="EO1836" s="6"/>
      <c r="EP1836" s="6"/>
      <c r="EQ1836" s="6"/>
      <c r="ET1836" s="4"/>
      <c r="EU1836" s="4"/>
      <c r="EV1836" s="4"/>
    </row>
    <row r="1837" spans="1:152" x14ac:dyDescent="0.15">
      <c r="A1837" s="576"/>
      <c r="EO1837" s="6"/>
      <c r="EP1837" s="6"/>
      <c r="EQ1837" s="6"/>
      <c r="ET1837" s="4"/>
      <c r="EU1837" s="4"/>
      <c r="EV1837" s="4"/>
    </row>
    <row r="1838" spans="1:152" x14ac:dyDescent="0.15">
      <c r="A1838" s="576"/>
      <c r="EO1838" s="6"/>
      <c r="EP1838" s="6"/>
      <c r="EQ1838" s="6"/>
      <c r="ET1838" s="4"/>
      <c r="EU1838" s="4"/>
      <c r="EV1838" s="4"/>
    </row>
    <row r="1839" spans="1:152" x14ac:dyDescent="0.15">
      <c r="A1839" s="576"/>
      <c r="EO1839" s="6"/>
      <c r="EP1839" s="6"/>
      <c r="EQ1839" s="6"/>
      <c r="ET1839" s="4"/>
      <c r="EU1839" s="4"/>
      <c r="EV1839" s="4"/>
    </row>
    <row r="1840" spans="1:152" x14ac:dyDescent="0.15">
      <c r="A1840" s="576"/>
      <c r="EO1840" s="6"/>
      <c r="EP1840" s="6"/>
      <c r="EQ1840" s="6"/>
      <c r="ET1840" s="4"/>
      <c r="EU1840" s="4"/>
      <c r="EV1840" s="4"/>
    </row>
    <row r="1841" spans="1:152" x14ac:dyDescent="0.15">
      <c r="A1841" s="576"/>
      <c r="EO1841" s="6"/>
      <c r="EP1841" s="6"/>
      <c r="EQ1841" s="6"/>
      <c r="ET1841" s="4"/>
      <c r="EU1841" s="4"/>
      <c r="EV1841" s="4"/>
    </row>
    <row r="1842" spans="1:152" x14ac:dyDescent="0.15">
      <c r="A1842" s="576"/>
      <c r="EO1842" s="6"/>
      <c r="EP1842" s="6"/>
      <c r="EQ1842" s="6"/>
      <c r="ET1842" s="4"/>
      <c r="EU1842" s="4"/>
      <c r="EV1842" s="4"/>
    </row>
    <row r="1843" spans="1:152" x14ac:dyDescent="0.15">
      <c r="A1843" s="576"/>
      <c r="EO1843" s="6"/>
      <c r="EP1843" s="6"/>
      <c r="EQ1843" s="6"/>
      <c r="ET1843" s="4"/>
      <c r="EU1843" s="4"/>
      <c r="EV1843" s="4"/>
    </row>
    <row r="1844" spans="1:152" x14ac:dyDescent="0.15">
      <c r="A1844" s="576"/>
      <c r="EO1844" s="6"/>
      <c r="EP1844" s="6"/>
      <c r="EQ1844" s="6"/>
      <c r="ET1844" s="4"/>
      <c r="EU1844" s="4"/>
      <c r="EV1844" s="4"/>
    </row>
    <row r="1845" spans="1:152" x14ac:dyDescent="0.15">
      <c r="A1845" s="576"/>
      <c r="EO1845" s="6"/>
      <c r="EP1845" s="6"/>
      <c r="EQ1845" s="6"/>
      <c r="ET1845" s="4"/>
      <c r="EU1845" s="4"/>
      <c r="EV1845" s="4"/>
    </row>
    <row r="1846" spans="1:152" x14ac:dyDescent="0.15">
      <c r="A1846" s="576"/>
      <c r="EO1846" s="6"/>
      <c r="EP1846" s="6"/>
      <c r="EQ1846" s="6"/>
      <c r="ET1846" s="4"/>
      <c r="EU1846" s="4"/>
      <c r="EV1846" s="4"/>
    </row>
    <row r="1847" spans="1:152" x14ac:dyDescent="0.15">
      <c r="A1847" s="576"/>
      <c r="EO1847" s="6"/>
      <c r="EP1847" s="6"/>
      <c r="EQ1847" s="6"/>
      <c r="ET1847" s="4"/>
      <c r="EU1847" s="4"/>
      <c r="EV1847" s="4"/>
    </row>
    <row r="1848" spans="1:152" x14ac:dyDescent="0.15">
      <c r="A1848" s="576"/>
      <c r="EO1848" s="6"/>
      <c r="EP1848" s="6"/>
      <c r="EQ1848" s="6"/>
      <c r="ET1848" s="4"/>
      <c r="EU1848" s="4"/>
      <c r="EV1848" s="4"/>
    </row>
    <row r="1849" spans="1:152" x14ac:dyDescent="0.15">
      <c r="A1849" s="576"/>
      <c r="EO1849" s="6"/>
      <c r="EP1849" s="6"/>
      <c r="EQ1849" s="6"/>
      <c r="ET1849" s="4"/>
      <c r="EU1849" s="4"/>
      <c r="EV1849" s="4"/>
    </row>
    <row r="1850" spans="1:152" x14ac:dyDescent="0.15">
      <c r="A1850" s="576"/>
      <c r="EO1850" s="6"/>
      <c r="EP1850" s="6"/>
      <c r="EQ1850" s="6"/>
      <c r="ET1850" s="4"/>
      <c r="EU1850" s="4"/>
      <c r="EV1850" s="4"/>
    </row>
    <row r="1851" spans="1:152" x14ac:dyDescent="0.15">
      <c r="A1851" s="576"/>
      <c r="EO1851" s="6"/>
      <c r="EP1851" s="6"/>
      <c r="EQ1851" s="6"/>
      <c r="ET1851" s="4"/>
      <c r="EU1851" s="4"/>
      <c r="EV1851" s="4"/>
    </row>
    <row r="1852" spans="1:152" x14ac:dyDescent="0.15">
      <c r="A1852" s="576"/>
      <c r="EO1852" s="6"/>
      <c r="EP1852" s="6"/>
      <c r="EQ1852" s="6"/>
      <c r="ET1852" s="4"/>
      <c r="EU1852" s="4"/>
      <c r="EV1852" s="4"/>
    </row>
    <row r="1853" spans="1:152" x14ac:dyDescent="0.15">
      <c r="A1853" s="576"/>
      <c r="EO1853" s="6"/>
      <c r="EP1853" s="6"/>
      <c r="EQ1853" s="6"/>
      <c r="ET1853" s="4"/>
      <c r="EU1853" s="4"/>
      <c r="EV1853" s="4"/>
    </row>
    <row r="1854" spans="1:152" x14ac:dyDescent="0.15">
      <c r="A1854" s="576"/>
      <c r="EO1854" s="6"/>
      <c r="EP1854" s="6"/>
      <c r="EQ1854" s="6"/>
      <c r="ET1854" s="4"/>
      <c r="EU1854" s="4"/>
      <c r="EV1854" s="4"/>
    </row>
    <row r="1855" spans="1:152" x14ac:dyDescent="0.15">
      <c r="A1855" s="576"/>
      <c r="EO1855" s="6"/>
      <c r="EP1855" s="6"/>
      <c r="EQ1855" s="6"/>
      <c r="ET1855" s="4"/>
      <c r="EU1855" s="4"/>
      <c r="EV1855" s="4"/>
    </row>
    <row r="1856" spans="1:152" x14ac:dyDescent="0.15">
      <c r="A1856" s="576"/>
      <c r="EO1856" s="6"/>
      <c r="EP1856" s="6"/>
      <c r="EQ1856" s="6"/>
      <c r="ET1856" s="4"/>
      <c r="EU1856" s="4"/>
      <c r="EV1856" s="4"/>
    </row>
    <row r="1857" spans="1:152" x14ac:dyDescent="0.15">
      <c r="A1857" s="576"/>
      <c r="EO1857" s="6"/>
      <c r="EP1857" s="6"/>
      <c r="EQ1857" s="6"/>
      <c r="ET1857" s="4"/>
      <c r="EU1857" s="4"/>
      <c r="EV1857" s="4"/>
    </row>
    <row r="1858" spans="1:152" x14ac:dyDescent="0.15">
      <c r="A1858" s="576"/>
      <c r="EO1858" s="6"/>
      <c r="EP1858" s="6"/>
      <c r="EQ1858" s="6"/>
      <c r="ET1858" s="4"/>
      <c r="EU1858" s="4"/>
      <c r="EV1858" s="4"/>
    </row>
    <row r="1859" spans="1:152" x14ac:dyDescent="0.15">
      <c r="A1859" s="576"/>
      <c r="EO1859" s="6"/>
      <c r="EP1859" s="6"/>
      <c r="EQ1859" s="6"/>
      <c r="ET1859" s="4"/>
      <c r="EU1859" s="4"/>
      <c r="EV1859" s="4"/>
    </row>
    <row r="1860" spans="1:152" x14ac:dyDescent="0.15">
      <c r="A1860" s="576"/>
      <c r="EO1860" s="6"/>
      <c r="EP1860" s="6"/>
      <c r="EQ1860" s="6"/>
      <c r="ET1860" s="4"/>
      <c r="EU1860" s="4"/>
      <c r="EV1860" s="4"/>
    </row>
    <row r="1861" spans="1:152" x14ac:dyDescent="0.15">
      <c r="A1861" s="576"/>
      <c r="EO1861" s="6"/>
      <c r="EP1861" s="6"/>
      <c r="EQ1861" s="6"/>
      <c r="ET1861" s="4"/>
      <c r="EU1861" s="4"/>
      <c r="EV1861" s="4"/>
    </row>
    <row r="1862" spans="1:152" x14ac:dyDescent="0.15">
      <c r="A1862" s="576"/>
      <c r="EO1862" s="6"/>
      <c r="EP1862" s="6"/>
      <c r="EQ1862" s="6"/>
      <c r="ET1862" s="4"/>
      <c r="EU1862" s="4"/>
      <c r="EV1862" s="4"/>
    </row>
    <row r="1863" spans="1:152" x14ac:dyDescent="0.15">
      <c r="A1863" s="576"/>
      <c r="EO1863" s="6"/>
      <c r="EP1863" s="6"/>
      <c r="EQ1863" s="6"/>
      <c r="ET1863" s="4"/>
      <c r="EU1863" s="4"/>
      <c r="EV1863" s="4"/>
    </row>
    <row r="1864" spans="1:152" x14ac:dyDescent="0.15">
      <c r="A1864" s="576"/>
      <c r="EO1864" s="6"/>
      <c r="EP1864" s="6"/>
      <c r="EQ1864" s="6"/>
      <c r="ET1864" s="4"/>
      <c r="EU1864" s="4"/>
      <c r="EV1864" s="4"/>
    </row>
    <row r="1865" spans="1:152" x14ac:dyDescent="0.15">
      <c r="A1865" s="576"/>
      <c r="EO1865" s="6"/>
      <c r="EP1865" s="6"/>
      <c r="EQ1865" s="6"/>
      <c r="ET1865" s="4"/>
      <c r="EU1865" s="4"/>
      <c r="EV1865" s="4"/>
    </row>
    <row r="1866" spans="1:152" x14ac:dyDescent="0.15">
      <c r="A1866" s="576"/>
      <c r="EO1866" s="6"/>
      <c r="EP1866" s="6"/>
      <c r="EQ1866" s="6"/>
      <c r="ET1866" s="4"/>
      <c r="EU1866" s="4"/>
      <c r="EV1866" s="4"/>
    </row>
    <row r="1867" spans="1:152" x14ac:dyDescent="0.15">
      <c r="A1867" s="576"/>
      <c r="EO1867" s="6"/>
      <c r="EP1867" s="6"/>
      <c r="EQ1867" s="6"/>
      <c r="ET1867" s="4"/>
      <c r="EU1867" s="4"/>
      <c r="EV1867" s="4"/>
    </row>
    <row r="1868" spans="1:152" x14ac:dyDescent="0.15">
      <c r="A1868" s="576"/>
      <c r="EO1868" s="6"/>
      <c r="EP1868" s="6"/>
      <c r="EQ1868" s="6"/>
      <c r="ET1868" s="4"/>
      <c r="EU1868" s="4"/>
      <c r="EV1868" s="4"/>
    </row>
    <row r="1869" spans="1:152" x14ac:dyDescent="0.15">
      <c r="A1869" s="576"/>
      <c r="EO1869" s="6"/>
      <c r="EP1869" s="6"/>
      <c r="EQ1869" s="6"/>
      <c r="ET1869" s="4"/>
      <c r="EU1869" s="4"/>
      <c r="EV1869" s="4"/>
    </row>
    <row r="1870" spans="1:152" x14ac:dyDescent="0.15">
      <c r="A1870" s="576"/>
      <c r="EO1870" s="6"/>
      <c r="EP1870" s="6"/>
      <c r="EQ1870" s="6"/>
      <c r="ET1870" s="4"/>
      <c r="EU1870" s="4"/>
      <c r="EV1870" s="4"/>
    </row>
    <row r="1871" spans="1:152" x14ac:dyDescent="0.15">
      <c r="A1871" s="576"/>
      <c r="EO1871" s="6"/>
      <c r="EP1871" s="6"/>
      <c r="EQ1871" s="6"/>
      <c r="ET1871" s="4"/>
      <c r="EU1871" s="4"/>
      <c r="EV1871" s="4"/>
    </row>
    <row r="1872" spans="1:152" x14ac:dyDescent="0.15">
      <c r="A1872" s="576"/>
      <c r="EO1872" s="6"/>
      <c r="EP1872" s="6"/>
      <c r="EQ1872" s="6"/>
      <c r="ET1872" s="4"/>
      <c r="EU1872" s="4"/>
      <c r="EV1872" s="4"/>
    </row>
    <row r="1873" spans="1:152" x14ac:dyDescent="0.15">
      <c r="A1873" s="576"/>
      <c r="EO1873" s="6"/>
      <c r="EP1873" s="6"/>
      <c r="EQ1873" s="6"/>
      <c r="ET1873" s="4"/>
      <c r="EU1873" s="4"/>
      <c r="EV1873" s="4"/>
    </row>
    <row r="1874" spans="1:152" x14ac:dyDescent="0.15">
      <c r="A1874" s="576"/>
      <c r="EO1874" s="6"/>
      <c r="EP1874" s="6"/>
      <c r="EQ1874" s="6"/>
      <c r="ET1874" s="4"/>
      <c r="EU1874" s="4"/>
      <c r="EV1874" s="4"/>
    </row>
    <row r="1875" spans="1:152" x14ac:dyDescent="0.15">
      <c r="A1875" s="576"/>
      <c r="EO1875" s="6"/>
      <c r="EP1875" s="6"/>
      <c r="EQ1875" s="6"/>
      <c r="ET1875" s="4"/>
      <c r="EU1875" s="4"/>
      <c r="EV1875" s="4"/>
    </row>
    <row r="1876" spans="1:152" x14ac:dyDescent="0.15">
      <c r="A1876" s="576"/>
      <c r="EO1876" s="6"/>
      <c r="EP1876" s="6"/>
      <c r="EQ1876" s="6"/>
      <c r="ET1876" s="4"/>
      <c r="EU1876" s="4"/>
      <c r="EV1876" s="4"/>
    </row>
    <row r="1877" spans="1:152" x14ac:dyDescent="0.15">
      <c r="A1877" s="576"/>
      <c r="EO1877" s="6"/>
      <c r="EP1877" s="6"/>
      <c r="EQ1877" s="6"/>
      <c r="ET1877" s="4"/>
      <c r="EU1877" s="4"/>
      <c r="EV1877" s="4"/>
    </row>
    <row r="1878" spans="1:152" x14ac:dyDescent="0.15">
      <c r="A1878" s="576"/>
      <c r="EO1878" s="6"/>
      <c r="EP1878" s="6"/>
      <c r="EQ1878" s="6"/>
      <c r="ET1878" s="4"/>
      <c r="EU1878" s="4"/>
      <c r="EV1878" s="4"/>
    </row>
    <row r="1879" spans="1:152" x14ac:dyDescent="0.15">
      <c r="A1879" s="576"/>
      <c r="EO1879" s="6"/>
      <c r="EP1879" s="6"/>
      <c r="EQ1879" s="6"/>
      <c r="ET1879" s="4"/>
      <c r="EU1879" s="4"/>
      <c r="EV1879" s="4"/>
    </row>
    <row r="1880" spans="1:152" x14ac:dyDescent="0.15">
      <c r="A1880" s="576"/>
      <c r="EO1880" s="6"/>
      <c r="EP1880" s="6"/>
      <c r="EQ1880" s="6"/>
      <c r="ET1880" s="4"/>
      <c r="EU1880" s="4"/>
      <c r="EV1880" s="4"/>
    </row>
    <row r="1881" spans="1:152" x14ac:dyDescent="0.15">
      <c r="A1881" s="576"/>
      <c r="EO1881" s="6"/>
      <c r="EP1881" s="6"/>
      <c r="EQ1881" s="6"/>
      <c r="ET1881" s="4"/>
      <c r="EU1881" s="4"/>
      <c r="EV1881" s="4"/>
    </row>
    <row r="1882" spans="1:152" x14ac:dyDescent="0.15">
      <c r="A1882" s="576"/>
      <c r="EO1882" s="6"/>
      <c r="EP1882" s="6"/>
      <c r="EQ1882" s="6"/>
      <c r="ET1882" s="4"/>
      <c r="EU1882" s="4"/>
      <c r="EV1882" s="4"/>
    </row>
    <row r="1883" spans="1:152" x14ac:dyDescent="0.15">
      <c r="A1883" s="576"/>
      <c r="EO1883" s="6"/>
      <c r="EP1883" s="6"/>
      <c r="EQ1883" s="6"/>
      <c r="ET1883" s="4"/>
      <c r="EU1883" s="4"/>
      <c r="EV1883" s="4"/>
    </row>
    <row r="1884" spans="1:152" x14ac:dyDescent="0.15">
      <c r="A1884" s="576"/>
      <c r="EO1884" s="6"/>
      <c r="EP1884" s="6"/>
      <c r="EQ1884" s="6"/>
      <c r="ET1884" s="4"/>
      <c r="EU1884" s="4"/>
      <c r="EV1884" s="4"/>
    </row>
    <row r="1885" spans="1:152" x14ac:dyDescent="0.15">
      <c r="A1885" s="576"/>
      <c r="EO1885" s="6"/>
      <c r="EP1885" s="6"/>
      <c r="EQ1885" s="6"/>
      <c r="ET1885" s="4"/>
      <c r="EU1885" s="4"/>
      <c r="EV1885" s="4"/>
    </row>
    <row r="1886" spans="1:152" x14ac:dyDescent="0.15">
      <c r="A1886" s="576"/>
      <c r="EO1886" s="6"/>
      <c r="EP1886" s="6"/>
      <c r="EQ1886" s="6"/>
      <c r="ET1886" s="4"/>
      <c r="EU1886" s="4"/>
      <c r="EV1886" s="4"/>
    </row>
    <row r="1887" spans="1:152" x14ac:dyDescent="0.15">
      <c r="A1887" s="576"/>
      <c r="EO1887" s="6"/>
      <c r="EP1887" s="6"/>
      <c r="EQ1887" s="6"/>
      <c r="ET1887" s="4"/>
      <c r="EU1887" s="4"/>
      <c r="EV1887" s="4"/>
    </row>
    <row r="1888" spans="1:152" x14ac:dyDescent="0.15">
      <c r="A1888" s="576"/>
      <c r="EO1888" s="6"/>
      <c r="EP1888" s="6"/>
      <c r="EQ1888" s="6"/>
      <c r="ET1888" s="4"/>
      <c r="EU1888" s="4"/>
      <c r="EV1888" s="4"/>
    </row>
    <row r="1889" spans="1:152" x14ac:dyDescent="0.15">
      <c r="A1889" s="576"/>
      <c r="EO1889" s="6"/>
      <c r="EP1889" s="6"/>
      <c r="EQ1889" s="6"/>
      <c r="ET1889" s="4"/>
      <c r="EU1889" s="4"/>
      <c r="EV1889" s="4"/>
    </row>
    <row r="1890" spans="1:152" x14ac:dyDescent="0.15">
      <c r="A1890" s="576"/>
      <c r="EO1890" s="6"/>
      <c r="EP1890" s="6"/>
      <c r="EQ1890" s="6"/>
      <c r="ET1890" s="4"/>
      <c r="EU1890" s="4"/>
      <c r="EV1890" s="4"/>
    </row>
    <row r="1891" spans="1:152" x14ac:dyDescent="0.15">
      <c r="A1891" s="576"/>
      <c r="EO1891" s="6"/>
      <c r="EP1891" s="6"/>
      <c r="EQ1891" s="6"/>
      <c r="ET1891" s="4"/>
      <c r="EU1891" s="4"/>
      <c r="EV1891" s="4"/>
    </row>
    <row r="1892" spans="1:152" x14ac:dyDescent="0.15">
      <c r="A1892" s="576"/>
      <c r="EO1892" s="6"/>
      <c r="EP1892" s="6"/>
      <c r="EQ1892" s="6"/>
      <c r="ET1892" s="4"/>
      <c r="EU1892" s="4"/>
      <c r="EV1892" s="4"/>
    </row>
    <row r="1893" spans="1:152" x14ac:dyDescent="0.15">
      <c r="A1893" s="576"/>
      <c r="EO1893" s="6"/>
      <c r="EP1893" s="6"/>
      <c r="EQ1893" s="6"/>
      <c r="ET1893" s="4"/>
      <c r="EU1893" s="4"/>
      <c r="EV1893" s="4"/>
    </row>
    <row r="1894" spans="1:152" x14ac:dyDescent="0.15">
      <c r="A1894" s="576"/>
      <c r="EO1894" s="6"/>
      <c r="EP1894" s="6"/>
      <c r="EQ1894" s="6"/>
      <c r="ET1894" s="4"/>
      <c r="EU1894" s="4"/>
      <c r="EV1894" s="4"/>
    </row>
    <row r="1895" spans="1:152" x14ac:dyDescent="0.15">
      <c r="A1895" s="576"/>
      <c r="EO1895" s="6"/>
      <c r="EP1895" s="6"/>
      <c r="EQ1895" s="6"/>
      <c r="ET1895" s="4"/>
      <c r="EU1895" s="4"/>
      <c r="EV1895" s="4"/>
    </row>
    <row r="1896" spans="1:152" x14ac:dyDescent="0.15">
      <c r="A1896" s="576"/>
      <c r="EO1896" s="6"/>
      <c r="EP1896" s="6"/>
      <c r="EQ1896" s="6"/>
      <c r="ET1896" s="4"/>
      <c r="EU1896" s="4"/>
      <c r="EV1896" s="4"/>
    </row>
    <row r="1897" spans="1:152" x14ac:dyDescent="0.15">
      <c r="A1897" s="576"/>
      <c r="EO1897" s="6"/>
      <c r="EP1897" s="6"/>
      <c r="EQ1897" s="6"/>
      <c r="ET1897" s="4"/>
      <c r="EU1897" s="4"/>
      <c r="EV1897" s="4"/>
    </row>
    <row r="1898" spans="1:152" x14ac:dyDescent="0.15">
      <c r="A1898" s="576"/>
      <c r="EO1898" s="6"/>
      <c r="EP1898" s="6"/>
      <c r="EQ1898" s="6"/>
      <c r="ET1898" s="4"/>
      <c r="EU1898" s="4"/>
      <c r="EV1898" s="4"/>
    </row>
    <row r="1899" spans="1:152" x14ac:dyDescent="0.15">
      <c r="A1899" s="576"/>
      <c r="EO1899" s="6"/>
      <c r="EP1899" s="6"/>
      <c r="EQ1899" s="6"/>
      <c r="ET1899" s="4"/>
      <c r="EU1899" s="4"/>
      <c r="EV1899" s="4"/>
    </row>
    <row r="1900" spans="1:152" x14ac:dyDescent="0.15">
      <c r="A1900" s="576"/>
      <c r="EO1900" s="6"/>
      <c r="EP1900" s="6"/>
      <c r="EQ1900" s="6"/>
      <c r="ET1900" s="4"/>
      <c r="EU1900" s="4"/>
      <c r="EV1900" s="4"/>
    </row>
    <row r="1901" spans="1:152" x14ac:dyDescent="0.15">
      <c r="A1901" s="576"/>
      <c r="EO1901" s="6"/>
      <c r="EP1901" s="6"/>
      <c r="EQ1901" s="6"/>
      <c r="ET1901" s="4"/>
      <c r="EU1901" s="4"/>
      <c r="EV1901" s="4"/>
    </row>
    <row r="1902" spans="1:152" x14ac:dyDescent="0.15">
      <c r="A1902" s="576"/>
      <c r="EO1902" s="6"/>
      <c r="EP1902" s="6"/>
      <c r="EQ1902" s="6"/>
      <c r="ET1902" s="4"/>
      <c r="EU1902" s="4"/>
      <c r="EV1902" s="4"/>
    </row>
    <row r="1903" spans="1:152" x14ac:dyDescent="0.15">
      <c r="A1903" s="576"/>
      <c r="EO1903" s="6"/>
      <c r="EP1903" s="6"/>
      <c r="EQ1903" s="6"/>
      <c r="ET1903" s="4"/>
      <c r="EU1903" s="4"/>
      <c r="EV1903" s="4"/>
    </row>
    <row r="1904" spans="1:152" x14ac:dyDescent="0.15">
      <c r="A1904" s="576"/>
      <c r="EO1904" s="6"/>
      <c r="EP1904" s="6"/>
      <c r="EQ1904" s="6"/>
      <c r="ET1904" s="4"/>
      <c r="EU1904" s="4"/>
      <c r="EV1904" s="4"/>
    </row>
    <row r="1905" spans="1:152" x14ac:dyDescent="0.15">
      <c r="A1905" s="576"/>
      <c r="EO1905" s="6"/>
      <c r="EP1905" s="6"/>
      <c r="EQ1905" s="6"/>
      <c r="ET1905" s="4"/>
      <c r="EU1905" s="4"/>
      <c r="EV1905" s="4"/>
    </row>
    <row r="1906" spans="1:152" x14ac:dyDescent="0.15">
      <c r="A1906" s="576"/>
      <c r="EO1906" s="6"/>
      <c r="EP1906" s="6"/>
      <c r="EQ1906" s="6"/>
      <c r="ET1906" s="4"/>
      <c r="EU1906" s="4"/>
      <c r="EV1906" s="4"/>
    </row>
    <row r="1907" spans="1:152" x14ac:dyDescent="0.15">
      <c r="A1907" s="576"/>
      <c r="EO1907" s="6"/>
      <c r="EP1907" s="6"/>
      <c r="EQ1907" s="6"/>
      <c r="ET1907" s="4"/>
      <c r="EU1907" s="4"/>
      <c r="EV1907" s="4"/>
    </row>
    <row r="1908" spans="1:152" x14ac:dyDescent="0.15">
      <c r="A1908" s="576"/>
      <c r="EO1908" s="6"/>
      <c r="EP1908" s="6"/>
      <c r="EQ1908" s="6"/>
      <c r="ET1908" s="4"/>
      <c r="EU1908" s="4"/>
      <c r="EV1908" s="4"/>
    </row>
    <row r="1909" spans="1:152" x14ac:dyDescent="0.15">
      <c r="A1909" s="576"/>
      <c r="EO1909" s="6"/>
      <c r="EP1909" s="6"/>
      <c r="EQ1909" s="6"/>
      <c r="ET1909" s="4"/>
      <c r="EU1909" s="4"/>
      <c r="EV1909" s="4"/>
    </row>
    <row r="1910" spans="1:152" x14ac:dyDescent="0.15">
      <c r="A1910" s="576"/>
      <c r="EO1910" s="6"/>
      <c r="EP1910" s="6"/>
      <c r="EQ1910" s="6"/>
      <c r="ET1910" s="4"/>
      <c r="EU1910" s="4"/>
      <c r="EV1910" s="4"/>
    </row>
    <row r="1911" spans="1:152" x14ac:dyDescent="0.15">
      <c r="A1911" s="576"/>
      <c r="EO1911" s="6"/>
      <c r="EP1911" s="6"/>
      <c r="EQ1911" s="6"/>
      <c r="ET1911" s="4"/>
      <c r="EU1911" s="4"/>
      <c r="EV1911" s="4"/>
    </row>
    <row r="1912" spans="1:152" x14ac:dyDescent="0.15">
      <c r="A1912" s="576"/>
      <c r="EO1912" s="6"/>
      <c r="EP1912" s="6"/>
      <c r="EQ1912" s="6"/>
      <c r="ET1912" s="4"/>
      <c r="EU1912" s="4"/>
      <c r="EV1912" s="4"/>
    </row>
    <row r="1913" spans="1:152" x14ac:dyDescent="0.15">
      <c r="A1913" s="576"/>
      <c r="EO1913" s="6"/>
      <c r="EP1913" s="6"/>
      <c r="EQ1913" s="6"/>
      <c r="ET1913" s="4"/>
      <c r="EU1913" s="4"/>
      <c r="EV1913" s="4"/>
    </row>
    <row r="1914" spans="1:152" x14ac:dyDescent="0.15">
      <c r="A1914" s="576"/>
      <c r="EO1914" s="6"/>
      <c r="EP1914" s="6"/>
      <c r="EQ1914" s="6"/>
      <c r="ET1914" s="4"/>
      <c r="EU1914" s="4"/>
      <c r="EV1914" s="4"/>
    </row>
    <row r="1915" spans="1:152" x14ac:dyDescent="0.15">
      <c r="A1915" s="576"/>
      <c r="EO1915" s="6"/>
      <c r="EP1915" s="6"/>
      <c r="EQ1915" s="6"/>
      <c r="ET1915" s="4"/>
      <c r="EU1915" s="4"/>
      <c r="EV1915" s="4"/>
    </row>
    <row r="1916" spans="1:152" x14ac:dyDescent="0.15">
      <c r="A1916" s="576"/>
      <c r="EO1916" s="6"/>
      <c r="EP1916" s="6"/>
      <c r="EQ1916" s="6"/>
      <c r="ET1916" s="4"/>
      <c r="EU1916" s="4"/>
      <c r="EV1916" s="4"/>
    </row>
    <row r="1917" spans="1:152" x14ac:dyDescent="0.15">
      <c r="A1917" s="576"/>
      <c r="EO1917" s="6"/>
      <c r="EP1917" s="6"/>
      <c r="EQ1917" s="6"/>
      <c r="ET1917" s="4"/>
      <c r="EU1917" s="4"/>
      <c r="EV1917" s="4"/>
    </row>
    <row r="1918" spans="1:152" x14ac:dyDescent="0.15">
      <c r="A1918" s="576"/>
      <c r="EO1918" s="6"/>
      <c r="EP1918" s="6"/>
      <c r="EQ1918" s="6"/>
      <c r="ET1918" s="4"/>
      <c r="EU1918" s="4"/>
      <c r="EV1918" s="4"/>
    </row>
    <row r="1919" spans="1:152" x14ac:dyDescent="0.15">
      <c r="A1919" s="576"/>
      <c r="EO1919" s="6"/>
      <c r="EP1919" s="6"/>
      <c r="EQ1919" s="6"/>
      <c r="ET1919" s="4"/>
      <c r="EU1919" s="4"/>
      <c r="EV1919" s="4"/>
    </row>
    <row r="1920" spans="1:152" x14ac:dyDescent="0.15">
      <c r="A1920" s="576"/>
      <c r="EO1920" s="6"/>
      <c r="EP1920" s="6"/>
      <c r="EQ1920" s="6"/>
      <c r="ET1920" s="4"/>
      <c r="EU1920" s="4"/>
      <c r="EV1920" s="4"/>
    </row>
    <row r="1921" spans="1:152" x14ac:dyDescent="0.15">
      <c r="A1921" s="576"/>
      <c r="EO1921" s="6"/>
      <c r="EP1921" s="6"/>
      <c r="EQ1921" s="6"/>
      <c r="ET1921" s="4"/>
      <c r="EU1921" s="4"/>
      <c r="EV1921" s="4"/>
    </row>
    <row r="1922" spans="1:152" x14ac:dyDescent="0.15">
      <c r="A1922" s="576"/>
      <c r="EO1922" s="6"/>
      <c r="EP1922" s="6"/>
      <c r="EQ1922" s="6"/>
      <c r="ET1922" s="4"/>
      <c r="EU1922" s="4"/>
      <c r="EV1922" s="4"/>
    </row>
    <row r="1923" spans="1:152" x14ac:dyDescent="0.15">
      <c r="A1923" s="576"/>
      <c r="EO1923" s="6"/>
      <c r="EP1923" s="6"/>
      <c r="EQ1923" s="6"/>
      <c r="ET1923" s="4"/>
      <c r="EU1923" s="4"/>
      <c r="EV1923" s="4"/>
    </row>
    <row r="1924" spans="1:152" x14ac:dyDescent="0.15">
      <c r="A1924" s="576"/>
      <c r="EO1924" s="6"/>
      <c r="EP1924" s="6"/>
      <c r="EQ1924" s="6"/>
      <c r="ET1924" s="4"/>
      <c r="EU1924" s="4"/>
      <c r="EV1924" s="4"/>
    </row>
    <row r="1925" spans="1:152" x14ac:dyDescent="0.15">
      <c r="A1925" s="576"/>
      <c r="EO1925" s="6"/>
      <c r="EP1925" s="6"/>
      <c r="EQ1925" s="6"/>
      <c r="ET1925" s="4"/>
      <c r="EU1925" s="4"/>
      <c r="EV1925" s="4"/>
    </row>
    <row r="1926" spans="1:152" x14ac:dyDescent="0.15">
      <c r="A1926" s="576"/>
      <c r="EO1926" s="6"/>
      <c r="EP1926" s="6"/>
      <c r="EQ1926" s="6"/>
      <c r="ET1926" s="4"/>
      <c r="EU1926" s="4"/>
      <c r="EV1926" s="4"/>
    </row>
    <row r="1927" spans="1:152" x14ac:dyDescent="0.15">
      <c r="A1927" s="576"/>
      <c r="EO1927" s="6"/>
      <c r="EP1927" s="6"/>
      <c r="EQ1927" s="6"/>
      <c r="ET1927" s="4"/>
      <c r="EU1927" s="4"/>
      <c r="EV1927" s="4"/>
    </row>
    <row r="1928" spans="1:152" x14ac:dyDescent="0.15">
      <c r="A1928" s="576"/>
      <c r="EO1928" s="6"/>
      <c r="EP1928" s="6"/>
      <c r="EQ1928" s="6"/>
      <c r="ET1928" s="4"/>
      <c r="EU1928" s="4"/>
      <c r="EV1928" s="4"/>
    </row>
    <row r="1929" spans="1:152" x14ac:dyDescent="0.15">
      <c r="A1929" s="576"/>
      <c r="EO1929" s="6"/>
      <c r="EP1929" s="6"/>
      <c r="EQ1929" s="6"/>
      <c r="ET1929" s="4"/>
      <c r="EU1929" s="4"/>
      <c r="EV1929" s="4"/>
    </row>
    <row r="1930" spans="1:152" x14ac:dyDescent="0.15">
      <c r="A1930" s="576"/>
      <c r="EO1930" s="6"/>
      <c r="EP1930" s="6"/>
      <c r="EQ1930" s="6"/>
      <c r="ET1930" s="4"/>
      <c r="EU1930" s="4"/>
      <c r="EV1930" s="4"/>
    </row>
    <row r="1931" spans="1:152" x14ac:dyDescent="0.15">
      <c r="A1931" s="576"/>
      <c r="EO1931" s="6"/>
      <c r="EP1931" s="6"/>
      <c r="EQ1931" s="6"/>
      <c r="ET1931" s="4"/>
      <c r="EU1931" s="4"/>
      <c r="EV1931" s="4"/>
    </row>
    <row r="1932" spans="1:152" x14ac:dyDescent="0.15">
      <c r="A1932" s="576"/>
      <c r="EO1932" s="6"/>
      <c r="EP1932" s="6"/>
      <c r="EQ1932" s="6"/>
      <c r="ET1932" s="4"/>
      <c r="EU1932" s="4"/>
      <c r="EV1932" s="4"/>
    </row>
    <row r="1933" spans="1:152" x14ac:dyDescent="0.15">
      <c r="A1933" s="576"/>
      <c r="EO1933" s="6"/>
      <c r="EP1933" s="6"/>
      <c r="EQ1933" s="6"/>
      <c r="ET1933" s="4"/>
      <c r="EU1933" s="4"/>
      <c r="EV1933" s="4"/>
    </row>
    <row r="1934" spans="1:152" x14ac:dyDescent="0.15">
      <c r="A1934" s="576"/>
      <c r="EO1934" s="6"/>
      <c r="EP1934" s="6"/>
      <c r="EQ1934" s="6"/>
      <c r="ET1934" s="4"/>
      <c r="EU1934" s="4"/>
      <c r="EV1934" s="4"/>
    </row>
    <row r="1935" spans="1:152" x14ac:dyDescent="0.15">
      <c r="A1935" s="576"/>
      <c r="EO1935" s="6"/>
      <c r="EP1935" s="6"/>
      <c r="EQ1935" s="6"/>
      <c r="ET1935" s="4"/>
      <c r="EU1935" s="4"/>
      <c r="EV1935" s="4"/>
    </row>
    <row r="1936" spans="1:152" x14ac:dyDescent="0.15">
      <c r="A1936" s="576"/>
      <c r="EO1936" s="6"/>
      <c r="EP1936" s="6"/>
      <c r="EQ1936" s="6"/>
      <c r="ET1936" s="4"/>
      <c r="EU1936" s="4"/>
      <c r="EV1936" s="4"/>
    </row>
    <row r="1937" spans="1:152" x14ac:dyDescent="0.15">
      <c r="A1937" s="576"/>
      <c r="EO1937" s="6"/>
      <c r="EP1937" s="6"/>
      <c r="EQ1937" s="6"/>
      <c r="ET1937" s="4"/>
      <c r="EU1937" s="4"/>
      <c r="EV1937" s="4"/>
    </row>
    <row r="1938" spans="1:152" x14ac:dyDescent="0.15">
      <c r="A1938" s="576"/>
      <c r="EO1938" s="6"/>
      <c r="EP1938" s="6"/>
      <c r="EQ1938" s="6"/>
      <c r="ET1938" s="4"/>
      <c r="EU1938" s="4"/>
      <c r="EV1938" s="4"/>
    </row>
    <row r="1939" spans="1:152" x14ac:dyDescent="0.15">
      <c r="A1939" s="576"/>
      <c r="EO1939" s="6"/>
      <c r="EP1939" s="6"/>
      <c r="EQ1939" s="6"/>
      <c r="ET1939" s="4"/>
      <c r="EU1939" s="4"/>
      <c r="EV1939" s="4"/>
    </row>
    <row r="1940" spans="1:152" x14ac:dyDescent="0.15">
      <c r="A1940" s="576"/>
      <c r="EO1940" s="6"/>
      <c r="EP1940" s="6"/>
      <c r="EQ1940" s="6"/>
      <c r="ET1940" s="4"/>
      <c r="EU1940" s="4"/>
      <c r="EV1940" s="4"/>
    </row>
    <row r="1941" spans="1:152" x14ac:dyDescent="0.15">
      <c r="A1941" s="576"/>
      <c r="EO1941" s="6"/>
      <c r="EP1941" s="6"/>
      <c r="EQ1941" s="6"/>
      <c r="ET1941" s="4"/>
      <c r="EU1941" s="4"/>
      <c r="EV1941" s="4"/>
    </row>
    <row r="1942" spans="1:152" x14ac:dyDescent="0.15">
      <c r="A1942" s="576"/>
      <c r="EO1942" s="6"/>
      <c r="EP1942" s="6"/>
      <c r="EQ1942" s="6"/>
      <c r="ET1942" s="4"/>
      <c r="EU1942" s="4"/>
      <c r="EV1942" s="4"/>
    </row>
    <row r="1943" spans="1:152" x14ac:dyDescent="0.15">
      <c r="A1943" s="576"/>
      <c r="EO1943" s="6"/>
      <c r="EP1943" s="6"/>
      <c r="EQ1943" s="6"/>
      <c r="ET1943" s="4"/>
      <c r="EU1943" s="4"/>
      <c r="EV1943" s="4"/>
    </row>
    <row r="1944" spans="1:152" x14ac:dyDescent="0.15">
      <c r="A1944" s="576"/>
      <c r="EO1944" s="6"/>
      <c r="EP1944" s="6"/>
      <c r="EQ1944" s="6"/>
      <c r="ET1944" s="4"/>
      <c r="EU1944" s="4"/>
      <c r="EV1944" s="4"/>
    </row>
    <row r="1945" spans="1:152" x14ac:dyDescent="0.15">
      <c r="A1945" s="576"/>
      <c r="EO1945" s="6"/>
      <c r="EP1945" s="6"/>
      <c r="EQ1945" s="6"/>
      <c r="ET1945" s="4"/>
      <c r="EU1945" s="4"/>
      <c r="EV1945" s="4"/>
    </row>
    <row r="1946" spans="1:152" x14ac:dyDescent="0.15">
      <c r="A1946" s="576"/>
      <c r="EO1946" s="6"/>
      <c r="EP1946" s="6"/>
      <c r="EQ1946" s="6"/>
      <c r="ET1946" s="4"/>
      <c r="EU1946" s="4"/>
      <c r="EV1946" s="4"/>
    </row>
    <row r="1947" spans="1:152" x14ac:dyDescent="0.15">
      <c r="A1947" s="576"/>
      <c r="EO1947" s="6"/>
      <c r="EP1947" s="6"/>
      <c r="EQ1947" s="6"/>
      <c r="ET1947" s="4"/>
      <c r="EU1947" s="4"/>
      <c r="EV1947" s="4"/>
    </row>
    <row r="1948" spans="1:152" x14ac:dyDescent="0.15">
      <c r="A1948" s="576"/>
      <c r="EO1948" s="6"/>
      <c r="EP1948" s="6"/>
      <c r="EQ1948" s="6"/>
      <c r="ET1948" s="4"/>
      <c r="EU1948" s="4"/>
      <c r="EV1948" s="4"/>
    </row>
    <row r="1949" spans="1:152" x14ac:dyDescent="0.15">
      <c r="A1949" s="576"/>
      <c r="EO1949" s="6"/>
      <c r="EP1949" s="6"/>
      <c r="EQ1949" s="6"/>
      <c r="ET1949" s="4"/>
      <c r="EU1949" s="4"/>
      <c r="EV1949" s="4"/>
    </row>
    <row r="1950" spans="1:152" x14ac:dyDescent="0.15">
      <c r="A1950" s="576"/>
      <c r="EO1950" s="6"/>
      <c r="EP1950" s="6"/>
      <c r="EQ1950" s="6"/>
      <c r="ET1950" s="4"/>
      <c r="EU1950" s="4"/>
      <c r="EV1950" s="4"/>
    </row>
    <row r="1951" spans="1:152" x14ac:dyDescent="0.15">
      <c r="A1951" s="576"/>
      <c r="EO1951" s="6"/>
      <c r="EP1951" s="6"/>
      <c r="EQ1951" s="6"/>
      <c r="ET1951" s="4"/>
      <c r="EU1951" s="4"/>
      <c r="EV1951" s="4"/>
    </row>
    <row r="1952" spans="1:152" x14ac:dyDescent="0.15">
      <c r="A1952" s="576"/>
      <c r="EO1952" s="6"/>
      <c r="EP1952" s="6"/>
      <c r="EQ1952" s="6"/>
      <c r="ET1952" s="4"/>
      <c r="EU1952" s="4"/>
      <c r="EV1952" s="4"/>
    </row>
    <row r="1953" spans="1:152" x14ac:dyDescent="0.15">
      <c r="A1953" s="576"/>
      <c r="EO1953" s="6"/>
      <c r="EP1953" s="6"/>
      <c r="EQ1953" s="6"/>
      <c r="ET1953" s="4"/>
      <c r="EU1953" s="4"/>
      <c r="EV1953" s="4"/>
    </row>
    <row r="1954" spans="1:152" x14ac:dyDescent="0.15">
      <c r="A1954" s="576"/>
      <c r="EO1954" s="6"/>
      <c r="EP1954" s="6"/>
      <c r="EQ1954" s="6"/>
      <c r="ET1954" s="4"/>
      <c r="EU1954" s="4"/>
      <c r="EV1954" s="4"/>
    </row>
    <row r="1955" spans="1:152" x14ac:dyDescent="0.15">
      <c r="A1955" s="576"/>
      <c r="EO1955" s="6"/>
      <c r="EP1955" s="6"/>
      <c r="EQ1955" s="6"/>
      <c r="ET1955" s="4"/>
      <c r="EU1955" s="4"/>
      <c r="EV1955" s="4"/>
    </row>
    <row r="1956" spans="1:152" x14ac:dyDescent="0.15">
      <c r="A1956" s="576"/>
      <c r="EO1956" s="6"/>
      <c r="EP1956" s="6"/>
      <c r="EQ1956" s="6"/>
      <c r="ET1956" s="4"/>
      <c r="EU1956" s="4"/>
      <c r="EV1956" s="4"/>
    </row>
    <row r="1957" spans="1:152" x14ac:dyDescent="0.15">
      <c r="A1957" s="576"/>
      <c r="EO1957" s="6"/>
      <c r="EP1957" s="6"/>
      <c r="EQ1957" s="6"/>
      <c r="ET1957" s="4"/>
      <c r="EU1957" s="4"/>
      <c r="EV1957" s="4"/>
    </row>
    <row r="1958" spans="1:152" x14ac:dyDescent="0.15">
      <c r="A1958" s="576"/>
      <c r="EO1958" s="6"/>
      <c r="EP1958" s="6"/>
      <c r="EQ1958" s="6"/>
      <c r="ET1958" s="4"/>
      <c r="EU1958" s="4"/>
      <c r="EV1958" s="4"/>
    </row>
    <row r="1959" spans="1:152" x14ac:dyDescent="0.15">
      <c r="A1959" s="576"/>
      <c r="EO1959" s="6"/>
      <c r="EP1959" s="6"/>
      <c r="EQ1959" s="6"/>
      <c r="ET1959" s="4"/>
      <c r="EU1959" s="4"/>
      <c r="EV1959" s="4"/>
    </row>
    <row r="1960" spans="1:152" x14ac:dyDescent="0.15">
      <c r="A1960" s="576"/>
      <c r="EO1960" s="6"/>
      <c r="EP1960" s="6"/>
      <c r="EQ1960" s="6"/>
      <c r="ET1960" s="4"/>
      <c r="EU1960" s="4"/>
      <c r="EV1960" s="4"/>
    </row>
    <row r="1961" spans="1:152" x14ac:dyDescent="0.15">
      <c r="A1961" s="576"/>
      <c r="EO1961" s="6"/>
      <c r="EP1961" s="6"/>
      <c r="EQ1961" s="6"/>
      <c r="ET1961" s="4"/>
      <c r="EU1961" s="4"/>
      <c r="EV1961" s="4"/>
    </row>
    <row r="1962" spans="1:152" x14ac:dyDescent="0.15">
      <c r="A1962" s="576"/>
      <c r="EO1962" s="6"/>
      <c r="EP1962" s="6"/>
      <c r="EQ1962" s="6"/>
      <c r="ET1962" s="4"/>
      <c r="EU1962" s="4"/>
      <c r="EV1962" s="4"/>
    </row>
    <row r="1963" spans="1:152" x14ac:dyDescent="0.15">
      <c r="A1963" s="576"/>
      <c r="EO1963" s="6"/>
      <c r="EP1963" s="6"/>
      <c r="EQ1963" s="6"/>
      <c r="ET1963" s="4"/>
      <c r="EU1963" s="4"/>
      <c r="EV1963" s="4"/>
    </row>
    <row r="1964" spans="1:152" x14ac:dyDescent="0.15">
      <c r="A1964" s="576"/>
      <c r="EO1964" s="6"/>
      <c r="EP1964" s="6"/>
      <c r="EQ1964" s="6"/>
      <c r="ET1964" s="4"/>
      <c r="EU1964" s="4"/>
      <c r="EV1964" s="4"/>
    </row>
    <row r="1965" spans="1:152" x14ac:dyDescent="0.15">
      <c r="A1965" s="576"/>
      <c r="EO1965" s="6"/>
      <c r="EP1965" s="6"/>
      <c r="EQ1965" s="6"/>
      <c r="ET1965" s="4"/>
      <c r="EU1965" s="4"/>
      <c r="EV1965" s="4"/>
    </row>
    <row r="1966" spans="1:152" x14ac:dyDescent="0.15">
      <c r="A1966" s="576"/>
      <c r="EO1966" s="6"/>
      <c r="EP1966" s="6"/>
      <c r="EQ1966" s="6"/>
      <c r="ET1966" s="4"/>
      <c r="EU1966" s="4"/>
      <c r="EV1966" s="4"/>
    </row>
    <row r="1967" spans="1:152" x14ac:dyDescent="0.15">
      <c r="A1967" s="576"/>
      <c r="EO1967" s="6"/>
      <c r="EP1967" s="6"/>
      <c r="EQ1967" s="6"/>
      <c r="ET1967" s="4"/>
      <c r="EU1967" s="4"/>
      <c r="EV1967" s="4"/>
    </row>
    <row r="1968" spans="1:152" x14ac:dyDescent="0.15">
      <c r="A1968" s="576"/>
      <c r="EO1968" s="6"/>
      <c r="EP1968" s="6"/>
      <c r="EQ1968" s="6"/>
      <c r="ET1968" s="4"/>
      <c r="EU1968" s="4"/>
      <c r="EV1968" s="4"/>
    </row>
    <row r="1969" spans="1:152" x14ac:dyDescent="0.15">
      <c r="A1969" s="576"/>
      <c r="EO1969" s="6"/>
      <c r="EP1969" s="6"/>
      <c r="EQ1969" s="6"/>
      <c r="ET1969" s="4"/>
      <c r="EU1969" s="4"/>
      <c r="EV1969" s="4"/>
    </row>
    <row r="1970" spans="1:152" x14ac:dyDescent="0.15">
      <c r="A1970" s="576"/>
      <c r="EO1970" s="6"/>
      <c r="EP1970" s="6"/>
      <c r="EQ1970" s="6"/>
      <c r="ET1970" s="4"/>
      <c r="EU1970" s="4"/>
      <c r="EV1970" s="4"/>
    </row>
    <row r="1971" spans="1:152" x14ac:dyDescent="0.15">
      <c r="A1971" s="576"/>
      <c r="EO1971" s="6"/>
      <c r="EP1971" s="6"/>
      <c r="EQ1971" s="6"/>
      <c r="ET1971" s="4"/>
      <c r="EU1971" s="4"/>
      <c r="EV1971" s="4"/>
    </row>
    <row r="1972" spans="1:152" x14ac:dyDescent="0.15">
      <c r="A1972" s="576"/>
      <c r="EO1972" s="6"/>
      <c r="EP1972" s="6"/>
      <c r="EQ1972" s="6"/>
      <c r="ET1972" s="4"/>
      <c r="EU1972" s="4"/>
      <c r="EV1972" s="4"/>
    </row>
    <row r="1973" spans="1:152" x14ac:dyDescent="0.15">
      <c r="A1973" s="576"/>
      <c r="EO1973" s="6"/>
      <c r="EP1973" s="6"/>
      <c r="EQ1973" s="6"/>
      <c r="ET1973" s="4"/>
      <c r="EU1973" s="4"/>
      <c r="EV1973" s="4"/>
    </row>
    <row r="1974" spans="1:152" x14ac:dyDescent="0.15">
      <c r="A1974" s="576"/>
      <c r="EO1974" s="6"/>
      <c r="EP1974" s="6"/>
      <c r="EQ1974" s="6"/>
      <c r="ET1974" s="4"/>
      <c r="EU1974" s="4"/>
      <c r="EV1974" s="4"/>
    </row>
    <row r="1975" spans="1:152" x14ac:dyDescent="0.15">
      <c r="A1975" s="576"/>
      <c r="EO1975" s="6"/>
      <c r="EP1975" s="6"/>
      <c r="EQ1975" s="6"/>
      <c r="ET1975" s="4"/>
      <c r="EU1975" s="4"/>
      <c r="EV1975" s="4"/>
    </row>
    <row r="1976" spans="1:152" x14ac:dyDescent="0.15">
      <c r="A1976" s="576"/>
      <c r="EO1976" s="6"/>
      <c r="EP1976" s="6"/>
      <c r="EQ1976" s="6"/>
      <c r="ET1976" s="4"/>
      <c r="EU1976" s="4"/>
      <c r="EV1976" s="4"/>
    </row>
    <row r="1977" spans="1:152" x14ac:dyDescent="0.15">
      <c r="A1977" s="576"/>
      <c r="EO1977" s="6"/>
      <c r="EP1977" s="6"/>
      <c r="EQ1977" s="6"/>
      <c r="ET1977" s="4"/>
      <c r="EU1977" s="4"/>
      <c r="EV1977" s="4"/>
    </row>
    <row r="1978" spans="1:152" x14ac:dyDescent="0.15">
      <c r="A1978" s="576"/>
      <c r="EO1978" s="6"/>
      <c r="EP1978" s="6"/>
      <c r="EQ1978" s="6"/>
      <c r="ET1978" s="4"/>
      <c r="EU1978" s="4"/>
      <c r="EV1978" s="4"/>
    </row>
    <row r="1979" spans="1:152" x14ac:dyDescent="0.15">
      <c r="A1979" s="576"/>
      <c r="EO1979" s="6"/>
      <c r="EP1979" s="6"/>
      <c r="EQ1979" s="6"/>
      <c r="ET1979" s="4"/>
      <c r="EU1979" s="4"/>
      <c r="EV1979" s="4"/>
    </row>
    <row r="1980" spans="1:152" x14ac:dyDescent="0.15">
      <c r="A1980" s="576"/>
      <c r="EO1980" s="6"/>
      <c r="EP1980" s="6"/>
      <c r="EQ1980" s="6"/>
      <c r="ET1980" s="4"/>
      <c r="EU1980" s="4"/>
      <c r="EV1980" s="4"/>
    </row>
    <row r="1981" spans="1:152" x14ac:dyDescent="0.15">
      <c r="A1981" s="576"/>
      <c r="EO1981" s="6"/>
      <c r="EP1981" s="6"/>
      <c r="EQ1981" s="6"/>
      <c r="ET1981" s="4"/>
      <c r="EU1981" s="4"/>
      <c r="EV1981" s="4"/>
    </row>
    <row r="1982" spans="1:152" x14ac:dyDescent="0.15">
      <c r="A1982" s="576"/>
      <c r="EO1982" s="6"/>
      <c r="EP1982" s="6"/>
      <c r="EQ1982" s="6"/>
      <c r="ET1982" s="4"/>
      <c r="EU1982" s="4"/>
      <c r="EV1982" s="4"/>
    </row>
    <row r="1983" spans="1:152" x14ac:dyDescent="0.15">
      <c r="A1983" s="576"/>
      <c r="EO1983" s="6"/>
      <c r="EP1983" s="6"/>
      <c r="EQ1983" s="6"/>
      <c r="ET1983" s="4"/>
      <c r="EU1983" s="4"/>
      <c r="EV1983" s="4"/>
    </row>
    <row r="1984" spans="1:152" x14ac:dyDescent="0.15">
      <c r="A1984" s="576"/>
      <c r="EO1984" s="6"/>
      <c r="EP1984" s="6"/>
      <c r="EQ1984" s="6"/>
      <c r="ET1984" s="4"/>
      <c r="EU1984" s="4"/>
      <c r="EV1984" s="4"/>
    </row>
    <row r="1985" spans="1:152" x14ac:dyDescent="0.15">
      <c r="A1985" s="576"/>
      <c r="EO1985" s="6"/>
      <c r="EP1985" s="6"/>
      <c r="EQ1985" s="6"/>
      <c r="ET1985" s="4"/>
      <c r="EU1985" s="4"/>
      <c r="EV1985" s="4"/>
    </row>
    <row r="1986" spans="1:152" x14ac:dyDescent="0.15">
      <c r="A1986" s="576"/>
      <c r="EO1986" s="6"/>
      <c r="EP1986" s="6"/>
      <c r="EQ1986" s="6"/>
      <c r="ET1986" s="4"/>
      <c r="EU1986" s="4"/>
      <c r="EV1986" s="4"/>
    </row>
    <row r="1987" spans="1:152" x14ac:dyDescent="0.15">
      <c r="A1987" s="576"/>
      <c r="EO1987" s="6"/>
      <c r="EP1987" s="6"/>
      <c r="EQ1987" s="6"/>
      <c r="ET1987" s="4"/>
      <c r="EU1987" s="4"/>
      <c r="EV1987" s="4"/>
    </row>
    <row r="1988" spans="1:152" x14ac:dyDescent="0.15">
      <c r="A1988" s="576"/>
      <c r="EO1988" s="6"/>
      <c r="EP1988" s="6"/>
      <c r="EQ1988" s="6"/>
      <c r="ET1988" s="4"/>
      <c r="EU1988" s="4"/>
      <c r="EV1988" s="4"/>
    </row>
    <row r="1989" spans="1:152" x14ac:dyDescent="0.15">
      <c r="A1989" s="576"/>
      <c r="EO1989" s="6"/>
      <c r="EP1989" s="6"/>
      <c r="EQ1989" s="6"/>
      <c r="ET1989" s="4"/>
      <c r="EU1989" s="4"/>
      <c r="EV1989" s="4"/>
    </row>
    <row r="1990" spans="1:152" x14ac:dyDescent="0.15">
      <c r="A1990" s="576"/>
      <c r="EO1990" s="6"/>
      <c r="EP1990" s="6"/>
      <c r="EQ1990" s="6"/>
      <c r="ET1990" s="4"/>
      <c r="EU1990" s="4"/>
      <c r="EV1990" s="4"/>
    </row>
    <row r="1991" spans="1:152" x14ac:dyDescent="0.15">
      <c r="A1991" s="576"/>
      <c r="EO1991" s="6"/>
      <c r="EP1991" s="6"/>
      <c r="EQ1991" s="6"/>
      <c r="ET1991" s="4"/>
      <c r="EU1991" s="4"/>
      <c r="EV1991" s="4"/>
    </row>
    <row r="1992" spans="1:152" x14ac:dyDescent="0.15">
      <c r="A1992" s="576"/>
      <c r="EO1992" s="6"/>
      <c r="EP1992" s="6"/>
      <c r="EQ1992" s="6"/>
      <c r="ET1992" s="4"/>
      <c r="EU1992" s="4"/>
      <c r="EV1992" s="4"/>
    </row>
    <row r="1993" spans="1:152" x14ac:dyDescent="0.15">
      <c r="A1993" s="576"/>
      <c r="EO1993" s="6"/>
      <c r="EP1993" s="6"/>
      <c r="EQ1993" s="6"/>
      <c r="ET1993" s="4"/>
      <c r="EU1993" s="4"/>
      <c r="EV1993" s="4"/>
    </row>
    <row r="1994" spans="1:152" x14ac:dyDescent="0.15">
      <c r="A1994" s="576"/>
      <c r="EO1994" s="6"/>
      <c r="EP1994" s="6"/>
      <c r="EQ1994" s="6"/>
      <c r="ET1994" s="4"/>
      <c r="EU1994" s="4"/>
      <c r="EV1994" s="4"/>
    </row>
    <row r="1995" spans="1:152" x14ac:dyDescent="0.15">
      <c r="A1995" s="576"/>
      <c r="EO1995" s="6"/>
      <c r="EP1995" s="6"/>
      <c r="EQ1995" s="6"/>
      <c r="ET1995" s="4"/>
      <c r="EU1995" s="4"/>
      <c r="EV1995" s="4"/>
    </row>
    <row r="1996" spans="1:152" x14ac:dyDescent="0.15">
      <c r="A1996" s="576"/>
      <c r="EO1996" s="6"/>
      <c r="EP1996" s="6"/>
      <c r="EQ1996" s="6"/>
      <c r="ET1996" s="4"/>
      <c r="EU1996" s="4"/>
      <c r="EV1996" s="4"/>
    </row>
    <row r="1997" spans="1:152" x14ac:dyDescent="0.15">
      <c r="A1997" s="576"/>
      <c r="EO1997" s="6"/>
      <c r="EP1997" s="6"/>
      <c r="EQ1997" s="6"/>
      <c r="ET1997" s="4"/>
      <c r="EU1997" s="4"/>
      <c r="EV1997" s="4"/>
    </row>
    <row r="1998" spans="1:152" x14ac:dyDescent="0.15">
      <c r="A1998" s="576"/>
      <c r="EO1998" s="6"/>
      <c r="EP1998" s="6"/>
      <c r="EQ1998" s="6"/>
      <c r="ET1998" s="4"/>
      <c r="EU1998" s="4"/>
      <c r="EV1998" s="4"/>
    </row>
    <row r="1999" spans="1:152" x14ac:dyDescent="0.15">
      <c r="A1999" s="576"/>
      <c r="EO1999" s="6"/>
      <c r="EP1999" s="6"/>
      <c r="EQ1999" s="6"/>
      <c r="ET1999" s="4"/>
      <c r="EU1999" s="4"/>
      <c r="EV1999" s="4"/>
    </row>
    <row r="2000" spans="1:152" x14ac:dyDescent="0.15">
      <c r="A2000" s="576"/>
      <c r="EO2000" s="6"/>
      <c r="EP2000" s="6"/>
      <c r="EQ2000" s="6"/>
      <c r="ET2000" s="4"/>
      <c r="EU2000" s="4"/>
      <c r="EV2000" s="4"/>
    </row>
    <row r="2001" spans="1:152" x14ac:dyDescent="0.15">
      <c r="A2001" s="576"/>
      <c r="EO2001" s="6"/>
      <c r="EP2001" s="6"/>
      <c r="EQ2001" s="6"/>
      <c r="ET2001" s="4"/>
      <c r="EU2001" s="4"/>
      <c r="EV2001" s="4"/>
    </row>
    <row r="2002" spans="1:152" x14ac:dyDescent="0.15">
      <c r="A2002" s="576"/>
      <c r="EO2002" s="6"/>
      <c r="EP2002" s="6"/>
      <c r="EQ2002" s="6"/>
      <c r="ET2002" s="4"/>
      <c r="EU2002" s="4"/>
      <c r="EV2002" s="4"/>
    </row>
    <row r="2003" spans="1:152" x14ac:dyDescent="0.15">
      <c r="A2003" s="576"/>
      <c r="EO2003" s="6"/>
      <c r="EP2003" s="6"/>
      <c r="EQ2003" s="6"/>
      <c r="ET2003" s="4"/>
      <c r="EU2003" s="4"/>
      <c r="EV2003" s="4"/>
    </row>
    <row r="2004" spans="1:152" x14ac:dyDescent="0.15">
      <c r="A2004" s="576"/>
      <c r="EO2004" s="6"/>
      <c r="EP2004" s="6"/>
      <c r="EQ2004" s="6"/>
      <c r="ET2004" s="4"/>
      <c r="EU2004" s="4"/>
      <c r="EV2004" s="4"/>
    </row>
    <row r="2005" spans="1:152" x14ac:dyDescent="0.15">
      <c r="A2005" s="576"/>
      <c r="EO2005" s="6"/>
      <c r="EP2005" s="6"/>
      <c r="EQ2005" s="6"/>
      <c r="ET2005" s="4"/>
      <c r="EU2005" s="4"/>
      <c r="EV2005" s="4"/>
    </row>
    <row r="2006" spans="1:152" x14ac:dyDescent="0.15">
      <c r="A2006" s="576"/>
      <c r="EO2006" s="6"/>
      <c r="EP2006" s="6"/>
      <c r="EQ2006" s="6"/>
      <c r="ET2006" s="4"/>
      <c r="EU2006" s="4"/>
      <c r="EV2006" s="4"/>
    </row>
    <row r="2007" spans="1:152" x14ac:dyDescent="0.15">
      <c r="A2007" s="576"/>
      <c r="EO2007" s="6"/>
      <c r="EP2007" s="6"/>
      <c r="EQ2007" s="6"/>
      <c r="ET2007" s="4"/>
      <c r="EU2007" s="4"/>
      <c r="EV2007" s="4"/>
    </row>
    <row r="2008" spans="1:152" x14ac:dyDescent="0.15">
      <c r="A2008" s="576"/>
      <c r="EO2008" s="6"/>
      <c r="EP2008" s="6"/>
      <c r="EQ2008" s="6"/>
      <c r="ET2008" s="4"/>
      <c r="EU2008" s="4"/>
      <c r="EV2008" s="4"/>
    </row>
    <row r="2009" spans="1:152" x14ac:dyDescent="0.15">
      <c r="A2009" s="576"/>
      <c r="EO2009" s="6"/>
      <c r="EP2009" s="6"/>
      <c r="EQ2009" s="6"/>
      <c r="ET2009" s="4"/>
      <c r="EU2009" s="4"/>
      <c r="EV2009" s="4"/>
    </row>
    <row r="2010" spans="1:152" x14ac:dyDescent="0.15">
      <c r="A2010" s="576"/>
      <c r="EO2010" s="6"/>
      <c r="EP2010" s="6"/>
      <c r="EQ2010" s="6"/>
      <c r="ET2010" s="4"/>
      <c r="EU2010" s="4"/>
      <c r="EV2010" s="4"/>
    </row>
    <row r="2011" spans="1:152" x14ac:dyDescent="0.15">
      <c r="A2011" s="576"/>
      <c r="EO2011" s="6"/>
      <c r="EP2011" s="6"/>
      <c r="EQ2011" s="6"/>
      <c r="ET2011" s="4"/>
      <c r="EU2011" s="4"/>
      <c r="EV2011" s="4"/>
    </row>
    <row r="2012" spans="1:152" x14ac:dyDescent="0.15">
      <c r="A2012" s="576"/>
      <c r="EO2012" s="6"/>
      <c r="EP2012" s="6"/>
      <c r="EQ2012" s="6"/>
      <c r="ET2012" s="4"/>
      <c r="EU2012" s="4"/>
      <c r="EV2012" s="4"/>
    </row>
    <row r="2013" spans="1:152" x14ac:dyDescent="0.15">
      <c r="A2013" s="576"/>
      <c r="EO2013" s="6"/>
      <c r="EP2013" s="6"/>
      <c r="EQ2013" s="6"/>
      <c r="ET2013" s="4"/>
      <c r="EU2013" s="4"/>
      <c r="EV2013" s="4"/>
    </row>
    <row r="2014" spans="1:152" x14ac:dyDescent="0.15">
      <c r="A2014" s="576"/>
      <c r="EO2014" s="6"/>
      <c r="EP2014" s="6"/>
      <c r="EQ2014" s="6"/>
      <c r="ET2014" s="4"/>
      <c r="EU2014" s="4"/>
      <c r="EV2014" s="4"/>
    </row>
    <row r="2015" spans="1:152" x14ac:dyDescent="0.15">
      <c r="A2015" s="576"/>
      <c r="EO2015" s="6"/>
      <c r="EP2015" s="6"/>
      <c r="EQ2015" s="6"/>
      <c r="ET2015" s="4"/>
      <c r="EU2015" s="4"/>
      <c r="EV2015" s="4"/>
    </row>
    <row r="2016" spans="1:152" x14ac:dyDescent="0.15">
      <c r="A2016" s="576"/>
      <c r="EO2016" s="6"/>
      <c r="EP2016" s="6"/>
      <c r="EQ2016" s="6"/>
      <c r="ET2016" s="4"/>
      <c r="EU2016" s="4"/>
      <c r="EV2016" s="4"/>
    </row>
    <row r="2017" spans="1:152" x14ac:dyDescent="0.15">
      <c r="A2017" s="576"/>
      <c r="EO2017" s="6"/>
      <c r="EP2017" s="6"/>
      <c r="EQ2017" s="6"/>
      <c r="ET2017" s="4"/>
      <c r="EU2017" s="4"/>
      <c r="EV2017" s="4"/>
    </row>
    <row r="2018" spans="1:152" x14ac:dyDescent="0.15">
      <c r="A2018" s="576"/>
      <c r="EO2018" s="6"/>
      <c r="EP2018" s="6"/>
      <c r="EQ2018" s="6"/>
      <c r="ET2018" s="4"/>
      <c r="EU2018" s="4"/>
      <c r="EV2018" s="4"/>
    </row>
    <row r="2019" spans="1:152" x14ac:dyDescent="0.15">
      <c r="A2019" s="576"/>
      <c r="EO2019" s="6"/>
      <c r="EP2019" s="6"/>
      <c r="EQ2019" s="6"/>
      <c r="ET2019" s="4"/>
      <c r="EU2019" s="4"/>
      <c r="EV2019" s="4"/>
    </row>
    <row r="2020" spans="1:152" x14ac:dyDescent="0.15">
      <c r="A2020" s="576"/>
      <c r="EO2020" s="6"/>
      <c r="EP2020" s="6"/>
      <c r="EQ2020" s="6"/>
      <c r="ET2020" s="4"/>
      <c r="EU2020" s="4"/>
      <c r="EV2020" s="4"/>
    </row>
    <row r="2021" spans="1:152" x14ac:dyDescent="0.15">
      <c r="A2021" s="576"/>
      <c r="EO2021" s="6"/>
      <c r="EP2021" s="6"/>
      <c r="EQ2021" s="6"/>
      <c r="ET2021" s="4"/>
      <c r="EU2021" s="4"/>
      <c r="EV2021" s="4"/>
    </row>
    <row r="2022" spans="1:152" x14ac:dyDescent="0.15">
      <c r="A2022" s="576"/>
      <c r="EO2022" s="6"/>
      <c r="EP2022" s="6"/>
      <c r="EQ2022" s="6"/>
      <c r="ET2022" s="4"/>
      <c r="EU2022" s="4"/>
      <c r="EV2022" s="4"/>
    </row>
    <row r="2023" spans="1:152" x14ac:dyDescent="0.15">
      <c r="A2023" s="576"/>
      <c r="EO2023" s="6"/>
      <c r="EP2023" s="6"/>
      <c r="EQ2023" s="6"/>
      <c r="ET2023" s="4"/>
      <c r="EU2023" s="4"/>
      <c r="EV2023" s="4"/>
    </row>
    <row r="2024" spans="1:152" x14ac:dyDescent="0.15">
      <c r="A2024" s="576"/>
      <c r="EO2024" s="6"/>
      <c r="EP2024" s="6"/>
      <c r="EQ2024" s="6"/>
      <c r="ET2024" s="4"/>
      <c r="EU2024" s="4"/>
      <c r="EV2024" s="4"/>
    </row>
    <row r="2025" spans="1:152" x14ac:dyDescent="0.15">
      <c r="A2025" s="576"/>
      <c r="EO2025" s="6"/>
      <c r="EP2025" s="6"/>
      <c r="EQ2025" s="6"/>
      <c r="ET2025" s="4"/>
      <c r="EU2025" s="4"/>
      <c r="EV2025" s="4"/>
    </row>
    <row r="2026" spans="1:152" x14ac:dyDescent="0.15">
      <c r="A2026" s="576"/>
      <c r="EO2026" s="6"/>
      <c r="EP2026" s="6"/>
      <c r="EQ2026" s="6"/>
      <c r="ET2026" s="4"/>
      <c r="EU2026" s="4"/>
      <c r="EV2026" s="4"/>
    </row>
    <row r="2027" spans="1:152" x14ac:dyDescent="0.15">
      <c r="A2027" s="576"/>
      <c r="EO2027" s="6"/>
      <c r="EP2027" s="6"/>
      <c r="EQ2027" s="6"/>
      <c r="ET2027" s="4"/>
      <c r="EU2027" s="4"/>
      <c r="EV2027" s="4"/>
    </row>
    <row r="2028" spans="1:152" x14ac:dyDescent="0.15">
      <c r="A2028" s="576"/>
      <c r="EO2028" s="6"/>
      <c r="EP2028" s="6"/>
      <c r="EQ2028" s="6"/>
      <c r="ET2028" s="4"/>
      <c r="EU2028" s="4"/>
      <c r="EV2028" s="4"/>
    </row>
    <row r="2029" spans="1:152" x14ac:dyDescent="0.15">
      <c r="A2029" s="576"/>
      <c r="EO2029" s="6"/>
      <c r="EP2029" s="6"/>
      <c r="EQ2029" s="6"/>
      <c r="ET2029" s="4"/>
      <c r="EU2029" s="4"/>
      <c r="EV2029" s="4"/>
    </row>
    <row r="2030" spans="1:152" x14ac:dyDescent="0.15">
      <c r="A2030" s="576"/>
      <c r="EO2030" s="6"/>
      <c r="EP2030" s="6"/>
      <c r="EQ2030" s="6"/>
      <c r="ET2030" s="4"/>
      <c r="EU2030" s="4"/>
      <c r="EV2030" s="4"/>
    </row>
    <row r="2031" spans="1:152" x14ac:dyDescent="0.15">
      <c r="A2031" s="576"/>
      <c r="EO2031" s="6"/>
      <c r="EP2031" s="6"/>
      <c r="EQ2031" s="6"/>
      <c r="ET2031" s="4"/>
      <c r="EU2031" s="4"/>
      <c r="EV2031" s="4"/>
    </row>
    <row r="2032" spans="1:152" x14ac:dyDescent="0.15">
      <c r="A2032" s="576"/>
      <c r="EO2032" s="6"/>
      <c r="EP2032" s="6"/>
      <c r="EQ2032" s="6"/>
      <c r="ET2032" s="4"/>
      <c r="EU2032" s="4"/>
      <c r="EV2032" s="4"/>
    </row>
    <row r="2033" spans="1:152" x14ac:dyDescent="0.15">
      <c r="A2033" s="576"/>
      <c r="EO2033" s="6"/>
      <c r="EP2033" s="6"/>
      <c r="EQ2033" s="6"/>
      <c r="ET2033" s="4"/>
      <c r="EU2033" s="4"/>
      <c r="EV2033" s="4"/>
    </row>
    <row r="2034" spans="1:152" x14ac:dyDescent="0.15">
      <c r="A2034" s="576"/>
      <c r="EO2034" s="6"/>
      <c r="EP2034" s="6"/>
      <c r="EQ2034" s="6"/>
      <c r="ET2034" s="4"/>
      <c r="EU2034" s="4"/>
      <c r="EV2034" s="4"/>
    </row>
    <row r="2035" spans="1:152" x14ac:dyDescent="0.15">
      <c r="A2035" s="576"/>
      <c r="EO2035" s="6"/>
      <c r="EP2035" s="6"/>
      <c r="EQ2035" s="6"/>
      <c r="ET2035" s="4"/>
      <c r="EU2035" s="4"/>
      <c r="EV2035" s="4"/>
    </row>
    <row r="2036" spans="1:152" x14ac:dyDescent="0.15">
      <c r="A2036" s="576"/>
      <c r="EO2036" s="6"/>
      <c r="EP2036" s="6"/>
      <c r="EQ2036" s="6"/>
      <c r="ET2036" s="4"/>
      <c r="EU2036" s="4"/>
      <c r="EV2036" s="4"/>
    </row>
    <row r="2037" spans="1:152" x14ac:dyDescent="0.15">
      <c r="A2037" s="576"/>
      <c r="EO2037" s="6"/>
      <c r="EP2037" s="6"/>
      <c r="EQ2037" s="6"/>
      <c r="ET2037" s="4"/>
      <c r="EU2037" s="4"/>
      <c r="EV2037" s="4"/>
    </row>
    <row r="2038" spans="1:152" x14ac:dyDescent="0.15">
      <c r="A2038" s="576"/>
      <c r="EO2038" s="6"/>
      <c r="EP2038" s="6"/>
      <c r="EQ2038" s="6"/>
      <c r="ET2038" s="4"/>
      <c r="EU2038" s="4"/>
      <c r="EV2038" s="4"/>
    </row>
    <row r="2039" spans="1:152" x14ac:dyDescent="0.15">
      <c r="A2039" s="576"/>
      <c r="EO2039" s="6"/>
      <c r="EP2039" s="6"/>
      <c r="EQ2039" s="6"/>
      <c r="ET2039" s="4"/>
      <c r="EU2039" s="4"/>
      <c r="EV2039" s="4"/>
    </row>
    <row r="2040" spans="1:152" x14ac:dyDescent="0.15">
      <c r="A2040" s="576"/>
      <c r="EO2040" s="6"/>
      <c r="EP2040" s="6"/>
      <c r="EQ2040" s="6"/>
      <c r="ET2040" s="4"/>
      <c r="EU2040" s="4"/>
      <c r="EV2040" s="4"/>
    </row>
    <row r="2041" spans="1:152" x14ac:dyDescent="0.15">
      <c r="A2041" s="576"/>
      <c r="EO2041" s="6"/>
      <c r="EP2041" s="6"/>
      <c r="EQ2041" s="6"/>
      <c r="ET2041" s="4"/>
      <c r="EU2041" s="4"/>
      <c r="EV2041" s="4"/>
    </row>
    <row r="2042" spans="1:152" x14ac:dyDescent="0.15">
      <c r="A2042" s="576"/>
      <c r="EO2042" s="6"/>
      <c r="EP2042" s="6"/>
      <c r="EQ2042" s="6"/>
      <c r="ET2042" s="4"/>
      <c r="EU2042" s="4"/>
      <c r="EV2042" s="4"/>
    </row>
    <row r="2043" spans="1:152" x14ac:dyDescent="0.15">
      <c r="A2043" s="576"/>
      <c r="EO2043" s="6"/>
      <c r="EP2043" s="6"/>
      <c r="EQ2043" s="6"/>
      <c r="ET2043" s="4"/>
      <c r="EU2043" s="4"/>
      <c r="EV2043" s="4"/>
    </row>
    <row r="2044" spans="1:152" x14ac:dyDescent="0.15">
      <c r="A2044" s="576"/>
      <c r="EO2044" s="6"/>
      <c r="EP2044" s="6"/>
      <c r="EQ2044" s="6"/>
      <c r="ET2044" s="4"/>
      <c r="EU2044" s="4"/>
      <c r="EV2044" s="4"/>
    </row>
    <row r="2045" spans="1:152" x14ac:dyDescent="0.15">
      <c r="A2045" s="576"/>
      <c r="EO2045" s="6"/>
      <c r="EP2045" s="6"/>
      <c r="EQ2045" s="6"/>
      <c r="ET2045" s="4"/>
      <c r="EU2045" s="4"/>
      <c r="EV2045" s="4"/>
    </row>
    <row r="2046" spans="1:152" x14ac:dyDescent="0.15">
      <c r="A2046" s="576"/>
      <c r="EO2046" s="6"/>
      <c r="EP2046" s="6"/>
      <c r="EQ2046" s="6"/>
      <c r="ET2046" s="4"/>
      <c r="EU2046" s="4"/>
      <c r="EV2046" s="4"/>
    </row>
    <row r="2047" spans="1:152" x14ac:dyDescent="0.15">
      <c r="A2047" s="576"/>
      <c r="EO2047" s="6"/>
      <c r="EP2047" s="6"/>
      <c r="EQ2047" s="6"/>
      <c r="ET2047" s="4"/>
      <c r="EU2047" s="4"/>
      <c r="EV2047" s="4"/>
    </row>
    <row r="2048" spans="1:152" x14ac:dyDescent="0.15">
      <c r="A2048" s="576"/>
      <c r="EO2048" s="6"/>
      <c r="EP2048" s="6"/>
      <c r="EQ2048" s="6"/>
      <c r="ET2048" s="4"/>
      <c r="EU2048" s="4"/>
      <c r="EV2048" s="4"/>
    </row>
    <row r="2049" spans="1:152" x14ac:dyDescent="0.15">
      <c r="A2049" s="576"/>
      <c r="EO2049" s="6"/>
      <c r="EP2049" s="6"/>
      <c r="EQ2049" s="6"/>
      <c r="ET2049" s="4"/>
      <c r="EU2049" s="4"/>
      <c r="EV2049" s="4"/>
    </row>
    <row r="2050" spans="1:152" x14ac:dyDescent="0.15">
      <c r="A2050" s="576"/>
      <c r="EO2050" s="6"/>
      <c r="EP2050" s="6"/>
      <c r="EQ2050" s="6"/>
      <c r="ET2050" s="4"/>
      <c r="EU2050" s="4"/>
      <c r="EV2050" s="4"/>
    </row>
    <row r="2051" spans="1:152" x14ac:dyDescent="0.15">
      <c r="A2051" s="576"/>
      <c r="EO2051" s="6"/>
      <c r="EP2051" s="6"/>
      <c r="EQ2051" s="6"/>
      <c r="ET2051" s="4"/>
      <c r="EU2051" s="4"/>
      <c r="EV2051" s="4"/>
    </row>
    <row r="2052" spans="1:152" x14ac:dyDescent="0.15">
      <c r="A2052" s="576"/>
      <c r="EO2052" s="6"/>
      <c r="EP2052" s="6"/>
      <c r="EQ2052" s="6"/>
      <c r="ET2052" s="4"/>
      <c r="EU2052" s="4"/>
      <c r="EV2052" s="4"/>
    </row>
    <row r="2053" spans="1:152" x14ac:dyDescent="0.15">
      <c r="A2053" s="576"/>
      <c r="EO2053" s="6"/>
      <c r="EP2053" s="6"/>
      <c r="EQ2053" s="6"/>
      <c r="ET2053" s="4"/>
      <c r="EU2053" s="4"/>
      <c r="EV2053" s="4"/>
    </row>
    <row r="2054" spans="1:152" x14ac:dyDescent="0.15">
      <c r="A2054" s="576"/>
      <c r="EO2054" s="6"/>
      <c r="EP2054" s="6"/>
      <c r="EQ2054" s="6"/>
      <c r="ET2054" s="4"/>
      <c r="EU2054" s="4"/>
      <c r="EV2054" s="4"/>
    </row>
    <row r="2055" spans="1:152" x14ac:dyDescent="0.15">
      <c r="A2055" s="576"/>
      <c r="EO2055" s="6"/>
      <c r="EP2055" s="6"/>
      <c r="EQ2055" s="6"/>
      <c r="ET2055" s="4"/>
      <c r="EU2055" s="4"/>
      <c r="EV2055" s="4"/>
    </row>
    <row r="2056" spans="1:152" x14ac:dyDescent="0.15">
      <c r="A2056" s="576"/>
      <c r="EO2056" s="6"/>
      <c r="EP2056" s="6"/>
      <c r="EQ2056" s="6"/>
      <c r="ET2056" s="4"/>
      <c r="EU2056" s="4"/>
      <c r="EV2056" s="4"/>
    </row>
    <row r="2057" spans="1:152" x14ac:dyDescent="0.15">
      <c r="A2057" s="576"/>
      <c r="EO2057" s="6"/>
      <c r="EP2057" s="6"/>
      <c r="EQ2057" s="6"/>
      <c r="ET2057" s="4"/>
      <c r="EU2057" s="4"/>
      <c r="EV2057" s="4"/>
    </row>
    <row r="2058" spans="1:152" x14ac:dyDescent="0.15">
      <c r="A2058" s="576"/>
      <c r="EO2058" s="6"/>
      <c r="EP2058" s="6"/>
      <c r="EQ2058" s="6"/>
      <c r="ET2058" s="4"/>
      <c r="EU2058" s="4"/>
      <c r="EV2058" s="4"/>
    </row>
    <row r="2059" spans="1:152" x14ac:dyDescent="0.15">
      <c r="A2059" s="576"/>
      <c r="EO2059" s="6"/>
      <c r="EP2059" s="6"/>
      <c r="EQ2059" s="6"/>
      <c r="ET2059" s="4"/>
      <c r="EU2059" s="4"/>
      <c r="EV2059" s="4"/>
    </row>
    <row r="2060" spans="1:152" x14ac:dyDescent="0.15">
      <c r="A2060" s="576"/>
      <c r="EO2060" s="6"/>
      <c r="EP2060" s="6"/>
      <c r="EQ2060" s="6"/>
      <c r="ET2060" s="4"/>
      <c r="EU2060" s="4"/>
      <c r="EV2060" s="4"/>
    </row>
    <row r="2061" spans="1:152" x14ac:dyDescent="0.15">
      <c r="A2061" s="576"/>
      <c r="EO2061" s="6"/>
      <c r="EP2061" s="6"/>
      <c r="EQ2061" s="6"/>
      <c r="ET2061" s="4"/>
      <c r="EU2061" s="4"/>
      <c r="EV2061" s="4"/>
    </row>
    <row r="2062" spans="1:152" x14ac:dyDescent="0.15">
      <c r="A2062" s="576"/>
      <c r="EO2062" s="6"/>
      <c r="EP2062" s="6"/>
      <c r="EQ2062" s="6"/>
      <c r="ET2062" s="4"/>
      <c r="EU2062" s="4"/>
      <c r="EV2062" s="4"/>
    </row>
    <row r="2063" spans="1:152" x14ac:dyDescent="0.15">
      <c r="A2063" s="576"/>
      <c r="EO2063" s="6"/>
      <c r="EP2063" s="6"/>
      <c r="EQ2063" s="6"/>
      <c r="ET2063" s="4"/>
      <c r="EU2063" s="4"/>
      <c r="EV2063" s="4"/>
    </row>
    <row r="2064" spans="1:152" x14ac:dyDescent="0.15">
      <c r="A2064" s="576"/>
      <c r="EO2064" s="6"/>
      <c r="EP2064" s="6"/>
      <c r="EQ2064" s="6"/>
      <c r="ET2064" s="4"/>
      <c r="EU2064" s="4"/>
      <c r="EV2064" s="4"/>
    </row>
    <row r="2065" spans="1:152" x14ac:dyDescent="0.15">
      <c r="A2065" s="576"/>
      <c r="EO2065" s="6"/>
      <c r="EP2065" s="6"/>
      <c r="EQ2065" s="6"/>
      <c r="ET2065" s="4"/>
      <c r="EU2065" s="4"/>
      <c r="EV2065" s="4"/>
    </row>
    <row r="2066" spans="1:152" x14ac:dyDescent="0.15">
      <c r="A2066" s="576"/>
      <c r="EO2066" s="6"/>
      <c r="EP2066" s="6"/>
      <c r="EQ2066" s="6"/>
      <c r="ET2066" s="4"/>
      <c r="EU2066" s="4"/>
      <c r="EV2066" s="4"/>
    </row>
    <row r="2067" spans="1:152" x14ac:dyDescent="0.15">
      <c r="A2067" s="576"/>
      <c r="EO2067" s="6"/>
      <c r="EP2067" s="6"/>
      <c r="EQ2067" s="6"/>
      <c r="ET2067" s="4"/>
      <c r="EU2067" s="4"/>
      <c r="EV2067" s="4"/>
    </row>
    <row r="2068" spans="1:152" x14ac:dyDescent="0.15">
      <c r="A2068" s="576"/>
      <c r="EO2068" s="6"/>
      <c r="EP2068" s="6"/>
      <c r="EQ2068" s="6"/>
      <c r="ET2068" s="4"/>
      <c r="EU2068" s="4"/>
      <c r="EV2068" s="4"/>
    </row>
    <row r="2069" spans="1:152" x14ac:dyDescent="0.15">
      <c r="A2069" s="576"/>
      <c r="EO2069" s="6"/>
      <c r="EP2069" s="6"/>
      <c r="EQ2069" s="6"/>
      <c r="ET2069" s="4"/>
      <c r="EU2069" s="4"/>
      <c r="EV2069" s="4"/>
    </row>
    <row r="2070" spans="1:152" x14ac:dyDescent="0.15">
      <c r="A2070" s="576"/>
      <c r="EO2070" s="6"/>
      <c r="EP2070" s="6"/>
      <c r="EQ2070" s="6"/>
      <c r="ET2070" s="4"/>
      <c r="EU2070" s="4"/>
      <c r="EV2070" s="4"/>
    </row>
    <row r="2071" spans="1:152" x14ac:dyDescent="0.15">
      <c r="A2071" s="576"/>
      <c r="EO2071" s="6"/>
      <c r="EP2071" s="6"/>
      <c r="EQ2071" s="6"/>
      <c r="ET2071" s="4"/>
      <c r="EU2071" s="4"/>
      <c r="EV2071" s="4"/>
    </row>
    <row r="2072" spans="1:152" x14ac:dyDescent="0.15">
      <c r="A2072" s="576"/>
      <c r="EO2072" s="6"/>
      <c r="EP2072" s="6"/>
      <c r="EQ2072" s="6"/>
      <c r="ET2072" s="4"/>
      <c r="EU2072" s="4"/>
      <c r="EV2072" s="4"/>
    </row>
    <row r="2073" spans="1:152" x14ac:dyDescent="0.15">
      <c r="A2073" s="576"/>
      <c r="EO2073" s="6"/>
      <c r="EP2073" s="6"/>
      <c r="EQ2073" s="6"/>
      <c r="ET2073" s="4"/>
      <c r="EU2073" s="4"/>
      <c r="EV2073" s="4"/>
    </row>
    <row r="2074" spans="1:152" x14ac:dyDescent="0.15">
      <c r="A2074" s="576"/>
      <c r="EO2074" s="6"/>
      <c r="EP2074" s="6"/>
      <c r="EQ2074" s="6"/>
      <c r="ET2074" s="4"/>
      <c r="EU2074" s="4"/>
      <c r="EV2074" s="4"/>
    </row>
    <row r="2075" spans="1:152" x14ac:dyDescent="0.15">
      <c r="A2075" s="576"/>
      <c r="EO2075" s="6"/>
      <c r="EP2075" s="6"/>
      <c r="EQ2075" s="6"/>
      <c r="ET2075" s="4"/>
      <c r="EU2075" s="4"/>
      <c r="EV2075" s="4"/>
    </row>
    <row r="2076" spans="1:152" x14ac:dyDescent="0.15">
      <c r="A2076" s="576"/>
      <c r="EO2076" s="6"/>
      <c r="EP2076" s="6"/>
      <c r="EQ2076" s="6"/>
      <c r="ET2076" s="4"/>
      <c r="EU2076" s="4"/>
      <c r="EV2076" s="4"/>
    </row>
    <row r="2077" spans="1:152" x14ac:dyDescent="0.15">
      <c r="A2077" s="576"/>
      <c r="EO2077" s="6"/>
      <c r="EP2077" s="6"/>
      <c r="EQ2077" s="6"/>
      <c r="ET2077" s="4"/>
      <c r="EU2077" s="4"/>
      <c r="EV2077" s="4"/>
    </row>
    <row r="2078" spans="1:152" x14ac:dyDescent="0.15">
      <c r="A2078" s="576"/>
      <c r="EO2078" s="6"/>
      <c r="EP2078" s="6"/>
      <c r="EQ2078" s="6"/>
      <c r="ET2078" s="4"/>
      <c r="EU2078" s="4"/>
      <c r="EV2078" s="4"/>
    </row>
    <row r="2079" spans="1:152" x14ac:dyDescent="0.15">
      <c r="A2079" s="576"/>
      <c r="EO2079" s="6"/>
      <c r="EP2079" s="6"/>
      <c r="EQ2079" s="6"/>
      <c r="ET2079" s="4"/>
      <c r="EU2079" s="4"/>
      <c r="EV2079" s="4"/>
    </row>
    <row r="2080" spans="1:152" x14ac:dyDescent="0.15">
      <c r="A2080" s="576"/>
      <c r="EO2080" s="6"/>
      <c r="EP2080" s="6"/>
      <c r="EQ2080" s="6"/>
      <c r="ET2080" s="4"/>
      <c r="EU2080" s="4"/>
      <c r="EV2080" s="4"/>
    </row>
    <row r="2081" spans="1:152" x14ac:dyDescent="0.15">
      <c r="A2081" s="576"/>
      <c r="EO2081" s="6"/>
      <c r="EP2081" s="6"/>
      <c r="EQ2081" s="6"/>
      <c r="ET2081" s="4"/>
      <c r="EU2081" s="4"/>
      <c r="EV2081" s="4"/>
    </row>
    <row r="2082" spans="1:152" x14ac:dyDescent="0.15">
      <c r="A2082" s="576"/>
      <c r="EO2082" s="6"/>
      <c r="EP2082" s="6"/>
      <c r="EQ2082" s="6"/>
      <c r="ET2082" s="4"/>
      <c r="EU2082" s="4"/>
      <c r="EV2082" s="4"/>
    </row>
    <row r="2083" spans="1:152" x14ac:dyDescent="0.15">
      <c r="A2083" s="576"/>
      <c r="EO2083" s="6"/>
      <c r="EP2083" s="6"/>
      <c r="EQ2083" s="6"/>
      <c r="ET2083" s="4"/>
      <c r="EU2083" s="4"/>
      <c r="EV2083" s="4"/>
    </row>
    <row r="2084" spans="1:152" x14ac:dyDescent="0.15">
      <c r="A2084" s="576"/>
      <c r="EO2084" s="6"/>
      <c r="EP2084" s="6"/>
      <c r="EQ2084" s="6"/>
      <c r="ET2084" s="4"/>
      <c r="EU2084" s="4"/>
      <c r="EV2084" s="4"/>
    </row>
    <row r="2085" spans="1:152" x14ac:dyDescent="0.15">
      <c r="A2085" s="576"/>
      <c r="EO2085" s="6"/>
      <c r="EP2085" s="6"/>
      <c r="EQ2085" s="6"/>
      <c r="ET2085" s="4"/>
      <c r="EU2085" s="4"/>
      <c r="EV2085" s="4"/>
    </row>
    <row r="2086" spans="1:152" x14ac:dyDescent="0.15">
      <c r="A2086" s="576"/>
      <c r="EO2086" s="6"/>
      <c r="EP2086" s="6"/>
      <c r="EQ2086" s="6"/>
      <c r="ET2086" s="4"/>
      <c r="EU2086" s="4"/>
      <c r="EV2086" s="4"/>
    </row>
    <row r="2087" spans="1:152" x14ac:dyDescent="0.15">
      <c r="A2087" s="576"/>
      <c r="EO2087" s="6"/>
      <c r="EP2087" s="6"/>
      <c r="EQ2087" s="6"/>
      <c r="ET2087" s="4"/>
      <c r="EU2087" s="4"/>
      <c r="EV2087" s="4"/>
    </row>
    <row r="2088" spans="1:152" x14ac:dyDescent="0.15">
      <c r="A2088" s="576"/>
      <c r="EO2088" s="6"/>
      <c r="EP2088" s="6"/>
      <c r="EQ2088" s="6"/>
      <c r="ET2088" s="4"/>
      <c r="EU2088" s="4"/>
      <c r="EV2088" s="4"/>
    </row>
    <row r="2089" spans="1:152" x14ac:dyDescent="0.15">
      <c r="A2089" s="576"/>
      <c r="EO2089" s="6"/>
      <c r="EP2089" s="6"/>
      <c r="EQ2089" s="6"/>
      <c r="ET2089" s="4"/>
      <c r="EU2089" s="4"/>
      <c r="EV2089" s="4"/>
    </row>
    <row r="2090" spans="1:152" x14ac:dyDescent="0.15">
      <c r="A2090" s="576"/>
      <c r="EO2090" s="6"/>
      <c r="EP2090" s="6"/>
      <c r="EQ2090" s="6"/>
      <c r="ET2090" s="4"/>
      <c r="EU2090" s="4"/>
      <c r="EV2090" s="4"/>
    </row>
    <row r="2091" spans="1:152" x14ac:dyDescent="0.15">
      <c r="A2091" s="576"/>
      <c r="EO2091" s="6"/>
      <c r="EP2091" s="6"/>
      <c r="EQ2091" s="6"/>
      <c r="ET2091" s="4"/>
      <c r="EU2091" s="4"/>
      <c r="EV2091" s="4"/>
    </row>
    <row r="2092" spans="1:152" x14ac:dyDescent="0.15">
      <c r="A2092" s="576"/>
      <c r="EO2092" s="6"/>
      <c r="EP2092" s="6"/>
      <c r="EQ2092" s="6"/>
      <c r="ET2092" s="4"/>
      <c r="EU2092" s="4"/>
      <c r="EV2092" s="4"/>
    </row>
    <row r="2093" spans="1:152" x14ac:dyDescent="0.15">
      <c r="A2093" s="576"/>
      <c r="EO2093" s="6"/>
      <c r="EP2093" s="6"/>
      <c r="EQ2093" s="6"/>
      <c r="ET2093" s="4"/>
      <c r="EU2093" s="4"/>
      <c r="EV2093" s="4"/>
    </row>
    <row r="2094" spans="1:152" x14ac:dyDescent="0.15">
      <c r="A2094" s="576"/>
      <c r="EO2094" s="6"/>
      <c r="EP2094" s="6"/>
      <c r="EQ2094" s="6"/>
      <c r="ET2094" s="4"/>
      <c r="EU2094" s="4"/>
      <c r="EV2094" s="4"/>
    </row>
    <row r="2095" spans="1:152" x14ac:dyDescent="0.15">
      <c r="A2095" s="576"/>
      <c r="EO2095" s="6"/>
      <c r="EP2095" s="6"/>
      <c r="EQ2095" s="6"/>
      <c r="ET2095" s="4"/>
      <c r="EU2095" s="4"/>
      <c r="EV2095" s="4"/>
    </row>
    <row r="2096" spans="1:152" x14ac:dyDescent="0.15">
      <c r="A2096" s="576"/>
      <c r="EO2096" s="6"/>
      <c r="EP2096" s="6"/>
      <c r="EQ2096" s="6"/>
      <c r="ET2096" s="4"/>
      <c r="EU2096" s="4"/>
      <c r="EV2096" s="4"/>
    </row>
    <row r="2097" spans="1:152" x14ac:dyDescent="0.15">
      <c r="A2097" s="576"/>
      <c r="EO2097" s="6"/>
      <c r="EP2097" s="6"/>
      <c r="EQ2097" s="6"/>
      <c r="ET2097" s="4"/>
      <c r="EU2097" s="4"/>
      <c r="EV2097" s="4"/>
    </row>
    <row r="2098" spans="1:152" x14ac:dyDescent="0.15">
      <c r="A2098" s="576"/>
      <c r="EO2098" s="6"/>
      <c r="EP2098" s="6"/>
      <c r="EQ2098" s="6"/>
      <c r="ET2098" s="4"/>
      <c r="EU2098" s="4"/>
      <c r="EV2098" s="4"/>
    </row>
    <row r="2099" spans="1:152" x14ac:dyDescent="0.15">
      <c r="A2099" s="576"/>
      <c r="EO2099" s="6"/>
      <c r="EP2099" s="6"/>
      <c r="EQ2099" s="6"/>
      <c r="ET2099" s="4"/>
      <c r="EU2099" s="4"/>
      <c r="EV2099" s="4"/>
    </row>
    <row r="2100" spans="1:152" x14ac:dyDescent="0.15">
      <c r="A2100" s="576"/>
      <c r="EO2100" s="6"/>
      <c r="EP2100" s="6"/>
      <c r="EQ2100" s="6"/>
      <c r="ET2100" s="4"/>
      <c r="EU2100" s="4"/>
      <c r="EV2100" s="4"/>
    </row>
    <row r="2101" spans="1:152" x14ac:dyDescent="0.15">
      <c r="A2101" s="576"/>
      <c r="EO2101" s="6"/>
      <c r="EP2101" s="6"/>
      <c r="EQ2101" s="6"/>
      <c r="ET2101" s="4"/>
      <c r="EU2101" s="4"/>
      <c r="EV2101" s="4"/>
    </row>
    <row r="2102" spans="1:152" x14ac:dyDescent="0.15">
      <c r="A2102" s="576"/>
      <c r="EO2102" s="6"/>
      <c r="EP2102" s="6"/>
      <c r="EQ2102" s="6"/>
      <c r="ET2102" s="4"/>
      <c r="EU2102" s="4"/>
      <c r="EV2102" s="4"/>
    </row>
    <row r="2103" spans="1:152" x14ac:dyDescent="0.15">
      <c r="A2103" s="576"/>
      <c r="EO2103" s="6"/>
      <c r="EP2103" s="6"/>
      <c r="EQ2103" s="6"/>
      <c r="ET2103" s="4"/>
      <c r="EU2103" s="4"/>
      <c r="EV2103" s="4"/>
    </row>
    <row r="2104" spans="1:152" x14ac:dyDescent="0.15">
      <c r="A2104" s="576"/>
      <c r="EO2104" s="6"/>
      <c r="EP2104" s="6"/>
      <c r="EQ2104" s="6"/>
      <c r="ET2104" s="4"/>
      <c r="EU2104" s="4"/>
      <c r="EV2104" s="4"/>
    </row>
    <row r="2105" spans="1:152" x14ac:dyDescent="0.15">
      <c r="A2105" s="576"/>
      <c r="EO2105" s="6"/>
      <c r="EP2105" s="6"/>
      <c r="EQ2105" s="6"/>
      <c r="ET2105" s="4"/>
      <c r="EU2105" s="4"/>
      <c r="EV2105" s="4"/>
    </row>
    <row r="2106" spans="1:152" x14ac:dyDescent="0.15">
      <c r="A2106" s="576"/>
      <c r="EO2106" s="6"/>
      <c r="EP2106" s="6"/>
      <c r="EQ2106" s="6"/>
      <c r="ET2106" s="4"/>
      <c r="EU2106" s="4"/>
      <c r="EV2106" s="4"/>
    </row>
    <row r="2107" spans="1:152" x14ac:dyDescent="0.15">
      <c r="A2107" s="576"/>
      <c r="EO2107" s="6"/>
      <c r="EP2107" s="6"/>
      <c r="EQ2107" s="6"/>
      <c r="ET2107" s="4"/>
      <c r="EU2107" s="4"/>
      <c r="EV2107" s="4"/>
    </row>
    <row r="2108" spans="1:152" x14ac:dyDescent="0.15">
      <c r="A2108" s="576"/>
      <c r="EO2108" s="6"/>
      <c r="EP2108" s="6"/>
      <c r="EQ2108" s="6"/>
      <c r="ET2108" s="4"/>
      <c r="EU2108" s="4"/>
      <c r="EV2108" s="4"/>
    </row>
    <row r="2109" spans="1:152" x14ac:dyDescent="0.15">
      <c r="A2109" s="576"/>
      <c r="EO2109" s="6"/>
      <c r="EP2109" s="6"/>
      <c r="EQ2109" s="6"/>
      <c r="ET2109" s="4"/>
      <c r="EU2109" s="4"/>
      <c r="EV2109" s="4"/>
    </row>
    <row r="2110" spans="1:152" x14ac:dyDescent="0.15">
      <c r="A2110" s="576"/>
      <c r="EO2110" s="6"/>
      <c r="EP2110" s="6"/>
      <c r="EQ2110" s="6"/>
      <c r="ET2110" s="4"/>
      <c r="EU2110" s="4"/>
      <c r="EV2110" s="4"/>
    </row>
    <row r="2111" spans="1:152" x14ac:dyDescent="0.15">
      <c r="A2111" s="576"/>
      <c r="EO2111" s="6"/>
      <c r="EP2111" s="6"/>
      <c r="EQ2111" s="6"/>
      <c r="ET2111" s="4"/>
      <c r="EU2111" s="4"/>
      <c r="EV2111" s="4"/>
    </row>
    <row r="2112" spans="1:152" x14ac:dyDescent="0.15">
      <c r="A2112" s="576"/>
      <c r="EO2112" s="6"/>
      <c r="EP2112" s="6"/>
      <c r="EQ2112" s="6"/>
      <c r="ET2112" s="4"/>
      <c r="EU2112" s="4"/>
      <c r="EV2112" s="4"/>
    </row>
    <row r="2113" spans="1:152" x14ac:dyDescent="0.15">
      <c r="A2113" s="576"/>
      <c r="EO2113" s="6"/>
      <c r="EP2113" s="6"/>
      <c r="EQ2113" s="6"/>
      <c r="ET2113" s="4"/>
      <c r="EU2113" s="4"/>
      <c r="EV2113" s="4"/>
    </row>
    <row r="2114" spans="1:152" x14ac:dyDescent="0.15">
      <c r="A2114" s="576"/>
      <c r="EO2114" s="6"/>
      <c r="EP2114" s="6"/>
      <c r="EQ2114" s="6"/>
      <c r="ET2114" s="4"/>
      <c r="EU2114" s="4"/>
      <c r="EV2114" s="4"/>
    </row>
    <row r="2115" spans="1:152" x14ac:dyDescent="0.15">
      <c r="A2115" s="576"/>
      <c r="EO2115" s="6"/>
      <c r="EP2115" s="6"/>
      <c r="EQ2115" s="6"/>
      <c r="ET2115" s="4"/>
      <c r="EU2115" s="4"/>
      <c r="EV2115" s="4"/>
    </row>
    <row r="2116" spans="1:152" x14ac:dyDescent="0.15">
      <c r="A2116" s="576"/>
      <c r="EO2116" s="6"/>
      <c r="EP2116" s="6"/>
      <c r="EQ2116" s="6"/>
      <c r="ET2116" s="4"/>
      <c r="EU2116" s="4"/>
      <c r="EV2116" s="4"/>
    </row>
    <row r="2117" spans="1:152" x14ac:dyDescent="0.15">
      <c r="A2117" s="576"/>
      <c r="EO2117" s="6"/>
      <c r="EP2117" s="6"/>
      <c r="EQ2117" s="6"/>
      <c r="ET2117" s="4"/>
      <c r="EU2117" s="4"/>
      <c r="EV2117" s="4"/>
    </row>
    <row r="2118" spans="1:152" x14ac:dyDescent="0.15">
      <c r="A2118" s="576"/>
      <c r="EO2118" s="6"/>
      <c r="EP2118" s="6"/>
      <c r="EQ2118" s="6"/>
      <c r="ET2118" s="4"/>
      <c r="EU2118" s="4"/>
      <c r="EV2118" s="4"/>
    </row>
    <row r="2119" spans="1:152" x14ac:dyDescent="0.15">
      <c r="A2119" s="576"/>
      <c r="EO2119" s="6"/>
      <c r="EP2119" s="6"/>
      <c r="EQ2119" s="6"/>
      <c r="ET2119" s="4"/>
      <c r="EU2119" s="4"/>
      <c r="EV2119" s="4"/>
    </row>
    <row r="2120" spans="1:152" x14ac:dyDescent="0.15">
      <c r="A2120" s="576"/>
      <c r="EO2120" s="6"/>
      <c r="EP2120" s="6"/>
      <c r="EQ2120" s="6"/>
      <c r="ET2120" s="4"/>
      <c r="EU2120" s="4"/>
      <c r="EV2120" s="4"/>
    </row>
    <row r="2121" spans="1:152" x14ac:dyDescent="0.15">
      <c r="A2121" s="576"/>
      <c r="EO2121" s="6"/>
      <c r="EP2121" s="6"/>
      <c r="EQ2121" s="6"/>
      <c r="ET2121" s="4"/>
      <c r="EU2121" s="4"/>
      <c r="EV2121" s="4"/>
    </row>
    <row r="2122" spans="1:152" x14ac:dyDescent="0.15">
      <c r="A2122" s="576"/>
      <c r="EO2122" s="6"/>
      <c r="EP2122" s="6"/>
      <c r="EQ2122" s="6"/>
      <c r="ET2122" s="4"/>
      <c r="EU2122" s="4"/>
      <c r="EV2122" s="4"/>
    </row>
    <row r="2123" spans="1:152" x14ac:dyDescent="0.15">
      <c r="A2123" s="576"/>
      <c r="EO2123" s="6"/>
      <c r="EP2123" s="6"/>
      <c r="EQ2123" s="6"/>
      <c r="ET2123" s="4"/>
      <c r="EU2123" s="4"/>
      <c r="EV2123" s="4"/>
    </row>
    <row r="2124" spans="1:152" x14ac:dyDescent="0.15">
      <c r="A2124" s="576"/>
      <c r="EO2124" s="6"/>
      <c r="EP2124" s="6"/>
      <c r="EQ2124" s="6"/>
      <c r="ET2124" s="4"/>
      <c r="EU2124" s="4"/>
      <c r="EV2124" s="4"/>
    </row>
    <row r="2125" spans="1:152" x14ac:dyDescent="0.15">
      <c r="A2125" s="576"/>
      <c r="EO2125" s="6"/>
      <c r="EP2125" s="6"/>
      <c r="EQ2125" s="6"/>
      <c r="ET2125" s="4"/>
      <c r="EU2125" s="4"/>
      <c r="EV2125" s="4"/>
    </row>
    <row r="2126" spans="1:152" x14ac:dyDescent="0.15">
      <c r="A2126" s="576"/>
      <c r="EO2126" s="6"/>
      <c r="EP2126" s="6"/>
      <c r="EQ2126" s="6"/>
      <c r="ET2126" s="4"/>
      <c r="EU2126" s="4"/>
      <c r="EV2126" s="4"/>
    </row>
    <row r="2127" spans="1:152" x14ac:dyDescent="0.15">
      <c r="A2127" s="576"/>
      <c r="EO2127" s="6"/>
      <c r="EP2127" s="6"/>
      <c r="EQ2127" s="6"/>
      <c r="ET2127" s="4"/>
      <c r="EU2127" s="4"/>
      <c r="EV2127" s="4"/>
    </row>
    <row r="2128" spans="1:152" x14ac:dyDescent="0.15">
      <c r="A2128" s="576"/>
      <c r="EO2128" s="6"/>
      <c r="EP2128" s="6"/>
      <c r="EQ2128" s="6"/>
      <c r="ET2128" s="4"/>
      <c r="EU2128" s="4"/>
      <c r="EV2128" s="4"/>
    </row>
    <row r="2129" spans="1:152" x14ac:dyDescent="0.15">
      <c r="A2129" s="576"/>
      <c r="EO2129" s="6"/>
      <c r="EP2129" s="6"/>
      <c r="EQ2129" s="6"/>
      <c r="ET2129" s="4"/>
      <c r="EU2129" s="4"/>
      <c r="EV2129" s="4"/>
    </row>
    <row r="2130" spans="1:152" x14ac:dyDescent="0.15">
      <c r="A2130" s="576"/>
      <c r="EO2130" s="6"/>
      <c r="EP2130" s="6"/>
      <c r="EQ2130" s="6"/>
      <c r="ET2130" s="4"/>
      <c r="EU2130" s="4"/>
      <c r="EV2130" s="4"/>
    </row>
    <row r="2131" spans="1:152" x14ac:dyDescent="0.15">
      <c r="A2131" s="576"/>
      <c r="EO2131" s="6"/>
      <c r="EP2131" s="6"/>
      <c r="EQ2131" s="6"/>
      <c r="ET2131" s="4"/>
      <c r="EU2131" s="4"/>
      <c r="EV2131" s="4"/>
    </row>
    <row r="2132" spans="1:152" x14ac:dyDescent="0.15">
      <c r="A2132" s="576"/>
      <c r="EO2132" s="6"/>
      <c r="EP2132" s="6"/>
      <c r="EQ2132" s="6"/>
      <c r="ET2132" s="4"/>
      <c r="EU2132" s="4"/>
      <c r="EV2132" s="4"/>
    </row>
    <row r="2133" spans="1:152" x14ac:dyDescent="0.15">
      <c r="A2133" s="576"/>
      <c r="EO2133" s="6"/>
      <c r="EP2133" s="6"/>
      <c r="EQ2133" s="6"/>
      <c r="ET2133" s="4"/>
      <c r="EU2133" s="4"/>
      <c r="EV2133" s="4"/>
    </row>
    <row r="2134" spans="1:152" x14ac:dyDescent="0.15">
      <c r="A2134" s="576"/>
      <c r="EO2134" s="6"/>
      <c r="EP2134" s="6"/>
      <c r="EQ2134" s="6"/>
      <c r="ET2134" s="4"/>
      <c r="EU2134" s="4"/>
      <c r="EV2134" s="4"/>
    </row>
    <row r="2135" spans="1:152" x14ac:dyDescent="0.15">
      <c r="A2135" s="576"/>
      <c r="EO2135" s="6"/>
      <c r="EP2135" s="6"/>
      <c r="EQ2135" s="6"/>
      <c r="ET2135" s="4"/>
      <c r="EU2135" s="4"/>
      <c r="EV2135" s="4"/>
    </row>
    <row r="2136" spans="1:152" x14ac:dyDescent="0.15">
      <c r="A2136" s="576"/>
      <c r="EO2136" s="6"/>
      <c r="EP2136" s="6"/>
      <c r="EQ2136" s="6"/>
      <c r="ET2136" s="4"/>
      <c r="EU2136" s="4"/>
      <c r="EV2136" s="4"/>
    </row>
    <row r="2137" spans="1:152" x14ac:dyDescent="0.15">
      <c r="A2137" s="576"/>
      <c r="EO2137" s="6"/>
      <c r="EP2137" s="6"/>
      <c r="EQ2137" s="6"/>
      <c r="ET2137" s="4"/>
      <c r="EU2137" s="4"/>
      <c r="EV2137" s="4"/>
    </row>
    <row r="2138" spans="1:152" x14ac:dyDescent="0.15">
      <c r="A2138" s="576"/>
      <c r="EO2138" s="6"/>
      <c r="EP2138" s="6"/>
      <c r="EQ2138" s="6"/>
      <c r="ET2138" s="4"/>
      <c r="EU2138" s="4"/>
      <c r="EV2138" s="4"/>
    </row>
    <row r="2139" spans="1:152" x14ac:dyDescent="0.15">
      <c r="A2139" s="576"/>
      <c r="EO2139" s="6"/>
      <c r="EP2139" s="6"/>
      <c r="EQ2139" s="6"/>
      <c r="ET2139" s="4"/>
      <c r="EU2139" s="4"/>
      <c r="EV2139" s="4"/>
    </row>
    <row r="2140" spans="1:152" x14ac:dyDescent="0.15">
      <c r="A2140" s="576"/>
      <c r="EO2140" s="6"/>
      <c r="EP2140" s="6"/>
      <c r="EQ2140" s="6"/>
      <c r="ET2140" s="4"/>
      <c r="EU2140" s="4"/>
      <c r="EV2140" s="4"/>
    </row>
    <row r="2141" spans="1:152" x14ac:dyDescent="0.15">
      <c r="A2141" s="576"/>
      <c r="EO2141" s="6"/>
      <c r="EP2141" s="6"/>
      <c r="EQ2141" s="6"/>
      <c r="ET2141" s="4"/>
      <c r="EU2141" s="4"/>
      <c r="EV2141" s="4"/>
    </row>
    <row r="2142" spans="1:152" x14ac:dyDescent="0.15">
      <c r="A2142" s="576"/>
      <c r="EO2142" s="6"/>
      <c r="EP2142" s="6"/>
      <c r="EQ2142" s="6"/>
      <c r="ET2142" s="4"/>
      <c r="EU2142" s="4"/>
      <c r="EV2142" s="4"/>
    </row>
    <row r="2143" spans="1:152" x14ac:dyDescent="0.15">
      <c r="A2143" s="576"/>
      <c r="EO2143" s="6"/>
      <c r="EP2143" s="6"/>
      <c r="EQ2143" s="6"/>
      <c r="ET2143" s="4"/>
      <c r="EU2143" s="4"/>
      <c r="EV2143" s="4"/>
    </row>
    <row r="2144" spans="1:152" x14ac:dyDescent="0.15">
      <c r="A2144" s="576"/>
      <c r="EO2144" s="6"/>
      <c r="EP2144" s="6"/>
      <c r="EQ2144" s="6"/>
      <c r="ET2144" s="4"/>
      <c r="EU2144" s="4"/>
      <c r="EV2144" s="4"/>
    </row>
    <row r="2145" spans="1:152" x14ac:dyDescent="0.15">
      <c r="A2145" s="576"/>
      <c r="EO2145" s="6"/>
      <c r="EP2145" s="6"/>
      <c r="EQ2145" s="6"/>
      <c r="ET2145" s="4"/>
      <c r="EU2145" s="4"/>
      <c r="EV2145" s="4"/>
    </row>
    <row r="2146" spans="1:152" x14ac:dyDescent="0.15">
      <c r="A2146" s="576"/>
      <c r="EO2146" s="6"/>
      <c r="EP2146" s="6"/>
      <c r="EQ2146" s="6"/>
      <c r="ET2146" s="4"/>
      <c r="EU2146" s="4"/>
      <c r="EV2146" s="4"/>
    </row>
    <row r="2147" spans="1:152" x14ac:dyDescent="0.15">
      <c r="A2147" s="576"/>
      <c r="EO2147" s="6"/>
      <c r="EP2147" s="6"/>
      <c r="EQ2147" s="6"/>
      <c r="ET2147" s="4"/>
      <c r="EU2147" s="4"/>
      <c r="EV2147" s="4"/>
    </row>
    <row r="2148" spans="1:152" x14ac:dyDescent="0.15">
      <c r="A2148" s="576"/>
      <c r="EO2148" s="6"/>
      <c r="EP2148" s="6"/>
      <c r="EQ2148" s="6"/>
      <c r="ET2148" s="4"/>
      <c r="EU2148" s="4"/>
      <c r="EV2148" s="4"/>
    </row>
    <row r="2149" spans="1:152" x14ac:dyDescent="0.15">
      <c r="A2149" s="576"/>
      <c r="EO2149" s="6"/>
      <c r="EP2149" s="6"/>
      <c r="EQ2149" s="6"/>
      <c r="ET2149" s="4"/>
      <c r="EU2149" s="4"/>
      <c r="EV2149" s="4"/>
    </row>
    <row r="2150" spans="1:152" x14ac:dyDescent="0.15">
      <c r="A2150" s="576"/>
      <c r="EO2150" s="6"/>
      <c r="EP2150" s="6"/>
      <c r="EQ2150" s="6"/>
      <c r="ET2150" s="4"/>
      <c r="EU2150" s="4"/>
      <c r="EV2150" s="4"/>
    </row>
    <row r="2151" spans="1:152" x14ac:dyDescent="0.15">
      <c r="A2151" s="576"/>
      <c r="EO2151" s="6"/>
      <c r="EP2151" s="6"/>
      <c r="EQ2151" s="6"/>
      <c r="ET2151" s="4"/>
      <c r="EU2151" s="4"/>
      <c r="EV2151" s="4"/>
    </row>
    <row r="2152" spans="1:152" x14ac:dyDescent="0.15">
      <c r="A2152" s="576"/>
      <c r="EO2152" s="6"/>
      <c r="EP2152" s="6"/>
      <c r="EQ2152" s="6"/>
      <c r="ET2152" s="4"/>
      <c r="EU2152" s="4"/>
      <c r="EV2152" s="4"/>
    </row>
    <row r="2153" spans="1:152" x14ac:dyDescent="0.15">
      <c r="A2153" s="576"/>
      <c r="EO2153" s="6"/>
      <c r="EP2153" s="6"/>
      <c r="EQ2153" s="6"/>
      <c r="ET2153" s="4"/>
      <c r="EU2153" s="4"/>
      <c r="EV2153" s="4"/>
    </row>
    <row r="2154" spans="1:152" x14ac:dyDescent="0.15">
      <c r="A2154" s="576"/>
      <c r="EO2154" s="6"/>
      <c r="EP2154" s="6"/>
      <c r="EQ2154" s="6"/>
      <c r="ET2154" s="4"/>
      <c r="EU2154" s="4"/>
      <c r="EV2154" s="4"/>
    </row>
    <row r="2155" spans="1:152" x14ac:dyDescent="0.15">
      <c r="A2155" s="576"/>
      <c r="EO2155" s="6"/>
      <c r="EP2155" s="6"/>
      <c r="EQ2155" s="6"/>
      <c r="ET2155" s="4"/>
      <c r="EU2155" s="4"/>
      <c r="EV2155" s="4"/>
    </row>
    <row r="2156" spans="1:152" x14ac:dyDescent="0.15">
      <c r="A2156" s="576"/>
      <c r="EO2156" s="6"/>
      <c r="EP2156" s="6"/>
      <c r="EQ2156" s="6"/>
      <c r="ET2156" s="4"/>
      <c r="EU2156" s="4"/>
      <c r="EV2156" s="4"/>
    </row>
    <row r="2157" spans="1:152" x14ac:dyDescent="0.15">
      <c r="A2157" s="576"/>
      <c r="EO2157" s="6"/>
      <c r="EP2157" s="6"/>
      <c r="EQ2157" s="6"/>
      <c r="ET2157" s="4"/>
      <c r="EU2157" s="4"/>
      <c r="EV2157" s="4"/>
    </row>
    <row r="2158" spans="1:152" x14ac:dyDescent="0.15">
      <c r="A2158" s="576"/>
      <c r="EO2158" s="6"/>
      <c r="EP2158" s="6"/>
      <c r="EQ2158" s="6"/>
      <c r="ET2158" s="4"/>
      <c r="EU2158" s="4"/>
      <c r="EV2158" s="4"/>
    </row>
    <row r="2159" spans="1:152" x14ac:dyDescent="0.15">
      <c r="A2159" s="576"/>
      <c r="EO2159" s="6"/>
      <c r="EP2159" s="6"/>
      <c r="EQ2159" s="6"/>
      <c r="ET2159" s="4"/>
      <c r="EU2159" s="4"/>
      <c r="EV2159" s="4"/>
    </row>
    <row r="2160" spans="1:152" x14ac:dyDescent="0.15">
      <c r="A2160" s="576"/>
      <c r="EO2160" s="6"/>
      <c r="EP2160" s="6"/>
      <c r="EQ2160" s="6"/>
      <c r="ET2160" s="4"/>
      <c r="EU2160" s="4"/>
      <c r="EV2160" s="4"/>
    </row>
    <row r="2161" spans="1:152" x14ac:dyDescent="0.15">
      <c r="A2161" s="576"/>
      <c r="EO2161" s="6"/>
      <c r="EP2161" s="6"/>
      <c r="EQ2161" s="6"/>
      <c r="ET2161" s="4"/>
      <c r="EU2161" s="4"/>
      <c r="EV2161" s="4"/>
    </row>
    <row r="2162" spans="1:152" x14ac:dyDescent="0.15">
      <c r="A2162" s="576"/>
      <c r="EO2162" s="6"/>
      <c r="EP2162" s="6"/>
      <c r="EQ2162" s="6"/>
      <c r="ET2162" s="4"/>
      <c r="EU2162" s="4"/>
      <c r="EV2162" s="4"/>
    </row>
    <row r="2163" spans="1:152" x14ac:dyDescent="0.15">
      <c r="A2163" s="576"/>
      <c r="EO2163" s="6"/>
      <c r="EP2163" s="6"/>
      <c r="EQ2163" s="6"/>
      <c r="ET2163" s="4"/>
      <c r="EU2163" s="4"/>
      <c r="EV2163" s="4"/>
    </row>
    <row r="2164" spans="1:152" x14ac:dyDescent="0.15">
      <c r="A2164" s="576"/>
      <c r="EO2164" s="6"/>
      <c r="EP2164" s="6"/>
      <c r="EQ2164" s="6"/>
      <c r="ET2164" s="4"/>
      <c r="EU2164" s="4"/>
      <c r="EV2164" s="4"/>
    </row>
    <row r="2165" spans="1:152" x14ac:dyDescent="0.15">
      <c r="A2165" s="576"/>
      <c r="EO2165" s="6"/>
      <c r="EP2165" s="6"/>
      <c r="EQ2165" s="6"/>
      <c r="ET2165" s="4"/>
      <c r="EU2165" s="4"/>
      <c r="EV2165" s="4"/>
    </row>
    <row r="2166" spans="1:152" x14ac:dyDescent="0.15">
      <c r="A2166" s="576"/>
      <c r="EO2166" s="6"/>
      <c r="EP2166" s="6"/>
      <c r="EQ2166" s="6"/>
      <c r="ET2166" s="4"/>
      <c r="EU2166" s="4"/>
      <c r="EV2166" s="4"/>
    </row>
    <row r="2167" spans="1:152" x14ac:dyDescent="0.15">
      <c r="A2167" s="576"/>
      <c r="EO2167" s="6"/>
      <c r="EP2167" s="6"/>
      <c r="EQ2167" s="6"/>
      <c r="ET2167" s="4"/>
      <c r="EU2167" s="4"/>
      <c r="EV2167" s="4"/>
    </row>
    <row r="2168" spans="1:152" x14ac:dyDescent="0.15">
      <c r="A2168" s="576"/>
      <c r="EO2168" s="6"/>
      <c r="EP2168" s="6"/>
      <c r="EQ2168" s="6"/>
      <c r="ET2168" s="4"/>
      <c r="EU2168" s="4"/>
      <c r="EV2168" s="4"/>
    </row>
    <row r="2169" spans="1:152" x14ac:dyDescent="0.15">
      <c r="A2169" s="576"/>
      <c r="EO2169" s="6"/>
      <c r="EP2169" s="6"/>
      <c r="EQ2169" s="6"/>
      <c r="ET2169" s="4"/>
      <c r="EU2169" s="4"/>
      <c r="EV2169" s="4"/>
    </row>
    <row r="2170" spans="1:152" x14ac:dyDescent="0.15">
      <c r="A2170" s="576"/>
      <c r="EO2170" s="6"/>
      <c r="EP2170" s="6"/>
      <c r="EQ2170" s="6"/>
      <c r="ET2170" s="4"/>
      <c r="EU2170" s="4"/>
      <c r="EV2170" s="4"/>
    </row>
    <row r="2171" spans="1:152" x14ac:dyDescent="0.15">
      <c r="A2171" s="576"/>
      <c r="EO2171" s="6"/>
      <c r="EP2171" s="6"/>
      <c r="EQ2171" s="6"/>
      <c r="ET2171" s="4"/>
      <c r="EU2171" s="4"/>
      <c r="EV2171" s="4"/>
    </row>
    <row r="2172" spans="1:152" x14ac:dyDescent="0.15">
      <c r="A2172" s="576"/>
      <c r="EO2172" s="6"/>
      <c r="EP2172" s="6"/>
      <c r="EQ2172" s="6"/>
      <c r="ET2172" s="4"/>
      <c r="EU2172" s="4"/>
      <c r="EV2172" s="4"/>
    </row>
    <row r="2173" spans="1:152" x14ac:dyDescent="0.15">
      <c r="A2173" s="576"/>
      <c r="EO2173" s="6"/>
      <c r="EP2173" s="6"/>
      <c r="EQ2173" s="6"/>
      <c r="ET2173" s="4"/>
      <c r="EU2173" s="4"/>
      <c r="EV2173" s="4"/>
    </row>
    <row r="2174" spans="1:152" x14ac:dyDescent="0.15">
      <c r="A2174" s="576"/>
      <c r="EO2174" s="6"/>
      <c r="EP2174" s="6"/>
      <c r="EQ2174" s="6"/>
      <c r="ET2174" s="4"/>
      <c r="EU2174" s="4"/>
      <c r="EV2174" s="4"/>
    </row>
    <row r="2175" spans="1:152" x14ac:dyDescent="0.15">
      <c r="A2175" s="576"/>
      <c r="EO2175" s="6"/>
      <c r="EP2175" s="6"/>
      <c r="EQ2175" s="6"/>
      <c r="ET2175" s="4"/>
      <c r="EU2175" s="4"/>
      <c r="EV2175" s="4"/>
    </row>
    <row r="2176" spans="1:152" x14ac:dyDescent="0.15">
      <c r="A2176" s="576"/>
      <c r="EO2176" s="6"/>
      <c r="EP2176" s="6"/>
      <c r="EQ2176" s="6"/>
      <c r="ET2176" s="4"/>
      <c r="EU2176" s="4"/>
      <c r="EV2176" s="4"/>
    </row>
    <row r="2177" spans="1:152" x14ac:dyDescent="0.15">
      <c r="A2177" s="576"/>
      <c r="EO2177" s="6"/>
      <c r="EP2177" s="6"/>
      <c r="EQ2177" s="6"/>
      <c r="ET2177" s="4"/>
      <c r="EU2177" s="4"/>
      <c r="EV2177" s="4"/>
    </row>
    <row r="2178" spans="1:152" x14ac:dyDescent="0.15">
      <c r="A2178" s="576"/>
      <c r="EO2178" s="6"/>
      <c r="EP2178" s="6"/>
      <c r="EQ2178" s="6"/>
      <c r="ET2178" s="4"/>
      <c r="EU2178" s="4"/>
      <c r="EV2178" s="4"/>
    </row>
    <row r="2179" spans="1:152" x14ac:dyDescent="0.15">
      <c r="A2179" s="576"/>
      <c r="EO2179" s="6"/>
      <c r="EP2179" s="6"/>
      <c r="EQ2179" s="6"/>
      <c r="ET2179" s="4"/>
      <c r="EU2179" s="4"/>
      <c r="EV2179" s="4"/>
    </row>
    <row r="2180" spans="1:152" x14ac:dyDescent="0.15">
      <c r="A2180" s="576"/>
      <c r="EO2180" s="6"/>
      <c r="EP2180" s="6"/>
      <c r="EQ2180" s="6"/>
      <c r="ET2180" s="4"/>
      <c r="EU2180" s="4"/>
      <c r="EV2180" s="4"/>
    </row>
    <row r="2181" spans="1:152" x14ac:dyDescent="0.15">
      <c r="A2181" s="576"/>
      <c r="EO2181" s="6"/>
      <c r="EP2181" s="6"/>
      <c r="EQ2181" s="6"/>
      <c r="ET2181" s="4"/>
      <c r="EU2181" s="4"/>
      <c r="EV2181" s="4"/>
    </row>
    <row r="2182" spans="1:152" x14ac:dyDescent="0.15">
      <c r="A2182" s="576"/>
      <c r="EO2182" s="6"/>
      <c r="EP2182" s="6"/>
      <c r="EQ2182" s="6"/>
      <c r="ET2182" s="4"/>
      <c r="EU2182" s="4"/>
      <c r="EV2182" s="4"/>
    </row>
    <row r="2183" spans="1:152" x14ac:dyDescent="0.15">
      <c r="A2183" s="576"/>
      <c r="EO2183" s="6"/>
      <c r="EP2183" s="6"/>
      <c r="EQ2183" s="6"/>
      <c r="ET2183" s="4"/>
      <c r="EU2183" s="4"/>
      <c r="EV2183" s="4"/>
    </row>
    <row r="2184" spans="1:152" x14ac:dyDescent="0.15">
      <c r="A2184" s="576"/>
      <c r="EO2184" s="6"/>
      <c r="EP2184" s="6"/>
      <c r="EQ2184" s="6"/>
      <c r="ET2184" s="4"/>
      <c r="EU2184" s="4"/>
      <c r="EV2184" s="4"/>
    </row>
    <row r="2185" spans="1:152" x14ac:dyDescent="0.15">
      <c r="A2185" s="576"/>
      <c r="EO2185" s="6"/>
      <c r="EP2185" s="6"/>
      <c r="EQ2185" s="6"/>
      <c r="ET2185" s="4"/>
      <c r="EU2185" s="4"/>
      <c r="EV2185" s="4"/>
    </row>
    <row r="2186" spans="1:152" x14ac:dyDescent="0.15">
      <c r="A2186" s="576"/>
      <c r="EO2186" s="6"/>
      <c r="EP2186" s="6"/>
      <c r="EQ2186" s="6"/>
      <c r="ET2186" s="4"/>
      <c r="EU2186" s="4"/>
      <c r="EV2186" s="4"/>
    </row>
    <row r="2187" spans="1:152" x14ac:dyDescent="0.15">
      <c r="A2187" s="576"/>
      <c r="EO2187" s="6"/>
      <c r="EP2187" s="6"/>
      <c r="EQ2187" s="6"/>
      <c r="ET2187" s="4"/>
      <c r="EU2187" s="4"/>
      <c r="EV2187" s="4"/>
    </row>
    <row r="2188" spans="1:152" x14ac:dyDescent="0.15">
      <c r="A2188" s="576"/>
      <c r="EO2188" s="6"/>
      <c r="EP2188" s="6"/>
      <c r="EQ2188" s="6"/>
      <c r="ET2188" s="4"/>
      <c r="EU2188" s="4"/>
      <c r="EV2188" s="4"/>
    </row>
    <row r="2189" spans="1:152" x14ac:dyDescent="0.15">
      <c r="A2189" s="576"/>
      <c r="EO2189" s="6"/>
      <c r="EP2189" s="6"/>
      <c r="EQ2189" s="6"/>
      <c r="ET2189" s="4"/>
      <c r="EU2189" s="4"/>
      <c r="EV2189" s="4"/>
    </row>
    <row r="2190" spans="1:152" x14ac:dyDescent="0.15">
      <c r="A2190" s="576"/>
      <c r="EO2190" s="6"/>
      <c r="EP2190" s="6"/>
      <c r="EQ2190" s="6"/>
      <c r="ET2190" s="4"/>
      <c r="EU2190" s="4"/>
      <c r="EV2190" s="4"/>
    </row>
    <row r="2191" spans="1:152" x14ac:dyDescent="0.15">
      <c r="A2191" s="576"/>
      <c r="EO2191" s="6"/>
      <c r="EP2191" s="6"/>
      <c r="EQ2191" s="6"/>
      <c r="ET2191" s="4"/>
      <c r="EU2191" s="4"/>
      <c r="EV2191" s="4"/>
    </row>
    <row r="2192" spans="1:152" x14ac:dyDescent="0.15">
      <c r="A2192" s="576"/>
      <c r="EO2192" s="6"/>
      <c r="EP2192" s="6"/>
      <c r="EQ2192" s="6"/>
      <c r="ET2192" s="4"/>
      <c r="EU2192" s="4"/>
      <c r="EV2192" s="4"/>
    </row>
    <row r="2193" spans="1:152" x14ac:dyDescent="0.15">
      <c r="A2193" s="576"/>
      <c r="EO2193" s="6"/>
      <c r="EP2193" s="6"/>
      <c r="EQ2193" s="6"/>
      <c r="ET2193" s="4"/>
      <c r="EU2193" s="4"/>
      <c r="EV2193" s="4"/>
    </row>
    <row r="2194" spans="1:152" x14ac:dyDescent="0.15">
      <c r="A2194" s="576"/>
      <c r="EO2194" s="6"/>
      <c r="EP2194" s="6"/>
      <c r="EQ2194" s="6"/>
      <c r="ET2194" s="4"/>
      <c r="EU2194" s="4"/>
      <c r="EV2194" s="4"/>
    </row>
    <row r="2195" spans="1:152" x14ac:dyDescent="0.15">
      <c r="A2195" s="576"/>
      <c r="EO2195" s="6"/>
      <c r="EP2195" s="6"/>
      <c r="EQ2195" s="6"/>
      <c r="ET2195" s="4"/>
      <c r="EU2195" s="4"/>
      <c r="EV2195" s="4"/>
    </row>
    <row r="2196" spans="1:152" x14ac:dyDescent="0.15">
      <c r="A2196" s="576"/>
      <c r="EO2196" s="6"/>
      <c r="EP2196" s="6"/>
      <c r="EQ2196" s="6"/>
      <c r="ET2196" s="4"/>
      <c r="EU2196" s="4"/>
      <c r="EV2196" s="4"/>
    </row>
    <row r="2197" spans="1:152" x14ac:dyDescent="0.15">
      <c r="A2197" s="576"/>
      <c r="EO2197" s="6"/>
      <c r="EP2197" s="6"/>
      <c r="EQ2197" s="6"/>
      <c r="ET2197" s="4"/>
      <c r="EU2197" s="4"/>
      <c r="EV2197" s="4"/>
    </row>
    <row r="2198" spans="1:152" x14ac:dyDescent="0.15">
      <c r="A2198" s="576"/>
      <c r="EO2198" s="6"/>
      <c r="EP2198" s="6"/>
      <c r="EQ2198" s="6"/>
      <c r="ET2198" s="4"/>
      <c r="EU2198" s="4"/>
      <c r="EV2198" s="4"/>
    </row>
    <row r="2199" spans="1:152" x14ac:dyDescent="0.15">
      <c r="A2199" s="576"/>
      <c r="EO2199" s="6"/>
      <c r="EP2199" s="6"/>
      <c r="EQ2199" s="6"/>
      <c r="ET2199" s="4"/>
      <c r="EU2199" s="4"/>
      <c r="EV2199" s="4"/>
    </row>
    <row r="2200" spans="1:152" x14ac:dyDescent="0.15">
      <c r="A2200" s="576"/>
      <c r="EO2200" s="6"/>
      <c r="EP2200" s="6"/>
      <c r="EQ2200" s="6"/>
      <c r="ET2200" s="4"/>
      <c r="EU2200" s="4"/>
      <c r="EV2200" s="4"/>
    </row>
    <row r="2201" spans="1:152" x14ac:dyDescent="0.15">
      <c r="A2201" s="576"/>
      <c r="EO2201" s="6"/>
      <c r="EP2201" s="6"/>
      <c r="EQ2201" s="6"/>
      <c r="ET2201" s="4"/>
      <c r="EU2201" s="4"/>
      <c r="EV2201" s="4"/>
    </row>
    <row r="2202" spans="1:152" x14ac:dyDescent="0.15">
      <c r="A2202" s="576"/>
      <c r="EO2202" s="6"/>
      <c r="EP2202" s="6"/>
      <c r="EQ2202" s="6"/>
      <c r="ET2202" s="4"/>
      <c r="EU2202" s="4"/>
      <c r="EV2202" s="4"/>
    </row>
    <row r="2203" spans="1:152" x14ac:dyDescent="0.15">
      <c r="A2203" s="576"/>
      <c r="EO2203" s="6"/>
      <c r="EP2203" s="6"/>
      <c r="EQ2203" s="6"/>
      <c r="ET2203" s="4"/>
      <c r="EU2203" s="4"/>
      <c r="EV2203" s="4"/>
    </row>
    <row r="2204" spans="1:152" x14ac:dyDescent="0.15">
      <c r="A2204" s="576"/>
      <c r="EO2204" s="6"/>
      <c r="EP2204" s="6"/>
      <c r="EQ2204" s="6"/>
      <c r="ET2204" s="4"/>
      <c r="EU2204" s="4"/>
      <c r="EV2204" s="4"/>
    </row>
    <row r="2205" spans="1:152" x14ac:dyDescent="0.15">
      <c r="A2205" s="576"/>
      <c r="EO2205" s="6"/>
      <c r="EP2205" s="6"/>
      <c r="EQ2205" s="6"/>
      <c r="ET2205" s="4"/>
      <c r="EU2205" s="4"/>
      <c r="EV2205" s="4"/>
    </row>
    <row r="2206" spans="1:152" x14ac:dyDescent="0.15">
      <c r="A2206" s="576"/>
      <c r="EO2206" s="6"/>
      <c r="EP2206" s="6"/>
      <c r="EQ2206" s="6"/>
      <c r="ET2206" s="4"/>
      <c r="EU2206" s="4"/>
      <c r="EV2206" s="4"/>
    </row>
    <row r="2207" spans="1:152" x14ac:dyDescent="0.15">
      <c r="A2207" s="576"/>
      <c r="EO2207" s="6"/>
      <c r="EP2207" s="6"/>
      <c r="EQ2207" s="6"/>
      <c r="ET2207" s="4"/>
      <c r="EU2207" s="4"/>
      <c r="EV2207" s="4"/>
    </row>
    <row r="2208" spans="1:152" x14ac:dyDescent="0.15">
      <c r="A2208" s="576"/>
      <c r="EO2208" s="6"/>
      <c r="EP2208" s="6"/>
      <c r="EQ2208" s="6"/>
      <c r="ET2208" s="4"/>
      <c r="EU2208" s="4"/>
      <c r="EV2208" s="4"/>
    </row>
    <row r="2209" spans="1:152" x14ac:dyDescent="0.15">
      <c r="A2209" s="576"/>
      <c r="EO2209" s="6"/>
      <c r="EP2209" s="6"/>
      <c r="EQ2209" s="6"/>
      <c r="ET2209" s="4"/>
      <c r="EU2209" s="4"/>
      <c r="EV2209" s="4"/>
    </row>
    <row r="2210" spans="1:152" x14ac:dyDescent="0.15">
      <c r="A2210" s="576"/>
      <c r="EO2210" s="6"/>
      <c r="EP2210" s="6"/>
      <c r="EQ2210" s="6"/>
      <c r="ET2210" s="4"/>
      <c r="EU2210" s="4"/>
      <c r="EV2210" s="4"/>
    </row>
    <row r="2211" spans="1:152" x14ac:dyDescent="0.15">
      <c r="A2211" s="576"/>
      <c r="EO2211" s="6"/>
      <c r="EP2211" s="6"/>
      <c r="EQ2211" s="6"/>
      <c r="ET2211" s="4"/>
      <c r="EU2211" s="4"/>
      <c r="EV2211" s="4"/>
    </row>
    <row r="2212" spans="1:152" x14ac:dyDescent="0.15">
      <c r="A2212" s="576"/>
      <c r="EO2212" s="6"/>
      <c r="EP2212" s="6"/>
      <c r="EQ2212" s="6"/>
      <c r="ET2212" s="4"/>
      <c r="EU2212" s="4"/>
      <c r="EV2212" s="4"/>
    </row>
    <row r="2213" spans="1:152" x14ac:dyDescent="0.15">
      <c r="A2213" s="576"/>
      <c r="EO2213" s="6"/>
      <c r="EP2213" s="6"/>
      <c r="EQ2213" s="6"/>
      <c r="ET2213" s="4"/>
      <c r="EU2213" s="4"/>
      <c r="EV2213" s="4"/>
    </row>
    <row r="2214" spans="1:152" x14ac:dyDescent="0.15">
      <c r="A2214" s="576"/>
      <c r="EO2214" s="6"/>
      <c r="EP2214" s="6"/>
      <c r="EQ2214" s="6"/>
      <c r="ET2214" s="4"/>
      <c r="EU2214" s="4"/>
      <c r="EV2214" s="4"/>
    </row>
    <row r="2215" spans="1:152" x14ac:dyDescent="0.15">
      <c r="A2215" s="576"/>
      <c r="EO2215" s="6"/>
      <c r="EP2215" s="6"/>
      <c r="EQ2215" s="6"/>
      <c r="ET2215" s="4"/>
      <c r="EU2215" s="4"/>
      <c r="EV2215" s="4"/>
    </row>
    <row r="2216" spans="1:152" x14ac:dyDescent="0.15">
      <c r="A2216" s="576"/>
      <c r="EO2216" s="6"/>
      <c r="EP2216" s="6"/>
      <c r="EQ2216" s="6"/>
      <c r="ET2216" s="4"/>
      <c r="EU2216" s="4"/>
      <c r="EV2216" s="4"/>
    </row>
    <row r="2217" spans="1:152" x14ac:dyDescent="0.15">
      <c r="A2217" s="576"/>
      <c r="EO2217" s="6"/>
      <c r="EP2217" s="6"/>
      <c r="EQ2217" s="6"/>
      <c r="ET2217" s="4"/>
      <c r="EU2217" s="4"/>
      <c r="EV2217" s="4"/>
    </row>
    <row r="2218" spans="1:152" x14ac:dyDescent="0.15">
      <c r="A2218" s="576"/>
      <c r="EO2218" s="6"/>
      <c r="EP2218" s="6"/>
      <c r="EQ2218" s="6"/>
      <c r="ET2218" s="4"/>
      <c r="EU2218" s="4"/>
      <c r="EV2218" s="4"/>
    </row>
    <row r="2219" spans="1:152" x14ac:dyDescent="0.15">
      <c r="A2219" s="576"/>
      <c r="EO2219" s="6"/>
      <c r="EP2219" s="6"/>
      <c r="EQ2219" s="6"/>
      <c r="ET2219" s="4"/>
      <c r="EU2219" s="4"/>
      <c r="EV2219" s="4"/>
    </row>
    <row r="2220" spans="1:152" x14ac:dyDescent="0.15">
      <c r="A2220" s="576"/>
      <c r="EO2220" s="6"/>
      <c r="EP2220" s="6"/>
      <c r="EQ2220" s="6"/>
      <c r="ET2220" s="4"/>
      <c r="EU2220" s="4"/>
      <c r="EV2220" s="4"/>
    </row>
    <row r="2221" spans="1:152" x14ac:dyDescent="0.15">
      <c r="A2221" s="576"/>
      <c r="EO2221" s="6"/>
      <c r="EP2221" s="6"/>
      <c r="EQ2221" s="6"/>
      <c r="ET2221" s="4"/>
      <c r="EU2221" s="4"/>
      <c r="EV2221" s="4"/>
    </row>
    <row r="2222" spans="1:152" x14ac:dyDescent="0.15">
      <c r="A2222" s="576"/>
      <c r="EO2222" s="6"/>
      <c r="EP2222" s="6"/>
      <c r="EQ2222" s="6"/>
      <c r="ET2222" s="4"/>
      <c r="EU2222" s="4"/>
      <c r="EV2222" s="4"/>
    </row>
    <row r="2223" spans="1:152" x14ac:dyDescent="0.15">
      <c r="A2223" s="576"/>
      <c r="EO2223" s="6"/>
      <c r="EP2223" s="6"/>
      <c r="EQ2223" s="6"/>
      <c r="ET2223" s="4"/>
      <c r="EU2223" s="4"/>
      <c r="EV2223" s="4"/>
    </row>
    <row r="2224" spans="1:152" x14ac:dyDescent="0.15">
      <c r="A2224" s="576"/>
      <c r="EO2224" s="6"/>
      <c r="EP2224" s="6"/>
      <c r="EQ2224" s="6"/>
      <c r="ET2224" s="4"/>
      <c r="EU2224" s="4"/>
      <c r="EV2224" s="4"/>
    </row>
    <row r="2225" spans="1:152" x14ac:dyDescent="0.15">
      <c r="A2225" s="576"/>
      <c r="EO2225" s="6"/>
      <c r="EP2225" s="6"/>
      <c r="EQ2225" s="6"/>
      <c r="ET2225" s="4"/>
      <c r="EU2225" s="4"/>
      <c r="EV2225" s="4"/>
    </row>
    <row r="2226" spans="1:152" x14ac:dyDescent="0.15">
      <c r="A2226" s="576"/>
      <c r="EO2226" s="6"/>
      <c r="EP2226" s="6"/>
      <c r="EQ2226" s="6"/>
      <c r="ET2226" s="4"/>
      <c r="EU2226" s="4"/>
      <c r="EV2226" s="4"/>
    </row>
    <row r="2227" spans="1:152" x14ac:dyDescent="0.15">
      <c r="A2227" s="576"/>
      <c r="EO2227" s="6"/>
      <c r="EP2227" s="6"/>
      <c r="EQ2227" s="6"/>
      <c r="ET2227" s="4"/>
      <c r="EU2227" s="4"/>
      <c r="EV2227" s="4"/>
    </row>
    <row r="2228" spans="1:152" x14ac:dyDescent="0.15">
      <c r="A2228" s="576"/>
      <c r="EO2228" s="6"/>
      <c r="EP2228" s="6"/>
      <c r="EQ2228" s="6"/>
      <c r="ET2228" s="4"/>
      <c r="EU2228" s="4"/>
      <c r="EV2228" s="4"/>
    </row>
    <row r="2229" spans="1:152" x14ac:dyDescent="0.15">
      <c r="A2229" s="576"/>
      <c r="EO2229" s="6"/>
      <c r="EP2229" s="6"/>
      <c r="EQ2229" s="6"/>
      <c r="ET2229" s="4"/>
      <c r="EU2229" s="4"/>
      <c r="EV2229" s="4"/>
    </row>
    <row r="2230" spans="1:152" x14ac:dyDescent="0.15">
      <c r="A2230" s="576"/>
      <c r="EO2230" s="6"/>
      <c r="EP2230" s="6"/>
      <c r="EQ2230" s="6"/>
      <c r="ET2230" s="4"/>
      <c r="EU2230" s="4"/>
      <c r="EV2230" s="4"/>
    </row>
    <row r="2231" spans="1:152" x14ac:dyDescent="0.15">
      <c r="A2231" s="576"/>
      <c r="EO2231" s="6"/>
      <c r="EP2231" s="6"/>
      <c r="EQ2231" s="6"/>
      <c r="ET2231" s="4"/>
      <c r="EU2231" s="4"/>
      <c r="EV2231" s="4"/>
    </row>
    <row r="2232" spans="1:152" x14ac:dyDescent="0.15">
      <c r="A2232" s="576"/>
      <c r="EO2232" s="6"/>
      <c r="EP2232" s="6"/>
      <c r="EQ2232" s="6"/>
      <c r="ET2232" s="4"/>
      <c r="EU2232" s="4"/>
      <c r="EV2232" s="4"/>
    </row>
    <row r="2233" spans="1:152" x14ac:dyDescent="0.15">
      <c r="A2233" s="576"/>
      <c r="EO2233" s="6"/>
      <c r="EP2233" s="6"/>
      <c r="EQ2233" s="6"/>
      <c r="ET2233" s="4"/>
      <c r="EU2233" s="4"/>
      <c r="EV2233" s="4"/>
    </row>
    <row r="2234" spans="1:152" x14ac:dyDescent="0.15">
      <c r="A2234" s="576"/>
      <c r="EO2234" s="6"/>
      <c r="EP2234" s="6"/>
      <c r="EQ2234" s="6"/>
      <c r="ET2234" s="4"/>
      <c r="EU2234" s="4"/>
      <c r="EV2234" s="4"/>
    </row>
    <row r="2235" spans="1:152" x14ac:dyDescent="0.15">
      <c r="A2235" s="576"/>
      <c r="EO2235" s="6"/>
      <c r="EP2235" s="6"/>
      <c r="EQ2235" s="6"/>
      <c r="ET2235" s="4"/>
      <c r="EU2235" s="4"/>
      <c r="EV2235" s="4"/>
    </row>
    <row r="2236" spans="1:152" x14ac:dyDescent="0.15">
      <c r="A2236" s="576"/>
      <c r="EO2236" s="6"/>
      <c r="EP2236" s="6"/>
      <c r="EQ2236" s="6"/>
      <c r="ET2236" s="4"/>
      <c r="EU2236" s="4"/>
      <c r="EV2236" s="4"/>
    </row>
    <row r="2237" spans="1:152" x14ac:dyDescent="0.15">
      <c r="A2237" s="576"/>
      <c r="EO2237" s="6"/>
      <c r="EP2237" s="6"/>
      <c r="EQ2237" s="6"/>
      <c r="ET2237" s="4"/>
      <c r="EU2237" s="4"/>
      <c r="EV2237" s="4"/>
    </row>
    <row r="2238" spans="1:152" x14ac:dyDescent="0.15">
      <c r="A2238" s="576"/>
      <c r="EO2238" s="6"/>
      <c r="EP2238" s="6"/>
      <c r="EQ2238" s="6"/>
      <c r="ET2238" s="4"/>
      <c r="EU2238" s="4"/>
      <c r="EV2238" s="4"/>
    </row>
    <row r="2239" spans="1:152" x14ac:dyDescent="0.15">
      <c r="A2239" s="576"/>
      <c r="EO2239" s="6"/>
      <c r="EP2239" s="6"/>
      <c r="EQ2239" s="6"/>
      <c r="ET2239" s="4"/>
      <c r="EU2239" s="4"/>
      <c r="EV2239" s="4"/>
    </row>
    <row r="2240" spans="1:152" x14ac:dyDescent="0.15">
      <c r="A2240" s="576"/>
      <c r="EO2240" s="6"/>
      <c r="EP2240" s="6"/>
      <c r="EQ2240" s="6"/>
      <c r="ET2240" s="4"/>
      <c r="EU2240" s="4"/>
      <c r="EV2240" s="4"/>
    </row>
    <row r="2241" spans="1:152" x14ac:dyDescent="0.15">
      <c r="A2241" s="576"/>
      <c r="EO2241" s="6"/>
      <c r="EP2241" s="6"/>
      <c r="EQ2241" s="6"/>
      <c r="ET2241" s="4"/>
      <c r="EU2241" s="4"/>
      <c r="EV2241" s="4"/>
    </row>
    <row r="2242" spans="1:152" x14ac:dyDescent="0.15">
      <c r="A2242" s="576"/>
      <c r="EO2242" s="6"/>
      <c r="EP2242" s="6"/>
      <c r="EQ2242" s="6"/>
      <c r="ET2242" s="4"/>
      <c r="EU2242" s="4"/>
      <c r="EV2242" s="4"/>
    </row>
    <row r="2243" spans="1:152" x14ac:dyDescent="0.15">
      <c r="A2243" s="576"/>
      <c r="EO2243" s="6"/>
      <c r="EP2243" s="6"/>
      <c r="EQ2243" s="6"/>
      <c r="ET2243" s="4"/>
      <c r="EU2243" s="4"/>
      <c r="EV2243" s="4"/>
    </row>
    <row r="2244" spans="1:152" x14ac:dyDescent="0.15">
      <c r="A2244" s="576"/>
      <c r="EO2244" s="6"/>
      <c r="EP2244" s="6"/>
      <c r="EQ2244" s="6"/>
      <c r="ET2244" s="4"/>
      <c r="EU2244" s="4"/>
      <c r="EV2244" s="4"/>
    </row>
    <row r="2245" spans="1:152" x14ac:dyDescent="0.15">
      <c r="A2245" s="576"/>
      <c r="EO2245" s="6"/>
      <c r="EP2245" s="6"/>
      <c r="EQ2245" s="6"/>
      <c r="ET2245" s="4"/>
      <c r="EU2245" s="4"/>
      <c r="EV2245" s="4"/>
    </row>
    <row r="2246" spans="1:152" x14ac:dyDescent="0.15">
      <c r="A2246" s="576"/>
      <c r="EO2246" s="6"/>
      <c r="EP2246" s="6"/>
      <c r="EQ2246" s="6"/>
      <c r="ET2246" s="4"/>
      <c r="EU2246" s="4"/>
      <c r="EV2246" s="4"/>
    </row>
    <row r="2247" spans="1:152" x14ac:dyDescent="0.15">
      <c r="A2247" s="576"/>
      <c r="EO2247" s="6"/>
      <c r="EP2247" s="6"/>
      <c r="EQ2247" s="6"/>
      <c r="ET2247" s="4"/>
      <c r="EU2247" s="4"/>
      <c r="EV2247" s="4"/>
    </row>
    <row r="2248" spans="1:152" x14ac:dyDescent="0.15">
      <c r="A2248" s="576"/>
      <c r="EO2248" s="6"/>
      <c r="EP2248" s="6"/>
      <c r="EQ2248" s="6"/>
      <c r="ET2248" s="4"/>
      <c r="EU2248" s="4"/>
      <c r="EV2248" s="4"/>
    </row>
    <row r="2249" spans="1:152" x14ac:dyDescent="0.15">
      <c r="A2249" s="576"/>
      <c r="EO2249" s="6"/>
      <c r="EP2249" s="6"/>
      <c r="EQ2249" s="6"/>
      <c r="ET2249" s="4"/>
      <c r="EU2249" s="4"/>
      <c r="EV2249" s="4"/>
    </row>
    <row r="2250" spans="1:152" x14ac:dyDescent="0.15">
      <c r="A2250" s="576"/>
      <c r="EO2250" s="6"/>
      <c r="EP2250" s="6"/>
      <c r="EQ2250" s="6"/>
      <c r="ET2250" s="4"/>
      <c r="EU2250" s="4"/>
      <c r="EV2250" s="4"/>
    </row>
    <row r="2251" spans="1:152" x14ac:dyDescent="0.15">
      <c r="A2251" s="576"/>
      <c r="EO2251" s="6"/>
      <c r="EP2251" s="6"/>
      <c r="EQ2251" s="6"/>
      <c r="ET2251" s="4"/>
      <c r="EU2251" s="4"/>
      <c r="EV2251" s="4"/>
    </row>
    <row r="2252" spans="1:152" x14ac:dyDescent="0.15">
      <c r="A2252" s="576"/>
      <c r="EO2252" s="6"/>
      <c r="EP2252" s="6"/>
      <c r="EQ2252" s="6"/>
      <c r="ET2252" s="4"/>
      <c r="EU2252" s="4"/>
      <c r="EV2252" s="4"/>
    </row>
    <row r="2253" spans="1:152" x14ac:dyDescent="0.15">
      <c r="A2253" s="576"/>
      <c r="EO2253" s="6"/>
      <c r="EP2253" s="6"/>
      <c r="EQ2253" s="6"/>
      <c r="ET2253" s="4"/>
      <c r="EU2253" s="4"/>
      <c r="EV2253" s="4"/>
    </row>
    <row r="2254" spans="1:152" x14ac:dyDescent="0.15">
      <c r="A2254" s="576"/>
      <c r="EO2254" s="6"/>
      <c r="EP2254" s="6"/>
      <c r="EQ2254" s="6"/>
      <c r="ET2254" s="4"/>
      <c r="EU2254" s="4"/>
      <c r="EV2254" s="4"/>
    </row>
    <row r="2255" spans="1:152" x14ac:dyDescent="0.15">
      <c r="A2255" s="576"/>
      <c r="EO2255" s="6"/>
      <c r="EP2255" s="6"/>
      <c r="EQ2255" s="6"/>
      <c r="ET2255" s="4"/>
      <c r="EU2255" s="4"/>
      <c r="EV2255" s="4"/>
    </row>
    <row r="2256" spans="1:152" x14ac:dyDescent="0.15">
      <c r="A2256" s="576"/>
      <c r="EO2256" s="6"/>
      <c r="EP2256" s="6"/>
      <c r="EQ2256" s="6"/>
      <c r="ET2256" s="4"/>
      <c r="EU2256" s="4"/>
      <c r="EV2256" s="4"/>
    </row>
    <row r="2257" spans="1:152" x14ac:dyDescent="0.15">
      <c r="A2257" s="576"/>
      <c r="EO2257" s="6"/>
      <c r="EP2257" s="6"/>
      <c r="EQ2257" s="6"/>
      <c r="ET2257" s="4"/>
      <c r="EU2257" s="4"/>
      <c r="EV2257" s="4"/>
    </row>
    <row r="2258" spans="1:152" x14ac:dyDescent="0.15">
      <c r="A2258" s="576"/>
      <c r="EO2258" s="6"/>
      <c r="EP2258" s="6"/>
      <c r="EQ2258" s="6"/>
      <c r="ET2258" s="4"/>
      <c r="EU2258" s="4"/>
      <c r="EV2258" s="4"/>
    </row>
    <row r="2259" spans="1:152" x14ac:dyDescent="0.15">
      <c r="A2259" s="576"/>
      <c r="EO2259" s="6"/>
      <c r="EP2259" s="6"/>
      <c r="EQ2259" s="6"/>
      <c r="ET2259" s="4"/>
      <c r="EU2259" s="4"/>
      <c r="EV2259" s="4"/>
    </row>
    <row r="2260" spans="1:152" x14ac:dyDescent="0.15">
      <c r="A2260" s="576"/>
      <c r="EO2260" s="6"/>
      <c r="EP2260" s="6"/>
      <c r="EQ2260" s="6"/>
      <c r="ET2260" s="4"/>
      <c r="EU2260" s="4"/>
      <c r="EV2260" s="4"/>
    </row>
    <row r="2261" spans="1:152" x14ac:dyDescent="0.15">
      <c r="A2261" s="576"/>
      <c r="EO2261" s="6"/>
      <c r="EP2261" s="6"/>
      <c r="EQ2261" s="6"/>
      <c r="ET2261" s="4"/>
      <c r="EU2261" s="4"/>
      <c r="EV2261" s="4"/>
    </row>
    <row r="2262" spans="1:152" x14ac:dyDescent="0.15">
      <c r="A2262" s="576"/>
      <c r="EO2262" s="6"/>
      <c r="EP2262" s="6"/>
      <c r="EQ2262" s="6"/>
      <c r="ET2262" s="4"/>
      <c r="EU2262" s="4"/>
      <c r="EV2262" s="4"/>
    </row>
    <row r="2263" spans="1:152" x14ac:dyDescent="0.15">
      <c r="A2263" s="576"/>
      <c r="EO2263" s="6"/>
      <c r="EP2263" s="6"/>
      <c r="EQ2263" s="6"/>
      <c r="ET2263" s="4"/>
      <c r="EU2263" s="4"/>
      <c r="EV2263" s="4"/>
    </row>
    <row r="2264" spans="1:152" x14ac:dyDescent="0.15">
      <c r="A2264" s="576"/>
      <c r="EO2264" s="6"/>
      <c r="EP2264" s="6"/>
      <c r="EQ2264" s="6"/>
      <c r="ET2264" s="4"/>
      <c r="EU2264" s="4"/>
      <c r="EV2264" s="4"/>
    </row>
    <row r="2265" spans="1:152" x14ac:dyDescent="0.15">
      <c r="A2265" s="576"/>
      <c r="EO2265" s="6"/>
      <c r="EP2265" s="6"/>
      <c r="EQ2265" s="6"/>
      <c r="ET2265" s="4"/>
      <c r="EU2265" s="4"/>
      <c r="EV2265" s="4"/>
    </row>
    <row r="2266" spans="1:152" x14ac:dyDescent="0.15">
      <c r="A2266" s="576"/>
      <c r="EO2266" s="6"/>
      <c r="EP2266" s="6"/>
      <c r="EQ2266" s="6"/>
      <c r="ET2266" s="4"/>
      <c r="EU2266" s="4"/>
      <c r="EV2266" s="4"/>
    </row>
    <row r="2267" spans="1:152" x14ac:dyDescent="0.15">
      <c r="A2267" s="576"/>
      <c r="EO2267" s="6"/>
      <c r="EP2267" s="6"/>
      <c r="EQ2267" s="6"/>
      <c r="ET2267" s="4"/>
      <c r="EU2267" s="4"/>
      <c r="EV2267" s="4"/>
    </row>
    <row r="2268" spans="1:152" x14ac:dyDescent="0.15">
      <c r="A2268" s="576"/>
      <c r="EO2268" s="6"/>
      <c r="EP2268" s="6"/>
      <c r="EQ2268" s="6"/>
      <c r="ET2268" s="4"/>
      <c r="EU2268" s="4"/>
      <c r="EV2268" s="4"/>
    </row>
    <row r="2269" spans="1:152" x14ac:dyDescent="0.15">
      <c r="A2269" s="576"/>
      <c r="EO2269" s="6"/>
      <c r="EP2269" s="6"/>
      <c r="EQ2269" s="6"/>
      <c r="ET2269" s="4"/>
      <c r="EU2269" s="4"/>
      <c r="EV2269" s="4"/>
    </row>
    <row r="2270" spans="1:152" x14ac:dyDescent="0.15">
      <c r="A2270" s="576"/>
      <c r="EO2270" s="6"/>
      <c r="EP2270" s="6"/>
      <c r="EQ2270" s="6"/>
      <c r="ET2270" s="4"/>
      <c r="EU2270" s="4"/>
      <c r="EV2270" s="4"/>
    </row>
    <row r="2271" spans="1:152" x14ac:dyDescent="0.15">
      <c r="A2271" s="576"/>
      <c r="EO2271" s="6"/>
      <c r="EP2271" s="6"/>
      <c r="EQ2271" s="6"/>
      <c r="ET2271" s="4"/>
      <c r="EU2271" s="4"/>
      <c r="EV2271" s="4"/>
    </row>
    <row r="2272" spans="1:152" x14ac:dyDescent="0.15">
      <c r="A2272" s="576"/>
      <c r="EO2272" s="6"/>
      <c r="EP2272" s="6"/>
      <c r="EQ2272" s="6"/>
      <c r="ET2272" s="4"/>
      <c r="EU2272" s="4"/>
      <c r="EV2272" s="4"/>
    </row>
    <row r="2273" spans="1:152" x14ac:dyDescent="0.15">
      <c r="A2273" s="576"/>
      <c r="EO2273" s="6"/>
      <c r="EP2273" s="6"/>
      <c r="EQ2273" s="6"/>
      <c r="ET2273" s="4"/>
      <c r="EU2273" s="4"/>
      <c r="EV2273" s="4"/>
    </row>
    <row r="2274" spans="1:152" x14ac:dyDescent="0.15">
      <c r="A2274" s="576"/>
      <c r="EO2274" s="6"/>
      <c r="EP2274" s="6"/>
      <c r="EQ2274" s="6"/>
      <c r="ET2274" s="4"/>
      <c r="EU2274" s="4"/>
      <c r="EV2274" s="4"/>
    </row>
    <row r="2275" spans="1:152" x14ac:dyDescent="0.15">
      <c r="A2275" s="576"/>
      <c r="EO2275" s="6"/>
      <c r="EP2275" s="6"/>
      <c r="EQ2275" s="6"/>
      <c r="ET2275" s="4"/>
      <c r="EU2275" s="4"/>
      <c r="EV2275" s="4"/>
    </row>
    <row r="2276" spans="1:152" x14ac:dyDescent="0.15">
      <c r="A2276" s="576"/>
      <c r="EO2276" s="6"/>
      <c r="EP2276" s="6"/>
      <c r="EQ2276" s="6"/>
      <c r="ET2276" s="4"/>
      <c r="EU2276" s="4"/>
      <c r="EV2276" s="4"/>
    </row>
    <row r="2277" spans="1:152" x14ac:dyDescent="0.15">
      <c r="A2277" s="576"/>
      <c r="EO2277" s="6"/>
      <c r="EP2277" s="6"/>
      <c r="EQ2277" s="6"/>
      <c r="ET2277" s="4"/>
      <c r="EU2277" s="4"/>
      <c r="EV2277" s="4"/>
    </row>
    <row r="2278" spans="1:152" x14ac:dyDescent="0.15">
      <c r="A2278" s="576"/>
      <c r="EO2278" s="6"/>
      <c r="EP2278" s="6"/>
      <c r="EQ2278" s="6"/>
      <c r="ET2278" s="4"/>
      <c r="EU2278" s="4"/>
      <c r="EV2278" s="4"/>
    </row>
    <row r="2279" spans="1:152" x14ac:dyDescent="0.15">
      <c r="A2279" s="576"/>
      <c r="EO2279" s="6"/>
      <c r="EP2279" s="6"/>
      <c r="EQ2279" s="6"/>
      <c r="ET2279" s="4"/>
      <c r="EU2279" s="4"/>
      <c r="EV2279" s="4"/>
    </row>
    <row r="2280" spans="1:152" x14ac:dyDescent="0.15">
      <c r="A2280" s="576"/>
      <c r="EO2280" s="6"/>
      <c r="EP2280" s="6"/>
      <c r="EQ2280" s="6"/>
      <c r="ET2280" s="4"/>
      <c r="EU2280" s="4"/>
      <c r="EV2280" s="4"/>
    </row>
    <row r="2281" spans="1:152" x14ac:dyDescent="0.15">
      <c r="A2281" s="576"/>
      <c r="EO2281" s="6"/>
      <c r="EP2281" s="6"/>
      <c r="EQ2281" s="6"/>
      <c r="ET2281" s="4"/>
      <c r="EU2281" s="4"/>
      <c r="EV2281" s="4"/>
    </row>
    <row r="2282" spans="1:152" x14ac:dyDescent="0.15">
      <c r="A2282" s="576"/>
      <c r="EO2282" s="6"/>
      <c r="EP2282" s="6"/>
      <c r="EQ2282" s="6"/>
      <c r="ET2282" s="4"/>
      <c r="EU2282" s="4"/>
      <c r="EV2282" s="4"/>
    </row>
    <row r="2283" spans="1:152" x14ac:dyDescent="0.15">
      <c r="A2283" s="576"/>
      <c r="EO2283" s="6"/>
      <c r="EP2283" s="6"/>
      <c r="EQ2283" s="6"/>
      <c r="ET2283" s="4"/>
      <c r="EU2283" s="4"/>
      <c r="EV2283" s="4"/>
    </row>
    <row r="2284" spans="1:152" x14ac:dyDescent="0.15">
      <c r="A2284" s="576"/>
      <c r="EO2284" s="6"/>
      <c r="EP2284" s="6"/>
      <c r="EQ2284" s="6"/>
      <c r="ET2284" s="4"/>
      <c r="EU2284" s="4"/>
      <c r="EV2284" s="4"/>
    </row>
    <row r="2285" spans="1:152" x14ac:dyDescent="0.15">
      <c r="A2285" s="576"/>
      <c r="EO2285" s="6"/>
      <c r="EP2285" s="6"/>
      <c r="EQ2285" s="6"/>
      <c r="ET2285" s="4"/>
      <c r="EU2285" s="4"/>
      <c r="EV2285" s="4"/>
    </row>
    <row r="2286" spans="1:152" x14ac:dyDescent="0.15">
      <c r="A2286" s="576"/>
      <c r="EO2286" s="6"/>
      <c r="EP2286" s="6"/>
      <c r="EQ2286" s="6"/>
      <c r="ET2286" s="4"/>
      <c r="EU2286" s="4"/>
      <c r="EV2286" s="4"/>
    </row>
    <row r="2287" spans="1:152" x14ac:dyDescent="0.15">
      <c r="A2287" s="576"/>
      <c r="EO2287" s="6"/>
      <c r="EP2287" s="6"/>
      <c r="EQ2287" s="6"/>
      <c r="ET2287" s="4"/>
      <c r="EU2287" s="4"/>
      <c r="EV2287" s="4"/>
    </row>
    <row r="2288" spans="1:152" x14ac:dyDescent="0.15">
      <c r="A2288" s="576"/>
      <c r="EO2288" s="6"/>
      <c r="EP2288" s="6"/>
      <c r="EQ2288" s="6"/>
      <c r="ET2288" s="4"/>
      <c r="EU2288" s="4"/>
      <c r="EV2288" s="4"/>
    </row>
    <row r="2289" spans="1:152" x14ac:dyDescent="0.15">
      <c r="A2289" s="576"/>
      <c r="EO2289" s="6"/>
      <c r="EP2289" s="6"/>
      <c r="EQ2289" s="6"/>
      <c r="ET2289" s="4"/>
      <c r="EU2289" s="4"/>
      <c r="EV2289" s="4"/>
    </row>
    <row r="2290" spans="1:152" x14ac:dyDescent="0.15">
      <c r="A2290" s="576"/>
      <c r="EO2290" s="6"/>
      <c r="EP2290" s="6"/>
      <c r="EQ2290" s="6"/>
      <c r="ET2290" s="4"/>
      <c r="EU2290" s="4"/>
      <c r="EV2290" s="4"/>
    </row>
    <row r="2291" spans="1:152" x14ac:dyDescent="0.15">
      <c r="A2291" s="576"/>
      <c r="EO2291" s="6"/>
      <c r="EP2291" s="6"/>
      <c r="EQ2291" s="6"/>
      <c r="ET2291" s="4"/>
      <c r="EU2291" s="4"/>
      <c r="EV2291" s="4"/>
    </row>
    <row r="2292" spans="1:152" x14ac:dyDescent="0.15">
      <c r="A2292" s="576"/>
      <c r="EO2292" s="6"/>
      <c r="EP2292" s="6"/>
      <c r="EQ2292" s="6"/>
      <c r="ET2292" s="4"/>
      <c r="EU2292" s="4"/>
      <c r="EV2292" s="4"/>
    </row>
    <row r="2293" spans="1:152" x14ac:dyDescent="0.15">
      <c r="A2293" s="576"/>
      <c r="EO2293" s="6"/>
      <c r="EP2293" s="6"/>
      <c r="EQ2293" s="6"/>
      <c r="ET2293" s="4"/>
      <c r="EU2293" s="4"/>
      <c r="EV2293" s="4"/>
    </row>
    <row r="2294" spans="1:152" x14ac:dyDescent="0.15">
      <c r="A2294" s="576"/>
      <c r="EO2294" s="6"/>
      <c r="EP2294" s="6"/>
      <c r="EQ2294" s="6"/>
      <c r="ET2294" s="4"/>
      <c r="EU2294" s="4"/>
      <c r="EV2294" s="4"/>
    </row>
    <row r="2295" spans="1:152" x14ac:dyDescent="0.15">
      <c r="A2295" s="576"/>
      <c r="EO2295" s="6"/>
      <c r="EP2295" s="6"/>
      <c r="EQ2295" s="6"/>
      <c r="ET2295" s="4"/>
      <c r="EU2295" s="4"/>
      <c r="EV2295" s="4"/>
    </row>
    <row r="2296" spans="1:152" x14ac:dyDescent="0.15">
      <c r="A2296" s="576"/>
      <c r="EO2296" s="6"/>
      <c r="EP2296" s="6"/>
      <c r="EQ2296" s="6"/>
      <c r="ET2296" s="4"/>
      <c r="EU2296" s="4"/>
      <c r="EV2296" s="4"/>
    </row>
    <row r="2297" spans="1:152" x14ac:dyDescent="0.15">
      <c r="A2297" s="576"/>
      <c r="EO2297" s="6"/>
      <c r="EP2297" s="6"/>
      <c r="EQ2297" s="6"/>
      <c r="ET2297" s="4"/>
      <c r="EU2297" s="4"/>
      <c r="EV2297" s="4"/>
    </row>
    <row r="2298" spans="1:152" x14ac:dyDescent="0.15">
      <c r="A2298" s="576"/>
      <c r="EO2298" s="6"/>
      <c r="EP2298" s="6"/>
      <c r="EQ2298" s="6"/>
      <c r="ET2298" s="4"/>
      <c r="EU2298" s="4"/>
      <c r="EV2298" s="4"/>
    </row>
    <row r="2299" spans="1:152" x14ac:dyDescent="0.15">
      <c r="A2299" s="576"/>
      <c r="EO2299" s="6"/>
      <c r="EP2299" s="6"/>
      <c r="EQ2299" s="6"/>
      <c r="ET2299" s="4"/>
      <c r="EU2299" s="4"/>
      <c r="EV2299" s="4"/>
    </row>
    <row r="2300" spans="1:152" x14ac:dyDescent="0.15">
      <c r="A2300" s="576"/>
      <c r="EO2300" s="6"/>
      <c r="EP2300" s="6"/>
      <c r="EQ2300" s="6"/>
      <c r="ET2300" s="4"/>
      <c r="EU2300" s="4"/>
      <c r="EV2300" s="4"/>
    </row>
    <row r="2301" spans="1:152" x14ac:dyDescent="0.15">
      <c r="A2301" s="576"/>
      <c r="EO2301" s="6"/>
      <c r="EP2301" s="6"/>
      <c r="EQ2301" s="6"/>
      <c r="ET2301" s="4"/>
      <c r="EU2301" s="4"/>
      <c r="EV2301" s="4"/>
    </row>
    <row r="2302" spans="1:152" x14ac:dyDescent="0.15">
      <c r="A2302" s="576"/>
      <c r="EO2302" s="6"/>
      <c r="EP2302" s="6"/>
      <c r="EQ2302" s="6"/>
      <c r="ET2302" s="4"/>
      <c r="EU2302" s="4"/>
      <c r="EV2302" s="4"/>
    </row>
    <row r="2303" spans="1:152" x14ac:dyDescent="0.15">
      <c r="A2303" s="576"/>
      <c r="EO2303" s="6"/>
      <c r="EP2303" s="6"/>
      <c r="EQ2303" s="6"/>
      <c r="ET2303" s="4"/>
      <c r="EU2303" s="4"/>
      <c r="EV2303" s="4"/>
    </row>
    <row r="2304" spans="1:152" x14ac:dyDescent="0.15">
      <c r="A2304" s="576"/>
      <c r="EO2304" s="6"/>
      <c r="EP2304" s="6"/>
      <c r="EQ2304" s="6"/>
      <c r="ET2304" s="4"/>
      <c r="EU2304" s="4"/>
      <c r="EV2304" s="4"/>
    </row>
    <row r="2305" spans="1:152" x14ac:dyDescent="0.15">
      <c r="A2305" s="576"/>
      <c r="EO2305" s="6"/>
      <c r="EP2305" s="6"/>
      <c r="EQ2305" s="6"/>
      <c r="ET2305" s="4"/>
      <c r="EU2305" s="4"/>
      <c r="EV2305" s="4"/>
    </row>
    <row r="2306" spans="1:152" x14ac:dyDescent="0.15">
      <c r="A2306" s="576"/>
      <c r="EO2306" s="6"/>
      <c r="EP2306" s="6"/>
      <c r="EQ2306" s="6"/>
      <c r="ET2306" s="4"/>
      <c r="EU2306" s="4"/>
      <c r="EV2306" s="4"/>
    </row>
    <row r="2307" spans="1:152" x14ac:dyDescent="0.15">
      <c r="A2307" s="576"/>
      <c r="EO2307" s="6"/>
      <c r="EP2307" s="6"/>
      <c r="EQ2307" s="6"/>
      <c r="ET2307" s="4"/>
      <c r="EU2307" s="4"/>
      <c r="EV2307" s="4"/>
    </row>
    <row r="2308" spans="1:152" x14ac:dyDescent="0.15">
      <c r="A2308" s="576"/>
      <c r="EO2308" s="6"/>
      <c r="EP2308" s="6"/>
      <c r="EQ2308" s="6"/>
      <c r="ET2308" s="4"/>
      <c r="EU2308" s="4"/>
      <c r="EV2308" s="4"/>
    </row>
    <row r="2309" spans="1:152" x14ac:dyDescent="0.15">
      <c r="A2309" s="576"/>
      <c r="EO2309" s="6"/>
      <c r="EP2309" s="6"/>
      <c r="EQ2309" s="6"/>
      <c r="ET2309" s="4"/>
      <c r="EU2309" s="4"/>
      <c r="EV2309" s="4"/>
    </row>
    <row r="2310" spans="1:152" x14ac:dyDescent="0.15">
      <c r="A2310" s="576"/>
      <c r="EO2310" s="6"/>
      <c r="EP2310" s="6"/>
      <c r="EQ2310" s="6"/>
      <c r="ET2310" s="4"/>
      <c r="EU2310" s="4"/>
      <c r="EV2310" s="4"/>
    </row>
    <row r="2311" spans="1:152" x14ac:dyDescent="0.15">
      <c r="A2311" s="576"/>
      <c r="EO2311" s="6"/>
      <c r="EP2311" s="6"/>
      <c r="EQ2311" s="6"/>
      <c r="ET2311" s="4"/>
      <c r="EU2311" s="4"/>
      <c r="EV2311" s="4"/>
    </row>
    <row r="2312" spans="1:152" x14ac:dyDescent="0.15">
      <c r="A2312" s="576"/>
      <c r="EO2312" s="6"/>
      <c r="EP2312" s="6"/>
      <c r="EQ2312" s="6"/>
      <c r="ET2312" s="4"/>
      <c r="EU2312" s="4"/>
      <c r="EV2312" s="4"/>
    </row>
    <row r="2313" spans="1:152" x14ac:dyDescent="0.15">
      <c r="A2313" s="576"/>
      <c r="EO2313" s="6"/>
      <c r="EP2313" s="6"/>
      <c r="EQ2313" s="6"/>
      <c r="ET2313" s="4"/>
      <c r="EU2313" s="4"/>
      <c r="EV2313" s="4"/>
    </row>
    <row r="2314" spans="1:152" x14ac:dyDescent="0.15">
      <c r="A2314" s="576"/>
      <c r="EO2314" s="6"/>
      <c r="EP2314" s="6"/>
      <c r="EQ2314" s="6"/>
      <c r="ET2314" s="4"/>
      <c r="EU2314" s="4"/>
      <c r="EV2314" s="4"/>
    </row>
    <row r="2315" spans="1:152" x14ac:dyDescent="0.15">
      <c r="A2315" s="576"/>
      <c r="EO2315" s="6"/>
      <c r="EP2315" s="6"/>
      <c r="EQ2315" s="6"/>
      <c r="ET2315" s="4"/>
      <c r="EU2315" s="4"/>
      <c r="EV2315" s="4"/>
    </row>
    <row r="2316" spans="1:152" x14ac:dyDescent="0.15">
      <c r="A2316" s="576"/>
      <c r="EO2316" s="6"/>
      <c r="EP2316" s="6"/>
      <c r="EQ2316" s="6"/>
      <c r="ET2316" s="4"/>
      <c r="EU2316" s="4"/>
      <c r="EV2316" s="4"/>
    </row>
    <row r="2317" spans="1:152" x14ac:dyDescent="0.15">
      <c r="A2317" s="576"/>
      <c r="EO2317" s="6"/>
      <c r="EP2317" s="6"/>
      <c r="EQ2317" s="6"/>
      <c r="ET2317" s="4"/>
      <c r="EU2317" s="4"/>
      <c r="EV2317" s="4"/>
    </row>
    <row r="2318" spans="1:152" x14ac:dyDescent="0.15">
      <c r="A2318" s="576"/>
      <c r="EO2318" s="6"/>
      <c r="EP2318" s="6"/>
      <c r="EQ2318" s="6"/>
      <c r="ET2318" s="4"/>
      <c r="EU2318" s="4"/>
      <c r="EV2318" s="4"/>
    </row>
    <row r="2319" spans="1:152" x14ac:dyDescent="0.15">
      <c r="A2319" s="576"/>
      <c r="EO2319" s="6"/>
      <c r="EP2319" s="6"/>
      <c r="EQ2319" s="6"/>
      <c r="ET2319" s="4"/>
      <c r="EU2319" s="4"/>
      <c r="EV2319" s="4"/>
    </row>
    <row r="2320" spans="1:152" x14ac:dyDescent="0.15">
      <c r="A2320" s="576"/>
      <c r="EO2320" s="6"/>
      <c r="EP2320" s="6"/>
      <c r="EQ2320" s="6"/>
      <c r="ET2320" s="4"/>
      <c r="EU2320" s="4"/>
      <c r="EV2320" s="4"/>
    </row>
    <row r="2321" spans="1:152" x14ac:dyDescent="0.15">
      <c r="A2321" s="576"/>
      <c r="EO2321" s="6"/>
      <c r="EP2321" s="6"/>
      <c r="EQ2321" s="6"/>
      <c r="ET2321" s="4"/>
      <c r="EU2321" s="4"/>
      <c r="EV2321" s="4"/>
    </row>
    <row r="2322" spans="1:152" x14ac:dyDescent="0.15">
      <c r="A2322" s="576"/>
      <c r="EO2322" s="6"/>
      <c r="EP2322" s="6"/>
      <c r="EQ2322" s="6"/>
      <c r="ET2322" s="4"/>
      <c r="EU2322" s="4"/>
      <c r="EV2322" s="4"/>
    </row>
    <row r="2323" spans="1:152" x14ac:dyDescent="0.15">
      <c r="A2323" s="576"/>
      <c r="EO2323" s="6"/>
      <c r="EP2323" s="6"/>
      <c r="EQ2323" s="6"/>
      <c r="ET2323" s="4"/>
      <c r="EU2323" s="4"/>
      <c r="EV2323" s="4"/>
    </row>
    <row r="2324" spans="1:152" x14ac:dyDescent="0.15">
      <c r="A2324" s="576"/>
      <c r="EO2324" s="6"/>
      <c r="EP2324" s="6"/>
      <c r="EQ2324" s="6"/>
      <c r="ET2324" s="4"/>
      <c r="EU2324" s="4"/>
      <c r="EV2324" s="4"/>
    </row>
    <row r="2325" spans="1:152" x14ac:dyDescent="0.15">
      <c r="A2325" s="576"/>
      <c r="EO2325" s="6"/>
      <c r="EP2325" s="6"/>
      <c r="EQ2325" s="6"/>
      <c r="ET2325" s="4"/>
      <c r="EU2325" s="4"/>
      <c r="EV2325" s="4"/>
    </row>
    <row r="2326" spans="1:152" x14ac:dyDescent="0.15">
      <c r="A2326" s="576"/>
      <c r="EO2326" s="6"/>
      <c r="EP2326" s="6"/>
      <c r="EQ2326" s="6"/>
      <c r="ET2326" s="4"/>
      <c r="EU2326" s="4"/>
      <c r="EV2326" s="4"/>
    </row>
    <row r="2327" spans="1:152" x14ac:dyDescent="0.15">
      <c r="A2327" s="576"/>
      <c r="EO2327" s="6"/>
      <c r="EP2327" s="6"/>
      <c r="EQ2327" s="6"/>
      <c r="ET2327" s="4"/>
      <c r="EU2327" s="4"/>
      <c r="EV2327" s="4"/>
    </row>
    <row r="2328" spans="1:152" x14ac:dyDescent="0.15">
      <c r="A2328" s="576"/>
      <c r="EO2328" s="6"/>
      <c r="EP2328" s="6"/>
      <c r="EQ2328" s="6"/>
      <c r="ET2328" s="4"/>
      <c r="EU2328" s="4"/>
      <c r="EV2328" s="4"/>
    </row>
    <row r="2329" spans="1:152" x14ac:dyDescent="0.15">
      <c r="A2329" s="576"/>
      <c r="EO2329" s="6"/>
      <c r="EP2329" s="6"/>
      <c r="EQ2329" s="6"/>
      <c r="ET2329" s="4"/>
      <c r="EU2329" s="4"/>
      <c r="EV2329" s="4"/>
    </row>
    <row r="2330" spans="1:152" x14ac:dyDescent="0.15">
      <c r="A2330" s="576"/>
      <c r="EO2330" s="6"/>
      <c r="EP2330" s="6"/>
      <c r="EQ2330" s="6"/>
      <c r="ET2330" s="4"/>
      <c r="EU2330" s="4"/>
      <c r="EV2330" s="4"/>
    </row>
    <row r="2331" spans="1:152" x14ac:dyDescent="0.15">
      <c r="A2331" s="576"/>
      <c r="EO2331" s="6"/>
      <c r="EP2331" s="6"/>
      <c r="EQ2331" s="6"/>
      <c r="ET2331" s="4"/>
      <c r="EU2331" s="4"/>
      <c r="EV2331" s="4"/>
    </row>
    <row r="2332" spans="1:152" x14ac:dyDescent="0.15">
      <c r="A2332" s="576"/>
      <c r="EO2332" s="6"/>
      <c r="EP2332" s="6"/>
      <c r="EQ2332" s="6"/>
      <c r="ET2332" s="4"/>
      <c r="EU2332" s="4"/>
      <c r="EV2332" s="4"/>
    </row>
    <row r="2333" spans="1:152" x14ac:dyDescent="0.15">
      <c r="A2333" s="576"/>
      <c r="EO2333" s="6"/>
      <c r="EP2333" s="6"/>
      <c r="EQ2333" s="6"/>
      <c r="ET2333" s="4"/>
      <c r="EU2333" s="4"/>
      <c r="EV2333" s="4"/>
    </row>
    <row r="2334" spans="1:152" x14ac:dyDescent="0.15">
      <c r="A2334" s="576"/>
      <c r="EO2334" s="6"/>
      <c r="EP2334" s="6"/>
      <c r="EQ2334" s="6"/>
      <c r="ET2334" s="4"/>
      <c r="EU2334" s="4"/>
      <c r="EV2334" s="4"/>
    </row>
    <row r="2335" spans="1:152" x14ac:dyDescent="0.15">
      <c r="A2335" s="576"/>
      <c r="EO2335" s="6"/>
      <c r="EP2335" s="6"/>
      <c r="EQ2335" s="6"/>
      <c r="ET2335" s="4"/>
      <c r="EU2335" s="4"/>
      <c r="EV2335" s="4"/>
    </row>
    <row r="2336" spans="1:152" x14ac:dyDescent="0.15">
      <c r="A2336" s="576"/>
      <c r="EO2336" s="6"/>
      <c r="EP2336" s="6"/>
      <c r="EQ2336" s="6"/>
      <c r="ET2336" s="4"/>
      <c r="EU2336" s="4"/>
      <c r="EV2336" s="4"/>
    </row>
    <row r="2337" spans="1:152" x14ac:dyDescent="0.15">
      <c r="A2337" s="576"/>
      <c r="EO2337" s="6"/>
      <c r="EP2337" s="6"/>
      <c r="EQ2337" s="6"/>
      <c r="ET2337" s="4"/>
      <c r="EU2337" s="4"/>
      <c r="EV2337" s="4"/>
    </row>
    <row r="2338" spans="1:152" x14ac:dyDescent="0.15">
      <c r="A2338" s="576"/>
      <c r="EO2338" s="6"/>
      <c r="EP2338" s="6"/>
      <c r="EQ2338" s="6"/>
      <c r="ET2338" s="4"/>
      <c r="EU2338" s="4"/>
      <c r="EV2338" s="4"/>
    </row>
    <row r="2339" spans="1:152" x14ac:dyDescent="0.15">
      <c r="A2339" s="576"/>
      <c r="EO2339" s="6"/>
      <c r="EP2339" s="6"/>
      <c r="EQ2339" s="6"/>
      <c r="ET2339" s="4"/>
      <c r="EU2339" s="4"/>
      <c r="EV2339" s="4"/>
    </row>
    <row r="2340" spans="1:152" x14ac:dyDescent="0.15">
      <c r="A2340" s="576"/>
      <c r="EO2340" s="6"/>
      <c r="EP2340" s="6"/>
      <c r="EQ2340" s="6"/>
      <c r="ET2340" s="4"/>
      <c r="EU2340" s="4"/>
      <c r="EV2340" s="4"/>
    </row>
    <row r="2341" spans="1:152" x14ac:dyDescent="0.15">
      <c r="A2341" s="576"/>
      <c r="EO2341" s="6"/>
      <c r="EP2341" s="6"/>
      <c r="EQ2341" s="6"/>
      <c r="ET2341" s="4"/>
      <c r="EU2341" s="4"/>
      <c r="EV2341" s="4"/>
    </row>
    <row r="2342" spans="1:152" x14ac:dyDescent="0.15">
      <c r="A2342" s="576"/>
      <c r="EO2342" s="6"/>
      <c r="EP2342" s="6"/>
      <c r="EQ2342" s="6"/>
      <c r="ET2342" s="4"/>
      <c r="EU2342" s="4"/>
      <c r="EV2342" s="4"/>
    </row>
    <row r="2343" spans="1:152" x14ac:dyDescent="0.15">
      <c r="A2343" s="576"/>
      <c r="EO2343" s="6"/>
      <c r="EP2343" s="6"/>
      <c r="EQ2343" s="6"/>
      <c r="ET2343" s="4"/>
      <c r="EU2343" s="4"/>
      <c r="EV2343" s="4"/>
    </row>
    <row r="2344" spans="1:152" x14ac:dyDescent="0.15">
      <c r="A2344" s="576"/>
      <c r="EO2344" s="6"/>
      <c r="EP2344" s="6"/>
      <c r="EQ2344" s="6"/>
      <c r="ET2344" s="4"/>
      <c r="EU2344" s="4"/>
      <c r="EV2344" s="4"/>
    </row>
    <row r="2345" spans="1:152" x14ac:dyDescent="0.15">
      <c r="A2345" s="576"/>
      <c r="EO2345" s="6"/>
      <c r="EP2345" s="6"/>
      <c r="EQ2345" s="6"/>
      <c r="ET2345" s="4"/>
      <c r="EU2345" s="4"/>
      <c r="EV2345" s="4"/>
    </row>
    <row r="2346" spans="1:152" x14ac:dyDescent="0.15">
      <c r="A2346" s="576"/>
      <c r="EO2346" s="6"/>
      <c r="EP2346" s="6"/>
      <c r="EQ2346" s="6"/>
      <c r="ET2346" s="4"/>
      <c r="EU2346" s="4"/>
      <c r="EV2346" s="4"/>
    </row>
    <row r="2347" spans="1:152" x14ac:dyDescent="0.15">
      <c r="A2347" s="576"/>
      <c r="EO2347" s="6"/>
      <c r="EP2347" s="6"/>
      <c r="EQ2347" s="6"/>
      <c r="ET2347" s="4"/>
      <c r="EU2347" s="4"/>
      <c r="EV2347" s="4"/>
    </row>
    <row r="2348" spans="1:152" x14ac:dyDescent="0.15">
      <c r="A2348" s="576"/>
      <c r="EO2348" s="6"/>
      <c r="EP2348" s="6"/>
      <c r="EQ2348" s="6"/>
      <c r="ET2348" s="4"/>
      <c r="EU2348" s="4"/>
      <c r="EV2348" s="4"/>
    </row>
    <row r="2349" spans="1:152" x14ac:dyDescent="0.15">
      <c r="A2349" s="576"/>
      <c r="EO2349" s="6"/>
      <c r="EP2349" s="6"/>
      <c r="EQ2349" s="6"/>
      <c r="ET2349" s="4"/>
      <c r="EU2349" s="4"/>
      <c r="EV2349" s="4"/>
    </row>
    <row r="2350" spans="1:152" x14ac:dyDescent="0.15">
      <c r="A2350" s="576"/>
      <c r="EO2350" s="6"/>
      <c r="EP2350" s="6"/>
      <c r="EQ2350" s="6"/>
      <c r="ET2350" s="4"/>
      <c r="EU2350" s="4"/>
      <c r="EV2350" s="4"/>
    </row>
    <row r="2351" spans="1:152" x14ac:dyDescent="0.15">
      <c r="A2351" s="576"/>
      <c r="EO2351" s="6"/>
      <c r="EP2351" s="6"/>
      <c r="EQ2351" s="6"/>
      <c r="ET2351" s="4"/>
      <c r="EU2351" s="4"/>
      <c r="EV2351" s="4"/>
    </row>
    <row r="2352" spans="1:152" x14ac:dyDescent="0.15">
      <c r="A2352" s="576"/>
      <c r="EO2352" s="6"/>
      <c r="EP2352" s="6"/>
      <c r="EQ2352" s="6"/>
      <c r="ET2352" s="4"/>
      <c r="EU2352" s="4"/>
      <c r="EV2352" s="4"/>
    </row>
    <row r="2353" spans="1:152" x14ac:dyDescent="0.15">
      <c r="A2353" s="576"/>
      <c r="EO2353" s="6"/>
      <c r="EP2353" s="6"/>
      <c r="EQ2353" s="6"/>
      <c r="ET2353" s="4"/>
      <c r="EU2353" s="4"/>
      <c r="EV2353" s="4"/>
    </row>
    <row r="2354" spans="1:152" x14ac:dyDescent="0.15">
      <c r="A2354" s="576"/>
      <c r="EO2354" s="6"/>
      <c r="EP2354" s="6"/>
      <c r="EQ2354" s="6"/>
      <c r="ET2354" s="4"/>
      <c r="EU2354" s="4"/>
      <c r="EV2354" s="4"/>
    </row>
    <row r="2355" spans="1:152" x14ac:dyDescent="0.15">
      <c r="A2355" s="576"/>
      <c r="EO2355" s="6"/>
      <c r="EP2355" s="6"/>
      <c r="EQ2355" s="6"/>
      <c r="ET2355" s="4"/>
      <c r="EU2355" s="4"/>
      <c r="EV2355" s="4"/>
    </row>
    <row r="2356" spans="1:152" x14ac:dyDescent="0.15">
      <c r="A2356" s="576"/>
      <c r="EO2356" s="6"/>
      <c r="EP2356" s="6"/>
      <c r="EQ2356" s="6"/>
      <c r="ET2356" s="4"/>
      <c r="EU2356" s="4"/>
      <c r="EV2356" s="4"/>
    </row>
    <row r="2357" spans="1:152" x14ac:dyDescent="0.15">
      <c r="A2357" s="576"/>
      <c r="EO2357" s="6"/>
      <c r="EP2357" s="6"/>
      <c r="EQ2357" s="6"/>
      <c r="ET2357" s="4"/>
      <c r="EU2357" s="4"/>
      <c r="EV2357" s="4"/>
    </row>
    <row r="2358" spans="1:152" x14ac:dyDescent="0.15">
      <c r="A2358" s="576"/>
      <c r="EO2358" s="6"/>
      <c r="EP2358" s="6"/>
      <c r="EQ2358" s="6"/>
      <c r="ET2358" s="4"/>
      <c r="EU2358" s="4"/>
      <c r="EV2358" s="4"/>
    </row>
    <row r="2359" spans="1:152" x14ac:dyDescent="0.15">
      <c r="A2359" s="576"/>
      <c r="EO2359" s="6"/>
      <c r="EP2359" s="6"/>
      <c r="EQ2359" s="6"/>
      <c r="ET2359" s="4"/>
      <c r="EU2359" s="4"/>
      <c r="EV2359" s="4"/>
    </row>
    <row r="2360" spans="1:152" x14ac:dyDescent="0.15">
      <c r="A2360" s="576"/>
      <c r="EO2360" s="6"/>
      <c r="EP2360" s="6"/>
      <c r="EQ2360" s="6"/>
      <c r="ET2360" s="4"/>
      <c r="EU2360" s="4"/>
      <c r="EV2360" s="4"/>
    </row>
    <row r="2361" spans="1:152" x14ac:dyDescent="0.15">
      <c r="A2361" s="576"/>
      <c r="EO2361" s="6"/>
      <c r="EP2361" s="6"/>
      <c r="EQ2361" s="6"/>
      <c r="ET2361" s="4"/>
      <c r="EU2361" s="4"/>
      <c r="EV2361" s="4"/>
    </row>
    <row r="2362" spans="1:152" x14ac:dyDescent="0.15">
      <c r="A2362" s="576"/>
      <c r="EO2362" s="6"/>
      <c r="EP2362" s="6"/>
      <c r="EQ2362" s="6"/>
      <c r="ET2362" s="4"/>
      <c r="EU2362" s="4"/>
      <c r="EV2362" s="4"/>
    </row>
    <row r="2363" spans="1:152" x14ac:dyDescent="0.15">
      <c r="A2363" s="576"/>
      <c r="EO2363" s="6"/>
      <c r="EP2363" s="6"/>
      <c r="EQ2363" s="6"/>
      <c r="ET2363" s="4"/>
      <c r="EU2363" s="4"/>
      <c r="EV2363" s="4"/>
    </row>
    <row r="2364" spans="1:152" x14ac:dyDescent="0.15">
      <c r="A2364" s="576"/>
      <c r="EO2364" s="6"/>
      <c r="EP2364" s="6"/>
      <c r="EQ2364" s="6"/>
      <c r="ET2364" s="4"/>
      <c r="EU2364" s="4"/>
      <c r="EV2364" s="4"/>
    </row>
    <row r="2365" spans="1:152" x14ac:dyDescent="0.15">
      <c r="A2365" s="576"/>
      <c r="EO2365" s="6"/>
      <c r="EP2365" s="6"/>
      <c r="EQ2365" s="6"/>
      <c r="ET2365" s="4"/>
      <c r="EU2365" s="4"/>
      <c r="EV2365" s="4"/>
    </row>
    <row r="2366" spans="1:152" x14ac:dyDescent="0.15">
      <c r="A2366" s="576"/>
      <c r="EO2366" s="6"/>
      <c r="EP2366" s="6"/>
      <c r="EQ2366" s="6"/>
      <c r="ET2366" s="4"/>
      <c r="EU2366" s="4"/>
      <c r="EV2366" s="4"/>
    </row>
    <row r="2367" spans="1:152" x14ac:dyDescent="0.15">
      <c r="A2367" s="576"/>
      <c r="EO2367" s="6"/>
      <c r="EP2367" s="6"/>
      <c r="EQ2367" s="6"/>
      <c r="ET2367" s="4"/>
      <c r="EU2367" s="4"/>
      <c r="EV2367" s="4"/>
    </row>
    <row r="2368" spans="1:152" x14ac:dyDescent="0.15">
      <c r="A2368" s="576"/>
      <c r="EO2368" s="6"/>
      <c r="EP2368" s="6"/>
      <c r="EQ2368" s="6"/>
      <c r="ET2368" s="4"/>
      <c r="EU2368" s="4"/>
      <c r="EV2368" s="4"/>
    </row>
    <row r="2369" spans="1:152" x14ac:dyDescent="0.15">
      <c r="A2369" s="576"/>
      <c r="EO2369" s="6"/>
      <c r="EP2369" s="6"/>
      <c r="EQ2369" s="6"/>
      <c r="ET2369" s="4"/>
      <c r="EU2369" s="4"/>
      <c r="EV2369" s="4"/>
    </row>
    <row r="2370" spans="1:152" x14ac:dyDescent="0.15">
      <c r="A2370" s="576"/>
      <c r="EO2370" s="6"/>
      <c r="EP2370" s="6"/>
      <c r="EQ2370" s="6"/>
      <c r="ET2370" s="4"/>
      <c r="EU2370" s="4"/>
      <c r="EV2370" s="4"/>
    </row>
    <row r="2371" spans="1:152" x14ac:dyDescent="0.15">
      <c r="A2371" s="576"/>
      <c r="EO2371" s="6"/>
      <c r="EP2371" s="6"/>
      <c r="EQ2371" s="6"/>
      <c r="ET2371" s="4"/>
      <c r="EU2371" s="4"/>
      <c r="EV2371" s="4"/>
    </row>
    <row r="2372" spans="1:152" x14ac:dyDescent="0.15">
      <c r="A2372" s="576"/>
      <c r="EO2372" s="6"/>
      <c r="EP2372" s="6"/>
      <c r="EQ2372" s="6"/>
      <c r="ET2372" s="4"/>
      <c r="EU2372" s="4"/>
      <c r="EV2372" s="4"/>
    </row>
    <row r="2373" spans="1:152" x14ac:dyDescent="0.15">
      <c r="A2373" s="576"/>
      <c r="EO2373" s="6"/>
      <c r="EP2373" s="6"/>
      <c r="EQ2373" s="6"/>
      <c r="ET2373" s="4"/>
      <c r="EU2373" s="4"/>
      <c r="EV2373" s="4"/>
    </row>
    <row r="2374" spans="1:152" x14ac:dyDescent="0.15">
      <c r="A2374" s="576"/>
      <c r="EO2374" s="6"/>
      <c r="EP2374" s="6"/>
      <c r="EQ2374" s="6"/>
      <c r="ET2374" s="4"/>
      <c r="EU2374" s="4"/>
      <c r="EV2374" s="4"/>
    </row>
    <row r="2375" spans="1:152" x14ac:dyDescent="0.15">
      <c r="A2375" s="576"/>
      <c r="EO2375" s="6"/>
      <c r="EP2375" s="6"/>
      <c r="EQ2375" s="6"/>
      <c r="ET2375" s="4"/>
      <c r="EU2375" s="4"/>
      <c r="EV2375" s="4"/>
    </row>
    <row r="2376" spans="1:152" x14ac:dyDescent="0.15">
      <c r="A2376" s="576"/>
      <c r="EO2376" s="6"/>
      <c r="EP2376" s="6"/>
      <c r="EQ2376" s="6"/>
      <c r="ET2376" s="4"/>
      <c r="EU2376" s="4"/>
      <c r="EV2376" s="4"/>
    </row>
    <row r="2377" spans="1:152" x14ac:dyDescent="0.15">
      <c r="A2377" s="576"/>
      <c r="EO2377" s="6"/>
      <c r="EP2377" s="6"/>
      <c r="EQ2377" s="6"/>
      <c r="ET2377" s="4"/>
      <c r="EU2377" s="4"/>
      <c r="EV2377" s="4"/>
    </row>
    <row r="2378" spans="1:152" x14ac:dyDescent="0.15">
      <c r="A2378" s="576"/>
      <c r="EO2378" s="6"/>
      <c r="EP2378" s="6"/>
      <c r="EQ2378" s="6"/>
      <c r="ET2378" s="4"/>
      <c r="EU2378" s="4"/>
      <c r="EV2378" s="4"/>
    </row>
    <row r="2379" spans="1:152" x14ac:dyDescent="0.15">
      <c r="A2379" s="576"/>
      <c r="EO2379" s="6"/>
      <c r="EP2379" s="6"/>
      <c r="EQ2379" s="6"/>
      <c r="ET2379" s="4"/>
      <c r="EU2379" s="4"/>
      <c r="EV2379" s="4"/>
    </row>
    <row r="2380" spans="1:152" x14ac:dyDescent="0.15">
      <c r="A2380" s="576"/>
      <c r="EO2380" s="6"/>
      <c r="EP2380" s="6"/>
      <c r="EQ2380" s="6"/>
      <c r="ET2380" s="4"/>
      <c r="EU2380" s="4"/>
      <c r="EV2380" s="4"/>
    </row>
    <row r="2381" spans="1:152" x14ac:dyDescent="0.15">
      <c r="A2381" s="576"/>
      <c r="EO2381" s="6"/>
      <c r="EP2381" s="6"/>
      <c r="EQ2381" s="6"/>
      <c r="ET2381" s="4"/>
      <c r="EU2381" s="4"/>
      <c r="EV2381" s="4"/>
    </row>
    <row r="2382" spans="1:152" x14ac:dyDescent="0.15">
      <c r="A2382" s="576"/>
      <c r="EO2382" s="6"/>
      <c r="EP2382" s="6"/>
      <c r="EQ2382" s="6"/>
      <c r="ET2382" s="4"/>
      <c r="EU2382" s="4"/>
      <c r="EV2382" s="4"/>
    </row>
    <row r="2383" spans="1:152" x14ac:dyDescent="0.15">
      <c r="A2383" s="576"/>
      <c r="EO2383" s="6"/>
      <c r="EP2383" s="6"/>
      <c r="EQ2383" s="6"/>
      <c r="ET2383" s="4"/>
      <c r="EU2383" s="4"/>
      <c r="EV2383" s="4"/>
    </row>
    <row r="2384" spans="1:152" x14ac:dyDescent="0.15">
      <c r="A2384" s="576"/>
      <c r="EO2384" s="6"/>
      <c r="EP2384" s="6"/>
      <c r="EQ2384" s="6"/>
      <c r="ET2384" s="4"/>
      <c r="EU2384" s="4"/>
      <c r="EV2384" s="4"/>
    </row>
    <row r="2385" spans="1:152" x14ac:dyDescent="0.15">
      <c r="A2385" s="576"/>
      <c r="EO2385" s="6"/>
      <c r="EP2385" s="6"/>
      <c r="EQ2385" s="6"/>
      <c r="ET2385" s="4"/>
      <c r="EU2385" s="4"/>
      <c r="EV2385" s="4"/>
    </row>
    <row r="2386" spans="1:152" x14ac:dyDescent="0.15">
      <c r="A2386" s="576"/>
      <c r="EO2386" s="6"/>
      <c r="EP2386" s="6"/>
      <c r="EQ2386" s="6"/>
      <c r="ET2386" s="4"/>
      <c r="EU2386" s="4"/>
      <c r="EV2386" s="4"/>
    </row>
    <row r="2387" spans="1:152" x14ac:dyDescent="0.15">
      <c r="A2387" s="576"/>
      <c r="EO2387" s="6"/>
      <c r="EP2387" s="6"/>
      <c r="EQ2387" s="6"/>
      <c r="ET2387" s="4"/>
      <c r="EU2387" s="4"/>
      <c r="EV2387" s="4"/>
    </row>
    <row r="2388" spans="1:152" x14ac:dyDescent="0.15">
      <c r="A2388" s="576"/>
      <c r="EO2388" s="6"/>
      <c r="EP2388" s="6"/>
      <c r="EQ2388" s="6"/>
      <c r="ET2388" s="4"/>
      <c r="EU2388" s="4"/>
      <c r="EV2388" s="4"/>
    </row>
    <row r="2389" spans="1:152" x14ac:dyDescent="0.15">
      <c r="A2389" s="576"/>
      <c r="EO2389" s="6"/>
      <c r="EP2389" s="6"/>
      <c r="EQ2389" s="6"/>
      <c r="ET2389" s="4"/>
      <c r="EU2389" s="4"/>
      <c r="EV2389" s="4"/>
    </row>
    <row r="2390" spans="1:152" x14ac:dyDescent="0.15">
      <c r="A2390" s="576"/>
      <c r="EO2390" s="6"/>
      <c r="EP2390" s="6"/>
      <c r="EQ2390" s="6"/>
      <c r="ET2390" s="4"/>
      <c r="EU2390" s="4"/>
      <c r="EV2390" s="4"/>
    </row>
    <row r="2391" spans="1:152" x14ac:dyDescent="0.15">
      <c r="A2391" s="576"/>
      <c r="EO2391" s="6"/>
      <c r="EP2391" s="6"/>
      <c r="EQ2391" s="6"/>
      <c r="ET2391" s="4"/>
      <c r="EU2391" s="4"/>
      <c r="EV2391" s="4"/>
    </row>
    <row r="2392" spans="1:152" x14ac:dyDescent="0.15">
      <c r="A2392" s="576"/>
      <c r="EO2392" s="6"/>
      <c r="EP2392" s="6"/>
      <c r="EQ2392" s="6"/>
      <c r="ET2392" s="4"/>
      <c r="EU2392" s="4"/>
      <c r="EV2392" s="4"/>
    </row>
    <row r="2393" spans="1:152" x14ac:dyDescent="0.15">
      <c r="A2393" s="576"/>
      <c r="EO2393" s="6"/>
      <c r="EP2393" s="6"/>
      <c r="EQ2393" s="6"/>
      <c r="ET2393" s="4"/>
      <c r="EU2393" s="4"/>
      <c r="EV2393" s="4"/>
    </row>
    <row r="2394" spans="1:152" x14ac:dyDescent="0.15">
      <c r="A2394" s="576"/>
      <c r="EO2394" s="6"/>
      <c r="EP2394" s="6"/>
      <c r="EQ2394" s="6"/>
      <c r="ET2394" s="4"/>
      <c r="EU2394" s="4"/>
      <c r="EV2394" s="4"/>
    </row>
    <row r="2395" spans="1:152" x14ac:dyDescent="0.15">
      <c r="A2395" s="576"/>
      <c r="EO2395" s="6"/>
      <c r="EP2395" s="6"/>
      <c r="EQ2395" s="6"/>
      <c r="ET2395" s="4"/>
      <c r="EU2395" s="4"/>
      <c r="EV2395" s="4"/>
    </row>
    <row r="2396" spans="1:152" x14ac:dyDescent="0.15">
      <c r="A2396" s="576"/>
      <c r="EO2396" s="6"/>
      <c r="EP2396" s="6"/>
      <c r="EQ2396" s="6"/>
      <c r="ET2396" s="4"/>
      <c r="EU2396" s="4"/>
      <c r="EV2396" s="4"/>
    </row>
    <row r="2397" spans="1:152" x14ac:dyDescent="0.15">
      <c r="A2397" s="576"/>
      <c r="EO2397" s="6"/>
      <c r="EP2397" s="6"/>
      <c r="EQ2397" s="6"/>
      <c r="ET2397" s="4"/>
      <c r="EU2397" s="4"/>
      <c r="EV2397" s="4"/>
    </row>
    <row r="2398" spans="1:152" x14ac:dyDescent="0.15">
      <c r="A2398" s="576"/>
      <c r="EO2398" s="6"/>
      <c r="EP2398" s="6"/>
      <c r="EQ2398" s="6"/>
      <c r="ET2398" s="4"/>
      <c r="EU2398" s="4"/>
      <c r="EV2398" s="4"/>
    </row>
    <row r="2399" spans="1:152" x14ac:dyDescent="0.15">
      <c r="A2399" s="576"/>
      <c r="EO2399" s="6"/>
      <c r="EP2399" s="6"/>
      <c r="EQ2399" s="6"/>
      <c r="ET2399" s="4"/>
      <c r="EU2399" s="4"/>
      <c r="EV2399" s="4"/>
    </row>
    <row r="2400" spans="1:152" x14ac:dyDescent="0.15">
      <c r="A2400" s="576"/>
      <c r="EO2400" s="6"/>
      <c r="EP2400" s="6"/>
      <c r="EQ2400" s="6"/>
      <c r="ET2400" s="4"/>
      <c r="EU2400" s="4"/>
      <c r="EV2400" s="4"/>
    </row>
    <row r="2401" spans="1:152" x14ac:dyDescent="0.15">
      <c r="A2401" s="576"/>
      <c r="EO2401" s="6"/>
      <c r="EP2401" s="6"/>
      <c r="EQ2401" s="6"/>
      <c r="ET2401" s="4"/>
      <c r="EU2401" s="4"/>
      <c r="EV2401" s="4"/>
    </row>
    <row r="2402" spans="1:152" x14ac:dyDescent="0.15">
      <c r="A2402" s="576"/>
      <c r="EO2402" s="6"/>
      <c r="EP2402" s="6"/>
      <c r="EQ2402" s="6"/>
      <c r="ET2402" s="4"/>
      <c r="EU2402" s="4"/>
      <c r="EV2402" s="4"/>
    </row>
    <row r="2403" spans="1:152" x14ac:dyDescent="0.15">
      <c r="A2403" s="576"/>
      <c r="EO2403" s="6"/>
      <c r="EP2403" s="6"/>
      <c r="EQ2403" s="6"/>
      <c r="ET2403" s="4"/>
      <c r="EU2403" s="4"/>
      <c r="EV2403" s="4"/>
    </row>
    <row r="2404" spans="1:152" x14ac:dyDescent="0.15">
      <c r="A2404" s="576"/>
      <c r="EO2404" s="6"/>
      <c r="EP2404" s="6"/>
      <c r="EQ2404" s="6"/>
      <c r="ET2404" s="4"/>
      <c r="EU2404" s="4"/>
      <c r="EV2404" s="4"/>
    </row>
    <row r="2405" spans="1:152" x14ac:dyDescent="0.15">
      <c r="A2405" s="576"/>
      <c r="EO2405" s="6"/>
      <c r="EP2405" s="6"/>
      <c r="EQ2405" s="6"/>
      <c r="ET2405" s="4"/>
      <c r="EU2405" s="4"/>
      <c r="EV2405" s="4"/>
    </row>
    <row r="2406" spans="1:152" x14ac:dyDescent="0.15">
      <c r="A2406" s="576"/>
      <c r="EO2406" s="6"/>
      <c r="EP2406" s="6"/>
      <c r="EQ2406" s="6"/>
      <c r="ET2406" s="4"/>
      <c r="EU2406" s="4"/>
      <c r="EV2406" s="4"/>
    </row>
    <row r="2407" spans="1:152" x14ac:dyDescent="0.15">
      <c r="A2407" s="576"/>
      <c r="EO2407" s="6"/>
      <c r="EP2407" s="6"/>
      <c r="EQ2407" s="6"/>
      <c r="ET2407" s="4"/>
      <c r="EU2407" s="4"/>
      <c r="EV2407" s="4"/>
    </row>
    <row r="2408" spans="1:152" x14ac:dyDescent="0.15">
      <c r="A2408" s="576"/>
      <c r="EO2408" s="6"/>
      <c r="EP2408" s="6"/>
      <c r="EQ2408" s="6"/>
      <c r="ET2408" s="4"/>
      <c r="EU2408" s="4"/>
      <c r="EV2408" s="4"/>
    </row>
    <row r="2409" spans="1:152" x14ac:dyDescent="0.15">
      <c r="A2409" s="576"/>
      <c r="EO2409" s="6"/>
      <c r="EP2409" s="6"/>
      <c r="EQ2409" s="6"/>
      <c r="ET2409" s="4"/>
      <c r="EU2409" s="4"/>
      <c r="EV2409" s="4"/>
    </row>
    <row r="2410" spans="1:152" x14ac:dyDescent="0.15">
      <c r="A2410" s="576"/>
      <c r="EO2410" s="6"/>
      <c r="EP2410" s="6"/>
      <c r="EQ2410" s="6"/>
      <c r="ET2410" s="4"/>
      <c r="EU2410" s="4"/>
      <c r="EV2410" s="4"/>
    </row>
    <row r="2411" spans="1:152" x14ac:dyDescent="0.15">
      <c r="A2411" s="576"/>
      <c r="EO2411" s="6"/>
      <c r="EP2411" s="6"/>
      <c r="EQ2411" s="6"/>
      <c r="ET2411" s="4"/>
      <c r="EU2411" s="4"/>
      <c r="EV2411" s="4"/>
    </row>
    <row r="2412" spans="1:152" x14ac:dyDescent="0.15">
      <c r="A2412" s="576"/>
      <c r="EO2412" s="6"/>
      <c r="EP2412" s="6"/>
      <c r="EQ2412" s="6"/>
      <c r="ET2412" s="4"/>
      <c r="EU2412" s="4"/>
      <c r="EV2412" s="4"/>
    </row>
    <row r="2413" spans="1:152" x14ac:dyDescent="0.15">
      <c r="A2413" s="576"/>
      <c r="EO2413" s="6"/>
      <c r="EP2413" s="6"/>
      <c r="EQ2413" s="6"/>
      <c r="ET2413" s="4"/>
      <c r="EU2413" s="4"/>
      <c r="EV2413" s="4"/>
    </row>
    <row r="2414" spans="1:152" x14ac:dyDescent="0.15">
      <c r="A2414" s="576"/>
      <c r="EO2414" s="6"/>
      <c r="EP2414" s="6"/>
      <c r="EQ2414" s="6"/>
      <c r="ET2414" s="4"/>
      <c r="EU2414" s="4"/>
      <c r="EV2414" s="4"/>
    </row>
    <row r="2415" spans="1:152" x14ac:dyDescent="0.15">
      <c r="A2415" s="576"/>
      <c r="EO2415" s="6"/>
      <c r="EP2415" s="6"/>
      <c r="EQ2415" s="6"/>
      <c r="ET2415" s="4"/>
      <c r="EU2415" s="4"/>
      <c r="EV2415" s="4"/>
    </row>
    <row r="2416" spans="1:152" x14ac:dyDescent="0.15">
      <c r="A2416" s="576"/>
      <c r="EO2416" s="6"/>
      <c r="EP2416" s="6"/>
      <c r="EQ2416" s="6"/>
      <c r="ET2416" s="4"/>
      <c r="EU2416" s="4"/>
      <c r="EV2416" s="4"/>
    </row>
    <row r="2417" spans="1:152" x14ac:dyDescent="0.15">
      <c r="A2417" s="576"/>
      <c r="EO2417" s="6"/>
      <c r="EP2417" s="6"/>
      <c r="EQ2417" s="6"/>
      <c r="ET2417" s="4"/>
      <c r="EU2417" s="4"/>
      <c r="EV2417" s="4"/>
    </row>
    <row r="2418" spans="1:152" x14ac:dyDescent="0.15">
      <c r="A2418" s="576"/>
      <c r="EO2418" s="6"/>
      <c r="EP2418" s="6"/>
      <c r="EQ2418" s="6"/>
      <c r="ET2418" s="4"/>
      <c r="EU2418" s="4"/>
      <c r="EV2418" s="4"/>
    </row>
    <row r="2419" spans="1:152" x14ac:dyDescent="0.15">
      <c r="A2419" s="576"/>
      <c r="EO2419" s="6"/>
      <c r="EP2419" s="6"/>
      <c r="EQ2419" s="6"/>
      <c r="ET2419" s="4"/>
      <c r="EU2419" s="4"/>
      <c r="EV2419" s="4"/>
    </row>
    <row r="2420" spans="1:152" x14ac:dyDescent="0.15">
      <c r="A2420" s="576"/>
      <c r="EO2420" s="6"/>
      <c r="EP2420" s="6"/>
      <c r="EQ2420" s="6"/>
      <c r="ET2420" s="4"/>
      <c r="EU2420" s="4"/>
      <c r="EV2420" s="4"/>
    </row>
    <row r="2421" spans="1:152" x14ac:dyDescent="0.15">
      <c r="A2421" s="576"/>
      <c r="EO2421" s="6"/>
      <c r="EP2421" s="6"/>
      <c r="EQ2421" s="6"/>
      <c r="ET2421" s="4"/>
      <c r="EU2421" s="4"/>
      <c r="EV2421" s="4"/>
    </row>
    <row r="2422" spans="1:152" x14ac:dyDescent="0.15">
      <c r="A2422" s="576"/>
      <c r="EO2422" s="6"/>
      <c r="EP2422" s="6"/>
      <c r="EQ2422" s="6"/>
      <c r="ET2422" s="4"/>
      <c r="EU2422" s="4"/>
      <c r="EV2422" s="4"/>
    </row>
    <row r="2423" spans="1:152" x14ac:dyDescent="0.15">
      <c r="A2423" s="576"/>
      <c r="EO2423" s="6"/>
      <c r="EP2423" s="6"/>
      <c r="EQ2423" s="6"/>
      <c r="ET2423" s="4"/>
      <c r="EU2423" s="4"/>
      <c r="EV2423" s="4"/>
    </row>
    <row r="2424" spans="1:152" x14ac:dyDescent="0.15">
      <c r="A2424" s="576"/>
      <c r="EO2424" s="6"/>
      <c r="EP2424" s="6"/>
      <c r="EQ2424" s="6"/>
      <c r="ET2424" s="4"/>
      <c r="EU2424" s="4"/>
      <c r="EV2424" s="4"/>
    </row>
    <row r="2425" spans="1:152" x14ac:dyDescent="0.15">
      <c r="A2425" s="576"/>
      <c r="EO2425" s="6"/>
      <c r="EP2425" s="6"/>
      <c r="EQ2425" s="6"/>
      <c r="ET2425" s="4"/>
      <c r="EU2425" s="4"/>
      <c r="EV2425" s="4"/>
    </row>
    <row r="2426" spans="1:152" x14ac:dyDescent="0.15">
      <c r="A2426" s="576"/>
      <c r="EO2426" s="6"/>
      <c r="EP2426" s="6"/>
      <c r="EQ2426" s="6"/>
      <c r="ET2426" s="4"/>
      <c r="EU2426" s="4"/>
      <c r="EV2426" s="4"/>
    </row>
    <row r="2427" spans="1:152" x14ac:dyDescent="0.15">
      <c r="A2427" s="576"/>
      <c r="EO2427" s="6"/>
      <c r="EP2427" s="6"/>
      <c r="EQ2427" s="6"/>
      <c r="ET2427" s="4"/>
      <c r="EU2427" s="4"/>
      <c r="EV2427" s="4"/>
    </row>
    <row r="2428" spans="1:152" x14ac:dyDescent="0.15">
      <c r="A2428" s="576"/>
      <c r="EO2428" s="6"/>
      <c r="EP2428" s="6"/>
      <c r="EQ2428" s="6"/>
      <c r="ET2428" s="4"/>
      <c r="EU2428" s="4"/>
      <c r="EV2428" s="4"/>
    </row>
    <row r="2429" spans="1:152" x14ac:dyDescent="0.15">
      <c r="A2429" s="576"/>
      <c r="EO2429" s="6"/>
      <c r="EP2429" s="6"/>
      <c r="EQ2429" s="6"/>
      <c r="ET2429" s="4"/>
      <c r="EU2429" s="4"/>
      <c r="EV2429" s="4"/>
    </row>
    <row r="2430" spans="1:152" x14ac:dyDescent="0.15">
      <c r="A2430" s="576"/>
      <c r="EO2430" s="6"/>
      <c r="EP2430" s="6"/>
      <c r="EQ2430" s="6"/>
      <c r="ET2430" s="4"/>
      <c r="EU2430" s="4"/>
      <c r="EV2430" s="4"/>
    </row>
    <row r="2431" spans="1:152" x14ac:dyDescent="0.15">
      <c r="A2431" s="576"/>
      <c r="EO2431" s="6"/>
      <c r="EP2431" s="6"/>
      <c r="EQ2431" s="6"/>
      <c r="ET2431" s="4"/>
      <c r="EU2431" s="4"/>
      <c r="EV2431" s="4"/>
    </row>
    <row r="2432" spans="1:152" x14ac:dyDescent="0.15">
      <c r="A2432" s="576"/>
      <c r="EO2432" s="6"/>
      <c r="EP2432" s="6"/>
      <c r="EQ2432" s="6"/>
      <c r="ET2432" s="4"/>
      <c r="EU2432" s="4"/>
      <c r="EV2432" s="4"/>
    </row>
    <row r="2433" spans="1:152" x14ac:dyDescent="0.15">
      <c r="A2433" s="576"/>
      <c r="EO2433" s="6"/>
      <c r="EP2433" s="6"/>
      <c r="EQ2433" s="6"/>
      <c r="ET2433" s="4"/>
      <c r="EU2433" s="4"/>
      <c r="EV2433" s="4"/>
    </row>
    <row r="2434" spans="1:152" x14ac:dyDescent="0.15">
      <c r="A2434" s="576"/>
      <c r="EO2434" s="6"/>
      <c r="EP2434" s="6"/>
      <c r="EQ2434" s="6"/>
      <c r="ET2434" s="4"/>
      <c r="EU2434" s="4"/>
      <c r="EV2434" s="4"/>
    </row>
    <row r="2435" spans="1:152" x14ac:dyDescent="0.15">
      <c r="A2435" s="576"/>
      <c r="EO2435" s="6"/>
      <c r="EP2435" s="6"/>
      <c r="EQ2435" s="6"/>
      <c r="ET2435" s="4"/>
      <c r="EU2435" s="4"/>
      <c r="EV2435" s="4"/>
    </row>
    <row r="2436" spans="1:152" x14ac:dyDescent="0.15">
      <c r="A2436" s="576"/>
      <c r="EO2436" s="6"/>
      <c r="EP2436" s="6"/>
      <c r="EQ2436" s="6"/>
      <c r="ET2436" s="4"/>
      <c r="EU2436" s="4"/>
      <c r="EV2436" s="4"/>
    </row>
    <row r="2437" spans="1:152" x14ac:dyDescent="0.15">
      <c r="A2437" s="576"/>
      <c r="EO2437" s="6"/>
      <c r="EP2437" s="6"/>
      <c r="EQ2437" s="6"/>
      <c r="ET2437" s="4"/>
      <c r="EU2437" s="4"/>
      <c r="EV2437" s="4"/>
    </row>
    <row r="2438" spans="1:152" x14ac:dyDescent="0.15">
      <c r="A2438" s="576"/>
      <c r="EO2438" s="6"/>
      <c r="EP2438" s="6"/>
      <c r="EQ2438" s="6"/>
      <c r="ET2438" s="4"/>
      <c r="EU2438" s="4"/>
      <c r="EV2438" s="4"/>
    </row>
    <row r="2439" spans="1:152" x14ac:dyDescent="0.15">
      <c r="A2439" s="576"/>
      <c r="EO2439" s="6"/>
      <c r="EP2439" s="6"/>
      <c r="EQ2439" s="6"/>
      <c r="ET2439" s="4"/>
      <c r="EU2439" s="4"/>
      <c r="EV2439" s="4"/>
    </row>
    <row r="2440" spans="1:152" x14ac:dyDescent="0.15">
      <c r="A2440" s="576"/>
      <c r="EO2440" s="6"/>
      <c r="EP2440" s="6"/>
      <c r="EQ2440" s="6"/>
      <c r="ET2440" s="4"/>
      <c r="EU2440" s="4"/>
      <c r="EV2440" s="4"/>
    </row>
    <row r="2441" spans="1:152" x14ac:dyDescent="0.15">
      <c r="A2441" s="576"/>
      <c r="EO2441" s="6"/>
      <c r="EP2441" s="6"/>
      <c r="EQ2441" s="6"/>
      <c r="ET2441" s="4"/>
      <c r="EU2441" s="4"/>
      <c r="EV2441" s="4"/>
    </row>
    <row r="2442" spans="1:152" x14ac:dyDescent="0.15">
      <c r="A2442" s="576"/>
      <c r="EO2442" s="6"/>
      <c r="EP2442" s="6"/>
      <c r="EQ2442" s="6"/>
      <c r="ET2442" s="4"/>
      <c r="EU2442" s="4"/>
      <c r="EV2442" s="4"/>
    </row>
    <row r="2443" spans="1:152" x14ac:dyDescent="0.15">
      <c r="A2443" s="576"/>
      <c r="EO2443" s="6"/>
      <c r="EP2443" s="6"/>
      <c r="EQ2443" s="6"/>
      <c r="ET2443" s="4"/>
      <c r="EU2443" s="4"/>
      <c r="EV2443" s="4"/>
    </row>
    <row r="2444" spans="1:152" x14ac:dyDescent="0.15">
      <c r="A2444" s="576"/>
      <c r="EO2444" s="6"/>
      <c r="EP2444" s="6"/>
      <c r="EQ2444" s="6"/>
      <c r="ET2444" s="4"/>
      <c r="EU2444" s="4"/>
      <c r="EV2444" s="4"/>
    </row>
    <row r="2445" spans="1:152" x14ac:dyDescent="0.15">
      <c r="A2445" s="576"/>
      <c r="EO2445" s="6"/>
      <c r="EP2445" s="6"/>
      <c r="EQ2445" s="6"/>
      <c r="ET2445" s="4"/>
      <c r="EU2445" s="4"/>
      <c r="EV2445" s="4"/>
    </row>
    <row r="2446" spans="1:152" x14ac:dyDescent="0.15">
      <c r="A2446" s="576"/>
      <c r="EO2446" s="6"/>
      <c r="EP2446" s="6"/>
      <c r="EQ2446" s="6"/>
      <c r="ET2446" s="4"/>
      <c r="EU2446" s="4"/>
      <c r="EV2446" s="4"/>
    </row>
    <row r="2447" spans="1:152" x14ac:dyDescent="0.15">
      <c r="A2447" s="576"/>
      <c r="EO2447" s="6"/>
      <c r="EP2447" s="6"/>
      <c r="EQ2447" s="6"/>
      <c r="ET2447" s="4"/>
      <c r="EU2447" s="4"/>
      <c r="EV2447" s="4"/>
    </row>
    <row r="2448" spans="1:152" x14ac:dyDescent="0.15">
      <c r="A2448" s="576"/>
      <c r="EO2448" s="6"/>
      <c r="EP2448" s="6"/>
      <c r="EQ2448" s="6"/>
      <c r="ET2448" s="4"/>
      <c r="EU2448" s="4"/>
      <c r="EV2448" s="4"/>
    </row>
    <row r="2449" spans="1:152" x14ac:dyDescent="0.15">
      <c r="A2449" s="576"/>
      <c r="EO2449" s="6"/>
      <c r="EP2449" s="6"/>
      <c r="EQ2449" s="6"/>
      <c r="ET2449" s="4"/>
      <c r="EU2449" s="4"/>
      <c r="EV2449" s="4"/>
    </row>
    <row r="2450" spans="1:152" x14ac:dyDescent="0.15">
      <c r="A2450" s="576"/>
      <c r="EO2450" s="6"/>
      <c r="EP2450" s="6"/>
      <c r="EQ2450" s="6"/>
      <c r="ET2450" s="4"/>
      <c r="EU2450" s="4"/>
      <c r="EV2450" s="4"/>
    </row>
    <row r="2451" spans="1:152" x14ac:dyDescent="0.15">
      <c r="A2451" s="576"/>
      <c r="EO2451" s="6"/>
      <c r="EP2451" s="6"/>
      <c r="EQ2451" s="6"/>
      <c r="ET2451" s="4"/>
      <c r="EU2451" s="4"/>
      <c r="EV2451" s="4"/>
    </row>
    <row r="2452" spans="1:152" x14ac:dyDescent="0.15">
      <c r="A2452" s="576"/>
      <c r="EO2452" s="6"/>
      <c r="EP2452" s="6"/>
      <c r="EQ2452" s="6"/>
      <c r="ET2452" s="4"/>
      <c r="EU2452" s="4"/>
      <c r="EV2452" s="4"/>
    </row>
    <row r="2453" spans="1:152" x14ac:dyDescent="0.15">
      <c r="A2453" s="576"/>
      <c r="EO2453" s="6"/>
      <c r="EP2453" s="6"/>
      <c r="EQ2453" s="6"/>
      <c r="ET2453" s="4"/>
      <c r="EU2453" s="4"/>
      <c r="EV2453" s="4"/>
    </row>
    <row r="2454" spans="1:152" x14ac:dyDescent="0.15">
      <c r="A2454" s="576"/>
      <c r="EO2454" s="6"/>
      <c r="EP2454" s="6"/>
      <c r="EQ2454" s="6"/>
      <c r="ET2454" s="4"/>
      <c r="EU2454" s="4"/>
      <c r="EV2454" s="4"/>
    </row>
    <row r="2455" spans="1:152" x14ac:dyDescent="0.15">
      <c r="A2455" s="576"/>
      <c r="EO2455" s="6"/>
      <c r="EP2455" s="6"/>
      <c r="EQ2455" s="6"/>
      <c r="ET2455" s="4"/>
      <c r="EU2455" s="4"/>
      <c r="EV2455" s="4"/>
    </row>
    <row r="2456" spans="1:152" x14ac:dyDescent="0.15">
      <c r="A2456" s="576"/>
      <c r="EO2456" s="6"/>
      <c r="EP2456" s="6"/>
      <c r="EQ2456" s="6"/>
      <c r="ET2456" s="4"/>
      <c r="EU2456" s="4"/>
      <c r="EV2456" s="4"/>
    </row>
    <row r="2457" spans="1:152" x14ac:dyDescent="0.15">
      <c r="A2457" s="576"/>
      <c r="EO2457" s="6"/>
      <c r="EP2457" s="6"/>
      <c r="EQ2457" s="6"/>
      <c r="ET2457" s="4"/>
      <c r="EU2457" s="4"/>
      <c r="EV2457" s="4"/>
    </row>
    <row r="2458" spans="1:152" x14ac:dyDescent="0.15">
      <c r="A2458" s="576"/>
      <c r="EO2458" s="6"/>
      <c r="EP2458" s="6"/>
      <c r="EQ2458" s="6"/>
      <c r="ET2458" s="4"/>
      <c r="EU2458" s="4"/>
      <c r="EV2458" s="4"/>
    </row>
    <row r="2459" spans="1:152" x14ac:dyDescent="0.15">
      <c r="A2459" s="576"/>
      <c r="EO2459" s="6"/>
      <c r="EP2459" s="6"/>
      <c r="EQ2459" s="6"/>
      <c r="ET2459" s="4"/>
      <c r="EU2459" s="4"/>
      <c r="EV2459" s="4"/>
    </row>
    <row r="2460" spans="1:152" x14ac:dyDescent="0.15">
      <c r="A2460" s="576"/>
      <c r="EO2460" s="6"/>
      <c r="EP2460" s="6"/>
      <c r="EQ2460" s="6"/>
      <c r="ET2460" s="4"/>
      <c r="EU2460" s="4"/>
      <c r="EV2460" s="4"/>
    </row>
    <row r="2461" spans="1:152" x14ac:dyDescent="0.15">
      <c r="A2461" s="576"/>
      <c r="EO2461" s="6"/>
      <c r="EP2461" s="6"/>
      <c r="EQ2461" s="6"/>
      <c r="ET2461" s="4"/>
      <c r="EU2461" s="4"/>
      <c r="EV2461" s="4"/>
    </row>
    <row r="2462" spans="1:152" x14ac:dyDescent="0.15">
      <c r="A2462" s="576"/>
      <c r="EO2462" s="6"/>
      <c r="EP2462" s="6"/>
      <c r="EQ2462" s="6"/>
      <c r="ET2462" s="4"/>
      <c r="EU2462" s="4"/>
      <c r="EV2462" s="4"/>
    </row>
    <row r="2463" spans="1:152" x14ac:dyDescent="0.15">
      <c r="A2463" s="576"/>
      <c r="EO2463" s="6"/>
      <c r="EP2463" s="6"/>
      <c r="EQ2463" s="6"/>
      <c r="ET2463" s="4"/>
      <c r="EU2463" s="4"/>
      <c r="EV2463" s="4"/>
    </row>
    <row r="2464" spans="1:152" x14ac:dyDescent="0.15">
      <c r="A2464" s="576"/>
      <c r="EO2464" s="6"/>
      <c r="EP2464" s="6"/>
      <c r="EQ2464" s="6"/>
      <c r="ET2464" s="4"/>
      <c r="EU2464" s="4"/>
      <c r="EV2464" s="4"/>
    </row>
    <row r="2465" spans="1:152" x14ac:dyDescent="0.15">
      <c r="A2465" s="576"/>
      <c r="EO2465" s="6"/>
      <c r="EP2465" s="6"/>
      <c r="EQ2465" s="6"/>
      <c r="ET2465" s="4"/>
      <c r="EU2465" s="4"/>
      <c r="EV2465" s="4"/>
    </row>
    <row r="2466" spans="1:152" x14ac:dyDescent="0.15">
      <c r="A2466" s="576"/>
      <c r="EO2466" s="6"/>
      <c r="EP2466" s="6"/>
      <c r="EQ2466" s="6"/>
      <c r="ET2466" s="4"/>
      <c r="EU2466" s="4"/>
      <c r="EV2466" s="4"/>
    </row>
    <row r="2467" spans="1:152" x14ac:dyDescent="0.15">
      <c r="A2467" s="576"/>
      <c r="EO2467" s="6"/>
      <c r="EP2467" s="6"/>
      <c r="EQ2467" s="6"/>
      <c r="ET2467" s="4"/>
      <c r="EU2467" s="4"/>
      <c r="EV2467" s="4"/>
    </row>
    <row r="2468" spans="1:152" x14ac:dyDescent="0.15">
      <c r="A2468" s="576"/>
      <c r="EO2468" s="6"/>
      <c r="EP2468" s="6"/>
      <c r="EQ2468" s="6"/>
      <c r="ET2468" s="4"/>
      <c r="EU2468" s="4"/>
      <c r="EV2468" s="4"/>
    </row>
    <row r="2469" spans="1:152" x14ac:dyDescent="0.15">
      <c r="A2469" s="576"/>
      <c r="EO2469" s="6"/>
      <c r="EP2469" s="6"/>
      <c r="EQ2469" s="6"/>
      <c r="ET2469" s="4"/>
      <c r="EU2469" s="4"/>
      <c r="EV2469" s="4"/>
    </row>
    <row r="2470" spans="1:152" x14ac:dyDescent="0.15">
      <c r="A2470" s="576"/>
      <c r="EO2470" s="6"/>
      <c r="EP2470" s="6"/>
      <c r="EQ2470" s="6"/>
      <c r="ET2470" s="4"/>
      <c r="EU2470" s="4"/>
      <c r="EV2470" s="4"/>
    </row>
    <row r="2471" spans="1:152" x14ac:dyDescent="0.15">
      <c r="A2471" s="576"/>
      <c r="EO2471" s="6"/>
      <c r="EP2471" s="6"/>
      <c r="EQ2471" s="6"/>
      <c r="ET2471" s="4"/>
      <c r="EU2471" s="4"/>
      <c r="EV2471" s="4"/>
    </row>
    <row r="2472" spans="1:152" x14ac:dyDescent="0.15">
      <c r="A2472" s="576"/>
      <c r="EO2472" s="6"/>
      <c r="EP2472" s="6"/>
      <c r="EQ2472" s="6"/>
      <c r="ET2472" s="4"/>
      <c r="EU2472" s="4"/>
      <c r="EV2472" s="4"/>
    </row>
    <row r="2473" spans="1:152" x14ac:dyDescent="0.15">
      <c r="A2473" s="576"/>
      <c r="EO2473" s="6"/>
      <c r="EP2473" s="6"/>
      <c r="EQ2473" s="6"/>
      <c r="ET2473" s="4"/>
      <c r="EU2473" s="4"/>
      <c r="EV2473" s="4"/>
    </row>
    <row r="2474" spans="1:152" x14ac:dyDescent="0.15">
      <c r="A2474" s="576"/>
      <c r="EO2474" s="6"/>
      <c r="EP2474" s="6"/>
      <c r="EQ2474" s="6"/>
      <c r="ET2474" s="4"/>
      <c r="EU2474" s="4"/>
      <c r="EV2474" s="4"/>
    </row>
    <row r="2475" spans="1:152" x14ac:dyDescent="0.15">
      <c r="A2475" s="576"/>
      <c r="EO2475" s="6"/>
      <c r="EP2475" s="6"/>
      <c r="EQ2475" s="6"/>
      <c r="ET2475" s="4"/>
      <c r="EU2475" s="4"/>
      <c r="EV2475" s="4"/>
    </row>
    <row r="2476" spans="1:152" x14ac:dyDescent="0.15">
      <c r="A2476" s="576"/>
      <c r="EO2476" s="6"/>
      <c r="EP2476" s="6"/>
      <c r="EQ2476" s="6"/>
      <c r="ET2476" s="4"/>
      <c r="EU2476" s="4"/>
      <c r="EV2476" s="4"/>
    </row>
    <row r="2477" spans="1:152" x14ac:dyDescent="0.15">
      <c r="A2477" s="576"/>
      <c r="EO2477" s="6"/>
      <c r="EP2477" s="6"/>
      <c r="EQ2477" s="6"/>
      <c r="ET2477" s="4"/>
      <c r="EU2477" s="4"/>
      <c r="EV2477" s="4"/>
    </row>
    <row r="2478" spans="1:152" x14ac:dyDescent="0.15">
      <c r="A2478" s="576"/>
      <c r="EO2478" s="6"/>
      <c r="EP2478" s="6"/>
      <c r="EQ2478" s="6"/>
      <c r="ET2478" s="4"/>
      <c r="EU2478" s="4"/>
      <c r="EV2478" s="4"/>
    </row>
    <row r="2479" spans="1:152" x14ac:dyDescent="0.15">
      <c r="A2479" s="576"/>
      <c r="EO2479" s="6"/>
      <c r="EP2479" s="6"/>
      <c r="EQ2479" s="6"/>
      <c r="ET2479" s="4"/>
      <c r="EU2479" s="4"/>
      <c r="EV2479" s="4"/>
    </row>
    <row r="2480" spans="1:152" x14ac:dyDescent="0.15">
      <c r="A2480" s="576"/>
      <c r="EO2480" s="6"/>
      <c r="EP2480" s="6"/>
      <c r="EQ2480" s="6"/>
      <c r="ET2480" s="4"/>
      <c r="EU2480" s="4"/>
      <c r="EV2480" s="4"/>
    </row>
    <row r="2481" spans="1:152" x14ac:dyDescent="0.15">
      <c r="A2481" s="576"/>
      <c r="EO2481" s="6"/>
      <c r="EP2481" s="6"/>
      <c r="EQ2481" s="6"/>
      <c r="ET2481" s="4"/>
      <c r="EU2481" s="4"/>
      <c r="EV2481" s="4"/>
    </row>
    <row r="2482" spans="1:152" x14ac:dyDescent="0.15">
      <c r="A2482" s="576"/>
      <c r="EO2482" s="6"/>
      <c r="EP2482" s="6"/>
      <c r="EQ2482" s="6"/>
      <c r="ET2482" s="4"/>
      <c r="EU2482" s="4"/>
      <c r="EV2482" s="4"/>
    </row>
    <row r="2483" spans="1:152" x14ac:dyDescent="0.15">
      <c r="A2483" s="576"/>
      <c r="EO2483" s="6"/>
      <c r="EP2483" s="6"/>
      <c r="EQ2483" s="6"/>
      <c r="ET2483" s="4"/>
      <c r="EU2483" s="4"/>
      <c r="EV2483" s="4"/>
    </row>
    <row r="2484" spans="1:152" x14ac:dyDescent="0.15">
      <c r="A2484" s="576"/>
      <c r="EO2484" s="6"/>
      <c r="EP2484" s="6"/>
      <c r="EQ2484" s="6"/>
      <c r="ET2484" s="4"/>
      <c r="EU2484" s="4"/>
      <c r="EV2484" s="4"/>
    </row>
    <row r="2485" spans="1:152" x14ac:dyDescent="0.15">
      <c r="A2485" s="576"/>
      <c r="EO2485" s="6"/>
      <c r="EP2485" s="6"/>
      <c r="EQ2485" s="6"/>
      <c r="ET2485" s="4"/>
      <c r="EU2485" s="4"/>
      <c r="EV2485" s="4"/>
    </row>
    <row r="2486" spans="1:152" x14ac:dyDescent="0.15">
      <c r="A2486" s="576"/>
      <c r="EO2486" s="6"/>
      <c r="EP2486" s="6"/>
      <c r="EQ2486" s="6"/>
      <c r="ET2486" s="4"/>
      <c r="EU2486" s="4"/>
      <c r="EV2486" s="4"/>
    </row>
    <row r="2487" spans="1:152" x14ac:dyDescent="0.15">
      <c r="A2487" s="576"/>
      <c r="EO2487" s="6"/>
      <c r="EP2487" s="6"/>
      <c r="EQ2487" s="6"/>
      <c r="ET2487" s="4"/>
      <c r="EU2487" s="4"/>
      <c r="EV2487" s="4"/>
    </row>
    <row r="2488" spans="1:152" x14ac:dyDescent="0.15">
      <c r="A2488" s="576"/>
      <c r="EO2488" s="6"/>
      <c r="EP2488" s="6"/>
      <c r="EQ2488" s="6"/>
      <c r="ET2488" s="4"/>
      <c r="EU2488" s="4"/>
      <c r="EV2488" s="4"/>
    </row>
    <row r="2489" spans="1:152" x14ac:dyDescent="0.15">
      <c r="A2489" s="576"/>
      <c r="EO2489" s="6"/>
      <c r="EP2489" s="6"/>
      <c r="EQ2489" s="6"/>
      <c r="ET2489" s="4"/>
      <c r="EU2489" s="4"/>
      <c r="EV2489" s="4"/>
    </row>
    <row r="2490" spans="1:152" x14ac:dyDescent="0.15">
      <c r="A2490" s="576"/>
      <c r="EO2490" s="6"/>
      <c r="EP2490" s="6"/>
      <c r="EQ2490" s="6"/>
      <c r="ET2490" s="4"/>
      <c r="EU2490" s="4"/>
      <c r="EV2490" s="4"/>
    </row>
    <row r="2491" spans="1:152" x14ac:dyDescent="0.15">
      <c r="A2491" s="576"/>
      <c r="EO2491" s="6"/>
      <c r="EP2491" s="6"/>
      <c r="EQ2491" s="6"/>
      <c r="ET2491" s="4"/>
      <c r="EU2491" s="4"/>
      <c r="EV2491" s="4"/>
    </row>
    <row r="2492" spans="1:152" x14ac:dyDescent="0.15">
      <c r="A2492" s="576"/>
      <c r="EO2492" s="6"/>
      <c r="EP2492" s="6"/>
      <c r="EQ2492" s="6"/>
      <c r="ET2492" s="4"/>
      <c r="EU2492" s="4"/>
      <c r="EV2492" s="4"/>
    </row>
    <row r="2493" spans="1:152" x14ac:dyDescent="0.15">
      <c r="A2493" s="576"/>
      <c r="EO2493" s="6"/>
      <c r="EP2493" s="6"/>
      <c r="EQ2493" s="6"/>
      <c r="ET2493" s="4"/>
      <c r="EU2493" s="4"/>
      <c r="EV2493" s="4"/>
    </row>
    <row r="2494" spans="1:152" x14ac:dyDescent="0.15">
      <c r="A2494" s="576"/>
      <c r="EO2494" s="6"/>
      <c r="EP2494" s="6"/>
      <c r="EQ2494" s="6"/>
      <c r="ET2494" s="4"/>
      <c r="EU2494" s="4"/>
      <c r="EV2494" s="4"/>
    </row>
    <row r="2495" spans="1:152" x14ac:dyDescent="0.15">
      <c r="A2495" s="576"/>
      <c r="EO2495" s="6"/>
      <c r="EP2495" s="6"/>
      <c r="EQ2495" s="6"/>
      <c r="ET2495" s="4"/>
      <c r="EU2495" s="4"/>
      <c r="EV2495" s="4"/>
    </row>
    <row r="2496" spans="1:152" x14ac:dyDescent="0.15">
      <c r="A2496" s="576"/>
      <c r="EO2496" s="6"/>
      <c r="EP2496" s="6"/>
      <c r="EQ2496" s="6"/>
      <c r="ET2496" s="4"/>
      <c r="EU2496" s="4"/>
      <c r="EV2496" s="4"/>
    </row>
    <row r="2497" spans="1:152" x14ac:dyDescent="0.15">
      <c r="A2497" s="576"/>
      <c r="EO2497" s="6"/>
      <c r="EP2497" s="6"/>
      <c r="EQ2497" s="6"/>
      <c r="ET2497" s="4"/>
      <c r="EU2497" s="4"/>
      <c r="EV2497" s="4"/>
    </row>
    <row r="2498" spans="1:152" x14ac:dyDescent="0.15">
      <c r="A2498" s="576"/>
      <c r="EO2498" s="6"/>
      <c r="EP2498" s="6"/>
      <c r="EQ2498" s="6"/>
      <c r="ET2498" s="4"/>
      <c r="EU2498" s="4"/>
      <c r="EV2498" s="4"/>
    </row>
    <row r="2499" spans="1:152" x14ac:dyDescent="0.15">
      <c r="A2499" s="576"/>
      <c r="EO2499" s="6"/>
      <c r="EP2499" s="6"/>
      <c r="EQ2499" s="6"/>
      <c r="ET2499" s="4"/>
      <c r="EU2499" s="4"/>
      <c r="EV2499" s="4"/>
    </row>
    <row r="2500" spans="1:152" x14ac:dyDescent="0.15">
      <c r="A2500" s="576"/>
      <c r="EO2500" s="6"/>
      <c r="EP2500" s="6"/>
      <c r="EQ2500" s="6"/>
      <c r="ET2500" s="4"/>
      <c r="EU2500" s="4"/>
      <c r="EV2500" s="4"/>
    </row>
    <row r="2501" spans="1:152" x14ac:dyDescent="0.15">
      <c r="A2501" s="576"/>
      <c r="EO2501" s="6"/>
      <c r="EP2501" s="6"/>
      <c r="EQ2501" s="6"/>
      <c r="ET2501" s="4"/>
      <c r="EU2501" s="4"/>
      <c r="EV2501" s="4"/>
    </row>
    <row r="2502" spans="1:152" x14ac:dyDescent="0.15">
      <c r="A2502" s="576"/>
      <c r="EO2502" s="6"/>
      <c r="EP2502" s="6"/>
      <c r="EQ2502" s="6"/>
      <c r="ET2502" s="4"/>
      <c r="EU2502" s="4"/>
      <c r="EV2502" s="4"/>
    </row>
    <row r="2503" spans="1:152" x14ac:dyDescent="0.15">
      <c r="A2503" s="576"/>
      <c r="EO2503" s="6"/>
      <c r="EP2503" s="6"/>
      <c r="EQ2503" s="6"/>
      <c r="ET2503" s="4"/>
      <c r="EU2503" s="4"/>
      <c r="EV2503" s="4"/>
    </row>
    <row r="2504" spans="1:152" x14ac:dyDescent="0.15">
      <c r="A2504" s="576"/>
      <c r="EO2504" s="6"/>
      <c r="EP2504" s="6"/>
      <c r="EQ2504" s="6"/>
      <c r="ET2504" s="4"/>
      <c r="EU2504" s="4"/>
      <c r="EV2504" s="4"/>
    </row>
    <row r="2505" spans="1:152" x14ac:dyDescent="0.15">
      <c r="A2505" s="576"/>
      <c r="EO2505" s="6"/>
      <c r="EP2505" s="6"/>
      <c r="EQ2505" s="6"/>
      <c r="ET2505" s="4"/>
      <c r="EU2505" s="4"/>
      <c r="EV2505" s="4"/>
    </row>
    <row r="2506" spans="1:152" x14ac:dyDescent="0.15">
      <c r="A2506" s="576"/>
      <c r="EO2506" s="6"/>
      <c r="EP2506" s="6"/>
      <c r="EQ2506" s="6"/>
      <c r="ET2506" s="4"/>
      <c r="EU2506" s="4"/>
      <c r="EV2506" s="4"/>
    </row>
    <row r="2507" spans="1:152" x14ac:dyDescent="0.15">
      <c r="A2507" s="576"/>
      <c r="EO2507" s="6"/>
      <c r="EP2507" s="6"/>
      <c r="EQ2507" s="6"/>
      <c r="ET2507" s="4"/>
      <c r="EU2507" s="4"/>
      <c r="EV2507" s="4"/>
    </row>
    <row r="2508" spans="1:152" x14ac:dyDescent="0.15">
      <c r="A2508" s="576"/>
      <c r="EO2508" s="6"/>
      <c r="EP2508" s="6"/>
      <c r="EQ2508" s="6"/>
      <c r="ET2508" s="4"/>
      <c r="EU2508" s="4"/>
      <c r="EV2508" s="4"/>
    </row>
    <row r="2509" spans="1:152" x14ac:dyDescent="0.15">
      <c r="A2509" s="576"/>
      <c r="EO2509" s="6"/>
      <c r="EP2509" s="6"/>
      <c r="EQ2509" s="6"/>
      <c r="ET2509" s="4"/>
      <c r="EU2509" s="4"/>
      <c r="EV2509" s="4"/>
    </row>
    <row r="2510" spans="1:152" x14ac:dyDescent="0.15">
      <c r="A2510" s="576"/>
      <c r="EO2510" s="6"/>
      <c r="EP2510" s="6"/>
      <c r="EQ2510" s="6"/>
      <c r="ET2510" s="4"/>
      <c r="EU2510" s="4"/>
      <c r="EV2510" s="4"/>
    </row>
    <row r="2511" spans="1:152" x14ac:dyDescent="0.15">
      <c r="A2511" s="576"/>
      <c r="EO2511" s="6"/>
      <c r="EP2511" s="6"/>
      <c r="EQ2511" s="6"/>
      <c r="ET2511" s="4"/>
      <c r="EU2511" s="4"/>
      <c r="EV2511" s="4"/>
    </row>
    <row r="2512" spans="1:152" x14ac:dyDescent="0.15">
      <c r="A2512" s="576"/>
      <c r="EO2512" s="6"/>
      <c r="EP2512" s="6"/>
      <c r="EQ2512" s="6"/>
      <c r="ET2512" s="4"/>
      <c r="EU2512" s="4"/>
      <c r="EV2512" s="4"/>
    </row>
    <row r="2513" spans="1:152" x14ac:dyDescent="0.15">
      <c r="A2513" s="576"/>
      <c r="EO2513" s="6"/>
      <c r="EP2513" s="6"/>
      <c r="EQ2513" s="6"/>
      <c r="ET2513" s="4"/>
      <c r="EU2513" s="4"/>
      <c r="EV2513" s="4"/>
    </row>
    <row r="2514" spans="1:152" x14ac:dyDescent="0.15">
      <c r="A2514" s="576"/>
      <c r="EO2514" s="6"/>
      <c r="EP2514" s="6"/>
      <c r="EQ2514" s="6"/>
      <c r="ET2514" s="4"/>
      <c r="EU2514" s="4"/>
      <c r="EV2514" s="4"/>
    </row>
    <row r="2515" spans="1:152" x14ac:dyDescent="0.15">
      <c r="A2515" s="576"/>
      <c r="EO2515" s="6"/>
      <c r="EP2515" s="6"/>
      <c r="EQ2515" s="6"/>
      <c r="ET2515" s="4"/>
      <c r="EU2515" s="4"/>
      <c r="EV2515" s="4"/>
    </row>
    <row r="2516" spans="1:152" x14ac:dyDescent="0.15">
      <c r="A2516" s="576"/>
      <c r="EO2516" s="6"/>
      <c r="EP2516" s="6"/>
      <c r="EQ2516" s="6"/>
      <c r="ET2516" s="4"/>
      <c r="EU2516" s="4"/>
      <c r="EV2516" s="4"/>
    </row>
    <row r="2517" spans="1:152" x14ac:dyDescent="0.15">
      <c r="A2517" s="576"/>
      <c r="EO2517" s="6"/>
      <c r="EP2517" s="6"/>
      <c r="EQ2517" s="6"/>
      <c r="ET2517" s="4"/>
      <c r="EU2517" s="4"/>
      <c r="EV2517" s="4"/>
    </row>
    <row r="2518" spans="1:152" x14ac:dyDescent="0.15">
      <c r="A2518" s="576"/>
      <c r="EO2518" s="6"/>
      <c r="EP2518" s="6"/>
      <c r="EQ2518" s="6"/>
      <c r="ET2518" s="4"/>
      <c r="EU2518" s="4"/>
      <c r="EV2518" s="4"/>
    </row>
    <row r="2519" spans="1:152" x14ac:dyDescent="0.15">
      <c r="A2519" s="576"/>
      <c r="EO2519" s="6"/>
      <c r="EP2519" s="6"/>
      <c r="EQ2519" s="6"/>
      <c r="ET2519" s="4"/>
      <c r="EU2519" s="4"/>
      <c r="EV2519" s="4"/>
    </row>
    <row r="2520" spans="1:152" x14ac:dyDescent="0.15">
      <c r="A2520" s="576"/>
      <c r="EO2520" s="6"/>
      <c r="EP2520" s="6"/>
      <c r="EQ2520" s="6"/>
      <c r="ET2520" s="4"/>
      <c r="EU2520" s="4"/>
      <c r="EV2520" s="4"/>
    </row>
    <row r="2521" spans="1:152" x14ac:dyDescent="0.15">
      <c r="A2521" s="576"/>
      <c r="EO2521" s="6"/>
      <c r="EP2521" s="6"/>
      <c r="EQ2521" s="6"/>
      <c r="ET2521" s="4"/>
      <c r="EU2521" s="4"/>
      <c r="EV2521" s="4"/>
    </row>
    <row r="2522" spans="1:152" x14ac:dyDescent="0.15">
      <c r="A2522" s="576"/>
      <c r="EO2522" s="6"/>
      <c r="EP2522" s="6"/>
      <c r="EQ2522" s="6"/>
      <c r="ET2522" s="4"/>
      <c r="EU2522" s="4"/>
      <c r="EV2522" s="4"/>
    </row>
    <row r="2523" spans="1:152" x14ac:dyDescent="0.15">
      <c r="A2523" s="576"/>
      <c r="EO2523" s="6"/>
      <c r="EP2523" s="6"/>
      <c r="EQ2523" s="6"/>
      <c r="ET2523" s="4"/>
      <c r="EU2523" s="4"/>
      <c r="EV2523" s="4"/>
    </row>
    <row r="2524" spans="1:152" x14ac:dyDescent="0.15">
      <c r="A2524" s="576"/>
      <c r="EO2524" s="6"/>
      <c r="EP2524" s="6"/>
      <c r="EQ2524" s="6"/>
      <c r="ET2524" s="4"/>
      <c r="EU2524" s="4"/>
      <c r="EV2524" s="4"/>
    </row>
    <row r="2525" spans="1:152" x14ac:dyDescent="0.15">
      <c r="A2525" s="576"/>
      <c r="EO2525" s="6"/>
      <c r="EP2525" s="6"/>
      <c r="EQ2525" s="6"/>
      <c r="ET2525" s="4"/>
      <c r="EU2525" s="4"/>
      <c r="EV2525" s="4"/>
    </row>
    <row r="2526" spans="1:152" x14ac:dyDescent="0.15">
      <c r="A2526" s="576"/>
      <c r="EO2526" s="6"/>
      <c r="EP2526" s="6"/>
      <c r="EQ2526" s="6"/>
      <c r="ET2526" s="4"/>
      <c r="EU2526" s="4"/>
      <c r="EV2526" s="4"/>
    </row>
    <row r="2527" spans="1:152" x14ac:dyDescent="0.15">
      <c r="A2527" s="576"/>
      <c r="EO2527" s="6"/>
      <c r="EP2527" s="6"/>
      <c r="EQ2527" s="6"/>
      <c r="ET2527" s="4"/>
      <c r="EU2527" s="4"/>
      <c r="EV2527" s="4"/>
    </row>
    <row r="2528" spans="1:152" x14ac:dyDescent="0.15">
      <c r="A2528" s="576"/>
      <c r="EO2528" s="6"/>
      <c r="EP2528" s="6"/>
      <c r="EQ2528" s="6"/>
      <c r="ET2528" s="4"/>
      <c r="EU2528" s="4"/>
      <c r="EV2528" s="4"/>
    </row>
    <row r="2529" spans="1:152" x14ac:dyDescent="0.15">
      <c r="A2529" s="576"/>
      <c r="EO2529" s="6"/>
      <c r="EP2529" s="6"/>
      <c r="EQ2529" s="6"/>
      <c r="ET2529" s="4"/>
      <c r="EU2529" s="4"/>
      <c r="EV2529" s="4"/>
    </row>
    <row r="2530" spans="1:152" x14ac:dyDescent="0.15">
      <c r="A2530" s="576"/>
      <c r="EO2530" s="6"/>
      <c r="EP2530" s="6"/>
      <c r="EQ2530" s="6"/>
      <c r="ET2530" s="4"/>
      <c r="EU2530" s="4"/>
      <c r="EV2530" s="4"/>
    </row>
    <row r="2531" spans="1:152" x14ac:dyDescent="0.15">
      <c r="A2531" s="576"/>
      <c r="EO2531" s="6"/>
      <c r="EP2531" s="6"/>
      <c r="EQ2531" s="6"/>
      <c r="ET2531" s="4"/>
      <c r="EU2531" s="4"/>
      <c r="EV2531" s="4"/>
    </row>
    <row r="2532" spans="1:152" x14ac:dyDescent="0.15">
      <c r="A2532" s="576"/>
      <c r="EO2532" s="6"/>
      <c r="EP2532" s="6"/>
      <c r="EQ2532" s="6"/>
      <c r="ET2532" s="4"/>
      <c r="EU2532" s="4"/>
      <c r="EV2532" s="4"/>
    </row>
    <row r="2533" spans="1:152" x14ac:dyDescent="0.15">
      <c r="A2533" s="576"/>
      <c r="EO2533" s="6"/>
      <c r="EP2533" s="6"/>
      <c r="EQ2533" s="6"/>
      <c r="ET2533" s="4"/>
      <c r="EU2533" s="4"/>
      <c r="EV2533" s="4"/>
    </row>
    <row r="2534" spans="1:152" x14ac:dyDescent="0.15">
      <c r="A2534" s="576"/>
      <c r="EO2534" s="6"/>
      <c r="EP2534" s="6"/>
      <c r="EQ2534" s="6"/>
      <c r="ET2534" s="4"/>
      <c r="EU2534" s="4"/>
      <c r="EV2534" s="4"/>
    </row>
    <row r="2535" spans="1:152" x14ac:dyDescent="0.15">
      <c r="A2535" s="576"/>
      <c r="EO2535" s="6"/>
      <c r="EP2535" s="6"/>
      <c r="EQ2535" s="6"/>
      <c r="ET2535" s="4"/>
      <c r="EU2535" s="4"/>
      <c r="EV2535" s="4"/>
    </row>
    <row r="2536" spans="1:152" x14ac:dyDescent="0.15">
      <c r="A2536" s="576"/>
      <c r="EO2536" s="6"/>
      <c r="EP2536" s="6"/>
      <c r="EQ2536" s="6"/>
      <c r="ET2536" s="4"/>
      <c r="EU2536" s="4"/>
      <c r="EV2536" s="4"/>
    </row>
    <row r="2537" spans="1:152" x14ac:dyDescent="0.15">
      <c r="A2537" s="576"/>
      <c r="EO2537" s="6"/>
      <c r="EP2537" s="6"/>
      <c r="EQ2537" s="6"/>
      <c r="ET2537" s="4"/>
      <c r="EU2537" s="4"/>
      <c r="EV2537" s="4"/>
    </row>
  </sheetData>
  <autoFilter ref="A20:ET20" xr:uid="{86EF1B3D-CBF6-4421-AF18-AB5E80F86DFF}"/>
  <pageMargins left="0.7" right="0.7" top="0.75" bottom="0.75" header="0.3" footer="0.3"/>
  <pageSetup scale="1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5115E-708D-4CB4-9EFF-FA0D7DE86B1C}">
  <sheetPr codeName="Sheet35">
    <tabColor rgb="FFFFC000"/>
    <pageSetUpPr fitToPage="1"/>
  </sheetPr>
  <dimension ref="B1:O293"/>
  <sheetViews>
    <sheetView view="pageBreakPreview" zoomScaleNormal="100" zoomScaleSheetLayoutView="100" workbookViewId="0">
      <selection activeCell="C5" sqref="C5"/>
    </sheetView>
  </sheetViews>
  <sheetFormatPr baseColWidth="10" defaultColWidth="8.83203125" defaultRowHeight="13" x14ac:dyDescent="0.15"/>
  <cols>
    <col min="1" max="1" width="4.6640625" customWidth="1"/>
    <col min="2" max="2" width="35.6640625" customWidth="1"/>
    <col min="3" max="4" width="8.6640625" customWidth="1"/>
    <col min="5" max="5" width="12.6640625" customWidth="1"/>
    <col min="6" max="6" width="35.6640625" customWidth="1"/>
    <col min="7" max="8" width="8.6640625" customWidth="1"/>
    <col min="9" max="10" width="4.6640625" customWidth="1"/>
    <col min="11" max="11" width="22" bestFit="1" customWidth="1"/>
    <col min="12" max="12" width="26.1640625" bestFit="1" customWidth="1"/>
    <col min="13" max="13" width="8.6640625" customWidth="1"/>
    <col min="14" max="14" width="12.6640625" customWidth="1"/>
    <col min="15" max="15" width="9.1640625" customWidth="1"/>
    <col min="18" max="18" width="12.5" bestFit="1" customWidth="1"/>
    <col min="20" max="20" width="4.6640625" customWidth="1"/>
    <col min="23" max="23" width="10.5" bestFit="1" customWidth="1"/>
  </cols>
  <sheetData>
    <row r="1" spans="2:10" ht="18" x14ac:dyDescent="0.2">
      <c r="B1" s="580" t="str">
        <f>'Full Crash Data'!A3</f>
        <v>Type 'Heading' Here</v>
      </c>
    </row>
    <row r="2" spans="2:10" ht="18" x14ac:dyDescent="0.2">
      <c r="B2" s="439" t="s">
        <v>6135</v>
      </c>
    </row>
    <row r="3" spans="2:10" x14ac:dyDescent="0.15">
      <c r="F3" s="546" t="s">
        <v>6665</v>
      </c>
      <c r="G3" s="547">
        <f>ROUND(COUNT('Full Crash Data'!$B$21:$B$1000000) / (MAX('Full Crash Data'!$C$21:$C$1000000)-MIN('Full Crash Data'!$C$21:$C$1000000)+1),2)</f>
        <v>61.6</v>
      </c>
    </row>
    <row r="4" spans="2:10" x14ac:dyDescent="0.15">
      <c r="B4" s="546" t="s">
        <v>131</v>
      </c>
      <c r="C4" s="396">
        <f>SUM('Full Crash Data'!$U$21:$U$1000000)</f>
        <v>1</v>
      </c>
      <c r="F4" s="546" t="s">
        <v>6669</v>
      </c>
      <c r="G4" s="549">
        <f>COUNT('Full Crash Data'!$B$21:$B$1000000)-COUNTIFS('Full Crash Data'!$F:$F,"(5) PDO/No Injury")</f>
        <v>93</v>
      </c>
    </row>
    <row r="5" spans="2:10" x14ac:dyDescent="0.15">
      <c r="B5" s="546" t="s">
        <v>1172</v>
      </c>
      <c r="C5" s="396">
        <f>SUM('Full Crash Data'!$V$21:$V$1000000)</f>
        <v>9</v>
      </c>
      <c r="F5" s="546" t="s">
        <v>6666</v>
      </c>
      <c r="G5" s="548">
        <f>1-(COUNTIFS('Full Crash Data'!$F:$F,"(5) PDO/No Injury")/COUNT('Full Crash Data'!$B$21:$B$1000000))</f>
        <v>0.30194805194805197</v>
      </c>
    </row>
    <row r="6" spans="2:10" x14ac:dyDescent="0.15">
      <c r="B6" s="546" t="s">
        <v>6671</v>
      </c>
      <c r="C6" s="396">
        <f>SUM('Full Crash Data'!$W$21:$W$1000000)+SUM('Full Crash Data'!$X$21:$X$1000000)</f>
        <v>138</v>
      </c>
      <c r="F6" s="546" t="s">
        <v>6674</v>
      </c>
      <c r="G6" s="547">
        <f>IFERROR(ROUND(((COUNTIFS('Full Crash Data'!$F:$F,"(1) Fatal")+COUNTIFS('Full Crash Data'!$F:$F,"(2) Serious Injury Suspected"))*RefTables!$N$3+COUNTIFS('Full Crash Data'!$F:$F,"(3) Minor Injury Suspected")*RefTables!O3+COUNTIFS('Full Crash Data'!$F:$F,"(4) Injury Possible")*RefTables!$P$3+COUNTIFS('Full Crash Data'!$F:$F,"(5) PDO/No Injury")*RefTables!$Q$3)/COUNT('Full Crash Data'!$B$21:$B$1000000),2),0)</f>
        <v>3.52</v>
      </c>
    </row>
    <row r="8" spans="2:10" x14ac:dyDescent="0.15">
      <c r="B8" s="256" t="s">
        <v>496</v>
      </c>
      <c r="C8" s="4" t="s">
        <v>6085</v>
      </c>
      <c r="D8" s="4" t="s">
        <v>101</v>
      </c>
      <c r="E8" s="256"/>
      <c r="F8" s="408" t="s">
        <v>5978</v>
      </c>
      <c r="G8" s="4" t="s">
        <v>6085</v>
      </c>
      <c r="H8" s="4" t="s">
        <v>101</v>
      </c>
    </row>
    <row r="9" spans="2:10" x14ac:dyDescent="0.15">
      <c r="B9" s="118" t="s">
        <v>6438</v>
      </c>
      <c r="C9" s="257">
        <v>1</v>
      </c>
      <c r="D9" s="478">
        <v>3.246753246753247E-3</v>
      </c>
      <c r="F9" s="4">
        <v>2021</v>
      </c>
      <c r="G9" s="257">
        <v>79</v>
      </c>
      <c r="H9" s="478">
        <v>0.2564935064935065</v>
      </c>
    </row>
    <row r="10" spans="2:10" x14ac:dyDescent="0.15">
      <c r="B10" s="118" t="s">
        <v>6439</v>
      </c>
      <c r="C10" s="257">
        <v>8</v>
      </c>
      <c r="D10" s="478">
        <v>2.5974025974025976E-2</v>
      </c>
      <c r="F10" s="4">
        <v>2022</v>
      </c>
      <c r="G10" s="257">
        <v>57</v>
      </c>
      <c r="H10" s="478">
        <v>0.18506493506493507</v>
      </c>
    </row>
    <row r="11" spans="2:10" x14ac:dyDescent="0.15">
      <c r="B11" s="118" t="s">
        <v>6440</v>
      </c>
      <c r="C11" s="257">
        <v>48</v>
      </c>
      <c r="D11" s="478">
        <v>0.15584415584415584</v>
      </c>
      <c r="F11" s="4">
        <v>2023</v>
      </c>
      <c r="G11" s="257">
        <v>64</v>
      </c>
      <c r="H11" s="478">
        <v>0.20779220779220781</v>
      </c>
    </row>
    <row r="12" spans="2:10" x14ac:dyDescent="0.15">
      <c r="B12" s="118" t="s">
        <v>6441</v>
      </c>
      <c r="C12" s="257">
        <v>36</v>
      </c>
      <c r="D12" s="478">
        <v>0.11688311688311688</v>
      </c>
      <c r="F12" s="4">
        <v>2024</v>
      </c>
      <c r="G12" s="257">
        <v>71</v>
      </c>
      <c r="H12" s="478">
        <v>0.23051948051948051</v>
      </c>
      <c r="I12" s="256"/>
      <c r="J12" s="256"/>
    </row>
    <row r="13" spans="2:10" x14ac:dyDescent="0.15">
      <c r="B13" s="118" t="s">
        <v>6442</v>
      </c>
      <c r="C13" s="257">
        <v>215</v>
      </c>
      <c r="D13" s="478">
        <v>0.69805194805194803</v>
      </c>
      <c r="F13" s="4">
        <v>2025</v>
      </c>
      <c r="G13" s="257">
        <v>37</v>
      </c>
      <c r="H13" s="478">
        <v>0.12012987012987013</v>
      </c>
    </row>
    <row r="14" spans="2:10" x14ac:dyDescent="0.15">
      <c r="B14" s="4" t="s">
        <v>100</v>
      </c>
      <c r="C14" s="257">
        <v>308</v>
      </c>
      <c r="D14" s="478">
        <v>1</v>
      </c>
      <c r="F14" s="4" t="s">
        <v>100</v>
      </c>
      <c r="G14" s="257">
        <v>308</v>
      </c>
      <c r="H14" s="478">
        <v>1</v>
      </c>
    </row>
    <row r="17" spans="2:15" x14ac:dyDescent="0.15">
      <c r="B17" s="256" t="s">
        <v>6450</v>
      </c>
      <c r="C17" s="4" t="s">
        <v>6085</v>
      </c>
      <c r="D17" s="4" t="s">
        <v>101</v>
      </c>
      <c r="F17" s="256"/>
      <c r="G17" s="256"/>
      <c r="H17" s="256"/>
    </row>
    <row r="18" spans="2:15" x14ac:dyDescent="0.15">
      <c r="B18" s="118" t="s">
        <v>6443</v>
      </c>
      <c r="C18" s="257">
        <v>22</v>
      </c>
      <c r="D18" s="478">
        <v>7.1428571428571425E-2</v>
      </c>
    </row>
    <row r="19" spans="2:15" x14ac:dyDescent="0.15">
      <c r="B19" s="118" t="s">
        <v>6444</v>
      </c>
      <c r="C19" s="257">
        <v>46</v>
      </c>
      <c r="D19" s="478">
        <v>0.14935064935064934</v>
      </c>
    </row>
    <row r="20" spans="2:15" x14ac:dyDescent="0.15">
      <c r="B20" s="118" t="s">
        <v>6445</v>
      </c>
      <c r="C20" s="257">
        <v>55</v>
      </c>
      <c r="D20" s="478">
        <v>0.17857142857142858</v>
      </c>
    </row>
    <row r="21" spans="2:15" x14ac:dyDescent="0.15">
      <c r="B21" s="118" t="s">
        <v>6446</v>
      </c>
      <c r="C21" s="257">
        <v>47</v>
      </c>
      <c r="D21" s="478">
        <v>0.15259740259740259</v>
      </c>
      <c r="E21" s="256"/>
      <c r="I21" s="256"/>
      <c r="J21" s="256"/>
    </row>
    <row r="22" spans="2:15" x14ac:dyDescent="0.15">
      <c r="B22" s="118" t="s">
        <v>6447</v>
      </c>
      <c r="C22" s="257">
        <v>43</v>
      </c>
      <c r="D22" s="478">
        <v>0.1396103896103896</v>
      </c>
    </row>
    <row r="23" spans="2:15" x14ac:dyDescent="0.15">
      <c r="B23" s="118" t="s">
        <v>6448</v>
      </c>
      <c r="C23" s="257">
        <v>51</v>
      </c>
      <c r="D23" s="478">
        <v>0.16558441558441558</v>
      </c>
    </row>
    <row r="24" spans="2:15" x14ac:dyDescent="0.15">
      <c r="B24" s="118" t="s">
        <v>6449</v>
      </c>
      <c r="C24" s="257">
        <v>44</v>
      </c>
      <c r="D24" s="478">
        <v>0.14285714285714285</v>
      </c>
    </row>
    <row r="25" spans="2:15" x14ac:dyDescent="0.15">
      <c r="B25" s="4" t="s">
        <v>100</v>
      </c>
      <c r="C25" s="257">
        <v>308</v>
      </c>
      <c r="D25" s="478">
        <v>1</v>
      </c>
    </row>
    <row r="26" spans="2:15" x14ac:dyDescent="0.15">
      <c r="I26" s="256"/>
      <c r="J26" s="256"/>
    </row>
    <row r="27" spans="2:15" x14ac:dyDescent="0.15">
      <c r="F27" s="256" t="s">
        <v>176</v>
      </c>
      <c r="G27" s="4" t="s">
        <v>6085</v>
      </c>
      <c r="H27" s="4" t="s">
        <v>101</v>
      </c>
    </row>
    <row r="28" spans="2:15" x14ac:dyDescent="0.15">
      <c r="B28" s="256" t="s">
        <v>5982</v>
      </c>
      <c r="C28" s="4" t="s">
        <v>6085</v>
      </c>
      <c r="D28" s="4" t="s">
        <v>101</v>
      </c>
      <c r="F28" s="118" t="s">
        <v>211</v>
      </c>
      <c r="G28" s="257">
        <v>61</v>
      </c>
      <c r="H28" s="478">
        <v>0.19805194805194806</v>
      </c>
    </row>
    <row r="29" spans="2:15" x14ac:dyDescent="0.15">
      <c r="B29" s="118">
        <v>0</v>
      </c>
      <c r="C29" s="257">
        <v>10</v>
      </c>
      <c r="D29" s="478">
        <v>3.2467532467532464E-2</v>
      </c>
      <c r="F29" s="118" t="s">
        <v>390</v>
      </c>
      <c r="G29" s="257">
        <v>60</v>
      </c>
      <c r="H29" s="478">
        <v>0.19480519480519481</v>
      </c>
    </row>
    <row r="30" spans="2:15" x14ac:dyDescent="0.15">
      <c r="B30" s="118">
        <v>1</v>
      </c>
      <c r="C30" s="257">
        <v>3</v>
      </c>
      <c r="D30" s="478">
        <v>9.74025974025974E-3</v>
      </c>
      <c r="F30" s="118" t="s">
        <v>230</v>
      </c>
      <c r="G30" s="257">
        <v>51</v>
      </c>
      <c r="H30" s="478">
        <v>0.16558441558441558</v>
      </c>
    </row>
    <row r="31" spans="2:15" x14ac:dyDescent="0.15">
      <c r="B31" s="118">
        <v>2</v>
      </c>
      <c r="C31" s="257">
        <v>11</v>
      </c>
      <c r="D31" s="478">
        <v>3.5714285714285712E-2</v>
      </c>
      <c r="F31" s="118" t="s">
        <v>402</v>
      </c>
      <c r="G31" s="257">
        <v>47</v>
      </c>
      <c r="H31" s="478">
        <v>0.15259740259740259</v>
      </c>
    </row>
    <row r="32" spans="2:15" x14ac:dyDescent="0.15">
      <c r="B32" s="118">
        <v>3</v>
      </c>
      <c r="C32" s="257">
        <v>5</v>
      </c>
      <c r="D32" s="478">
        <v>1.6233766233766232E-2</v>
      </c>
      <c r="E32" s="256"/>
      <c r="F32" s="118" t="s">
        <v>416</v>
      </c>
      <c r="G32" s="257">
        <v>27</v>
      </c>
      <c r="H32" s="478">
        <v>8.7662337662337664E-2</v>
      </c>
      <c r="I32" s="256"/>
      <c r="J32" s="256"/>
      <c r="K32" s="256"/>
      <c r="L32" s="256"/>
      <c r="M32" s="256"/>
      <c r="N32" s="256"/>
      <c r="O32" s="256"/>
    </row>
    <row r="33" spans="2:8" x14ac:dyDescent="0.15">
      <c r="B33" s="118">
        <v>4</v>
      </c>
      <c r="C33" s="257">
        <v>3</v>
      </c>
      <c r="D33" s="478">
        <v>9.74025974025974E-3</v>
      </c>
      <c r="F33" s="118" t="s">
        <v>438</v>
      </c>
      <c r="G33" s="257">
        <v>14</v>
      </c>
      <c r="H33" s="478">
        <v>4.5454545454545456E-2</v>
      </c>
    </row>
    <row r="34" spans="2:8" x14ac:dyDescent="0.15">
      <c r="B34" s="118">
        <v>5</v>
      </c>
      <c r="C34" s="257">
        <v>5</v>
      </c>
      <c r="D34" s="478">
        <v>1.6233766233766232E-2</v>
      </c>
      <c r="F34" s="118" t="s">
        <v>860</v>
      </c>
      <c r="G34" s="257">
        <v>11</v>
      </c>
      <c r="H34" s="478">
        <v>3.5714285714285712E-2</v>
      </c>
    </row>
    <row r="35" spans="2:8" x14ac:dyDescent="0.15">
      <c r="B35" s="118">
        <v>6</v>
      </c>
      <c r="C35" s="257">
        <v>7</v>
      </c>
      <c r="D35" s="478">
        <v>2.2727272727272728E-2</v>
      </c>
      <c r="F35" s="118" t="s">
        <v>210</v>
      </c>
      <c r="G35" s="257">
        <v>11</v>
      </c>
      <c r="H35" s="478">
        <v>3.5714285714285712E-2</v>
      </c>
    </row>
    <row r="36" spans="2:8" x14ac:dyDescent="0.15">
      <c r="B36" s="118">
        <v>7</v>
      </c>
      <c r="C36" s="257">
        <v>4</v>
      </c>
      <c r="D36" s="478">
        <v>1.2987012987012988E-2</v>
      </c>
      <c r="F36" s="118" t="s">
        <v>212</v>
      </c>
      <c r="G36" s="257">
        <v>9</v>
      </c>
      <c r="H36" s="478">
        <v>2.922077922077922E-2</v>
      </c>
    </row>
    <row r="37" spans="2:8" x14ac:dyDescent="0.15">
      <c r="B37" s="118">
        <v>8</v>
      </c>
      <c r="C37" s="257">
        <v>9</v>
      </c>
      <c r="D37" s="478">
        <v>2.922077922077922E-2</v>
      </c>
      <c r="F37" s="118" t="s">
        <v>209</v>
      </c>
      <c r="G37" s="257">
        <v>5</v>
      </c>
      <c r="H37" s="478">
        <v>1.6233766233766232E-2</v>
      </c>
    </row>
    <row r="38" spans="2:8" x14ac:dyDescent="0.15">
      <c r="B38" s="118">
        <v>9</v>
      </c>
      <c r="C38" s="257">
        <v>15</v>
      </c>
      <c r="D38" s="478">
        <v>4.8701298701298704E-2</v>
      </c>
      <c r="F38" s="118" t="s">
        <v>313</v>
      </c>
      <c r="G38" s="257">
        <v>5</v>
      </c>
      <c r="H38" s="478">
        <v>1.6233766233766232E-2</v>
      </c>
    </row>
    <row r="39" spans="2:8" x14ac:dyDescent="0.15">
      <c r="B39" s="118">
        <v>10</v>
      </c>
      <c r="C39" s="257">
        <v>10</v>
      </c>
      <c r="D39" s="478">
        <v>3.2467532467532464E-2</v>
      </c>
      <c r="F39" s="118" t="s">
        <v>409</v>
      </c>
      <c r="G39" s="257">
        <v>3</v>
      </c>
      <c r="H39" s="478">
        <v>9.74025974025974E-3</v>
      </c>
    </row>
    <row r="40" spans="2:8" x14ac:dyDescent="0.15">
      <c r="B40" s="118">
        <v>11</v>
      </c>
      <c r="C40" s="257">
        <v>16</v>
      </c>
      <c r="D40" s="478">
        <v>5.1948051948051951E-2</v>
      </c>
      <c r="F40" s="118" t="s">
        <v>401</v>
      </c>
      <c r="G40" s="257">
        <v>3</v>
      </c>
      <c r="H40" s="478">
        <v>9.74025974025974E-3</v>
      </c>
    </row>
    <row r="41" spans="2:8" x14ac:dyDescent="0.15">
      <c r="B41" s="118">
        <v>12</v>
      </c>
      <c r="C41" s="257">
        <v>13</v>
      </c>
      <c r="D41" s="478">
        <v>4.2207792207792208E-2</v>
      </c>
      <c r="F41" s="118" t="s">
        <v>449</v>
      </c>
      <c r="G41" s="257">
        <v>1</v>
      </c>
      <c r="H41" s="478">
        <v>3.246753246753247E-3</v>
      </c>
    </row>
    <row r="42" spans="2:8" x14ac:dyDescent="0.15">
      <c r="B42" s="118">
        <v>13</v>
      </c>
      <c r="C42" s="257">
        <v>16</v>
      </c>
      <c r="D42" s="478">
        <v>5.1948051948051951E-2</v>
      </c>
      <c r="F42" s="4" t="s">
        <v>100</v>
      </c>
      <c r="G42" s="257">
        <v>308</v>
      </c>
      <c r="H42" s="478">
        <v>1</v>
      </c>
    </row>
    <row r="43" spans="2:8" x14ac:dyDescent="0.15">
      <c r="B43" s="118">
        <v>14</v>
      </c>
      <c r="C43" s="257">
        <v>14</v>
      </c>
      <c r="D43" s="478">
        <v>4.5454545454545456E-2</v>
      </c>
    </row>
    <row r="44" spans="2:8" x14ac:dyDescent="0.15">
      <c r="B44" s="118">
        <v>15</v>
      </c>
      <c r="C44" s="257">
        <v>38</v>
      </c>
      <c r="D44" s="478">
        <v>0.12337662337662338</v>
      </c>
    </row>
    <row r="45" spans="2:8" x14ac:dyDescent="0.15">
      <c r="B45" s="118">
        <v>16</v>
      </c>
      <c r="C45" s="257">
        <v>27</v>
      </c>
      <c r="D45" s="478">
        <v>8.7662337662337664E-2</v>
      </c>
    </row>
    <row r="46" spans="2:8" x14ac:dyDescent="0.15">
      <c r="B46" s="118">
        <v>17</v>
      </c>
      <c r="C46" s="257">
        <v>29</v>
      </c>
      <c r="D46" s="478">
        <v>9.4155844155844159E-2</v>
      </c>
    </row>
    <row r="47" spans="2:8" x14ac:dyDescent="0.15">
      <c r="B47" s="118">
        <v>18</v>
      </c>
      <c r="C47" s="257">
        <v>15</v>
      </c>
      <c r="D47" s="478">
        <v>4.8701298701298704E-2</v>
      </c>
    </row>
    <row r="48" spans="2:8" x14ac:dyDescent="0.15">
      <c r="B48" s="118">
        <v>19</v>
      </c>
      <c r="C48" s="257">
        <v>14</v>
      </c>
      <c r="D48" s="478">
        <v>4.5454545454545456E-2</v>
      </c>
    </row>
    <row r="49" spans="2:8" x14ac:dyDescent="0.15">
      <c r="B49" s="118">
        <v>20</v>
      </c>
      <c r="C49" s="257">
        <v>18</v>
      </c>
      <c r="D49" s="478">
        <v>5.844155844155844E-2</v>
      </c>
    </row>
    <row r="50" spans="2:8" x14ac:dyDescent="0.15">
      <c r="B50" s="118">
        <v>21</v>
      </c>
      <c r="C50" s="257">
        <v>6</v>
      </c>
      <c r="D50" s="478">
        <v>1.948051948051948E-2</v>
      </c>
      <c r="F50" s="256" t="s">
        <v>1191</v>
      </c>
      <c r="G50" s="4" t="s">
        <v>6085</v>
      </c>
      <c r="H50" s="4" t="s">
        <v>101</v>
      </c>
    </row>
    <row r="51" spans="2:8" x14ac:dyDescent="0.15">
      <c r="B51" s="118">
        <v>22</v>
      </c>
      <c r="C51" s="257">
        <v>9</v>
      </c>
      <c r="D51" s="478">
        <v>2.922077922077922E-2</v>
      </c>
      <c r="E51" s="257"/>
      <c r="F51" s="118">
        <v>1</v>
      </c>
      <c r="G51" s="257">
        <v>26</v>
      </c>
      <c r="H51" s="478">
        <v>8.4415584415584416E-2</v>
      </c>
    </row>
    <row r="52" spans="2:8" x14ac:dyDescent="0.15">
      <c r="B52" s="118">
        <v>23</v>
      </c>
      <c r="C52" s="257">
        <v>11</v>
      </c>
      <c r="D52" s="478">
        <v>3.5714285714285712E-2</v>
      </c>
      <c r="F52" s="118">
        <v>2</v>
      </c>
      <c r="G52" s="257">
        <v>18</v>
      </c>
      <c r="H52" s="478">
        <v>5.844155844155844E-2</v>
      </c>
    </row>
    <row r="53" spans="2:8" x14ac:dyDescent="0.15">
      <c r="B53" s="4" t="s">
        <v>100</v>
      </c>
      <c r="C53" s="257">
        <v>308</v>
      </c>
      <c r="D53" s="478">
        <v>1</v>
      </c>
      <c r="F53" s="118">
        <v>3</v>
      </c>
      <c r="G53" s="257">
        <v>27</v>
      </c>
      <c r="H53" s="478">
        <v>8.7662337662337664E-2</v>
      </c>
    </row>
    <row r="54" spans="2:8" x14ac:dyDescent="0.15">
      <c r="F54" s="118">
        <v>4</v>
      </c>
      <c r="G54" s="257">
        <v>40</v>
      </c>
      <c r="H54" s="478">
        <v>0.12987012987012986</v>
      </c>
    </row>
    <row r="55" spans="2:8" x14ac:dyDescent="0.15">
      <c r="F55" s="118">
        <v>5</v>
      </c>
      <c r="G55" s="257">
        <v>29</v>
      </c>
      <c r="H55" s="478">
        <v>9.4155844155844159E-2</v>
      </c>
    </row>
    <row r="56" spans="2:8" x14ac:dyDescent="0.15">
      <c r="F56" s="118">
        <v>6</v>
      </c>
      <c r="G56" s="257">
        <v>20</v>
      </c>
      <c r="H56" s="478">
        <v>6.4935064935064929E-2</v>
      </c>
    </row>
    <row r="57" spans="2:8" x14ac:dyDescent="0.15">
      <c r="F57" s="118">
        <v>7</v>
      </c>
      <c r="G57" s="257">
        <v>32</v>
      </c>
      <c r="H57" s="478">
        <v>0.1038961038961039</v>
      </c>
    </row>
    <row r="58" spans="2:8" x14ac:dyDescent="0.15">
      <c r="F58" s="118">
        <v>8</v>
      </c>
      <c r="G58" s="257">
        <v>16</v>
      </c>
      <c r="H58" s="478">
        <v>5.1948051948051951E-2</v>
      </c>
    </row>
    <row r="59" spans="2:8" x14ac:dyDescent="0.15">
      <c r="F59" s="118">
        <v>9</v>
      </c>
      <c r="G59" s="257">
        <v>28</v>
      </c>
      <c r="H59" s="478">
        <v>9.0909090909090912E-2</v>
      </c>
    </row>
    <row r="60" spans="2:8" x14ac:dyDescent="0.15">
      <c r="F60" s="118">
        <v>10</v>
      </c>
      <c r="G60" s="257">
        <v>27</v>
      </c>
      <c r="H60" s="478">
        <v>8.7662337662337664E-2</v>
      </c>
    </row>
    <row r="61" spans="2:8" x14ac:dyDescent="0.15">
      <c r="F61" s="118">
        <v>11</v>
      </c>
      <c r="G61" s="257">
        <v>20</v>
      </c>
      <c r="H61" s="478">
        <v>6.4935064935064929E-2</v>
      </c>
    </row>
    <row r="62" spans="2:8" x14ac:dyDescent="0.15">
      <c r="F62" s="118">
        <v>12</v>
      </c>
      <c r="G62" s="257">
        <v>25</v>
      </c>
      <c r="H62" s="478">
        <v>8.1168831168831168E-2</v>
      </c>
    </row>
    <row r="63" spans="2:8" x14ac:dyDescent="0.15">
      <c r="F63" s="4" t="s">
        <v>100</v>
      </c>
      <c r="G63" s="257">
        <v>308</v>
      </c>
      <c r="H63" s="478">
        <v>1</v>
      </c>
    </row>
    <row r="65" spans="2:11" x14ac:dyDescent="0.15">
      <c r="B65" s="256" t="s">
        <v>1193</v>
      </c>
      <c r="C65" s="4" t="s">
        <v>6085</v>
      </c>
      <c r="D65" s="4" t="s">
        <v>101</v>
      </c>
      <c r="E65" s="256"/>
      <c r="F65" s="256" t="s">
        <v>575</v>
      </c>
      <c r="G65" s="4" t="s">
        <v>6085</v>
      </c>
      <c r="H65" s="4" t="s">
        <v>101</v>
      </c>
      <c r="I65" s="256"/>
      <c r="J65" s="256"/>
      <c r="K65" s="256"/>
    </row>
    <row r="66" spans="2:11" x14ac:dyDescent="0.15">
      <c r="B66" s="118" t="s">
        <v>392</v>
      </c>
      <c r="C66" s="257">
        <v>227</v>
      </c>
      <c r="D66" s="478">
        <v>0.73701298701298701</v>
      </c>
      <c r="F66" s="118" t="s">
        <v>500</v>
      </c>
      <c r="G66" s="257">
        <v>240</v>
      </c>
      <c r="H66" s="478">
        <v>0.77922077922077926</v>
      </c>
    </row>
    <row r="67" spans="2:11" x14ac:dyDescent="0.15">
      <c r="B67" s="118" t="s">
        <v>403</v>
      </c>
      <c r="C67" s="257">
        <v>37</v>
      </c>
      <c r="D67" s="478">
        <v>0.12012987012987013</v>
      </c>
      <c r="F67" s="118" t="s">
        <v>225</v>
      </c>
      <c r="G67" s="257">
        <v>58</v>
      </c>
      <c r="H67" s="478">
        <v>0.18831168831168832</v>
      </c>
    </row>
    <row r="68" spans="2:11" x14ac:dyDescent="0.15">
      <c r="B68" s="118" t="s">
        <v>420</v>
      </c>
      <c r="C68" s="257">
        <v>33</v>
      </c>
      <c r="D68" s="478">
        <v>0.10714285714285714</v>
      </c>
      <c r="F68" s="118" t="s">
        <v>430</v>
      </c>
      <c r="G68" s="257">
        <v>6</v>
      </c>
      <c r="H68" s="478">
        <v>1.948051948051948E-2</v>
      </c>
    </row>
    <row r="69" spans="2:11" x14ac:dyDescent="0.15">
      <c r="B69" s="118" t="s">
        <v>430</v>
      </c>
      <c r="C69" s="257">
        <v>5</v>
      </c>
      <c r="D69" s="478">
        <v>1.6233766233766232E-2</v>
      </c>
      <c r="F69" s="118" t="s">
        <v>6151</v>
      </c>
      <c r="G69" s="257">
        <v>3</v>
      </c>
      <c r="H69" s="478">
        <v>9.74025974025974E-3</v>
      </c>
    </row>
    <row r="70" spans="2:11" x14ac:dyDescent="0.15">
      <c r="B70" s="118" t="s">
        <v>1030</v>
      </c>
      <c r="C70" s="257">
        <v>3</v>
      </c>
      <c r="D70" s="478">
        <v>9.74025974025974E-3</v>
      </c>
      <c r="F70" s="118" t="s">
        <v>501</v>
      </c>
      <c r="G70" s="257">
        <v>1</v>
      </c>
      <c r="H70" s="478">
        <v>3.246753246753247E-3</v>
      </c>
    </row>
    <row r="71" spans="2:11" x14ac:dyDescent="0.15">
      <c r="B71" s="118" t="s">
        <v>431</v>
      </c>
      <c r="C71" s="257">
        <v>1</v>
      </c>
      <c r="D71" s="478">
        <v>3.246753246753247E-3</v>
      </c>
      <c r="F71" s="4" t="s">
        <v>100</v>
      </c>
      <c r="G71" s="257">
        <v>308</v>
      </c>
      <c r="H71" s="478">
        <v>1</v>
      </c>
    </row>
    <row r="72" spans="2:11" x14ac:dyDescent="0.15">
      <c r="B72" s="118" t="s">
        <v>483</v>
      </c>
      <c r="C72" s="257">
        <v>1</v>
      </c>
      <c r="D72" s="478">
        <v>3.246753246753247E-3</v>
      </c>
    </row>
    <row r="73" spans="2:11" x14ac:dyDescent="0.15">
      <c r="B73" s="118" t="s">
        <v>447</v>
      </c>
      <c r="C73" s="257">
        <v>1</v>
      </c>
      <c r="D73" s="478">
        <v>3.246753246753247E-3</v>
      </c>
    </row>
    <row r="74" spans="2:11" x14ac:dyDescent="0.15">
      <c r="B74" s="4" t="s">
        <v>100</v>
      </c>
      <c r="C74" s="257">
        <v>308</v>
      </c>
      <c r="D74" s="478">
        <v>1</v>
      </c>
    </row>
    <row r="77" spans="2:11" x14ac:dyDescent="0.15">
      <c r="I77" s="256"/>
      <c r="J77" s="256"/>
      <c r="K77" s="256"/>
    </row>
    <row r="79" spans="2:11" x14ac:dyDescent="0.15">
      <c r="B79" s="256" t="s">
        <v>576</v>
      </c>
      <c r="C79" s="4" t="s">
        <v>6085</v>
      </c>
      <c r="D79" s="4" t="s">
        <v>101</v>
      </c>
      <c r="E79" s="256"/>
      <c r="F79" s="256" t="s">
        <v>1177</v>
      </c>
      <c r="G79" s="4" t="s">
        <v>6085</v>
      </c>
      <c r="H79" s="4" t="s">
        <v>101</v>
      </c>
    </row>
    <row r="80" spans="2:11" x14ac:dyDescent="0.15">
      <c r="B80" s="118" t="s">
        <v>404</v>
      </c>
      <c r="C80" s="257">
        <v>205</v>
      </c>
      <c r="D80" s="478">
        <v>0.66558441558441561</v>
      </c>
      <c r="F80" s="118" t="s">
        <v>515</v>
      </c>
      <c r="G80" s="257">
        <v>258</v>
      </c>
      <c r="H80" s="478">
        <v>0.83766233766233766</v>
      </c>
    </row>
    <row r="81" spans="2:8" x14ac:dyDescent="0.15">
      <c r="B81" s="118" t="s">
        <v>505</v>
      </c>
      <c r="C81" s="257">
        <v>75</v>
      </c>
      <c r="D81" s="478">
        <v>0.2435064935064935</v>
      </c>
      <c r="F81" s="118" t="s">
        <v>6719</v>
      </c>
      <c r="G81" s="257">
        <v>31</v>
      </c>
      <c r="H81" s="478">
        <v>0.10064935064935066</v>
      </c>
    </row>
    <row r="82" spans="2:8" x14ac:dyDescent="0.15">
      <c r="B82" s="118" t="s">
        <v>6324</v>
      </c>
      <c r="C82" s="257">
        <v>22</v>
      </c>
      <c r="D82" s="478">
        <v>7.1428571428571425E-2</v>
      </c>
      <c r="F82" s="118" t="s">
        <v>6720</v>
      </c>
      <c r="G82" s="257">
        <v>16</v>
      </c>
      <c r="H82" s="478">
        <v>5.1948051948051951E-2</v>
      </c>
    </row>
    <row r="83" spans="2:8" x14ac:dyDescent="0.15">
      <c r="B83" s="118" t="s">
        <v>506</v>
      </c>
      <c r="C83" s="257">
        <v>4</v>
      </c>
      <c r="D83" s="478">
        <v>1.2987012987012988E-2</v>
      </c>
      <c r="F83" s="118" t="s">
        <v>548</v>
      </c>
      <c r="G83" s="257">
        <v>2</v>
      </c>
      <c r="H83" s="478">
        <v>6.4935064935064939E-3</v>
      </c>
    </row>
    <row r="84" spans="2:8" x14ac:dyDescent="0.15">
      <c r="B84" s="118" t="s">
        <v>6151</v>
      </c>
      <c r="C84" s="257">
        <v>1</v>
      </c>
      <c r="D84" s="478">
        <v>3.246753246753247E-3</v>
      </c>
      <c r="F84" s="118" t="s">
        <v>6739</v>
      </c>
      <c r="G84" s="257">
        <v>1</v>
      </c>
      <c r="H84" s="478">
        <v>3.246753246753247E-3</v>
      </c>
    </row>
    <row r="85" spans="2:8" x14ac:dyDescent="0.15">
      <c r="B85" s="118" t="s">
        <v>507</v>
      </c>
      <c r="C85" s="257">
        <v>1</v>
      </c>
      <c r="D85" s="478">
        <v>3.246753246753247E-3</v>
      </c>
      <c r="F85" s="4" t="s">
        <v>100</v>
      </c>
      <c r="G85" s="257">
        <v>308</v>
      </c>
      <c r="H85" s="478">
        <v>1</v>
      </c>
    </row>
    <row r="86" spans="2:8" x14ac:dyDescent="0.15">
      <c r="B86" s="4" t="s">
        <v>100</v>
      </c>
      <c r="C86" s="257">
        <v>308</v>
      </c>
      <c r="D86" s="478">
        <v>1</v>
      </c>
    </row>
    <row r="89" spans="2:8" x14ac:dyDescent="0.15">
      <c r="B89" s="256" t="s">
        <v>6451</v>
      </c>
      <c r="C89" s="4" t="s">
        <v>6085</v>
      </c>
      <c r="D89" s="4" t="s">
        <v>101</v>
      </c>
      <c r="E89" s="256"/>
    </row>
    <row r="90" spans="2:8" x14ac:dyDescent="0.15">
      <c r="B90" s="118" t="s">
        <v>391</v>
      </c>
      <c r="C90" s="257">
        <v>165</v>
      </c>
      <c r="D90" s="478">
        <v>0.5357142857142857</v>
      </c>
    </row>
    <row r="91" spans="2:8" x14ac:dyDescent="0.15">
      <c r="B91" s="118" t="s">
        <v>423</v>
      </c>
      <c r="C91" s="257">
        <v>93</v>
      </c>
      <c r="D91" s="478">
        <v>0.30194805194805197</v>
      </c>
    </row>
    <row r="92" spans="2:8" x14ac:dyDescent="0.15">
      <c r="B92" s="118" t="s">
        <v>434</v>
      </c>
      <c r="C92" s="257">
        <v>43</v>
      </c>
      <c r="D92" s="478">
        <v>0.1396103896103896</v>
      </c>
    </row>
    <row r="93" spans="2:8" x14ac:dyDescent="0.15">
      <c r="B93" s="118" t="s">
        <v>484</v>
      </c>
      <c r="C93" s="257">
        <v>4</v>
      </c>
      <c r="D93" s="478">
        <v>1.2987012987012988E-2</v>
      </c>
    </row>
    <row r="94" spans="2:8" x14ac:dyDescent="0.15">
      <c r="B94" s="118" t="s">
        <v>437</v>
      </c>
      <c r="C94" s="257">
        <v>2</v>
      </c>
      <c r="D94" s="478">
        <v>6.4935064935064939E-3</v>
      </c>
      <c r="F94" s="256" t="s">
        <v>1200</v>
      </c>
      <c r="G94" s="4" t="s">
        <v>6085</v>
      </c>
      <c r="H94" s="4" t="s">
        <v>101</v>
      </c>
    </row>
    <row r="95" spans="2:8" x14ac:dyDescent="0.15">
      <c r="B95" s="118" t="s">
        <v>477</v>
      </c>
      <c r="C95" s="257">
        <v>1</v>
      </c>
      <c r="D95" s="478">
        <v>3.246753246753247E-3</v>
      </c>
      <c r="F95" s="118" t="s">
        <v>393</v>
      </c>
      <c r="G95" s="257">
        <v>306</v>
      </c>
      <c r="H95" s="478">
        <v>0.99350649350649356</v>
      </c>
    </row>
    <row r="96" spans="2:8" x14ac:dyDescent="0.15">
      <c r="B96" s="4" t="s">
        <v>100</v>
      </c>
      <c r="C96" s="257">
        <v>308</v>
      </c>
      <c r="D96" s="478">
        <v>1</v>
      </c>
      <c r="F96" s="118" t="s">
        <v>740</v>
      </c>
      <c r="G96" s="257">
        <v>2</v>
      </c>
      <c r="H96" s="478">
        <v>6.4935064935064939E-3</v>
      </c>
    </row>
    <row r="97" spans="2:8" x14ac:dyDescent="0.15">
      <c r="F97" s="4" t="s">
        <v>100</v>
      </c>
      <c r="G97" s="257">
        <v>308</v>
      </c>
      <c r="H97" s="478">
        <v>1</v>
      </c>
    </row>
    <row r="99" spans="2:8" x14ac:dyDescent="0.15">
      <c r="F99" s="256" t="s">
        <v>1194</v>
      </c>
      <c r="G99" s="4" t="s">
        <v>6085</v>
      </c>
      <c r="H99" s="4" t="s">
        <v>101</v>
      </c>
    </row>
    <row r="100" spans="2:8" x14ac:dyDescent="0.15">
      <c r="F100" s="118" t="s">
        <v>393</v>
      </c>
      <c r="G100" s="257">
        <v>291</v>
      </c>
      <c r="H100" s="478">
        <v>0.94480519480519476</v>
      </c>
    </row>
    <row r="101" spans="2:8" x14ac:dyDescent="0.15">
      <c r="F101" s="118" t="s">
        <v>740</v>
      </c>
      <c r="G101" s="257">
        <v>17</v>
      </c>
      <c r="H101" s="478">
        <v>5.5194805194805192E-2</v>
      </c>
    </row>
    <row r="102" spans="2:8" x14ac:dyDescent="0.15">
      <c r="F102" s="4" t="s">
        <v>100</v>
      </c>
      <c r="G102" s="257">
        <v>308</v>
      </c>
      <c r="H102" s="478">
        <v>1</v>
      </c>
    </row>
    <row r="104" spans="2:8" x14ac:dyDescent="0.15">
      <c r="F104" s="256" t="s">
        <v>6670</v>
      </c>
      <c r="G104" s="4" t="s">
        <v>6085</v>
      </c>
      <c r="H104" s="4" t="s">
        <v>101</v>
      </c>
    </row>
    <row r="105" spans="2:8" x14ac:dyDescent="0.15">
      <c r="F105" s="118" t="s">
        <v>393</v>
      </c>
      <c r="G105" s="257">
        <v>307</v>
      </c>
      <c r="H105" s="478">
        <v>0.99675324675324672</v>
      </c>
    </row>
    <row r="106" spans="2:8" x14ac:dyDescent="0.15">
      <c r="B106" s="256" t="s">
        <v>6721</v>
      </c>
      <c r="C106" s="4" t="s">
        <v>6085</v>
      </c>
      <c r="D106" s="4" t="s">
        <v>101</v>
      </c>
      <c r="F106" s="118" t="s">
        <v>740</v>
      </c>
      <c r="G106" s="257">
        <v>1</v>
      </c>
      <c r="H106" s="478">
        <v>3.246753246753247E-3</v>
      </c>
    </row>
    <row r="107" spans="2:8" x14ac:dyDescent="0.15">
      <c r="B107" s="118" t="s">
        <v>510</v>
      </c>
      <c r="C107" s="257">
        <v>7</v>
      </c>
      <c r="D107" s="478">
        <v>2.2727272727272728E-2</v>
      </c>
      <c r="F107" s="4" t="s">
        <v>100</v>
      </c>
      <c r="G107" s="257">
        <v>308</v>
      </c>
      <c r="H107" s="478">
        <v>1</v>
      </c>
    </row>
    <row r="108" spans="2:8" x14ac:dyDescent="0.15">
      <c r="B108" s="118" t="s">
        <v>6151</v>
      </c>
      <c r="C108" s="257">
        <v>2</v>
      </c>
      <c r="D108" s="478">
        <v>6.4935064935064939E-3</v>
      </c>
    </row>
    <row r="109" spans="2:8" x14ac:dyDescent="0.15">
      <c r="B109" s="118" t="s">
        <v>509</v>
      </c>
      <c r="C109" s="257">
        <v>14</v>
      </c>
      <c r="D109" s="478">
        <v>4.5454545454545456E-2</v>
      </c>
      <c r="F109" s="256" t="s">
        <v>6167</v>
      </c>
      <c r="G109" s="4" t="s">
        <v>6085</v>
      </c>
      <c r="H109" s="4" t="s">
        <v>101</v>
      </c>
    </row>
    <row r="110" spans="2:8" x14ac:dyDescent="0.15">
      <c r="B110" s="118" t="s">
        <v>508</v>
      </c>
      <c r="C110" s="257">
        <v>285</v>
      </c>
      <c r="D110" s="478">
        <v>0.92532467532467533</v>
      </c>
      <c r="F110" s="118" t="s">
        <v>393</v>
      </c>
      <c r="G110" s="257">
        <v>307</v>
      </c>
      <c r="H110" s="478">
        <v>0.99675324675324672</v>
      </c>
    </row>
    <row r="111" spans="2:8" x14ac:dyDescent="0.15">
      <c r="B111" s="4" t="s">
        <v>100</v>
      </c>
      <c r="C111" s="257">
        <v>308</v>
      </c>
      <c r="D111" s="478">
        <v>1</v>
      </c>
      <c r="F111" s="118" t="s">
        <v>740</v>
      </c>
      <c r="G111" s="257">
        <v>1</v>
      </c>
      <c r="H111" s="478">
        <v>3.246753246753247E-3</v>
      </c>
    </row>
    <row r="112" spans="2:8" x14ac:dyDescent="0.15">
      <c r="E112" s="256"/>
      <c r="F112" s="4" t="s">
        <v>100</v>
      </c>
      <c r="G112" s="257">
        <v>308</v>
      </c>
      <c r="H112" s="478">
        <v>1</v>
      </c>
    </row>
    <row r="114" spans="2:15" x14ac:dyDescent="0.15">
      <c r="B114" s="256" t="s">
        <v>1178</v>
      </c>
      <c r="C114" s="4" t="s">
        <v>6085</v>
      </c>
      <c r="D114" s="4" t="s">
        <v>101</v>
      </c>
      <c r="F114" s="256" t="s">
        <v>6452</v>
      </c>
      <c r="G114" s="4" t="s">
        <v>6085</v>
      </c>
      <c r="H114" s="4" t="s">
        <v>101</v>
      </c>
    </row>
    <row r="115" spans="2:15" x14ac:dyDescent="0.15">
      <c r="B115" s="118" t="s">
        <v>393</v>
      </c>
      <c r="C115" s="257">
        <v>259</v>
      </c>
      <c r="D115" s="478">
        <v>0.84090909090909094</v>
      </c>
      <c r="F115" s="118" t="s">
        <v>393</v>
      </c>
      <c r="G115" s="257">
        <v>267</v>
      </c>
      <c r="H115" s="478">
        <v>0.86688311688311692</v>
      </c>
    </row>
    <row r="116" spans="2:15" x14ac:dyDescent="0.15">
      <c r="B116" s="118" t="s">
        <v>740</v>
      </c>
      <c r="C116" s="257">
        <v>49</v>
      </c>
      <c r="D116" s="478">
        <v>0.15909090909090909</v>
      </c>
      <c r="F116" s="118" t="s">
        <v>740</v>
      </c>
      <c r="G116" s="257">
        <v>41</v>
      </c>
      <c r="H116" s="478">
        <v>0.13311688311688311</v>
      </c>
    </row>
    <row r="117" spans="2:15" x14ac:dyDescent="0.15">
      <c r="B117" s="4" t="s">
        <v>100</v>
      </c>
      <c r="C117" s="257">
        <v>308</v>
      </c>
      <c r="D117" s="478">
        <v>1</v>
      </c>
      <c r="E117" s="256"/>
      <c r="F117" s="4" t="s">
        <v>100</v>
      </c>
      <c r="G117" s="257">
        <v>308</v>
      </c>
      <c r="H117" s="478">
        <v>1</v>
      </c>
    </row>
    <row r="119" spans="2:15" x14ac:dyDescent="0.15">
      <c r="B119" s="256" t="s">
        <v>6454</v>
      </c>
      <c r="C119" s="4" t="s">
        <v>6085</v>
      </c>
      <c r="D119" s="4" t="s">
        <v>101</v>
      </c>
      <c r="F119" s="256" t="s">
        <v>6453</v>
      </c>
      <c r="G119" s="4" t="s">
        <v>6085</v>
      </c>
      <c r="H119" s="4" t="s">
        <v>101</v>
      </c>
    </row>
    <row r="120" spans="2:15" x14ac:dyDescent="0.15">
      <c r="B120" s="118" t="s">
        <v>740</v>
      </c>
      <c r="C120" s="257">
        <v>189</v>
      </c>
      <c r="D120" s="478">
        <v>0.61363636363636365</v>
      </c>
      <c r="F120" s="118" t="s">
        <v>393</v>
      </c>
      <c r="G120" s="257">
        <v>206</v>
      </c>
      <c r="H120" s="478">
        <v>0.66883116883116878</v>
      </c>
    </row>
    <row r="121" spans="2:15" x14ac:dyDescent="0.15">
      <c r="B121" s="118" t="s">
        <v>393</v>
      </c>
      <c r="C121" s="257">
        <v>119</v>
      </c>
      <c r="D121" s="478">
        <v>0.38636363636363635</v>
      </c>
      <c r="F121" s="118" t="s">
        <v>740</v>
      </c>
      <c r="G121" s="257">
        <v>102</v>
      </c>
      <c r="H121" s="478">
        <v>0.33116883116883117</v>
      </c>
    </row>
    <row r="122" spans="2:15" x14ac:dyDescent="0.15">
      <c r="B122" s="4" t="s">
        <v>100</v>
      </c>
      <c r="C122" s="257">
        <v>308</v>
      </c>
      <c r="D122" s="478">
        <v>1</v>
      </c>
      <c r="F122" s="4" t="s">
        <v>100</v>
      </c>
      <c r="G122" s="257">
        <v>308</v>
      </c>
      <c r="H122" s="478">
        <v>1</v>
      </c>
    </row>
    <row r="124" spans="2:15" x14ac:dyDescent="0.15">
      <c r="B124" s="256" t="s">
        <v>1198</v>
      </c>
      <c r="C124" s="4" t="s">
        <v>6085</v>
      </c>
      <c r="D124" s="4" t="s">
        <v>101</v>
      </c>
      <c r="F124" s="256" t="s">
        <v>1197</v>
      </c>
      <c r="G124" s="4" t="s">
        <v>6085</v>
      </c>
      <c r="H124" s="4" t="s">
        <v>101</v>
      </c>
      <c r="I124" s="256"/>
      <c r="J124" s="256"/>
      <c r="K124" s="256"/>
      <c r="L124" s="256"/>
      <c r="M124" s="256"/>
      <c r="N124" s="256"/>
      <c r="O124" s="256"/>
    </row>
    <row r="125" spans="2:15" x14ac:dyDescent="0.15">
      <c r="B125" s="118" t="s">
        <v>393</v>
      </c>
      <c r="C125" s="257">
        <v>288</v>
      </c>
      <c r="D125" s="478">
        <v>0.93506493506493504</v>
      </c>
      <c r="F125" s="118" t="s">
        <v>393</v>
      </c>
      <c r="G125" s="257">
        <v>301</v>
      </c>
      <c r="H125" s="478">
        <v>0.97727272727272729</v>
      </c>
    </row>
    <row r="126" spans="2:15" x14ac:dyDescent="0.15">
      <c r="B126" s="118" t="s">
        <v>740</v>
      </c>
      <c r="C126" s="257">
        <v>20</v>
      </c>
      <c r="D126" s="478">
        <v>6.4935064935064929E-2</v>
      </c>
      <c r="F126" s="118" t="s">
        <v>740</v>
      </c>
      <c r="G126" s="257">
        <v>7</v>
      </c>
      <c r="H126" s="478">
        <v>2.2727272727272728E-2</v>
      </c>
    </row>
    <row r="127" spans="2:15" x14ac:dyDescent="0.15">
      <c r="B127" s="4" t="s">
        <v>100</v>
      </c>
      <c r="C127" s="257">
        <v>308</v>
      </c>
      <c r="D127" s="478">
        <v>1</v>
      </c>
      <c r="F127" s="4" t="s">
        <v>100</v>
      </c>
      <c r="G127" s="257">
        <v>308</v>
      </c>
      <c r="H127" s="478">
        <v>1</v>
      </c>
    </row>
    <row r="132" spans="2:8" ht="18" x14ac:dyDescent="0.2">
      <c r="B132" s="479" t="s">
        <v>6466</v>
      </c>
    </row>
    <row r="134" spans="2:8" x14ac:dyDescent="0.15">
      <c r="B134" s="256" t="s">
        <v>6455</v>
      </c>
      <c r="C134" s="4" t="s">
        <v>6085</v>
      </c>
      <c r="D134" s="4" t="s">
        <v>101</v>
      </c>
      <c r="E134" s="256"/>
      <c r="F134" s="256" t="s">
        <v>6456</v>
      </c>
      <c r="G134" s="4" t="s">
        <v>6085</v>
      </c>
      <c r="H134" s="4" t="s">
        <v>101</v>
      </c>
    </row>
    <row r="135" spans="2:8" x14ac:dyDescent="0.15">
      <c r="B135" s="118" t="s">
        <v>399</v>
      </c>
      <c r="C135" s="257">
        <v>142</v>
      </c>
      <c r="D135" s="478">
        <v>0.46103896103896103</v>
      </c>
      <c r="F135" s="118" t="s">
        <v>6327</v>
      </c>
      <c r="G135" s="257">
        <v>75</v>
      </c>
      <c r="H135" s="478">
        <v>0.2435064935064935</v>
      </c>
    </row>
    <row r="136" spans="2:8" x14ac:dyDescent="0.15">
      <c r="B136" s="118" t="s">
        <v>436</v>
      </c>
      <c r="C136" s="257">
        <v>73</v>
      </c>
      <c r="D136" s="478">
        <v>0.23701298701298701</v>
      </c>
      <c r="F136" s="118" t="s">
        <v>6512</v>
      </c>
      <c r="G136" s="257">
        <v>58</v>
      </c>
      <c r="H136" s="478">
        <v>0.18831168831168832</v>
      </c>
    </row>
    <row r="137" spans="2:8" x14ac:dyDescent="0.15">
      <c r="B137" s="118" t="s">
        <v>439</v>
      </c>
      <c r="C137" s="257">
        <v>18</v>
      </c>
      <c r="D137" s="478">
        <v>5.844155844155844E-2</v>
      </c>
      <c r="F137" s="118" t="s">
        <v>407</v>
      </c>
      <c r="G137" s="257">
        <v>42</v>
      </c>
      <c r="H137" s="478">
        <v>0.13636363636363635</v>
      </c>
    </row>
    <row r="138" spans="2:8" x14ac:dyDescent="0.15">
      <c r="B138" s="118" t="s">
        <v>6151</v>
      </c>
      <c r="C138" s="257">
        <v>14</v>
      </c>
      <c r="D138" s="478">
        <v>4.5454545454545456E-2</v>
      </c>
      <c r="F138" s="118" t="s">
        <v>398</v>
      </c>
      <c r="G138" s="257">
        <v>24</v>
      </c>
      <c r="H138" s="478">
        <v>7.792207792207792E-2</v>
      </c>
    </row>
    <row r="139" spans="2:8" x14ac:dyDescent="0.15">
      <c r="B139" s="118" t="s">
        <v>435</v>
      </c>
      <c r="C139" s="257">
        <v>14</v>
      </c>
      <c r="D139" s="478">
        <v>4.5454545454545456E-2</v>
      </c>
      <c r="F139" s="118" t="s">
        <v>451</v>
      </c>
      <c r="G139" s="257">
        <v>18</v>
      </c>
      <c r="H139" s="478">
        <v>5.844155844155844E-2</v>
      </c>
    </row>
    <row r="140" spans="2:8" x14ac:dyDescent="0.15">
      <c r="B140" s="118" t="s">
        <v>444</v>
      </c>
      <c r="C140" s="257">
        <v>12</v>
      </c>
      <c r="D140" s="478">
        <v>3.896103896103896E-2</v>
      </c>
      <c r="F140" s="118" t="s">
        <v>6329</v>
      </c>
      <c r="G140" s="257">
        <v>17</v>
      </c>
      <c r="H140" s="478">
        <v>5.5194805194805192E-2</v>
      </c>
    </row>
    <row r="141" spans="2:8" x14ac:dyDescent="0.15">
      <c r="B141" s="118" t="s">
        <v>212</v>
      </c>
      <c r="C141" s="257">
        <v>10</v>
      </c>
      <c r="D141" s="478">
        <v>3.2467532467532464E-2</v>
      </c>
      <c r="F141" s="118" t="s">
        <v>440</v>
      </c>
      <c r="G141" s="257">
        <v>14</v>
      </c>
      <c r="H141" s="478">
        <v>4.5454545454545456E-2</v>
      </c>
    </row>
    <row r="142" spans="2:8" x14ac:dyDescent="0.15">
      <c r="B142" s="118" t="s">
        <v>463</v>
      </c>
      <c r="C142" s="257">
        <v>7</v>
      </c>
      <c r="D142" s="478">
        <v>2.2727272727272728E-2</v>
      </c>
      <c r="F142" s="118" t="s">
        <v>6328</v>
      </c>
      <c r="G142" s="257">
        <v>14</v>
      </c>
      <c r="H142" s="478">
        <v>4.5454545454545456E-2</v>
      </c>
    </row>
    <row r="143" spans="2:8" x14ac:dyDescent="0.15">
      <c r="B143" s="118" t="s">
        <v>6356</v>
      </c>
      <c r="C143" s="257">
        <v>7</v>
      </c>
      <c r="D143" s="478">
        <v>2.2727272727272728E-2</v>
      </c>
      <c r="F143" s="118" t="s">
        <v>425</v>
      </c>
      <c r="G143" s="257">
        <v>10</v>
      </c>
      <c r="H143" s="478">
        <v>3.2467532467532464E-2</v>
      </c>
    </row>
    <row r="144" spans="2:8" x14ac:dyDescent="0.15">
      <c r="B144" s="118" t="s">
        <v>408</v>
      </c>
      <c r="C144" s="257">
        <v>4</v>
      </c>
      <c r="D144" s="478">
        <v>1.2987012987012988E-2</v>
      </c>
      <c r="F144" s="118" t="s">
        <v>441</v>
      </c>
      <c r="G144" s="257">
        <v>8</v>
      </c>
      <c r="H144" s="478">
        <v>2.5974025974025976E-2</v>
      </c>
    </row>
    <row r="145" spans="2:8" x14ac:dyDescent="0.15">
      <c r="B145" s="118" t="s">
        <v>6355</v>
      </c>
      <c r="C145" s="257">
        <v>3</v>
      </c>
      <c r="D145" s="478">
        <v>9.74025974025974E-3</v>
      </c>
      <c r="F145" s="118" t="s">
        <v>6338</v>
      </c>
      <c r="G145" s="257">
        <v>8</v>
      </c>
      <c r="H145" s="478">
        <v>2.5974025974025976E-2</v>
      </c>
    </row>
    <row r="146" spans="2:8" x14ac:dyDescent="0.15">
      <c r="B146" s="118" t="s">
        <v>486</v>
      </c>
      <c r="C146" s="257">
        <v>3</v>
      </c>
      <c r="D146" s="478">
        <v>9.74025974025974E-3</v>
      </c>
      <c r="F146" s="118" t="s">
        <v>6331</v>
      </c>
      <c r="G146" s="257">
        <v>6</v>
      </c>
      <c r="H146" s="478">
        <v>1.948051948051948E-2</v>
      </c>
    </row>
    <row r="147" spans="2:8" x14ac:dyDescent="0.15">
      <c r="B147" s="118" t="s">
        <v>465</v>
      </c>
      <c r="C147" s="257">
        <v>1</v>
      </c>
      <c r="D147" s="478">
        <v>3.246753246753247E-3</v>
      </c>
      <c r="F147" s="118" t="s">
        <v>6330</v>
      </c>
      <c r="G147" s="257">
        <v>4</v>
      </c>
      <c r="H147" s="478">
        <v>1.2987012987012988E-2</v>
      </c>
    </row>
    <row r="148" spans="2:8" x14ac:dyDescent="0.15">
      <c r="B148" s="4" t="s">
        <v>100</v>
      </c>
      <c r="C148" s="257">
        <v>308</v>
      </c>
      <c r="D148" s="478">
        <v>1</v>
      </c>
      <c r="F148" s="118" t="s">
        <v>6334</v>
      </c>
      <c r="G148" s="257">
        <v>4</v>
      </c>
      <c r="H148" s="478">
        <v>1.2987012987012988E-2</v>
      </c>
    </row>
    <row r="149" spans="2:8" x14ac:dyDescent="0.15">
      <c r="F149" s="118" t="s">
        <v>458</v>
      </c>
      <c r="G149" s="257">
        <v>3</v>
      </c>
      <c r="H149" s="478">
        <v>9.74025974025974E-3</v>
      </c>
    </row>
    <row r="150" spans="2:8" x14ac:dyDescent="0.15">
      <c r="F150" s="118" t="s">
        <v>457</v>
      </c>
      <c r="G150" s="257">
        <v>2</v>
      </c>
      <c r="H150" s="478">
        <v>6.4935064935064939E-3</v>
      </c>
    </row>
    <row r="151" spans="2:8" x14ac:dyDescent="0.15">
      <c r="F151" s="118" t="s">
        <v>6336</v>
      </c>
      <c r="G151" s="257">
        <v>1</v>
      </c>
      <c r="H151" s="478">
        <v>3.246753246753247E-3</v>
      </c>
    </row>
    <row r="152" spans="2:8" x14ac:dyDescent="0.15">
      <c r="F152" s="4" t="s">
        <v>100</v>
      </c>
      <c r="G152" s="257">
        <v>308</v>
      </c>
      <c r="H152" s="478">
        <v>1</v>
      </c>
    </row>
    <row r="158" spans="2:8" x14ac:dyDescent="0.15">
      <c r="B158" s="256" t="s">
        <v>1232</v>
      </c>
      <c r="C158" s="4" t="s">
        <v>6085</v>
      </c>
      <c r="D158" s="4" t="s">
        <v>101</v>
      </c>
    </row>
    <row r="159" spans="2:8" x14ac:dyDescent="0.15">
      <c r="B159" s="118" t="s">
        <v>1096</v>
      </c>
      <c r="C159" s="257">
        <v>273</v>
      </c>
      <c r="D159" s="478">
        <v>0.88636363636363635</v>
      </c>
    </row>
    <row r="160" spans="2:8" x14ac:dyDescent="0.15">
      <c r="B160" s="118" t="s">
        <v>475</v>
      </c>
      <c r="C160" s="257">
        <v>11</v>
      </c>
      <c r="D160" s="478">
        <v>3.5714285714285712E-2</v>
      </c>
    </row>
    <row r="161" spans="2:13" x14ac:dyDescent="0.15">
      <c r="B161" s="118" t="s">
        <v>461</v>
      </c>
      <c r="C161" s="257">
        <v>7</v>
      </c>
      <c r="D161" s="478">
        <v>2.2727272727272728E-2</v>
      </c>
    </row>
    <row r="162" spans="2:13" x14ac:dyDescent="0.15">
      <c r="B162" s="118" t="s">
        <v>488</v>
      </c>
      <c r="C162" s="257">
        <v>5</v>
      </c>
      <c r="D162" s="478">
        <v>1.6233766233766232E-2</v>
      </c>
      <c r="E162" s="256"/>
      <c r="F162" s="256" t="s">
        <v>6457</v>
      </c>
      <c r="G162" s="4" t="s">
        <v>6085</v>
      </c>
      <c r="H162" s="4" t="s">
        <v>101</v>
      </c>
    </row>
    <row r="163" spans="2:13" x14ac:dyDescent="0.15">
      <c r="B163" s="118" t="s">
        <v>6372</v>
      </c>
      <c r="C163" s="257">
        <v>2</v>
      </c>
      <c r="D163" s="478">
        <v>6.4935064935064939E-3</v>
      </c>
      <c r="F163" s="118" t="s">
        <v>6302</v>
      </c>
      <c r="G163" s="257">
        <v>170</v>
      </c>
      <c r="H163" s="478">
        <v>0.55194805194805197</v>
      </c>
    </row>
    <row r="164" spans="2:13" x14ac:dyDescent="0.15">
      <c r="B164" s="118" t="s">
        <v>491</v>
      </c>
      <c r="C164" s="257">
        <v>2</v>
      </c>
      <c r="D164" s="478">
        <v>6.4935064935064939E-3</v>
      </c>
      <c r="F164" s="118" t="s">
        <v>6300</v>
      </c>
      <c r="G164" s="257">
        <v>109</v>
      </c>
      <c r="H164" s="478">
        <v>0.35389610389610388</v>
      </c>
    </row>
    <row r="165" spans="2:13" x14ac:dyDescent="0.15">
      <c r="B165" s="118" t="s">
        <v>536</v>
      </c>
      <c r="C165" s="257">
        <v>1</v>
      </c>
      <c r="D165" s="478">
        <v>3.246753246753247E-3</v>
      </c>
      <c r="F165" s="118" t="s">
        <v>433</v>
      </c>
      <c r="G165" s="257">
        <v>19</v>
      </c>
      <c r="H165" s="478">
        <v>6.1688311688311688E-2</v>
      </c>
    </row>
    <row r="166" spans="2:13" x14ac:dyDescent="0.15">
      <c r="B166" s="118" t="s">
        <v>459</v>
      </c>
      <c r="C166" s="257">
        <v>1</v>
      </c>
      <c r="D166" s="478">
        <v>3.246753246753247E-3</v>
      </c>
      <c r="F166" s="118" t="s">
        <v>6301</v>
      </c>
      <c r="G166" s="257">
        <v>5</v>
      </c>
      <c r="H166" s="478">
        <v>1.6233766233766232E-2</v>
      </c>
    </row>
    <row r="167" spans="2:13" x14ac:dyDescent="0.15">
      <c r="B167" s="118" t="s">
        <v>487</v>
      </c>
      <c r="C167" s="257">
        <v>1</v>
      </c>
      <c r="D167" s="478">
        <v>3.246753246753247E-3</v>
      </c>
      <c r="F167" s="118" t="s">
        <v>6299</v>
      </c>
      <c r="G167" s="257">
        <v>4</v>
      </c>
      <c r="H167" s="478">
        <v>1.2987012987012988E-2</v>
      </c>
    </row>
    <row r="168" spans="2:13" x14ac:dyDescent="0.15">
      <c r="B168" s="118" t="s">
        <v>542</v>
      </c>
      <c r="C168" s="257">
        <v>1</v>
      </c>
      <c r="D168" s="478">
        <v>3.246753246753247E-3</v>
      </c>
      <c r="F168" s="118" t="s">
        <v>468</v>
      </c>
      <c r="G168" s="257">
        <v>1</v>
      </c>
      <c r="H168" s="478">
        <v>3.246753246753247E-3</v>
      </c>
    </row>
    <row r="169" spans="2:13" x14ac:dyDescent="0.15">
      <c r="B169" s="118" t="s">
        <v>455</v>
      </c>
      <c r="C169" s="257">
        <v>1</v>
      </c>
      <c r="D169" s="478">
        <v>3.246753246753247E-3</v>
      </c>
      <c r="F169" s="4" t="s">
        <v>100</v>
      </c>
      <c r="G169" s="257">
        <v>308</v>
      </c>
      <c r="H169" s="478">
        <v>1</v>
      </c>
    </row>
    <row r="170" spans="2:13" x14ac:dyDescent="0.15">
      <c r="B170" s="118" t="s">
        <v>6368</v>
      </c>
      <c r="C170" s="257">
        <v>1</v>
      </c>
      <c r="D170" s="478">
        <v>3.246753246753247E-3</v>
      </c>
    </row>
    <row r="171" spans="2:13" x14ac:dyDescent="0.15">
      <c r="B171" s="118" t="s">
        <v>427</v>
      </c>
      <c r="C171" s="257">
        <v>1</v>
      </c>
      <c r="D171" s="478">
        <v>3.246753246753247E-3</v>
      </c>
    </row>
    <row r="172" spans="2:13" x14ac:dyDescent="0.15">
      <c r="B172" s="118" t="s">
        <v>460</v>
      </c>
      <c r="C172" s="257">
        <v>1</v>
      </c>
      <c r="D172" s="478">
        <v>3.246753246753247E-3</v>
      </c>
      <c r="F172" s="256" t="s">
        <v>6458</v>
      </c>
      <c r="G172" s="4" t="s">
        <v>6085</v>
      </c>
      <c r="H172" s="4" t="s">
        <v>101</v>
      </c>
      <c r="K172" s="256" t="s">
        <v>6459</v>
      </c>
      <c r="L172" s="4" t="s">
        <v>6085</v>
      </c>
      <c r="M172" s="4" t="s">
        <v>101</v>
      </c>
    </row>
    <row r="173" spans="2:13" x14ac:dyDescent="0.15">
      <c r="B173" s="4" t="s">
        <v>100</v>
      </c>
      <c r="C173" s="257">
        <v>308</v>
      </c>
      <c r="D173" s="478">
        <v>1</v>
      </c>
      <c r="F173" s="118">
        <v>0</v>
      </c>
      <c r="G173" s="257">
        <v>57</v>
      </c>
      <c r="H173" s="478">
        <v>0.18506493506493507</v>
      </c>
      <c r="K173" s="118" t="s">
        <v>6427</v>
      </c>
      <c r="L173" s="257">
        <v>207</v>
      </c>
      <c r="M173" s="478">
        <v>0.67207792207792205</v>
      </c>
    </row>
    <row r="174" spans="2:13" x14ac:dyDescent="0.15">
      <c r="F174" s="118">
        <v>5</v>
      </c>
      <c r="G174" s="257">
        <v>2</v>
      </c>
      <c r="H174" s="478">
        <v>6.4935064935064939E-3</v>
      </c>
      <c r="K174" s="118" t="s">
        <v>6416</v>
      </c>
      <c r="L174" s="257">
        <v>17</v>
      </c>
      <c r="M174" s="478">
        <v>5.5194805194805192E-2</v>
      </c>
    </row>
    <row r="175" spans="2:13" x14ac:dyDescent="0.15">
      <c r="F175" s="118">
        <v>10</v>
      </c>
      <c r="G175" s="257">
        <v>3</v>
      </c>
      <c r="H175" s="478">
        <v>9.74025974025974E-3</v>
      </c>
      <c r="K175" s="118" t="s">
        <v>6417</v>
      </c>
      <c r="L175" s="257">
        <v>17</v>
      </c>
      <c r="M175" s="478">
        <v>5.5194805194805192E-2</v>
      </c>
    </row>
    <row r="176" spans="2:13" x14ac:dyDescent="0.15">
      <c r="F176" s="118">
        <v>15</v>
      </c>
      <c r="G176" s="257">
        <v>3</v>
      </c>
      <c r="H176" s="478">
        <v>9.74025974025974E-3</v>
      </c>
      <c r="K176" s="118" t="s">
        <v>6418</v>
      </c>
      <c r="L176" s="257">
        <v>16</v>
      </c>
      <c r="M176" s="478">
        <v>5.1948051948051951E-2</v>
      </c>
    </row>
    <row r="177" spans="6:13" x14ac:dyDescent="0.15">
      <c r="F177" s="118">
        <v>25</v>
      </c>
      <c r="G177" s="257">
        <v>42</v>
      </c>
      <c r="H177" s="478">
        <v>0.13636363636363635</v>
      </c>
      <c r="K177" s="118" t="s">
        <v>6419</v>
      </c>
      <c r="L177" s="257">
        <v>10</v>
      </c>
      <c r="M177" s="478">
        <v>3.2467532467532464E-2</v>
      </c>
    </row>
    <row r="178" spans="6:13" x14ac:dyDescent="0.15">
      <c r="F178" s="118">
        <v>30</v>
      </c>
      <c r="G178" s="257">
        <v>4</v>
      </c>
      <c r="H178" s="478">
        <v>1.2987012987012988E-2</v>
      </c>
      <c r="K178" s="118" t="s">
        <v>6420</v>
      </c>
      <c r="L178" s="257">
        <v>34</v>
      </c>
      <c r="M178" s="478">
        <v>0.11038961038961038</v>
      </c>
    </row>
    <row r="179" spans="6:13" x14ac:dyDescent="0.15">
      <c r="F179" s="118">
        <v>35</v>
      </c>
      <c r="G179" s="257">
        <v>174</v>
      </c>
      <c r="H179" s="478">
        <v>0.56493506493506496</v>
      </c>
      <c r="K179" s="118" t="s">
        <v>6421</v>
      </c>
      <c r="L179" s="257">
        <v>4</v>
      </c>
      <c r="M179" s="478">
        <v>1.2987012987012988E-2</v>
      </c>
    </row>
    <row r="180" spans="6:13" x14ac:dyDescent="0.15">
      <c r="F180" s="118">
        <v>40</v>
      </c>
      <c r="G180" s="257">
        <v>15</v>
      </c>
      <c r="H180" s="478">
        <v>4.8701298701298704E-2</v>
      </c>
      <c r="K180" s="118" t="s">
        <v>6422</v>
      </c>
      <c r="L180" s="257">
        <v>1</v>
      </c>
      <c r="M180" s="478">
        <v>3.246753246753247E-3</v>
      </c>
    </row>
    <row r="181" spans="6:13" x14ac:dyDescent="0.15">
      <c r="F181" s="118">
        <v>45</v>
      </c>
      <c r="G181" s="257">
        <v>8</v>
      </c>
      <c r="H181" s="478">
        <v>2.5974025974025976E-2</v>
      </c>
      <c r="K181" s="118" t="s">
        <v>6423</v>
      </c>
      <c r="L181" s="257">
        <v>1</v>
      </c>
      <c r="M181" s="478">
        <v>3.246753246753247E-3</v>
      </c>
    </row>
    <row r="182" spans="6:13" x14ac:dyDescent="0.15">
      <c r="F182" s="4" t="s">
        <v>100</v>
      </c>
      <c r="G182" s="257">
        <v>308</v>
      </c>
      <c r="H182" s="478">
        <v>1</v>
      </c>
      <c r="K182" s="118" t="s">
        <v>6740</v>
      </c>
      <c r="L182" s="257">
        <v>1</v>
      </c>
      <c r="M182" s="478">
        <v>3.246753246753247E-3</v>
      </c>
    </row>
    <row r="183" spans="6:13" x14ac:dyDescent="0.15">
      <c r="K183" s="4" t="s">
        <v>100</v>
      </c>
      <c r="L183" s="257">
        <v>308</v>
      </c>
      <c r="M183" s="478">
        <v>1</v>
      </c>
    </row>
    <row r="193" spans="2:13" x14ac:dyDescent="0.15">
      <c r="B193" s="256" t="s">
        <v>6460</v>
      </c>
      <c r="C193" s="4" t="s">
        <v>6085</v>
      </c>
      <c r="D193" s="4" t="s">
        <v>101</v>
      </c>
      <c r="E193" s="256"/>
      <c r="F193" s="256" t="s">
        <v>6461</v>
      </c>
      <c r="G193" s="4" t="s">
        <v>6085</v>
      </c>
      <c r="H193" s="4" t="s">
        <v>101</v>
      </c>
    </row>
    <row r="194" spans="2:13" x14ac:dyDescent="0.15">
      <c r="B194" s="118" t="s">
        <v>411</v>
      </c>
      <c r="C194" s="257">
        <v>64</v>
      </c>
      <c r="D194" s="478">
        <v>0.20779220779220781</v>
      </c>
      <c r="F194" s="118" t="s">
        <v>410</v>
      </c>
      <c r="G194" s="257">
        <v>66</v>
      </c>
      <c r="H194" s="478">
        <v>0.21428571428571427</v>
      </c>
    </row>
    <row r="195" spans="2:13" x14ac:dyDescent="0.15">
      <c r="B195" s="118" t="s">
        <v>410</v>
      </c>
      <c r="C195" s="257">
        <v>56</v>
      </c>
      <c r="D195" s="478">
        <v>0.18181818181818182</v>
      </c>
      <c r="F195" s="118" t="s">
        <v>411</v>
      </c>
      <c r="G195" s="257">
        <v>63</v>
      </c>
      <c r="H195" s="478">
        <v>0.20454545454545456</v>
      </c>
      <c r="I195" s="256"/>
      <c r="J195" s="256"/>
      <c r="K195" s="256"/>
      <c r="L195" s="256"/>
      <c r="M195" s="256"/>
    </row>
    <row r="196" spans="2:13" x14ac:dyDescent="0.15">
      <c r="B196" s="118" t="s">
        <v>406</v>
      </c>
      <c r="C196" s="257">
        <v>54</v>
      </c>
      <c r="D196" s="478">
        <v>0.17532467532467533</v>
      </c>
      <c r="F196" s="118" t="s">
        <v>406</v>
      </c>
      <c r="G196" s="257">
        <v>46</v>
      </c>
      <c r="H196" s="478">
        <v>0.14935064935064934</v>
      </c>
    </row>
    <row r="197" spans="2:13" x14ac:dyDescent="0.15">
      <c r="B197" s="118" t="s">
        <v>405</v>
      </c>
      <c r="C197" s="257">
        <v>48</v>
      </c>
      <c r="D197" s="478">
        <v>0.15584415584415584</v>
      </c>
      <c r="F197" s="118" t="s">
        <v>405</v>
      </c>
      <c r="G197" s="257">
        <v>45</v>
      </c>
      <c r="H197" s="478">
        <v>0.1461038961038961</v>
      </c>
    </row>
    <row r="198" spans="2:13" x14ac:dyDescent="0.15">
      <c r="B198" s="118" t="s">
        <v>396</v>
      </c>
      <c r="C198" s="257">
        <v>25</v>
      </c>
      <c r="D198" s="478">
        <v>8.1168831168831168E-2</v>
      </c>
      <c r="F198" s="118" t="s">
        <v>397</v>
      </c>
      <c r="G198" s="257">
        <v>22</v>
      </c>
      <c r="H198" s="478">
        <v>7.1428571428571425E-2</v>
      </c>
    </row>
    <row r="199" spans="2:13" x14ac:dyDescent="0.15">
      <c r="B199" s="118" t="s">
        <v>397</v>
      </c>
      <c r="C199" s="257">
        <v>24</v>
      </c>
      <c r="D199" s="478">
        <v>7.792207792207792E-2</v>
      </c>
      <c r="F199" s="118" t="s">
        <v>445</v>
      </c>
      <c r="G199" s="257">
        <v>21</v>
      </c>
      <c r="H199" s="478">
        <v>6.8181818181818177E-2</v>
      </c>
    </row>
    <row r="200" spans="2:13" x14ac:dyDescent="0.15">
      <c r="B200" s="118" t="s">
        <v>446</v>
      </c>
      <c r="C200" s="257">
        <v>17</v>
      </c>
      <c r="D200" s="478">
        <v>5.5194805194805192E-2</v>
      </c>
      <c r="F200" s="118" t="s">
        <v>396</v>
      </c>
      <c r="G200" s="257">
        <v>18</v>
      </c>
      <c r="H200" s="478">
        <v>5.844155844155844E-2</v>
      </c>
    </row>
    <row r="201" spans="2:13" x14ac:dyDescent="0.15">
      <c r="B201" s="118" t="s">
        <v>445</v>
      </c>
      <c r="C201" s="257">
        <v>11</v>
      </c>
      <c r="D201" s="478">
        <v>3.5714285714285712E-2</v>
      </c>
      <c r="F201" s="118" t="s">
        <v>446</v>
      </c>
      <c r="G201" s="257">
        <v>18</v>
      </c>
      <c r="H201" s="478">
        <v>5.844155844155844E-2</v>
      </c>
    </row>
    <row r="202" spans="2:13" x14ac:dyDescent="0.15">
      <c r="B202" s="118" t="s">
        <v>401</v>
      </c>
      <c r="C202" s="257">
        <v>9</v>
      </c>
      <c r="D202" s="478">
        <v>2.922077922077922E-2</v>
      </c>
      <c r="F202" s="118" t="s">
        <v>401</v>
      </c>
      <c r="G202" s="257">
        <v>9</v>
      </c>
      <c r="H202" s="478">
        <v>2.922077922077922E-2</v>
      </c>
    </row>
    <row r="203" spans="2:13" x14ac:dyDescent="0.15">
      <c r="B203" s="4" t="s">
        <v>100</v>
      </c>
      <c r="C203" s="257">
        <v>308</v>
      </c>
      <c r="D203" s="478">
        <v>1</v>
      </c>
      <c r="F203" s="4" t="s">
        <v>100</v>
      </c>
      <c r="G203" s="257">
        <v>308</v>
      </c>
      <c r="H203" s="478">
        <v>1</v>
      </c>
    </row>
    <row r="204" spans="2:13" x14ac:dyDescent="0.15">
      <c r="B204" s="4"/>
      <c r="C204" s="257"/>
      <c r="D204" s="478"/>
      <c r="F204" s="4"/>
      <c r="G204" s="257"/>
      <c r="H204" s="478"/>
    </row>
    <row r="205" spans="2:13" ht="18" x14ac:dyDescent="0.2">
      <c r="B205" s="479" t="s">
        <v>6466</v>
      </c>
      <c r="C205" s="257"/>
      <c r="D205" s="478"/>
      <c r="F205" s="4"/>
      <c r="G205" s="257"/>
      <c r="H205" s="478"/>
    </row>
    <row r="206" spans="2:13" x14ac:dyDescent="0.15">
      <c r="B206" s="4"/>
      <c r="C206" s="257"/>
      <c r="D206" s="478"/>
      <c r="F206" s="4"/>
      <c r="G206" s="257"/>
      <c r="H206" s="478"/>
    </row>
    <row r="207" spans="2:13" x14ac:dyDescent="0.15">
      <c r="B207" s="256" t="s">
        <v>6462</v>
      </c>
      <c r="C207" s="4" t="s">
        <v>6085</v>
      </c>
      <c r="D207" s="4" t="s">
        <v>101</v>
      </c>
      <c r="E207" s="256"/>
      <c r="F207" s="256" t="s">
        <v>6463</v>
      </c>
      <c r="G207" s="4" t="s">
        <v>6085</v>
      </c>
      <c r="H207" s="4" t="s">
        <v>101</v>
      </c>
    </row>
    <row r="208" spans="2:13" x14ac:dyDescent="0.15">
      <c r="B208" s="118" t="s">
        <v>6303</v>
      </c>
      <c r="C208" s="257">
        <v>165</v>
      </c>
      <c r="D208" s="478">
        <v>0.5357142857142857</v>
      </c>
      <c r="F208" s="118" t="s">
        <v>398</v>
      </c>
      <c r="G208" s="257">
        <v>277</v>
      </c>
      <c r="H208" s="478">
        <v>0.89935064935064934</v>
      </c>
    </row>
    <row r="209" spans="2:8" x14ac:dyDescent="0.15">
      <c r="B209" s="118" t="s">
        <v>417</v>
      </c>
      <c r="C209" s="257">
        <v>76</v>
      </c>
      <c r="D209" s="478">
        <v>0.24675324675324675</v>
      </c>
      <c r="F209" s="118" t="s">
        <v>6151</v>
      </c>
      <c r="G209" s="257">
        <v>24</v>
      </c>
      <c r="H209" s="478">
        <v>7.792207792207792E-2</v>
      </c>
    </row>
    <row r="210" spans="2:8" x14ac:dyDescent="0.15">
      <c r="B210" s="118" t="s">
        <v>6305</v>
      </c>
      <c r="C210" s="257">
        <v>40</v>
      </c>
      <c r="D210" s="478">
        <v>0.12987012987012986</v>
      </c>
      <c r="F210" s="118" t="s">
        <v>520</v>
      </c>
      <c r="G210" s="257">
        <v>3</v>
      </c>
      <c r="H210" s="478">
        <v>9.74025974025974E-3</v>
      </c>
    </row>
    <row r="211" spans="2:8" x14ac:dyDescent="0.15">
      <c r="B211" s="118" t="s">
        <v>6304</v>
      </c>
      <c r="C211" s="257">
        <v>8</v>
      </c>
      <c r="D211" s="478">
        <v>2.5974025974025976E-2</v>
      </c>
      <c r="F211" s="118" t="s">
        <v>6375</v>
      </c>
      <c r="G211" s="257">
        <v>1</v>
      </c>
      <c r="H211" s="478">
        <v>3.246753246753247E-3</v>
      </c>
    </row>
    <row r="212" spans="2:8" x14ac:dyDescent="0.15">
      <c r="B212" s="118" t="s">
        <v>6323</v>
      </c>
      <c r="C212" s="257">
        <v>6</v>
      </c>
      <c r="D212" s="478">
        <v>1.948051948051948E-2</v>
      </c>
      <c r="F212" s="118" t="s">
        <v>6384</v>
      </c>
      <c r="G212" s="257">
        <v>1</v>
      </c>
      <c r="H212" s="478">
        <v>3.246753246753247E-3</v>
      </c>
    </row>
    <row r="213" spans="2:8" x14ac:dyDescent="0.15">
      <c r="B213" s="118" t="s">
        <v>6307</v>
      </c>
      <c r="C213" s="257">
        <v>3</v>
      </c>
      <c r="D213" s="478">
        <v>9.74025974025974E-3</v>
      </c>
      <c r="F213" s="118" t="s">
        <v>521</v>
      </c>
      <c r="G213" s="257">
        <v>1</v>
      </c>
      <c r="H213" s="478">
        <v>3.246753246753247E-3</v>
      </c>
    </row>
    <row r="214" spans="2:8" x14ac:dyDescent="0.15">
      <c r="B214" s="118" t="s">
        <v>6315</v>
      </c>
      <c r="C214" s="257">
        <v>3</v>
      </c>
      <c r="D214" s="478">
        <v>9.74025974025974E-3</v>
      </c>
      <c r="F214" s="118" t="s">
        <v>428</v>
      </c>
      <c r="G214" s="257">
        <v>1</v>
      </c>
      <c r="H214" s="478">
        <v>3.246753246753247E-3</v>
      </c>
    </row>
    <row r="215" spans="2:8" x14ac:dyDescent="0.15">
      <c r="B215" s="118" t="s">
        <v>6306</v>
      </c>
      <c r="C215" s="257">
        <v>2</v>
      </c>
      <c r="D215" s="478">
        <v>6.4935064935064939E-3</v>
      </c>
      <c r="F215" s="4" t="s">
        <v>100</v>
      </c>
      <c r="G215" s="257">
        <v>308</v>
      </c>
      <c r="H215" s="478">
        <v>1</v>
      </c>
    </row>
    <row r="216" spans="2:8" x14ac:dyDescent="0.15">
      <c r="B216" s="118" t="s">
        <v>6322</v>
      </c>
      <c r="C216" s="257">
        <v>1</v>
      </c>
      <c r="D216" s="478">
        <v>3.246753246753247E-3</v>
      </c>
    </row>
    <row r="217" spans="2:8" x14ac:dyDescent="0.15">
      <c r="B217" s="118" t="s">
        <v>472</v>
      </c>
      <c r="C217" s="257">
        <v>1</v>
      </c>
      <c r="D217" s="478">
        <v>3.246753246753247E-3</v>
      </c>
    </row>
    <row r="218" spans="2:8" x14ac:dyDescent="0.15">
      <c r="B218" s="118" t="s">
        <v>464</v>
      </c>
      <c r="C218" s="257">
        <v>1</v>
      </c>
      <c r="D218" s="478">
        <v>3.246753246753247E-3</v>
      </c>
    </row>
    <row r="219" spans="2:8" x14ac:dyDescent="0.15">
      <c r="B219" s="118" t="s">
        <v>6317</v>
      </c>
      <c r="C219" s="257">
        <v>1</v>
      </c>
      <c r="D219" s="478">
        <v>3.246753246753247E-3</v>
      </c>
    </row>
    <row r="220" spans="2:8" x14ac:dyDescent="0.15">
      <c r="B220" s="118" t="s">
        <v>6308</v>
      </c>
      <c r="C220" s="257">
        <v>1</v>
      </c>
      <c r="D220" s="478">
        <v>3.246753246753247E-3</v>
      </c>
    </row>
    <row r="221" spans="2:8" x14ac:dyDescent="0.15">
      <c r="B221" s="4" t="s">
        <v>100</v>
      </c>
      <c r="C221" s="257">
        <v>308</v>
      </c>
      <c r="D221" s="478">
        <v>1</v>
      </c>
    </row>
    <row r="232" spans="2:8" ht="18" x14ac:dyDescent="0.2">
      <c r="B232" s="479" t="s">
        <v>6467</v>
      </c>
    </row>
    <row r="234" spans="2:8" x14ac:dyDescent="0.15">
      <c r="B234" s="256" t="s">
        <v>6465</v>
      </c>
      <c r="C234" s="4" t="s">
        <v>6085</v>
      </c>
      <c r="D234" s="4" t="s">
        <v>101</v>
      </c>
      <c r="E234" s="256"/>
      <c r="F234" s="256" t="s">
        <v>6464</v>
      </c>
      <c r="G234" s="4" t="s">
        <v>6085</v>
      </c>
      <c r="H234" s="4" t="s">
        <v>101</v>
      </c>
    </row>
    <row r="235" spans="2:8" x14ac:dyDescent="0.15">
      <c r="B235" s="118" t="s">
        <v>399</v>
      </c>
      <c r="C235" s="257">
        <v>182</v>
      </c>
      <c r="D235" s="478">
        <v>0.59090909090909094</v>
      </c>
      <c r="F235" s="118" t="s">
        <v>398</v>
      </c>
      <c r="G235" s="257">
        <v>258</v>
      </c>
      <c r="H235" s="478">
        <v>0.83766233766233766</v>
      </c>
    </row>
    <row r="236" spans="2:8" x14ac:dyDescent="0.15">
      <c r="B236" s="118" t="s">
        <v>6355</v>
      </c>
      <c r="C236" s="257">
        <v>47</v>
      </c>
      <c r="D236" s="478">
        <v>0.15259740259740259</v>
      </c>
      <c r="F236" s="118"/>
      <c r="G236" s="257">
        <v>31</v>
      </c>
      <c r="H236" s="478">
        <v>0.10064935064935066</v>
      </c>
    </row>
    <row r="237" spans="2:8" x14ac:dyDescent="0.15">
      <c r="B237" s="118"/>
      <c r="C237" s="257">
        <v>31</v>
      </c>
      <c r="D237" s="478">
        <v>0.10064935064935066</v>
      </c>
      <c r="F237" s="118" t="s">
        <v>407</v>
      </c>
      <c r="G237" s="257">
        <v>7</v>
      </c>
      <c r="H237" s="478">
        <v>2.2727272727272728E-2</v>
      </c>
    </row>
    <row r="238" spans="2:8" x14ac:dyDescent="0.15">
      <c r="B238" s="118" t="s">
        <v>429</v>
      </c>
      <c r="C238" s="257">
        <v>20</v>
      </c>
      <c r="D238" s="478">
        <v>6.4935064935064929E-2</v>
      </c>
      <c r="F238" s="118" t="s">
        <v>6338</v>
      </c>
      <c r="G238" s="257">
        <v>6</v>
      </c>
      <c r="H238" s="478">
        <v>1.948051948051948E-2</v>
      </c>
    </row>
    <row r="239" spans="2:8" x14ac:dyDescent="0.15">
      <c r="B239" s="118" t="s">
        <v>436</v>
      </c>
      <c r="C239" s="257">
        <v>12</v>
      </c>
      <c r="D239" s="478">
        <v>3.896103896103896E-2</v>
      </c>
      <c r="F239" s="118" t="s">
        <v>6327</v>
      </c>
      <c r="G239" s="257">
        <v>2</v>
      </c>
      <c r="H239" s="478">
        <v>6.4935064935064939E-3</v>
      </c>
    </row>
    <row r="240" spans="2:8" x14ac:dyDescent="0.15">
      <c r="B240" s="118" t="s">
        <v>6356</v>
      </c>
      <c r="C240" s="257">
        <v>3</v>
      </c>
      <c r="D240" s="478">
        <v>9.74025974025974E-3</v>
      </c>
      <c r="F240" s="118" t="s">
        <v>6512</v>
      </c>
      <c r="G240" s="257">
        <v>1</v>
      </c>
      <c r="H240" s="478">
        <v>3.246753246753247E-3</v>
      </c>
    </row>
    <row r="241" spans="2:8" x14ac:dyDescent="0.15">
      <c r="B241" s="118" t="s">
        <v>435</v>
      </c>
      <c r="C241" s="257">
        <v>3</v>
      </c>
      <c r="D241" s="478">
        <v>9.74025974025974E-3</v>
      </c>
      <c r="F241" s="118" t="s">
        <v>425</v>
      </c>
      <c r="G241" s="257">
        <v>1</v>
      </c>
      <c r="H241" s="478">
        <v>3.246753246753247E-3</v>
      </c>
    </row>
    <row r="242" spans="2:8" x14ac:dyDescent="0.15">
      <c r="B242" s="118" t="s">
        <v>6357</v>
      </c>
      <c r="C242" s="257">
        <v>2</v>
      </c>
      <c r="D242" s="478">
        <v>6.4935064935064939E-3</v>
      </c>
      <c r="F242" s="118" t="s">
        <v>6330</v>
      </c>
      <c r="G242" s="257">
        <v>1</v>
      </c>
      <c r="H242" s="478">
        <v>3.246753246753247E-3</v>
      </c>
    </row>
    <row r="243" spans="2:8" x14ac:dyDescent="0.15">
      <c r="B243" s="118" t="s">
        <v>6151</v>
      </c>
      <c r="C243" s="257">
        <v>2</v>
      </c>
      <c r="D243" s="478">
        <v>6.4935064935064939E-3</v>
      </c>
      <c r="F243" s="118" t="s">
        <v>451</v>
      </c>
      <c r="G243" s="257">
        <v>1</v>
      </c>
      <c r="H243" s="478">
        <v>3.246753246753247E-3</v>
      </c>
    </row>
    <row r="244" spans="2:8" x14ac:dyDescent="0.15">
      <c r="B244" s="118" t="s">
        <v>212</v>
      </c>
      <c r="C244" s="257">
        <v>1</v>
      </c>
      <c r="D244" s="478">
        <v>3.246753246753247E-3</v>
      </c>
      <c r="F244" s="4" t="s">
        <v>100</v>
      </c>
      <c r="G244" s="257">
        <v>308</v>
      </c>
      <c r="H244" s="478">
        <v>1</v>
      </c>
    </row>
    <row r="245" spans="2:8" x14ac:dyDescent="0.15">
      <c r="B245" s="118" t="s">
        <v>463</v>
      </c>
      <c r="C245" s="257">
        <v>1</v>
      </c>
      <c r="D245" s="478">
        <v>3.246753246753247E-3</v>
      </c>
    </row>
    <row r="246" spans="2:8" x14ac:dyDescent="0.15">
      <c r="B246" s="118" t="s">
        <v>6358</v>
      </c>
      <c r="C246" s="257">
        <v>1</v>
      </c>
      <c r="D246" s="478">
        <v>3.246753246753247E-3</v>
      </c>
    </row>
    <row r="247" spans="2:8" x14ac:dyDescent="0.15">
      <c r="B247" s="118" t="s">
        <v>465</v>
      </c>
      <c r="C247" s="257">
        <v>1</v>
      </c>
      <c r="D247" s="478">
        <v>3.246753246753247E-3</v>
      </c>
    </row>
    <row r="248" spans="2:8" x14ac:dyDescent="0.15">
      <c r="B248" s="118" t="s">
        <v>439</v>
      </c>
      <c r="C248" s="257">
        <v>1</v>
      </c>
      <c r="D248" s="478">
        <v>3.246753246753247E-3</v>
      </c>
    </row>
    <row r="249" spans="2:8" x14ac:dyDescent="0.15">
      <c r="B249" s="118" t="s">
        <v>444</v>
      </c>
      <c r="C249" s="257">
        <v>1</v>
      </c>
      <c r="D249" s="478">
        <v>3.246753246753247E-3</v>
      </c>
    </row>
    <row r="250" spans="2:8" x14ac:dyDescent="0.15">
      <c r="B250" s="4" t="s">
        <v>100</v>
      </c>
      <c r="C250" s="257">
        <v>308</v>
      </c>
      <c r="D250" s="478">
        <v>1</v>
      </c>
    </row>
    <row r="263" spans="2:8" x14ac:dyDescent="0.15">
      <c r="B263" s="256" t="s">
        <v>6469</v>
      </c>
      <c r="C263" s="4" t="s">
        <v>6085</v>
      </c>
      <c r="D263" s="4" t="s">
        <v>101</v>
      </c>
      <c r="E263" s="256"/>
      <c r="F263" s="256" t="s">
        <v>6468</v>
      </c>
      <c r="G263" s="4" t="s">
        <v>6085</v>
      </c>
      <c r="H263" s="4" t="s">
        <v>101</v>
      </c>
    </row>
    <row r="264" spans="2:8" x14ac:dyDescent="0.15">
      <c r="B264" s="118"/>
      <c r="C264" s="257">
        <v>31</v>
      </c>
      <c r="D264" s="478">
        <v>0.10064935064935066</v>
      </c>
      <c r="F264" s="118"/>
      <c r="G264" s="257">
        <v>31</v>
      </c>
      <c r="H264" s="478">
        <v>0.10064935064935066</v>
      </c>
    </row>
    <row r="265" spans="2:8" x14ac:dyDescent="0.15">
      <c r="B265" s="118" t="s">
        <v>406</v>
      </c>
      <c r="C265" s="257">
        <v>48</v>
      </c>
      <c r="D265" s="478">
        <v>0.15584415584415584</v>
      </c>
      <c r="F265" s="118" t="s">
        <v>406</v>
      </c>
      <c r="G265" s="257">
        <v>43</v>
      </c>
      <c r="H265" s="478">
        <v>0.1396103896103896</v>
      </c>
    </row>
    <row r="266" spans="2:8" x14ac:dyDescent="0.15">
      <c r="B266" s="118" t="s">
        <v>410</v>
      </c>
      <c r="C266" s="257">
        <v>55</v>
      </c>
      <c r="D266" s="478">
        <v>0.17857142857142858</v>
      </c>
      <c r="F266" s="118" t="s">
        <v>410</v>
      </c>
      <c r="G266" s="257">
        <v>48</v>
      </c>
      <c r="H266" s="478">
        <v>0.15584415584415584</v>
      </c>
    </row>
    <row r="267" spans="2:8" x14ac:dyDescent="0.15">
      <c r="B267" s="118" t="s">
        <v>397</v>
      </c>
      <c r="C267" s="257">
        <v>23</v>
      </c>
      <c r="D267" s="478">
        <v>7.4675324675324672E-2</v>
      </c>
      <c r="F267" s="118" t="s">
        <v>397</v>
      </c>
      <c r="G267" s="257">
        <v>25</v>
      </c>
      <c r="H267" s="478">
        <v>8.1168831168831168E-2</v>
      </c>
    </row>
    <row r="268" spans="2:8" x14ac:dyDescent="0.15">
      <c r="B268" s="118" t="s">
        <v>445</v>
      </c>
      <c r="C268" s="257">
        <v>13</v>
      </c>
      <c r="D268" s="478">
        <v>4.2207792207792208E-2</v>
      </c>
      <c r="F268" s="118" t="s">
        <v>445</v>
      </c>
      <c r="G268" s="257">
        <v>13</v>
      </c>
      <c r="H268" s="478">
        <v>4.2207792207792208E-2</v>
      </c>
    </row>
    <row r="269" spans="2:8" x14ac:dyDescent="0.15">
      <c r="B269" s="118" t="s">
        <v>411</v>
      </c>
      <c r="C269" s="257">
        <v>52</v>
      </c>
      <c r="D269" s="478">
        <v>0.16883116883116883</v>
      </c>
      <c r="F269" s="118" t="s">
        <v>411</v>
      </c>
      <c r="G269" s="257">
        <v>54</v>
      </c>
      <c r="H269" s="478">
        <v>0.17532467532467533</v>
      </c>
    </row>
    <row r="270" spans="2:8" x14ac:dyDescent="0.15">
      <c r="B270" s="118" t="s">
        <v>446</v>
      </c>
      <c r="C270" s="257">
        <v>9</v>
      </c>
      <c r="D270" s="478">
        <v>2.922077922077922E-2</v>
      </c>
      <c r="F270" s="118" t="s">
        <v>446</v>
      </c>
      <c r="G270" s="257">
        <v>13</v>
      </c>
      <c r="H270" s="478">
        <v>4.2207792207792208E-2</v>
      </c>
    </row>
    <row r="271" spans="2:8" x14ac:dyDescent="0.15">
      <c r="B271" s="118" t="s">
        <v>396</v>
      </c>
      <c r="C271" s="257">
        <v>25</v>
      </c>
      <c r="D271" s="478">
        <v>8.1168831168831168E-2</v>
      </c>
      <c r="F271" s="118" t="s">
        <v>396</v>
      </c>
      <c r="G271" s="257">
        <v>24</v>
      </c>
      <c r="H271" s="478">
        <v>7.792207792207792E-2</v>
      </c>
    </row>
    <row r="272" spans="2:8" x14ac:dyDescent="0.15">
      <c r="B272" s="118" t="s">
        <v>401</v>
      </c>
      <c r="C272" s="257">
        <v>8</v>
      </c>
      <c r="D272" s="478">
        <v>2.5974025974025976E-2</v>
      </c>
      <c r="F272" s="118" t="s">
        <v>401</v>
      </c>
      <c r="G272" s="257">
        <v>8</v>
      </c>
      <c r="H272" s="478">
        <v>2.5974025974025976E-2</v>
      </c>
    </row>
    <row r="273" spans="2:8" x14ac:dyDescent="0.15">
      <c r="B273" s="118" t="s">
        <v>405</v>
      </c>
      <c r="C273" s="257">
        <v>44</v>
      </c>
      <c r="D273" s="478">
        <v>0.14285714285714285</v>
      </c>
      <c r="F273" s="118" t="s">
        <v>405</v>
      </c>
      <c r="G273" s="257">
        <v>49</v>
      </c>
      <c r="H273" s="478">
        <v>0.15909090909090909</v>
      </c>
    </row>
    <row r="274" spans="2:8" x14ac:dyDescent="0.15">
      <c r="B274" s="4" t="s">
        <v>100</v>
      </c>
      <c r="C274" s="257">
        <v>308</v>
      </c>
      <c r="D274" s="478">
        <v>1</v>
      </c>
      <c r="F274" s="4" t="s">
        <v>100</v>
      </c>
      <c r="G274" s="257">
        <v>308</v>
      </c>
      <c r="H274" s="478">
        <v>1</v>
      </c>
    </row>
    <row r="277" spans="2:8" x14ac:dyDescent="0.15">
      <c r="B277" s="256" t="s">
        <v>6672</v>
      </c>
      <c r="C277" s="4" t="s">
        <v>6085</v>
      </c>
      <c r="D277" s="4" t="s">
        <v>101</v>
      </c>
      <c r="E277" s="256"/>
      <c r="F277" s="256" t="s">
        <v>6673</v>
      </c>
      <c r="G277" s="4" t="s">
        <v>6085</v>
      </c>
      <c r="H277" s="4" t="s">
        <v>101</v>
      </c>
    </row>
    <row r="278" spans="2:8" x14ac:dyDescent="0.15">
      <c r="B278" s="118" t="s">
        <v>6303</v>
      </c>
      <c r="C278" s="257">
        <v>153</v>
      </c>
      <c r="D278" s="478">
        <v>0.49675324675324678</v>
      </c>
      <c r="F278" s="118" t="s">
        <v>398</v>
      </c>
      <c r="G278" s="257">
        <v>261</v>
      </c>
      <c r="H278" s="478">
        <v>0.84740259740259738</v>
      </c>
    </row>
    <row r="279" spans="2:8" x14ac:dyDescent="0.15">
      <c r="B279" s="118" t="s">
        <v>417</v>
      </c>
      <c r="C279" s="257">
        <v>55</v>
      </c>
      <c r="D279" s="478">
        <v>0.17857142857142858</v>
      </c>
      <c r="F279" s="118"/>
      <c r="G279" s="257">
        <v>32</v>
      </c>
      <c r="H279" s="478">
        <v>0.1038961038961039</v>
      </c>
    </row>
    <row r="280" spans="2:8" x14ac:dyDescent="0.15">
      <c r="B280" s="118"/>
      <c r="C280" s="257">
        <v>31</v>
      </c>
      <c r="D280" s="478">
        <v>0.10064935064935066</v>
      </c>
      <c r="F280" s="118" t="s">
        <v>6151</v>
      </c>
      <c r="G280" s="257">
        <v>8</v>
      </c>
      <c r="H280" s="478">
        <v>2.5974025974025976E-2</v>
      </c>
    </row>
    <row r="281" spans="2:8" x14ac:dyDescent="0.15">
      <c r="B281" s="118" t="s">
        <v>6305</v>
      </c>
      <c r="C281" s="257">
        <v>26</v>
      </c>
      <c r="D281" s="478">
        <v>8.4415584415584416E-2</v>
      </c>
      <c r="F281" s="118" t="s">
        <v>443</v>
      </c>
      <c r="G281" s="257">
        <v>2</v>
      </c>
      <c r="H281" s="478">
        <v>6.4935064935064939E-3</v>
      </c>
    </row>
    <row r="282" spans="2:8" x14ac:dyDescent="0.15">
      <c r="B282" s="118" t="s">
        <v>6304</v>
      </c>
      <c r="C282" s="257">
        <v>9</v>
      </c>
      <c r="D282" s="478">
        <v>2.922077922077922E-2</v>
      </c>
      <c r="F282" s="118" t="s">
        <v>523</v>
      </c>
      <c r="G282" s="257">
        <v>1</v>
      </c>
      <c r="H282" s="478">
        <v>3.246753246753247E-3</v>
      </c>
    </row>
    <row r="283" spans="2:8" x14ac:dyDescent="0.15">
      <c r="B283" s="118" t="s">
        <v>6308</v>
      </c>
      <c r="C283" s="257">
        <v>6</v>
      </c>
      <c r="D283" s="478">
        <v>1.948051948051948E-2</v>
      </c>
      <c r="F283" s="118" t="s">
        <v>428</v>
      </c>
      <c r="G283" s="257">
        <v>1</v>
      </c>
      <c r="H283" s="478">
        <v>3.246753246753247E-3</v>
      </c>
    </row>
    <row r="284" spans="2:8" x14ac:dyDescent="0.15">
      <c r="B284" s="118" t="s">
        <v>6306</v>
      </c>
      <c r="C284" s="257">
        <v>6</v>
      </c>
      <c r="D284" s="478">
        <v>1.948051948051948E-2</v>
      </c>
      <c r="F284" s="118" t="s">
        <v>481</v>
      </c>
      <c r="G284" s="257">
        <v>1</v>
      </c>
      <c r="H284" s="478">
        <v>3.246753246753247E-3</v>
      </c>
    </row>
    <row r="285" spans="2:8" x14ac:dyDescent="0.15">
      <c r="B285" s="118" t="s">
        <v>6307</v>
      </c>
      <c r="C285" s="257">
        <v>5</v>
      </c>
      <c r="D285" s="478">
        <v>1.6233766233766232E-2</v>
      </c>
      <c r="F285" s="118" t="s">
        <v>521</v>
      </c>
      <c r="G285" s="257">
        <v>1</v>
      </c>
      <c r="H285" s="478">
        <v>3.246753246753247E-3</v>
      </c>
    </row>
    <row r="286" spans="2:8" x14ac:dyDescent="0.15">
      <c r="B286" s="118" t="s">
        <v>6322</v>
      </c>
      <c r="C286" s="257">
        <v>4</v>
      </c>
      <c r="D286" s="478">
        <v>1.2987012987012988E-2</v>
      </c>
      <c r="F286" s="118" t="s">
        <v>6376</v>
      </c>
      <c r="G286" s="257">
        <v>1</v>
      </c>
      <c r="H286" s="478">
        <v>3.246753246753247E-3</v>
      </c>
    </row>
    <row r="287" spans="2:8" x14ac:dyDescent="0.15">
      <c r="B287" s="118" t="s">
        <v>6314</v>
      </c>
      <c r="C287" s="257">
        <v>4</v>
      </c>
      <c r="D287" s="478">
        <v>1.2987012987012988E-2</v>
      </c>
      <c r="F287" s="4" t="s">
        <v>100</v>
      </c>
      <c r="G287" s="257">
        <v>308</v>
      </c>
      <c r="H287" s="478">
        <v>1</v>
      </c>
    </row>
    <row r="288" spans="2:8" x14ac:dyDescent="0.15">
      <c r="B288" s="118" t="s">
        <v>464</v>
      </c>
      <c r="C288" s="257">
        <v>3</v>
      </c>
      <c r="D288" s="478">
        <v>9.74025974025974E-3</v>
      </c>
    </row>
    <row r="289" spans="2:4" x14ac:dyDescent="0.15">
      <c r="B289" s="118" t="s">
        <v>6315</v>
      </c>
      <c r="C289" s="257">
        <v>3</v>
      </c>
      <c r="D289" s="478">
        <v>9.74025974025974E-3</v>
      </c>
    </row>
    <row r="290" spans="2:4" x14ac:dyDescent="0.15">
      <c r="B290" s="118" t="s">
        <v>6319</v>
      </c>
      <c r="C290" s="257">
        <v>1</v>
      </c>
      <c r="D290" s="478">
        <v>3.246753246753247E-3</v>
      </c>
    </row>
    <row r="291" spans="2:4" x14ac:dyDescent="0.15">
      <c r="B291" s="118" t="s">
        <v>6317</v>
      </c>
      <c r="C291" s="257">
        <v>1</v>
      </c>
      <c r="D291" s="478">
        <v>3.246753246753247E-3</v>
      </c>
    </row>
    <row r="292" spans="2:4" x14ac:dyDescent="0.15">
      <c r="B292" s="118" t="s">
        <v>6323</v>
      </c>
      <c r="C292" s="257">
        <v>1</v>
      </c>
      <c r="D292" s="478">
        <v>3.246753246753247E-3</v>
      </c>
    </row>
    <row r="293" spans="2:4" x14ac:dyDescent="0.15">
      <c r="B293" s="4" t="s">
        <v>100</v>
      </c>
      <c r="C293" s="257">
        <v>308</v>
      </c>
      <c r="D293" s="478">
        <v>1</v>
      </c>
    </row>
  </sheetData>
  <conditionalFormatting pivot="1">
    <cfRule type="colorScale" priority="8">
      <colorScale>
        <cfvo type="min"/>
        <cfvo type="percentile" val="50"/>
        <cfvo type="max"/>
        <color rgb="FF63BE7B"/>
        <color rgb="FFFFEB84"/>
        <color rgb="FFF8696B"/>
      </colorScale>
    </cfRule>
  </conditionalFormatting>
  <conditionalFormatting pivot="1">
    <cfRule type="colorScale" priority="7">
      <colorScale>
        <cfvo type="min"/>
        <cfvo type="percentile" val="50"/>
        <cfvo type="max"/>
        <color rgb="FF63BE7B"/>
        <color rgb="FFFFEB84"/>
        <color rgb="FFF8696B"/>
      </colorScale>
    </cfRule>
  </conditionalFormatting>
  <conditionalFormatting pivot="1">
    <cfRule type="colorScale" priority="6">
      <colorScale>
        <cfvo type="min"/>
        <cfvo type="percentile" val="50"/>
        <cfvo type="max"/>
        <color rgb="FF63BE7B"/>
        <color rgb="FFFFEB84"/>
        <color rgb="FFF8696B"/>
      </colorScale>
    </cfRule>
  </conditionalFormatting>
  <conditionalFormatting pivot="1">
    <cfRule type="colorScale" priority="5">
      <colorScale>
        <cfvo type="min"/>
        <cfvo type="percentile" val="50"/>
        <cfvo type="max"/>
        <color rgb="FF63BE7B"/>
        <color rgb="FFFFEB84"/>
        <color rgb="FFF8696B"/>
      </colorScale>
    </cfRule>
  </conditionalFormatting>
  <conditionalFormatting pivot="1">
    <cfRule type="colorScale" priority="4">
      <colorScale>
        <cfvo type="min"/>
        <cfvo type="percentile" val="50"/>
        <cfvo type="max"/>
        <color rgb="FF63BE7B"/>
        <color rgb="FFFFEB84"/>
        <color rgb="FFF8696B"/>
      </colorScale>
    </cfRule>
  </conditionalFormatting>
  <conditionalFormatting pivot="1">
    <cfRule type="colorScale" priority="3">
      <colorScale>
        <cfvo type="min"/>
        <cfvo type="percentile" val="50"/>
        <cfvo type="max"/>
        <color rgb="FF63BE7B"/>
        <color rgb="FFFFEB84"/>
        <color rgb="FFF8696B"/>
      </colorScale>
    </cfRule>
  </conditionalFormatting>
  <conditionalFormatting pivot="1">
    <cfRule type="colorScale" priority="2">
      <colorScale>
        <cfvo type="min"/>
        <cfvo type="percentile" val="50"/>
        <cfvo type="max"/>
        <color rgb="FF63BE7B"/>
        <color rgb="FFFFEB84"/>
        <color rgb="FFF8696B"/>
      </colorScale>
    </cfRule>
  </conditionalFormatting>
  <conditionalFormatting pivot="1">
    <cfRule type="colorScale" priority="1">
      <colorScale>
        <cfvo type="min"/>
        <cfvo type="percentile" val="50"/>
        <cfvo type="max"/>
        <color rgb="FF63BE7B"/>
        <color rgb="FFFFEB84"/>
        <color rgb="FFF8696B"/>
      </colorScale>
    </cfRule>
  </conditionalFormatting>
  <pageMargins left="0.25" right="0.25" top="0.25" bottom="0.25" header="0.1" footer="0.1"/>
  <pageSetup scale="74" fitToHeight="0" orientation="portrait" r:id="rId39"/>
  <rowBreaks count="4" manualBreakCount="4">
    <brk id="64" max="8" man="1"/>
    <brk id="131" max="8" man="1"/>
    <brk id="204" max="8" man="1"/>
    <brk id="228" max="8" man="1"/>
  </rowBreaks>
  <colBreaks count="1" manualBreakCount="1">
    <brk id="9" max="269" man="1"/>
  </colBreaks>
  <drawing r:id="rId4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C000"/>
    <pageSetUpPr fitToPage="1"/>
  </sheetPr>
  <dimension ref="B1:AF97"/>
  <sheetViews>
    <sheetView zoomScaleNormal="100" zoomScaleSheetLayoutView="90" workbookViewId="0">
      <selection activeCell="A35" sqref="A35:XFD35"/>
    </sheetView>
  </sheetViews>
  <sheetFormatPr baseColWidth="10" defaultColWidth="8.83203125" defaultRowHeight="13" x14ac:dyDescent="0.15"/>
  <cols>
    <col min="1" max="1" width="4.6640625" customWidth="1"/>
    <col min="2" max="2" width="31.6640625" bestFit="1" customWidth="1"/>
    <col min="3" max="14" width="12.6640625" customWidth="1"/>
    <col min="15" max="15" width="9.1640625" hidden="1" customWidth="1"/>
    <col min="16" max="16" width="10.5" hidden="1" customWidth="1"/>
    <col min="17" max="17" width="9.1640625" hidden="1" customWidth="1"/>
    <col min="18" max="18" width="14.5" hidden="1" customWidth="1"/>
    <col min="19" max="19" width="11.5" hidden="1" customWidth="1"/>
    <col min="20" max="20" width="12.33203125" hidden="1" customWidth="1"/>
    <col min="21" max="21" width="10.5" hidden="1" customWidth="1"/>
    <col min="22" max="22" width="12.5" hidden="1" customWidth="1"/>
    <col min="23" max="24" width="14.5" hidden="1" customWidth="1"/>
    <col min="27" max="27" width="12.5" bestFit="1" customWidth="1"/>
    <col min="32" max="32" width="10.5" bestFit="1" customWidth="1"/>
  </cols>
  <sheetData>
    <row r="1" spans="2:32" ht="18" x14ac:dyDescent="0.2">
      <c r="B1" s="580" t="str">
        <f>'Full Crash Data'!A3</f>
        <v>Type 'Heading' Here</v>
      </c>
    </row>
    <row r="2" spans="2:32" ht="18" x14ac:dyDescent="0.2">
      <c r="B2" s="439" t="s">
        <v>6135</v>
      </c>
      <c r="D2" s="619" t="s">
        <v>6665</v>
      </c>
      <c r="E2" s="620"/>
      <c r="F2" s="547">
        <f>ROUND(COUNT('Full Crash Data'!$B$21:$B$1000000) / (MAX('Full Crash Data'!$C$21:$C$1000000)-MIN('Full Crash Data'!$C$21:$C$1000000)+1),2)</f>
        <v>61.6</v>
      </c>
      <c r="G2" s="619" t="s">
        <v>6666</v>
      </c>
      <c r="H2" s="620"/>
      <c r="I2" s="548">
        <f>1-(COUNTIFS('Full Crash Data'!$F:$F,"(5) PDO/No Injury")/COUNT('Full Crash Data'!$B$21:$B$1000000))</f>
        <v>0.30194805194805197</v>
      </c>
      <c r="J2" s="619" t="s">
        <v>600</v>
      </c>
      <c r="K2" s="620"/>
      <c r="L2" s="547">
        <f>IFERROR(ROUND(((COUNTIFS('Full Crash Data'!$F:$F,"(1) Fatal")+COUNTIFS('Full Crash Data'!$F:$F,"(2) Serious Injury Suspected"))*RefTables!$N$3+COUNTIFS('Full Crash Data'!$F:$F,"(3) Minor Injury Suspected")*RefTables!O3+COUNTIFS('Full Crash Data'!$F:$F,"(4) Injury Possible")*RefTables!$P$3+COUNTIFS('Full Crash Data'!$F:$F,"(5) PDO/No Injury")*RefTables!$Q$3)/COUNT('Full Crash Data'!$B$21:$B$1000000),2),0)</f>
        <v>3.52</v>
      </c>
    </row>
    <row r="3" spans="2:32" x14ac:dyDescent="0.15">
      <c r="P3" s="256" t="s">
        <v>5978</v>
      </c>
      <c r="Q3" t="s">
        <v>5976</v>
      </c>
      <c r="R3" t="s">
        <v>5977</v>
      </c>
      <c r="U3" s="256" t="s">
        <v>5978</v>
      </c>
      <c r="V3" t="s">
        <v>6168</v>
      </c>
      <c r="AA3" s="256" t="s">
        <v>175</v>
      </c>
      <c r="AB3" s="256" t="s">
        <v>6095</v>
      </c>
    </row>
    <row r="4" spans="2:32" x14ac:dyDescent="0.15">
      <c r="B4" s="408" t="s">
        <v>5978</v>
      </c>
      <c r="C4" t="s">
        <v>175</v>
      </c>
      <c r="D4" t="s">
        <v>5976</v>
      </c>
      <c r="E4" s="441" t="s">
        <v>5977</v>
      </c>
      <c r="P4" s="118">
        <v>2021</v>
      </c>
      <c r="Q4">
        <v>0</v>
      </c>
      <c r="R4">
        <v>4</v>
      </c>
      <c r="U4" s="118">
        <v>2021</v>
      </c>
      <c r="V4">
        <v>79</v>
      </c>
      <c r="AB4" t="s">
        <v>6726</v>
      </c>
      <c r="AD4" t="s">
        <v>6727</v>
      </c>
      <c r="AF4" t="s">
        <v>100</v>
      </c>
    </row>
    <row r="5" spans="2:32" x14ac:dyDescent="0.15">
      <c r="B5" s="4">
        <v>2021</v>
      </c>
      <c r="C5" s="257">
        <v>79</v>
      </c>
      <c r="D5">
        <v>0</v>
      </c>
      <c r="E5">
        <v>4</v>
      </c>
      <c r="P5" s="118">
        <v>2022</v>
      </c>
      <c r="Q5">
        <v>0</v>
      </c>
      <c r="R5">
        <v>1</v>
      </c>
      <c r="U5" s="118">
        <v>2022</v>
      </c>
      <c r="V5">
        <v>57</v>
      </c>
      <c r="AA5" s="408" t="s">
        <v>5978</v>
      </c>
      <c r="AB5" t="s">
        <v>6728</v>
      </c>
      <c r="AC5" t="s">
        <v>71</v>
      </c>
      <c r="AD5" t="s">
        <v>6728</v>
      </c>
      <c r="AE5" t="s">
        <v>71</v>
      </c>
    </row>
    <row r="6" spans="2:32" x14ac:dyDescent="0.15">
      <c r="B6" s="4">
        <v>2022</v>
      </c>
      <c r="C6" s="257">
        <v>57</v>
      </c>
      <c r="D6">
        <v>0</v>
      </c>
      <c r="E6">
        <v>1</v>
      </c>
      <c r="P6" s="118">
        <v>2023</v>
      </c>
      <c r="Q6">
        <v>1</v>
      </c>
      <c r="R6">
        <v>2</v>
      </c>
      <c r="U6" s="118">
        <v>2023</v>
      </c>
      <c r="V6">
        <v>64</v>
      </c>
      <c r="AA6" s="4">
        <v>2021</v>
      </c>
      <c r="AB6" s="257">
        <v>4</v>
      </c>
      <c r="AC6" s="257">
        <v>10</v>
      </c>
      <c r="AD6" s="257">
        <v>21</v>
      </c>
      <c r="AE6" s="257">
        <v>44</v>
      </c>
      <c r="AF6" s="257">
        <v>79</v>
      </c>
    </row>
    <row r="7" spans="2:32" x14ac:dyDescent="0.15">
      <c r="B7" s="4">
        <v>2023</v>
      </c>
      <c r="C7" s="257">
        <v>64</v>
      </c>
      <c r="D7">
        <v>1</v>
      </c>
      <c r="E7">
        <v>2</v>
      </c>
      <c r="P7" s="118">
        <v>2024</v>
      </c>
      <c r="Q7">
        <v>0</v>
      </c>
      <c r="R7">
        <v>0</v>
      </c>
      <c r="U7" s="118">
        <v>2024</v>
      </c>
      <c r="V7">
        <v>71</v>
      </c>
      <c r="AA7" s="4">
        <v>2022</v>
      </c>
      <c r="AB7" s="257">
        <v>2</v>
      </c>
      <c r="AC7" s="257">
        <v>9</v>
      </c>
      <c r="AD7" s="257">
        <v>13</v>
      </c>
      <c r="AE7" s="257">
        <v>33</v>
      </c>
      <c r="AF7" s="257">
        <v>57</v>
      </c>
    </row>
    <row r="8" spans="2:32" x14ac:dyDescent="0.15">
      <c r="B8" s="4">
        <v>2024</v>
      </c>
      <c r="C8" s="257">
        <v>71</v>
      </c>
      <c r="D8">
        <v>0</v>
      </c>
      <c r="E8">
        <v>0</v>
      </c>
      <c r="P8" s="118">
        <v>2025</v>
      </c>
      <c r="Q8">
        <v>0</v>
      </c>
      <c r="R8">
        <v>2</v>
      </c>
      <c r="U8" s="118">
        <v>2025</v>
      </c>
      <c r="V8">
        <v>37</v>
      </c>
      <c r="AA8" s="4">
        <v>2023</v>
      </c>
      <c r="AB8" s="257">
        <v>5</v>
      </c>
      <c r="AC8" s="257">
        <v>6</v>
      </c>
      <c r="AD8" s="257">
        <v>19</v>
      </c>
      <c r="AE8" s="257">
        <v>34</v>
      </c>
      <c r="AF8" s="257">
        <v>64</v>
      </c>
    </row>
    <row r="9" spans="2:32" x14ac:dyDescent="0.15">
      <c r="B9" s="4">
        <v>2025</v>
      </c>
      <c r="C9" s="257">
        <v>37</v>
      </c>
      <c r="D9">
        <v>0</v>
      </c>
      <c r="E9">
        <v>2</v>
      </c>
      <c r="P9" s="118" t="s">
        <v>100</v>
      </c>
      <c r="Q9">
        <v>1</v>
      </c>
      <c r="R9">
        <v>9</v>
      </c>
      <c r="U9" s="118" t="s">
        <v>100</v>
      </c>
      <c r="V9">
        <v>308</v>
      </c>
      <c r="AA9" s="4">
        <v>2024</v>
      </c>
      <c r="AB9" s="257">
        <v>3</v>
      </c>
      <c r="AC9" s="257">
        <v>6</v>
      </c>
      <c r="AD9" s="257">
        <v>16</v>
      </c>
      <c r="AE9" s="257">
        <v>46</v>
      </c>
      <c r="AF9" s="257">
        <v>71</v>
      </c>
    </row>
    <row r="10" spans="2:32" x14ac:dyDescent="0.15">
      <c r="B10" s="4" t="s">
        <v>100</v>
      </c>
      <c r="C10" s="257">
        <v>308</v>
      </c>
      <c r="D10">
        <v>1</v>
      </c>
      <c r="E10">
        <v>9</v>
      </c>
      <c r="AA10" s="4">
        <v>2025</v>
      </c>
      <c r="AB10" s="257">
        <v>3</v>
      </c>
      <c r="AC10" s="257">
        <v>7</v>
      </c>
      <c r="AD10" s="257">
        <v>7</v>
      </c>
      <c r="AE10" s="257">
        <v>20</v>
      </c>
      <c r="AF10" s="257">
        <v>37</v>
      </c>
    </row>
    <row r="11" spans="2:32" x14ac:dyDescent="0.15">
      <c r="AA11" s="4" t="s">
        <v>100</v>
      </c>
      <c r="AB11" s="257">
        <v>17</v>
      </c>
      <c r="AC11" s="257">
        <v>38</v>
      </c>
      <c r="AD11" s="257">
        <v>76</v>
      </c>
      <c r="AE11" s="257">
        <v>177</v>
      </c>
      <c r="AF11" s="257">
        <v>308</v>
      </c>
    </row>
    <row r="24" spans="2:22" x14ac:dyDescent="0.15">
      <c r="B24" s="256" t="s">
        <v>175</v>
      </c>
      <c r="C24" s="256" t="s">
        <v>6136</v>
      </c>
      <c r="P24" s="256" t="s">
        <v>6168</v>
      </c>
      <c r="Q24" s="256" t="s">
        <v>6095</v>
      </c>
    </row>
    <row r="25" spans="2:22" x14ac:dyDescent="0.15">
      <c r="B25" s="256" t="s">
        <v>176</v>
      </c>
      <c r="C25" t="s">
        <v>6438</v>
      </c>
      <c r="D25" t="s">
        <v>6439</v>
      </c>
      <c r="E25" t="s">
        <v>6440</v>
      </c>
      <c r="F25" t="s">
        <v>6441</v>
      </c>
      <c r="G25" t="s">
        <v>6442</v>
      </c>
      <c r="H25" t="s">
        <v>100</v>
      </c>
      <c r="P25" s="256" t="s">
        <v>176</v>
      </c>
      <c r="Q25" t="s">
        <v>6442</v>
      </c>
      <c r="R25" t="s">
        <v>6440</v>
      </c>
      <c r="S25" t="s">
        <v>6441</v>
      </c>
      <c r="T25" t="s">
        <v>6438</v>
      </c>
      <c r="U25" t="s">
        <v>6439</v>
      </c>
      <c r="V25" t="s">
        <v>100</v>
      </c>
    </row>
    <row r="26" spans="2:22" x14ac:dyDescent="0.15">
      <c r="B26" s="118" t="s">
        <v>211</v>
      </c>
      <c r="C26" s="257">
        <v>1</v>
      </c>
      <c r="D26" s="257">
        <v>1</v>
      </c>
      <c r="E26" s="257">
        <v>11</v>
      </c>
      <c r="F26" s="257">
        <v>8</v>
      </c>
      <c r="G26" s="257">
        <v>40</v>
      </c>
      <c r="H26" s="257">
        <v>61</v>
      </c>
      <c r="P26" s="118" t="s">
        <v>211</v>
      </c>
      <c r="Q26">
        <v>40</v>
      </c>
      <c r="R26">
        <v>11</v>
      </c>
      <c r="S26">
        <v>8</v>
      </c>
      <c r="T26">
        <v>1</v>
      </c>
      <c r="U26">
        <v>1</v>
      </c>
      <c r="V26">
        <v>61</v>
      </c>
    </row>
    <row r="27" spans="2:22" x14ac:dyDescent="0.15">
      <c r="B27" s="118" t="s">
        <v>390</v>
      </c>
      <c r="C27" s="257">
        <v>0</v>
      </c>
      <c r="D27" s="257">
        <v>0</v>
      </c>
      <c r="E27" s="257">
        <v>8</v>
      </c>
      <c r="F27" s="257">
        <v>8</v>
      </c>
      <c r="G27" s="257">
        <v>44</v>
      </c>
      <c r="H27" s="257">
        <v>60</v>
      </c>
      <c r="P27" s="118" t="s">
        <v>416</v>
      </c>
      <c r="Q27">
        <v>20</v>
      </c>
      <c r="R27">
        <v>3</v>
      </c>
      <c r="S27">
        <v>2</v>
      </c>
      <c r="T27">
        <v>0</v>
      </c>
      <c r="U27">
        <v>2</v>
      </c>
      <c r="V27">
        <v>27</v>
      </c>
    </row>
    <row r="28" spans="2:22" x14ac:dyDescent="0.15">
      <c r="B28" s="118" t="s">
        <v>230</v>
      </c>
      <c r="C28" s="257">
        <v>0</v>
      </c>
      <c r="D28" s="257">
        <v>5</v>
      </c>
      <c r="E28" s="257">
        <v>9</v>
      </c>
      <c r="F28" s="257">
        <v>7</v>
      </c>
      <c r="G28" s="257">
        <v>30</v>
      </c>
      <c r="H28" s="257">
        <v>51</v>
      </c>
      <c r="P28" s="118" t="s">
        <v>230</v>
      </c>
      <c r="Q28">
        <v>30</v>
      </c>
      <c r="R28">
        <v>9</v>
      </c>
      <c r="S28">
        <v>7</v>
      </c>
      <c r="T28">
        <v>0</v>
      </c>
      <c r="U28">
        <v>5</v>
      </c>
      <c r="V28">
        <v>51</v>
      </c>
    </row>
    <row r="29" spans="2:22" x14ac:dyDescent="0.15">
      <c r="B29" s="118" t="s">
        <v>402</v>
      </c>
      <c r="C29" s="257">
        <v>0</v>
      </c>
      <c r="D29" s="257">
        <v>0</v>
      </c>
      <c r="E29" s="257">
        <v>6</v>
      </c>
      <c r="F29" s="257">
        <v>3</v>
      </c>
      <c r="G29" s="257">
        <v>38</v>
      </c>
      <c r="H29" s="257">
        <v>47</v>
      </c>
      <c r="P29" s="118" t="s">
        <v>390</v>
      </c>
      <c r="Q29">
        <v>44</v>
      </c>
      <c r="R29">
        <v>8</v>
      </c>
      <c r="S29">
        <v>8</v>
      </c>
      <c r="T29">
        <v>0</v>
      </c>
      <c r="U29">
        <v>0</v>
      </c>
      <c r="V29">
        <v>60</v>
      </c>
    </row>
    <row r="30" spans="2:22" x14ac:dyDescent="0.15">
      <c r="B30" s="118" t="s">
        <v>416</v>
      </c>
      <c r="C30" s="257">
        <v>0</v>
      </c>
      <c r="D30" s="257">
        <v>2</v>
      </c>
      <c r="E30" s="257">
        <v>3</v>
      </c>
      <c r="F30" s="257">
        <v>2</v>
      </c>
      <c r="G30" s="257">
        <v>20</v>
      </c>
      <c r="H30" s="257">
        <v>27</v>
      </c>
      <c r="P30" s="118" t="s">
        <v>402</v>
      </c>
      <c r="Q30">
        <v>38</v>
      </c>
      <c r="R30">
        <v>6</v>
      </c>
      <c r="S30">
        <v>3</v>
      </c>
      <c r="T30">
        <v>0</v>
      </c>
      <c r="U30">
        <v>0</v>
      </c>
      <c r="V30">
        <v>47</v>
      </c>
    </row>
    <row r="31" spans="2:22" x14ac:dyDescent="0.15">
      <c r="B31" s="118" t="s">
        <v>438</v>
      </c>
      <c r="C31" s="257">
        <v>0</v>
      </c>
      <c r="D31" s="257">
        <v>0</v>
      </c>
      <c r="E31" s="257">
        <v>3</v>
      </c>
      <c r="F31" s="257">
        <v>4</v>
      </c>
      <c r="G31" s="257">
        <v>7</v>
      </c>
      <c r="H31" s="257">
        <v>14</v>
      </c>
      <c r="P31" s="118" t="s">
        <v>100</v>
      </c>
      <c r="Q31">
        <v>172</v>
      </c>
      <c r="R31">
        <v>37</v>
      </c>
      <c r="S31">
        <v>28</v>
      </c>
      <c r="T31">
        <v>1</v>
      </c>
      <c r="U31">
        <v>8</v>
      </c>
      <c r="V31">
        <v>246</v>
      </c>
    </row>
    <row r="32" spans="2:22" x14ac:dyDescent="0.15">
      <c r="B32" s="118" t="s">
        <v>860</v>
      </c>
      <c r="C32" s="257">
        <v>0</v>
      </c>
      <c r="D32" s="257">
        <v>0</v>
      </c>
      <c r="E32" s="257">
        <v>0</v>
      </c>
      <c r="F32" s="257">
        <v>2</v>
      </c>
      <c r="G32" s="257">
        <v>9</v>
      </c>
      <c r="H32" s="257">
        <v>11</v>
      </c>
    </row>
    <row r="33" spans="2:11" x14ac:dyDescent="0.15">
      <c r="B33" s="118" t="s">
        <v>210</v>
      </c>
      <c r="C33" s="257">
        <v>0</v>
      </c>
      <c r="D33" s="257">
        <v>0</v>
      </c>
      <c r="E33" s="257">
        <v>0</v>
      </c>
      <c r="F33" s="257">
        <v>0</v>
      </c>
      <c r="G33" s="257">
        <v>11</v>
      </c>
      <c r="H33" s="257">
        <v>11</v>
      </c>
    </row>
    <row r="34" spans="2:11" x14ac:dyDescent="0.15">
      <c r="B34" s="118" t="s">
        <v>212</v>
      </c>
      <c r="C34" s="257">
        <v>0</v>
      </c>
      <c r="D34" s="257">
        <v>0</v>
      </c>
      <c r="E34" s="257">
        <v>0</v>
      </c>
      <c r="F34" s="257">
        <v>0</v>
      </c>
      <c r="G34" s="257">
        <v>9</v>
      </c>
      <c r="H34" s="257">
        <v>9</v>
      </c>
    </row>
    <row r="35" spans="2:11" x14ac:dyDescent="0.15">
      <c r="B35" s="118" t="s">
        <v>209</v>
      </c>
      <c r="C35" s="257">
        <v>0</v>
      </c>
      <c r="D35" s="257">
        <v>0</v>
      </c>
      <c r="E35" s="257">
        <v>4</v>
      </c>
      <c r="F35" s="257">
        <v>0</v>
      </c>
      <c r="G35" s="257">
        <v>1</v>
      </c>
      <c r="H35" s="257">
        <v>5</v>
      </c>
    </row>
    <row r="36" spans="2:11" x14ac:dyDescent="0.15">
      <c r="B36" s="118" t="s">
        <v>313</v>
      </c>
      <c r="C36" s="257">
        <v>0</v>
      </c>
      <c r="D36" s="257">
        <v>0</v>
      </c>
      <c r="E36" s="257">
        <v>4</v>
      </c>
      <c r="F36" s="257">
        <v>1</v>
      </c>
      <c r="G36" s="257">
        <v>0</v>
      </c>
      <c r="H36" s="257">
        <v>5</v>
      </c>
    </row>
    <row r="37" spans="2:11" x14ac:dyDescent="0.15">
      <c r="B37" s="118" t="s">
        <v>409</v>
      </c>
      <c r="C37" s="257">
        <v>0</v>
      </c>
      <c r="D37" s="257">
        <v>0</v>
      </c>
      <c r="E37" s="257">
        <v>0</v>
      </c>
      <c r="F37" s="257">
        <v>1</v>
      </c>
      <c r="G37" s="257">
        <v>2</v>
      </c>
      <c r="H37" s="257">
        <v>3</v>
      </c>
    </row>
    <row r="38" spans="2:11" x14ac:dyDescent="0.15">
      <c r="B38" s="118" t="s">
        <v>401</v>
      </c>
      <c r="C38" s="257">
        <v>0</v>
      </c>
      <c r="D38" s="257">
        <v>0</v>
      </c>
      <c r="E38" s="257">
        <v>0</v>
      </c>
      <c r="F38" s="257">
        <v>0</v>
      </c>
      <c r="G38" s="257">
        <v>3</v>
      </c>
      <c r="H38" s="257">
        <v>3</v>
      </c>
    </row>
    <row r="39" spans="2:11" x14ac:dyDescent="0.15">
      <c r="B39" s="118" t="s">
        <v>449</v>
      </c>
      <c r="C39" s="257">
        <v>0</v>
      </c>
      <c r="D39" s="257">
        <v>0</v>
      </c>
      <c r="E39" s="257">
        <v>0</v>
      </c>
      <c r="F39" s="257">
        <v>0</v>
      </c>
      <c r="G39" s="257">
        <v>1</v>
      </c>
      <c r="H39" s="257">
        <v>1</v>
      </c>
    </row>
    <row r="40" spans="2:11" x14ac:dyDescent="0.15">
      <c r="B40" s="118" t="s">
        <v>100</v>
      </c>
      <c r="C40" s="257">
        <v>1</v>
      </c>
      <c r="D40" s="257">
        <v>8</v>
      </c>
      <c r="E40" s="257">
        <v>48</v>
      </c>
      <c r="F40" s="257">
        <v>36</v>
      </c>
      <c r="G40" s="257">
        <v>215</v>
      </c>
      <c r="H40" s="257">
        <v>308</v>
      </c>
    </row>
    <row r="47" spans="2:11" x14ac:dyDescent="0.15">
      <c r="B47" s="118"/>
      <c r="C47" s="257"/>
      <c r="D47" s="257"/>
      <c r="E47" s="257"/>
      <c r="F47" s="257"/>
      <c r="G47" s="257"/>
      <c r="H47" s="257"/>
    </row>
    <row r="48" spans="2:11" x14ac:dyDescent="0.15">
      <c r="B48" s="256" t="s">
        <v>575</v>
      </c>
      <c r="C48" t="s">
        <v>175</v>
      </c>
      <c r="D48" t="s">
        <v>5976</v>
      </c>
      <c r="E48" t="s">
        <v>5977</v>
      </c>
      <c r="G48" s="256" t="s">
        <v>5982</v>
      </c>
      <c r="H48" t="s">
        <v>175</v>
      </c>
      <c r="J48" s="256" t="s">
        <v>1191</v>
      </c>
      <c r="K48" t="s">
        <v>175</v>
      </c>
    </row>
    <row r="49" spans="2:11" x14ac:dyDescent="0.15">
      <c r="B49" s="118" t="s">
        <v>500</v>
      </c>
      <c r="C49" s="257">
        <v>240</v>
      </c>
      <c r="D49">
        <v>1</v>
      </c>
      <c r="E49">
        <v>8</v>
      </c>
      <c r="G49" s="118">
        <v>0</v>
      </c>
      <c r="H49" s="257">
        <v>10</v>
      </c>
      <c r="J49" s="118" t="s">
        <v>6741</v>
      </c>
      <c r="K49" s="257">
        <v>26</v>
      </c>
    </row>
    <row r="50" spans="2:11" x14ac:dyDescent="0.15">
      <c r="B50" s="118" t="s">
        <v>501</v>
      </c>
      <c r="C50" s="257">
        <v>1</v>
      </c>
      <c r="D50">
        <v>0</v>
      </c>
      <c r="E50">
        <v>0</v>
      </c>
      <c r="G50" s="118">
        <v>1</v>
      </c>
      <c r="H50" s="257">
        <v>3</v>
      </c>
      <c r="J50" s="118" t="s">
        <v>6729</v>
      </c>
      <c r="K50" s="257">
        <v>18</v>
      </c>
    </row>
    <row r="51" spans="2:11" x14ac:dyDescent="0.15">
      <c r="B51" s="118" t="s">
        <v>430</v>
      </c>
      <c r="C51" s="257">
        <v>6</v>
      </c>
      <c r="D51">
        <v>0</v>
      </c>
      <c r="E51">
        <v>0</v>
      </c>
      <c r="G51" s="118">
        <v>2</v>
      </c>
      <c r="H51" s="257">
        <v>11</v>
      </c>
      <c r="J51" s="118" t="s">
        <v>6730</v>
      </c>
      <c r="K51" s="257">
        <v>27</v>
      </c>
    </row>
    <row r="52" spans="2:11" x14ac:dyDescent="0.15">
      <c r="B52" s="118" t="s">
        <v>225</v>
      </c>
      <c r="C52" s="257">
        <v>58</v>
      </c>
      <c r="D52">
        <v>0</v>
      </c>
      <c r="E52">
        <v>1</v>
      </c>
      <c r="G52" s="118">
        <v>3</v>
      </c>
      <c r="H52" s="257">
        <v>5</v>
      </c>
      <c r="J52" s="118" t="s">
        <v>7501</v>
      </c>
      <c r="K52" s="257">
        <v>40</v>
      </c>
    </row>
    <row r="53" spans="2:11" x14ac:dyDescent="0.15">
      <c r="B53" s="118" t="s">
        <v>6151</v>
      </c>
      <c r="C53" s="257">
        <v>3</v>
      </c>
      <c r="D53">
        <v>0</v>
      </c>
      <c r="E53">
        <v>0</v>
      </c>
      <c r="G53" s="118">
        <v>4</v>
      </c>
      <c r="H53" s="257">
        <v>3</v>
      </c>
      <c r="J53" s="118" t="s">
        <v>7502</v>
      </c>
      <c r="K53" s="257">
        <v>29</v>
      </c>
    </row>
    <row r="54" spans="2:11" x14ac:dyDescent="0.15">
      <c r="B54" s="118" t="s">
        <v>100</v>
      </c>
      <c r="C54" s="257">
        <v>308</v>
      </c>
      <c r="D54">
        <v>1</v>
      </c>
      <c r="E54">
        <v>9</v>
      </c>
      <c r="G54" s="118">
        <v>5</v>
      </c>
      <c r="H54" s="257">
        <v>5</v>
      </c>
      <c r="J54" s="118" t="s">
        <v>7503</v>
      </c>
      <c r="K54" s="257">
        <v>20</v>
      </c>
    </row>
    <row r="55" spans="2:11" x14ac:dyDescent="0.15">
      <c r="G55" s="118">
        <v>6</v>
      </c>
      <c r="H55" s="257">
        <v>7</v>
      </c>
      <c r="J55" s="118" t="s">
        <v>7504</v>
      </c>
      <c r="K55" s="257">
        <v>32</v>
      </c>
    </row>
    <row r="56" spans="2:11" x14ac:dyDescent="0.15">
      <c r="G56" s="118">
        <v>7</v>
      </c>
      <c r="H56" s="257">
        <v>4</v>
      </c>
      <c r="J56" s="118" t="s">
        <v>7505</v>
      </c>
      <c r="K56" s="257">
        <v>16</v>
      </c>
    </row>
    <row r="57" spans="2:11" x14ac:dyDescent="0.15">
      <c r="G57" s="118">
        <v>8</v>
      </c>
      <c r="H57" s="257">
        <v>9</v>
      </c>
      <c r="J57" s="118" t="s">
        <v>7506</v>
      </c>
      <c r="K57" s="257">
        <v>28</v>
      </c>
    </row>
    <row r="58" spans="2:11" x14ac:dyDescent="0.15">
      <c r="G58" s="118">
        <v>9</v>
      </c>
      <c r="H58" s="257">
        <v>15</v>
      </c>
      <c r="J58" s="118" t="s">
        <v>7507</v>
      </c>
      <c r="K58" s="257">
        <v>27</v>
      </c>
    </row>
    <row r="59" spans="2:11" x14ac:dyDescent="0.15">
      <c r="G59" s="118">
        <v>10</v>
      </c>
      <c r="H59" s="257">
        <v>10</v>
      </c>
      <c r="J59" s="118" t="s">
        <v>7508</v>
      </c>
      <c r="K59" s="257">
        <v>20</v>
      </c>
    </row>
    <row r="60" spans="2:11" x14ac:dyDescent="0.15">
      <c r="G60" s="118">
        <v>11</v>
      </c>
      <c r="H60" s="257">
        <v>16</v>
      </c>
      <c r="J60" s="118" t="s">
        <v>7509</v>
      </c>
      <c r="K60" s="257">
        <v>25</v>
      </c>
    </row>
    <row r="61" spans="2:11" x14ac:dyDescent="0.15">
      <c r="G61" s="118">
        <v>12</v>
      </c>
      <c r="H61" s="257">
        <v>13</v>
      </c>
      <c r="J61" s="118" t="s">
        <v>100</v>
      </c>
      <c r="K61" s="257">
        <v>308</v>
      </c>
    </row>
    <row r="62" spans="2:11" x14ac:dyDescent="0.15">
      <c r="B62" s="256" t="s">
        <v>5981</v>
      </c>
      <c r="C62" t="s">
        <v>175</v>
      </c>
      <c r="D62" t="s">
        <v>5976</v>
      </c>
      <c r="E62" t="s">
        <v>5977</v>
      </c>
      <c r="G62" s="118">
        <v>13</v>
      </c>
      <c r="H62" s="257">
        <v>16</v>
      </c>
    </row>
    <row r="63" spans="2:11" x14ac:dyDescent="0.15">
      <c r="B63" s="118" t="s">
        <v>392</v>
      </c>
      <c r="C63" s="257">
        <v>227</v>
      </c>
      <c r="D63">
        <v>1</v>
      </c>
      <c r="E63">
        <v>8</v>
      </c>
      <c r="G63" s="118">
        <v>14</v>
      </c>
      <c r="H63" s="257">
        <v>14</v>
      </c>
      <c r="J63" s="256" t="s">
        <v>1192</v>
      </c>
      <c r="K63" t="s">
        <v>175</v>
      </c>
    </row>
    <row r="64" spans="2:11" x14ac:dyDescent="0.15">
      <c r="B64" s="118" t="s">
        <v>403</v>
      </c>
      <c r="C64" s="257">
        <v>37</v>
      </c>
      <c r="D64">
        <v>0</v>
      </c>
      <c r="E64">
        <v>0</v>
      </c>
      <c r="G64" s="118">
        <v>15</v>
      </c>
      <c r="H64" s="257">
        <v>38</v>
      </c>
      <c r="J64" s="118" t="s">
        <v>6443</v>
      </c>
      <c r="K64" s="257">
        <v>22</v>
      </c>
    </row>
    <row r="65" spans="2:11" x14ac:dyDescent="0.15">
      <c r="B65" s="118" t="s">
        <v>420</v>
      </c>
      <c r="C65" s="257">
        <v>33</v>
      </c>
      <c r="D65">
        <v>0</v>
      </c>
      <c r="E65">
        <v>1</v>
      </c>
      <c r="G65" s="118">
        <v>16</v>
      </c>
      <c r="H65" s="257">
        <v>27</v>
      </c>
      <c r="J65" s="118" t="s">
        <v>6444</v>
      </c>
      <c r="K65" s="257">
        <v>46</v>
      </c>
    </row>
    <row r="66" spans="2:11" x14ac:dyDescent="0.15">
      <c r="B66" s="118" t="s">
        <v>430</v>
      </c>
      <c r="C66" s="257">
        <v>5</v>
      </c>
      <c r="D66">
        <v>0</v>
      </c>
      <c r="E66">
        <v>0</v>
      </c>
      <c r="G66" s="118">
        <v>17</v>
      </c>
      <c r="H66" s="257">
        <v>29</v>
      </c>
      <c r="J66" s="118" t="s">
        <v>6445</v>
      </c>
      <c r="K66" s="257">
        <v>55</v>
      </c>
    </row>
    <row r="67" spans="2:11" x14ac:dyDescent="0.15">
      <c r="B67" s="118" t="s">
        <v>1030</v>
      </c>
      <c r="C67" s="257">
        <v>3</v>
      </c>
      <c r="D67">
        <v>0</v>
      </c>
      <c r="E67">
        <v>0</v>
      </c>
      <c r="G67" s="118">
        <v>18</v>
      </c>
      <c r="H67" s="257">
        <v>15</v>
      </c>
      <c r="J67" s="118" t="s">
        <v>6446</v>
      </c>
      <c r="K67" s="257">
        <v>47</v>
      </c>
    </row>
    <row r="68" spans="2:11" x14ac:dyDescent="0.15">
      <c r="B68" s="118" t="s">
        <v>447</v>
      </c>
      <c r="C68" s="257">
        <v>1</v>
      </c>
      <c r="D68">
        <v>0</v>
      </c>
      <c r="E68">
        <v>0</v>
      </c>
      <c r="G68" s="118">
        <v>19</v>
      </c>
      <c r="H68" s="257">
        <v>14</v>
      </c>
      <c r="J68" s="118" t="s">
        <v>6447</v>
      </c>
      <c r="K68" s="257">
        <v>43</v>
      </c>
    </row>
    <row r="69" spans="2:11" x14ac:dyDescent="0.15">
      <c r="B69" s="118" t="s">
        <v>483</v>
      </c>
      <c r="C69" s="257">
        <v>1</v>
      </c>
      <c r="D69">
        <v>0</v>
      </c>
      <c r="E69">
        <v>0</v>
      </c>
      <c r="G69" s="118">
        <v>20</v>
      </c>
      <c r="H69" s="257">
        <v>18</v>
      </c>
      <c r="J69" s="118" t="s">
        <v>6448</v>
      </c>
      <c r="K69" s="257">
        <v>51</v>
      </c>
    </row>
    <row r="70" spans="2:11" x14ac:dyDescent="0.15">
      <c r="B70" s="118" t="s">
        <v>431</v>
      </c>
      <c r="C70" s="257">
        <v>1</v>
      </c>
      <c r="D70">
        <v>0</v>
      </c>
      <c r="E70">
        <v>0</v>
      </c>
      <c r="G70" s="118">
        <v>21</v>
      </c>
      <c r="H70" s="257">
        <v>6</v>
      </c>
      <c r="J70" s="118" t="s">
        <v>6449</v>
      </c>
      <c r="K70" s="257">
        <v>44</v>
      </c>
    </row>
    <row r="71" spans="2:11" x14ac:dyDescent="0.15">
      <c r="B71" s="118" t="s">
        <v>100</v>
      </c>
      <c r="C71" s="257">
        <v>308</v>
      </c>
      <c r="D71">
        <v>1</v>
      </c>
      <c r="E71">
        <v>9</v>
      </c>
      <c r="G71" s="118">
        <v>22</v>
      </c>
      <c r="H71" s="257">
        <v>9</v>
      </c>
      <c r="J71" s="118" t="s">
        <v>100</v>
      </c>
      <c r="K71" s="257">
        <v>308</v>
      </c>
    </row>
    <row r="72" spans="2:11" x14ac:dyDescent="0.15">
      <c r="G72" s="118">
        <v>23</v>
      </c>
      <c r="H72" s="257">
        <v>11</v>
      </c>
    </row>
    <row r="73" spans="2:11" x14ac:dyDescent="0.15">
      <c r="G73" s="118" t="s">
        <v>100</v>
      </c>
      <c r="H73" s="257">
        <v>308</v>
      </c>
    </row>
    <row r="75" spans="2:11" x14ac:dyDescent="0.15">
      <c r="B75" s="256" t="s">
        <v>5979</v>
      </c>
      <c r="C75" t="s">
        <v>175</v>
      </c>
      <c r="D75" t="s">
        <v>5976</v>
      </c>
      <c r="E75" t="s">
        <v>5977</v>
      </c>
    </row>
    <row r="76" spans="2:11" x14ac:dyDescent="0.15">
      <c r="B76" s="118" t="s">
        <v>437</v>
      </c>
      <c r="C76" s="257">
        <v>2</v>
      </c>
      <c r="D76">
        <v>0</v>
      </c>
      <c r="E76">
        <v>0</v>
      </c>
    </row>
    <row r="77" spans="2:11" x14ac:dyDescent="0.15">
      <c r="B77" s="118" t="s">
        <v>423</v>
      </c>
      <c r="C77" s="257">
        <v>93</v>
      </c>
      <c r="D77">
        <v>1</v>
      </c>
      <c r="E77">
        <v>3</v>
      </c>
    </row>
    <row r="78" spans="2:11" x14ac:dyDescent="0.15">
      <c r="B78" s="118" t="s">
        <v>391</v>
      </c>
      <c r="C78" s="257">
        <v>165</v>
      </c>
      <c r="D78">
        <v>0</v>
      </c>
      <c r="E78">
        <v>6</v>
      </c>
    </row>
    <row r="79" spans="2:11" x14ac:dyDescent="0.15">
      <c r="B79" s="118" t="s">
        <v>434</v>
      </c>
      <c r="C79" s="257">
        <v>43</v>
      </c>
      <c r="D79">
        <v>0</v>
      </c>
      <c r="E79">
        <v>0</v>
      </c>
    </row>
    <row r="80" spans="2:11" x14ac:dyDescent="0.15">
      <c r="B80" s="118" t="s">
        <v>484</v>
      </c>
      <c r="C80" s="257">
        <v>4</v>
      </c>
      <c r="D80">
        <v>0</v>
      </c>
      <c r="E80">
        <v>0</v>
      </c>
    </row>
    <row r="81" spans="2:5" x14ac:dyDescent="0.15">
      <c r="B81" s="118" t="s">
        <v>100</v>
      </c>
      <c r="C81" s="257">
        <v>307</v>
      </c>
      <c r="D81">
        <v>1</v>
      </c>
      <c r="E81">
        <v>9</v>
      </c>
    </row>
    <row r="92" spans="2:5" x14ac:dyDescent="0.15">
      <c r="B92" s="256" t="s">
        <v>5980</v>
      </c>
      <c r="C92" t="s">
        <v>175</v>
      </c>
      <c r="D92" t="s">
        <v>5976</v>
      </c>
      <c r="E92" t="s">
        <v>5977</v>
      </c>
    </row>
    <row r="93" spans="2:5" x14ac:dyDescent="0.15">
      <c r="B93" s="118" t="s">
        <v>508</v>
      </c>
      <c r="C93" s="257">
        <v>285</v>
      </c>
      <c r="D93">
        <v>0</v>
      </c>
      <c r="E93">
        <v>7</v>
      </c>
    </row>
    <row r="94" spans="2:5" x14ac:dyDescent="0.15">
      <c r="B94" s="118" t="s">
        <v>509</v>
      </c>
      <c r="C94" s="257">
        <v>14</v>
      </c>
      <c r="D94">
        <v>1</v>
      </c>
      <c r="E94">
        <v>2</v>
      </c>
    </row>
    <row r="95" spans="2:5" x14ac:dyDescent="0.15">
      <c r="B95" s="118" t="s">
        <v>510</v>
      </c>
      <c r="C95" s="257">
        <v>7</v>
      </c>
      <c r="D95">
        <v>0</v>
      </c>
      <c r="E95">
        <v>0</v>
      </c>
    </row>
    <row r="96" spans="2:5" x14ac:dyDescent="0.15">
      <c r="B96" s="118" t="s">
        <v>6151</v>
      </c>
      <c r="C96" s="257">
        <v>2</v>
      </c>
      <c r="D96">
        <v>0</v>
      </c>
      <c r="E96">
        <v>0</v>
      </c>
    </row>
    <row r="97" spans="2:5" x14ac:dyDescent="0.15">
      <c r="B97" s="118" t="s">
        <v>100</v>
      </c>
      <c r="C97" s="257">
        <v>308</v>
      </c>
      <c r="D97">
        <v>1</v>
      </c>
      <c r="E97">
        <v>9</v>
      </c>
    </row>
  </sheetData>
  <mergeCells count="3">
    <mergeCell ref="D2:E2"/>
    <mergeCell ref="G2:H2"/>
    <mergeCell ref="J2:K2"/>
  </mergeCells>
  <conditionalFormatting pivot="1">
    <cfRule type="colorScale" priority="8">
      <colorScale>
        <cfvo type="min"/>
        <cfvo type="percentile" val="50"/>
        <cfvo type="max"/>
        <color rgb="FF63BE7B"/>
        <color rgb="FFFFEB84"/>
        <color rgb="FFF8696B"/>
      </colorScale>
    </cfRule>
  </conditionalFormatting>
  <conditionalFormatting pivot="1" sqref="K49:K60">
    <cfRule type="colorScale" priority="7">
      <colorScale>
        <cfvo type="min"/>
        <cfvo type="percentile" val="50"/>
        <cfvo type="max"/>
        <color rgb="FF63BE7B"/>
        <color rgb="FFFFEB84"/>
        <color rgb="FFF8696B"/>
      </colorScale>
    </cfRule>
  </conditionalFormatting>
  <conditionalFormatting pivot="1">
    <cfRule type="colorScale" priority="6">
      <colorScale>
        <cfvo type="min"/>
        <cfvo type="percentile" val="50"/>
        <cfvo type="max"/>
        <color rgb="FF63BE7B"/>
        <color rgb="FFFFEB84"/>
        <color rgb="FFF8696B"/>
      </colorScale>
    </cfRule>
  </conditionalFormatting>
  <conditionalFormatting pivot="1">
    <cfRule type="colorScale" priority="5">
      <colorScale>
        <cfvo type="min"/>
        <cfvo type="percentile" val="50"/>
        <cfvo type="max"/>
        <color rgb="FF63BE7B"/>
        <color rgb="FFFFEB84"/>
        <color rgb="FFF8696B"/>
      </colorScale>
    </cfRule>
  </conditionalFormatting>
  <conditionalFormatting pivot="1">
    <cfRule type="colorScale" priority="4">
      <colorScale>
        <cfvo type="min"/>
        <cfvo type="percentile" val="50"/>
        <cfvo type="max"/>
        <color rgb="FF63BE7B"/>
        <color rgb="FFFFEB84"/>
        <color rgb="FFF8696B"/>
      </colorScale>
    </cfRule>
  </conditionalFormatting>
  <conditionalFormatting pivot="1">
    <cfRule type="colorScale" priority="3">
      <colorScale>
        <cfvo type="min"/>
        <cfvo type="percentile" val="50"/>
        <cfvo type="max"/>
        <color rgb="FF63BE7B"/>
        <color rgb="FFFFEB84"/>
        <color rgb="FFF8696B"/>
      </colorScale>
    </cfRule>
  </conditionalFormatting>
  <conditionalFormatting pivot="1">
    <cfRule type="colorScale" priority="2">
      <colorScale>
        <cfvo type="min"/>
        <cfvo type="percentile" val="50"/>
        <cfvo type="max"/>
        <color rgb="FF63BE7B"/>
        <color rgb="FFFFEB84"/>
        <color rgb="FFF8696B"/>
      </colorScale>
    </cfRule>
  </conditionalFormatting>
  <conditionalFormatting pivot="1" sqref="H26:H39">
    <cfRule type="colorScale" priority="1">
      <colorScale>
        <cfvo type="min"/>
        <cfvo type="percentile" val="50"/>
        <cfvo type="max"/>
        <color rgb="FF63BE7B"/>
        <color rgb="FFFFEB84"/>
        <color rgb="FFF8696B"/>
      </colorScale>
    </cfRule>
  </conditionalFormatting>
  <pageMargins left="0.7" right="0.7" top="0.75" bottom="0.75" header="0.3" footer="0.3"/>
  <pageSetup scale="66" fitToHeight="0" orientation="landscape" r:id="rId14"/>
  <rowBreaks count="1" manualBreakCount="1">
    <brk id="45" max="13" man="1"/>
  </rowBreaks>
  <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C000"/>
  </sheetPr>
  <dimension ref="B1:O138"/>
  <sheetViews>
    <sheetView zoomScaleNormal="100" zoomScaleSheetLayoutView="100" workbookViewId="0">
      <selection activeCell="B1" sqref="B1"/>
    </sheetView>
  </sheetViews>
  <sheetFormatPr baseColWidth="10" defaultColWidth="15.6640625" defaultRowHeight="13" x14ac:dyDescent="0.15"/>
  <cols>
    <col min="1" max="1" width="4.6640625" customWidth="1"/>
    <col min="2" max="2" width="36.5" bestFit="1" customWidth="1"/>
    <col min="3" max="3" width="13.5" bestFit="1" customWidth="1"/>
    <col min="4" max="4" width="9.83203125" bestFit="1" customWidth="1"/>
    <col min="5" max="5" width="14.83203125" bestFit="1" customWidth="1"/>
    <col min="6" max="6" width="4.6640625" customWidth="1"/>
    <col min="7" max="7" width="34.1640625" bestFit="1" customWidth="1"/>
    <col min="8" max="8" width="13.5" customWidth="1"/>
    <col min="9" max="9" width="9.83203125" customWidth="1"/>
    <col min="10" max="10" width="14.83203125" customWidth="1"/>
    <col min="12" max="12" width="20.5" bestFit="1" customWidth="1"/>
    <col min="17" max="17" width="20.5" bestFit="1" customWidth="1"/>
  </cols>
  <sheetData>
    <row r="1" spans="2:10" ht="18" x14ac:dyDescent="0.2">
      <c r="B1" s="580" t="str">
        <f>'Crash Analysis'!B1</f>
        <v>Type 'Heading' Here</v>
      </c>
      <c r="G1" s="578" t="str">
        <f>B1</f>
        <v>Type 'Heading' Here</v>
      </c>
    </row>
    <row r="2" spans="2:10" ht="18" x14ac:dyDescent="0.2">
      <c r="B2" s="439" t="s">
        <v>6134</v>
      </c>
      <c r="G2" s="439" t="s">
        <v>6134</v>
      </c>
    </row>
    <row r="4" spans="2:10" x14ac:dyDescent="0.15">
      <c r="B4" s="256" t="s">
        <v>5983</v>
      </c>
      <c r="C4" t="s">
        <v>175</v>
      </c>
      <c r="D4" t="s">
        <v>5976</v>
      </c>
      <c r="E4" t="s">
        <v>5977</v>
      </c>
      <c r="G4" s="256" t="s">
        <v>5984</v>
      </c>
      <c r="H4" t="s">
        <v>175</v>
      </c>
      <c r="I4" t="s">
        <v>5976</v>
      </c>
      <c r="J4" t="s">
        <v>5977</v>
      </c>
    </row>
    <row r="5" spans="2:10" x14ac:dyDescent="0.15">
      <c r="B5" s="118" t="s">
        <v>6303</v>
      </c>
      <c r="C5">
        <v>165</v>
      </c>
      <c r="D5">
        <v>0</v>
      </c>
      <c r="E5">
        <v>6</v>
      </c>
      <c r="G5" s="118" t="s">
        <v>6302</v>
      </c>
      <c r="H5">
        <v>170</v>
      </c>
      <c r="I5">
        <v>0</v>
      </c>
      <c r="J5">
        <v>6</v>
      </c>
    </row>
    <row r="6" spans="2:10" x14ac:dyDescent="0.15">
      <c r="B6" s="118" t="s">
        <v>417</v>
      </c>
      <c r="C6">
        <v>76</v>
      </c>
      <c r="D6">
        <v>0</v>
      </c>
      <c r="E6">
        <v>1</v>
      </c>
      <c r="G6" s="118" t="s">
        <v>6300</v>
      </c>
      <c r="H6">
        <v>109</v>
      </c>
      <c r="I6">
        <v>1</v>
      </c>
      <c r="J6">
        <v>2</v>
      </c>
    </row>
    <row r="7" spans="2:10" x14ac:dyDescent="0.15">
      <c r="B7" s="118" t="s">
        <v>6305</v>
      </c>
      <c r="C7">
        <v>40</v>
      </c>
      <c r="D7">
        <v>1</v>
      </c>
      <c r="E7">
        <v>1</v>
      </c>
      <c r="G7" s="118" t="s">
        <v>433</v>
      </c>
      <c r="H7">
        <v>19</v>
      </c>
      <c r="I7">
        <v>0</v>
      </c>
      <c r="J7">
        <v>1</v>
      </c>
    </row>
    <row r="8" spans="2:10" x14ac:dyDescent="0.15">
      <c r="B8" s="118" t="s">
        <v>6304</v>
      </c>
      <c r="C8">
        <v>8</v>
      </c>
      <c r="D8">
        <v>0</v>
      </c>
      <c r="E8">
        <v>0</v>
      </c>
      <c r="G8" s="118" t="s">
        <v>6301</v>
      </c>
      <c r="H8">
        <v>5</v>
      </c>
      <c r="I8">
        <v>0</v>
      </c>
      <c r="J8">
        <v>0</v>
      </c>
    </row>
    <row r="9" spans="2:10" x14ac:dyDescent="0.15">
      <c r="B9" s="118" t="s">
        <v>6323</v>
      </c>
      <c r="C9">
        <v>6</v>
      </c>
      <c r="D9">
        <v>0</v>
      </c>
      <c r="E9">
        <v>0</v>
      </c>
      <c r="G9" s="118" t="s">
        <v>6299</v>
      </c>
      <c r="H9">
        <v>4</v>
      </c>
      <c r="I9">
        <v>0</v>
      </c>
      <c r="J9">
        <v>0</v>
      </c>
    </row>
    <row r="10" spans="2:10" x14ac:dyDescent="0.15">
      <c r="B10" s="118" t="s">
        <v>6315</v>
      </c>
      <c r="C10">
        <v>3</v>
      </c>
      <c r="D10">
        <v>0</v>
      </c>
      <c r="E10">
        <v>0</v>
      </c>
      <c r="G10" s="118" t="s">
        <v>468</v>
      </c>
      <c r="H10">
        <v>1</v>
      </c>
      <c r="I10">
        <v>0</v>
      </c>
      <c r="J10">
        <v>0</v>
      </c>
    </row>
    <row r="11" spans="2:10" x14ac:dyDescent="0.15">
      <c r="B11" s="118" t="s">
        <v>6307</v>
      </c>
      <c r="C11">
        <v>3</v>
      </c>
      <c r="D11">
        <v>0</v>
      </c>
      <c r="E11">
        <v>0</v>
      </c>
      <c r="G11" s="118" t="s">
        <v>100</v>
      </c>
      <c r="H11">
        <v>308</v>
      </c>
      <c r="I11">
        <v>1</v>
      </c>
      <c r="J11">
        <v>9</v>
      </c>
    </row>
    <row r="12" spans="2:10" x14ac:dyDescent="0.15">
      <c r="B12" s="118" t="s">
        <v>6306</v>
      </c>
      <c r="C12">
        <v>2</v>
      </c>
      <c r="D12">
        <v>0</v>
      </c>
      <c r="E12">
        <v>0</v>
      </c>
    </row>
    <row r="13" spans="2:10" x14ac:dyDescent="0.15">
      <c r="B13" s="118" t="s">
        <v>472</v>
      </c>
      <c r="C13">
        <v>1</v>
      </c>
      <c r="D13">
        <v>0</v>
      </c>
      <c r="E13">
        <v>0</v>
      </c>
    </row>
    <row r="14" spans="2:10" x14ac:dyDescent="0.15">
      <c r="B14" s="118" t="s">
        <v>6317</v>
      </c>
      <c r="C14">
        <v>1</v>
      </c>
      <c r="D14">
        <v>0</v>
      </c>
      <c r="E14">
        <v>0</v>
      </c>
    </row>
    <row r="15" spans="2:10" x14ac:dyDescent="0.15">
      <c r="B15" s="118" t="s">
        <v>464</v>
      </c>
      <c r="C15">
        <v>1</v>
      </c>
      <c r="D15">
        <v>0</v>
      </c>
      <c r="E15">
        <v>0</v>
      </c>
    </row>
    <row r="16" spans="2:10" x14ac:dyDescent="0.15">
      <c r="B16" s="118" t="s">
        <v>6308</v>
      </c>
      <c r="C16">
        <v>1</v>
      </c>
      <c r="D16">
        <v>0</v>
      </c>
      <c r="E16">
        <v>1</v>
      </c>
    </row>
    <row r="17" spans="2:10" x14ac:dyDescent="0.15">
      <c r="B17" s="118" t="s">
        <v>6322</v>
      </c>
      <c r="C17">
        <v>1</v>
      </c>
      <c r="D17">
        <v>0</v>
      </c>
      <c r="E17">
        <v>0</v>
      </c>
    </row>
    <row r="18" spans="2:10" x14ac:dyDescent="0.15">
      <c r="B18" s="118" t="s">
        <v>100</v>
      </c>
      <c r="C18">
        <v>308</v>
      </c>
      <c r="D18">
        <v>1</v>
      </c>
      <c r="E18">
        <v>9</v>
      </c>
    </row>
    <row r="23" spans="2:10" x14ac:dyDescent="0.15">
      <c r="G23" s="256" t="s">
        <v>6174</v>
      </c>
      <c r="H23" t="s">
        <v>175</v>
      </c>
      <c r="I23" t="s">
        <v>5976</v>
      </c>
      <c r="J23" t="s">
        <v>5977</v>
      </c>
    </row>
    <row r="24" spans="2:10" x14ac:dyDescent="0.15">
      <c r="G24" s="118" t="s">
        <v>475</v>
      </c>
      <c r="H24">
        <v>11</v>
      </c>
      <c r="I24">
        <v>0</v>
      </c>
      <c r="J24">
        <v>1</v>
      </c>
    </row>
    <row r="25" spans="2:10" x14ac:dyDescent="0.15">
      <c r="G25" s="118" t="s">
        <v>461</v>
      </c>
      <c r="H25">
        <v>7</v>
      </c>
      <c r="I25">
        <v>0</v>
      </c>
      <c r="J25">
        <v>1</v>
      </c>
    </row>
    <row r="26" spans="2:10" x14ac:dyDescent="0.15">
      <c r="G26" s="118" t="s">
        <v>488</v>
      </c>
      <c r="H26">
        <v>5</v>
      </c>
      <c r="I26">
        <v>0</v>
      </c>
      <c r="J26">
        <v>0</v>
      </c>
    </row>
    <row r="27" spans="2:10" x14ac:dyDescent="0.15">
      <c r="G27" s="118" t="s">
        <v>491</v>
      </c>
      <c r="H27">
        <v>2</v>
      </c>
      <c r="I27">
        <v>0</v>
      </c>
      <c r="J27">
        <v>0</v>
      </c>
    </row>
    <row r="28" spans="2:10" x14ac:dyDescent="0.15">
      <c r="G28" s="118" t="s">
        <v>487</v>
      </c>
      <c r="H28">
        <v>1</v>
      </c>
      <c r="I28">
        <v>0</v>
      </c>
      <c r="J28">
        <v>0</v>
      </c>
    </row>
    <row r="29" spans="2:10" x14ac:dyDescent="0.15">
      <c r="G29" s="118" t="s">
        <v>459</v>
      </c>
      <c r="H29">
        <v>1</v>
      </c>
      <c r="I29">
        <v>1</v>
      </c>
      <c r="J29">
        <v>0</v>
      </c>
    </row>
    <row r="30" spans="2:10" x14ac:dyDescent="0.15">
      <c r="G30" s="118" t="s">
        <v>542</v>
      </c>
      <c r="H30">
        <v>1</v>
      </c>
      <c r="I30">
        <v>0</v>
      </c>
      <c r="J30">
        <v>0</v>
      </c>
    </row>
    <row r="31" spans="2:10" x14ac:dyDescent="0.15">
      <c r="G31" s="118" t="s">
        <v>460</v>
      </c>
      <c r="H31">
        <v>1</v>
      </c>
      <c r="I31">
        <v>0</v>
      </c>
      <c r="J31">
        <v>0</v>
      </c>
    </row>
    <row r="32" spans="2:10" x14ac:dyDescent="0.15">
      <c r="G32" s="118" t="s">
        <v>427</v>
      </c>
      <c r="H32">
        <v>1</v>
      </c>
      <c r="I32">
        <v>0</v>
      </c>
      <c r="J32">
        <v>0</v>
      </c>
    </row>
    <row r="33" spans="2:10" x14ac:dyDescent="0.15">
      <c r="G33" s="118" t="s">
        <v>455</v>
      </c>
      <c r="H33">
        <v>1</v>
      </c>
      <c r="I33">
        <v>0</v>
      </c>
      <c r="J33">
        <v>0</v>
      </c>
    </row>
    <row r="34" spans="2:10" x14ac:dyDescent="0.15">
      <c r="B34" s="256" t="s">
        <v>5985</v>
      </c>
      <c r="C34" t="s">
        <v>175</v>
      </c>
      <c r="D34" t="s">
        <v>5976</v>
      </c>
      <c r="E34" t="s">
        <v>5977</v>
      </c>
      <c r="G34" s="118" t="s">
        <v>100</v>
      </c>
      <c r="H34">
        <v>31</v>
      </c>
      <c r="I34">
        <v>1</v>
      </c>
      <c r="J34">
        <v>2</v>
      </c>
    </row>
    <row r="35" spans="2:10" x14ac:dyDescent="0.15">
      <c r="B35" s="118" t="s">
        <v>398</v>
      </c>
      <c r="C35">
        <v>277</v>
      </c>
      <c r="D35">
        <v>1</v>
      </c>
      <c r="E35">
        <v>8</v>
      </c>
    </row>
    <row r="36" spans="2:10" x14ac:dyDescent="0.15">
      <c r="B36" s="118" t="s">
        <v>6151</v>
      </c>
      <c r="C36">
        <v>24</v>
      </c>
      <c r="D36">
        <v>0</v>
      </c>
      <c r="E36">
        <v>0</v>
      </c>
    </row>
    <row r="37" spans="2:10" x14ac:dyDescent="0.15">
      <c r="B37" s="118" t="s">
        <v>520</v>
      </c>
      <c r="C37">
        <v>3</v>
      </c>
      <c r="D37">
        <v>0</v>
      </c>
      <c r="E37">
        <v>1</v>
      </c>
    </row>
    <row r="38" spans="2:10" x14ac:dyDescent="0.15">
      <c r="B38" s="118" t="s">
        <v>6384</v>
      </c>
      <c r="C38">
        <v>1</v>
      </c>
      <c r="D38">
        <v>0</v>
      </c>
      <c r="E38">
        <v>0</v>
      </c>
    </row>
    <row r="39" spans="2:10" x14ac:dyDescent="0.15">
      <c r="B39" s="118" t="s">
        <v>428</v>
      </c>
      <c r="C39">
        <v>1</v>
      </c>
      <c r="D39">
        <v>0</v>
      </c>
      <c r="E39">
        <v>0</v>
      </c>
    </row>
    <row r="40" spans="2:10" x14ac:dyDescent="0.15">
      <c r="B40" s="118" t="s">
        <v>521</v>
      </c>
      <c r="C40">
        <v>1</v>
      </c>
      <c r="D40">
        <v>0</v>
      </c>
      <c r="E40">
        <v>0</v>
      </c>
    </row>
    <row r="41" spans="2:10" x14ac:dyDescent="0.15">
      <c r="B41" s="118" t="s">
        <v>6375</v>
      </c>
      <c r="C41">
        <v>1</v>
      </c>
      <c r="D41">
        <v>0</v>
      </c>
      <c r="E41">
        <v>0</v>
      </c>
    </row>
    <row r="42" spans="2:10" x14ac:dyDescent="0.15">
      <c r="B42" s="118" t="s">
        <v>100</v>
      </c>
      <c r="C42">
        <v>308</v>
      </c>
      <c r="D42">
        <v>1</v>
      </c>
      <c r="E42">
        <v>9</v>
      </c>
    </row>
    <row r="47" spans="2:10" x14ac:dyDescent="0.15">
      <c r="G47" s="256" t="s">
        <v>6127</v>
      </c>
      <c r="H47" t="s">
        <v>175</v>
      </c>
      <c r="I47" t="s">
        <v>5976</v>
      </c>
      <c r="J47" t="s">
        <v>5977</v>
      </c>
    </row>
    <row r="48" spans="2:10" x14ac:dyDescent="0.15">
      <c r="G48" s="118" t="s">
        <v>6327</v>
      </c>
      <c r="H48">
        <v>75</v>
      </c>
      <c r="I48">
        <v>0</v>
      </c>
      <c r="J48">
        <v>5</v>
      </c>
    </row>
    <row r="49" spans="2:10" x14ac:dyDescent="0.15">
      <c r="G49" s="118" t="s">
        <v>6512</v>
      </c>
      <c r="H49">
        <v>58</v>
      </c>
      <c r="I49">
        <v>0</v>
      </c>
      <c r="J49">
        <v>0</v>
      </c>
    </row>
    <row r="50" spans="2:10" x14ac:dyDescent="0.15">
      <c r="G50" s="118" t="s">
        <v>407</v>
      </c>
      <c r="H50">
        <v>42</v>
      </c>
      <c r="I50">
        <v>1</v>
      </c>
      <c r="J50">
        <v>1</v>
      </c>
    </row>
    <row r="51" spans="2:10" x14ac:dyDescent="0.15">
      <c r="G51" s="118" t="s">
        <v>398</v>
      </c>
      <c r="H51">
        <v>24</v>
      </c>
      <c r="I51">
        <v>0</v>
      </c>
      <c r="J51">
        <v>1</v>
      </c>
    </row>
    <row r="52" spans="2:10" x14ac:dyDescent="0.15">
      <c r="G52" s="118" t="s">
        <v>451</v>
      </c>
      <c r="H52">
        <v>18</v>
      </c>
      <c r="I52">
        <v>0</v>
      </c>
      <c r="J52">
        <v>1</v>
      </c>
    </row>
    <row r="53" spans="2:10" x14ac:dyDescent="0.15">
      <c r="G53" s="118" t="s">
        <v>6329</v>
      </c>
      <c r="H53">
        <v>17</v>
      </c>
      <c r="I53">
        <v>0</v>
      </c>
      <c r="J53">
        <v>0</v>
      </c>
    </row>
    <row r="54" spans="2:10" x14ac:dyDescent="0.15">
      <c r="G54" s="118" t="s">
        <v>440</v>
      </c>
      <c r="H54">
        <v>14</v>
      </c>
      <c r="I54">
        <v>0</v>
      </c>
      <c r="J54">
        <v>0</v>
      </c>
    </row>
    <row r="55" spans="2:10" x14ac:dyDescent="0.15">
      <c r="G55" s="118" t="s">
        <v>6328</v>
      </c>
      <c r="H55">
        <v>14</v>
      </c>
      <c r="I55">
        <v>0</v>
      </c>
      <c r="J55">
        <v>0</v>
      </c>
    </row>
    <row r="56" spans="2:10" x14ac:dyDescent="0.15">
      <c r="B56" s="118"/>
      <c r="C56" s="257"/>
      <c r="G56" s="118" t="s">
        <v>425</v>
      </c>
      <c r="H56">
        <v>10</v>
      </c>
      <c r="I56">
        <v>0</v>
      </c>
      <c r="J56">
        <v>1</v>
      </c>
    </row>
    <row r="57" spans="2:10" x14ac:dyDescent="0.15">
      <c r="B57" s="118"/>
      <c r="C57" s="257"/>
      <c r="G57" s="118" t="s">
        <v>6338</v>
      </c>
      <c r="H57">
        <v>8</v>
      </c>
      <c r="I57">
        <v>0</v>
      </c>
      <c r="J57">
        <v>0</v>
      </c>
    </row>
    <row r="58" spans="2:10" x14ac:dyDescent="0.15">
      <c r="B58" s="256" t="s">
        <v>6126</v>
      </c>
      <c r="C58" t="s">
        <v>175</v>
      </c>
      <c r="D58" t="s">
        <v>5976</v>
      </c>
      <c r="E58" t="s">
        <v>5977</v>
      </c>
      <c r="G58" s="118" t="s">
        <v>441</v>
      </c>
      <c r="H58">
        <v>8</v>
      </c>
      <c r="I58">
        <v>0</v>
      </c>
      <c r="J58">
        <v>0</v>
      </c>
    </row>
    <row r="59" spans="2:10" x14ac:dyDescent="0.15">
      <c r="B59" s="118" t="s">
        <v>399</v>
      </c>
      <c r="C59">
        <v>142</v>
      </c>
      <c r="D59">
        <v>1</v>
      </c>
      <c r="E59">
        <v>2</v>
      </c>
      <c r="G59" s="118" t="s">
        <v>6331</v>
      </c>
      <c r="H59">
        <v>6</v>
      </c>
      <c r="I59">
        <v>0</v>
      </c>
      <c r="J59">
        <v>0</v>
      </c>
    </row>
    <row r="60" spans="2:10" x14ac:dyDescent="0.15">
      <c r="B60" s="118" t="s">
        <v>436</v>
      </c>
      <c r="C60">
        <v>73</v>
      </c>
      <c r="D60">
        <v>0</v>
      </c>
      <c r="E60">
        <v>7</v>
      </c>
      <c r="G60" s="118" t="s">
        <v>6330</v>
      </c>
      <c r="H60">
        <v>4</v>
      </c>
      <c r="I60">
        <v>0</v>
      </c>
      <c r="J60">
        <v>0</v>
      </c>
    </row>
    <row r="61" spans="2:10" x14ac:dyDescent="0.15">
      <c r="B61" s="118" t="s">
        <v>439</v>
      </c>
      <c r="C61">
        <v>18</v>
      </c>
      <c r="D61">
        <v>0</v>
      </c>
      <c r="E61">
        <v>0</v>
      </c>
      <c r="G61" s="118" t="s">
        <v>6334</v>
      </c>
      <c r="H61">
        <v>4</v>
      </c>
      <c r="I61">
        <v>0</v>
      </c>
      <c r="J61">
        <v>0</v>
      </c>
    </row>
    <row r="62" spans="2:10" x14ac:dyDescent="0.15">
      <c r="B62" s="118" t="s">
        <v>6151</v>
      </c>
      <c r="C62">
        <v>14</v>
      </c>
      <c r="D62">
        <v>0</v>
      </c>
      <c r="E62">
        <v>0</v>
      </c>
      <c r="G62" s="118" t="s">
        <v>458</v>
      </c>
      <c r="H62">
        <v>3</v>
      </c>
      <c r="I62">
        <v>0</v>
      </c>
      <c r="J62">
        <v>0</v>
      </c>
    </row>
    <row r="63" spans="2:10" x14ac:dyDescent="0.15">
      <c r="B63" s="118" t="s">
        <v>435</v>
      </c>
      <c r="C63">
        <v>14</v>
      </c>
      <c r="D63">
        <v>0</v>
      </c>
      <c r="E63">
        <v>0</v>
      </c>
      <c r="G63" s="118" t="s">
        <v>457</v>
      </c>
      <c r="H63">
        <v>2</v>
      </c>
      <c r="I63">
        <v>0</v>
      </c>
      <c r="J63">
        <v>0</v>
      </c>
    </row>
    <row r="64" spans="2:10" x14ac:dyDescent="0.15">
      <c r="B64" s="118" t="s">
        <v>444</v>
      </c>
      <c r="C64">
        <v>12</v>
      </c>
      <c r="D64">
        <v>0</v>
      </c>
      <c r="E64">
        <v>0</v>
      </c>
      <c r="G64" s="118" t="s">
        <v>6336</v>
      </c>
      <c r="H64">
        <v>1</v>
      </c>
      <c r="I64">
        <v>0</v>
      </c>
      <c r="J64">
        <v>0</v>
      </c>
    </row>
    <row r="65" spans="2:10" x14ac:dyDescent="0.15">
      <c r="B65" s="118" t="s">
        <v>212</v>
      </c>
      <c r="C65">
        <v>10</v>
      </c>
      <c r="D65">
        <v>0</v>
      </c>
      <c r="E65">
        <v>0</v>
      </c>
      <c r="G65" s="118" t="s">
        <v>100</v>
      </c>
      <c r="H65">
        <v>308</v>
      </c>
      <c r="I65">
        <v>1</v>
      </c>
      <c r="J65">
        <v>9</v>
      </c>
    </row>
    <row r="66" spans="2:10" x14ac:dyDescent="0.15">
      <c r="B66" s="118" t="s">
        <v>463</v>
      </c>
      <c r="C66">
        <v>7</v>
      </c>
      <c r="D66">
        <v>0</v>
      </c>
      <c r="E66">
        <v>0</v>
      </c>
    </row>
    <row r="67" spans="2:10" x14ac:dyDescent="0.15">
      <c r="B67" s="118" t="s">
        <v>6356</v>
      </c>
      <c r="C67">
        <v>7</v>
      </c>
      <c r="D67">
        <v>0</v>
      </c>
      <c r="E67">
        <v>0</v>
      </c>
    </row>
    <row r="68" spans="2:10" x14ac:dyDescent="0.15">
      <c r="B68" s="118" t="s">
        <v>408</v>
      </c>
      <c r="C68">
        <v>4</v>
      </c>
      <c r="D68">
        <v>0</v>
      </c>
      <c r="E68">
        <v>0</v>
      </c>
    </row>
    <row r="69" spans="2:10" x14ac:dyDescent="0.15">
      <c r="B69" s="118" t="s">
        <v>6355</v>
      </c>
      <c r="C69">
        <v>3</v>
      </c>
      <c r="D69">
        <v>0</v>
      </c>
      <c r="E69">
        <v>0</v>
      </c>
    </row>
    <row r="70" spans="2:10" x14ac:dyDescent="0.15">
      <c r="B70" s="118" t="s">
        <v>486</v>
      </c>
      <c r="C70">
        <v>3</v>
      </c>
      <c r="D70">
        <v>0</v>
      </c>
      <c r="E70">
        <v>0</v>
      </c>
    </row>
    <row r="71" spans="2:10" x14ac:dyDescent="0.15">
      <c r="B71" s="118" t="s">
        <v>465</v>
      </c>
      <c r="C71">
        <v>1</v>
      </c>
      <c r="D71">
        <v>0</v>
      </c>
      <c r="E71">
        <v>0</v>
      </c>
    </row>
    <row r="72" spans="2:10" x14ac:dyDescent="0.15">
      <c r="B72" s="118" t="s">
        <v>100</v>
      </c>
      <c r="C72">
        <v>308</v>
      </c>
      <c r="D72">
        <v>1</v>
      </c>
      <c r="E72">
        <v>9</v>
      </c>
    </row>
    <row r="87" spans="2:15" x14ac:dyDescent="0.15">
      <c r="B87" s="256" t="s">
        <v>6128</v>
      </c>
      <c r="C87" t="s">
        <v>175</v>
      </c>
      <c r="D87" t="s">
        <v>5976</v>
      </c>
      <c r="E87" t="s">
        <v>5977</v>
      </c>
    </row>
    <row r="88" spans="2:15" x14ac:dyDescent="0.15">
      <c r="B88" s="118" t="s">
        <v>1068</v>
      </c>
      <c r="C88">
        <v>143</v>
      </c>
      <c r="D88">
        <v>1</v>
      </c>
      <c r="E88">
        <v>4</v>
      </c>
      <c r="G88" s="256" t="s">
        <v>6170</v>
      </c>
      <c r="H88" t="s">
        <v>175</v>
      </c>
      <c r="I88" t="s">
        <v>5976</v>
      </c>
      <c r="J88" t="s">
        <v>5977</v>
      </c>
      <c r="L88" s="256" t="s">
        <v>6169</v>
      </c>
      <c r="M88" t="s">
        <v>175</v>
      </c>
      <c r="N88" t="s">
        <v>5976</v>
      </c>
      <c r="O88" t="s">
        <v>5977</v>
      </c>
    </row>
    <row r="89" spans="2:15" x14ac:dyDescent="0.15">
      <c r="B89" s="118" t="s">
        <v>1066</v>
      </c>
      <c r="C89">
        <v>110</v>
      </c>
      <c r="D89">
        <v>0</v>
      </c>
      <c r="E89">
        <v>4</v>
      </c>
      <c r="G89" s="118" t="s">
        <v>393</v>
      </c>
      <c r="H89">
        <v>291</v>
      </c>
      <c r="I89">
        <v>1</v>
      </c>
      <c r="J89">
        <v>7</v>
      </c>
      <c r="L89" s="118" t="s">
        <v>393</v>
      </c>
      <c r="M89">
        <v>307</v>
      </c>
      <c r="N89">
        <v>1</v>
      </c>
      <c r="O89">
        <v>9</v>
      </c>
    </row>
    <row r="90" spans="2:15" x14ac:dyDescent="0.15">
      <c r="B90" s="118" t="s">
        <v>401</v>
      </c>
      <c r="C90">
        <v>55</v>
      </c>
      <c r="D90">
        <v>0</v>
      </c>
      <c r="E90">
        <v>1</v>
      </c>
      <c r="G90" s="118" t="s">
        <v>740</v>
      </c>
      <c r="H90">
        <v>17</v>
      </c>
      <c r="I90">
        <v>0</v>
      </c>
      <c r="J90">
        <v>2</v>
      </c>
      <c r="L90" s="118" t="s">
        <v>740</v>
      </c>
      <c r="M90">
        <v>1</v>
      </c>
      <c r="N90">
        <v>0</v>
      </c>
      <c r="O90">
        <v>0</v>
      </c>
    </row>
    <row r="91" spans="2:15" x14ac:dyDescent="0.15">
      <c r="B91" s="118" t="s">
        <v>100</v>
      </c>
      <c r="C91">
        <v>308</v>
      </c>
      <c r="D91">
        <v>1</v>
      </c>
      <c r="E91">
        <v>9</v>
      </c>
      <c r="G91" s="118" t="s">
        <v>100</v>
      </c>
      <c r="H91">
        <v>308</v>
      </c>
      <c r="I91">
        <v>1</v>
      </c>
      <c r="J91">
        <v>9</v>
      </c>
      <c r="L91" s="118" t="s">
        <v>100</v>
      </c>
      <c r="M91">
        <v>308</v>
      </c>
      <c r="N91">
        <v>1</v>
      </c>
      <c r="O91">
        <v>9</v>
      </c>
    </row>
    <row r="94" spans="2:15" x14ac:dyDescent="0.15">
      <c r="B94" s="256" t="s">
        <v>6129</v>
      </c>
      <c r="C94" t="s">
        <v>175</v>
      </c>
      <c r="D94" t="s">
        <v>5976</v>
      </c>
      <c r="E94" t="s">
        <v>5977</v>
      </c>
      <c r="L94" s="256" t="s">
        <v>6171</v>
      </c>
      <c r="M94" t="s">
        <v>175</v>
      </c>
      <c r="N94" t="s">
        <v>5976</v>
      </c>
      <c r="O94" t="s">
        <v>5977</v>
      </c>
    </row>
    <row r="95" spans="2:15" x14ac:dyDescent="0.15">
      <c r="B95" s="118" t="s">
        <v>6427</v>
      </c>
      <c r="C95">
        <v>73</v>
      </c>
      <c r="D95">
        <v>0</v>
      </c>
      <c r="E95">
        <v>1</v>
      </c>
      <c r="L95" s="118" t="s">
        <v>393</v>
      </c>
      <c r="M95">
        <v>307</v>
      </c>
      <c r="N95">
        <v>1</v>
      </c>
      <c r="O95">
        <v>9</v>
      </c>
    </row>
    <row r="96" spans="2:15" x14ac:dyDescent="0.15">
      <c r="B96" s="118" t="s">
        <v>6416</v>
      </c>
      <c r="C96">
        <v>30</v>
      </c>
      <c r="D96">
        <v>0</v>
      </c>
      <c r="E96">
        <v>2</v>
      </c>
      <c r="L96" s="118" t="s">
        <v>740</v>
      </c>
      <c r="M96">
        <v>1</v>
      </c>
      <c r="N96">
        <v>0</v>
      </c>
      <c r="O96">
        <v>0</v>
      </c>
    </row>
    <row r="97" spans="2:15" x14ac:dyDescent="0.15">
      <c r="B97" s="118" t="s">
        <v>6417</v>
      </c>
      <c r="C97">
        <v>31</v>
      </c>
      <c r="D97">
        <v>0</v>
      </c>
      <c r="E97">
        <v>0</v>
      </c>
      <c r="L97" s="118" t="s">
        <v>100</v>
      </c>
      <c r="M97">
        <v>308</v>
      </c>
      <c r="N97">
        <v>1</v>
      </c>
      <c r="O97">
        <v>9</v>
      </c>
    </row>
    <row r="98" spans="2:15" x14ac:dyDescent="0.15">
      <c r="B98" s="118" t="s">
        <v>6418</v>
      </c>
      <c r="C98">
        <v>32</v>
      </c>
      <c r="D98">
        <v>0</v>
      </c>
      <c r="E98">
        <v>0</v>
      </c>
      <c r="G98" s="256" t="s">
        <v>6130</v>
      </c>
      <c r="H98" t="s">
        <v>175</v>
      </c>
      <c r="I98" t="s">
        <v>5976</v>
      </c>
      <c r="J98" t="s">
        <v>5977</v>
      </c>
    </row>
    <row r="99" spans="2:15" x14ac:dyDescent="0.15">
      <c r="B99" s="118" t="s">
        <v>6419</v>
      </c>
      <c r="C99">
        <v>39</v>
      </c>
      <c r="D99">
        <v>0</v>
      </c>
      <c r="E99">
        <v>3</v>
      </c>
      <c r="G99" s="118" t="s">
        <v>6341</v>
      </c>
      <c r="H99">
        <v>176</v>
      </c>
      <c r="I99">
        <v>0</v>
      </c>
      <c r="J99">
        <v>5</v>
      </c>
    </row>
    <row r="100" spans="2:15" x14ac:dyDescent="0.15">
      <c r="B100" s="118" t="s">
        <v>6420</v>
      </c>
      <c r="C100">
        <v>18</v>
      </c>
      <c r="D100">
        <v>0</v>
      </c>
      <c r="E100">
        <v>0</v>
      </c>
      <c r="G100" s="118" t="s">
        <v>6151</v>
      </c>
      <c r="H100">
        <v>120</v>
      </c>
      <c r="I100">
        <v>1</v>
      </c>
      <c r="J100">
        <v>4</v>
      </c>
    </row>
    <row r="101" spans="2:15" x14ac:dyDescent="0.15">
      <c r="B101" s="118" t="s">
        <v>6421</v>
      </c>
      <c r="C101">
        <v>18</v>
      </c>
      <c r="D101">
        <v>0</v>
      </c>
      <c r="E101">
        <v>0</v>
      </c>
      <c r="G101" s="118" t="s">
        <v>6348</v>
      </c>
      <c r="H101">
        <v>3</v>
      </c>
      <c r="I101">
        <v>0</v>
      </c>
      <c r="J101">
        <v>0</v>
      </c>
    </row>
    <row r="102" spans="2:15" x14ac:dyDescent="0.15">
      <c r="B102" s="118" t="s">
        <v>6422</v>
      </c>
      <c r="C102">
        <v>17</v>
      </c>
      <c r="D102">
        <v>0</v>
      </c>
      <c r="E102">
        <v>1</v>
      </c>
      <c r="G102" s="118" t="s">
        <v>6345</v>
      </c>
      <c r="H102">
        <v>3</v>
      </c>
      <c r="I102">
        <v>0</v>
      </c>
      <c r="J102">
        <v>0</v>
      </c>
    </row>
    <row r="103" spans="2:15" x14ac:dyDescent="0.15">
      <c r="B103" s="118" t="s">
        <v>6423</v>
      </c>
      <c r="C103">
        <v>14</v>
      </c>
      <c r="D103">
        <v>0</v>
      </c>
      <c r="E103">
        <v>0</v>
      </c>
      <c r="G103" s="118" t="s">
        <v>6342</v>
      </c>
      <c r="H103">
        <v>3</v>
      </c>
      <c r="I103">
        <v>0</v>
      </c>
      <c r="J103">
        <v>0</v>
      </c>
    </row>
    <row r="104" spans="2:15" x14ac:dyDescent="0.15">
      <c r="B104" s="118" t="s">
        <v>6424</v>
      </c>
      <c r="C104">
        <v>13</v>
      </c>
      <c r="D104">
        <v>1</v>
      </c>
      <c r="E104">
        <v>0</v>
      </c>
      <c r="G104" s="118" t="s">
        <v>6346</v>
      </c>
      <c r="H104">
        <v>2</v>
      </c>
      <c r="I104">
        <v>0</v>
      </c>
      <c r="J104">
        <v>0</v>
      </c>
    </row>
    <row r="105" spans="2:15" x14ac:dyDescent="0.15">
      <c r="B105" s="118" t="s">
        <v>6425</v>
      </c>
      <c r="C105">
        <v>10</v>
      </c>
      <c r="D105">
        <v>0</v>
      </c>
      <c r="E105">
        <v>1</v>
      </c>
      <c r="G105" s="118" t="s">
        <v>6347</v>
      </c>
      <c r="H105">
        <v>1</v>
      </c>
      <c r="I105">
        <v>0</v>
      </c>
      <c r="J105">
        <v>0</v>
      </c>
    </row>
    <row r="106" spans="2:15" x14ac:dyDescent="0.15">
      <c r="B106" s="118" t="s">
        <v>6426</v>
      </c>
      <c r="C106">
        <v>5</v>
      </c>
      <c r="D106">
        <v>0</v>
      </c>
      <c r="E106">
        <v>0</v>
      </c>
      <c r="G106" s="118" t="s">
        <v>100</v>
      </c>
      <c r="H106">
        <v>308</v>
      </c>
      <c r="I106">
        <v>1</v>
      </c>
      <c r="J106">
        <v>9</v>
      </c>
    </row>
    <row r="107" spans="2:15" x14ac:dyDescent="0.15">
      <c r="B107" s="118" t="s">
        <v>6742</v>
      </c>
      <c r="C107">
        <v>3</v>
      </c>
      <c r="D107">
        <v>0</v>
      </c>
      <c r="E107">
        <v>0</v>
      </c>
    </row>
    <row r="108" spans="2:15" x14ac:dyDescent="0.15">
      <c r="B108" s="118" t="s">
        <v>6743</v>
      </c>
      <c r="C108">
        <v>4</v>
      </c>
      <c r="D108">
        <v>0</v>
      </c>
      <c r="E108">
        <v>1</v>
      </c>
    </row>
    <row r="109" spans="2:15" x14ac:dyDescent="0.15">
      <c r="B109" s="118" t="s">
        <v>6744</v>
      </c>
      <c r="C109">
        <v>1</v>
      </c>
      <c r="D109">
        <v>0</v>
      </c>
      <c r="E109">
        <v>0</v>
      </c>
    </row>
    <row r="110" spans="2:15" x14ac:dyDescent="0.15">
      <c r="B110" s="118" t="s">
        <v>100</v>
      </c>
      <c r="C110">
        <v>308</v>
      </c>
      <c r="D110">
        <v>1</v>
      </c>
      <c r="E110">
        <v>9</v>
      </c>
    </row>
    <row r="111" spans="2:15" x14ac:dyDescent="0.15">
      <c r="G111" s="256" t="s">
        <v>6131</v>
      </c>
      <c r="H111" t="s">
        <v>175</v>
      </c>
      <c r="I111" t="s">
        <v>5976</v>
      </c>
      <c r="J111" t="s">
        <v>5977</v>
      </c>
    </row>
    <row r="112" spans="2:15" x14ac:dyDescent="0.15">
      <c r="G112" s="118" t="s">
        <v>100</v>
      </c>
      <c r="H112">
        <v>0</v>
      </c>
      <c r="I112">
        <v>0</v>
      </c>
      <c r="J112">
        <v>0</v>
      </c>
    </row>
    <row r="127" spans="7:15" x14ac:dyDescent="0.15">
      <c r="G127" s="256" t="s">
        <v>6132</v>
      </c>
      <c r="H127" t="s">
        <v>175</v>
      </c>
      <c r="I127" t="s">
        <v>5976</v>
      </c>
      <c r="J127" t="s">
        <v>5977</v>
      </c>
      <c r="L127" s="256" t="s">
        <v>6133</v>
      </c>
      <c r="M127" t="s">
        <v>175</v>
      </c>
      <c r="N127" t="s">
        <v>5976</v>
      </c>
      <c r="O127" t="s">
        <v>5977</v>
      </c>
    </row>
    <row r="128" spans="7:15" x14ac:dyDescent="0.15">
      <c r="G128" s="118" t="s">
        <v>6427</v>
      </c>
      <c r="H128">
        <v>207</v>
      </c>
      <c r="I128">
        <v>1</v>
      </c>
      <c r="J128">
        <v>3</v>
      </c>
      <c r="L128" s="118">
        <v>0</v>
      </c>
      <c r="M128">
        <v>57</v>
      </c>
      <c r="N128">
        <v>0</v>
      </c>
      <c r="O128">
        <v>1</v>
      </c>
    </row>
    <row r="129" spans="7:15" x14ac:dyDescent="0.15">
      <c r="G129" s="118" t="s">
        <v>6416</v>
      </c>
      <c r="H129">
        <v>17</v>
      </c>
      <c r="I129">
        <v>0</v>
      </c>
      <c r="J129">
        <v>1</v>
      </c>
      <c r="L129" s="118">
        <v>5</v>
      </c>
      <c r="M129">
        <v>2</v>
      </c>
      <c r="N129">
        <v>0</v>
      </c>
      <c r="O129">
        <v>0</v>
      </c>
    </row>
    <row r="130" spans="7:15" x14ac:dyDescent="0.15">
      <c r="G130" s="118" t="s">
        <v>6417</v>
      </c>
      <c r="H130">
        <v>17</v>
      </c>
      <c r="I130">
        <v>0</v>
      </c>
      <c r="J130">
        <v>0</v>
      </c>
      <c r="L130" s="118">
        <v>10</v>
      </c>
      <c r="M130">
        <v>3</v>
      </c>
      <c r="N130">
        <v>0</v>
      </c>
      <c r="O130">
        <v>0</v>
      </c>
    </row>
    <row r="131" spans="7:15" x14ac:dyDescent="0.15">
      <c r="G131" s="118" t="s">
        <v>6418</v>
      </c>
      <c r="H131">
        <v>16</v>
      </c>
      <c r="I131">
        <v>0</v>
      </c>
      <c r="J131">
        <v>2</v>
      </c>
      <c r="L131" s="118">
        <v>15</v>
      </c>
      <c r="M131">
        <v>3</v>
      </c>
      <c r="N131">
        <v>0</v>
      </c>
      <c r="O131">
        <v>0</v>
      </c>
    </row>
    <row r="132" spans="7:15" x14ac:dyDescent="0.15">
      <c r="G132" s="118" t="s">
        <v>6419</v>
      </c>
      <c r="H132">
        <v>10</v>
      </c>
      <c r="I132">
        <v>0</v>
      </c>
      <c r="J132">
        <v>0</v>
      </c>
      <c r="L132" s="118">
        <v>25</v>
      </c>
      <c r="M132">
        <v>42</v>
      </c>
      <c r="N132">
        <v>0</v>
      </c>
      <c r="O132">
        <v>0</v>
      </c>
    </row>
    <row r="133" spans="7:15" x14ac:dyDescent="0.15">
      <c r="G133" s="118" t="s">
        <v>6420</v>
      </c>
      <c r="H133">
        <v>34</v>
      </c>
      <c r="I133">
        <v>0</v>
      </c>
      <c r="J133">
        <v>2</v>
      </c>
      <c r="L133" s="118">
        <v>30</v>
      </c>
      <c r="M133">
        <v>4</v>
      </c>
      <c r="N133">
        <v>0</v>
      </c>
      <c r="O133">
        <v>0</v>
      </c>
    </row>
    <row r="134" spans="7:15" x14ac:dyDescent="0.15">
      <c r="G134" s="118" t="s">
        <v>6421</v>
      </c>
      <c r="H134">
        <v>4</v>
      </c>
      <c r="I134">
        <v>0</v>
      </c>
      <c r="J134">
        <v>0</v>
      </c>
      <c r="L134" s="118">
        <v>35</v>
      </c>
      <c r="M134">
        <v>174</v>
      </c>
      <c r="N134">
        <v>0</v>
      </c>
      <c r="O134">
        <v>8</v>
      </c>
    </row>
    <row r="135" spans="7:15" x14ac:dyDescent="0.15">
      <c r="G135" s="118" t="s">
        <v>6422</v>
      </c>
      <c r="H135">
        <v>1</v>
      </c>
      <c r="I135">
        <v>0</v>
      </c>
      <c r="J135">
        <v>0</v>
      </c>
      <c r="L135" s="118">
        <v>40</v>
      </c>
      <c r="M135">
        <v>15</v>
      </c>
      <c r="N135">
        <v>0</v>
      </c>
      <c r="O135">
        <v>0</v>
      </c>
    </row>
    <row r="136" spans="7:15" x14ac:dyDescent="0.15">
      <c r="G136" s="118" t="s">
        <v>6423</v>
      </c>
      <c r="H136">
        <v>1</v>
      </c>
      <c r="I136">
        <v>0</v>
      </c>
      <c r="J136">
        <v>0</v>
      </c>
      <c r="L136" s="118">
        <v>45</v>
      </c>
      <c r="M136">
        <v>8</v>
      </c>
      <c r="N136">
        <v>1</v>
      </c>
      <c r="O136">
        <v>0</v>
      </c>
    </row>
    <row r="137" spans="7:15" x14ac:dyDescent="0.15">
      <c r="G137" s="118" t="s">
        <v>6740</v>
      </c>
      <c r="H137">
        <v>1</v>
      </c>
      <c r="I137">
        <v>0</v>
      </c>
      <c r="J137">
        <v>1</v>
      </c>
      <c r="L137" s="118" t="s">
        <v>100</v>
      </c>
      <c r="M137">
        <v>308</v>
      </c>
      <c r="N137">
        <v>1</v>
      </c>
      <c r="O137">
        <v>9</v>
      </c>
    </row>
    <row r="138" spans="7:15" x14ac:dyDescent="0.15">
      <c r="G138" s="118" t="s">
        <v>100</v>
      </c>
      <c r="H138">
        <v>308</v>
      </c>
      <c r="I138">
        <v>1</v>
      </c>
      <c r="J138">
        <v>9</v>
      </c>
    </row>
  </sheetData>
  <pageMargins left="0.7" right="0.7" top="0.75" bottom="0.75" header="0.3" footer="0.3"/>
  <pageSetup scale="66" orientation="portrait" r:id="rId16"/>
  <rowBreaks count="1" manualBreakCount="1">
    <brk id="85" max="10" man="1"/>
  </rowBreaks>
  <colBreaks count="1" manualBreakCount="1">
    <brk id="5" max="14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0933-33AF-4A12-8599-71D112132EB5}">
  <sheetPr codeName="Sheet19">
    <tabColor rgb="FFFFC000"/>
  </sheetPr>
  <dimension ref="A1:BD31"/>
  <sheetViews>
    <sheetView tabSelected="1" zoomScaleNormal="100" workbookViewId="0">
      <selection activeCell="B4" sqref="B4"/>
    </sheetView>
  </sheetViews>
  <sheetFormatPr baseColWidth="10" defaultColWidth="12.83203125" defaultRowHeight="14" x14ac:dyDescent="0.15"/>
  <cols>
    <col min="1" max="1" width="23" style="507" bestFit="1" customWidth="1"/>
    <col min="2" max="2" width="12.83203125" style="507"/>
    <col min="3" max="3" width="16.6640625" style="507" customWidth="1"/>
    <col min="4" max="26" width="12.83203125" style="507"/>
    <col min="27" max="27" width="15.83203125" style="507" bestFit="1" customWidth="1"/>
    <col min="28" max="28" width="15.5" style="507" bestFit="1" customWidth="1"/>
    <col min="29" max="16384" width="12.83203125" style="507"/>
  </cols>
  <sheetData>
    <row r="1" spans="1:56" ht="19" thickBot="1" x14ac:dyDescent="0.25">
      <c r="A1" s="623" t="s">
        <v>6620</v>
      </c>
      <c r="B1" s="624"/>
      <c r="C1" s="624"/>
      <c r="D1" s="625"/>
      <c r="AI1" s="509" t="s">
        <v>6621</v>
      </c>
    </row>
    <row r="2" spans="1:56" x14ac:dyDescent="0.15">
      <c r="A2" s="510" t="s">
        <v>1163</v>
      </c>
      <c r="B2" s="511" t="s">
        <v>6725</v>
      </c>
      <c r="D2" s="512"/>
      <c r="AA2" s="513" t="s">
        <v>6622</v>
      </c>
      <c r="AB2" s="514"/>
      <c r="AC2" s="508"/>
      <c r="AE2" s="513" t="s">
        <v>6623</v>
      </c>
      <c r="AF2" s="514">
        <v>0</v>
      </c>
      <c r="AI2" s="509" t="s">
        <v>6624</v>
      </c>
      <c r="BA2" s="507" t="s">
        <v>6917</v>
      </c>
    </row>
    <row r="3" spans="1:56" x14ac:dyDescent="0.15">
      <c r="A3" s="515" t="s">
        <v>1182</v>
      </c>
      <c r="B3" s="516" t="s">
        <v>740</v>
      </c>
      <c r="D3" s="512"/>
      <c r="AA3" s="513" t="s">
        <v>6625</v>
      </c>
      <c r="AB3" s="514"/>
      <c r="AC3" s="508"/>
      <c r="AE3" s="513" t="s">
        <v>6626</v>
      </c>
      <c r="AF3" s="514">
        <v>0</v>
      </c>
      <c r="AI3" s="509" t="s">
        <v>6627</v>
      </c>
      <c r="BA3" s="507" t="s">
        <v>6628</v>
      </c>
      <c r="BB3" s="507" t="s">
        <v>6434</v>
      </c>
      <c r="BC3" s="507" t="s">
        <v>1054</v>
      </c>
      <c r="BD3" s="507" t="s">
        <v>6629</v>
      </c>
    </row>
    <row r="4" spans="1:56" ht="15" thickBot="1" x14ac:dyDescent="0.2">
      <c r="A4" s="517" t="s">
        <v>203</v>
      </c>
      <c r="B4" s="518" t="s">
        <v>393</v>
      </c>
      <c r="D4" s="512"/>
      <c r="AA4" s="513" t="s">
        <v>6630</v>
      </c>
      <c r="AB4" s="514"/>
      <c r="AC4" s="508"/>
      <c r="BA4" s="507">
        <v>496433</v>
      </c>
      <c r="BB4" s="507">
        <v>74163</v>
      </c>
      <c r="BC4" s="507">
        <v>50268</v>
      </c>
      <c r="BD4" s="507">
        <v>11328</v>
      </c>
    </row>
    <row r="5" spans="1:56" ht="15" thickBot="1" x14ac:dyDescent="0.2">
      <c r="A5" s="519"/>
      <c r="B5" s="520"/>
      <c r="C5" s="521"/>
      <c r="D5" s="522"/>
      <c r="AA5" s="513" t="s">
        <v>6631</v>
      </c>
      <c r="AB5" s="514"/>
      <c r="AC5" s="508"/>
      <c r="BA5" s="507">
        <f>ROUND(BA4/$BD$4,2)</f>
        <v>43.82</v>
      </c>
      <c r="BB5" s="507">
        <f>ROUND(BB4/$BD$4,2)</f>
        <v>6.55</v>
      </c>
      <c r="BC5" s="507">
        <f>ROUND(BC4/$BD$4,2)</f>
        <v>4.4400000000000004</v>
      </c>
      <c r="BD5" s="507">
        <f>ROUND(BD4/$BD$4,2)</f>
        <v>1</v>
      </c>
    </row>
    <row r="6" spans="1:56" ht="15" thickBot="1" x14ac:dyDescent="0.2">
      <c r="A6" s="626" t="s">
        <v>6632</v>
      </c>
      <c r="B6" s="627"/>
      <c r="C6" s="627"/>
      <c r="D6" s="628"/>
      <c r="AA6" s="513" t="s">
        <v>6633</v>
      </c>
      <c r="AB6" s="514"/>
      <c r="AC6" s="508"/>
    </row>
    <row r="7" spans="1:56" ht="29" thickBot="1" x14ac:dyDescent="0.2">
      <c r="A7" s="523" t="s">
        <v>176</v>
      </c>
      <c r="B7" s="524" t="s">
        <v>6634</v>
      </c>
      <c r="C7" s="525" t="s">
        <v>215</v>
      </c>
      <c r="D7" s="526" t="s">
        <v>6635</v>
      </c>
      <c r="AA7" s="513" t="s">
        <v>6636</v>
      </c>
      <c r="AB7" s="514"/>
      <c r="AC7" s="508"/>
    </row>
    <row r="8" spans="1:56" x14ac:dyDescent="0.15">
      <c r="A8" s="527" t="s">
        <v>401</v>
      </c>
      <c r="B8" s="528">
        <f>IF('Full Crash Data'!$G$21="","",COUNTIFS('Full Crash Data'!$G:$G,$A8))</f>
        <v>3</v>
      </c>
      <c r="C8" s="542">
        <f>IF(OR($B$2="",$B$3="",$B$4=""),"",B8*D8)</f>
        <v>108438</v>
      </c>
      <c r="D8" s="539">
        <f>IFERROR(ROUND(IF($B$2="STW",SUMIFS(RSI_Data!$F:$F,RSI_Data!$C:$C,$B$3,RSI_Data!$D:$D,$B$4,RSI_Data!$E:$E,$A8)/SUMIFS(RSI_Data!$G:$G,RSI_Data!$C:$C,$B$3,RSI_Data!$D:$D,$B$4,RSI_Data!$E:$E,$A8),SUMIFS(RSI_Data!$F:$F,RSI_Data!$C:$C,$B$3,RSI_Data!$D:$D,$B$4,RSI_Data!$A:$A,$B$2,RSI_Data!$E:$E,$A8)/SUMIFS(RSI_Data!$G:$G,RSI_Data!$C:$C,$B$3,RSI_Data!$D:$D,$B$4,RSI_Data!$A:$A,$B$2,RSI_Data!$E:$E,$A8)),0),0)</f>
        <v>36146</v>
      </c>
      <c r="AA8" s="513" t="s">
        <v>6637</v>
      </c>
      <c r="AB8" s="514"/>
      <c r="AC8" s="508"/>
    </row>
    <row r="9" spans="1:56" x14ac:dyDescent="0.15">
      <c r="A9" s="529" t="s">
        <v>438</v>
      </c>
      <c r="B9" s="528">
        <f>IF('Full Crash Data'!$G$21="","",COUNTIFS('Full Crash Data'!$G:$G,$A9))</f>
        <v>14</v>
      </c>
      <c r="C9" s="543">
        <f t="shared" ref="C9:C26" si="0">IF(OR($B$2="",$B$3="",$B$4=""),"",B9*D9)</f>
        <v>1177932</v>
      </c>
      <c r="D9" s="540">
        <f>IFERROR(ROUND(IF($B$2="STW",SUMIFS(RSI_Data!$F:$F,RSI_Data!$C:$C,$B$3,RSI_Data!$D:$D,$B$4,RSI_Data!$E:$E,$A9)/SUMIFS(RSI_Data!$G:$G,RSI_Data!$C:$C,$B$3,RSI_Data!$D:$D,$B$4,RSI_Data!$E:$E,$A9),SUMIFS(RSI_Data!$F:$F,RSI_Data!$C:$C,$B$3,RSI_Data!$D:$D,$B$4,RSI_Data!$A:$A,$B$2,RSI_Data!$E:$E,$A9)/SUMIFS(RSI_Data!$G:$G,RSI_Data!$C:$C,$B$3,RSI_Data!$D:$D,$B$4,RSI_Data!$A:$A,$B$2,RSI_Data!$E:$E,$A9)),0),0)</f>
        <v>84138</v>
      </c>
      <c r="AA9" s="513" t="s">
        <v>6638</v>
      </c>
      <c r="AB9" s="514"/>
      <c r="AC9" s="508"/>
    </row>
    <row r="10" spans="1:56" x14ac:dyDescent="0.15">
      <c r="A10" s="529" t="s">
        <v>390</v>
      </c>
      <c r="B10" s="528">
        <f>IF('Full Crash Data'!$G$21="","",COUNTIFS('Full Crash Data'!$G:$G,$A10))</f>
        <v>60</v>
      </c>
      <c r="C10" s="543">
        <f t="shared" si="0"/>
        <v>1591500</v>
      </c>
      <c r="D10" s="540">
        <f>IFERROR(ROUND(IF($B$2="STW",SUMIFS(RSI_Data!$F:$F,RSI_Data!$C:$C,$B$3,RSI_Data!$D:$D,$B$4,RSI_Data!$E:$E,$A10)/SUMIFS(RSI_Data!$G:$G,RSI_Data!$C:$C,$B$3,RSI_Data!$D:$D,$B$4,RSI_Data!$E:$E,$A10),SUMIFS(RSI_Data!$F:$F,RSI_Data!$C:$C,$B$3,RSI_Data!$D:$D,$B$4,RSI_Data!$A:$A,$B$2,RSI_Data!$E:$E,$A10)/SUMIFS(RSI_Data!$G:$G,RSI_Data!$C:$C,$B$3,RSI_Data!$D:$D,$B$4,RSI_Data!$A:$A,$B$2,RSI_Data!$E:$E,$A10)),0),0)</f>
        <v>26525</v>
      </c>
      <c r="AA10" s="513" t="s">
        <v>6639</v>
      </c>
      <c r="AB10" s="530" t="str">
        <f>IFERROR(ROUND(AB6/AB5,4),"")</f>
        <v/>
      </c>
      <c r="AC10" s="508"/>
    </row>
    <row r="11" spans="1:56" x14ac:dyDescent="0.15">
      <c r="A11" s="529" t="s">
        <v>212</v>
      </c>
      <c r="B11" s="528">
        <f>IF('Full Crash Data'!$G$21="","",COUNTIFS('Full Crash Data'!$G:$G,$A11))</f>
        <v>9</v>
      </c>
      <c r="C11" s="543">
        <f t="shared" si="0"/>
        <v>126459</v>
      </c>
      <c r="D11" s="540">
        <f>IFERROR(ROUND(IF($B$2="STW",SUMIFS(RSI_Data!$F:$F,RSI_Data!$C:$C,$B$3,RSI_Data!$D:$D,$B$4,RSI_Data!$E:$E,$A11)/SUMIFS(RSI_Data!$G:$G,RSI_Data!$C:$C,$B$3,RSI_Data!$D:$D,$B$4,RSI_Data!$E:$E,$A11),SUMIFS(RSI_Data!$F:$F,RSI_Data!$C:$C,$B$3,RSI_Data!$D:$D,$B$4,RSI_Data!$A:$A,$B$2,RSI_Data!$E:$E,$A11)/SUMIFS(RSI_Data!$G:$G,RSI_Data!$C:$C,$B$3,RSI_Data!$D:$D,$B$4,RSI_Data!$A:$A,$B$2,RSI_Data!$E:$E,$A11)),0),0)</f>
        <v>14051</v>
      </c>
    </row>
    <row r="12" spans="1:56" x14ac:dyDescent="0.15">
      <c r="A12" s="529" t="s">
        <v>419</v>
      </c>
      <c r="B12" s="528">
        <f>IF('Full Crash Data'!$G$21="","",COUNTIFS('Full Crash Data'!$G:$G,$A12))</f>
        <v>0</v>
      </c>
      <c r="C12" s="543">
        <f t="shared" si="0"/>
        <v>0</v>
      </c>
      <c r="D12" s="540">
        <f>IFERROR(ROUND(IF($B$2="STW",SUMIFS(RSI_Data!$F:$F,RSI_Data!$C:$C,$B$3,RSI_Data!$D:$D,$B$4,RSI_Data!$E:$E,$A12)/SUMIFS(RSI_Data!$G:$G,RSI_Data!$C:$C,$B$3,RSI_Data!$D:$D,$B$4,RSI_Data!$E:$E,$A12),SUMIFS(RSI_Data!$F:$F,RSI_Data!$C:$C,$B$3,RSI_Data!$D:$D,$B$4,RSI_Data!$A:$A,$B$2,RSI_Data!$E:$E,$A12)/SUMIFS(RSI_Data!$G:$G,RSI_Data!$C:$C,$B$3,RSI_Data!$D:$D,$B$4,RSI_Data!$A:$A,$B$2,RSI_Data!$E:$E,$A12)),0),0)</f>
        <v>25171</v>
      </c>
    </row>
    <row r="13" spans="1:56" x14ac:dyDescent="0.15">
      <c r="A13" s="529" t="s">
        <v>402</v>
      </c>
      <c r="B13" s="528">
        <f>IF('Full Crash Data'!$G$21="","",COUNTIFS('Full Crash Data'!$G:$G,$A13))</f>
        <v>47</v>
      </c>
      <c r="C13" s="543">
        <f t="shared" si="0"/>
        <v>1029394</v>
      </c>
      <c r="D13" s="540">
        <f>IFERROR(ROUND(IF($B$2="STW",SUMIFS(RSI_Data!$F:$F,RSI_Data!$C:$C,$B$3,RSI_Data!$D:$D,$B$4,RSI_Data!$E:$E,$A13)/SUMIFS(RSI_Data!$G:$G,RSI_Data!$C:$C,$B$3,RSI_Data!$D:$D,$B$4,RSI_Data!$E:$E,$A13),SUMIFS(RSI_Data!$F:$F,RSI_Data!$C:$C,$B$3,RSI_Data!$D:$D,$B$4,RSI_Data!$A:$A,$B$2,RSI_Data!$E:$E,$A13)/SUMIFS(RSI_Data!$G:$G,RSI_Data!$C:$C,$B$3,RSI_Data!$D:$D,$B$4,RSI_Data!$A:$A,$B$2,RSI_Data!$E:$E,$A13)),0),0)</f>
        <v>21902</v>
      </c>
    </row>
    <row r="14" spans="1:56" x14ac:dyDescent="0.15">
      <c r="A14" s="529" t="s">
        <v>211</v>
      </c>
      <c r="B14" s="528">
        <f>IF('Full Crash Data'!$G$21="","",COUNTIFS('Full Crash Data'!$G:$G,$A14))</f>
        <v>61</v>
      </c>
      <c r="C14" s="543">
        <f t="shared" si="0"/>
        <v>2534245</v>
      </c>
      <c r="D14" s="540">
        <f>IFERROR(ROUND(IF($B$2="STW",SUMIFS(RSI_Data!$F:$F,RSI_Data!$C:$C,$B$3,RSI_Data!$D:$D,$B$4,RSI_Data!$E:$E,$A14)/SUMIFS(RSI_Data!$G:$G,RSI_Data!$C:$C,$B$3,RSI_Data!$D:$D,$B$4,RSI_Data!$E:$E,$A14),SUMIFS(RSI_Data!$F:$F,RSI_Data!$C:$C,$B$3,RSI_Data!$D:$D,$B$4,RSI_Data!$A:$A,$B$2,RSI_Data!$E:$E,$A14)/SUMIFS(RSI_Data!$G:$G,RSI_Data!$C:$C,$B$3,RSI_Data!$D:$D,$B$4,RSI_Data!$A:$A,$B$2,RSI_Data!$E:$E,$A14)),0),0)</f>
        <v>41545</v>
      </c>
    </row>
    <row r="15" spans="1:56" x14ac:dyDescent="0.15">
      <c r="A15" s="529" t="s">
        <v>210</v>
      </c>
      <c r="B15" s="528">
        <f>IF('Full Crash Data'!$G$21="","",COUNTIFS('Full Crash Data'!$G:$G,$A15))</f>
        <v>11</v>
      </c>
      <c r="C15" s="543">
        <f t="shared" si="0"/>
        <v>243023</v>
      </c>
      <c r="D15" s="540">
        <f>IFERROR(ROUND(IF($B$2="STW",SUMIFS(RSI_Data!$F:$F,RSI_Data!$C:$C,$B$3,RSI_Data!$D:$D,$B$4,RSI_Data!$E:$E,$A15)/SUMIFS(RSI_Data!$G:$G,RSI_Data!$C:$C,$B$3,RSI_Data!$D:$D,$B$4,RSI_Data!$E:$E,$A15),SUMIFS(RSI_Data!$F:$F,RSI_Data!$C:$C,$B$3,RSI_Data!$D:$D,$B$4,RSI_Data!$A:$A,$B$2,RSI_Data!$E:$E,$A15)/SUMIFS(RSI_Data!$G:$G,RSI_Data!$C:$C,$B$3,RSI_Data!$D:$D,$B$4,RSI_Data!$A:$A,$B$2,RSI_Data!$E:$E,$A15)),0),0)</f>
        <v>22093</v>
      </c>
    </row>
    <row r="16" spans="1:56" x14ac:dyDescent="0.15">
      <c r="A16" s="529" t="s">
        <v>209</v>
      </c>
      <c r="B16" s="528">
        <f>IF('Full Crash Data'!$G$21="","",COUNTIFS('Full Crash Data'!$G:$G,$A16))</f>
        <v>5</v>
      </c>
      <c r="C16" s="543">
        <f t="shared" si="0"/>
        <v>851320</v>
      </c>
      <c r="D16" s="540">
        <f>IFERROR(ROUND(IF($B$2="STW",SUMIFS(RSI_Data!$F:$F,RSI_Data!$C:$C,$B$3,RSI_Data!$D:$D,$B$4,RSI_Data!$E:$E,$A16)/SUMIFS(RSI_Data!$G:$G,RSI_Data!$C:$C,$B$3,RSI_Data!$D:$D,$B$4,RSI_Data!$E:$E,$A16),SUMIFS(RSI_Data!$F:$F,RSI_Data!$C:$C,$B$3,RSI_Data!$D:$D,$B$4,RSI_Data!$A:$A,$B$2,RSI_Data!$E:$E,$A16)/SUMIFS(RSI_Data!$G:$G,RSI_Data!$C:$C,$B$3,RSI_Data!$D:$D,$B$4,RSI_Data!$A:$A,$B$2,RSI_Data!$E:$E,$A16)),0),0)</f>
        <v>170264</v>
      </c>
    </row>
    <row r="17" spans="1:4" x14ac:dyDescent="0.15">
      <c r="A17" s="529" t="s">
        <v>207</v>
      </c>
      <c r="B17" s="528">
        <f>IF('Full Crash Data'!$G$21="","",COUNTIFS('Full Crash Data'!$G:$G,$A17))</f>
        <v>0</v>
      </c>
      <c r="C17" s="543">
        <f t="shared" si="0"/>
        <v>0</v>
      </c>
      <c r="D17" s="540">
        <f>IFERROR(ROUND(IF($B$2="STW",SUMIFS(RSI_Data!$F:$F,RSI_Data!$C:$C,$B$3,RSI_Data!$D:$D,$B$4,RSI_Data!$E:$E,$A17)/SUMIFS(RSI_Data!$G:$G,RSI_Data!$C:$C,$B$3,RSI_Data!$D:$D,$B$4,RSI_Data!$E:$E,$A17),SUMIFS(RSI_Data!$F:$F,RSI_Data!$C:$C,$B$3,RSI_Data!$D:$D,$B$4,RSI_Data!$A:$A,$B$2,RSI_Data!$E:$E,$A17)/SUMIFS(RSI_Data!$G:$G,RSI_Data!$C:$C,$B$3,RSI_Data!$D:$D,$B$4,RSI_Data!$A:$A,$B$2,RSI_Data!$E:$E,$A17)),0),0)</f>
        <v>15341</v>
      </c>
    </row>
    <row r="18" spans="1:4" x14ac:dyDescent="0.15">
      <c r="A18" s="529" t="s">
        <v>206</v>
      </c>
      <c r="B18" s="528">
        <f>IF('Full Crash Data'!$G$21="","",COUNTIFS('Full Crash Data'!$G:$G,$A18))</f>
        <v>0</v>
      </c>
      <c r="C18" s="543">
        <f t="shared" si="0"/>
        <v>0</v>
      </c>
      <c r="D18" s="540">
        <f>IFERROR(ROUND(IF($B$2="STW",SUMIFS(RSI_Data!$F:$F,RSI_Data!$C:$C,$B$3,RSI_Data!$D:$D,$B$4,RSI_Data!$E:$E,$A18)/SUMIFS(RSI_Data!$G:$G,RSI_Data!$C:$C,$B$3,RSI_Data!$D:$D,$B$4,RSI_Data!$E:$E,$A18),SUMIFS(RSI_Data!$F:$F,RSI_Data!$C:$C,$B$3,RSI_Data!$D:$D,$B$4,RSI_Data!$A:$A,$B$2,RSI_Data!$E:$E,$A18)/SUMIFS(RSI_Data!$G:$G,RSI_Data!$C:$C,$B$3,RSI_Data!$D:$D,$B$4,RSI_Data!$A:$A,$B$2,RSI_Data!$E:$E,$A18)),0),0)</f>
        <v>85257</v>
      </c>
    </row>
    <row r="19" spans="1:4" x14ac:dyDescent="0.15">
      <c r="A19" s="529" t="s">
        <v>313</v>
      </c>
      <c r="B19" s="528">
        <f>IF('Full Crash Data'!$G$21="","",COUNTIFS('Full Crash Data'!$G:$G,$A19))</f>
        <v>5</v>
      </c>
      <c r="C19" s="543">
        <f t="shared" si="0"/>
        <v>599285</v>
      </c>
      <c r="D19" s="540">
        <f>IFERROR(ROUND(IF($B$2="STW",SUMIFS(RSI_Data!$F:$F,RSI_Data!$C:$C,$B$3,RSI_Data!$D:$D,$B$4,RSI_Data!$E:$E,$A19)/SUMIFS(RSI_Data!$G:$G,RSI_Data!$C:$C,$B$3,RSI_Data!$D:$D,$B$4,RSI_Data!$E:$E,$A19),SUMIFS(RSI_Data!$F:$F,RSI_Data!$C:$C,$B$3,RSI_Data!$D:$D,$B$4,RSI_Data!$A:$A,$B$2,RSI_Data!$E:$E,$A19)/SUMIFS(RSI_Data!$G:$G,RSI_Data!$C:$C,$B$3,RSI_Data!$D:$D,$B$4,RSI_Data!$A:$A,$B$2,RSI_Data!$E:$E,$A19)),0),0)</f>
        <v>119857</v>
      </c>
    </row>
    <row r="20" spans="1:4" x14ac:dyDescent="0.15">
      <c r="A20" s="529" t="s">
        <v>497</v>
      </c>
      <c r="B20" s="528">
        <f>IF('Full Crash Data'!$G$21="","",COUNTIFS('Full Crash Data'!$G:$G,$A20))</f>
        <v>0</v>
      </c>
      <c r="C20" s="543">
        <f t="shared" si="0"/>
        <v>0</v>
      </c>
      <c r="D20" s="540">
        <f>IFERROR(ROUND(IF($B$2="STW",SUMIFS(RSI_Data!$F:$F,RSI_Data!$C:$C,$B$3,RSI_Data!$D:$D,$B$4,RSI_Data!$E:$E,$A20)/SUMIFS(RSI_Data!$G:$G,RSI_Data!$C:$C,$B$3,RSI_Data!$D:$D,$B$4,RSI_Data!$E:$E,$A20),SUMIFS(RSI_Data!$F:$F,RSI_Data!$C:$C,$B$3,RSI_Data!$D:$D,$B$4,RSI_Data!$A:$A,$B$2,RSI_Data!$E:$E,$A20)/SUMIFS(RSI_Data!$G:$G,RSI_Data!$C:$C,$B$3,RSI_Data!$D:$D,$B$4,RSI_Data!$A:$A,$B$2,RSI_Data!$E:$E,$A20)),0),0)</f>
        <v>11328</v>
      </c>
    </row>
    <row r="21" spans="1:4" x14ac:dyDescent="0.15">
      <c r="A21" s="529" t="s">
        <v>416</v>
      </c>
      <c r="B21" s="528">
        <f>IF('Full Crash Data'!$G$21="","",COUNTIFS('Full Crash Data'!$G:$G,$A21))</f>
        <v>27</v>
      </c>
      <c r="C21" s="543">
        <f t="shared" si="0"/>
        <v>1252179</v>
      </c>
      <c r="D21" s="540">
        <f>IFERROR(ROUND(IF($B$2="STW",SUMIFS(RSI_Data!$F:$F,RSI_Data!$C:$C,$B$3,RSI_Data!$D:$D,$B$4,RSI_Data!$E:$E,$A21)/SUMIFS(RSI_Data!$G:$G,RSI_Data!$C:$C,$B$3,RSI_Data!$D:$D,$B$4,RSI_Data!$E:$E,$A21),SUMIFS(RSI_Data!$F:$F,RSI_Data!$C:$C,$B$3,RSI_Data!$D:$D,$B$4,RSI_Data!$A:$A,$B$2,RSI_Data!$E:$E,$A21)/SUMIFS(RSI_Data!$G:$G,RSI_Data!$C:$C,$B$3,RSI_Data!$D:$D,$B$4,RSI_Data!$A:$A,$B$2,RSI_Data!$E:$E,$A21)),0),0)</f>
        <v>46377</v>
      </c>
    </row>
    <row r="22" spans="1:4" x14ac:dyDescent="0.15">
      <c r="A22" s="529" t="s">
        <v>449</v>
      </c>
      <c r="B22" s="528">
        <f>IF('Full Crash Data'!$G$21="","",COUNTIFS('Full Crash Data'!$G:$G,$A22))</f>
        <v>1</v>
      </c>
      <c r="C22" s="543">
        <f t="shared" si="0"/>
        <v>22731</v>
      </c>
      <c r="D22" s="540">
        <f>IFERROR(ROUND(IF($B$2="STW",SUMIFS(RSI_Data!$F:$F,RSI_Data!$C:$C,$B$3,RSI_Data!$D:$D,$B$4,RSI_Data!$E:$E,$A22)/SUMIFS(RSI_Data!$G:$G,RSI_Data!$C:$C,$B$3,RSI_Data!$D:$D,$B$4,RSI_Data!$E:$E,$A22),SUMIFS(RSI_Data!$F:$F,RSI_Data!$C:$C,$B$3,RSI_Data!$D:$D,$B$4,RSI_Data!$A:$A,$B$2,RSI_Data!$E:$E,$A22)/SUMIFS(RSI_Data!$G:$G,RSI_Data!$C:$C,$B$3,RSI_Data!$D:$D,$B$4,RSI_Data!$A:$A,$B$2,RSI_Data!$E:$E,$A22)),0),0)</f>
        <v>22731</v>
      </c>
    </row>
    <row r="23" spans="1:4" x14ac:dyDescent="0.15">
      <c r="A23" s="529" t="s">
        <v>202</v>
      </c>
      <c r="B23" s="528">
        <f>IF('Full Crash Data'!$G$21="","",COUNTIFS('Full Crash Data'!$G:$G,$A23))</f>
        <v>0</v>
      </c>
      <c r="C23" s="543">
        <f t="shared" si="0"/>
        <v>0</v>
      </c>
      <c r="D23" s="540">
        <f>IFERROR(ROUND(IF($B$2="STW",SUMIFS(RSI_Data!$F:$F,RSI_Data!$C:$C,$B$3,RSI_Data!$D:$D,$B$4,RSI_Data!$E:$E,$A23)/SUMIFS(RSI_Data!$G:$G,RSI_Data!$C:$C,$B$3,RSI_Data!$D:$D,$B$4,RSI_Data!$E:$E,$A23),SUMIFS(RSI_Data!$F:$F,RSI_Data!$C:$C,$B$3,RSI_Data!$D:$D,$B$4,RSI_Data!$A:$A,$B$2,RSI_Data!$E:$E,$A23)/SUMIFS(RSI_Data!$G:$G,RSI_Data!$C:$C,$B$3,RSI_Data!$D:$D,$B$4,RSI_Data!$A:$A,$B$2,RSI_Data!$E:$E,$A23)),0),0)</f>
        <v>125216</v>
      </c>
    </row>
    <row r="24" spans="1:4" x14ac:dyDescent="0.15">
      <c r="A24" s="529" t="s">
        <v>409</v>
      </c>
      <c r="B24" s="528">
        <f>IF('Full Crash Data'!$G$21="","",COUNTIFS('Full Crash Data'!$G:$G,$A24))</f>
        <v>3</v>
      </c>
      <c r="C24" s="543">
        <f t="shared" si="0"/>
        <v>133569</v>
      </c>
      <c r="D24" s="540">
        <f>IFERROR(ROUND(IF($B$2="STW",SUMIFS(RSI_Data!$F:$F,RSI_Data!$C:$C,$B$3,RSI_Data!$D:$D,$B$4,RSI_Data!$E:$E,$A24)/SUMIFS(RSI_Data!$G:$G,RSI_Data!$C:$C,$B$3,RSI_Data!$D:$D,$B$4,RSI_Data!$E:$E,$A24),SUMIFS(RSI_Data!$F:$F,RSI_Data!$C:$C,$B$3,RSI_Data!$D:$D,$B$4,RSI_Data!$A:$A,$B$2,RSI_Data!$E:$E,$A24)/SUMIFS(RSI_Data!$G:$G,RSI_Data!$C:$C,$B$3,RSI_Data!$D:$D,$B$4,RSI_Data!$A:$A,$B$2,RSI_Data!$E:$E,$A24)),0),0)</f>
        <v>44523</v>
      </c>
    </row>
    <row r="25" spans="1:4" x14ac:dyDescent="0.15">
      <c r="A25" s="529" t="s">
        <v>230</v>
      </c>
      <c r="B25" s="528">
        <f>IF('Full Crash Data'!$G$21="","",COUNTIFS('Full Crash Data'!$G:$G,$A25))</f>
        <v>51</v>
      </c>
      <c r="C25" s="543">
        <f t="shared" si="0"/>
        <v>2174997</v>
      </c>
      <c r="D25" s="540">
        <f>IFERROR(ROUND(IF($B$2="STW",SUMIFS(RSI_Data!$F:$F,RSI_Data!$C:$C,$B$3,RSI_Data!$D:$D,$B$4,RSI_Data!$E:$E,$A25)/SUMIFS(RSI_Data!$G:$G,RSI_Data!$C:$C,$B$3,RSI_Data!$D:$D,$B$4,RSI_Data!$E:$E,$A25),SUMIFS(RSI_Data!$F:$F,RSI_Data!$C:$C,$B$3,RSI_Data!$D:$D,$B$4,RSI_Data!$A:$A,$B$2,RSI_Data!$E:$E,$A25)/SUMIFS(RSI_Data!$G:$G,RSI_Data!$C:$C,$B$3,RSI_Data!$D:$D,$B$4,RSI_Data!$A:$A,$B$2,RSI_Data!$E:$E,$A25)),0),0)</f>
        <v>42647</v>
      </c>
    </row>
    <row r="26" spans="1:4" ht="15" thickBot="1" x14ac:dyDescent="0.2">
      <c r="A26" s="531" t="s">
        <v>860</v>
      </c>
      <c r="B26" s="550">
        <f>IF('Full Crash Data'!$G$21="","",COUNTIFS('Full Crash Data'!$G:$G,$A26))</f>
        <v>11</v>
      </c>
      <c r="C26" s="544">
        <f t="shared" si="0"/>
        <v>262471</v>
      </c>
      <c r="D26" s="541">
        <f>IFERROR(ROUND(IF($B$2="STW",SUMIFS(RSI_Data!$F:$F,RSI_Data!$C:$C,$B$3,RSI_Data!$D:$D,$B$4,RSI_Data!$E:$E,$A26)/SUMIFS(RSI_Data!$G:$G,RSI_Data!$C:$C,$B$3,RSI_Data!$D:$D,$B$4,RSI_Data!$E:$E,$A26),SUMIFS(RSI_Data!$F:$F,RSI_Data!$C:$C,$B$3,RSI_Data!$D:$D,$B$4,RSI_Data!$A:$A,$B$2,RSI_Data!$E:$E,$A26)/SUMIFS(RSI_Data!$G:$G,RSI_Data!$C:$C,$B$3,RSI_Data!$D:$D,$B$4,RSI_Data!$A:$A,$B$2,RSI_Data!$E:$E,$A26)),0),0)</f>
        <v>23861</v>
      </c>
    </row>
    <row r="27" spans="1:4" ht="15" thickBot="1" x14ac:dyDescent="0.2">
      <c r="A27" s="532" t="s">
        <v>6640</v>
      </c>
      <c r="B27" s="551">
        <f>SUM(B8:B26)</f>
        <v>308</v>
      </c>
      <c r="C27" s="545">
        <f>SUM(C8:C26)</f>
        <v>12107543</v>
      </c>
      <c r="D27" s="522"/>
    </row>
    <row r="28" spans="1:4" ht="15" thickBot="1" x14ac:dyDescent="0.2">
      <c r="A28" s="533"/>
      <c r="D28" s="512"/>
    </row>
    <row r="29" spans="1:4" ht="19" thickBot="1" x14ac:dyDescent="0.25">
      <c r="A29" s="534" t="s">
        <v>218</v>
      </c>
      <c r="B29" s="621">
        <f>IFERROR(ROUND(C27/B27,2),0)</f>
        <v>39310.199999999997</v>
      </c>
      <c r="C29" s="622"/>
      <c r="D29" s="512"/>
    </row>
    <row r="30" spans="1:4" ht="15" thickBot="1" x14ac:dyDescent="0.2">
      <c r="A30" s="535"/>
      <c r="B30" s="536"/>
      <c r="C30" s="536"/>
      <c r="D30" s="537"/>
    </row>
    <row r="31" spans="1:4" ht="15" customHeight="1" x14ac:dyDescent="0.15"/>
  </sheetData>
  <sheetProtection formatColumns="0" formatRows="0"/>
  <mergeCells count="3">
    <mergeCell ref="B29:C29"/>
    <mergeCell ref="A1:D1"/>
    <mergeCell ref="A6:D6"/>
  </mergeCells>
  <conditionalFormatting sqref="B8:B26">
    <cfRule type="expression" dxfId="138" priority="5">
      <formula>AND(B8="",CondF_Show="Yes")</formula>
    </cfRule>
  </conditionalFormatting>
  <conditionalFormatting sqref="B3:B4">
    <cfRule type="expression" dxfId="137" priority="4">
      <formula>AND(B3="",CondF_Show="Yes")</formula>
    </cfRule>
  </conditionalFormatting>
  <conditionalFormatting sqref="B2">
    <cfRule type="expression" dxfId="136" priority="2">
      <formula>AND(B2="",CondF_Show="Yes")</formula>
    </cfRule>
  </conditionalFormatting>
  <dataValidations count="2">
    <dataValidation type="list" allowBlank="1" showInputMessage="1" showErrorMessage="1" sqref="B2" xr:uid="{1012DA91-CE23-412D-9CD8-E42BCBED812C}">
      <formula1>"STW,1,2,3,4,5,6,7,8,9,10,11,12"</formula1>
    </dataValidation>
    <dataValidation type="list" allowBlank="1" showInputMessage="1" showErrorMessage="1" sqref="B3:B4" xr:uid="{93E46037-312C-4AB9-BF9B-DE821231FFE2}">
      <formula1>"Yes,No"</formula1>
    </dataValidation>
  </dataValidations>
  <pageMargins left="0.7" right="0.7" top="0.75" bottom="0.75" header="0.3" footer="0.3"/>
  <pageSetup orientation="portrait" verticalDpi="300" r:id="rId1"/>
  <ignoredErrors>
    <ignoredError sqref="B8:B26"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FFC000"/>
  </sheetPr>
  <dimension ref="A1:AE73"/>
  <sheetViews>
    <sheetView zoomScale="80" zoomScaleNormal="80" workbookViewId="0">
      <selection activeCell="L17" sqref="L17"/>
    </sheetView>
  </sheetViews>
  <sheetFormatPr baseColWidth="10" defaultColWidth="11.5" defaultRowHeight="18" x14ac:dyDescent="0.2"/>
  <cols>
    <col min="1" max="1" width="58.5" style="281" bestFit="1" customWidth="1"/>
    <col min="2" max="2" width="13.5" style="281" bestFit="1" customWidth="1"/>
    <col min="3" max="3" width="12.33203125" style="281" bestFit="1" customWidth="1"/>
    <col min="4" max="4" width="11.5" style="281" bestFit="1" customWidth="1"/>
    <col min="5" max="5" width="12.33203125" style="281" bestFit="1" customWidth="1"/>
    <col min="6" max="6" width="11.5" style="281" bestFit="1" customWidth="1"/>
    <col min="7" max="7" width="12.33203125" style="281" bestFit="1" customWidth="1"/>
    <col min="8" max="8" width="11.5" style="281" bestFit="1" customWidth="1"/>
    <col min="9" max="9" width="12.33203125" style="116" bestFit="1" customWidth="1"/>
    <col min="10" max="10" width="11.5" style="281" bestFit="1" customWidth="1"/>
    <col min="11" max="11" width="12.33203125" style="116" bestFit="1" customWidth="1"/>
    <col min="12" max="12" width="11.5" style="281" bestFit="1" customWidth="1"/>
    <col min="13" max="13" width="12.33203125" style="116" bestFit="1" customWidth="1"/>
    <col min="14" max="14" width="11.5" style="281" bestFit="1" customWidth="1"/>
    <col min="15" max="15" width="12.33203125" style="116" bestFit="1" customWidth="1"/>
    <col min="16" max="16" width="11.5" style="281" bestFit="1" customWidth="1"/>
    <col min="17" max="17" width="12.33203125" style="116" bestFit="1" customWidth="1"/>
    <col min="18" max="18" width="11.5" style="281" bestFit="1" customWidth="1"/>
    <col min="19" max="19" width="12.33203125" style="116" bestFit="1" customWidth="1"/>
    <col min="20" max="20" width="11" style="281" bestFit="1" customWidth="1"/>
    <col min="21" max="21" width="12.33203125" style="116" customWidth="1"/>
    <col min="22" max="22" width="11.5" style="281" bestFit="1" customWidth="1"/>
    <col min="23" max="23" width="13.5" style="116" customWidth="1"/>
    <col min="24" max="26" width="11.5" style="116"/>
    <col min="27" max="27" width="0" style="116" hidden="1" customWidth="1"/>
    <col min="28" max="16384" width="11.5" style="116"/>
  </cols>
  <sheetData>
    <row r="1" spans="1:31" customFormat="1" x14ac:dyDescent="0.2">
      <c r="A1" s="580" t="str">
        <f>'Crash Analysis'!B1</f>
        <v>Type 'Heading' Here</v>
      </c>
    </row>
    <row r="2" spans="1:31" x14ac:dyDescent="0.2">
      <c r="A2" s="304" t="s">
        <v>6298</v>
      </c>
      <c r="B2" s="631" t="s">
        <v>227</v>
      </c>
      <c r="C2" s="631"/>
      <c r="D2" s="631"/>
    </row>
    <row r="4" spans="1:31" ht="51.75" customHeight="1" thickBot="1" x14ac:dyDescent="0.25">
      <c r="A4" s="433" t="s">
        <v>6125</v>
      </c>
      <c r="B4" s="258">
        <f>B5</f>
        <v>2025</v>
      </c>
      <c r="C4" s="259"/>
      <c r="D4" s="258">
        <f>D5</f>
        <v>2024</v>
      </c>
      <c r="E4" s="259"/>
      <c r="F4" s="258">
        <f>F5</f>
        <v>2023</v>
      </c>
      <c r="G4" s="260"/>
      <c r="H4" s="258">
        <f>H5</f>
        <v>2022</v>
      </c>
      <c r="I4" s="260"/>
      <c r="J4" s="258">
        <f>J5</f>
        <v>2021</v>
      </c>
      <c r="K4" s="260"/>
      <c r="L4" s="258">
        <f>L5</f>
        <v>2020</v>
      </c>
      <c r="M4" s="260"/>
      <c r="N4" s="258">
        <f>N5</f>
        <v>2019</v>
      </c>
      <c r="O4" s="260"/>
      <c r="P4" s="258">
        <f>P5</f>
        <v>2018</v>
      </c>
      <c r="Q4" s="260"/>
      <c r="R4" s="258">
        <f>R5</f>
        <v>2017</v>
      </c>
      <c r="S4" s="260"/>
      <c r="T4" s="258">
        <f>T5</f>
        <v>2016</v>
      </c>
      <c r="U4" s="260"/>
      <c r="V4" s="258">
        <f>V5</f>
        <v>2015</v>
      </c>
      <c r="W4" s="260"/>
      <c r="AA4" s="303" t="s">
        <v>227</v>
      </c>
      <c r="AE4" s="116">
        <v>1</v>
      </c>
    </row>
    <row r="5" spans="1:31" ht="18.75" customHeight="1" thickBot="1" x14ac:dyDescent="0.25">
      <c r="A5" s="261"/>
      <c r="B5" s="262">
        <f>MAX('Full Crash Data'!C:C)</f>
        <v>2025</v>
      </c>
      <c r="C5" s="263">
        <f>B5</f>
        <v>2025</v>
      </c>
      <c r="D5" s="262">
        <f>B5-1</f>
        <v>2024</v>
      </c>
      <c r="E5" s="263">
        <f>D5</f>
        <v>2024</v>
      </c>
      <c r="F5" s="262">
        <f>D5-1</f>
        <v>2023</v>
      </c>
      <c r="G5" s="263">
        <f>F5</f>
        <v>2023</v>
      </c>
      <c r="H5" s="262">
        <f>F5-1</f>
        <v>2022</v>
      </c>
      <c r="I5" s="263">
        <f>H5</f>
        <v>2022</v>
      </c>
      <c r="J5" s="262">
        <f>H5-1</f>
        <v>2021</v>
      </c>
      <c r="K5" s="263">
        <f>J5</f>
        <v>2021</v>
      </c>
      <c r="L5" s="262">
        <f>J5-1</f>
        <v>2020</v>
      </c>
      <c r="M5" s="263">
        <f>L5</f>
        <v>2020</v>
      </c>
      <c r="N5" s="262">
        <f>L5-1</f>
        <v>2019</v>
      </c>
      <c r="O5" s="263">
        <f>N5</f>
        <v>2019</v>
      </c>
      <c r="P5" s="262">
        <f>N5-1</f>
        <v>2018</v>
      </c>
      <c r="Q5" s="263">
        <f>P5</f>
        <v>2018</v>
      </c>
      <c r="R5" s="262">
        <f>P5-1</f>
        <v>2017</v>
      </c>
      <c r="S5" s="263">
        <f>R5</f>
        <v>2017</v>
      </c>
      <c r="T5" s="262">
        <f>R5-1</f>
        <v>2016</v>
      </c>
      <c r="U5" s="263">
        <f>T5</f>
        <v>2016</v>
      </c>
      <c r="V5" s="262">
        <f>T5-1</f>
        <v>2015</v>
      </c>
      <c r="W5" s="263">
        <f>V5</f>
        <v>2015</v>
      </c>
      <c r="AA5" s="303" t="s">
        <v>1070</v>
      </c>
      <c r="AE5" s="116">
        <v>2</v>
      </c>
    </row>
    <row r="6" spans="1:31" s="266" customFormat="1" ht="35" thickBot="1" x14ac:dyDescent="0.25">
      <c r="A6" s="262" t="s">
        <v>5986</v>
      </c>
      <c r="B6" s="264" t="s">
        <v>131</v>
      </c>
      <c r="C6" s="265" t="s">
        <v>5987</v>
      </c>
      <c r="D6" s="264" t="s">
        <v>131</v>
      </c>
      <c r="E6" s="265" t="s">
        <v>5987</v>
      </c>
      <c r="F6" s="264" t="s">
        <v>131</v>
      </c>
      <c r="G6" s="265" t="s">
        <v>5987</v>
      </c>
      <c r="H6" s="264" t="s">
        <v>131</v>
      </c>
      <c r="I6" s="265" t="s">
        <v>5987</v>
      </c>
      <c r="J6" s="264" t="s">
        <v>131</v>
      </c>
      <c r="K6" s="265" t="s">
        <v>5987</v>
      </c>
      <c r="L6" s="264" t="s">
        <v>131</v>
      </c>
      <c r="M6" s="265" t="s">
        <v>5987</v>
      </c>
      <c r="N6" s="264" t="s">
        <v>131</v>
      </c>
      <c r="O6" s="265" t="s">
        <v>5987</v>
      </c>
      <c r="P6" s="264" t="s">
        <v>131</v>
      </c>
      <c r="Q6" s="265" t="s">
        <v>5987</v>
      </c>
      <c r="R6" s="264" t="s">
        <v>131</v>
      </c>
      <c r="S6" s="265" t="s">
        <v>5987</v>
      </c>
      <c r="T6" s="264" t="s">
        <v>131</v>
      </c>
      <c r="U6" s="265" t="s">
        <v>5987</v>
      </c>
      <c r="V6" s="264" t="s">
        <v>131</v>
      </c>
      <c r="W6" s="265" t="s">
        <v>5987</v>
      </c>
      <c r="AA6" s="303" t="s">
        <v>1071</v>
      </c>
      <c r="AE6" s="116">
        <v>3</v>
      </c>
    </row>
    <row r="7" spans="1:31" ht="20" x14ac:dyDescent="0.2">
      <c r="A7" s="435"/>
      <c r="B7" s="437"/>
      <c r="C7" s="434"/>
      <c r="D7" s="437"/>
      <c r="E7" s="434"/>
      <c r="F7" s="437"/>
      <c r="G7" s="434"/>
      <c r="H7" s="437"/>
      <c r="I7" s="434"/>
      <c r="J7" s="437"/>
      <c r="K7" s="434"/>
      <c r="L7" s="437"/>
      <c r="M7" s="434"/>
      <c r="N7" s="437"/>
      <c r="O7" s="434"/>
      <c r="P7" s="437"/>
      <c r="Q7" s="434"/>
      <c r="R7" s="437"/>
      <c r="S7" s="434"/>
      <c r="T7" s="437"/>
      <c r="U7" s="434"/>
      <c r="V7" s="437"/>
      <c r="W7" s="437"/>
      <c r="AA7" s="303" t="s">
        <v>5974</v>
      </c>
      <c r="AE7" s="116">
        <v>4</v>
      </c>
    </row>
    <row r="8" spans="1:31" ht="21" thickBot="1" x14ac:dyDescent="0.25">
      <c r="A8" s="436" t="s">
        <v>5988</v>
      </c>
      <c r="B8" s="438">
        <f>IF($B$2="All",SUMIFS('Full Crash Data'!$U:$U,'Full Crash Data'!$C:$C,B$5),IF($B$2="State Highway Agency",SUMIFS('Full Crash Data'!$U:$U,'Full Crash Data'!$C:$C,B$5,'Full Crash Data'!$AN:$AN,"State Highway Agency"),IF($B$2="County Highway Agency",SUMIFS('Full Crash Data'!$U:$U,'Full Crash Data'!$C:$C,B$5,'Full Crash Data'!$AN:$AN,"County Highway Agency"),IF($B$2="Township Highway Agency",SUMIFS('Full Crash Data'!$U:$U,'Full Crash Data'!$C:$C,B$5,'Full Crash Data'!$AN:$AN,"Township Highway Agency"),IF($B$2="City or Village Highway Agency",SUMIFS('Full Crash Data'!$U:$U,'Full Crash Data'!$C:$C,B$5,'Full Crash Data'!$AN:$AN,"City or Village Highway Agency"))))))</f>
        <v>0</v>
      </c>
      <c r="C8" s="434"/>
      <c r="D8" s="438">
        <f>IF($B$2="All",SUMIFS('Full Crash Data'!$U:$U,'Full Crash Data'!$C:$C,D$5),IF($B$2="State Highway Agency",SUMIFS('Full Crash Data'!$U:$U,'Full Crash Data'!$C:$C,D$5,'Full Crash Data'!$AN:$AN,"State Highway Agency"),IF($B$2="County Highway Agency",SUMIFS('Full Crash Data'!$U:$U,'Full Crash Data'!$C:$C,D$5,'Full Crash Data'!$AN:$AN,"County Highway Agency"),IF($B$2="Township Highway Agency",SUMIFS('Full Crash Data'!$U:$U,'Full Crash Data'!$C:$C,D$5,'Full Crash Data'!$AN:$AN,"Township Highway Agency"),IF($B$2="City or Village Highway Agency",SUMIFS('Full Crash Data'!$U:$U,'Full Crash Data'!$C:$C,D$5,'Full Crash Data'!$AN:$AN,"City or Village Highway Agency"))))))</f>
        <v>0</v>
      </c>
      <c r="E8" s="434"/>
      <c r="F8" s="438">
        <f>IF($B$2="All",SUMIFS('Full Crash Data'!$U:$U,'Full Crash Data'!$C:$C,F$5),IF($B$2="State Highway Agency",SUMIFS('Full Crash Data'!$U:$U,'Full Crash Data'!$C:$C,F$5,'Full Crash Data'!$AN:$AN,"State Highway Agency"),IF($B$2="County Highway Agency",SUMIFS('Full Crash Data'!$U:$U,'Full Crash Data'!$C:$C,F$5,'Full Crash Data'!$AN:$AN,"County Highway Agency"),IF($B$2="Township Highway Agency",SUMIFS('Full Crash Data'!$U:$U,'Full Crash Data'!$C:$C,F$5,'Full Crash Data'!$AN:$AN,"Township Highway Agency"),IF($B$2="City or Village Highway Agency",SUMIFS('Full Crash Data'!$U:$U,'Full Crash Data'!$C:$C,F$5,'Full Crash Data'!$AN:$AN,"City or Village Highway Agency"))))))</f>
        <v>1</v>
      </c>
      <c r="G8" s="434"/>
      <c r="H8" s="438">
        <f>IF($B$2="All",SUMIFS('Full Crash Data'!$U:$U,'Full Crash Data'!$C:$C,H$5),IF($B$2="State Highway Agency",SUMIFS('Full Crash Data'!$U:$U,'Full Crash Data'!$C:$C,H$5,'Full Crash Data'!$AN:$AN,"State Highway Agency"),IF($B$2="County Highway Agency",SUMIFS('Full Crash Data'!$U:$U,'Full Crash Data'!$C:$C,H$5,'Full Crash Data'!$AN:$AN,"County Highway Agency"),IF($B$2="Township Highway Agency",SUMIFS('Full Crash Data'!$U:$U,'Full Crash Data'!$C:$C,H$5,'Full Crash Data'!$AN:$AN,"Township Highway Agency"),IF($B$2="City or Village Highway Agency",SUMIFS('Full Crash Data'!$U:$U,'Full Crash Data'!$C:$C,H$5,'Full Crash Data'!$AN:$AN,"City or Village Highway Agency"))))))</f>
        <v>0</v>
      </c>
      <c r="I8" s="434"/>
      <c r="J8" s="438">
        <f>IF($B$2="All",SUMIFS('Full Crash Data'!$U:$U,'Full Crash Data'!$C:$C,J$5),IF($B$2="State Highway Agency",SUMIFS('Full Crash Data'!$U:$U,'Full Crash Data'!$C:$C,J$5,'Full Crash Data'!$AN:$AN,"State Highway Agency"),IF($B$2="County Highway Agency",SUMIFS('Full Crash Data'!$U:$U,'Full Crash Data'!$C:$C,J$5,'Full Crash Data'!$AN:$AN,"County Highway Agency"),IF($B$2="Township Highway Agency",SUMIFS('Full Crash Data'!$U:$U,'Full Crash Data'!$C:$C,J$5,'Full Crash Data'!$AN:$AN,"Township Highway Agency"),IF($B$2="City or Village Highway Agency",SUMIFS('Full Crash Data'!$U:$U,'Full Crash Data'!$C:$C,J$5,'Full Crash Data'!$AN:$AN,"City or Village Highway Agency"))))))</f>
        <v>0</v>
      </c>
      <c r="K8" s="434"/>
      <c r="L8" s="438">
        <f>IF($B$2="All",SUMIFS('Full Crash Data'!$U:$U,'Full Crash Data'!$C:$C,L$5),IF($B$2="State Highway Agency",SUMIFS('Full Crash Data'!$U:$U,'Full Crash Data'!$C:$C,L$5,'Full Crash Data'!$AN:$AN,"State Highway Agency"),IF($B$2="County Highway Agency",SUMIFS('Full Crash Data'!$U:$U,'Full Crash Data'!$C:$C,L$5,'Full Crash Data'!$AN:$AN,"County Highway Agency"),IF($B$2="Township Highway Agency",SUMIFS('Full Crash Data'!$U:$U,'Full Crash Data'!$C:$C,L$5,'Full Crash Data'!$AN:$AN,"Township Highway Agency"),IF($B$2="City or Village Highway Agency",SUMIFS('Full Crash Data'!$U:$U,'Full Crash Data'!$C:$C,L$5,'Full Crash Data'!$AN:$AN,"City or Village Highway Agency"))))))</f>
        <v>0</v>
      </c>
      <c r="M8" s="434"/>
      <c r="N8" s="438">
        <f>IF($B$2="All",SUMIFS('Full Crash Data'!$U:$U,'Full Crash Data'!$C:$C,N$5),IF($B$2="State Highway Agency",SUMIFS('Full Crash Data'!$U:$U,'Full Crash Data'!$C:$C,N$5,'Full Crash Data'!$AN:$AN,"State Highway Agency"),IF($B$2="County Highway Agency",SUMIFS('Full Crash Data'!$U:$U,'Full Crash Data'!$C:$C,N$5,'Full Crash Data'!$AN:$AN,"County Highway Agency"),IF($B$2="Township Highway Agency",SUMIFS('Full Crash Data'!$U:$U,'Full Crash Data'!$C:$C,N$5,'Full Crash Data'!$AN:$AN,"Township Highway Agency"),IF($B$2="City or Village Highway Agency",SUMIFS('Full Crash Data'!$U:$U,'Full Crash Data'!$C:$C,N$5,'Full Crash Data'!$AN:$AN,"City or Village Highway Agency"))))))</f>
        <v>0</v>
      </c>
      <c r="O8" s="434"/>
      <c r="P8" s="438">
        <f>IF($B$2="All",SUMIFS('Full Crash Data'!$U:$U,'Full Crash Data'!$C:$C,P$5),IF($B$2="State Highway Agency",SUMIFS('Full Crash Data'!$U:$U,'Full Crash Data'!$C:$C,P$5,'Full Crash Data'!$AN:$AN,"State Highway Agency"),IF($B$2="County Highway Agency",SUMIFS('Full Crash Data'!$U:$U,'Full Crash Data'!$C:$C,P$5,'Full Crash Data'!$AN:$AN,"County Highway Agency"),IF($B$2="Township Highway Agency",SUMIFS('Full Crash Data'!$U:$U,'Full Crash Data'!$C:$C,P$5,'Full Crash Data'!$AN:$AN,"Township Highway Agency"),IF($B$2="City or Village Highway Agency",SUMIFS('Full Crash Data'!$U:$U,'Full Crash Data'!$C:$C,P$5,'Full Crash Data'!$AN:$AN,"City or Village Highway Agency"))))))</f>
        <v>0</v>
      </c>
      <c r="Q8" s="434"/>
      <c r="R8" s="438">
        <f>IF($B$2="All",SUMIFS('Full Crash Data'!$U:$U,'Full Crash Data'!$C:$C,R$5),IF($B$2="State Highway Agency",SUMIFS('Full Crash Data'!$U:$U,'Full Crash Data'!$C:$C,R$5,'Full Crash Data'!$AN:$AN,"State Highway Agency"),IF($B$2="County Highway Agency",SUMIFS('Full Crash Data'!$U:$U,'Full Crash Data'!$C:$C,R$5,'Full Crash Data'!$AN:$AN,"County Highway Agency"),IF($B$2="Township Highway Agency",SUMIFS('Full Crash Data'!$U:$U,'Full Crash Data'!$C:$C,R$5,'Full Crash Data'!$AN:$AN,"Township Highway Agency"),IF($B$2="City or Village Highway Agency",SUMIFS('Full Crash Data'!$U:$U,'Full Crash Data'!$C:$C,R$5,'Full Crash Data'!$AN:$AN,"City or Village Highway Agency"))))))</f>
        <v>0</v>
      </c>
      <c r="S8" s="434"/>
      <c r="T8" s="438">
        <f>IF($B$2="All",SUMIFS('Full Crash Data'!$U:$U,'Full Crash Data'!$C:$C,T$5),IF($B$2="State Highway Agency",SUMIFS('Full Crash Data'!$U:$U,'Full Crash Data'!$C:$C,T$5,'Full Crash Data'!$AN:$AN,"State Highway Agency"),IF($B$2="County Highway Agency",SUMIFS('Full Crash Data'!$U:$U,'Full Crash Data'!$C:$C,T$5,'Full Crash Data'!$AN:$AN,"County Highway Agency"),IF($B$2="Township Highway Agency",SUMIFS('Full Crash Data'!$U:$U,'Full Crash Data'!$C:$C,T$5,'Full Crash Data'!$AN:$AN,"Township Highway Agency"),IF($B$2="City or Village Highway Agency",SUMIFS('Full Crash Data'!$U:$U,'Full Crash Data'!$C:$C,T$5,'Full Crash Data'!$AN:$AN,"City or Village Highway Agency"))))))</f>
        <v>0</v>
      </c>
      <c r="U8" s="434"/>
      <c r="V8" s="438">
        <f>IF($B$2="All",SUMIFS('Full Crash Data'!$U:$U,'Full Crash Data'!$C:$C,V$5),IF($B$2="State Highway Agency",SUMIFS('Full Crash Data'!$U:$U,'Full Crash Data'!$C:$C,V$5,'Full Crash Data'!$AN:$AN,"State Highway Agency"),IF($B$2="County Highway Agency",SUMIFS('Full Crash Data'!$U:$U,'Full Crash Data'!$C:$C,V$5,'Full Crash Data'!$AN:$AN,"County Highway Agency"),IF($B$2="Township Highway Agency",SUMIFS('Full Crash Data'!$U:$U,'Full Crash Data'!$C:$C,V$5,'Full Crash Data'!$AN:$AN,"Township Highway Agency"),IF($B$2="City or Village Highway Agency",SUMIFS('Full Crash Data'!$U:$U,'Full Crash Data'!$C:$C,V$5,'Full Crash Data'!$AN:$AN,"City or Village Highway Agency"))))))</f>
        <v>0</v>
      </c>
      <c r="W8" s="438"/>
      <c r="AA8" s="303" t="s">
        <v>5975</v>
      </c>
      <c r="AE8" s="116">
        <v>5</v>
      </c>
    </row>
    <row r="9" spans="1:31" ht="22.5" customHeight="1" x14ac:dyDescent="0.2">
      <c r="A9" s="267" t="s">
        <v>1178</v>
      </c>
      <c r="B9" s="268">
        <f>IF($B$2="All",SUMIFS('Full Crash Data'!$U:$U,'Full Crash Data'!$C:$C,B$5,'Full Crash Data'!$AW:$AW,"Yes"),IF($B$2="State Highway Agency",SUMIFS('Full Crash Data'!$U:$U,'Full Crash Data'!$C:$C,B$5,'Full Crash Data'!$AN:$AN,"State Highway Agency",'Full Crash Data'!$AW:$AW,"Yes"),IF($B$2="County Highway Agency",SUMIFS('Full Crash Data'!$U:$U,'Full Crash Data'!$C:$C,B$5,'Full Crash Data'!$AN:$AN,"County Highway Agency",'Full Crash Data'!$AW:$AW,"Yes"),IF($B$2="Township Highway Agency",SUMIFS('Full Crash Data'!$U:$U,'Full Crash Data'!$C:$C,B$5,'Full Crash Data'!$AN:$AN,"Township Highway Agency",'Full Crash Data'!$AW:$AW,"Yes"),IF($B$2="City or Village Highway Agency",SUMIFS('Full Crash Data'!$U:$U,'Full Crash Data'!$C:$C,B$5,'Full Crash Data'!$AN:$AN,"City or Village Highway Agency",'Full Crash Data'!$AW:$AW,"Yes"))))))</f>
        <v>0</v>
      </c>
      <c r="C9" s="269">
        <f>IFERROR(ROUND(B9/B$8,2),0)</f>
        <v>0</v>
      </c>
      <c r="D9" s="268">
        <f>IF($B$2="All",SUMIFS('Full Crash Data'!$U:$U,'Full Crash Data'!$C:$C,D$5,'Full Crash Data'!$AW:$AW,"Yes"),IF($B$2="State Highway Agency",SUMIFS('Full Crash Data'!$U:$U,'Full Crash Data'!$C:$C,D$5,'Full Crash Data'!$AN:$AN,"State Highway Agency",'Full Crash Data'!$AW:$AW,"Yes"),IF($B$2="County Highway Agency",SUMIFS('Full Crash Data'!$U:$U,'Full Crash Data'!$C:$C,D$5,'Full Crash Data'!$AN:$AN,"County Highway Agency",'Full Crash Data'!$AW:$AW,"Yes"),IF($B$2="Township Highway Agency",SUMIFS('Full Crash Data'!$U:$U,'Full Crash Data'!$C:$C,D$5,'Full Crash Data'!$AN:$AN,"Township Highway Agency",'Full Crash Data'!$AW:$AW,"Yes"),IF($B$2="City or Village Highway Agency",SUMIFS('Full Crash Data'!$U:$U,'Full Crash Data'!$C:$C,D$5,'Full Crash Data'!$AN:$AN,"City or Village Highway Agency",'Full Crash Data'!$AW:$AW,"Yes"))))))</f>
        <v>0</v>
      </c>
      <c r="E9" s="269">
        <f>IFERROR(ROUND(D9/D$8,2),0)</f>
        <v>0</v>
      </c>
      <c r="F9" s="268">
        <f>IF($B$2="All",SUMIFS('Full Crash Data'!$U:$U,'Full Crash Data'!$C:$C,F$5,'Full Crash Data'!$AW:$AW,"Yes"),IF($B$2="State Highway Agency",SUMIFS('Full Crash Data'!$U:$U,'Full Crash Data'!$C:$C,F$5,'Full Crash Data'!$AN:$AN,"State Highway Agency",'Full Crash Data'!$AW:$AW,"Yes"),IF($B$2="County Highway Agency",SUMIFS('Full Crash Data'!$U:$U,'Full Crash Data'!$C:$C,F$5,'Full Crash Data'!$AN:$AN,"County Highway Agency",'Full Crash Data'!$AW:$AW,"Yes"),IF($B$2="Township Highway Agency",SUMIFS('Full Crash Data'!$U:$U,'Full Crash Data'!$C:$C,F$5,'Full Crash Data'!$AN:$AN,"Township Highway Agency",'Full Crash Data'!$AW:$AW,"Yes"),IF($B$2="City or Village Highway Agency",SUMIFS('Full Crash Data'!$U:$U,'Full Crash Data'!$C:$C,F$5,'Full Crash Data'!$AN:$AN,"City or Village Highway Agency",'Full Crash Data'!$AW:$AW,"Yes"))))))</f>
        <v>1</v>
      </c>
      <c r="G9" s="269">
        <f>IFERROR(ROUND(F9/F$8,2),0)</f>
        <v>1</v>
      </c>
      <c r="H9" s="268">
        <f>IF($B$2="All",SUMIFS('Full Crash Data'!$U:$U,'Full Crash Data'!$C:$C,H$5,'Full Crash Data'!$AW:$AW,"Yes"),IF($B$2="State Highway Agency",SUMIFS('Full Crash Data'!$U:$U,'Full Crash Data'!$C:$C,H$5,'Full Crash Data'!$AN:$AN,"State Highway Agency",'Full Crash Data'!$AW:$AW,"Yes"),IF($B$2="County Highway Agency",SUMIFS('Full Crash Data'!$U:$U,'Full Crash Data'!$C:$C,H$5,'Full Crash Data'!$AN:$AN,"County Highway Agency",'Full Crash Data'!$AW:$AW,"Yes"),IF($B$2="Township Highway Agency",SUMIFS('Full Crash Data'!$U:$U,'Full Crash Data'!$C:$C,H$5,'Full Crash Data'!$AN:$AN,"Township Highway Agency",'Full Crash Data'!$AW:$AW,"Yes"),IF($B$2="City or Village Highway Agency",SUMIFS('Full Crash Data'!$U:$U,'Full Crash Data'!$C:$C,H$5,'Full Crash Data'!$AN:$AN,"City or Village Highway Agency",'Full Crash Data'!$AW:$AW,"Yes"))))))</f>
        <v>0</v>
      </c>
      <c r="I9" s="269">
        <f>IFERROR(ROUND(H9/H$8,2),0)</f>
        <v>0</v>
      </c>
      <c r="J9" s="268">
        <f>IF($B$2="All",SUMIFS('Full Crash Data'!$U:$U,'Full Crash Data'!$C:$C,J$5,'Full Crash Data'!$AW:$AW,"Yes"),IF($B$2="State Highway Agency",SUMIFS('Full Crash Data'!$U:$U,'Full Crash Data'!$C:$C,J$5,'Full Crash Data'!$AN:$AN,"State Highway Agency",'Full Crash Data'!$AW:$AW,"Yes"),IF($B$2="County Highway Agency",SUMIFS('Full Crash Data'!$U:$U,'Full Crash Data'!$C:$C,J$5,'Full Crash Data'!$AN:$AN,"County Highway Agency",'Full Crash Data'!$AW:$AW,"Yes"),IF($B$2="Township Highway Agency",SUMIFS('Full Crash Data'!$U:$U,'Full Crash Data'!$C:$C,J$5,'Full Crash Data'!$AN:$AN,"Township Highway Agency",'Full Crash Data'!$AW:$AW,"Yes"),IF($B$2="City or Village Highway Agency",SUMIFS('Full Crash Data'!$U:$U,'Full Crash Data'!$C:$C,J$5,'Full Crash Data'!$AN:$AN,"City or Village Highway Agency",'Full Crash Data'!$AW:$AW,"Yes"))))))</f>
        <v>0</v>
      </c>
      <c r="K9" s="269">
        <f>IFERROR(ROUND(J9/J$8,2),0)</f>
        <v>0</v>
      </c>
      <c r="L9" s="268">
        <f>IF($B$2="All",SUMIFS('Full Crash Data'!$U:$U,'Full Crash Data'!$C:$C,L$5,'Full Crash Data'!$AW:$AW,"Yes"),IF($B$2="State Highway Agency",SUMIFS('Full Crash Data'!$U:$U,'Full Crash Data'!$C:$C,L$5,'Full Crash Data'!$AN:$AN,"State Highway Agency",'Full Crash Data'!$AW:$AW,"Yes"),IF($B$2="County Highway Agency",SUMIFS('Full Crash Data'!$U:$U,'Full Crash Data'!$C:$C,L$5,'Full Crash Data'!$AN:$AN,"County Highway Agency",'Full Crash Data'!$AW:$AW,"Yes"),IF($B$2="Township Highway Agency",SUMIFS('Full Crash Data'!$U:$U,'Full Crash Data'!$C:$C,L$5,'Full Crash Data'!$AN:$AN,"Township Highway Agency",'Full Crash Data'!$AW:$AW,"Yes"),IF($B$2="City or Village Highway Agency",SUMIFS('Full Crash Data'!$U:$U,'Full Crash Data'!$C:$C,L$5,'Full Crash Data'!$AN:$AN,"City or Village Highway Agency",'Full Crash Data'!$AW:$AW,"Yes"))))))</f>
        <v>0</v>
      </c>
      <c r="M9" s="269">
        <f>IFERROR(ROUND(L9/L$8,2),0)</f>
        <v>0</v>
      </c>
      <c r="N9" s="268">
        <f>IF($B$2="All",SUMIFS('Full Crash Data'!$U:$U,'Full Crash Data'!$C:$C,N$5,'Full Crash Data'!$AW:$AW,"Yes"),IF($B$2="State Highway Agency",SUMIFS('Full Crash Data'!$U:$U,'Full Crash Data'!$C:$C,N$5,'Full Crash Data'!$AN:$AN,"State Highway Agency",'Full Crash Data'!$AW:$AW,"Yes"),IF($B$2="County Highway Agency",SUMIFS('Full Crash Data'!$U:$U,'Full Crash Data'!$C:$C,N$5,'Full Crash Data'!$AN:$AN,"County Highway Agency",'Full Crash Data'!$AW:$AW,"Yes"),IF($B$2="Township Highway Agency",SUMIFS('Full Crash Data'!$U:$U,'Full Crash Data'!$C:$C,N$5,'Full Crash Data'!$AN:$AN,"Township Highway Agency",'Full Crash Data'!$AW:$AW,"Yes"),IF($B$2="City or Village Highway Agency",SUMIFS('Full Crash Data'!$U:$U,'Full Crash Data'!$C:$C,N$5,'Full Crash Data'!$AN:$AN,"City or Village Highway Agency",'Full Crash Data'!$AW:$AW,"Yes"))))))</f>
        <v>0</v>
      </c>
      <c r="O9" s="269">
        <f>IFERROR(ROUND(N9/N$8,2),0)</f>
        <v>0</v>
      </c>
      <c r="P9" s="268">
        <f>IF($B$2="All",SUMIFS('Full Crash Data'!$U:$U,'Full Crash Data'!$C:$C,P$5,'Full Crash Data'!$AW:$AW,"Yes"),IF($B$2="State Highway Agency",SUMIFS('Full Crash Data'!$U:$U,'Full Crash Data'!$C:$C,P$5,'Full Crash Data'!$AN:$AN,"State Highway Agency",'Full Crash Data'!$AW:$AW,"Yes"),IF($B$2="County Highway Agency",SUMIFS('Full Crash Data'!$U:$U,'Full Crash Data'!$C:$C,P$5,'Full Crash Data'!$AN:$AN,"County Highway Agency",'Full Crash Data'!$AW:$AW,"Yes"),IF($B$2="Township Highway Agency",SUMIFS('Full Crash Data'!$U:$U,'Full Crash Data'!$C:$C,P$5,'Full Crash Data'!$AN:$AN,"Township Highway Agency",'Full Crash Data'!$AW:$AW,"Yes"),IF($B$2="City or Village Highway Agency",SUMIFS('Full Crash Data'!$U:$U,'Full Crash Data'!$C:$C,P$5,'Full Crash Data'!$AN:$AN,"City or Village Highway Agency",'Full Crash Data'!$AW:$AW,"Yes"))))))</f>
        <v>0</v>
      </c>
      <c r="Q9" s="269">
        <f>IFERROR(ROUND(P9/P$8,2),0)</f>
        <v>0</v>
      </c>
      <c r="R9" s="268">
        <f>IF($B$2="All",SUMIFS('Full Crash Data'!$U:$U,'Full Crash Data'!$C:$C,R$5,'Full Crash Data'!$AW:$AW,"Yes"),IF($B$2="State Highway Agency",SUMIFS('Full Crash Data'!$U:$U,'Full Crash Data'!$C:$C,R$5,'Full Crash Data'!$AN:$AN,"State Highway Agency",'Full Crash Data'!$AW:$AW,"Yes"),IF($B$2="County Highway Agency",SUMIFS('Full Crash Data'!$U:$U,'Full Crash Data'!$C:$C,R$5,'Full Crash Data'!$AN:$AN,"County Highway Agency",'Full Crash Data'!$AW:$AW,"Yes"),IF($B$2="Township Highway Agency",SUMIFS('Full Crash Data'!$U:$U,'Full Crash Data'!$C:$C,R$5,'Full Crash Data'!$AN:$AN,"Township Highway Agency",'Full Crash Data'!$AW:$AW,"Yes"),IF($B$2="City or Village Highway Agency",SUMIFS('Full Crash Data'!$U:$U,'Full Crash Data'!$C:$C,R$5,'Full Crash Data'!$AN:$AN,"City or Village Highway Agency",'Full Crash Data'!$AW:$AW,"Yes"))))))</f>
        <v>0</v>
      </c>
      <c r="S9" s="269">
        <f>IFERROR(ROUND(R9/R$8,2),0)</f>
        <v>0</v>
      </c>
      <c r="T9" s="268">
        <f>IF($B$2="All",SUMIFS('Full Crash Data'!$U:$U,'Full Crash Data'!$C:$C,T$5,'Full Crash Data'!$AW:$AW,"Yes"),IF($B$2="State Highway Agency",SUMIFS('Full Crash Data'!$U:$U,'Full Crash Data'!$C:$C,T$5,'Full Crash Data'!$AN:$AN,"State Highway Agency",'Full Crash Data'!$AW:$AW,"Yes"),IF($B$2="County Highway Agency",SUMIFS('Full Crash Data'!$U:$U,'Full Crash Data'!$C:$C,T$5,'Full Crash Data'!$AN:$AN,"County Highway Agency",'Full Crash Data'!$AW:$AW,"Yes"),IF($B$2="Township Highway Agency",SUMIFS('Full Crash Data'!$U:$U,'Full Crash Data'!$C:$C,T$5,'Full Crash Data'!$AN:$AN,"Township Highway Agency",'Full Crash Data'!$AW:$AW,"Yes"),IF($B$2="City or Village Highway Agency",SUMIFS('Full Crash Data'!$U:$U,'Full Crash Data'!$C:$C,T$5,'Full Crash Data'!$AN:$AN,"City or Village Highway Agency",'Full Crash Data'!$AW:$AW,"Yes"))))))</f>
        <v>0</v>
      </c>
      <c r="U9" s="269">
        <f>IFERROR(ROUND(T9/T$8,2),0)</f>
        <v>0</v>
      </c>
      <c r="V9" s="268">
        <f>IF($B$2="All",SUMIFS('Full Crash Data'!$U:$U,'Full Crash Data'!$C:$C,V$5,'Full Crash Data'!$AW:$AW,"Yes"),IF($B$2="State Highway Agency",SUMIFS('Full Crash Data'!$U:$U,'Full Crash Data'!$C:$C,V$5,'Full Crash Data'!$AN:$AN,"State Highway Agency",'Full Crash Data'!$AW:$AW,"Yes"),IF($B$2="County Highway Agency",SUMIFS('Full Crash Data'!$U:$U,'Full Crash Data'!$C:$C,V$5,'Full Crash Data'!$AN:$AN,"County Highway Agency",'Full Crash Data'!$AW:$AW,"Yes"),IF($B$2="Township Highway Agency",SUMIFS('Full Crash Data'!$U:$U,'Full Crash Data'!$C:$C,V$5,'Full Crash Data'!$AN:$AN,"Township Highway Agency",'Full Crash Data'!$AW:$AW,"Yes"),IF($B$2="City or Village Highway Agency",SUMIFS('Full Crash Data'!$U:$U,'Full Crash Data'!$C:$C,V$5,'Full Crash Data'!$AN:$AN,"City or Village Highway Agency",'Full Crash Data'!$AW:$AW,"Yes"))))))</f>
        <v>0</v>
      </c>
      <c r="W9" s="269">
        <f>IFERROR(ROUND(V9/V$8,2),0)</f>
        <v>0</v>
      </c>
      <c r="AE9" s="116">
        <v>6</v>
      </c>
    </row>
    <row r="10" spans="1:31" ht="22.5" customHeight="1" x14ac:dyDescent="0.2">
      <c r="A10" s="270" t="s">
        <v>221</v>
      </c>
      <c r="B10" s="271">
        <f>IF($B$2="All",SUMIFS('Full Crash Data'!$U:$U,'Full Crash Data'!$C:$C,B$5,'Full Crash Data'!$AX:$AX,"Yes"),IF($B$2="State Highway Agency",SUMIFS('Full Crash Data'!$U:$U,'Full Crash Data'!$C:$C,B$5,'Full Crash Data'!$AN:$AN,"State Highway Agency",'Full Crash Data'!$AX:$AX,"Yes"),IF($B$2="County Highway Agency",SUMIFS('Full Crash Data'!$U:$U,'Full Crash Data'!$C:$C,B$5,'Full Crash Data'!$AN:$AN,"County Highway Agency",'Full Crash Data'!$AX:$AX,"Yes"),IF($B$2="Township Highway Agency",SUMIFS('Full Crash Data'!$U:$U,'Full Crash Data'!$C:$C,B$5,'Full Crash Data'!$AN:$AN,"Township Highway Agency",'Full Crash Data'!$AX:$AX,"Yes"),IF($B$2="City or Village Highway Agency",SUMIFS('Full Crash Data'!$U:$U,'Full Crash Data'!$C:$C,B$5,'Full Crash Data'!$AN:$AN,"City or Village Highway Agency",'Full Crash Data'!$AX:$AX,"Yes"))))))</f>
        <v>0</v>
      </c>
      <c r="C10" s="272">
        <f t="shared" ref="C10:E24" si="0">IFERROR(ROUND(B10/B$8,2),0)</f>
        <v>0</v>
      </c>
      <c r="D10" s="271">
        <f>IF($B$2="All",SUMIFS('Full Crash Data'!$U:$U,'Full Crash Data'!$C:$C,D$5,'Full Crash Data'!$AX:$AX,"Yes"),IF($B$2="State Highway Agency",SUMIFS('Full Crash Data'!$U:$U,'Full Crash Data'!$C:$C,D$5,'Full Crash Data'!$AN:$AN,"State Highway Agency",'Full Crash Data'!$AX:$AX,"Yes"),IF($B$2="County Highway Agency",SUMIFS('Full Crash Data'!$U:$U,'Full Crash Data'!$C:$C,D$5,'Full Crash Data'!$AN:$AN,"County Highway Agency",'Full Crash Data'!$AX:$AX,"Yes"),IF($B$2="Township Highway Agency",SUMIFS('Full Crash Data'!$U:$U,'Full Crash Data'!$C:$C,D$5,'Full Crash Data'!$AN:$AN,"Township Highway Agency",'Full Crash Data'!$AX:$AX,"Yes"),IF($B$2="City or Village Highway Agency",SUMIFS('Full Crash Data'!$U:$U,'Full Crash Data'!$C:$C,D$5,'Full Crash Data'!$AN:$AN,"City or Village Highway Agency",'Full Crash Data'!$AX:$AX,"Yes"))))))</f>
        <v>0</v>
      </c>
      <c r="E10" s="272">
        <f t="shared" si="0"/>
        <v>0</v>
      </c>
      <c r="F10" s="271">
        <f>IF($B$2="All",SUMIFS('Full Crash Data'!$U:$U,'Full Crash Data'!$C:$C,F$5,'Full Crash Data'!$AX:$AX,"Yes"),IF($B$2="State Highway Agency",SUMIFS('Full Crash Data'!$U:$U,'Full Crash Data'!$C:$C,F$5,'Full Crash Data'!$AN:$AN,"State Highway Agency",'Full Crash Data'!$AX:$AX,"Yes"),IF($B$2="County Highway Agency",SUMIFS('Full Crash Data'!$U:$U,'Full Crash Data'!$C:$C,F$5,'Full Crash Data'!$AN:$AN,"County Highway Agency",'Full Crash Data'!$AX:$AX,"Yes"),IF($B$2="Township Highway Agency",SUMIFS('Full Crash Data'!$U:$U,'Full Crash Data'!$C:$C,F$5,'Full Crash Data'!$AN:$AN,"Township Highway Agency",'Full Crash Data'!$AX:$AX,"Yes"),IF($B$2="City or Village Highway Agency",SUMIFS('Full Crash Data'!$U:$U,'Full Crash Data'!$C:$C,F$5,'Full Crash Data'!$AN:$AN,"City or Village Highway Agency",'Full Crash Data'!$AX:$AX,"Yes"))))))</f>
        <v>1</v>
      </c>
      <c r="G10" s="272">
        <f t="shared" ref="G10" si="1">IFERROR(ROUND(F10/F$8,2),0)</f>
        <v>1</v>
      </c>
      <c r="H10" s="271">
        <f>IF($B$2="All",SUMIFS('Full Crash Data'!$U:$U,'Full Crash Data'!$C:$C,H$5,'Full Crash Data'!$AX:$AX,"Yes"),IF($B$2="State Highway Agency",SUMIFS('Full Crash Data'!$U:$U,'Full Crash Data'!$C:$C,H$5,'Full Crash Data'!$AN:$AN,"State Highway Agency",'Full Crash Data'!$AX:$AX,"Yes"),IF($B$2="County Highway Agency",SUMIFS('Full Crash Data'!$U:$U,'Full Crash Data'!$C:$C,H$5,'Full Crash Data'!$AN:$AN,"County Highway Agency",'Full Crash Data'!$AX:$AX,"Yes"),IF($B$2="Township Highway Agency",SUMIFS('Full Crash Data'!$U:$U,'Full Crash Data'!$C:$C,H$5,'Full Crash Data'!$AN:$AN,"Township Highway Agency",'Full Crash Data'!$AX:$AX,"Yes"),IF($B$2="City or Village Highway Agency",SUMIFS('Full Crash Data'!$U:$U,'Full Crash Data'!$C:$C,H$5,'Full Crash Data'!$AN:$AN,"City or Village Highway Agency",'Full Crash Data'!$AX:$AX,"Yes"))))))</f>
        <v>0</v>
      </c>
      <c r="I10" s="272">
        <f t="shared" ref="I10" si="2">IFERROR(ROUND(H10/H$8,2),0)</f>
        <v>0</v>
      </c>
      <c r="J10" s="271">
        <f>IF($B$2="All",SUMIFS('Full Crash Data'!$U:$U,'Full Crash Data'!$C:$C,J$5,'Full Crash Data'!$AX:$AX,"Yes"),IF($B$2="State Highway Agency",SUMIFS('Full Crash Data'!$U:$U,'Full Crash Data'!$C:$C,J$5,'Full Crash Data'!$AN:$AN,"State Highway Agency",'Full Crash Data'!$AX:$AX,"Yes"),IF($B$2="County Highway Agency",SUMIFS('Full Crash Data'!$U:$U,'Full Crash Data'!$C:$C,J$5,'Full Crash Data'!$AN:$AN,"County Highway Agency",'Full Crash Data'!$AX:$AX,"Yes"),IF($B$2="Township Highway Agency",SUMIFS('Full Crash Data'!$U:$U,'Full Crash Data'!$C:$C,J$5,'Full Crash Data'!$AN:$AN,"Township Highway Agency",'Full Crash Data'!$AX:$AX,"Yes"),IF($B$2="City or Village Highway Agency",SUMIFS('Full Crash Data'!$U:$U,'Full Crash Data'!$C:$C,J$5,'Full Crash Data'!$AN:$AN,"City or Village Highway Agency",'Full Crash Data'!$AX:$AX,"Yes"))))))</f>
        <v>0</v>
      </c>
      <c r="K10" s="272">
        <f t="shared" ref="K10" si="3">IFERROR(ROUND(J10/J$8,2),0)</f>
        <v>0</v>
      </c>
      <c r="L10" s="271">
        <f>IF($B$2="All",SUMIFS('Full Crash Data'!$U:$U,'Full Crash Data'!$C:$C,L$5,'Full Crash Data'!$AX:$AX,"Yes"),IF($B$2="State Highway Agency",SUMIFS('Full Crash Data'!$U:$U,'Full Crash Data'!$C:$C,L$5,'Full Crash Data'!$AN:$AN,"State Highway Agency",'Full Crash Data'!$AX:$AX,"Yes"),IF($B$2="County Highway Agency",SUMIFS('Full Crash Data'!$U:$U,'Full Crash Data'!$C:$C,L$5,'Full Crash Data'!$AN:$AN,"County Highway Agency",'Full Crash Data'!$AX:$AX,"Yes"),IF($B$2="Township Highway Agency",SUMIFS('Full Crash Data'!$U:$U,'Full Crash Data'!$C:$C,L$5,'Full Crash Data'!$AN:$AN,"Township Highway Agency",'Full Crash Data'!$AX:$AX,"Yes"),IF($B$2="City or Village Highway Agency",SUMIFS('Full Crash Data'!$U:$U,'Full Crash Data'!$C:$C,L$5,'Full Crash Data'!$AN:$AN,"City or Village Highway Agency",'Full Crash Data'!$AX:$AX,"Yes"))))))</f>
        <v>0</v>
      </c>
      <c r="M10" s="272">
        <f t="shared" ref="M10" si="4">IFERROR(ROUND(L10/L$8,2),0)</f>
        <v>0</v>
      </c>
      <c r="N10" s="271">
        <f>IF($B$2="All",SUMIFS('Full Crash Data'!$U:$U,'Full Crash Data'!$C:$C,N$5,'Full Crash Data'!$AX:$AX,"Yes"),IF($B$2="State Highway Agency",SUMIFS('Full Crash Data'!$U:$U,'Full Crash Data'!$C:$C,N$5,'Full Crash Data'!$AN:$AN,"State Highway Agency",'Full Crash Data'!$AX:$AX,"Yes"),IF($B$2="County Highway Agency",SUMIFS('Full Crash Data'!$U:$U,'Full Crash Data'!$C:$C,N$5,'Full Crash Data'!$AN:$AN,"County Highway Agency",'Full Crash Data'!$AX:$AX,"Yes"),IF($B$2="Township Highway Agency",SUMIFS('Full Crash Data'!$U:$U,'Full Crash Data'!$C:$C,N$5,'Full Crash Data'!$AN:$AN,"Township Highway Agency",'Full Crash Data'!$AX:$AX,"Yes"),IF($B$2="City or Village Highway Agency",SUMIFS('Full Crash Data'!$U:$U,'Full Crash Data'!$C:$C,N$5,'Full Crash Data'!$AN:$AN,"City or Village Highway Agency",'Full Crash Data'!$AX:$AX,"Yes"))))))</f>
        <v>0</v>
      </c>
      <c r="O10" s="272">
        <f t="shared" ref="O10" si="5">IFERROR(ROUND(N10/N$8,2),0)</f>
        <v>0</v>
      </c>
      <c r="P10" s="271">
        <f>IF($B$2="All",SUMIFS('Full Crash Data'!$U:$U,'Full Crash Data'!$C:$C,P$5,'Full Crash Data'!$AX:$AX,"Yes"),IF($B$2="State Highway Agency",SUMIFS('Full Crash Data'!$U:$U,'Full Crash Data'!$C:$C,P$5,'Full Crash Data'!$AN:$AN,"State Highway Agency",'Full Crash Data'!$AX:$AX,"Yes"),IF($B$2="County Highway Agency",SUMIFS('Full Crash Data'!$U:$U,'Full Crash Data'!$C:$C,P$5,'Full Crash Data'!$AN:$AN,"County Highway Agency",'Full Crash Data'!$AX:$AX,"Yes"),IF($B$2="Township Highway Agency",SUMIFS('Full Crash Data'!$U:$U,'Full Crash Data'!$C:$C,P$5,'Full Crash Data'!$AN:$AN,"Township Highway Agency",'Full Crash Data'!$AX:$AX,"Yes"),IF($B$2="City or Village Highway Agency",SUMIFS('Full Crash Data'!$U:$U,'Full Crash Data'!$C:$C,P$5,'Full Crash Data'!$AN:$AN,"City or Village Highway Agency",'Full Crash Data'!$AX:$AX,"Yes"))))))</f>
        <v>0</v>
      </c>
      <c r="Q10" s="272">
        <f t="shared" ref="Q10" si="6">IFERROR(ROUND(P10/P$8,2),0)</f>
        <v>0</v>
      </c>
      <c r="R10" s="271">
        <f>IF($B$2="All",SUMIFS('Full Crash Data'!$U:$U,'Full Crash Data'!$C:$C,R$5,'Full Crash Data'!$AX:$AX,"Yes"),IF($B$2="State Highway Agency",SUMIFS('Full Crash Data'!$U:$U,'Full Crash Data'!$C:$C,R$5,'Full Crash Data'!$AN:$AN,"State Highway Agency",'Full Crash Data'!$AX:$AX,"Yes"),IF($B$2="County Highway Agency",SUMIFS('Full Crash Data'!$U:$U,'Full Crash Data'!$C:$C,R$5,'Full Crash Data'!$AN:$AN,"County Highway Agency",'Full Crash Data'!$AX:$AX,"Yes"),IF($B$2="Township Highway Agency",SUMIFS('Full Crash Data'!$U:$U,'Full Crash Data'!$C:$C,R$5,'Full Crash Data'!$AN:$AN,"Township Highway Agency",'Full Crash Data'!$AX:$AX,"Yes"),IF($B$2="City or Village Highway Agency",SUMIFS('Full Crash Data'!$U:$U,'Full Crash Data'!$C:$C,R$5,'Full Crash Data'!$AN:$AN,"City or Village Highway Agency",'Full Crash Data'!$AX:$AX,"Yes"))))))</f>
        <v>0</v>
      </c>
      <c r="S10" s="272">
        <f t="shared" ref="S10" si="7">IFERROR(ROUND(R10/R$8,2),0)</f>
        <v>0</v>
      </c>
      <c r="T10" s="271">
        <f>IF($B$2="All",SUMIFS('Full Crash Data'!$U:$U,'Full Crash Data'!$C:$C,T$5,'Full Crash Data'!$AX:$AX,"Yes"),IF($B$2="State Highway Agency",SUMIFS('Full Crash Data'!$U:$U,'Full Crash Data'!$C:$C,T$5,'Full Crash Data'!$AN:$AN,"State Highway Agency",'Full Crash Data'!$AX:$AX,"Yes"),IF($B$2="County Highway Agency",SUMIFS('Full Crash Data'!$U:$U,'Full Crash Data'!$C:$C,T$5,'Full Crash Data'!$AN:$AN,"County Highway Agency",'Full Crash Data'!$AX:$AX,"Yes"),IF($B$2="Township Highway Agency",SUMIFS('Full Crash Data'!$U:$U,'Full Crash Data'!$C:$C,T$5,'Full Crash Data'!$AN:$AN,"Township Highway Agency",'Full Crash Data'!$AX:$AX,"Yes"),IF($B$2="City or Village Highway Agency",SUMIFS('Full Crash Data'!$U:$U,'Full Crash Data'!$C:$C,T$5,'Full Crash Data'!$AN:$AN,"City or Village Highway Agency",'Full Crash Data'!$AX:$AX,"Yes"))))))</f>
        <v>0</v>
      </c>
      <c r="U10" s="272">
        <f t="shared" ref="U10" si="8">IFERROR(ROUND(T10/T$8,2),0)</f>
        <v>0</v>
      </c>
      <c r="V10" s="271">
        <f>IF($B$2="All",SUMIFS('Full Crash Data'!$U:$U,'Full Crash Data'!$C:$C,V$5,'Full Crash Data'!$AX:$AX,"Yes"),IF($B$2="State Highway Agency",SUMIFS('Full Crash Data'!$U:$U,'Full Crash Data'!$C:$C,V$5,'Full Crash Data'!$AN:$AN,"State Highway Agency",'Full Crash Data'!$AX:$AX,"Yes"),IF($B$2="County Highway Agency",SUMIFS('Full Crash Data'!$U:$U,'Full Crash Data'!$C:$C,V$5,'Full Crash Data'!$AN:$AN,"County Highway Agency",'Full Crash Data'!$AX:$AX,"Yes"),IF($B$2="Township Highway Agency",SUMIFS('Full Crash Data'!$U:$U,'Full Crash Data'!$C:$C,V$5,'Full Crash Data'!$AN:$AN,"Township Highway Agency",'Full Crash Data'!$AX:$AX,"Yes"),IF($B$2="City or Village Highway Agency",SUMIFS('Full Crash Data'!$U:$U,'Full Crash Data'!$C:$C,V$5,'Full Crash Data'!$AN:$AN,"City or Village Highway Agency",'Full Crash Data'!$AX:$AX,"Yes"))))))</f>
        <v>0</v>
      </c>
      <c r="W10" s="272">
        <f t="shared" ref="W10" si="9">IFERROR(ROUND(V10/V$8,2),0)</f>
        <v>0</v>
      </c>
      <c r="AE10" s="116">
        <v>7</v>
      </c>
    </row>
    <row r="11" spans="1:31" ht="22.5" customHeight="1" x14ac:dyDescent="0.2">
      <c r="A11" s="270" t="s">
        <v>5989</v>
      </c>
      <c r="B11" s="271">
        <f>IF($B$2="All",SUMIFS('Full Crash Data'!$U:$U,'Full Crash Data'!$C:$C,B$5,'Full Crash Data'!$G:$G,"Train"),IF($B$2="State Highway Agency",SUMIFS('Full Crash Data'!$U:$U,'Full Crash Data'!$C:$C,B$5,'Full Crash Data'!$AN:$AN,"State Highway Agency",'Full Crash Data'!$G:$G,"Train"),IF($B$2="County Highway Agency",SUMIFS('Full Crash Data'!$U:$U,'Full Crash Data'!$C:$C,B$5,'Full Crash Data'!$AN:$AN,"County Highway Agency",'Full Crash Data'!$G:$G,"Train"),IF($B$2="Township Highway Agency",SUMIFS('Full Crash Data'!$U:$U,'Full Crash Data'!$C:$C,B$5,'Full Crash Data'!$AN:$AN,"Township Highway Agency",'Full Crash Data'!$G:$G,"Train"),IF($B$2="City or Village Highway Agency",SUMIFS('Full Crash Data'!$U:$U,'Full Crash Data'!$C:$C,B$5,'Full Crash Data'!$AN:$AN,"City or Village Highway Agency",'Full Crash Data'!$G:$G,"Train"))))))</f>
        <v>0</v>
      </c>
      <c r="C11" s="272">
        <f t="shared" si="0"/>
        <v>0</v>
      </c>
      <c r="D11" s="271">
        <f>IF($B$2="All",SUMIFS('Full Crash Data'!$U:$U,'Full Crash Data'!$C:$C,D$5,'Full Crash Data'!$G:$G,"Train"),IF($B$2="State Highway Agency",SUMIFS('Full Crash Data'!$U:$U,'Full Crash Data'!$C:$C,D$5,'Full Crash Data'!$AN:$AN,"State Highway Agency",'Full Crash Data'!$G:$G,"Train"),IF($B$2="County Highway Agency",SUMIFS('Full Crash Data'!$U:$U,'Full Crash Data'!$C:$C,D$5,'Full Crash Data'!$AN:$AN,"County Highway Agency",'Full Crash Data'!$G:$G,"Train"),IF($B$2="Township Highway Agency",SUMIFS('Full Crash Data'!$U:$U,'Full Crash Data'!$C:$C,D$5,'Full Crash Data'!$AN:$AN,"Township Highway Agency",'Full Crash Data'!$G:$G,"Train"),IF($B$2="City or Village Highway Agency",SUMIFS('Full Crash Data'!$U:$U,'Full Crash Data'!$C:$C,D$5,'Full Crash Data'!$AN:$AN,"City or Village Highway Agency",'Full Crash Data'!$G:$G,"Train"))))))</f>
        <v>0</v>
      </c>
      <c r="E11" s="272">
        <f t="shared" si="0"/>
        <v>0</v>
      </c>
      <c r="F11" s="271">
        <f>IF($B$2="All",SUMIFS('Full Crash Data'!$U:$U,'Full Crash Data'!$C:$C,F$5,'Full Crash Data'!$G:$G,"Train"),IF($B$2="State Highway Agency",SUMIFS('Full Crash Data'!$U:$U,'Full Crash Data'!$C:$C,F$5,'Full Crash Data'!$AN:$AN,"State Highway Agency",'Full Crash Data'!$G:$G,"Train"),IF($B$2="County Highway Agency",SUMIFS('Full Crash Data'!$U:$U,'Full Crash Data'!$C:$C,F$5,'Full Crash Data'!$AN:$AN,"County Highway Agency",'Full Crash Data'!$G:$G,"Train"),IF($B$2="Township Highway Agency",SUMIFS('Full Crash Data'!$U:$U,'Full Crash Data'!$C:$C,F$5,'Full Crash Data'!$AN:$AN,"Township Highway Agency",'Full Crash Data'!$G:$G,"Train"),IF($B$2="City or Village Highway Agency",SUMIFS('Full Crash Data'!$U:$U,'Full Crash Data'!$C:$C,F$5,'Full Crash Data'!$AN:$AN,"City or Village Highway Agency",'Full Crash Data'!$G:$G,"Train"))))))</f>
        <v>0</v>
      </c>
      <c r="G11" s="272">
        <f t="shared" ref="G11" si="10">IFERROR(ROUND(F11/F$8,2),0)</f>
        <v>0</v>
      </c>
      <c r="H11" s="271">
        <f>IF($B$2="All",SUMIFS('Full Crash Data'!$U:$U,'Full Crash Data'!$C:$C,H$5,'Full Crash Data'!$G:$G,"Train"),IF($B$2="State Highway Agency",SUMIFS('Full Crash Data'!$U:$U,'Full Crash Data'!$C:$C,H$5,'Full Crash Data'!$AN:$AN,"State Highway Agency",'Full Crash Data'!$G:$G,"Train"),IF($B$2="County Highway Agency",SUMIFS('Full Crash Data'!$U:$U,'Full Crash Data'!$C:$C,H$5,'Full Crash Data'!$AN:$AN,"County Highway Agency",'Full Crash Data'!$G:$G,"Train"),IF($B$2="Township Highway Agency",SUMIFS('Full Crash Data'!$U:$U,'Full Crash Data'!$C:$C,H$5,'Full Crash Data'!$AN:$AN,"Township Highway Agency",'Full Crash Data'!$G:$G,"Train"),IF($B$2="City or Village Highway Agency",SUMIFS('Full Crash Data'!$U:$U,'Full Crash Data'!$C:$C,H$5,'Full Crash Data'!$AN:$AN,"City or Village Highway Agency",'Full Crash Data'!$G:$G,"Train"))))))</f>
        <v>0</v>
      </c>
      <c r="I11" s="272">
        <f t="shared" ref="I11" si="11">IFERROR(ROUND(H11/H$8,2),0)</f>
        <v>0</v>
      </c>
      <c r="J11" s="271">
        <f>IF($B$2="All",SUMIFS('Full Crash Data'!$U:$U,'Full Crash Data'!$C:$C,J$5,'Full Crash Data'!$G:$G,"Train"),IF($B$2="State Highway Agency",SUMIFS('Full Crash Data'!$U:$U,'Full Crash Data'!$C:$C,J$5,'Full Crash Data'!$AN:$AN,"State Highway Agency",'Full Crash Data'!$G:$G,"Train"),IF($B$2="County Highway Agency",SUMIFS('Full Crash Data'!$U:$U,'Full Crash Data'!$C:$C,J$5,'Full Crash Data'!$AN:$AN,"County Highway Agency",'Full Crash Data'!$G:$G,"Train"),IF($B$2="Township Highway Agency",SUMIFS('Full Crash Data'!$U:$U,'Full Crash Data'!$C:$C,J$5,'Full Crash Data'!$AN:$AN,"Township Highway Agency",'Full Crash Data'!$G:$G,"Train"),IF($B$2="City or Village Highway Agency",SUMIFS('Full Crash Data'!$U:$U,'Full Crash Data'!$C:$C,J$5,'Full Crash Data'!$AN:$AN,"City or Village Highway Agency",'Full Crash Data'!$G:$G,"Train"))))))</f>
        <v>0</v>
      </c>
      <c r="K11" s="272">
        <f t="shared" ref="K11" si="12">IFERROR(ROUND(J11/J$8,2),0)</f>
        <v>0</v>
      </c>
      <c r="L11" s="271">
        <f>IF($B$2="All",SUMIFS('Full Crash Data'!$U:$U,'Full Crash Data'!$C:$C,L$5,'Full Crash Data'!$G:$G,"Train"),IF($B$2="State Highway Agency",SUMIFS('Full Crash Data'!$U:$U,'Full Crash Data'!$C:$C,L$5,'Full Crash Data'!$AN:$AN,"State Highway Agency",'Full Crash Data'!$G:$G,"Train"),IF($B$2="County Highway Agency",SUMIFS('Full Crash Data'!$U:$U,'Full Crash Data'!$C:$C,L$5,'Full Crash Data'!$AN:$AN,"County Highway Agency",'Full Crash Data'!$G:$G,"Train"),IF($B$2="Township Highway Agency",SUMIFS('Full Crash Data'!$U:$U,'Full Crash Data'!$C:$C,L$5,'Full Crash Data'!$AN:$AN,"Township Highway Agency",'Full Crash Data'!$G:$G,"Train"),IF($B$2="City or Village Highway Agency",SUMIFS('Full Crash Data'!$U:$U,'Full Crash Data'!$C:$C,L$5,'Full Crash Data'!$AN:$AN,"City or Village Highway Agency",'Full Crash Data'!$G:$G,"Train"))))))</f>
        <v>0</v>
      </c>
      <c r="M11" s="272">
        <f t="shared" ref="M11" si="13">IFERROR(ROUND(L11/L$8,2),0)</f>
        <v>0</v>
      </c>
      <c r="N11" s="271">
        <f>IF($B$2="All",SUMIFS('Full Crash Data'!$U:$U,'Full Crash Data'!$C:$C,N$5,'Full Crash Data'!$G:$G,"Train"),IF($B$2="State Highway Agency",SUMIFS('Full Crash Data'!$U:$U,'Full Crash Data'!$C:$C,N$5,'Full Crash Data'!$AN:$AN,"State Highway Agency",'Full Crash Data'!$G:$G,"Train"),IF($B$2="County Highway Agency",SUMIFS('Full Crash Data'!$U:$U,'Full Crash Data'!$C:$C,N$5,'Full Crash Data'!$AN:$AN,"County Highway Agency",'Full Crash Data'!$G:$G,"Train"),IF($B$2="Township Highway Agency",SUMIFS('Full Crash Data'!$U:$U,'Full Crash Data'!$C:$C,N$5,'Full Crash Data'!$AN:$AN,"Township Highway Agency",'Full Crash Data'!$G:$G,"Train"),IF($B$2="City or Village Highway Agency",SUMIFS('Full Crash Data'!$U:$U,'Full Crash Data'!$C:$C,N$5,'Full Crash Data'!$AN:$AN,"City or Village Highway Agency",'Full Crash Data'!$G:$G,"Train"))))))</f>
        <v>0</v>
      </c>
      <c r="O11" s="272">
        <f t="shared" ref="O11" si="14">IFERROR(ROUND(N11/N$8,2),0)</f>
        <v>0</v>
      </c>
      <c r="P11" s="271">
        <f>IF($B$2="All",SUMIFS('Full Crash Data'!$U:$U,'Full Crash Data'!$C:$C,P$5,'Full Crash Data'!$G:$G,"Train"),IF($B$2="State Highway Agency",SUMIFS('Full Crash Data'!$U:$U,'Full Crash Data'!$C:$C,P$5,'Full Crash Data'!$AN:$AN,"State Highway Agency",'Full Crash Data'!$G:$G,"Train"),IF($B$2="County Highway Agency",SUMIFS('Full Crash Data'!$U:$U,'Full Crash Data'!$C:$C,P$5,'Full Crash Data'!$AN:$AN,"County Highway Agency",'Full Crash Data'!$G:$G,"Train"),IF($B$2="Township Highway Agency",SUMIFS('Full Crash Data'!$U:$U,'Full Crash Data'!$C:$C,P$5,'Full Crash Data'!$AN:$AN,"Township Highway Agency",'Full Crash Data'!$G:$G,"Train"),IF($B$2="City or Village Highway Agency",SUMIFS('Full Crash Data'!$U:$U,'Full Crash Data'!$C:$C,P$5,'Full Crash Data'!$AN:$AN,"City or Village Highway Agency",'Full Crash Data'!$G:$G,"Train"))))))</f>
        <v>0</v>
      </c>
      <c r="Q11" s="272">
        <f t="shared" ref="Q11" si="15">IFERROR(ROUND(P11/P$8,2),0)</f>
        <v>0</v>
      </c>
      <c r="R11" s="271">
        <f>IF($B$2="All",SUMIFS('Full Crash Data'!$U:$U,'Full Crash Data'!$C:$C,R$5,'Full Crash Data'!$G:$G,"Train"),IF($B$2="State Highway Agency",SUMIFS('Full Crash Data'!$U:$U,'Full Crash Data'!$C:$C,R$5,'Full Crash Data'!$AN:$AN,"State Highway Agency",'Full Crash Data'!$G:$G,"Train"),IF($B$2="County Highway Agency",SUMIFS('Full Crash Data'!$U:$U,'Full Crash Data'!$C:$C,R$5,'Full Crash Data'!$AN:$AN,"County Highway Agency",'Full Crash Data'!$G:$G,"Train"),IF($B$2="Township Highway Agency",SUMIFS('Full Crash Data'!$U:$U,'Full Crash Data'!$C:$C,R$5,'Full Crash Data'!$AN:$AN,"Township Highway Agency",'Full Crash Data'!$G:$G,"Train"),IF($B$2="City or Village Highway Agency",SUMIFS('Full Crash Data'!$U:$U,'Full Crash Data'!$C:$C,R$5,'Full Crash Data'!$AN:$AN,"City or Village Highway Agency",'Full Crash Data'!$G:$G,"Train"))))))</f>
        <v>0</v>
      </c>
      <c r="S11" s="272">
        <f t="shared" ref="S11" si="16">IFERROR(ROUND(R11/R$8,2),0)</f>
        <v>0</v>
      </c>
      <c r="T11" s="271">
        <f>IF($B$2="All",SUMIFS('Full Crash Data'!$U:$U,'Full Crash Data'!$C:$C,T$5,'Full Crash Data'!$G:$G,"Train"),IF($B$2="State Highway Agency",SUMIFS('Full Crash Data'!$U:$U,'Full Crash Data'!$C:$C,T$5,'Full Crash Data'!$AN:$AN,"State Highway Agency",'Full Crash Data'!$G:$G,"Train"),IF($B$2="County Highway Agency",SUMIFS('Full Crash Data'!$U:$U,'Full Crash Data'!$C:$C,T$5,'Full Crash Data'!$AN:$AN,"County Highway Agency",'Full Crash Data'!$G:$G,"Train"),IF($B$2="Township Highway Agency",SUMIFS('Full Crash Data'!$U:$U,'Full Crash Data'!$C:$C,T$5,'Full Crash Data'!$AN:$AN,"Township Highway Agency",'Full Crash Data'!$G:$G,"Train"),IF($B$2="City or Village Highway Agency",SUMIFS('Full Crash Data'!$U:$U,'Full Crash Data'!$C:$C,T$5,'Full Crash Data'!$AN:$AN,"City or Village Highway Agency",'Full Crash Data'!$G:$G,"Train"))))))</f>
        <v>0</v>
      </c>
      <c r="U11" s="272">
        <f t="shared" ref="U11" si="17">IFERROR(ROUND(T11/T$8,2),0)</f>
        <v>0</v>
      </c>
      <c r="V11" s="271">
        <f>IF($B$2="All",SUMIFS('Full Crash Data'!$U:$U,'Full Crash Data'!$C:$C,V$5,'Full Crash Data'!$G:$G,"Train"),IF($B$2="State Highway Agency",SUMIFS('Full Crash Data'!$U:$U,'Full Crash Data'!$C:$C,V$5,'Full Crash Data'!$AN:$AN,"State Highway Agency",'Full Crash Data'!$G:$G,"Train"),IF($B$2="County Highway Agency",SUMIFS('Full Crash Data'!$U:$U,'Full Crash Data'!$C:$C,V$5,'Full Crash Data'!$AN:$AN,"County Highway Agency",'Full Crash Data'!$G:$G,"Train"),IF($B$2="Township Highway Agency",SUMIFS('Full Crash Data'!$U:$U,'Full Crash Data'!$C:$C,V$5,'Full Crash Data'!$AN:$AN,"Township Highway Agency",'Full Crash Data'!$G:$G,"Train"),IF($B$2="City or Village Highway Agency",SUMIFS('Full Crash Data'!$U:$U,'Full Crash Data'!$C:$C,V$5,'Full Crash Data'!$AN:$AN,"City or Village Highway Agency",'Full Crash Data'!$G:$G,"Train"))))))</f>
        <v>0</v>
      </c>
      <c r="W11" s="272">
        <f t="shared" ref="W11" si="18">IFERROR(ROUND(V11/V$8,2),0)</f>
        <v>0</v>
      </c>
      <c r="AE11" s="116">
        <v>10</v>
      </c>
    </row>
    <row r="12" spans="1:31" ht="22.5" customHeight="1" x14ac:dyDescent="0.2">
      <c r="A12" s="270" t="s">
        <v>5997</v>
      </c>
      <c r="B12" s="271">
        <f>IF($B$2="All",SUMIFS('Full Crash Data'!$U:$U,'Full Crash Data'!$C:$C,B$5,'Full Crash Data'!$AY:$AY,"Yes"),IF($B$2="State Highway Agency",SUMIFS('Full Crash Data'!$U:$U,'Full Crash Data'!$C:$C,B$5,'Full Crash Data'!$AN:$AN,"State Highway Agency",'Full Crash Data'!$AY:$AY,"Yes"),IF($B$2="County Highway Agency",SUMIFS('Full Crash Data'!$U:$U,'Full Crash Data'!$C:$C,B$5,'Full Crash Data'!$AN:$AN,"County Highway Agency",'Full Crash Data'!$AY:$AY,"Yes"),IF($B$2="Township Highway Agency",SUMIFS('Full Crash Data'!$U:$U,'Full Crash Data'!$C:$C,B$5,'Full Crash Data'!$AN:$AN,"Township Highway Agency",'Full Crash Data'!$AY:$AY,"Yes"),IF($B$2="City or Village Highway Agency",SUMIFS('Full Crash Data'!$U:$U,'Full Crash Data'!$C:$C,B$5,'Full Crash Data'!$AN:$AN,"City or Village Highway Agency",'Full Crash Data'!$AY:$AY,"Yes"))))))</f>
        <v>0</v>
      </c>
      <c r="C12" s="272">
        <f t="shared" si="0"/>
        <v>0</v>
      </c>
      <c r="D12" s="271">
        <f>IF($B$2="All",SUMIFS('Full Crash Data'!$U:$U,'Full Crash Data'!$C:$C,D$5,'Full Crash Data'!$AY:$AY,"Yes"),IF($B$2="State Highway Agency",SUMIFS('Full Crash Data'!$U:$U,'Full Crash Data'!$C:$C,D$5,'Full Crash Data'!$AN:$AN,"State Highway Agency",'Full Crash Data'!$AY:$AY,"Yes"),IF($B$2="County Highway Agency",SUMIFS('Full Crash Data'!$U:$U,'Full Crash Data'!$C:$C,D$5,'Full Crash Data'!$AN:$AN,"County Highway Agency",'Full Crash Data'!$AY:$AY,"Yes"),IF($B$2="Township Highway Agency",SUMIFS('Full Crash Data'!$U:$U,'Full Crash Data'!$C:$C,D$5,'Full Crash Data'!$AN:$AN,"Township Highway Agency",'Full Crash Data'!$AY:$AY,"Yes"),IF($B$2="City or Village Highway Agency",SUMIFS('Full Crash Data'!$U:$U,'Full Crash Data'!$C:$C,D$5,'Full Crash Data'!$AN:$AN,"City or Village Highway Agency",'Full Crash Data'!$AY:$AY,"Yes"))))))</f>
        <v>0</v>
      </c>
      <c r="E12" s="272">
        <f t="shared" si="0"/>
        <v>0</v>
      </c>
      <c r="F12" s="271">
        <f>IF($B$2="All",SUMIFS('Full Crash Data'!$U:$U,'Full Crash Data'!$C:$C,F$5,'Full Crash Data'!$AY:$AY,"Yes"),IF($B$2="State Highway Agency",SUMIFS('Full Crash Data'!$U:$U,'Full Crash Data'!$C:$C,F$5,'Full Crash Data'!$AN:$AN,"State Highway Agency",'Full Crash Data'!$AY:$AY,"Yes"),IF($B$2="County Highway Agency",SUMIFS('Full Crash Data'!$U:$U,'Full Crash Data'!$C:$C,F$5,'Full Crash Data'!$AN:$AN,"County Highway Agency",'Full Crash Data'!$AY:$AY,"Yes"),IF($B$2="Township Highway Agency",SUMIFS('Full Crash Data'!$U:$U,'Full Crash Data'!$C:$C,F$5,'Full Crash Data'!$AN:$AN,"Township Highway Agency",'Full Crash Data'!$AY:$AY,"Yes"),IF($B$2="City or Village Highway Agency",SUMIFS('Full Crash Data'!$U:$U,'Full Crash Data'!$C:$C,F$5,'Full Crash Data'!$AN:$AN,"City or Village Highway Agency",'Full Crash Data'!$AY:$AY,"Yes"))))))</f>
        <v>0</v>
      </c>
      <c r="G12" s="272">
        <f t="shared" ref="G12" si="19">IFERROR(ROUND(F12/F$8,2),0)</f>
        <v>0</v>
      </c>
      <c r="H12" s="271">
        <f>IF($B$2="All",SUMIFS('Full Crash Data'!$U:$U,'Full Crash Data'!$C:$C,H$5,'Full Crash Data'!$AY:$AY,"Yes"),IF($B$2="State Highway Agency",SUMIFS('Full Crash Data'!$U:$U,'Full Crash Data'!$C:$C,H$5,'Full Crash Data'!$AN:$AN,"State Highway Agency",'Full Crash Data'!$AY:$AY,"Yes"),IF($B$2="County Highway Agency",SUMIFS('Full Crash Data'!$U:$U,'Full Crash Data'!$C:$C,H$5,'Full Crash Data'!$AN:$AN,"County Highway Agency",'Full Crash Data'!$AY:$AY,"Yes"),IF($B$2="Township Highway Agency",SUMIFS('Full Crash Data'!$U:$U,'Full Crash Data'!$C:$C,H$5,'Full Crash Data'!$AN:$AN,"Township Highway Agency",'Full Crash Data'!$AY:$AY,"Yes"),IF($B$2="City or Village Highway Agency",SUMIFS('Full Crash Data'!$U:$U,'Full Crash Data'!$C:$C,H$5,'Full Crash Data'!$AN:$AN,"City or Village Highway Agency",'Full Crash Data'!$AY:$AY,"Yes"))))))</f>
        <v>0</v>
      </c>
      <c r="I12" s="272">
        <f t="shared" ref="I12" si="20">IFERROR(ROUND(H12/H$8,2),0)</f>
        <v>0</v>
      </c>
      <c r="J12" s="271">
        <f>IF($B$2="All",SUMIFS('Full Crash Data'!$U:$U,'Full Crash Data'!$C:$C,J$5,'Full Crash Data'!$AY:$AY,"Yes"),IF($B$2="State Highway Agency",SUMIFS('Full Crash Data'!$U:$U,'Full Crash Data'!$C:$C,J$5,'Full Crash Data'!$AN:$AN,"State Highway Agency",'Full Crash Data'!$AY:$AY,"Yes"),IF($B$2="County Highway Agency",SUMIFS('Full Crash Data'!$U:$U,'Full Crash Data'!$C:$C,J$5,'Full Crash Data'!$AN:$AN,"County Highway Agency",'Full Crash Data'!$AY:$AY,"Yes"),IF($B$2="Township Highway Agency",SUMIFS('Full Crash Data'!$U:$U,'Full Crash Data'!$C:$C,J$5,'Full Crash Data'!$AN:$AN,"Township Highway Agency",'Full Crash Data'!$AY:$AY,"Yes"),IF($B$2="City or Village Highway Agency",SUMIFS('Full Crash Data'!$U:$U,'Full Crash Data'!$C:$C,J$5,'Full Crash Data'!$AN:$AN,"City or Village Highway Agency",'Full Crash Data'!$AY:$AY,"Yes"))))))</f>
        <v>0</v>
      </c>
      <c r="K12" s="272">
        <f t="shared" ref="K12" si="21">IFERROR(ROUND(J12/J$8,2),0)</f>
        <v>0</v>
      </c>
      <c r="L12" s="271">
        <f>IF($B$2="All",SUMIFS('Full Crash Data'!$U:$U,'Full Crash Data'!$C:$C,L$5,'Full Crash Data'!$AY:$AY,"Yes"),IF($B$2="State Highway Agency",SUMIFS('Full Crash Data'!$U:$U,'Full Crash Data'!$C:$C,L$5,'Full Crash Data'!$AN:$AN,"State Highway Agency",'Full Crash Data'!$AY:$AY,"Yes"),IF($B$2="County Highway Agency",SUMIFS('Full Crash Data'!$U:$U,'Full Crash Data'!$C:$C,L$5,'Full Crash Data'!$AN:$AN,"County Highway Agency",'Full Crash Data'!$AY:$AY,"Yes"),IF($B$2="Township Highway Agency",SUMIFS('Full Crash Data'!$U:$U,'Full Crash Data'!$C:$C,L$5,'Full Crash Data'!$AN:$AN,"Township Highway Agency",'Full Crash Data'!$AY:$AY,"Yes"),IF($B$2="City or Village Highway Agency",SUMIFS('Full Crash Data'!$U:$U,'Full Crash Data'!$C:$C,L$5,'Full Crash Data'!$AN:$AN,"City or Village Highway Agency",'Full Crash Data'!$AY:$AY,"Yes"))))))</f>
        <v>0</v>
      </c>
      <c r="M12" s="272">
        <f t="shared" ref="M12" si="22">IFERROR(ROUND(L12/L$8,2),0)</f>
        <v>0</v>
      </c>
      <c r="N12" s="271">
        <f>IF($B$2="All",SUMIFS('Full Crash Data'!$U:$U,'Full Crash Data'!$C:$C,N$5,'Full Crash Data'!$AY:$AY,"Yes"),IF($B$2="State Highway Agency",SUMIFS('Full Crash Data'!$U:$U,'Full Crash Data'!$C:$C,N$5,'Full Crash Data'!$AN:$AN,"State Highway Agency",'Full Crash Data'!$AY:$AY,"Yes"),IF($B$2="County Highway Agency",SUMIFS('Full Crash Data'!$U:$U,'Full Crash Data'!$C:$C,N$5,'Full Crash Data'!$AN:$AN,"County Highway Agency",'Full Crash Data'!$AY:$AY,"Yes"),IF($B$2="Township Highway Agency",SUMIFS('Full Crash Data'!$U:$U,'Full Crash Data'!$C:$C,N$5,'Full Crash Data'!$AN:$AN,"Township Highway Agency",'Full Crash Data'!$AY:$AY,"Yes"),IF($B$2="City or Village Highway Agency",SUMIFS('Full Crash Data'!$U:$U,'Full Crash Data'!$C:$C,N$5,'Full Crash Data'!$AN:$AN,"City or Village Highway Agency",'Full Crash Data'!$AY:$AY,"Yes"))))))</f>
        <v>0</v>
      </c>
      <c r="O12" s="272">
        <f t="shared" ref="O12" si="23">IFERROR(ROUND(N12/N$8,2),0)</f>
        <v>0</v>
      </c>
      <c r="P12" s="271">
        <f>IF($B$2="All",SUMIFS('Full Crash Data'!$U:$U,'Full Crash Data'!$C:$C,P$5,'Full Crash Data'!$AY:$AY,"Yes"),IF($B$2="State Highway Agency",SUMIFS('Full Crash Data'!$U:$U,'Full Crash Data'!$C:$C,P$5,'Full Crash Data'!$AN:$AN,"State Highway Agency",'Full Crash Data'!$AY:$AY,"Yes"),IF($B$2="County Highway Agency",SUMIFS('Full Crash Data'!$U:$U,'Full Crash Data'!$C:$C,P$5,'Full Crash Data'!$AN:$AN,"County Highway Agency",'Full Crash Data'!$AY:$AY,"Yes"),IF($B$2="Township Highway Agency",SUMIFS('Full Crash Data'!$U:$U,'Full Crash Data'!$C:$C,P$5,'Full Crash Data'!$AN:$AN,"Township Highway Agency",'Full Crash Data'!$AY:$AY,"Yes"),IF($B$2="City or Village Highway Agency",SUMIFS('Full Crash Data'!$U:$U,'Full Crash Data'!$C:$C,P$5,'Full Crash Data'!$AN:$AN,"City or Village Highway Agency",'Full Crash Data'!$AY:$AY,"Yes"))))))</f>
        <v>0</v>
      </c>
      <c r="Q12" s="272">
        <f t="shared" ref="Q12" si="24">IFERROR(ROUND(P12/P$8,2),0)</f>
        <v>0</v>
      </c>
      <c r="R12" s="271">
        <f>IF($B$2="All",SUMIFS('Full Crash Data'!$U:$U,'Full Crash Data'!$C:$C,R$5,'Full Crash Data'!$AY:$AY,"Yes"),IF($B$2="State Highway Agency",SUMIFS('Full Crash Data'!$U:$U,'Full Crash Data'!$C:$C,R$5,'Full Crash Data'!$AN:$AN,"State Highway Agency",'Full Crash Data'!$AY:$AY,"Yes"),IF($B$2="County Highway Agency",SUMIFS('Full Crash Data'!$U:$U,'Full Crash Data'!$C:$C,R$5,'Full Crash Data'!$AN:$AN,"County Highway Agency",'Full Crash Data'!$AY:$AY,"Yes"),IF($B$2="Township Highway Agency",SUMIFS('Full Crash Data'!$U:$U,'Full Crash Data'!$C:$C,R$5,'Full Crash Data'!$AN:$AN,"Township Highway Agency",'Full Crash Data'!$AY:$AY,"Yes"),IF($B$2="City or Village Highway Agency",SUMIFS('Full Crash Data'!$U:$U,'Full Crash Data'!$C:$C,R$5,'Full Crash Data'!$AN:$AN,"City or Village Highway Agency",'Full Crash Data'!$AY:$AY,"Yes"))))))</f>
        <v>0</v>
      </c>
      <c r="S12" s="272">
        <f t="shared" ref="S12" si="25">IFERROR(ROUND(R12/R$8,2),0)</f>
        <v>0</v>
      </c>
      <c r="T12" s="271">
        <f>IF($B$2="All",SUMIFS('Full Crash Data'!$U:$U,'Full Crash Data'!$C:$C,T$5,'Full Crash Data'!$AY:$AY,"Yes"),IF($B$2="State Highway Agency",SUMIFS('Full Crash Data'!$U:$U,'Full Crash Data'!$C:$C,T$5,'Full Crash Data'!$AN:$AN,"State Highway Agency",'Full Crash Data'!$AY:$AY,"Yes"),IF($B$2="County Highway Agency",SUMIFS('Full Crash Data'!$U:$U,'Full Crash Data'!$C:$C,T$5,'Full Crash Data'!$AN:$AN,"County Highway Agency",'Full Crash Data'!$AY:$AY,"Yes"),IF($B$2="Township Highway Agency",SUMIFS('Full Crash Data'!$U:$U,'Full Crash Data'!$C:$C,T$5,'Full Crash Data'!$AN:$AN,"Township Highway Agency",'Full Crash Data'!$AY:$AY,"Yes"),IF($B$2="City or Village Highway Agency",SUMIFS('Full Crash Data'!$U:$U,'Full Crash Data'!$C:$C,T$5,'Full Crash Data'!$AN:$AN,"City or Village Highway Agency",'Full Crash Data'!$AY:$AY,"Yes"))))))</f>
        <v>0</v>
      </c>
      <c r="U12" s="272">
        <f t="shared" ref="U12" si="26">IFERROR(ROUND(T12/T$8,2),0)</f>
        <v>0</v>
      </c>
      <c r="V12" s="271">
        <f>IF($B$2="All",SUMIFS('Full Crash Data'!$U:$U,'Full Crash Data'!$C:$C,V$5,'Full Crash Data'!$AY:$AY,"Yes"),IF($B$2="State Highway Agency",SUMIFS('Full Crash Data'!$U:$U,'Full Crash Data'!$C:$C,V$5,'Full Crash Data'!$AN:$AN,"State Highway Agency",'Full Crash Data'!$AY:$AY,"Yes"),IF($B$2="County Highway Agency",SUMIFS('Full Crash Data'!$U:$U,'Full Crash Data'!$C:$C,V$5,'Full Crash Data'!$AN:$AN,"County Highway Agency",'Full Crash Data'!$AY:$AY,"Yes"),IF($B$2="Township Highway Agency",SUMIFS('Full Crash Data'!$U:$U,'Full Crash Data'!$C:$C,V$5,'Full Crash Data'!$AN:$AN,"Township Highway Agency",'Full Crash Data'!$AY:$AY,"Yes"),IF($B$2="City or Village Highway Agency",SUMIFS('Full Crash Data'!$U:$U,'Full Crash Data'!$C:$C,V$5,'Full Crash Data'!$AN:$AN,"City or Village Highway Agency",'Full Crash Data'!$AY:$AY,"Yes"))))))</f>
        <v>0</v>
      </c>
      <c r="W12" s="272">
        <f t="shared" ref="W12" si="27">IFERROR(ROUND(V12/V$8,2),0)</f>
        <v>0</v>
      </c>
      <c r="AE12" s="116">
        <v>11</v>
      </c>
    </row>
    <row r="13" spans="1:31" ht="22.5" customHeight="1" x14ac:dyDescent="0.2">
      <c r="A13" s="273" t="s">
        <v>5990</v>
      </c>
      <c r="B13" s="274">
        <f>IF($B$2="All",SUMIFS('Full Crash Data'!$U:$U,'Full Crash Data'!$C:$C,B$5,'Full Crash Data'!$Z:$Z,"&gt;0"),IF($B$2="State Highway Agency",SUMIFS('Full Crash Data'!$U:$U,'Full Crash Data'!$C:$C,B$5,'Full Crash Data'!$AN:$AN,"State Highway Agency",'Full Crash Data'!$Z:$Z,"&gt;0"),IF($B$2="County Highway Agency",SUMIFS('Full Crash Data'!$U:$U,'Full Crash Data'!$C:$C,B$5,'Full Crash Data'!$AN:$AN,"County Highway Agency",'Full Crash Data'!$Z:$Z,"&gt;0"),IF($B$2="Township Highway Agency",SUMIFS('Full Crash Data'!$U:$U,'Full Crash Data'!$C:$C,B$5,'Full Crash Data'!$AN:$AN,"Township Highway Agency",'Full Crash Data'!$Z:$Z,"&gt;0"),IF($B$2="City or Village Highway Agency",SUMIFS('Full Crash Data'!$U:$U,'Full Crash Data'!$C:$C,B$5,'Full Crash Data'!$AN:$AN,"City or Village Highway Agency",'Full Crash Data'!$Z:$Z,"&gt;0"))))))</f>
        <v>0</v>
      </c>
      <c r="C13" s="272">
        <f t="shared" si="0"/>
        <v>0</v>
      </c>
      <c r="D13" s="274">
        <f>IF($B$2="All",SUMIFS('Full Crash Data'!$U:$U,'Full Crash Data'!$C:$C,D$5,'Full Crash Data'!$Z:$Z,"&gt;0"),IF($B$2="State Highway Agency",SUMIFS('Full Crash Data'!$U:$U,'Full Crash Data'!$C:$C,D$5,'Full Crash Data'!$AN:$AN,"State Highway Agency",'Full Crash Data'!$Z:$Z,"&gt;0"),IF($B$2="County Highway Agency",SUMIFS('Full Crash Data'!$U:$U,'Full Crash Data'!$C:$C,D$5,'Full Crash Data'!$AN:$AN,"County Highway Agency",'Full Crash Data'!$Z:$Z,"&gt;0"),IF($B$2="Township Highway Agency",SUMIFS('Full Crash Data'!$U:$U,'Full Crash Data'!$C:$C,D$5,'Full Crash Data'!$AN:$AN,"Township Highway Agency",'Full Crash Data'!$Z:$Z,"&gt;0"),IF($B$2="City or Village Highway Agency",SUMIFS('Full Crash Data'!$U:$U,'Full Crash Data'!$C:$C,D$5,'Full Crash Data'!$AN:$AN,"City or Village Highway Agency",'Full Crash Data'!$Z:$Z,"&gt;0"))))))</f>
        <v>0</v>
      </c>
      <c r="E13" s="272">
        <f t="shared" si="0"/>
        <v>0</v>
      </c>
      <c r="F13" s="274">
        <f>IF($B$2="All",SUMIFS('Full Crash Data'!$U:$U,'Full Crash Data'!$C:$C,F$5,'Full Crash Data'!$Z:$Z,"&gt;0"),IF($B$2="State Highway Agency",SUMIFS('Full Crash Data'!$U:$U,'Full Crash Data'!$C:$C,F$5,'Full Crash Data'!$AN:$AN,"State Highway Agency",'Full Crash Data'!$Z:$Z,"&gt;0"),IF($B$2="County Highway Agency",SUMIFS('Full Crash Data'!$U:$U,'Full Crash Data'!$C:$C,F$5,'Full Crash Data'!$AN:$AN,"County Highway Agency",'Full Crash Data'!$Z:$Z,"&gt;0"),IF($B$2="Township Highway Agency",SUMIFS('Full Crash Data'!$U:$U,'Full Crash Data'!$C:$C,F$5,'Full Crash Data'!$AN:$AN,"Township Highway Agency",'Full Crash Data'!$Z:$Z,"&gt;0"),IF($B$2="City or Village Highway Agency",SUMIFS('Full Crash Data'!$U:$U,'Full Crash Data'!$C:$C,F$5,'Full Crash Data'!$AN:$AN,"City or Village Highway Agency",'Full Crash Data'!$Z:$Z,"&gt;0"))))))</f>
        <v>0</v>
      </c>
      <c r="G13" s="272">
        <f t="shared" ref="G13" si="28">IFERROR(ROUND(F13/F$8,2),0)</f>
        <v>0</v>
      </c>
      <c r="H13" s="274">
        <f>IF($B$2="All",SUMIFS('Full Crash Data'!$U:$U,'Full Crash Data'!$C:$C,H$5,'Full Crash Data'!$Z:$Z,"&gt;0"),IF($B$2="State Highway Agency",SUMIFS('Full Crash Data'!$U:$U,'Full Crash Data'!$C:$C,H$5,'Full Crash Data'!$AN:$AN,"State Highway Agency",'Full Crash Data'!$Z:$Z,"&gt;0"),IF($B$2="County Highway Agency",SUMIFS('Full Crash Data'!$U:$U,'Full Crash Data'!$C:$C,H$5,'Full Crash Data'!$AN:$AN,"County Highway Agency",'Full Crash Data'!$Z:$Z,"&gt;0"),IF($B$2="Township Highway Agency",SUMIFS('Full Crash Data'!$U:$U,'Full Crash Data'!$C:$C,H$5,'Full Crash Data'!$AN:$AN,"Township Highway Agency",'Full Crash Data'!$Z:$Z,"&gt;0"),IF($B$2="City or Village Highway Agency",SUMIFS('Full Crash Data'!$U:$U,'Full Crash Data'!$C:$C,H$5,'Full Crash Data'!$AN:$AN,"City or Village Highway Agency",'Full Crash Data'!$Z:$Z,"&gt;0"))))))</f>
        <v>0</v>
      </c>
      <c r="I13" s="272">
        <f t="shared" ref="I13" si="29">IFERROR(ROUND(H13/H$8,2),0)</f>
        <v>0</v>
      </c>
      <c r="J13" s="274">
        <f>IF($B$2="All",SUMIFS('Full Crash Data'!$U:$U,'Full Crash Data'!$C:$C,J$5,'Full Crash Data'!$Z:$Z,"&gt;0"),IF($B$2="State Highway Agency",SUMIFS('Full Crash Data'!$U:$U,'Full Crash Data'!$C:$C,J$5,'Full Crash Data'!$AN:$AN,"State Highway Agency",'Full Crash Data'!$Z:$Z,"&gt;0"),IF($B$2="County Highway Agency",SUMIFS('Full Crash Data'!$U:$U,'Full Crash Data'!$C:$C,J$5,'Full Crash Data'!$AN:$AN,"County Highway Agency",'Full Crash Data'!$Z:$Z,"&gt;0"),IF($B$2="Township Highway Agency",SUMIFS('Full Crash Data'!$U:$U,'Full Crash Data'!$C:$C,J$5,'Full Crash Data'!$AN:$AN,"Township Highway Agency",'Full Crash Data'!$Z:$Z,"&gt;0"),IF($B$2="City or Village Highway Agency",SUMIFS('Full Crash Data'!$U:$U,'Full Crash Data'!$C:$C,J$5,'Full Crash Data'!$AN:$AN,"City or Village Highway Agency",'Full Crash Data'!$Z:$Z,"&gt;0"))))))</f>
        <v>0</v>
      </c>
      <c r="K13" s="272">
        <f t="shared" ref="K13" si="30">IFERROR(ROUND(J13/J$8,2),0)</f>
        <v>0</v>
      </c>
      <c r="L13" s="274">
        <f>IF($B$2="All",SUMIFS('Full Crash Data'!$U:$U,'Full Crash Data'!$C:$C,L$5,'Full Crash Data'!$Z:$Z,"&gt;0"),IF($B$2="State Highway Agency",SUMIFS('Full Crash Data'!$U:$U,'Full Crash Data'!$C:$C,L$5,'Full Crash Data'!$AN:$AN,"State Highway Agency",'Full Crash Data'!$Z:$Z,"&gt;0"),IF($B$2="County Highway Agency",SUMIFS('Full Crash Data'!$U:$U,'Full Crash Data'!$C:$C,L$5,'Full Crash Data'!$AN:$AN,"County Highway Agency",'Full Crash Data'!$Z:$Z,"&gt;0"),IF($B$2="Township Highway Agency",SUMIFS('Full Crash Data'!$U:$U,'Full Crash Data'!$C:$C,L$5,'Full Crash Data'!$AN:$AN,"Township Highway Agency",'Full Crash Data'!$Z:$Z,"&gt;0"),IF($B$2="City or Village Highway Agency",SUMIFS('Full Crash Data'!$U:$U,'Full Crash Data'!$C:$C,L$5,'Full Crash Data'!$AN:$AN,"City or Village Highway Agency",'Full Crash Data'!$Z:$Z,"&gt;0"))))))</f>
        <v>0</v>
      </c>
      <c r="M13" s="272">
        <f t="shared" ref="M13" si="31">IFERROR(ROUND(L13/L$8,2),0)</f>
        <v>0</v>
      </c>
      <c r="N13" s="274">
        <f>IF($B$2="All",SUMIFS('Full Crash Data'!$U:$U,'Full Crash Data'!$C:$C,N$5,'Full Crash Data'!$Z:$Z,"&gt;0"),IF($B$2="State Highway Agency",SUMIFS('Full Crash Data'!$U:$U,'Full Crash Data'!$C:$C,N$5,'Full Crash Data'!$AN:$AN,"State Highway Agency",'Full Crash Data'!$Z:$Z,"&gt;0"),IF($B$2="County Highway Agency",SUMIFS('Full Crash Data'!$U:$U,'Full Crash Data'!$C:$C,N$5,'Full Crash Data'!$AN:$AN,"County Highway Agency",'Full Crash Data'!$Z:$Z,"&gt;0"),IF($B$2="Township Highway Agency",SUMIFS('Full Crash Data'!$U:$U,'Full Crash Data'!$C:$C,N$5,'Full Crash Data'!$AN:$AN,"Township Highway Agency",'Full Crash Data'!$Z:$Z,"&gt;0"),IF($B$2="City or Village Highway Agency",SUMIFS('Full Crash Data'!$U:$U,'Full Crash Data'!$C:$C,N$5,'Full Crash Data'!$AN:$AN,"City or Village Highway Agency",'Full Crash Data'!$Z:$Z,"&gt;0"))))))</f>
        <v>0</v>
      </c>
      <c r="O13" s="272">
        <f t="shared" ref="O13" si="32">IFERROR(ROUND(N13/N$8,2),0)</f>
        <v>0</v>
      </c>
      <c r="P13" s="274">
        <f>IF($B$2="All",SUMIFS('Full Crash Data'!$U:$U,'Full Crash Data'!$C:$C,P$5,'Full Crash Data'!$Z:$Z,"&gt;0"),IF($B$2="State Highway Agency",SUMIFS('Full Crash Data'!$U:$U,'Full Crash Data'!$C:$C,P$5,'Full Crash Data'!$AN:$AN,"State Highway Agency",'Full Crash Data'!$Z:$Z,"&gt;0"),IF($B$2="County Highway Agency",SUMIFS('Full Crash Data'!$U:$U,'Full Crash Data'!$C:$C,P$5,'Full Crash Data'!$AN:$AN,"County Highway Agency",'Full Crash Data'!$Z:$Z,"&gt;0"),IF($B$2="Township Highway Agency",SUMIFS('Full Crash Data'!$U:$U,'Full Crash Data'!$C:$C,P$5,'Full Crash Data'!$AN:$AN,"Township Highway Agency",'Full Crash Data'!$Z:$Z,"&gt;0"),IF($B$2="City or Village Highway Agency",SUMIFS('Full Crash Data'!$U:$U,'Full Crash Data'!$C:$C,P$5,'Full Crash Data'!$AN:$AN,"City or Village Highway Agency",'Full Crash Data'!$Z:$Z,"&gt;0"))))))</f>
        <v>0</v>
      </c>
      <c r="Q13" s="272">
        <f t="shared" ref="Q13" si="33">IFERROR(ROUND(P13/P$8,2),0)</f>
        <v>0</v>
      </c>
      <c r="R13" s="274">
        <f>IF($B$2="All",SUMIFS('Full Crash Data'!$U:$U,'Full Crash Data'!$C:$C,R$5,'Full Crash Data'!$Z:$Z,"&gt;0"),IF($B$2="State Highway Agency",SUMIFS('Full Crash Data'!$U:$U,'Full Crash Data'!$C:$C,R$5,'Full Crash Data'!$AN:$AN,"State Highway Agency",'Full Crash Data'!$Z:$Z,"&gt;0"),IF($B$2="County Highway Agency",SUMIFS('Full Crash Data'!$U:$U,'Full Crash Data'!$C:$C,R$5,'Full Crash Data'!$AN:$AN,"County Highway Agency",'Full Crash Data'!$Z:$Z,"&gt;0"),IF($B$2="Township Highway Agency",SUMIFS('Full Crash Data'!$U:$U,'Full Crash Data'!$C:$C,R$5,'Full Crash Data'!$AN:$AN,"Township Highway Agency",'Full Crash Data'!$Z:$Z,"&gt;0"),IF($B$2="City or Village Highway Agency",SUMIFS('Full Crash Data'!$U:$U,'Full Crash Data'!$C:$C,R$5,'Full Crash Data'!$AN:$AN,"City or Village Highway Agency",'Full Crash Data'!$Z:$Z,"&gt;0"))))))</f>
        <v>0</v>
      </c>
      <c r="S13" s="272">
        <f t="shared" ref="S13" si="34">IFERROR(ROUND(R13/R$8,2),0)</f>
        <v>0</v>
      </c>
      <c r="T13" s="274">
        <f>IF($B$2="All",SUMIFS('Full Crash Data'!$U:$U,'Full Crash Data'!$C:$C,T$5,'Full Crash Data'!$Z:$Z,"&gt;0"),IF($B$2="State Highway Agency",SUMIFS('Full Crash Data'!$U:$U,'Full Crash Data'!$C:$C,T$5,'Full Crash Data'!$AN:$AN,"State Highway Agency",'Full Crash Data'!$Z:$Z,"&gt;0"),IF($B$2="County Highway Agency",SUMIFS('Full Crash Data'!$U:$U,'Full Crash Data'!$C:$C,T$5,'Full Crash Data'!$AN:$AN,"County Highway Agency",'Full Crash Data'!$Z:$Z,"&gt;0"),IF($B$2="Township Highway Agency",SUMIFS('Full Crash Data'!$U:$U,'Full Crash Data'!$C:$C,T$5,'Full Crash Data'!$AN:$AN,"Township Highway Agency",'Full Crash Data'!$Z:$Z,"&gt;0"),IF($B$2="City or Village Highway Agency",SUMIFS('Full Crash Data'!$U:$U,'Full Crash Data'!$C:$C,T$5,'Full Crash Data'!$AN:$AN,"City or Village Highway Agency",'Full Crash Data'!$Z:$Z,"&gt;0"))))))</f>
        <v>0</v>
      </c>
      <c r="U13" s="272">
        <f t="shared" ref="U13" si="35">IFERROR(ROUND(T13/T$8,2),0)</f>
        <v>0</v>
      </c>
      <c r="V13" s="274">
        <f>IF($B$2="All",SUMIFS('Full Crash Data'!$U:$U,'Full Crash Data'!$C:$C,V$5,'Full Crash Data'!$Z:$Z,"&gt;0"),IF($B$2="State Highway Agency",SUMIFS('Full Crash Data'!$U:$U,'Full Crash Data'!$C:$C,V$5,'Full Crash Data'!$AN:$AN,"State Highway Agency",'Full Crash Data'!$Z:$Z,"&gt;0"),IF($B$2="County Highway Agency",SUMIFS('Full Crash Data'!$U:$U,'Full Crash Data'!$C:$C,V$5,'Full Crash Data'!$AN:$AN,"County Highway Agency",'Full Crash Data'!$Z:$Z,"&gt;0"),IF($B$2="Township Highway Agency",SUMIFS('Full Crash Data'!$U:$U,'Full Crash Data'!$C:$C,V$5,'Full Crash Data'!$AN:$AN,"Township Highway Agency",'Full Crash Data'!$Z:$Z,"&gt;0"),IF($B$2="City or Village Highway Agency",SUMIFS('Full Crash Data'!$U:$U,'Full Crash Data'!$C:$C,V$5,'Full Crash Data'!$AN:$AN,"City or Village Highway Agency",'Full Crash Data'!$Z:$Z,"&gt;0"))))))</f>
        <v>0</v>
      </c>
      <c r="W13" s="272">
        <f t="shared" ref="W13" si="36">IFERROR(ROUND(V13/V$8,2),0)</f>
        <v>0</v>
      </c>
      <c r="AE13" s="116">
        <v>12</v>
      </c>
    </row>
    <row r="14" spans="1:31" ht="22.5" customHeight="1" x14ac:dyDescent="0.2">
      <c r="A14" s="270" t="s">
        <v>5998</v>
      </c>
      <c r="B14" s="275">
        <f>IF($B$2="All",SUMIFS('Full Crash Data'!$U:$U,'Full Crash Data'!$C:$C,B$5,'Full Crash Data'!$BD:$BD,"Yes"),IF($B$2="State Highway Agency",SUMIFS('Full Crash Data'!$U:$U,'Full Crash Data'!$C:$C,B$5,'Full Crash Data'!$AN:$AN,"State Highway Agency",'Full Crash Data'!$BD:$BD,"Yes"),IF($B$2="County Highway Agency",SUMIFS('Full Crash Data'!$U:$U,'Full Crash Data'!$C:$C,B$5,'Full Crash Data'!$AN:$AN,"County Highway Agency",'Full Crash Data'!$BD:$BD,"Yes"),IF($B$2="Township Highway Agency",SUMIFS('Full Crash Data'!$U:$U,'Full Crash Data'!$C:$C,B$5,'Full Crash Data'!$AN:$AN,"Township Highway Agency",'Full Crash Data'!$BD:$BD,"Yes"),IF($B$2="City or Village Highway Agency",SUMIFS('Full Crash Data'!$U:$U,'Full Crash Data'!$C:$C,B$5,'Full Crash Data'!$AN:$AN,"City or Village Highway Agency",'Full Crash Data'!$BD:$BD,"Yes"))))))</f>
        <v>0</v>
      </c>
      <c r="C14" s="272">
        <f t="shared" si="0"/>
        <v>0</v>
      </c>
      <c r="D14" s="275">
        <f>IF($B$2="All",SUMIFS('Full Crash Data'!$U:$U,'Full Crash Data'!$C:$C,D$5,'Full Crash Data'!$BD:$BD,"Yes"),IF($B$2="State Highway Agency",SUMIFS('Full Crash Data'!$U:$U,'Full Crash Data'!$C:$C,D$5,'Full Crash Data'!$AN:$AN,"State Highway Agency",'Full Crash Data'!$BD:$BD,"Yes"),IF($B$2="County Highway Agency",SUMIFS('Full Crash Data'!$U:$U,'Full Crash Data'!$C:$C,D$5,'Full Crash Data'!$AN:$AN,"County Highway Agency",'Full Crash Data'!$BD:$BD,"Yes"),IF($B$2="Township Highway Agency",SUMIFS('Full Crash Data'!$U:$U,'Full Crash Data'!$C:$C,D$5,'Full Crash Data'!$AN:$AN,"Township Highway Agency",'Full Crash Data'!$BD:$BD,"Yes"),IF($B$2="City or Village Highway Agency",SUMIFS('Full Crash Data'!$U:$U,'Full Crash Data'!$C:$C,D$5,'Full Crash Data'!$AN:$AN,"City or Village Highway Agency",'Full Crash Data'!$BD:$BD,"Yes"))))))</f>
        <v>0</v>
      </c>
      <c r="E14" s="272">
        <f t="shared" si="0"/>
        <v>0</v>
      </c>
      <c r="F14" s="275">
        <f>IF($B$2="All",SUMIFS('Full Crash Data'!$U:$U,'Full Crash Data'!$C:$C,F$5,'Full Crash Data'!$BD:$BD,"Yes"),IF($B$2="State Highway Agency",SUMIFS('Full Crash Data'!$U:$U,'Full Crash Data'!$C:$C,F$5,'Full Crash Data'!$AN:$AN,"State Highway Agency",'Full Crash Data'!$BD:$BD,"Yes"),IF($B$2="County Highway Agency",SUMIFS('Full Crash Data'!$U:$U,'Full Crash Data'!$C:$C,F$5,'Full Crash Data'!$AN:$AN,"County Highway Agency",'Full Crash Data'!$BD:$BD,"Yes"),IF($B$2="Township Highway Agency",SUMIFS('Full Crash Data'!$U:$U,'Full Crash Data'!$C:$C,F$5,'Full Crash Data'!$AN:$AN,"Township Highway Agency",'Full Crash Data'!$BD:$BD,"Yes"),IF($B$2="City or Village Highway Agency",SUMIFS('Full Crash Data'!$U:$U,'Full Crash Data'!$C:$C,F$5,'Full Crash Data'!$AN:$AN,"City or Village Highway Agency",'Full Crash Data'!$BD:$BD,"Yes"))))))</f>
        <v>0</v>
      </c>
      <c r="G14" s="272">
        <f t="shared" ref="G14" si="37">IFERROR(ROUND(F14/F$8,2),0)</f>
        <v>0</v>
      </c>
      <c r="H14" s="275">
        <f>IF($B$2="All",SUMIFS('Full Crash Data'!$U:$U,'Full Crash Data'!$C:$C,H$5,'Full Crash Data'!$BD:$BD,"Yes"),IF($B$2="State Highway Agency",SUMIFS('Full Crash Data'!$U:$U,'Full Crash Data'!$C:$C,H$5,'Full Crash Data'!$AN:$AN,"State Highway Agency",'Full Crash Data'!$BD:$BD,"Yes"),IF($B$2="County Highway Agency",SUMIFS('Full Crash Data'!$U:$U,'Full Crash Data'!$C:$C,H$5,'Full Crash Data'!$AN:$AN,"County Highway Agency",'Full Crash Data'!$BD:$BD,"Yes"),IF($B$2="Township Highway Agency",SUMIFS('Full Crash Data'!$U:$U,'Full Crash Data'!$C:$C,H$5,'Full Crash Data'!$AN:$AN,"Township Highway Agency",'Full Crash Data'!$BD:$BD,"Yes"),IF($B$2="City or Village Highway Agency",SUMIFS('Full Crash Data'!$U:$U,'Full Crash Data'!$C:$C,H$5,'Full Crash Data'!$AN:$AN,"City or Village Highway Agency",'Full Crash Data'!$BD:$BD,"Yes"))))))</f>
        <v>0</v>
      </c>
      <c r="I14" s="272">
        <f t="shared" ref="I14" si="38">IFERROR(ROUND(H14/H$8,2),0)</f>
        <v>0</v>
      </c>
      <c r="J14" s="275">
        <f>IF($B$2="All",SUMIFS('Full Crash Data'!$U:$U,'Full Crash Data'!$C:$C,J$5,'Full Crash Data'!$BD:$BD,"Yes"),IF($B$2="State Highway Agency",SUMIFS('Full Crash Data'!$U:$U,'Full Crash Data'!$C:$C,J$5,'Full Crash Data'!$AN:$AN,"State Highway Agency",'Full Crash Data'!$BD:$BD,"Yes"),IF($B$2="County Highway Agency",SUMIFS('Full Crash Data'!$U:$U,'Full Crash Data'!$C:$C,J$5,'Full Crash Data'!$AN:$AN,"County Highway Agency",'Full Crash Data'!$BD:$BD,"Yes"),IF($B$2="Township Highway Agency",SUMIFS('Full Crash Data'!$U:$U,'Full Crash Data'!$C:$C,J$5,'Full Crash Data'!$AN:$AN,"Township Highway Agency",'Full Crash Data'!$BD:$BD,"Yes"),IF($B$2="City or Village Highway Agency",SUMIFS('Full Crash Data'!$U:$U,'Full Crash Data'!$C:$C,J$5,'Full Crash Data'!$AN:$AN,"City or Village Highway Agency",'Full Crash Data'!$BD:$BD,"Yes"))))))</f>
        <v>0</v>
      </c>
      <c r="K14" s="272">
        <f t="shared" ref="K14" si="39">IFERROR(ROUND(J14/J$8,2),0)</f>
        <v>0</v>
      </c>
      <c r="L14" s="275">
        <f>IF($B$2="All",SUMIFS('Full Crash Data'!$U:$U,'Full Crash Data'!$C:$C,L$5,'Full Crash Data'!$BD:$BD,"Yes"),IF($B$2="State Highway Agency",SUMIFS('Full Crash Data'!$U:$U,'Full Crash Data'!$C:$C,L$5,'Full Crash Data'!$AN:$AN,"State Highway Agency",'Full Crash Data'!$BD:$BD,"Yes"),IF($B$2="County Highway Agency",SUMIFS('Full Crash Data'!$U:$U,'Full Crash Data'!$C:$C,L$5,'Full Crash Data'!$AN:$AN,"County Highway Agency",'Full Crash Data'!$BD:$BD,"Yes"),IF($B$2="Township Highway Agency",SUMIFS('Full Crash Data'!$U:$U,'Full Crash Data'!$C:$C,L$5,'Full Crash Data'!$AN:$AN,"Township Highway Agency",'Full Crash Data'!$BD:$BD,"Yes"),IF($B$2="City or Village Highway Agency",SUMIFS('Full Crash Data'!$U:$U,'Full Crash Data'!$C:$C,L$5,'Full Crash Data'!$AN:$AN,"City or Village Highway Agency",'Full Crash Data'!$BD:$BD,"Yes"))))))</f>
        <v>0</v>
      </c>
      <c r="M14" s="272">
        <f t="shared" ref="M14" si="40">IFERROR(ROUND(L14/L$8,2),0)</f>
        <v>0</v>
      </c>
      <c r="N14" s="275">
        <f>IF($B$2="All",SUMIFS('Full Crash Data'!$U:$U,'Full Crash Data'!$C:$C,N$5,'Full Crash Data'!$BD:$BD,"Yes"),IF($B$2="State Highway Agency",SUMIFS('Full Crash Data'!$U:$U,'Full Crash Data'!$C:$C,N$5,'Full Crash Data'!$AN:$AN,"State Highway Agency",'Full Crash Data'!$BD:$BD,"Yes"),IF($B$2="County Highway Agency",SUMIFS('Full Crash Data'!$U:$U,'Full Crash Data'!$C:$C,N$5,'Full Crash Data'!$AN:$AN,"County Highway Agency",'Full Crash Data'!$BD:$BD,"Yes"),IF($B$2="Township Highway Agency",SUMIFS('Full Crash Data'!$U:$U,'Full Crash Data'!$C:$C,N$5,'Full Crash Data'!$AN:$AN,"Township Highway Agency",'Full Crash Data'!$BD:$BD,"Yes"),IF($B$2="City or Village Highway Agency",SUMIFS('Full Crash Data'!$U:$U,'Full Crash Data'!$C:$C,N$5,'Full Crash Data'!$AN:$AN,"City or Village Highway Agency",'Full Crash Data'!$BD:$BD,"Yes"))))))</f>
        <v>0</v>
      </c>
      <c r="O14" s="272">
        <f t="shared" ref="O14" si="41">IFERROR(ROUND(N14/N$8,2),0)</f>
        <v>0</v>
      </c>
      <c r="P14" s="275">
        <f>IF($B$2="All",SUMIFS('Full Crash Data'!$U:$U,'Full Crash Data'!$C:$C,P$5,'Full Crash Data'!$BD:$BD,"Yes"),IF($B$2="State Highway Agency",SUMIFS('Full Crash Data'!$U:$U,'Full Crash Data'!$C:$C,P$5,'Full Crash Data'!$AN:$AN,"State Highway Agency",'Full Crash Data'!$BD:$BD,"Yes"),IF($B$2="County Highway Agency",SUMIFS('Full Crash Data'!$U:$U,'Full Crash Data'!$C:$C,P$5,'Full Crash Data'!$AN:$AN,"County Highway Agency",'Full Crash Data'!$BD:$BD,"Yes"),IF($B$2="Township Highway Agency",SUMIFS('Full Crash Data'!$U:$U,'Full Crash Data'!$C:$C,P$5,'Full Crash Data'!$AN:$AN,"Township Highway Agency",'Full Crash Data'!$BD:$BD,"Yes"),IF($B$2="City or Village Highway Agency",SUMIFS('Full Crash Data'!$U:$U,'Full Crash Data'!$C:$C,P$5,'Full Crash Data'!$AN:$AN,"City or Village Highway Agency",'Full Crash Data'!$BD:$BD,"Yes"))))))</f>
        <v>0</v>
      </c>
      <c r="Q14" s="272">
        <f t="shared" ref="Q14" si="42">IFERROR(ROUND(P14/P$8,2),0)</f>
        <v>0</v>
      </c>
      <c r="R14" s="275">
        <f>IF($B$2="All",SUMIFS('Full Crash Data'!$U:$U,'Full Crash Data'!$C:$C,R$5,'Full Crash Data'!$BD:$BD,"Yes"),IF($B$2="State Highway Agency",SUMIFS('Full Crash Data'!$U:$U,'Full Crash Data'!$C:$C,R$5,'Full Crash Data'!$AN:$AN,"State Highway Agency",'Full Crash Data'!$BD:$BD,"Yes"),IF($B$2="County Highway Agency",SUMIFS('Full Crash Data'!$U:$U,'Full Crash Data'!$C:$C,R$5,'Full Crash Data'!$AN:$AN,"County Highway Agency",'Full Crash Data'!$BD:$BD,"Yes"),IF($B$2="Township Highway Agency",SUMIFS('Full Crash Data'!$U:$U,'Full Crash Data'!$C:$C,R$5,'Full Crash Data'!$AN:$AN,"Township Highway Agency",'Full Crash Data'!$BD:$BD,"Yes"),IF($B$2="City or Village Highway Agency",SUMIFS('Full Crash Data'!$U:$U,'Full Crash Data'!$C:$C,R$5,'Full Crash Data'!$AN:$AN,"City or Village Highway Agency",'Full Crash Data'!$BD:$BD,"Yes"))))))</f>
        <v>0</v>
      </c>
      <c r="S14" s="272">
        <f t="shared" ref="S14" si="43">IFERROR(ROUND(R14/R$8,2),0)</f>
        <v>0</v>
      </c>
      <c r="T14" s="275">
        <f>IF($B$2="All",SUMIFS('Full Crash Data'!$U:$U,'Full Crash Data'!$C:$C,T$5,'Full Crash Data'!$BD:$BD,"Yes"),IF($B$2="State Highway Agency",SUMIFS('Full Crash Data'!$U:$U,'Full Crash Data'!$C:$C,T$5,'Full Crash Data'!$AN:$AN,"State Highway Agency",'Full Crash Data'!$BD:$BD,"Yes"),IF($B$2="County Highway Agency",SUMIFS('Full Crash Data'!$U:$U,'Full Crash Data'!$C:$C,T$5,'Full Crash Data'!$AN:$AN,"County Highway Agency",'Full Crash Data'!$BD:$BD,"Yes"),IF($B$2="Township Highway Agency",SUMIFS('Full Crash Data'!$U:$U,'Full Crash Data'!$C:$C,T$5,'Full Crash Data'!$AN:$AN,"Township Highway Agency",'Full Crash Data'!$BD:$BD,"Yes"),IF($B$2="City or Village Highway Agency",SUMIFS('Full Crash Data'!$U:$U,'Full Crash Data'!$C:$C,T$5,'Full Crash Data'!$AN:$AN,"City or Village Highway Agency",'Full Crash Data'!$BD:$BD,"Yes"))))))</f>
        <v>0</v>
      </c>
      <c r="U14" s="272">
        <f t="shared" ref="U14" si="44">IFERROR(ROUND(T14/T$8,2),0)</f>
        <v>0</v>
      </c>
      <c r="V14" s="275">
        <f>IF($B$2="All",SUMIFS('Full Crash Data'!$U:$U,'Full Crash Data'!$C:$C,V$5,'Full Crash Data'!$BD:$BD,"Yes"),IF($B$2="State Highway Agency",SUMIFS('Full Crash Data'!$U:$U,'Full Crash Data'!$C:$C,V$5,'Full Crash Data'!$AN:$AN,"State Highway Agency",'Full Crash Data'!$BD:$BD,"Yes"),IF($B$2="County Highway Agency",SUMIFS('Full Crash Data'!$U:$U,'Full Crash Data'!$C:$C,V$5,'Full Crash Data'!$AN:$AN,"County Highway Agency",'Full Crash Data'!$BD:$BD,"Yes"),IF($B$2="Township Highway Agency",SUMIFS('Full Crash Data'!$U:$U,'Full Crash Data'!$C:$C,V$5,'Full Crash Data'!$AN:$AN,"Township Highway Agency",'Full Crash Data'!$BD:$BD,"Yes"),IF($B$2="City or Village Highway Agency",SUMIFS('Full Crash Data'!$U:$U,'Full Crash Data'!$C:$C,V$5,'Full Crash Data'!$AN:$AN,"City or Village Highway Agency",'Full Crash Data'!$BD:$BD,"Yes"))))))</f>
        <v>0</v>
      </c>
      <c r="W14" s="272">
        <f t="shared" ref="W14" si="45">IFERROR(ROUND(V14/V$8,2),0)</f>
        <v>0</v>
      </c>
      <c r="AE14" s="116">
        <v>13</v>
      </c>
    </row>
    <row r="15" spans="1:31" x14ac:dyDescent="0.2">
      <c r="A15" s="270" t="s">
        <v>5991</v>
      </c>
      <c r="B15" s="271">
        <f>IF($B$2="All",SUMIFS('Full Crash Data'!$U:$U,'Full Crash Data'!$C:$C,B$5,'Full Crash Data'!$BF:$BF,"Yes"),IF($B$2="State Highway Agency",SUMIFS('Full Crash Data'!$U:$U,'Full Crash Data'!$C:$C,B$5,'Full Crash Data'!$AN:$AN,"State Highway Agency",'Full Crash Data'!$BF:$BF,"Yes"),IF($B$2="County Highway Agency",SUMIFS('Full Crash Data'!$U:$U,'Full Crash Data'!$C:$C,B$5,'Full Crash Data'!$AN:$AN,"County Highway Agency",'Full Crash Data'!$BF:$BF,"Yes"),IF($B$2="Township Highway Agency",SUMIFS('Full Crash Data'!$U:$U,'Full Crash Data'!$C:$C,B$5,'Full Crash Data'!$AN:$AN,"Township Highway Agency",'Full Crash Data'!$BF:$BF,"Yes"),IF($B$2="City or Village Highway Agency",SUMIFS('Full Crash Data'!$U:$U,'Full Crash Data'!$C:$C,B$5,'Full Crash Data'!$AN:$AN,"City or Village Highway Agency",'Full Crash Data'!$BF:$BF,"Yes"))))))</f>
        <v>0</v>
      </c>
      <c r="C15" s="272">
        <f t="shared" si="0"/>
        <v>0</v>
      </c>
      <c r="D15" s="271">
        <f>IF($B$2="All",SUMIFS('Full Crash Data'!$U:$U,'Full Crash Data'!$C:$C,D$5,'Full Crash Data'!$BF:$BF,"Yes"),IF($B$2="State Highway Agency",SUMIFS('Full Crash Data'!$U:$U,'Full Crash Data'!$C:$C,D$5,'Full Crash Data'!$AN:$AN,"State Highway Agency",'Full Crash Data'!$BF:$BF,"Yes"),IF($B$2="County Highway Agency",SUMIFS('Full Crash Data'!$U:$U,'Full Crash Data'!$C:$C,D$5,'Full Crash Data'!$AN:$AN,"County Highway Agency",'Full Crash Data'!$BF:$BF,"Yes"),IF($B$2="Township Highway Agency",SUMIFS('Full Crash Data'!$U:$U,'Full Crash Data'!$C:$C,D$5,'Full Crash Data'!$AN:$AN,"Township Highway Agency",'Full Crash Data'!$BF:$BF,"Yes"),IF($B$2="City or Village Highway Agency",SUMIFS('Full Crash Data'!$U:$U,'Full Crash Data'!$C:$C,D$5,'Full Crash Data'!$AN:$AN,"City or Village Highway Agency",'Full Crash Data'!$BF:$BF,"Yes"))))))</f>
        <v>0</v>
      </c>
      <c r="E15" s="272">
        <f t="shared" si="0"/>
        <v>0</v>
      </c>
      <c r="F15" s="271">
        <f>IF($B$2="All",SUMIFS('Full Crash Data'!$U:$U,'Full Crash Data'!$C:$C,F$5,'Full Crash Data'!$BF:$BF,"Yes"),IF($B$2="State Highway Agency",SUMIFS('Full Crash Data'!$U:$U,'Full Crash Data'!$C:$C,F$5,'Full Crash Data'!$AN:$AN,"State Highway Agency",'Full Crash Data'!$BF:$BF,"Yes"),IF($B$2="County Highway Agency",SUMIFS('Full Crash Data'!$U:$U,'Full Crash Data'!$C:$C,F$5,'Full Crash Data'!$AN:$AN,"County Highway Agency",'Full Crash Data'!$BF:$BF,"Yes"),IF($B$2="Township Highway Agency",SUMIFS('Full Crash Data'!$U:$U,'Full Crash Data'!$C:$C,F$5,'Full Crash Data'!$AN:$AN,"Township Highway Agency",'Full Crash Data'!$BF:$BF,"Yes"),IF($B$2="City or Village Highway Agency",SUMIFS('Full Crash Data'!$U:$U,'Full Crash Data'!$C:$C,F$5,'Full Crash Data'!$AN:$AN,"City or Village Highway Agency",'Full Crash Data'!$BF:$BF,"Yes"))))))</f>
        <v>0</v>
      </c>
      <c r="G15" s="272">
        <f t="shared" ref="G15" si="46">IFERROR(ROUND(F15/F$8,2),0)</f>
        <v>0</v>
      </c>
      <c r="H15" s="271">
        <f>IF($B$2="All",SUMIFS('Full Crash Data'!$U:$U,'Full Crash Data'!$C:$C,H$5,'Full Crash Data'!$BF:$BF,"Yes"),IF($B$2="State Highway Agency",SUMIFS('Full Crash Data'!$U:$U,'Full Crash Data'!$C:$C,H$5,'Full Crash Data'!$AN:$AN,"State Highway Agency",'Full Crash Data'!$BF:$BF,"Yes"),IF($B$2="County Highway Agency",SUMIFS('Full Crash Data'!$U:$U,'Full Crash Data'!$C:$C,H$5,'Full Crash Data'!$AN:$AN,"County Highway Agency",'Full Crash Data'!$BF:$BF,"Yes"),IF($B$2="Township Highway Agency",SUMIFS('Full Crash Data'!$U:$U,'Full Crash Data'!$C:$C,H$5,'Full Crash Data'!$AN:$AN,"Township Highway Agency",'Full Crash Data'!$BF:$BF,"Yes"),IF($B$2="City or Village Highway Agency",SUMIFS('Full Crash Data'!$U:$U,'Full Crash Data'!$C:$C,H$5,'Full Crash Data'!$AN:$AN,"City or Village Highway Agency",'Full Crash Data'!$BF:$BF,"Yes"))))))</f>
        <v>0</v>
      </c>
      <c r="I15" s="272">
        <f t="shared" ref="I15" si="47">IFERROR(ROUND(H15/H$8,2),0)</f>
        <v>0</v>
      </c>
      <c r="J15" s="271">
        <f>IF($B$2="All",SUMIFS('Full Crash Data'!$U:$U,'Full Crash Data'!$C:$C,J$5,'Full Crash Data'!$BF:$BF,"Yes"),IF($B$2="State Highway Agency",SUMIFS('Full Crash Data'!$U:$U,'Full Crash Data'!$C:$C,J$5,'Full Crash Data'!$AN:$AN,"State Highway Agency",'Full Crash Data'!$BF:$BF,"Yes"),IF($B$2="County Highway Agency",SUMIFS('Full Crash Data'!$U:$U,'Full Crash Data'!$C:$C,J$5,'Full Crash Data'!$AN:$AN,"County Highway Agency",'Full Crash Data'!$BF:$BF,"Yes"),IF($B$2="Township Highway Agency",SUMIFS('Full Crash Data'!$U:$U,'Full Crash Data'!$C:$C,J$5,'Full Crash Data'!$AN:$AN,"Township Highway Agency",'Full Crash Data'!$BF:$BF,"Yes"),IF($B$2="City or Village Highway Agency",SUMIFS('Full Crash Data'!$U:$U,'Full Crash Data'!$C:$C,J$5,'Full Crash Data'!$AN:$AN,"City or Village Highway Agency",'Full Crash Data'!$BF:$BF,"Yes"))))))</f>
        <v>0</v>
      </c>
      <c r="K15" s="272">
        <f t="shared" ref="K15" si="48">IFERROR(ROUND(J15/J$8,2),0)</f>
        <v>0</v>
      </c>
      <c r="L15" s="271">
        <f>IF($B$2="All",SUMIFS('Full Crash Data'!$U:$U,'Full Crash Data'!$C:$C,L$5,'Full Crash Data'!$BF:$BF,"Yes"),IF($B$2="State Highway Agency",SUMIFS('Full Crash Data'!$U:$U,'Full Crash Data'!$C:$C,L$5,'Full Crash Data'!$AN:$AN,"State Highway Agency",'Full Crash Data'!$BF:$BF,"Yes"),IF($B$2="County Highway Agency",SUMIFS('Full Crash Data'!$U:$U,'Full Crash Data'!$C:$C,L$5,'Full Crash Data'!$AN:$AN,"County Highway Agency",'Full Crash Data'!$BF:$BF,"Yes"),IF($B$2="Township Highway Agency",SUMIFS('Full Crash Data'!$U:$U,'Full Crash Data'!$C:$C,L$5,'Full Crash Data'!$AN:$AN,"Township Highway Agency",'Full Crash Data'!$BF:$BF,"Yes"),IF($B$2="City or Village Highway Agency",SUMIFS('Full Crash Data'!$U:$U,'Full Crash Data'!$C:$C,L$5,'Full Crash Data'!$AN:$AN,"City or Village Highway Agency",'Full Crash Data'!$BF:$BF,"Yes"))))))</f>
        <v>0</v>
      </c>
      <c r="M15" s="272">
        <f t="shared" ref="M15" si="49">IFERROR(ROUND(L15/L$8,2),0)</f>
        <v>0</v>
      </c>
      <c r="N15" s="271">
        <f>IF($B$2="All",SUMIFS('Full Crash Data'!$U:$U,'Full Crash Data'!$C:$C,N$5,'Full Crash Data'!$BF:$BF,"Yes"),IF($B$2="State Highway Agency",SUMIFS('Full Crash Data'!$U:$U,'Full Crash Data'!$C:$C,N$5,'Full Crash Data'!$AN:$AN,"State Highway Agency",'Full Crash Data'!$BF:$BF,"Yes"),IF($B$2="County Highway Agency",SUMIFS('Full Crash Data'!$U:$U,'Full Crash Data'!$C:$C,N$5,'Full Crash Data'!$AN:$AN,"County Highway Agency",'Full Crash Data'!$BF:$BF,"Yes"),IF($B$2="Township Highway Agency",SUMIFS('Full Crash Data'!$U:$U,'Full Crash Data'!$C:$C,N$5,'Full Crash Data'!$AN:$AN,"Township Highway Agency",'Full Crash Data'!$BF:$BF,"Yes"),IF($B$2="City or Village Highway Agency",SUMIFS('Full Crash Data'!$U:$U,'Full Crash Data'!$C:$C,N$5,'Full Crash Data'!$AN:$AN,"City or Village Highway Agency",'Full Crash Data'!$BF:$BF,"Yes"))))))</f>
        <v>0</v>
      </c>
      <c r="O15" s="272">
        <f t="shared" ref="O15" si="50">IFERROR(ROUND(N15/N$8,2),0)</f>
        <v>0</v>
      </c>
      <c r="P15" s="271">
        <f>IF($B$2="All",SUMIFS('Full Crash Data'!$U:$U,'Full Crash Data'!$C:$C,P$5,'Full Crash Data'!$BF:$BF,"Yes"),IF($B$2="State Highway Agency",SUMIFS('Full Crash Data'!$U:$U,'Full Crash Data'!$C:$C,P$5,'Full Crash Data'!$AN:$AN,"State Highway Agency",'Full Crash Data'!$BF:$BF,"Yes"),IF($B$2="County Highway Agency",SUMIFS('Full Crash Data'!$U:$U,'Full Crash Data'!$C:$C,P$5,'Full Crash Data'!$AN:$AN,"County Highway Agency",'Full Crash Data'!$BF:$BF,"Yes"),IF($B$2="Township Highway Agency",SUMIFS('Full Crash Data'!$U:$U,'Full Crash Data'!$C:$C,P$5,'Full Crash Data'!$AN:$AN,"Township Highway Agency",'Full Crash Data'!$BF:$BF,"Yes"),IF($B$2="City or Village Highway Agency",SUMIFS('Full Crash Data'!$U:$U,'Full Crash Data'!$C:$C,P$5,'Full Crash Data'!$AN:$AN,"City or Village Highway Agency",'Full Crash Data'!$BF:$BF,"Yes"))))))</f>
        <v>0</v>
      </c>
      <c r="Q15" s="272">
        <f t="shared" ref="Q15" si="51">IFERROR(ROUND(P15/P$8,2),0)</f>
        <v>0</v>
      </c>
      <c r="R15" s="271">
        <f>IF($B$2="All",SUMIFS('Full Crash Data'!$U:$U,'Full Crash Data'!$C:$C,R$5,'Full Crash Data'!$BF:$BF,"Yes"),IF($B$2="State Highway Agency",SUMIFS('Full Crash Data'!$U:$U,'Full Crash Data'!$C:$C,R$5,'Full Crash Data'!$AN:$AN,"State Highway Agency",'Full Crash Data'!$BF:$BF,"Yes"),IF($B$2="County Highway Agency",SUMIFS('Full Crash Data'!$U:$U,'Full Crash Data'!$C:$C,R$5,'Full Crash Data'!$AN:$AN,"County Highway Agency",'Full Crash Data'!$BF:$BF,"Yes"),IF($B$2="Township Highway Agency",SUMIFS('Full Crash Data'!$U:$U,'Full Crash Data'!$C:$C,R$5,'Full Crash Data'!$AN:$AN,"Township Highway Agency",'Full Crash Data'!$BF:$BF,"Yes"),IF($B$2="City or Village Highway Agency",SUMIFS('Full Crash Data'!$U:$U,'Full Crash Data'!$C:$C,R$5,'Full Crash Data'!$AN:$AN,"City or Village Highway Agency",'Full Crash Data'!$BF:$BF,"Yes"))))))</f>
        <v>0</v>
      </c>
      <c r="S15" s="272">
        <f t="shared" ref="S15" si="52">IFERROR(ROUND(R15/R$8,2),0)</f>
        <v>0</v>
      </c>
      <c r="T15" s="271">
        <f>IF($B$2="All",SUMIFS('Full Crash Data'!$U:$U,'Full Crash Data'!$C:$C,T$5,'Full Crash Data'!$BF:$BF,"Yes"),IF($B$2="State Highway Agency",SUMIFS('Full Crash Data'!$U:$U,'Full Crash Data'!$C:$C,T$5,'Full Crash Data'!$AN:$AN,"State Highway Agency",'Full Crash Data'!$BF:$BF,"Yes"),IF($B$2="County Highway Agency",SUMIFS('Full Crash Data'!$U:$U,'Full Crash Data'!$C:$C,T$5,'Full Crash Data'!$AN:$AN,"County Highway Agency",'Full Crash Data'!$BF:$BF,"Yes"),IF($B$2="Township Highway Agency",SUMIFS('Full Crash Data'!$U:$U,'Full Crash Data'!$C:$C,T$5,'Full Crash Data'!$AN:$AN,"Township Highway Agency",'Full Crash Data'!$BF:$BF,"Yes"),IF($B$2="City or Village Highway Agency",SUMIFS('Full Crash Data'!$U:$U,'Full Crash Data'!$C:$C,T$5,'Full Crash Data'!$AN:$AN,"City or Village Highway Agency",'Full Crash Data'!$BF:$BF,"Yes"))))))</f>
        <v>0</v>
      </c>
      <c r="U15" s="272">
        <f t="shared" ref="U15" si="53">IFERROR(ROUND(T15/T$8,2),0)</f>
        <v>0</v>
      </c>
      <c r="V15" s="271">
        <f>IF($B$2="All",SUMIFS('Full Crash Data'!$U:$U,'Full Crash Data'!$C:$C,V$5,'Full Crash Data'!$BF:$BF,"Yes"),IF($B$2="State Highway Agency",SUMIFS('Full Crash Data'!$U:$U,'Full Crash Data'!$C:$C,V$5,'Full Crash Data'!$AN:$AN,"State Highway Agency",'Full Crash Data'!$BF:$BF,"Yes"),IF($B$2="County Highway Agency",SUMIFS('Full Crash Data'!$U:$U,'Full Crash Data'!$C:$C,V$5,'Full Crash Data'!$AN:$AN,"County Highway Agency",'Full Crash Data'!$BF:$BF,"Yes"),IF($B$2="Township Highway Agency",SUMIFS('Full Crash Data'!$U:$U,'Full Crash Data'!$C:$C,V$5,'Full Crash Data'!$AN:$AN,"Township Highway Agency",'Full Crash Data'!$BF:$BF,"Yes"),IF($B$2="City or Village Highway Agency",SUMIFS('Full Crash Data'!$U:$U,'Full Crash Data'!$C:$C,V$5,'Full Crash Data'!$AN:$AN,"City or Village Highway Agency",'Full Crash Data'!$BF:$BF,"Yes"))))))</f>
        <v>0</v>
      </c>
      <c r="W15" s="272">
        <f t="shared" ref="W15" si="54">IFERROR(ROUND(V15/V$8,2),0)</f>
        <v>0</v>
      </c>
      <c r="AE15" s="116">
        <v>14</v>
      </c>
    </row>
    <row r="16" spans="1:31" ht="22.5" customHeight="1" x14ac:dyDescent="0.2">
      <c r="A16" s="270" t="s">
        <v>5999</v>
      </c>
      <c r="B16" s="271">
        <f>IF($B$2="All",SUMIFS('Full Crash Data'!$U:$U,'Full Crash Data'!$C:$C,B$5,'Full Crash Data'!$BE:$BE,"Yes"),IF($B$2="State Highway Agency",SUMIFS('Full Crash Data'!$U:$U,'Full Crash Data'!$C:$C,B$5,'Full Crash Data'!$AN:$AN,"State Highway Agency",'Full Crash Data'!$BE:$BE,"Yes"),IF($B$2="County Highway Agency",SUMIFS('Full Crash Data'!$U:$U,'Full Crash Data'!$C:$C,B$5,'Full Crash Data'!$AN:$AN,"County Highway Agency",'Full Crash Data'!$BE:$BE,"Yes"),IF($B$2="Township Highway Agency",SUMIFS('Full Crash Data'!$U:$U,'Full Crash Data'!$C:$C,B$5,'Full Crash Data'!$AN:$AN,"Township Highway Agency",'Full Crash Data'!$BE:$BE,"Yes"),IF($B$2="City or Village Highway Agency",SUMIFS('Full Crash Data'!$U:$U,'Full Crash Data'!$C:$C,B$5,'Full Crash Data'!$AN:$AN,"City or Village Highway Agency",'Full Crash Data'!$BE:$BE,"Yes"))))))</f>
        <v>0</v>
      </c>
      <c r="C16" s="272">
        <f t="shared" si="0"/>
        <v>0</v>
      </c>
      <c r="D16" s="271">
        <f>IF($B$2="All",SUMIFS('Full Crash Data'!$U:$U,'Full Crash Data'!$C:$C,D$5,'Full Crash Data'!$BE:$BE,"Yes"),IF($B$2="State Highway Agency",SUMIFS('Full Crash Data'!$U:$U,'Full Crash Data'!$C:$C,D$5,'Full Crash Data'!$AN:$AN,"State Highway Agency",'Full Crash Data'!$BE:$BE,"Yes"),IF($B$2="County Highway Agency",SUMIFS('Full Crash Data'!$U:$U,'Full Crash Data'!$C:$C,D$5,'Full Crash Data'!$AN:$AN,"County Highway Agency",'Full Crash Data'!$BE:$BE,"Yes"),IF($B$2="Township Highway Agency",SUMIFS('Full Crash Data'!$U:$U,'Full Crash Data'!$C:$C,D$5,'Full Crash Data'!$AN:$AN,"Township Highway Agency",'Full Crash Data'!$BE:$BE,"Yes"),IF($B$2="City or Village Highway Agency",SUMIFS('Full Crash Data'!$U:$U,'Full Crash Data'!$C:$C,D$5,'Full Crash Data'!$AN:$AN,"City or Village Highway Agency",'Full Crash Data'!$BE:$BE,"Yes"))))))</f>
        <v>0</v>
      </c>
      <c r="E16" s="272">
        <f t="shared" si="0"/>
        <v>0</v>
      </c>
      <c r="F16" s="271">
        <f>IF($B$2="All",SUMIFS('Full Crash Data'!$U:$U,'Full Crash Data'!$C:$C,F$5,'Full Crash Data'!$BE:$BE,"Yes"),IF($B$2="State Highway Agency",SUMIFS('Full Crash Data'!$U:$U,'Full Crash Data'!$C:$C,F$5,'Full Crash Data'!$AN:$AN,"State Highway Agency",'Full Crash Data'!$BE:$BE,"Yes"),IF($B$2="County Highway Agency",SUMIFS('Full Crash Data'!$U:$U,'Full Crash Data'!$C:$C,F$5,'Full Crash Data'!$AN:$AN,"County Highway Agency",'Full Crash Data'!$BE:$BE,"Yes"),IF($B$2="Township Highway Agency",SUMIFS('Full Crash Data'!$U:$U,'Full Crash Data'!$C:$C,F$5,'Full Crash Data'!$AN:$AN,"Township Highway Agency",'Full Crash Data'!$BE:$BE,"Yes"),IF($B$2="City or Village Highway Agency",SUMIFS('Full Crash Data'!$U:$U,'Full Crash Data'!$C:$C,F$5,'Full Crash Data'!$AN:$AN,"City or Village Highway Agency",'Full Crash Data'!$BE:$BE,"Yes"))))))</f>
        <v>0</v>
      </c>
      <c r="G16" s="272">
        <f t="shared" ref="G16" si="55">IFERROR(ROUND(F16/F$8,2),0)</f>
        <v>0</v>
      </c>
      <c r="H16" s="271">
        <f>IF($B$2="All",SUMIFS('Full Crash Data'!$U:$U,'Full Crash Data'!$C:$C,H$5,'Full Crash Data'!$BE:$BE,"Yes"),IF($B$2="State Highway Agency",SUMIFS('Full Crash Data'!$U:$U,'Full Crash Data'!$C:$C,H$5,'Full Crash Data'!$AN:$AN,"State Highway Agency",'Full Crash Data'!$BE:$BE,"Yes"),IF($B$2="County Highway Agency",SUMIFS('Full Crash Data'!$U:$U,'Full Crash Data'!$C:$C,H$5,'Full Crash Data'!$AN:$AN,"County Highway Agency",'Full Crash Data'!$BE:$BE,"Yes"),IF($B$2="Township Highway Agency",SUMIFS('Full Crash Data'!$U:$U,'Full Crash Data'!$C:$C,H$5,'Full Crash Data'!$AN:$AN,"Township Highway Agency",'Full Crash Data'!$BE:$BE,"Yes"),IF($B$2="City or Village Highway Agency",SUMIFS('Full Crash Data'!$U:$U,'Full Crash Data'!$C:$C,H$5,'Full Crash Data'!$AN:$AN,"City or Village Highway Agency",'Full Crash Data'!$BE:$BE,"Yes"))))))</f>
        <v>0</v>
      </c>
      <c r="I16" s="272">
        <f t="shared" ref="I16" si="56">IFERROR(ROUND(H16/H$8,2),0)</f>
        <v>0</v>
      </c>
      <c r="J16" s="271">
        <f>IF($B$2="All",SUMIFS('Full Crash Data'!$U:$U,'Full Crash Data'!$C:$C,J$5,'Full Crash Data'!$BE:$BE,"Yes"),IF($B$2="State Highway Agency",SUMIFS('Full Crash Data'!$U:$U,'Full Crash Data'!$C:$C,J$5,'Full Crash Data'!$AN:$AN,"State Highway Agency",'Full Crash Data'!$BE:$BE,"Yes"),IF($B$2="County Highway Agency",SUMIFS('Full Crash Data'!$U:$U,'Full Crash Data'!$C:$C,J$5,'Full Crash Data'!$AN:$AN,"County Highway Agency",'Full Crash Data'!$BE:$BE,"Yes"),IF($B$2="Township Highway Agency",SUMIFS('Full Crash Data'!$U:$U,'Full Crash Data'!$C:$C,J$5,'Full Crash Data'!$AN:$AN,"Township Highway Agency",'Full Crash Data'!$BE:$BE,"Yes"),IF($B$2="City or Village Highway Agency",SUMIFS('Full Crash Data'!$U:$U,'Full Crash Data'!$C:$C,J$5,'Full Crash Data'!$AN:$AN,"City or Village Highway Agency",'Full Crash Data'!$BE:$BE,"Yes"))))))</f>
        <v>0</v>
      </c>
      <c r="K16" s="272">
        <f t="shared" ref="K16" si="57">IFERROR(ROUND(J16/J$8,2),0)</f>
        <v>0</v>
      </c>
      <c r="L16" s="271">
        <f>IF($B$2="All",SUMIFS('Full Crash Data'!$U:$U,'Full Crash Data'!$C:$C,L$5,'Full Crash Data'!$BE:$BE,"Yes"),IF($B$2="State Highway Agency",SUMIFS('Full Crash Data'!$U:$U,'Full Crash Data'!$C:$C,L$5,'Full Crash Data'!$AN:$AN,"State Highway Agency",'Full Crash Data'!$BE:$BE,"Yes"),IF($B$2="County Highway Agency",SUMIFS('Full Crash Data'!$U:$U,'Full Crash Data'!$C:$C,L$5,'Full Crash Data'!$AN:$AN,"County Highway Agency",'Full Crash Data'!$BE:$BE,"Yes"),IF($B$2="Township Highway Agency",SUMIFS('Full Crash Data'!$U:$U,'Full Crash Data'!$C:$C,L$5,'Full Crash Data'!$AN:$AN,"Township Highway Agency",'Full Crash Data'!$BE:$BE,"Yes"),IF($B$2="City or Village Highway Agency",SUMIFS('Full Crash Data'!$U:$U,'Full Crash Data'!$C:$C,L$5,'Full Crash Data'!$AN:$AN,"City or Village Highway Agency",'Full Crash Data'!$BE:$BE,"Yes"))))))</f>
        <v>0</v>
      </c>
      <c r="M16" s="272">
        <f t="shared" ref="M16" si="58">IFERROR(ROUND(L16/L$8,2),0)</f>
        <v>0</v>
      </c>
      <c r="N16" s="271">
        <f>IF($B$2="All",SUMIFS('Full Crash Data'!$U:$U,'Full Crash Data'!$C:$C,N$5,'Full Crash Data'!$BE:$BE,"Yes"),IF($B$2="State Highway Agency",SUMIFS('Full Crash Data'!$U:$U,'Full Crash Data'!$C:$C,N$5,'Full Crash Data'!$AN:$AN,"State Highway Agency",'Full Crash Data'!$BE:$BE,"Yes"),IF($B$2="County Highway Agency",SUMIFS('Full Crash Data'!$U:$U,'Full Crash Data'!$C:$C,N$5,'Full Crash Data'!$AN:$AN,"County Highway Agency",'Full Crash Data'!$BE:$BE,"Yes"),IF($B$2="Township Highway Agency",SUMIFS('Full Crash Data'!$U:$U,'Full Crash Data'!$C:$C,N$5,'Full Crash Data'!$AN:$AN,"Township Highway Agency",'Full Crash Data'!$BE:$BE,"Yes"),IF($B$2="City or Village Highway Agency",SUMIFS('Full Crash Data'!$U:$U,'Full Crash Data'!$C:$C,N$5,'Full Crash Data'!$AN:$AN,"City or Village Highway Agency",'Full Crash Data'!$BE:$BE,"Yes"))))))</f>
        <v>0</v>
      </c>
      <c r="O16" s="272">
        <f t="shared" ref="O16" si="59">IFERROR(ROUND(N16/N$8,2),0)</f>
        <v>0</v>
      </c>
      <c r="P16" s="271">
        <f>IF($B$2="All",SUMIFS('Full Crash Data'!$U:$U,'Full Crash Data'!$C:$C,P$5,'Full Crash Data'!$BE:$BE,"Yes"),IF($B$2="State Highway Agency",SUMIFS('Full Crash Data'!$U:$U,'Full Crash Data'!$C:$C,P$5,'Full Crash Data'!$AN:$AN,"State Highway Agency",'Full Crash Data'!$BE:$BE,"Yes"),IF($B$2="County Highway Agency",SUMIFS('Full Crash Data'!$U:$U,'Full Crash Data'!$C:$C,P$5,'Full Crash Data'!$AN:$AN,"County Highway Agency",'Full Crash Data'!$BE:$BE,"Yes"),IF($B$2="Township Highway Agency",SUMIFS('Full Crash Data'!$U:$U,'Full Crash Data'!$C:$C,P$5,'Full Crash Data'!$AN:$AN,"Township Highway Agency",'Full Crash Data'!$BE:$BE,"Yes"),IF($B$2="City or Village Highway Agency",SUMIFS('Full Crash Data'!$U:$U,'Full Crash Data'!$C:$C,P$5,'Full Crash Data'!$AN:$AN,"City or Village Highway Agency",'Full Crash Data'!$BE:$BE,"Yes"))))))</f>
        <v>0</v>
      </c>
      <c r="Q16" s="272">
        <f t="shared" ref="Q16" si="60">IFERROR(ROUND(P16/P$8,2),0)</f>
        <v>0</v>
      </c>
      <c r="R16" s="271">
        <f>IF($B$2="All",SUMIFS('Full Crash Data'!$U:$U,'Full Crash Data'!$C:$C,R$5,'Full Crash Data'!$BE:$BE,"Yes"),IF($B$2="State Highway Agency",SUMIFS('Full Crash Data'!$U:$U,'Full Crash Data'!$C:$C,R$5,'Full Crash Data'!$AN:$AN,"State Highway Agency",'Full Crash Data'!$BE:$BE,"Yes"),IF($B$2="County Highway Agency",SUMIFS('Full Crash Data'!$U:$U,'Full Crash Data'!$C:$C,R$5,'Full Crash Data'!$AN:$AN,"County Highway Agency",'Full Crash Data'!$BE:$BE,"Yes"),IF($B$2="Township Highway Agency",SUMIFS('Full Crash Data'!$U:$U,'Full Crash Data'!$C:$C,R$5,'Full Crash Data'!$AN:$AN,"Township Highway Agency",'Full Crash Data'!$BE:$BE,"Yes"),IF($B$2="City or Village Highway Agency",SUMIFS('Full Crash Data'!$U:$U,'Full Crash Data'!$C:$C,R$5,'Full Crash Data'!$AN:$AN,"City or Village Highway Agency",'Full Crash Data'!$BE:$BE,"Yes"))))))</f>
        <v>0</v>
      </c>
      <c r="S16" s="272">
        <f t="shared" ref="S16" si="61">IFERROR(ROUND(R16/R$8,2),0)</f>
        <v>0</v>
      </c>
      <c r="T16" s="271">
        <f>IF($B$2="All",SUMIFS('Full Crash Data'!$U:$U,'Full Crash Data'!$C:$C,T$5,'Full Crash Data'!$BE:$BE,"Yes"),IF($B$2="State Highway Agency",SUMIFS('Full Crash Data'!$U:$U,'Full Crash Data'!$C:$C,T$5,'Full Crash Data'!$AN:$AN,"State Highway Agency",'Full Crash Data'!$BE:$BE,"Yes"),IF($B$2="County Highway Agency",SUMIFS('Full Crash Data'!$U:$U,'Full Crash Data'!$C:$C,T$5,'Full Crash Data'!$AN:$AN,"County Highway Agency",'Full Crash Data'!$BE:$BE,"Yes"),IF($B$2="Township Highway Agency",SUMIFS('Full Crash Data'!$U:$U,'Full Crash Data'!$C:$C,T$5,'Full Crash Data'!$AN:$AN,"Township Highway Agency",'Full Crash Data'!$BE:$BE,"Yes"),IF($B$2="City or Village Highway Agency",SUMIFS('Full Crash Data'!$U:$U,'Full Crash Data'!$C:$C,T$5,'Full Crash Data'!$AN:$AN,"City or Village Highway Agency",'Full Crash Data'!$BE:$BE,"Yes"))))))</f>
        <v>0</v>
      </c>
      <c r="U16" s="272">
        <f t="shared" ref="U16" si="62">IFERROR(ROUND(T16/T$8,2),0)</f>
        <v>0</v>
      </c>
      <c r="V16" s="271">
        <f>IF($B$2="All",SUMIFS('Full Crash Data'!$U:$U,'Full Crash Data'!$C:$C,V$5,'Full Crash Data'!$BE:$BE,"Yes"),IF($B$2="State Highway Agency",SUMIFS('Full Crash Data'!$U:$U,'Full Crash Data'!$C:$C,V$5,'Full Crash Data'!$AN:$AN,"State Highway Agency",'Full Crash Data'!$BE:$BE,"Yes"),IF($B$2="County Highway Agency",SUMIFS('Full Crash Data'!$U:$U,'Full Crash Data'!$C:$C,V$5,'Full Crash Data'!$AN:$AN,"County Highway Agency",'Full Crash Data'!$BE:$BE,"Yes"),IF($B$2="Township Highway Agency",SUMIFS('Full Crash Data'!$U:$U,'Full Crash Data'!$C:$C,V$5,'Full Crash Data'!$AN:$AN,"Township Highway Agency",'Full Crash Data'!$BE:$BE,"Yes"),IF($B$2="City or Village Highway Agency",SUMIFS('Full Crash Data'!$U:$U,'Full Crash Data'!$C:$C,V$5,'Full Crash Data'!$AN:$AN,"City or Village Highway Agency",'Full Crash Data'!$BE:$BE,"Yes"))))))</f>
        <v>0</v>
      </c>
      <c r="W16" s="272">
        <f t="shared" ref="W16" si="63">IFERROR(ROUND(V16/V$8,2),0)</f>
        <v>0</v>
      </c>
      <c r="AE16" s="116">
        <v>15</v>
      </c>
    </row>
    <row r="17" spans="1:31" ht="22.5" customHeight="1" x14ac:dyDescent="0.2">
      <c r="A17" s="273" t="s">
        <v>6000</v>
      </c>
      <c r="B17" s="274">
        <f>IF($B$2="All",SUMIFS('Full Crash Data'!$U:$U,'Full Crash Data'!$C:$C,B$5,'Full Crash Data'!$BJ:$BJ,"Yes"),IF($B$2="State Highway Agency",SUMIFS('Full Crash Data'!$U:$U,'Full Crash Data'!$C:$C,B$5,'Full Crash Data'!$AN:$AN,"State Highway Agency",'Full Crash Data'!$BJ:$BJ,"Yes"),IF($B$2="County Highway Agency",SUMIFS('Full Crash Data'!$U:$U,'Full Crash Data'!$C:$C,B$5,'Full Crash Data'!$AN:$AN,"County Highway Agency",'Full Crash Data'!$BJ:$BJ,"Yes"),IF($B$2="Township Highway Agency",SUMIFS('Full Crash Data'!$U:$U,'Full Crash Data'!$C:$C,B$5,'Full Crash Data'!$AN:$AN,"Township Highway Agency",'Full Crash Data'!$BJ:$BJ,"Yes"),IF($B$2="City or Village Highway Agency",SUMIFS('Full Crash Data'!$U:$U,'Full Crash Data'!$C:$C,B$5,'Full Crash Data'!$AN:$AN,"City or Village Highway Agency",'Full Crash Data'!$BJ:$BJ,"Yes"))))))</f>
        <v>0</v>
      </c>
      <c r="C17" s="272">
        <f t="shared" si="0"/>
        <v>0</v>
      </c>
      <c r="D17" s="274">
        <f>IF($B$2="All",SUMIFS('Full Crash Data'!$U:$U,'Full Crash Data'!$C:$C,D$5,'Full Crash Data'!$BJ:$BJ,"Yes"),IF($B$2="State Highway Agency",SUMIFS('Full Crash Data'!$U:$U,'Full Crash Data'!$C:$C,D$5,'Full Crash Data'!$AN:$AN,"State Highway Agency",'Full Crash Data'!$BJ:$BJ,"Yes"),IF($B$2="County Highway Agency",SUMIFS('Full Crash Data'!$U:$U,'Full Crash Data'!$C:$C,D$5,'Full Crash Data'!$AN:$AN,"County Highway Agency",'Full Crash Data'!$BJ:$BJ,"Yes"),IF($B$2="Township Highway Agency",SUMIFS('Full Crash Data'!$U:$U,'Full Crash Data'!$C:$C,D$5,'Full Crash Data'!$AN:$AN,"Township Highway Agency",'Full Crash Data'!$BJ:$BJ,"Yes"),IF($B$2="City or Village Highway Agency",SUMIFS('Full Crash Data'!$U:$U,'Full Crash Data'!$C:$C,D$5,'Full Crash Data'!$AN:$AN,"City or Village Highway Agency",'Full Crash Data'!$BJ:$BJ,"Yes"))))))</f>
        <v>0</v>
      </c>
      <c r="E17" s="272">
        <f t="shared" si="0"/>
        <v>0</v>
      </c>
      <c r="F17" s="274">
        <f>IF($B$2="All",SUMIFS('Full Crash Data'!$U:$U,'Full Crash Data'!$C:$C,F$5,'Full Crash Data'!$BJ:$BJ,"Yes"),IF($B$2="State Highway Agency",SUMIFS('Full Crash Data'!$U:$U,'Full Crash Data'!$C:$C,F$5,'Full Crash Data'!$AN:$AN,"State Highway Agency",'Full Crash Data'!$BJ:$BJ,"Yes"),IF($B$2="County Highway Agency",SUMIFS('Full Crash Data'!$U:$U,'Full Crash Data'!$C:$C,F$5,'Full Crash Data'!$AN:$AN,"County Highway Agency",'Full Crash Data'!$BJ:$BJ,"Yes"),IF($B$2="Township Highway Agency",SUMIFS('Full Crash Data'!$U:$U,'Full Crash Data'!$C:$C,F$5,'Full Crash Data'!$AN:$AN,"Township Highway Agency",'Full Crash Data'!$BJ:$BJ,"Yes"),IF($B$2="City or Village Highway Agency",SUMIFS('Full Crash Data'!$U:$U,'Full Crash Data'!$C:$C,F$5,'Full Crash Data'!$AN:$AN,"City or Village Highway Agency",'Full Crash Data'!$BJ:$BJ,"Yes"))))))</f>
        <v>0</v>
      </c>
      <c r="G17" s="272">
        <f t="shared" ref="G17" si="64">IFERROR(ROUND(F17/F$8,2),0)</f>
        <v>0</v>
      </c>
      <c r="H17" s="274">
        <f>IF($B$2="All",SUMIFS('Full Crash Data'!$U:$U,'Full Crash Data'!$C:$C,H$5,'Full Crash Data'!$BJ:$BJ,"Yes"),IF($B$2="State Highway Agency",SUMIFS('Full Crash Data'!$U:$U,'Full Crash Data'!$C:$C,H$5,'Full Crash Data'!$AN:$AN,"State Highway Agency",'Full Crash Data'!$BJ:$BJ,"Yes"),IF($B$2="County Highway Agency",SUMIFS('Full Crash Data'!$U:$U,'Full Crash Data'!$C:$C,H$5,'Full Crash Data'!$AN:$AN,"County Highway Agency",'Full Crash Data'!$BJ:$BJ,"Yes"),IF($B$2="Township Highway Agency",SUMIFS('Full Crash Data'!$U:$U,'Full Crash Data'!$C:$C,H$5,'Full Crash Data'!$AN:$AN,"Township Highway Agency",'Full Crash Data'!$BJ:$BJ,"Yes"),IF($B$2="City or Village Highway Agency",SUMIFS('Full Crash Data'!$U:$U,'Full Crash Data'!$C:$C,H$5,'Full Crash Data'!$AN:$AN,"City or Village Highway Agency",'Full Crash Data'!$BJ:$BJ,"Yes"))))))</f>
        <v>0</v>
      </c>
      <c r="I17" s="272">
        <f t="shared" ref="I17" si="65">IFERROR(ROUND(H17/H$8,2),0)</f>
        <v>0</v>
      </c>
      <c r="J17" s="274">
        <f>IF($B$2="All",SUMIFS('Full Crash Data'!$U:$U,'Full Crash Data'!$C:$C,J$5,'Full Crash Data'!$BJ:$BJ,"Yes"),IF($B$2="State Highway Agency",SUMIFS('Full Crash Data'!$U:$U,'Full Crash Data'!$C:$C,J$5,'Full Crash Data'!$AN:$AN,"State Highway Agency",'Full Crash Data'!$BJ:$BJ,"Yes"),IF($B$2="County Highway Agency",SUMIFS('Full Crash Data'!$U:$U,'Full Crash Data'!$C:$C,J$5,'Full Crash Data'!$AN:$AN,"County Highway Agency",'Full Crash Data'!$BJ:$BJ,"Yes"),IF($B$2="Township Highway Agency",SUMIFS('Full Crash Data'!$U:$U,'Full Crash Data'!$C:$C,J$5,'Full Crash Data'!$AN:$AN,"Township Highway Agency",'Full Crash Data'!$BJ:$BJ,"Yes"),IF($B$2="City or Village Highway Agency",SUMIFS('Full Crash Data'!$U:$U,'Full Crash Data'!$C:$C,J$5,'Full Crash Data'!$AN:$AN,"City or Village Highway Agency",'Full Crash Data'!$BJ:$BJ,"Yes"))))))</f>
        <v>0</v>
      </c>
      <c r="K17" s="272">
        <f t="shared" ref="K17" si="66">IFERROR(ROUND(J17/J$8,2),0)</f>
        <v>0</v>
      </c>
      <c r="L17" s="274">
        <f>IF($B$2="All",SUMIFS('Full Crash Data'!$U:$U,'Full Crash Data'!$C:$C,L$5,'Full Crash Data'!$BJ:$BJ,"Yes"),IF($B$2="State Highway Agency",SUMIFS('Full Crash Data'!$U:$U,'Full Crash Data'!$C:$C,L$5,'Full Crash Data'!$AN:$AN,"State Highway Agency",'Full Crash Data'!$BJ:$BJ,"Yes"),IF($B$2="County Highway Agency",SUMIFS('Full Crash Data'!$U:$U,'Full Crash Data'!$C:$C,L$5,'Full Crash Data'!$AN:$AN,"County Highway Agency",'Full Crash Data'!$BJ:$BJ,"Yes"),IF($B$2="Township Highway Agency",SUMIFS('Full Crash Data'!$U:$U,'Full Crash Data'!$C:$C,L$5,'Full Crash Data'!$AN:$AN,"Township Highway Agency",'Full Crash Data'!$BJ:$BJ,"Yes"),IF($B$2="City or Village Highway Agency",SUMIFS('Full Crash Data'!$U:$U,'Full Crash Data'!$C:$C,L$5,'Full Crash Data'!$AN:$AN,"City or Village Highway Agency",'Full Crash Data'!$BJ:$BJ,"Yes"))))))</f>
        <v>0</v>
      </c>
      <c r="M17" s="272">
        <f t="shared" ref="M17" si="67">IFERROR(ROUND(L17/L$8,2),0)</f>
        <v>0</v>
      </c>
      <c r="N17" s="274">
        <f>IF($B$2="All",SUMIFS('Full Crash Data'!$U:$U,'Full Crash Data'!$C:$C,N$5,'Full Crash Data'!$BJ:$BJ,"Yes"),IF($B$2="State Highway Agency",SUMIFS('Full Crash Data'!$U:$U,'Full Crash Data'!$C:$C,N$5,'Full Crash Data'!$AN:$AN,"State Highway Agency",'Full Crash Data'!$BJ:$BJ,"Yes"),IF($B$2="County Highway Agency",SUMIFS('Full Crash Data'!$U:$U,'Full Crash Data'!$C:$C,N$5,'Full Crash Data'!$AN:$AN,"County Highway Agency",'Full Crash Data'!$BJ:$BJ,"Yes"),IF($B$2="Township Highway Agency",SUMIFS('Full Crash Data'!$U:$U,'Full Crash Data'!$C:$C,N$5,'Full Crash Data'!$AN:$AN,"Township Highway Agency",'Full Crash Data'!$BJ:$BJ,"Yes"),IF($B$2="City or Village Highway Agency",SUMIFS('Full Crash Data'!$U:$U,'Full Crash Data'!$C:$C,N$5,'Full Crash Data'!$AN:$AN,"City or Village Highway Agency",'Full Crash Data'!$BJ:$BJ,"Yes"))))))</f>
        <v>0</v>
      </c>
      <c r="O17" s="272">
        <f t="shared" ref="O17" si="68">IFERROR(ROUND(N17/N$8,2),0)</f>
        <v>0</v>
      </c>
      <c r="P17" s="274">
        <f>IF($B$2="All",SUMIFS('Full Crash Data'!$U:$U,'Full Crash Data'!$C:$C,P$5,'Full Crash Data'!$BJ:$BJ,"Yes"),IF($B$2="State Highway Agency",SUMIFS('Full Crash Data'!$U:$U,'Full Crash Data'!$C:$C,P$5,'Full Crash Data'!$AN:$AN,"State Highway Agency",'Full Crash Data'!$BJ:$BJ,"Yes"),IF($B$2="County Highway Agency",SUMIFS('Full Crash Data'!$U:$U,'Full Crash Data'!$C:$C,P$5,'Full Crash Data'!$AN:$AN,"County Highway Agency",'Full Crash Data'!$BJ:$BJ,"Yes"),IF($B$2="Township Highway Agency",SUMIFS('Full Crash Data'!$U:$U,'Full Crash Data'!$C:$C,P$5,'Full Crash Data'!$AN:$AN,"Township Highway Agency",'Full Crash Data'!$BJ:$BJ,"Yes"),IF($B$2="City or Village Highway Agency",SUMIFS('Full Crash Data'!$U:$U,'Full Crash Data'!$C:$C,P$5,'Full Crash Data'!$AN:$AN,"City or Village Highway Agency",'Full Crash Data'!$BJ:$BJ,"Yes"))))))</f>
        <v>0</v>
      </c>
      <c r="Q17" s="272">
        <f t="shared" ref="Q17" si="69">IFERROR(ROUND(P17/P$8,2),0)</f>
        <v>0</v>
      </c>
      <c r="R17" s="274">
        <f>IF($B$2="All",SUMIFS('Full Crash Data'!$U:$U,'Full Crash Data'!$C:$C,R$5,'Full Crash Data'!$BJ:$BJ,"Yes"),IF($B$2="State Highway Agency",SUMIFS('Full Crash Data'!$U:$U,'Full Crash Data'!$C:$C,R$5,'Full Crash Data'!$AN:$AN,"State Highway Agency",'Full Crash Data'!$BJ:$BJ,"Yes"),IF($B$2="County Highway Agency",SUMIFS('Full Crash Data'!$U:$U,'Full Crash Data'!$C:$C,R$5,'Full Crash Data'!$AN:$AN,"County Highway Agency",'Full Crash Data'!$BJ:$BJ,"Yes"),IF($B$2="Township Highway Agency",SUMIFS('Full Crash Data'!$U:$U,'Full Crash Data'!$C:$C,R$5,'Full Crash Data'!$AN:$AN,"Township Highway Agency",'Full Crash Data'!$BJ:$BJ,"Yes"),IF($B$2="City or Village Highway Agency",SUMIFS('Full Crash Data'!$U:$U,'Full Crash Data'!$C:$C,R$5,'Full Crash Data'!$AN:$AN,"City or Village Highway Agency",'Full Crash Data'!$BJ:$BJ,"Yes"))))))</f>
        <v>0</v>
      </c>
      <c r="S17" s="272">
        <f t="shared" ref="S17" si="70">IFERROR(ROUND(R17/R$8,2),0)</f>
        <v>0</v>
      </c>
      <c r="T17" s="274">
        <f>IF($B$2="All",SUMIFS('Full Crash Data'!$U:$U,'Full Crash Data'!$C:$C,T$5,'Full Crash Data'!$BJ:$BJ,"Yes"),IF($B$2="State Highway Agency",SUMIFS('Full Crash Data'!$U:$U,'Full Crash Data'!$C:$C,T$5,'Full Crash Data'!$AN:$AN,"State Highway Agency",'Full Crash Data'!$BJ:$BJ,"Yes"),IF($B$2="County Highway Agency",SUMIFS('Full Crash Data'!$U:$U,'Full Crash Data'!$C:$C,T$5,'Full Crash Data'!$AN:$AN,"County Highway Agency",'Full Crash Data'!$BJ:$BJ,"Yes"),IF($B$2="Township Highway Agency",SUMIFS('Full Crash Data'!$U:$U,'Full Crash Data'!$C:$C,T$5,'Full Crash Data'!$AN:$AN,"Township Highway Agency",'Full Crash Data'!$BJ:$BJ,"Yes"),IF($B$2="City or Village Highway Agency",SUMIFS('Full Crash Data'!$U:$U,'Full Crash Data'!$C:$C,T$5,'Full Crash Data'!$AN:$AN,"City or Village Highway Agency",'Full Crash Data'!$BJ:$BJ,"Yes"))))))</f>
        <v>0</v>
      </c>
      <c r="U17" s="272">
        <f t="shared" ref="U17" si="71">IFERROR(ROUND(T17/T$8,2),0)</f>
        <v>0</v>
      </c>
      <c r="V17" s="274">
        <f>IF($B$2="All",SUMIFS('Full Crash Data'!$U:$U,'Full Crash Data'!$C:$C,V$5,'Full Crash Data'!$BJ:$BJ,"Yes"),IF($B$2="State Highway Agency",SUMIFS('Full Crash Data'!$U:$U,'Full Crash Data'!$C:$C,V$5,'Full Crash Data'!$AN:$AN,"State Highway Agency",'Full Crash Data'!$BJ:$BJ,"Yes"),IF($B$2="County Highway Agency",SUMIFS('Full Crash Data'!$U:$U,'Full Crash Data'!$C:$C,V$5,'Full Crash Data'!$AN:$AN,"County Highway Agency",'Full Crash Data'!$BJ:$BJ,"Yes"),IF($B$2="Township Highway Agency",SUMIFS('Full Crash Data'!$U:$U,'Full Crash Data'!$C:$C,V$5,'Full Crash Data'!$AN:$AN,"Township Highway Agency",'Full Crash Data'!$BJ:$BJ,"Yes"),IF($B$2="City or Village Highway Agency",SUMIFS('Full Crash Data'!$U:$U,'Full Crash Data'!$C:$C,V$5,'Full Crash Data'!$AN:$AN,"City or Village Highway Agency",'Full Crash Data'!$BJ:$BJ,"Yes"))))))</f>
        <v>0</v>
      </c>
      <c r="W17" s="272">
        <f t="shared" ref="W17" si="72">IFERROR(ROUND(V17/V$8,2),0)</f>
        <v>0</v>
      </c>
      <c r="AE17" s="116">
        <v>16</v>
      </c>
    </row>
    <row r="18" spans="1:31" ht="22.5" customHeight="1" x14ac:dyDescent="0.2">
      <c r="A18" s="270" t="s">
        <v>5992</v>
      </c>
      <c r="B18" s="271">
        <f>IF($B$2="All",SUMIFS('Full Crash Data'!$U:$U,'Full Crash Data'!$C:$C,B$5,'Full Crash Data'!$BC:$BC,"Yes"),IF($B$2="State Highway Agency",SUMIFS('Full Crash Data'!$U:$U,'Full Crash Data'!$C:$C,B$5,'Full Crash Data'!$AN:$AN,"State Highway Agency",'Full Crash Data'!$BC:$BC,"Yes"),IF($B$2="County Highway Agency",SUMIFS('Full Crash Data'!$U:$U,'Full Crash Data'!$C:$C,B$5,'Full Crash Data'!$AN:$AN,"County Highway Agency",'Full Crash Data'!$BC:$BC,"Yes"),IF($B$2="Township Highway Agency",SUMIFS('Full Crash Data'!$U:$U,'Full Crash Data'!$C:$C,B$5,'Full Crash Data'!$AN:$AN,"Township Highway Agency",'Full Crash Data'!$BC:$BC,"Yes"),IF($B$2="City or Village Highway Agency",SUMIFS('Full Crash Data'!$U:$U,'Full Crash Data'!$C:$C,B$5,'Full Crash Data'!$AN:$AN,"City or Village Highway Agency",'Full Crash Data'!$BC:$BC,"Yes"))))))</f>
        <v>0</v>
      </c>
      <c r="C18" s="272">
        <f t="shared" si="0"/>
        <v>0</v>
      </c>
      <c r="D18" s="271">
        <f>IF($B$2="All",SUMIFS('Full Crash Data'!$U:$U,'Full Crash Data'!$C:$C,D$5,'Full Crash Data'!$BC:$BC,"Yes"),IF($B$2="State Highway Agency",SUMIFS('Full Crash Data'!$U:$U,'Full Crash Data'!$C:$C,D$5,'Full Crash Data'!$AN:$AN,"State Highway Agency",'Full Crash Data'!$BC:$BC,"Yes"),IF($B$2="County Highway Agency",SUMIFS('Full Crash Data'!$U:$U,'Full Crash Data'!$C:$C,D$5,'Full Crash Data'!$AN:$AN,"County Highway Agency",'Full Crash Data'!$BC:$BC,"Yes"),IF($B$2="Township Highway Agency",SUMIFS('Full Crash Data'!$U:$U,'Full Crash Data'!$C:$C,D$5,'Full Crash Data'!$AN:$AN,"Township Highway Agency",'Full Crash Data'!$BC:$BC,"Yes"),IF($B$2="City or Village Highway Agency",SUMIFS('Full Crash Data'!$U:$U,'Full Crash Data'!$C:$C,D$5,'Full Crash Data'!$AN:$AN,"City or Village Highway Agency",'Full Crash Data'!$BC:$BC,"Yes"))))))</f>
        <v>0</v>
      </c>
      <c r="E18" s="272">
        <f t="shared" si="0"/>
        <v>0</v>
      </c>
      <c r="F18" s="271">
        <f>IF($B$2="All",SUMIFS('Full Crash Data'!$U:$U,'Full Crash Data'!$C:$C,F$5,'Full Crash Data'!$BC:$BC,"Yes"),IF($B$2="State Highway Agency",SUMIFS('Full Crash Data'!$U:$U,'Full Crash Data'!$C:$C,F$5,'Full Crash Data'!$AN:$AN,"State Highway Agency",'Full Crash Data'!$BC:$BC,"Yes"),IF($B$2="County Highway Agency",SUMIFS('Full Crash Data'!$U:$U,'Full Crash Data'!$C:$C,F$5,'Full Crash Data'!$AN:$AN,"County Highway Agency",'Full Crash Data'!$BC:$BC,"Yes"),IF($B$2="Township Highway Agency",SUMIFS('Full Crash Data'!$U:$U,'Full Crash Data'!$C:$C,F$5,'Full Crash Data'!$AN:$AN,"Township Highway Agency",'Full Crash Data'!$BC:$BC,"Yes"),IF($B$2="City or Village Highway Agency",SUMIFS('Full Crash Data'!$U:$U,'Full Crash Data'!$C:$C,F$5,'Full Crash Data'!$AN:$AN,"City or Village Highway Agency",'Full Crash Data'!$BC:$BC,"Yes"))))))</f>
        <v>0</v>
      </c>
      <c r="G18" s="272">
        <f t="shared" ref="G18" si="73">IFERROR(ROUND(F18/F$8,2),0)</f>
        <v>0</v>
      </c>
      <c r="H18" s="271">
        <f>IF($B$2="All",SUMIFS('Full Crash Data'!$U:$U,'Full Crash Data'!$C:$C,H$5,'Full Crash Data'!$BC:$BC,"Yes"),IF($B$2="State Highway Agency",SUMIFS('Full Crash Data'!$U:$U,'Full Crash Data'!$C:$C,H$5,'Full Crash Data'!$AN:$AN,"State Highway Agency",'Full Crash Data'!$BC:$BC,"Yes"),IF($B$2="County Highway Agency",SUMIFS('Full Crash Data'!$U:$U,'Full Crash Data'!$C:$C,H$5,'Full Crash Data'!$AN:$AN,"County Highway Agency",'Full Crash Data'!$BC:$BC,"Yes"),IF($B$2="Township Highway Agency",SUMIFS('Full Crash Data'!$U:$U,'Full Crash Data'!$C:$C,H$5,'Full Crash Data'!$AN:$AN,"Township Highway Agency",'Full Crash Data'!$BC:$BC,"Yes"),IF($B$2="City or Village Highway Agency",SUMIFS('Full Crash Data'!$U:$U,'Full Crash Data'!$C:$C,H$5,'Full Crash Data'!$AN:$AN,"City or Village Highway Agency",'Full Crash Data'!$BC:$BC,"Yes"))))))</f>
        <v>0</v>
      </c>
      <c r="I18" s="272">
        <f t="shared" ref="I18" si="74">IFERROR(ROUND(H18/H$8,2),0)</f>
        <v>0</v>
      </c>
      <c r="J18" s="271">
        <f>IF($B$2="All",SUMIFS('Full Crash Data'!$U:$U,'Full Crash Data'!$C:$C,J$5,'Full Crash Data'!$BC:$BC,"Yes"),IF($B$2="State Highway Agency",SUMIFS('Full Crash Data'!$U:$U,'Full Crash Data'!$C:$C,J$5,'Full Crash Data'!$AN:$AN,"State Highway Agency",'Full Crash Data'!$BC:$BC,"Yes"),IF($B$2="County Highway Agency",SUMIFS('Full Crash Data'!$U:$U,'Full Crash Data'!$C:$C,J$5,'Full Crash Data'!$AN:$AN,"County Highway Agency",'Full Crash Data'!$BC:$BC,"Yes"),IF($B$2="Township Highway Agency",SUMIFS('Full Crash Data'!$U:$U,'Full Crash Data'!$C:$C,J$5,'Full Crash Data'!$AN:$AN,"Township Highway Agency",'Full Crash Data'!$BC:$BC,"Yes"),IF($B$2="City or Village Highway Agency",SUMIFS('Full Crash Data'!$U:$U,'Full Crash Data'!$C:$C,J$5,'Full Crash Data'!$AN:$AN,"City or Village Highway Agency",'Full Crash Data'!$BC:$BC,"Yes"))))))</f>
        <v>0</v>
      </c>
      <c r="K18" s="272">
        <f t="shared" ref="K18" si="75">IFERROR(ROUND(J18/J$8,2),0)</f>
        <v>0</v>
      </c>
      <c r="L18" s="271">
        <f>IF($B$2="All",SUMIFS('Full Crash Data'!$U:$U,'Full Crash Data'!$C:$C,L$5,'Full Crash Data'!$BC:$BC,"Yes"),IF($B$2="State Highway Agency",SUMIFS('Full Crash Data'!$U:$U,'Full Crash Data'!$C:$C,L$5,'Full Crash Data'!$AN:$AN,"State Highway Agency",'Full Crash Data'!$BC:$BC,"Yes"),IF($B$2="County Highway Agency",SUMIFS('Full Crash Data'!$U:$U,'Full Crash Data'!$C:$C,L$5,'Full Crash Data'!$AN:$AN,"County Highway Agency",'Full Crash Data'!$BC:$BC,"Yes"),IF($B$2="Township Highway Agency",SUMIFS('Full Crash Data'!$U:$U,'Full Crash Data'!$C:$C,L$5,'Full Crash Data'!$AN:$AN,"Township Highway Agency",'Full Crash Data'!$BC:$BC,"Yes"),IF($B$2="City or Village Highway Agency",SUMIFS('Full Crash Data'!$U:$U,'Full Crash Data'!$C:$C,L$5,'Full Crash Data'!$AN:$AN,"City or Village Highway Agency",'Full Crash Data'!$BC:$BC,"Yes"))))))</f>
        <v>0</v>
      </c>
      <c r="M18" s="272">
        <f t="shared" ref="M18" si="76">IFERROR(ROUND(L18/L$8,2),0)</f>
        <v>0</v>
      </c>
      <c r="N18" s="271">
        <f>IF($B$2="All",SUMIFS('Full Crash Data'!$U:$U,'Full Crash Data'!$C:$C,N$5,'Full Crash Data'!$BC:$BC,"Yes"),IF($B$2="State Highway Agency",SUMIFS('Full Crash Data'!$U:$U,'Full Crash Data'!$C:$C,N$5,'Full Crash Data'!$AN:$AN,"State Highway Agency",'Full Crash Data'!$BC:$BC,"Yes"),IF($B$2="County Highway Agency",SUMIFS('Full Crash Data'!$U:$U,'Full Crash Data'!$C:$C,N$5,'Full Crash Data'!$AN:$AN,"County Highway Agency",'Full Crash Data'!$BC:$BC,"Yes"),IF($B$2="Township Highway Agency",SUMIFS('Full Crash Data'!$U:$U,'Full Crash Data'!$C:$C,N$5,'Full Crash Data'!$AN:$AN,"Township Highway Agency",'Full Crash Data'!$BC:$BC,"Yes"),IF($B$2="City or Village Highway Agency",SUMIFS('Full Crash Data'!$U:$U,'Full Crash Data'!$C:$C,N$5,'Full Crash Data'!$AN:$AN,"City or Village Highway Agency",'Full Crash Data'!$BC:$BC,"Yes"))))))</f>
        <v>0</v>
      </c>
      <c r="O18" s="272">
        <f t="shared" ref="O18" si="77">IFERROR(ROUND(N18/N$8,2),0)</f>
        <v>0</v>
      </c>
      <c r="P18" s="271">
        <f>IF($B$2="All",SUMIFS('Full Crash Data'!$U:$U,'Full Crash Data'!$C:$C,P$5,'Full Crash Data'!$BC:$BC,"Yes"),IF($B$2="State Highway Agency",SUMIFS('Full Crash Data'!$U:$U,'Full Crash Data'!$C:$C,P$5,'Full Crash Data'!$AN:$AN,"State Highway Agency",'Full Crash Data'!$BC:$BC,"Yes"),IF($B$2="County Highway Agency",SUMIFS('Full Crash Data'!$U:$U,'Full Crash Data'!$C:$C,P$5,'Full Crash Data'!$AN:$AN,"County Highway Agency",'Full Crash Data'!$BC:$BC,"Yes"),IF($B$2="Township Highway Agency",SUMIFS('Full Crash Data'!$U:$U,'Full Crash Data'!$C:$C,P$5,'Full Crash Data'!$AN:$AN,"Township Highway Agency",'Full Crash Data'!$BC:$BC,"Yes"),IF($B$2="City or Village Highway Agency",SUMIFS('Full Crash Data'!$U:$U,'Full Crash Data'!$C:$C,P$5,'Full Crash Data'!$AN:$AN,"City or Village Highway Agency",'Full Crash Data'!$BC:$BC,"Yes"))))))</f>
        <v>0</v>
      </c>
      <c r="Q18" s="272">
        <f t="shared" ref="Q18" si="78">IFERROR(ROUND(P18/P$8,2),0)</f>
        <v>0</v>
      </c>
      <c r="R18" s="271">
        <f>IF($B$2="All",SUMIFS('Full Crash Data'!$U:$U,'Full Crash Data'!$C:$C,R$5,'Full Crash Data'!$BC:$BC,"Yes"),IF($B$2="State Highway Agency",SUMIFS('Full Crash Data'!$U:$U,'Full Crash Data'!$C:$C,R$5,'Full Crash Data'!$AN:$AN,"State Highway Agency",'Full Crash Data'!$BC:$BC,"Yes"),IF($B$2="County Highway Agency",SUMIFS('Full Crash Data'!$U:$U,'Full Crash Data'!$C:$C,R$5,'Full Crash Data'!$AN:$AN,"County Highway Agency",'Full Crash Data'!$BC:$BC,"Yes"),IF($B$2="Township Highway Agency",SUMIFS('Full Crash Data'!$U:$U,'Full Crash Data'!$C:$C,R$5,'Full Crash Data'!$AN:$AN,"Township Highway Agency",'Full Crash Data'!$BC:$BC,"Yes"),IF($B$2="City or Village Highway Agency",SUMIFS('Full Crash Data'!$U:$U,'Full Crash Data'!$C:$C,R$5,'Full Crash Data'!$AN:$AN,"City or Village Highway Agency",'Full Crash Data'!$BC:$BC,"Yes"))))))</f>
        <v>0</v>
      </c>
      <c r="S18" s="272">
        <f t="shared" ref="S18" si="79">IFERROR(ROUND(R18/R$8,2),0)</f>
        <v>0</v>
      </c>
      <c r="T18" s="271">
        <f>IF($B$2="All",SUMIFS('Full Crash Data'!$U:$U,'Full Crash Data'!$C:$C,T$5,'Full Crash Data'!$BC:$BC,"Yes"),IF($B$2="State Highway Agency",SUMIFS('Full Crash Data'!$U:$U,'Full Crash Data'!$C:$C,T$5,'Full Crash Data'!$AN:$AN,"State Highway Agency",'Full Crash Data'!$BC:$BC,"Yes"),IF($B$2="County Highway Agency",SUMIFS('Full Crash Data'!$U:$U,'Full Crash Data'!$C:$C,T$5,'Full Crash Data'!$AN:$AN,"County Highway Agency",'Full Crash Data'!$BC:$BC,"Yes"),IF($B$2="Township Highway Agency",SUMIFS('Full Crash Data'!$U:$U,'Full Crash Data'!$C:$C,T$5,'Full Crash Data'!$AN:$AN,"Township Highway Agency",'Full Crash Data'!$BC:$BC,"Yes"),IF($B$2="City or Village Highway Agency",SUMIFS('Full Crash Data'!$U:$U,'Full Crash Data'!$C:$C,T$5,'Full Crash Data'!$AN:$AN,"City or Village Highway Agency",'Full Crash Data'!$BC:$BC,"Yes"))))))</f>
        <v>0</v>
      </c>
      <c r="U18" s="272">
        <f t="shared" ref="U18" si="80">IFERROR(ROUND(T18/T$8,2),0)</f>
        <v>0</v>
      </c>
      <c r="V18" s="271">
        <f>IF($B$2="All",SUMIFS('Full Crash Data'!$U:$U,'Full Crash Data'!$C:$C,V$5,'Full Crash Data'!$BC:$BC,"Yes"),IF($B$2="State Highway Agency",SUMIFS('Full Crash Data'!$U:$U,'Full Crash Data'!$C:$C,V$5,'Full Crash Data'!$AN:$AN,"State Highway Agency",'Full Crash Data'!$BC:$BC,"Yes"),IF($B$2="County Highway Agency",SUMIFS('Full Crash Data'!$U:$U,'Full Crash Data'!$C:$C,V$5,'Full Crash Data'!$AN:$AN,"County Highway Agency",'Full Crash Data'!$BC:$BC,"Yes"),IF($B$2="Township Highway Agency",SUMIFS('Full Crash Data'!$U:$U,'Full Crash Data'!$C:$C,V$5,'Full Crash Data'!$AN:$AN,"Township Highway Agency",'Full Crash Data'!$BC:$BC,"Yes"),IF($B$2="City or Village Highway Agency",SUMIFS('Full Crash Data'!$U:$U,'Full Crash Data'!$C:$C,V$5,'Full Crash Data'!$AN:$AN,"City or Village Highway Agency",'Full Crash Data'!$BC:$BC,"Yes"))))))</f>
        <v>0</v>
      </c>
      <c r="W18" s="272">
        <f t="shared" ref="W18" si="81">IFERROR(ROUND(V18/V$8,2),0)</f>
        <v>0</v>
      </c>
      <c r="AE18" s="116">
        <v>18</v>
      </c>
    </row>
    <row r="19" spans="1:31" ht="22.5" customHeight="1" x14ac:dyDescent="0.2">
      <c r="A19" s="270" t="s">
        <v>5993</v>
      </c>
      <c r="B19" s="271">
        <f>IF($B$2="All",SUMIFS('Full Crash Data'!$U:$U,'Full Crash Data'!$C:$C,B$5,'Full Crash Data'!$G:$G,"Pedestrian"),IF($B$2="State Highway Agency",SUMIFS('Full Crash Data'!$U:$U,'Full Crash Data'!$C:$C,B$5,'Full Crash Data'!$AN:$AN,"State Highway Agency",'Full Crash Data'!$G:$G,"Pedestrian"),IF($B$2="County Highway Agency",SUMIFS('Full Crash Data'!$U:$U,'Full Crash Data'!$C:$C,B$5,'Full Crash Data'!$AN:$AN,"County Highway Agency",'Full Crash Data'!$G:$G,"Pedestrian"),IF($B$2="Township Highway Agency",SUMIFS('Full Crash Data'!$U:$U,'Full Crash Data'!$C:$C,B$5,'Full Crash Data'!$AN:$AN,"Township Highway Agency",'Full Crash Data'!$G:$G,"Pedestrian"),IF($B$2="City or Village Highway Agency",SUMIFS('Full Crash Data'!$U:$U,'Full Crash Data'!$C:$C,B$5,'Full Crash Data'!$AN:$AN,"City or Village Highway Agency",'Full Crash Data'!$G:$G,"Pedestrian"))))))</f>
        <v>0</v>
      </c>
      <c r="C19" s="272">
        <f t="shared" si="0"/>
        <v>0</v>
      </c>
      <c r="D19" s="271">
        <f>IF($B$2="All",SUMIFS('Full Crash Data'!$U:$U,'Full Crash Data'!$C:$C,D$5,'Full Crash Data'!$G:$G,"Pedestrian"),IF($B$2="State Highway Agency",SUMIFS('Full Crash Data'!$U:$U,'Full Crash Data'!$C:$C,D$5,'Full Crash Data'!$AN:$AN,"State Highway Agency",'Full Crash Data'!$G:$G,"Pedestrian"),IF($B$2="County Highway Agency",SUMIFS('Full Crash Data'!$U:$U,'Full Crash Data'!$C:$C,D$5,'Full Crash Data'!$AN:$AN,"County Highway Agency",'Full Crash Data'!$G:$G,"Pedestrian"),IF($B$2="Township Highway Agency",SUMIFS('Full Crash Data'!$U:$U,'Full Crash Data'!$C:$C,D$5,'Full Crash Data'!$AN:$AN,"Township Highway Agency",'Full Crash Data'!$G:$G,"Pedestrian"),IF($B$2="City or Village Highway Agency",SUMIFS('Full Crash Data'!$U:$U,'Full Crash Data'!$C:$C,D$5,'Full Crash Data'!$AN:$AN,"City or Village Highway Agency",'Full Crash Data'!$G:$G,"Pedestrian"))))))</f>
        <v>0</v>
      </c>
      <c r="E19" s="272">
        <f t="shared" si="0"/>
        <v>0</v>
      </c>
      <c r="F19" s="271">
        <f>IF($B$2="All",SUMIFS('Full Crash Data'!$U:$U,'Full Crash Data'!$C:$C,F$5,'Full Crash Data'!$G:$G,"Pedestrian"),IF($B$2="State Highway Agency",SUMIFS('Full Crash Data'!$U:$U,'Full Crash Data'!$C:$C,F$5,'Full Crash Data'!$AN:$AN,"State Highway Agency",'Full Crash Data'!$G:$G,"Pedestrian"),IF($B$2="County Highway Agency",SUMIFS('Full Crash Data'!$U:$U,'Full Crash Data'!$C:$C,F$5,'Full Crash Data'!$AN:$AN,"County Highway Agency",'Full Crash Data'!$G:$G,"Pedestrian"),IF($B$2="Township Highway Agency",SUMIFS('Full Crash Data'!$U:$U,'Full Crash Data'!$C:$C,F$5,'Full Crash Data'!$AN:$AN,"Township Highway Agency",'Full Crash Data'!$G:$G,"Pedestrian"),IF($B$2="City or Village Highway Agency",SUMIFS('Full Crash Data'!$U:$U,'Full Crash Data'!$C:$C,F$5,'Full Crash Data'!$AN:$AN,"City or Village Highway Agency",'Full Crash Data'!$G:$G,"Pedestrian"))))))</f>
        <v>0</v>
      </c>
      <c r="G19" s="272">
        <f t="shared" ref="G19" si="82">IFERROR(ROUND(F19/F$8,2),0)</f>
        <v>0</v>
      </c>
      <c r="H19" s="271">
        <f>IF($B$2="All",SUMIFS('Full Crash Data'!$U:$U,'Full Crash Data'!$C:$C,H$5,'Full Crash Data'!$G:$G,"Pedestrian"),IF($B$2="State Highway Agency",SUMIFS('Full Crash Data'!$U:$U,'Full Crash Data'!$C:$C,H$5,'Full Crash Data'!$AN:$AN,"State Highway Agency",'Full Crash Data'!$G:$G,"Pedestrian"),IF($B$2="County Highway Agency",SUMIFS('Full Crash Data'!$U:$U,'Full Crash Data'!$C:$C,H$5,'Full Crash Data'!$AN:$AN,"County Highway Agency",'Full Crash Data'!$G:$G,"Pedestrian"),IF($B$2="Township Highway Agency",SUMIFS('Full Crash Data'!$U:$U,'Full Crash Data'!$C:$C,H$5,'Full Crash Data'!$AN:$AN,"Township Highway Agency",'Full Crash Data'!$G:$G,"Pedestrian"),IF($B$2="City or Village Highway Agency",SUMIFS('Full Crash Data'!$U:$U,'Full Crash Data'!$C:$C,H$5,'Full Crash Data'!$AN:$AN,"City or Village Highway Agency",'Full Crash Data'!$G:$G,"Pedestrian"))))))</f>
        <v>0</v>
      </c>
      <c r="I19" s="272">
        <f t="shared" ref="I19" si="83">IFERROR(ROUND(H19/H$8,2),0)</f>
        <v>0</v>
      </c>
      <c r="J19" s="271">
        <f>IF($B$2="All",SUMIFS('Full Crash Data'!$U:$U,'Full Crash Data'!$C:$C,J$5,'Full Crash Data'!$G:$G,"Pedestrian"),IF($B$2="State Highway Agency",SUMIFS('Full Crash Data'!$U:$U,'Full Crash Data'!$C:$C,J$5,'Full Crash Data'!$AN:$AN,"State Highway Agency",'Full Crash Data'!$G:$G,"Pedestrian"),IF($B$2="County Highway Agency",SUMIFS('Full Crash Data'!$U:$U,'Full Crash Data'!$C:$C,J$5,'Full Crash Data'!$AN:$AN,"County Highway Agency",'Full Crash Data'!$G:$G,"Pedestrian"),IF($B$2="Township Highway Agency",SUMIFS('Full Crash Data'!$U:$U,'Full Crash Data'!$C:$C,J$5,'Full Crash Data'!$AN:$AN,"Township Highway Agency",'Full Crash Data'!$G:$G,"Pedestrian"),IF($B$2="City or Village Highway Agency",SUMIFS('Full Crash Data'!$U:$U,'Full Crash Data'!$C:$C,J$5,'Full Crash Data'!$AN:$AN,"City or Village Highway Agency",'Full Crash Data'!$G:$G,"Pedestrian"))))))</f>
        <v>0</v>
      </c>
      <c r="K19" s="272">
        <f t="shared" ref="K19" si="84">IFERROR(ROUND(J19/J$8,2),0)</f>
        <v>0</v>
      </c>
      <c r="L19" s="271">
        <f>IF($B$2="All",SUMIFS('Full Crash Data'!$U:$U,'Full Crash Data'!$C:$C,L$5,'Full Crash Data'!$G:$G,"Pedestrian"),IF($B$2="State Highway Agency",SUMIFS('Full Crash Data'!$U:$U,'Full Crash Data'!$C:$C,L$5,'Full Crash Data'!$AN:$AN,"State Highway Agency",'Full Crash Data'!$G:$G,"Pedestrian"),IF($B$2="County Highway Agency",SUMIFS('Full Crash Data'!$U:$U,'Full Crash Data'!$C:$C,L$5,'Full Crash Data'!$AN:$AN,"County Highway Agency",'Full Crash Data'!$G:$G,"Pedestrian"),IF($B$2="Township Highway Agency",SUMIFS('Full Crash Data'!$U:$U,'Full Crash Data'!$C:$C,L$5,'Full Crash Data'!$AN:$AN,"Township Highway Agency",'Full Crash Data'!$G:$G,"Pedestrian"),IF($B$2="City or Village Highway Agency",SUMIFS('Full Crash Data'!$U:$U,'Full Crash Data'!$C:$C,L$5,'Full Crash Data'!$AN:$AN,"City or Village Highway Agency",'Full Crash Data'!$G:$G,"Pedestrian"))))))</f>
        <v>0</v>
      </c>
      <c r="M19" s="272">
        <f t="shared" ref="M19" si="85">IFERROR(ROUND(L19/L$8,2),0)</f>
        <v>0</v>
      </c>
      <c r="N19" s="271">
        <f>IF($B$2="All",SUMIFS('Full Crash Data'!$U:$U,'Full Crash Data'!$C:$C,N$5,'Full Crash Data'!$G:$G,"Pedestrian"),IF($B$2="State Highway Agency",SUMIFS('Full Crash Data'!$U:$U,'Full Crash Data'!$C:$C,N$5,'Full Crash Data'!$AN:$AN,"State Highway Agency",'Full Crash Data'!$G:$G,"Pedestrian"),IF($B$2="County Highway Agency",SUMIFS('Full Crash Data'!$U:$U,'Full Crash Data'!$C:$C,N$5,'Full Crash Data'!$AN:$AN,"County Highway Agency",'Full Crash Data'!$G:$G,"Pedestrian"),IF($B$2="Township Highway Agency",SUMIFS('Full Crash Data'!$U:$U,'Full Crash Data'!$C:$C,N$5,'Full Crash Data'!$AN:$AN,"Township Highway Agency",'Full Crash Data'!$G:$G,"Pedestrian"),IF($B$2="City or Village Highway Agency",SUMIFS('Full Crash Data'!$U:$U,'Full Crash Data'!$C:$C,N$5,'Full Crash Data'!$AN:$AN,"City or Village Highway Agency",'Full Crash Data'!$G:$G,"Pedestrian"))))))</f>
        <v>0</v>
      </c>
      <c r="O19" s="272">
        <f t="shared" ref="O19" si="86">IFERROR(ROUND(N19/N$8,2),0)</f>
        <v>0</v>
      </c>
      <c r="P19" s="271">
        <f>IF($B$2="All",SUMIFS('Full Crash Data'!$U:$U,'Full Crash Data'!$C:$C,P$5,'Full Crash Data'!$G:$G,"Pedestrian"),IF($B$2="State Highway Agency",SUMIFS('Full Crash Data'!$U:$U,'Full Crash Data'!$C:$C,P$5,'Full Crash Data'!$AN:$AN,"State Highway Agency",'Full Crash Data'!$G:$G,"Pedestrian"),IF($B$2="County Highway Agency",SUMIFS('Full Crash Data'!$U:$U,'Full Crash Data'!$C:$C,P$5,'Full Crash Data'!$AN:$AN,"County Highway Agency",'Full Crash Data'!$G:$G,"Pedestrian"),IF($B$2="Township Highway Agency",SUMIFS('Full Crash Data'!$U:$U,'Full Crash Data'!$C:$C,P$5,'Full Crash Data'!$AN:$AN,"Township Highway Agency",'Full Crash Data'!$G:$G,"Pedestrian"),IF($B$2="City or Village Highway Agency",SUMIFS('Full Crash Data'!$U:$U,'Full Crash Data'!$C:$C,P$5,'Full Crash Data'!$AN:$AN,"City or Village Highway Agency",'Full Crash Data'!$G:$G,"Pedestrian"))))))</f>
        <v>0</v>
      </c>
      <c r="Q19" s="272">
        <f t="shared" ref="Q19" si="87">IFERROR(ROUND(P19/P$8,2),0)</f>
        <v>0</v>
      </c>
      <c r="R19" s="271">
        <f>IF($B$2="All",SUMIFS('Full Crash Data'!$U:$U,'Full Crash Data'!$C:$C,R$5,'Full Crash Data'!$G:$G,"Pedestrian"),IF($B$2="State Highway Agency",SUMIFS('Full Crash Data'!$U:$U,'Full Crash Data'!$C:$C,R$5,'Full Crash Data'!$AN:$AN,"State Highway Agency",'Full Crash Data'!$G:$G,"Pedestrian"),IF($B$2="County Highway Agency",SUMIFS('Full Crash Data'!$U:$U,'Full Crash Data'!$C:$C,R$5,'Full Crash Data'!$AN:$AN,"County Highway Agency",'Full Crash Data'!$G:$G,"Pedestrian"),IF($B$2="Township Highway Agency",SUMIFS('Full Crash Data'!$U:$U,'Full Crash Data'!$C:$C,R$5,'Full Crash Data'!$AN:$AN,"Township Highway Agency",'Full Crash Data'!$G:$G,"Pedestrian"),IF($B$2="City or Village Highway Agency",SUMIFS('Full Crash Data'!$U:$U,'Full Crash Data'!$C:$C,R$5,'Full Crash Data'!$AN:$AN,"City or Village Highway Agency",'Full Crash Data'!$G:$G,"Pedestrian"))))))</f>
        <v>0</v>
      </c>
      <c r="S19" s="272">
        <f t="shared" ref="S19" si="88">IFERROR(ROUND(R19/R$8,2),0)</f>
        <v>0</v>
      </c>
      <c r="T19" s="271">
        <f>IF($B$2="All",SUMIFS('Full Crash Data'!$U:$U,'Full Crash Data'!$C:$C,T$5,'Full Crash Data'!$G:$G,"Pedestrian"),IF($B$2="State Highway Agency",SUMIFS('Full Crash Data'!$U:$U,'Full Crash Data'!$C:$C,T$5,'Full Crash Data'!$AN:$AN,"State Highway Agency",'Full Crash Data'!$G:$G,"Pedestrian"),IF($B$2="County Highway Agency",SUMIFS('Full Crash Data'!$U:$U,'Full Crash Data'!$C:$C,T$5,'Full Crash Data'!$AN:$AN,"County Highway Agency",'Full Crash Data'!$G:$G,"Pedestrian"),IF($B$2="Township Highway Agency",SUMIFS('Full Crash Data'!$U:$U,'Full Crash Data'!$C:$C,T$5,'Full Crash Data'!$AN:$AN,"Township Highway Agency",'Full Crash Data'!$G:$G,"Pedestrian"),IF($B$2="City or Village Highway Agency",SUMIFS('Full Crash Data'!$U:$U,'Full Crash Data'!$C:$C,T$5,'Full Crash Data'!$AN:$AN,"City or Village Highway Agency",'Full Crash Data'!$G:$G,"Pedestrian"))))))</f>
        <v>0</v>
      </c>
      <c r="U19" s="272">
        <f t="shared" ref="U19" si="89">IFERROR(ROUND(T19/T$8,2),0)</f>
        <v>0</v>
      </c>
      <c r="V19" s="271">
        <f>IF($B$2="All",SUMIFS('Full Crash Data'!$U:$U,'Full Crash Data'!$C:$C,V$5,'Full Crash Data'!$G:$G,"Pedestrian"),IF($B$2="State Highway Agency",SUMIFS('Full Crash Data'!$U:$U,'Full Crash Data'!$C:$C,V$5,'Full Crash Data'!$AN:$AN,"State Highway Agency",'Full Crash Data'!$G:$G,"Pedestrian"),IF($B$2="County Highway Agency",SUMIFS('Full Crash Data'!$U:$U,'Full Crash Data'!$C:$C,V$5,'Full Crash Data'!$AN:$AN,"County Highway Agency",'Full Crash Data'!$G:$G,"Pedestrian"),IF($B$2="Township Highway Agency",SUMIFS('Full Crash Data'!$U:$U,'Full Crash Data'!$C:$C,V$5,'Full Crash Data'!$AN:$AN,"Township Highway Agency",'Full Crash Data'!$G:$G,"Pedestrian"),IF($B$2="City or Village Highway Agency",SUMIFS('Full Crash Data'!$U:$U,'Full Crash Data'!$C:$C,V$5,'Full Crash Data'!$AN:$AN,"City or Village Highway Agency",'Full Crash Data'!$G:$G,"Pedestrian"))))))</f>
        <v>0</v>
      </c>
      <c r="W19" s="272">
        <f t="shared" ref="W19" si="90">IFERROR(ROUND(V19/V$8,2),0)</f>
        <v>0</v>
      </c>
      <c r="AE19" s="116">
        <v>19</v>
      </c>
    </row>
    <row r="20" spans="1:31" ht="22.5" customHeight="1" x14ac:dyDescent="0.2">
      <c r="A20" s="270" t="s">
        <v>5994</v>
      </c>
      <c r="B20" s="271">
        <f>IF($B$2="All",SUMIFS('Full Crash Data'!$U:$U,'Full Crash Data'!$C:$C,B$5,'Full Crash Data'!$G:$G,"Pedalcycles"),IF($B$2="State Highway Agency",SUMIFS('Full Crash Data'!$U:$U,'Full Crash Data'!$C:$C,B$5,'Full Crash Data'!$AN:$AN,"State Highway Agency",'Full Crash Data'!$G:$G,"Pedalcycles"),IF($B$2="County Highway Agency",SUMIFS('Full Crash Data'!$U:$U,'Full Crash Data'!$C:$C,B$5,'Full Crash Data'!$AN:$AN,"County Highway Agency",'Full Crash Data'!$G:$G,"Pedalcycles"),IF($B$2="Township Highway Agency",SUMIFS('Full Crash Data'!$U:$U,'Full Crash Data'!$C:$C,B$5,'Full Crash Data'!$AN:$AN,"Township Highway Agency",'Full Crash Data'!$G:$G,"Pedalcycles"),IF($B$2="City or Village Highway Agency",SUMIFS('Full Crash Data'!$U:$U,'Full Crash Data'!$C:$C,B$5,'Full Crash Data'!$AN:$AN,"City or Village Highway Agency",'Full Crash Data'!$G:$G,"Pedalcycles"))))))</f>
        <v>0</v>
      </c>
      <c r="C20" s="272">
        <f t="shared" si="0"/>
        <v>0</v>
      </c>
      <c r="D20" s="271">
        <f>IF($B$2="All",SUMIFS('Full Crash Data'!$U:$U,'Full Crash Data'!$C:$C,D$5,'Full Crash Data'!$G:$G,"Pedalcycles"),IF($B$2="State Highway Agency",SUMIFS('Full Crash Data'!$U:$U,'Full Crash Data'!$C:$C,D$5,'Full Crash Data'!$AN:$AN,"State Highway Agency",'Full Crash Data'!$G:$G,"Pedalcycles"),IF($B$2="County Highway Agency",SUMIFS('Full Crash Data'!$U:$U,'Full Crash Data'!$C:$C,D$5,'Full Crash Data'!$AN:$AN,"County Highway Agency",'Full Crash Data'!$G:$G,"Pedalcycles"),IF($B$2="Township Highway Agency",SUMIFS('Full Crash Data'!$U:$U,'Full Crash Data'!$C:$C,D$5,'Full Crash Data'!$AN:$AN,"Township Highway Agency",'Full Crash Data'!$G:$G,"Pedalcycles"),IF($B$2="City or Village Highway Agency",SUMIFS('Full Crash Data'!$U:$U,'Full Crash Data'!$C:$C,D$5,'Full Crash Data'!$AN:$AN,"City or Village Highway Agency",'Full Crash Data'!$G:$G,"Pedalcycles"))))))</f>
        <v>0</v>
      </c>
      <c r="E20" s="272">
        <f t="shared" si="0"/>
        <v>0</v>
      </c>
      <c r="F20" s="271">
        <f>IF($B$2="All",SUMIFS('Full Crash Data'!$U:$U,'Full Crash Data'!$C:$C,F$5,'Full Crash Data'!$G:$G,"Pedalcycles"),IF($B$2="State Highway Agency",SUMIFS('Full Crash Data'!$U:$U,'Full Crash Data'!$C:$C,F$5,'Full Crash Data'!$AN:$AN,"State Highway Agency",'Full Crash Data'!$G:$G,"Pedalcycles"),IF($B$2="County Highway Agency",SUMIFS('Full Crash Data'!$U:$U,'Full Crash Data'!$C:$C,F$5,'Full Crash Data'!$AN:$AN,"County Highway Agency",'Full Crash Data'!$G:$G,"Pedalcycles"),IF($B$2="Township Highway Agency",SUMIFS('Full Crash Data'!$U:$U,'Full Crash Data'!$C:$C,F$5,'Full Crash Data'!$AN:$AN,"Township Highway Agency",'Full Crash Data'!$G:$G,"Pedalcycles"),IF($B$2="City or Village Highway Agency",SUMIFS('Full Crash Data'!$U:$U,'Full Crash Data'!$C:$C,F$5,'Full Crash Data'!$AN:$AN,"City or Village Highway Agency",'Full Crash Data'!$G:$G,"Pedalcycles"))))))</f>
        <v>0</v>
      </c>
      <c r="G20" s="272">
        <f t="shared" ref="G20" si="91">IFERROR(ROUND(F20/F$8,2),0)</f>
        <v>0</v>
      </c>
      <c r="H20" s="271">
        <f>IF($B$2="All",SUMIFS('Full Crash Data'!$U:$U,'Full Crash Data'!$C:$C,H$5,'Full Crash Data'!$G:$G,"Pedalcycles"),IF($B$2="State Highway Agency",SUMIFS('Full Crash Data'!$U:$U,'Full Crash Data'!$C:$C,H$5,'Full Crash Data'!$AN:$AN,"State Highway Agency",'Full Crash Data'!$G:$G,"Pedalcycles"),IF($B$2="County Highway Agency",SUMIFS('Full Crash Data'!$U:$U,'Full Crash Data'!$C:$C,H$5,'Full Crash Data'!$AN:$AN,"County Highway Agency",'Full Crash Data'!$G:$G,"Pedalcycles"),IF($B$2="Township Highway Agency",SUMIFS('Full Crash Data'!$U:$U,'Full Crash Data'!$C:$C,H$5,'Full Crash Data'!$AN:$AN,"Township Highway Agency",'Full Crash Data'!$G:$G,"Pedalcycles"),IF($B$2="City or Village Highway Agency",SUMIFS('Full Crash Data'!$U:$U,'Full Crash Data'!$C:$C,H$5,'Full Crash Data'!$AN:$AN,"City or Village Highway Agency",'Full Crash Data'!$G:$G,"Pedalcycles"))))))</f>
        <v>0</v>
      </c>
      <c r="I20" s="272">
        <f t="shared" ref="I20" si="92">IFERROR(ROUND(H20/H$8,2),0)</f>
        <v>0</v>
      </c>
      <c r="J20" s="271">
        <f>IF($B$2="All",SUMIFS('Full Crash Data'!$U:$U,'Full Crash Data'!$C:$C,J$5,'Full Crash Data'!$G:$G,"Pedalcycles"),IF($B$2="State Highway Agency",SUMIFS('Full Crash Data'!$U:$U,'Full Crash Data'!$C:$C,J$5,'Full Crash Data'!$AN:$AN,"State Highway Agency",'Full Crash Data'!$G:$G,"Pedalcycles"),IF($B$2="County Highway Agency",SUMIFS('Full Crash Data'!$U:$U,'Full Crash Data'!$C:$C,J$5,'Full Crash Data'!$AN:$AN,"County Highway Agency",'Full Crash Data'!$G:$G,"Pedalcycles"),IF($B$2="Township Highway Agency",SUMIFS('Full Crash Data'!$U:$U,'Full Crash Data'!$C:$C,J$5,'Full Crash Data'!$AN:$AN,"Township Highway Agency",'Full Crash Data'!$G:$G,"Pedalcycles"),IF($B$2="City or Village Highway Agency",SUMIFS('Full Crash Data'!$U:$U,'Full Crash Data'!$C:$C,J$5,'Full Crash Data'!$AN:$AN,"City or Village Highway Agency",'Full Crash Data'!$G:$G,"Pedalcycles"))))))</f>
        <v>0</v>
      </c>
      <c r="K20" s="272">
        <f t="shared" ref="K20" si="93">IFERROR(ROUND(J20/J$8,2),0)</f>
        <v>0</v>
      </c>
      <c r="L20" s="271">
        <f>IF($B$2="All",SUMIFS('Full Crash Data'!$U:$U,'Full Crash Data'!$C:$C,L$5,'Full Crash Data'!$G:$G,"Pedalcycles"),IF($B$2="State Highway Agency",SUMIFS('Full Crash Data'!$U:$U,'Full Crash Data'!$C:$C,L$5,'Full Crash Data'!$AN:$AN,"State Highway Agency",'Full Crash Data'!$G:$G,"Pedalcycles"),IF($B$2="County Highway Agency",SUMIFS('Full Crash Data'!$U:$U,'Full Crash Data'!$C:$C,L$5,'Full Crash Data'!$AN:$AN,"County Highway Agency",'Full Crash Data'!$G:$G,"Pedalcycles"),IF($B$2="Township Highway Agency",SUMIFS('Full Crash Data'!$U:$U,'Full Crash Data'!$C:$C,L$5,'Full Crash Data'!$AN:$AN,"Township Highway Agency",'Full Crash Data'!$G:$G,"Pedalcycles"),IF($B$2="City or Village Highway Agency",SUMIFS('Full Crash Data'!$U:$U,'Full Crash Data'!$C:$C,L$5,'Full Crash Data'!$AN:$AN,"City or Village Highway Agency",'Full Crash Data'!$G:$G,"Pedalcycles"))))))</f>
        <v>0</v>
      </c>
      <c r="M20" s="272">
        <f t="shared" ref="M20" si="94">IFERROR(ROUND(L20/L$8,2),0)</f>
        <v>0</v>
      </c>
      <c r="N20" s="271">
        <f>IF($B$2="All",SUMIFS('Full Crash Data'!$U:$U,'Full Crash Data'!$C:$C,N$5,'Full Crash Data'!$G:$G,"Pedalcycles"),IF($B$2="State Highway Agency",SUMIFS('Full Crash Data'!$U:$U,'Full Crash Data'!$C:$C,N$5,'Full Crash Data'!$AN:$AN,"State Highway Agency",'Full Crash Data'!$G:$G,"Pedalcycles"),IF($B$2="County Highway Agency",SUMIFS('Full Crash Data'!$U:$U,'Full Crash Data'!$C:$C,N$5,'Full Crash Data'!$AN:$AN,"County Highway Agency",'Full Crash Data'!$G:$G,"Pedalcycles"),IF($B$2="Township Highway Agency",SUMIFS('Full Crash Data'!$U:$U,'Full Crash Data'!$C:$C,N$5,'Full Crash Data'!$AN:$AN,"Township Highway Agency",'Full Crash Data'!$G:$G,"Pedalcycles"),IF($B$2="City or Village Highway Agency",SUMIFS('Full Crash Data'!$U:$U,'Full Crash Data'!$C:$C,N$5,'Full Crash Data'!$AN:$AN,"City or Village Highway Agency",'Full Crash Data'!$G:$G,"Pedalcycles"))))))</f>
        <v>0</v>
      </c>
      <c r="O20" s="272">
        <f t="shared" ref="O20" si="95">IFERROR(ROUND(N20/N$8,2),0)</f>
        <v>0</v>
      </c>
      <c r="P20" s="271">
        <f>IF($B$2="All",SUMIFS('Full Crash Data'!$U:$U,'Full Crash Data'!$C:$C,P$5,'Full Crash Data'!$G:$G,"Pedalcycles"),IF($B$2="State Highway Agency",SUMIFS('Full Crash Data'!$U:$U,'Full Crash Data'!$C:$C,P$5,'Full Crash Data'!$AN:$AN,"State Highway Agency",'Full Crash Data'!$G:$G,"Pedalcycles"),IF($B$2="County Highway Agency",SUMIFS('Full Crash Data'!$U:$U,'Full Crash Data'!$C:$C,P$5,'Full Crash Data'!$AN:$AN,"County Highway Agency",'Full Crash Data'!$G:$G,"Pedalcycles"),IF($B$2="Township Highway Agency",SUMIFS('Full Crash Data'!$U:$U,'Full Crash Data'!$C:$C,P$5,'Full Crash Data'!$AN:$AN,"Township Highway Agency",'Full Crash Data'!$G:$G,"Pedalcycles"),IF($B$2="City or Village Highway Agency",SUMIFS('Full Crash Data'!$U:$U,'Full Crash Data'!$C:$C,P$5,'Full Crash Data'!$AN:$AN,"City or Village Highway Agency",'Full Crash Data'!$G:$G,"Pedalcycles"))))))</f>
        <v>0</v>
      </c>
      <c r="Q20" s="272">
        <f t="shared" ref="Q20" si="96">IFERROR(ROUND(P20/P$8,2),0)</f>
        <v>0</v>
      </c>
      <c r="R20" s="271">
        <f>IF($B$2="All",SUMIFS('Full Crash Data'!$U:$U,'Full Crash Data'!$C:$C,R$5,'Full Crash Data'!$G:$G,"Pedalcycles"),IF($B$2="State Highway Agency",SUMIFS('Full Crash Data'!$U:$U,'Full Crash Data'!$C:$C,R$5,'Full Crash Data'!$AN:$AN,"State Highway Agency",'Full Crash Data'!$G:$G,"Pedalcycles"),IF($B$2="County Highway Agency",SUMIFS('Full Crash Data'!$U:$U,'Full Crash Data'!$C:$C,R$5,'Full Crash Data'!$AN:$AN,"County Highway Agency",'Full Crash Data'!$G:$G,"Pedalcycles"),IF($B$2="Township Highway Agency",SUMIFS('Full Crash Data'!$U:$U,'Full Crash Data'!$C:$C,R$5,'Full Crash Data'!$AN:$AN,"Township Highway Agency",'Full Crash Data'!$G:$G,"Pedalcycles"),IF($B$2="City or Village Highway Agency",SUMIFS('Full Crash Data'!$U:$U,'Full Crash Data'!$C:$C,R$5,'Full Crash Data'!$AN:$AN,"City or Village Highway Agency",'Full Crash Data'!$G:$G,"Pedalcycles"))))))</f>
        <v>0</v>
      </c>
      <c r="S20" s="272">
        <f t="shared" ref="S20" si="97">IFERROR(ROUND(R20/R$8,2),0)</f>
        <v>0</v>
      </c>
      <c r="T20" s="271">
        <f>IF($B$2="All",SUMIFS('Full Crash Data'!$U:$U,'Full Crash Data'!$C:$C,T$5,'Full Crash Data'!$G:$G,"Pedalcycles"),IF($B$2="State Highway Agency",SUMIFS('Full Crash Data'!$U:$U,'Full Crash Data'!$C:$C,T$5,'Full Crash Data'!$AN:$AN,"State Highway Agency",'Full Crash Data'!$G:$G,"Pedalcycles"),IF($B$2="County Highway Agency",SUMIFS('Full Crash Data'!$U:$U,'Full Crash Data'!$C:$C,T$5,'Full Crash Data'!$AN:$AN,"County Highway Agency",'Full Crash Data'!$G:$G,"Pedalcycles"),IF($B$2="Township Highway Agency",SUMIFS('Full Crash Data'!$U:$U,'Full Crash Data'!$C:$C,T$5,'Full Crash Data'!$AN:$AN,"Township Highway Agency",'Full Crash Data'!$G:$G,"Pedalcycles"),IF($B$2="City or Village Highway Agency",SUMIFS('Full Crash Data'!$U:$U,'Full Crash Data'!$C:$C,T$5,'Full Crash Data'!$AN:$AN,"City or Village Highway Agency",'Full Crash Data'!$G:$G,"Pedalcycles"))))))</f>
        <v>0</v>
      </c>
      <c r="U20" s="272">
        <f t="shared" ref="U20" si="98">IFERROR(ROUND(T20/T$8,2),0)</f>
        <v>0</v>
      </c>
      <c r="V20" s="271">
        <f>IF($B$2="All",SUMIFS('Full Crash Data'!$U:$U,'Full Crash Data'!$C:$C,V$5,'Full Crash Data'!$G:$G,"Pedalcycles"),IF($B$2="State Highway Agency",SUMIFS('Full Crash Data'!$U:$U,'Full Crash Data'!$C:$C,V$5,'Full Crash Data'!$AN:$AN,"State Highway Agency",'Full Crash Data'!$G:$G,"Pedalcycles"),IF($B$2="County Highway Agency",SUMIFS('Full Crash Data'!$U:$U,'Full Crash Data'!$C:$C,V$5,'Full Crash Data'!$AN:$AN,"County Highway Agency",'Full Crash Data'!$G:$G,"Pedalcycles"),IF($B$2="Township Highway Agency",SUMIFS('Full Crash Data'!$U:$U,'Full Crash Data'!$C:$C,V$5,'Full Crash Data'!$AN:$AN,"Township Highway Agency",'Full Crash Data'!$G:$G,"Pedalcycles"),IF($B$2="City or Village Highway Agency",SUMIFS('Full Crash Data'!$U:$U,'Full Crash Data'!$C:$C,V$5,'Full Crash Data'!$AN:$AN,"City or Village Highway Agency",'Full Crash Data'!$G:$G,"Pedalcycles"))))))</f>
        <v>0</v>
      </c>
      <c r="W20" s="272">
        <f t="shared" ref="W20" si="99">IFERROR(ROUND(V20/V$8,2),0)</f>
        <v>0</v>
      </c>
      <c r="AE20" s="116">
        <v>20</v>
      </c>
    </row>
    <row r="21" spans="1:31" ht="22.5" customHeight="1" x14ac:dyDescent="0.2">
      <c r="A21" s="270" t="s">
        <v>1200</v>
      </c>
      <c r="B21" s="271">
        <f>IF($B$2="All",SUMIFS('Full Crash Data'!$U:$U,'Full Crash Data'!$C:$C,B$5,'Full Crash Data'!$BG:$BG,"Yes"),IF($B$2="State Highway Agency",SUMIFS('Full Crash Data'!$U:$U,'Full Crash Data'!$C:$C,B$5,'Full Crash Data'!$AN:$AN,"State Highway Agency",'Full Crash Data'!$BG:$BG,"Yes"),IF($B$2="County Highway Agency",SUMIFS('Full Crash Data'!$U:$U,'Full Crash Data'!$C:$C,B$5,'Full Crash Data'!$AN:$AN,"County Highway Agency",'Full Crash Data'!$BG:$BG,"Yes"),IF($B$2="Township Highway Agency",SUMIFS('Full Crash Data'!$U:$U,'Full Crash Data'!$C:$C,B$5,'Full Crash Data'!$AN:$AN,"Township Highway Agency",'Full Crash Data'!$BG:$BG,"Yes"),IF($B$2="City or Village Highway Agency",SUMIFS('Full Crash Data'!$U:$U,'Full Crash Data'!$C:$C,B$5,'Full Crash Data'!$AN:$AN,"City or Village Highway Agency",'Full Crash Data'!$BG:$BG,"Yes"))))))</f>
        <v>0</v>
      </c>
      <c r="C21" s="272">
        <f t="shared" si="0"/>
        <v>0</v>
      </c>
      <c r="D21" s="271">
        <f>IF($B$2="All",SUMIFS('Full Crash Data'!$U:$U,'Full Crash Data'!$C:$C,D$5,'Full Crash Data'!$BG:$BG,"Yes"),IF($B$2="State Highway Agency",SUMIFS('Full Crash Data'!$U:$U,'Full Crash Data'!$C:$C,D$5,'Full Crash Data'!$AN:$AN,"State Highway Agency",'Full Crash Data'!$BG:$BG,"Yes"),IF($B$2="County Highway Agency",SUMIFS('Full Crash Data'!$U:$U,'Full Crash Data'!$C:$C,D$5,'Full Crash Data'!$AN:$AN,"County Highway Agency",'Full Crash Data'!$BG:$BG,"Yes"),IF($B$2="Township Highway Agency",SUMIFS('Full Crash Data'!$U:$U,'Full Crash Data'!$C:$C,D$5,'Full Crash Data'!$AN:$AN,"Township Highway Agency",'Full Crash Data'!$BG:$BG,"Yes"),IF($B$2="City or Village Highway Agency",SUMIFS('Full Crash Data'!$U:$U,'Full Crash Data'!$C:$C,D$5,'Full Crash Data'!$AN:$AN,"City or Village Highway Agency",'Full Crash Data'!$BG:$BG,"Yes"))))))</f>
        <v>0</v>
      </c>
      <c r="E21" s="272">
        <f t="shared" si="0"/>
        <v>0</v>
      </c>
      <c r="F21" s="271">
        <f>IF($B$2="All",SUMIFS('Full Crash Data'!$U:$U,'Full Crash Data'!$C:$C,F$5,'Full Crash Data'!$BG:$BG,"Yes"),IF($B$2="State Highway Agency",SUMIFS('Full Crash Data'!$U:$U,'Full Crash Data'!$C:$C,F$5,'Full Crash Data'!$AN:$AN,"State Highway Agency",'Full Crash Data'!$BG:$BG,"Yes"),IF($B$2="County Highway Agency",SUMIFS('Full Crash Data'!$U:$U,'Full Crash Data'!$C:$C,F$5,'Full Crash Data'!$AN:$AN,"County Highway Agency",'Full Crash Data'!$BG:$BG,"Yes"),IF($B$2="Township Highway Agency",SUMIFS('Full Crash Data'!$U:$U,'Full Crash Data'!$C:$C,F$5,'Full Crash Data'!$AN:$AN,"Township Highway Agency",'Full Crash Data'!$BG:$BG,"Yes"),IF($B$2="City or Village Highway Agency",SUMIFS('Full Crash Data'!$U:$U,'Full Crash Data'!$C:$C,F$5,'Full Crash Data'!$AN:$AN,"City or Village Highway Agency",'Full Crash Data'!$BG:$BG,"Yes"))))))</f>
        <v>0</v>
      </c>
      <c r="G21" s="272">
        <f t="shared" ref="G21" si="100">IFERROR(ROUND(F21/F$8,2),0)</f>
        <v>0</v>
      </c>
      <c r="H21" s="271">
        <f>IF($B$2="All",SUMIFS('Full Crash Data'!$U:$U,'Full Crash Data'!$C:$C,H$5,'Full Crash Data'!$BG:$BG,"Yes"),IF($B$2="State Highway Agency",SUMIFS('Full Crash Data'!$U:$U,'Full Crash Data'!$C:$C,H$5,'Full Crash Data'!$AN:$AN,"State Highway Agency",'Full Crash Data'!$BG:$BG,"Yes"),IF($B$2="County Highway Agency",SUMIFS('Full Crash Data'!$U:$U,'Full Crash Data'!$C:$C,H$5,'Full Crash Data'!$AN:$AN,"County Highway Agency",'Full Crash Data'!$BG:$BG,"Yes"),IF($B$2="Township Highway Agency",SUMIFS('Full Crash Data'!$U:$U,'Full Crash Data'!$C:$C,H$5,'Full Crash Data'!$AN:$AN,"Township Highway Agency",'Full Crash Data'!$BG:$BG,"Yes"),IF($B$2="City or Village Highway Agency",SUMIFS('Full Crash Data'!$U:$U,'Full Crash Data'!$C:$C,H$5,'Full Crash Data'!$AN:$AN,"City or Village Highway Agency",'Full Crash Data'!$BG:$BG,"Yes"))))))</f>
        <v>0</v>
      </c>
      <c r="I21" s="272">
        <f t="shared" ref="I21" si="101">IFERROR(ROUND(H21/H$8,2),0)</f>
        <v>0</v>
      </c>
      <c r="J21" s="271">
        <f>IF($B$2="All",SUMIFS('Full Crash Data'!$U:$U,'Full Crash Data'!$C:$C,J$5,'Full Crash Data'!$BG:$BG,"Yes"),IF($B$2="State Highway Agency",SUMIFS('Full Crash Data'!$U:$U,'Full Crash Data'!$C:$C,J$5,'Full Crash Data'!$AN:$AN,"State Highway Agency",'Full Crash Data'!$BG:$BG,"Yes"),IF($B$2="County Highway Agency",SUMIFS('Full Crash Data'!$U:$U,'Full Crash Data'!$C:$C,J$5,'Full Crash Data'!$AN:$AN,"County Highway Agency",'Full Crash Data'!$BG:$BG,"Yes"),IF($B$2="Township Highway Agency",SUMIFS('Full Crash Data'!$U:$U,'Full Crash Data'!$C:$C,J$5,'Full Crash Data'!$AN:$AN,"Township Highway Agency",'Full Crash Data'!$BG:$BG,"Yes"),IF($B$2="City or Village Highway Agency",SUMIFS('Full Crash Data'!$U:$U,'Full Crash Data'!$C:$C,J$5,'Full Crash Data'!$AN:$AN,"City or Village Highway Agency",'Full Crash Data'!$BG:$BG,"Yes"))))))</f>
        <v>0</v>
      </c>
      <c r="K21" s="272">
        <f t="shared" ref="K21" si="102">IFERROR(ROUND(J21/J$8,2),0)</f>
        <v>0</v>
      </c>
      <c r="L21" s="271">
        <f>IF($B$2="All",SUMIFS('Full Crash Data'!$U:$U,'Full Crash Data'!$C:$C,L$5,'Full Crash Data'!$BG:$BG,"Yes"),IF($B$2="State Highway Agency",SUMIFS('Full Crash Data'!$U:$U,'Full Crash Data'!$C:$C,L$5,'Full Crash Data'!$AN:$AN,"State Highway Agency",'Full Crash Data'!$BG:$BG,"Yes"),IF($B$2="County Highway Agency",SUMIFS('Full Crash Data'!$U:$U,'Full Crash Data'!$C:$C,L$5,'Full Crash Data'!$AN:$AN,"County Highway Agency",'Full Crash Data'!$BG:$BG,"Yes"),IF($B$2="Township Highway Agency",SUMIFS('Full Crash Data'!$U:$U,'Full Crash Data'!$C:$C,L$5,'Full Crash Data'!$AN:$AN,"Township Highway Agency",'Full Crash Data'!$BG:$BG,"Yes"),IF($B$2="City or Village Highway Agency",SUMIFS('Full Crash Data'!$U:$U,'Full Crash Data'!$C:$C,L$5,'Full Crash Data'!$AN:$AN,"City or Village Highway Agency",'Full Crash Data'!$BG:$BG,"Yes"))))))</f>
        <v>0</v>
      </c>
      <c r="M21" s="272">
        <f t="shared" ref="M21" si="103">IFERROR(ROUND(L21/L$8,2),0)</f>
        <v>0</v>
      </c>
      <c r="N21" s="271">
        <f>IF($B$2="All",SUMIFS('Full Crash Data'!$U:$U,'Full Crash Data'!$C:$C,N$5,'Full Crash Data'!$BG:$BG,"Yes"),IF($B$2="State Highway Agency",SUMIFS('Full Crash Data'!$U:$U,'Full Crash Data'!$C:$C,N$5,'Full Crash Data'!$AN:$AN,"State Highway Agency",'Full Crash Data'!$BG:$BG,"Yes"),IF($B$2="County Highway Agency",SUMIFS('Full Crash Data'!$U:$U,'Full Crash Data'!$C:$C,N$5,'Full Crash Data'!$AN:$AN,"County Highway Agency",'Full Crash Data'!$BG:$BG,"Yes"),IF($B$2="Township Highway Agency",SUMIFS('Full Crash Data'!$U:$U,'Full Crash Data'!$C:$C,N$5,'Full Crash Data'!$AN:$AN,"Township Highway Agency",'Full Crash Data'!$BG:$BG,"Yes"),IF($B$2="City or Village Highway Agency",SUMIFS('Full Crash Data'!$U:$U,'Full Crash Data'!$C:$C,N$5,'Full Crash Data'!$AN:$AN,"City or Village Highway Agency",'Full Crash Data'!$BG:$BG,"Yes"))))))</f>
        <v>0</v>
      </c>
      <c r="O21" s="272">
        <f t="shared" ref="O21" si="104">IFERROR(ROUND(N21/N$8,2),0)</f>
        <v>0</v>
      </c>
      <c r="P21" s="271">
        <f>IF($B$2="All",SUMIFS('Full Crash Data'!$U:$U,'Full Crash Data'!$C:$C,P$5,'Full Crash Data'!$BG:$BG,"Yes"),IF($B$2="State Highway Agency",SUMIFS('Full Crash Data'!$U:$U,'Full Crash Data'!$C:$C,P$5,'Full Crash Data'!$AN:$AN,"State Highway Agency",'Full Crash Data'!$BG:$BG,"Yes"),IF($B$2="County Highway Agency",SUMIFS('Full Crash Data'!$U:$U,'Full Crash Data'!$C:$C,P$5,'Full Crash Data'!$AN:$AN,"County Highway Agency",'Full Crash Data'!$BG:$BG,"Yes"),IF($B$2="Township Highway Agency",SUMIFS('Full Crash Data'!$U:$U,'Full Crash Data'!$C:$C,P$5,'Full Crash Data'!$AN:$AN,"Township Highway Agency",'Full Crash Data'!$BG:$BG,"Yes"),IF($B$2="City or Village Highway Agency",SUMIFS('Full Crash Data'!$U:$U,'Full Crash Data'!$C:$C,P$5,'Full Crash Data'!$AN:$AN,"City or Village Highway Agency",'Full Crash Data'!$BG:$BG,"Yes"))))))</f>
        <v>0</v>
      </c>
      <c r="Q21" s="272">
        <f t="shared" ref="Q21" si="105">IFERROR(ROUND(P21/P$8,2),0)</f>
        <v>0</v>
      </c>
      <c r="R21" s="271">
        <f>IF($B$2="All",SUMIFS('Full Crash Data'!$U:$U,'Full Crash Data'!$C:$C,R$5,'Full Crash Data'!$BG:$BG,"Yes"),IF($B$2="State Highway Agency",SUMIFS('Full Crash Data'!$U:$U,'Full Crash Data'!$C:$C,R$5,'Full Crash Data'!$AN:$AN,"State Highway Agency",'Full Crash Data'!$BG:$BG,"Yes"),IF($B$2="County Highway Agency",SUMIFS('Full Crash Data'!$U:$U,'Full Crash Data'!$C:$C,R$5,'Full Crash Data'!$AN:$AN,"County Highway Agency",'Full Crash Data'!$BG:$BG,"Yes"),IF($B$2="Township Highway Agency",SUMIFS('Full Crash Data'!$U:$U,'Full Crash Data'!$C:$C,R$5,'Full Crash Data'!$AN:$AN,"Township Highway Agency",'Full Crash Data'!$BG:$BG,"Yes"),IF($B$2="City or Village Highway Agency",SUMIFS('Full Crash Data'!$U:$U,'Full Crash Data'!$C:$C,R$5,'Full Crash Data'!$AN:$AN,"City or Village Highway Agency",'Full Crash Data'!$BG:$BG,"Yes"))))))</f>
        <v>0</v>
      </c>
      <c r="S21" s="272">
        <f t="shared" ref="S21" si="106">IFERROR(ROUND(R21/R$8,2),0)</f>
        <v>0</v>
      </c>
      <c r="T21" s="271">
        <f>IF($B$2="All",SUMIFS('Full Crash Data'!$U:$U,'Full Crash Data'!$C:$C,T$5,'Full Crash Data'!$BG:$BG,"Yes"),IF($B$2="State Highway Agency",SUMIFS('Full Crash Data'!$U:$U,'Full Crash Data'!$C:$C,T$5,'Full Crash Data'!$AN:$AN,"State Highway Agency",'Full Crash Data'!$BG:$BG,"Yes"),IF($B$2="County Highway Agency",SUMIFS('Full Crash Data'!$U:$U,'Full Crash Data'!$C:$C,T$5,'Full Crash Data'!$AN:$AN,"County Highway Agency",'Full Crash Data'!$BG:$BG,"Yes"),IF($B$2="Township Highway Agency",SUMIFS('Full Crash Data'!$U:$U,'Full Crash Data'!$C:$C,T$5,'Full Crash Data'!$AN:$AN,"Township Highway Agency",'Full Crash Data'!$BG:$BG,"Yes"),IF($B$2="City or Village Highway Agency",SUMIFS('Full Crash Data'!$U:$U,'Full Crash Data'!$C:$C,T$5,'Full Crash Data'!$AN:$AN,"City or Village Highway Agency",'Full Crash Data'!$BG:$BG,"Yes"))))))</f>
        <v>0</v>
      </c>
      <c r="U21" s="272">
        <f t="shared" ref="U21" si="107">IFERROR(ROUND(T21/T$8,2),0)</f>
        <v>0</v>
      </c>
      <c r="V21" s="271">
        <f>IF($B$2="All",SUMIFS('Full Crash Data'!$U:$U,'Full Crash Data'!$C:$C,V$5,'Full Crash Data'!$BG:$BG,"Yes"),IF($B$2="State Highway Agency",SUMIFS('Full Crash Data'!$U:$U,'Full Crash Data'!$C:$C,V$5,'Full Crash Data'!$AN:$AN,"State Highway Agency",'Full Crash Data'!$BG:$BG,"Yes"),IF($B$2="County Highway Agency",SUMIFS('Full Crash Data'!$U:$U,'Full Crash Data'!$C:$C,V$5,'Full Crash Data'!$AN:$AN,"County Highway Agency",'Full Crash Data'!$BG:$BG,"Yes"),IF($B$2="Township Highway Agency",SUMIFS('Full Crash Data'!$U:$U,'Full Crash Data'!$C:$C,V$5,'Full Crash Data'!$AN:$AN,"Township Highway Agency",'Full Crash Data'!$BG:$BG,"Yes"),IF($B$2="City or Village Highway Agency",SUMIFS('Full Crash Data'!$U:$U,'Full Crash Data'!$C:$C,V$5,'Full Crash Data'!$AN:$AN,"City or Village Highway Agency",'Full Crash Data'!$BG:$BG,"Yes"))))))</f>
        <v>0</v>
      </c>
      <c r="W21" s="272">
        <f t="shared" ref="W21" si="108">IFERROR(ROUND(V21/V$8,2),0)</f>
        <v>0</v>
      </c>
      <c r="AE21" s="116">
        <v>21</v>
      </c>
    </row>
    <row r="22" spans="1:31" ht="22.5" customHeight="1" x14ac:dyDescent="0.2">
      <c r="A22" s="273" t="s">
        <v>6001</v>
      </c>
      <c r="B22" s="274">
        <f>IF($B$2="All",SUMIFS('Full Crash Data'!$U:$U,'Full Crash Data'!$C:$C,B$5,'Full Crash Data'!$BA:$BA,"Yes"),IF($B$2="State Highway Agency",SUMIFS('Full Crash Data'!$U:$U,'Full Crash Data'!$C:$C,B$5,'Full Crash Data'!$AN:$AN,"State Highway Agency",'Full Crash Data'!$BA:$BA,"Yes"),IF($B$2="County Highway Agency",SUMIFS('Full Crash Data'!$U:$U,'Full Crash Data'!$C:$C,B$5,'Full Crash Data'!$AN:$AN,"County Highway Agency",'Full Crash Data'!$BA:$BA,"Yes"),IF($B$2="Township Highway Agency",SUMIFS('Full Crash Data'!$U:$U,'Full Crash Data'!$C:$C,B$5,'Full Crash Data'!$AN:$AN,"Township Highway Agency",'Full Crash Data'!$BA:$BA,"Yes"),IF($B$2="City or Village Highway Agency",SUMIFS('Full Crash Data'!$U:$U,'Full Crash Data'!$C:$C,B$5,'Full Crash Data'!$AN:$AN,"City or Village Highway Agency",'Full Crash Data'!$BA:$BA,"Yes"))))))</f>
        <v>0</v>
      </c>
      <c r="C22" s="276">
        <f t="shared" si="0"/>
        <v>0</v>
      </c>
      <c r="D22" s="274">
        <f>IF($B$2="All",SUMIFS('Full Crash Data'!$U:$U,'Full Crash Data'!$C:$C,D$5,'Full Crash Data'!$BA:$BA,"Yes"),IF($B$2="State Highway Agency",SUMIFS('Full Crash Data'!$U:$U,'Full Crash Data'!$C:$C,D$5,'Full Crash Data'!$AN:$AN,"State Highway Agency",'Full Crash Data'!$BA:$BA,"Yes"),IF($B$2="County Highway Agency",SUMIFS('Full Crash Data'!$U:$U,'Full Crash Data'!$C:$C,D$5,'Full Crash Data'!$AN:$AN,"County Highway Agency",'Full Crash Data'!$BA:$BA,"Yes"),IF($B$2="Township Highway Agency",SUMIFS('Full Crash Data'!$U:$U,'Full Crash Data'!$C:$C,D$5,'Full Crash Data'!$AN:$AN,"Township Highway Agency",'Full Crash Data'!$BA:$BA,"Yes"),IF($B$2="City or Village Highway Agency",SUMIFS('Full Crash Data'!$U:$U,'Full Crash Data'!$C:$C,D$5,'Full Crash Data'!$AN:$AN,"City or Village Highway Agency",'Full Crash Data'!$BA:$BA,"Yes"))))))</f>
        <v>0</v>
      </c>
      <c r="E22" s="276">
        <f t="shared" si="0"/>
        <v>0</v>
      </c>
      <c r="F22" s="274">
        <f>IF($B$2="All",SUMIFS('Full Crash Data'!$U:$U,'Full Crash Data'!$C:$C,F$5,'Full Crash Data'!$BA:$BA,"Yes"),IF($B$2="State Highway Agency",SUMIFS('Full Crash Data'!$U:$U,'Full Crash Data'!$C:$C,F$5,'Full Crash Data'!$AN:$AN,"State Highway Agency",'Full Crash Data'!$BA:$BA,"Yes"),IF($B$2="County Highway Agency",SUMIFS('Full Crash Data'!$U:$U,'Full Crash Data'!$C:$C,F$5,'Full Crash Data'!$AN:$AN,"County Highway Agency",'Full Crash Data'!$BA:$BA,"Yes"),IF($B$2="Township Highway Agency",SUMIFS('Full Crash Data'!$U:$U,'Full Crash Data'!$C:$C,F$5,'Full Crash Data'!$AN:$AN,"Township Highway Agency",'Full Crash Data'!$BA:$BA,"Yes"),IF($B$2="City or Village Highway Agency",SUMIFS('Full Crash Data'!$U:$U,'Full Crash Data'!$C:$C,F$5,'Full Crash Data'!$AN:$AN,"City or Village Highway Agency",'Full Crash Data'!$BA:$BA,"Yes"))))))</f>
        <v>0</v>
      </c>
      <c r="G22" s="276">
        <f t="shared" ref="G22:G23" si="109">IFERROR(ROUND(F22/F$8,2),0)</f>
        <v>0</v>
      </c>
      <c r="H22" s="274">
        <f>IF($B$2="All",SUMIFS('Full Crash Data'!$U:$U,'Full Crash Data'!$C:$C,H$5,'Full Crash Data'!$BA:$BA,"Yes"),IF($B$2="State Highway Agency",SUMIFS('Full Crash Data'!$U:$U,'Full Crash Data'!$C:$C,H$5,'Full Crash Data'!$AN:$AN,"State Highway Agency",'Full Crash Data'!$BA:$BA,"Yes"),IF($B$2="County Highway Agency",SUMIFS('Full Crash Data'!$U:$U,'Full Crash Data'!$C:$C,H$5,'Full Crash Data'!$AN:$AN,"County Highway Agency",'Full Crash Data'!$BA:$BA,"Yes"),IF($B$2="Township Highway Agency",SUMIFS('Full Crash Data'!$U:$U,'Full Crash Data'!$C:$C,H$5,'Full Crash Data'!$AN:$AN,"Township Highway Agency",'Full Crash Data'!$BA:$BA,"Yes"),IF($B$2="City or Village Highway Agency",SUMIFS('Full Crash Data'!$U:$U,'Full Crash Data'!$C:$C,H$5,'Full Crash Data'!$AN:$AN,"City or Village Highway Agency",'Full Crash Data'!$BA:$BA,"Yes"))))))</f>
        <v>0</v>
      </c>
      <c r="I22" s="276">
        <f t="shared" ref="I22:I23" si="110">IFERROR(ROUND(H22/H$8,2),0)</f>
        <v>0</v>
      </c>
      <c r="J22" s="274">
        <f>IF($B$2="All",SUMIFS('Full Crash Data'!$U:$U,'Full Crash Data'!$C:$C,J$5,'Full Crash Data'!$BA:$BA,"Yes"),IF($B$2="State Highway Agency",SUMIFS('Full Crash Data'!$U:$U,'Full Crash Data'!$C:$C,J$5,'Full Crash Data'!$AN:$AN,"State Highway Agency",'Full Crash Data'!$BA:$BA,"Yes"),IF($B$2="County Highway Agency",SUMIFS('Full Crash Data'!$U:$U,'Full Crash Data'!$C:$C,J$5,'Full Crash Data'!$AN:$AN,"County Highway Agency",'Full Crash Data'!$BA:$BA,"Yes"),IF($B$2="Township Highway Agency",SUMIFS('Full Crash Data'!$U:$U,'Full Crash Data'!$C:$C,J$5,'Full Crash Data'!$AN:$AN,"Township Highway Agency",'Full Crash Data'!$BA:$BA,"Yes"),IF($B$2="City or Village Highway Agency",SUMIFS('Full Crash Data'!$U:$U,'Full Crash Data'!$C:$C,J$5,'Full Crash Data'!$AN:$AN,"City or Village Highway Agency",'Full Crash Data'!$BA:$BA,"Yes"))))))</f>
        <v>0</v>
      </c>
      <c r="K22" s="276">
        <f t="shared" ref="K22:K23" si="111">IFERROR(ROUND(J22/J$8,2),0)</f>
        <v>0</v>
      </c>
      <c r="L22" s="274">
        <f>IF($B$2="All",SUMIFS('Full Crash Data'!$U:$U,'Full Crash Data'!$C:$C,L$5,'Full Crash Data'!$BA:$BA,"Yes"),IF($B$2="State Highway Agency",SUMIFS('Full Crash Data'!$U:$U,'Full Crash Data'!$C:$C,L$5,'Full Crash Data'!$AN:$AN,"State Highway Agency",'Full Crash Data'!$BA:$BA,"Yes"),IF($B$2="County Highway Agency",SUMIFS('Full Crash Data'!$U:$U,'Full Crash Data'!$C:$C,L$5,'Full Crash Data'!$AN:$AN,"County Highway Agency",'Full Crash Data'!$BA:$BA,"Yes"),IF($B$2="Township Highway Agency",SUMIFS('Full Crash Data'!$U:$U,'Full Crash Data'!$C:$C,L$5,'Full Crash Data'!$AN:$AN,"Township Highway Agency",'Full Crash Data'!$BA:$BA,"Yes"),IF($B$2="City or Village Highway Agency",SUMIFS('Full Crash Data'!$U:$U,'Full Crash Data'!$C:$C,L$5,'Full Crash Data'!$AN:$AN,"City or Village Highway Agency",'Full Crash Data'!$BA:$BA,"Yes"))))))</f>
        <v>0</v>
      </c>
      <c r="M22" s="276">
        <f t="shared" ref="M22:M23" si="112">IFERROR(ROUND(L22/L$8,2),0)</f>
        <v>0</v>
      </c>
      <c r="N22" s="274">
        <f>IF($B$2="All",SUMIFS('Full Crash Data'!$U:$U,'Full Crash Data'!$C:$C,N$5,'Full Crash Data'!$BA:$BA,"Yes"),IF($B$2="State Highway Agency",SUMIFS('Full Crash Data'!$U:$U,'Full Crash Data'!$C:$C,N$5,'Full Crash Data'!$AN:$AN,"State Highway Agency",'Full Crash Data'!$BA:$BA,"Yes"),IF($B$2="County Highway Agency",SUMIFS('Full Crash Data'!$U:$U,'Full Crash Data'!$C:$C,N$5,'Full Crash Data'!$AN:$AN,"County Highway Agency",'Full Crash Data'!$BA:$BA,"Yes"),IF($B$2="Township Highway Agency",SUMIFS('Full Crash Data'!$U:$U,'Full Crash Data'!$C:$C,N$5,'Full Crash Data'!$AN:$AN,"Township Highway Agency",'Full Crash Data'!$BA:$BA,"Yes"),IF($B$2="City or Village Highway Agency",SUMIFS('Full Crash Data'!$U:$U,'Full Crash Data'!$C:$C,N$5,'Full Crash Data'!$AN:$AN,"City or Village Highway Agency",'Full Crash Data'!$BA:$BA,"Yes"))))))</f>
        <v>0</v>
      </c>
      <c r="O22" s="276">
        <f t="shared" ref="O22:O23" si="113">IFERROR(ROUND(N22/N$8,2),0)</f>
        <v>0</v>
      </c>
      <c r="P22" s="274">
        <f>IF($B$2="All",SUMIFS('Full Crash Data'!$U:$U,'Full Crash Data'!$C:$C,P$5,'Full Crash Data'!$BA:$BA,"Yes"),IF($B$2="State Highway Agency",SUMIFS('Full Crash Data'!$U:$U,'Full Crash Data'!$C:$C,P$5,'Full Crash Data'!$AN:$AN,"State Highway Agency",'Full Crash Data'!$BA:$BA,"Yes"),IF($B$2="County Highway Agency",SUMIFS('Full Crash Data'!$U:$U,'Full Crash Data'!$C:$C,P$5,'Full Crash Data'!$AN:$AN,"County Highway Agency",'Full Crash Data'!$BA:$BA,"Yes"),IF($B$2="Township Highway Agency",SUMIFS('Full Crash Data'!$U:$U,'Full Crash Data'!$C:$C,P$5,'Full Crash Data'!$AN:$AN,"Township Highway Agency",'Full Crash Data'!$BA:$BA,"Yes"),IF($B$2="City or Village Highway Agency",SUMIFS('Full Crash Data'!$U:$U,'Full Crash Data'!$C:$C,P$5,'Full Crash Data'!$AN:$AN,"City or Village Highway Agency",'Full Crash Data'!$BA:$BA,"Yes"))))))</f>
        <v>0</v>
      </c>
      <c r="Q22" s="276">
        <f t="shared" ref="Q22:Q23" si="114">IFERROR(ROUND(P22/P$8,2),0)</f>
        <v>0</v>
      </c>
      <c r="R22" s="274">
        <f>IF($B$2="All",SUMIFS('Full Crash Data'!$U:$U,'Full Crash Data'!$C:$C,R$5,'Full Crash Data'!$BA:$BA,"Yes"),IF($B$2="State Highway Agency",SUMIFS('Full Crash Data'!$U:$U,'Full Crash Data'!$C:$C,R$5,'Full Crash Data'!$AN:$AN,"State Highway Agency",'Full Crash Data'!$BA:$BA,"Yes"),IF($B$2="County Highway Agency",SUMIFS('Full Crash Data'!$U:$U,'Full Crash Data'!$C:$C,R$5,'Full Crash Data'!$AN:$AN,"County Highway Agency",'Full Crash Data'!$BA:$BA,"Yes"),IF($B$2="Township Highway Agency",SUMIFS('Full Crash Data'!$U:$U,'Full Crash Data'!$C:$C,R$5,'Full Crash Data'!$AN:$AN,"Township Highway Agency",'Full Crash Data'!$BA:$BA,"Yes"),IF($B$2="City or Village Highway Agency",SUMIFS('Full Crash Data'!$U:$U,'Full Crash Data'!$C:$C,R$5,'Full Crash Data'!$AN:$AN,"City or Village Highway Agency",'Full Crash Data'!$BA:$BA,"Yes"))))))</f>
        <v>0</v>
      </c>
      <c r="S22" s="276">
        <f t="shared" ref="S22:S23" si="115">IFERROR(ROUND(R22/R$8,2),0)</f>
        <v>0</v>
      </c>
      <c r="T22" s="274">
        <f>IF($B$2="All",SUMIFS('Full Crash Data'!$U:$U,'Full Crash Data'!$C:$C,T$5,'Full Crash Data'!$BA:$BA,"Yes"),IF($B$2="State Highway Agency",SUMIFS('Full Crash Data'!$U:$U,'Full Crash Data'!$C:$C,T$5,'Full Crash Data'!$AN:$AN,"State Highway Agency",'Full Crash Data'!$BA:$BA,"Yes"),IF($B$2="County Highway Agency",SUMIFS('Full Crash Data'!$U:$U,'Full Crash Data'!$C:$C,T$5,'Full Crash Data'!$AN:$AN,"County Highway Agency",'Full Crash Data'!$BA:$BA,"Yes"),IF($B$2="Township Highway Agency",SUMIFS('Full Crash Data'!$U:$U,'Full Crash Data'!$C:$C,T$5,'Full Crash Data'!$AN:$AN,"Township Highway Agency",'Full Crash Data'!$BA:$BA,"Yes"),IF($B$2="City or Village Highway Agency",SUMIFS('Full Crash Data'!$U:$U,'Full Crash Data'!$C:$C,T$5,'Full Crash Data'!$AN:$AN,"City or Village Highway Agency",'Full Crash Data'!$BA:$BA,"Yes"))))))</f>
        <v>0</v>
      </c>
      <c r="U22" s="276">
        <f t="shared" ref="U22:U23" si="116">IFERROR(ROUND(T22/T$8,2),0)</f>
        <v>0</v>
      </c>
      <c r="V22" s="274">
        <f>IF($B$2="All",SUMIFS('Full Crash Data'!$U:$U,'Full Crash Data'!$C:$C,V$5,'Full Crash Data'!$BA:$BA,"Yes"),IF($B$2="State Highway Agency",SUMIFS('Full Crash Data'!$U:$U,'Full Crash Data'!$C:$C,V$5,'Full Crash Data'!$AN:$AN,"State Highway Agency",'Full Crash Data'!$BA:$BA,"Yes"),IF($B$2="County Highway Agency",SUMIFS('Full Crash Data'!$U:$U,'Full Crash Data'!$C:$C,V$5,'Full Crash Data'!$AN:$AN,"County Highway Agency",'Full Crash Data'!$BA:$BA,"Yes"),IF($B$2="Township Highway Agency",SUMIFS('Full Crash Data'!$U:$U,'Full Crash Data'!$C:$C,V$5,'Full Crash Data'!$AN:$AN,"Township Highway Agency",'Full Crash Data'!$BA:$BA,"Yes"),IF($B$2="City or Village Highway Agency",SUMIFS('Full Crash Data'!$U:$U,'Full Crash Data'!$C:$C,V$5,'Full Crash Data'!$AN:$AN,"City or Village Highway Agency",'Full Crash Data'!$BA:$BA,"Yes"))))))</f>
        <v>0</v>
      </c>
      <c r="W22" s="276">
        <f t="shared" ref="W22:W23" si="117">IFERROR(ROUND(V22/V$8,2),0)</f>
        <v>0</v>
      </c>
      <c r="AE22" s="116">
        <v>22</v>
      </c>
    </row>
    <row r="23" spans="1:31" ht="22.5" customHeight="1" x14ac:dyDescent="0.2">
      <c r="A23" s="273" t="s">
        <v>6409</v>
      </c>
      <c r="B23" s="274">
        <f>IF($B$2="All",SUMIFS('Full Crash Data'!$U:$U,'Full Crash Data'!$C:$C,B$5,'Full Crash Data'!$AZ:$AZ,"Yes"),IF($B$2="State Highway Agency",SUMIFS('Full Crash Data'!$U:$U,'Full Crash Data'!$C:$C,B$5,'Full Crash Data'!$AN:$AN,"State Highway Agency",'Full Crash Data'!$AZ:$AZ,"Yes"),IF($B$2="County Highway Agency",SUMIFS('Full Crash Data'!$U:$U,'Full Crash Data'!$C:$C,B$5,'Full Crash Data'!$AN:$AN,"County Highway Agency",'Full Crash Data'!$AZ:$AZ,"Yes"),IF($B$2="Township Highway Agency",SUMIFS('Full Crash Data'!$U:$U,'Full Crash Data'!$C:$C,B$5,'Full Crash Data'!$AN:$AN,"Township Highway Agency",'Full Crash Data'!$AZ:$AZ,"Yes"),IF($B$2="City or Village Highway Agency",SUMIFS('Full Crash Data'!$U:$U,'Full Crash Data'!$C:$C,B$5,'Full Crash Data'!$AN:$AN,"City or Village Highway Agency",'Full Crash Data'!$AZ:$AZ,"Yes"))))))</f>
        <v>0</v>
      </c>
      <c r="C23" s="276">
        <f t="shared" si="0"/>
        <v>0</v>
      </c>
      <c r="D23" s="274">
        <f>IF($B$2="All",SUMIFS('Full Crash Data'!$U:$U,'Full Crash Data'!$C:$C,D$5,'Full Crash Data'!$AZ:$AZ,"Yes"),IF($B$2="State Highway Agency",SUMIFS('Full Crash Data'!$U:$U,'Full Crash Data'!$C:$C,D$5,'Full Crash Data'!$AN:$AN,"State Highway Agency",'Full Crash Data'!$AZ:$AZ,"Yes"),IF($B$2="County Highway Agency",SUMIFS('Full Crash Data'!$U:$U,'Full Crash Data'!$C:$C,D$5,'Full Crash Data'!$AN:$AN,"County Highway Agency",'Full Crash Data'!$AZ:$AZ,"Yes"),IF($B$2="Township Highway Agency",SUMIFS('Full Crash Data'!$U:$U,'Full Crash Data'!$C:$C,D$5,'Full Crash Data'!$AN:$AN,"Township Highway Agency",'Full Crash Data'!$AZ:$AZ,"Yes"),IF($B$2="City or Village Highway Agency",SUMIFS('Full Crash Data'!$U:$U,'Full Crash Data'!$C:$C,D$5,'Full Crash Data'!$AN:$AN,"City or Village Highway Agency",'Full Crash Data'!$AZ:$AZ,"Yes"))))))</f>
        <v>0</v>
      </c>
      <c r="E23" s="276">
        <f t="shared" si="0"/>
        <v>0</v>
      </c>
      <c r="F23" s="274">
        <f>IF($B$2="All",SUMIFS('Full Crash Data'!$U:$U,'Full Crash Data'!$C:$C,F$5,'Full Crash Data'!$AZ:$AZ,"Yes"),IF($B$2="State Highway Agency",SUMIFS('Full Crash Data'!$U:$U,'Full Crash Data'!$C:$C,F$5,'Full Crash Data'!$AN:$AN,"State Highway Agency",'Full Crash Data'!$AZ:$AZ,"Yes"),IF($B$2="County Highway Agency",SUMIFS('Full Crash Data'!$U:$U,'Full Crash Data'!$C:$C,F$5,'Full Crash Data'!$AN:$AN,"County Highway Agency",'Full Crash Data'!$AZ:$AZ,"Yes"),IF($B$2="Township Highway Agency",SUMIFS('Full Crash Data'!$U:$U,'Full Crash Data'!$C:$C,F$5,'Full Crash Data'!$AN:$AN,"Township Highway Agency",'Full Crash Data'!$AZ:$AZ,"Yes"),IF($B$2="City or Village Highway Agency",SUMIFS('Full Crash Data'!$U:$U,'Full Crash Data'!$C:$C,F$5,'Full Crash Data'!$AN:$AN,"City or Village Highway Agency",'Full Crash Data'!$AZ:$AZ,"Yes"))))))</f>
        <v>0</v>
      </c>
      <c r="G23" s="276">
        <f t="shared" si="109"/>
        <v>0</v>
      </c>
      <c r="H23" s="274">
        <f>IF($B$2="All",SUMIFS('Full Crash Data'!$U:$U,'Full Crash Data'!$C:$C,H$5,'Full Crash Data'!$AZ:$AZ,"Yes"),IF($B$2="State Highway Agency",SUMIFS('Full Crash Data'!$U:$U,'Full Crash Data'!$C:$C,H$5,'Full Crash Data'!$AN:$AN,"State Highway Agency",'Full Crash Data'!$AZ:$AZ,"Yes"),IF($B$2="County Highway Agency",SUMIFS('Full Crash Data'!$U:$U,'Full Crash Data'!$C:$C,H$5,'Full Crash Data'!$AN:$AN,"County Highway Agency",'Full Crash Data'!$AZ:$AZ,"Yes"),IF($B$2="Township Highway Agency",SUMIFS('Full Crash Data'!$U:$U,'Full Crash Data'!$C:$C,H$5,'Full Crash Data'!$AN:$AN,"Township Highway Agency",'Full Crash Data'!$AZ:$AZ,"Yes"),IF($B$2="City or Village Highway Agency",SUMIFS('Full Crash Data'!$U:$U,'Full Crash Data'!$C:$C,H$5,'Full Crash Data'!$AN:$AN,"City or Village Highway Agency",'Full Crash Data'!$AZ:$AZ,"Yes"))))))</f>
        <v>0</v>
      </c>
      <c r="I23" s="276">
        <f t="shared" si="110"/>
        <v>0</v>
      </c>
      <c r="J23" s="274">
        <f>IF($B$2="All",SUMIFS('Full Crash Data'!$U:$U,'Full Crash Data'!$C:$C,J$5,'Full Crash Data'!$AZ:$AZ,"Yes"),IF($B$2="State Highway Agency",SUMIFS('Full Crash Data'!$U:$U,'Full Crash Data'!$C:$C,J$5,'Full Crash Data'!$AN:$AN,"State Highway Agency",'Full Crash Data'!$AZ:$AZ,"Yes"),IF($B$2="County Highway Agency",SUMIFS('Full Crash Data'!$U:$U,'Full Crash Data'!$C:$C,J$5,'Full Crash Data'!$AN:$AN,"County Highway Agency",'Full Crash Data'!$AZ:$AZ,"Yes"),IF($B$2="Township Highway Agency",SUMIFS('Full Crash Data'!$U:$U,'Full Crash Data'!$C:$C,J$5,'Full Crash Data'!$AN:$AN,"Township Highway Agency",'Full Crash Data'!$AZ:$AZ,"Yes"),IF($B$2="City or Village Highway Agency",SUMIFS('Full Crash Data'!$U:$U,'Full Crash Data'!$C:$C,J$5,'Full Crash Data'!$AN:$AN,"City or Village Highway Agency",'Full Crash Data'!$AZ:$AZ,"Yes"))))))</f>
        <v>0</v>
      </c>
      <c r="K23" s="276">
        <f t="shared" si="111"/>
        <v>0</v>
      </c>
      <c r="L23" s="274">
        <f>IF($B$2="All",SUMIFS('Full Crash Data'!$U:$U,'Full Crash Data'!$C:$C,L$5,'Full Crash Data'!$AZ:$AZ,"Yes"),IF($B$2="State Highway Agency",SUMIFS('Full Crash Data'!$U:$U,'Full Crash Data'!$C:$C,L$5,'Full Crash Data'!$AN:$AN,"State Highway Agency",'Full Crash Data'!$AZ:$AZ,"Yes"),IF($B$2="County Highway Agency",SUMIFS('Full Crash Data'!$U:$U,'Full Crash Data'!$C:$C,L$5,'Full Crash Data'!$AN:$AN,"County Highway Agency",'Full Crash Data'!$AZ:$AZ,"Yes"),IF($B$2="Township Highway Agency",SUMIFS('Full Crash Data'!$U:$U,'Full Crash Data'!$C:$C,L$5,'Full Crash Data'!$AN:$AN,"Township Highway Agency",'Full Crash Data'!$AZ:$AZ,"Yes"),IF($B$2="City or Village Highway Agency",SUMIFS('Full Crash Data'!$U:$U,'Full Crash Data'!$C:$C,L$5,'Full Crash Data'!$AN:$AN,"City or Village Highway Agency",'Full Crash Data'!$AZ:$AZ,"Yes"))))))</f>
        <v>0</v>
      </c>
      <c r="M23" s="276">
        <f t="shared" si="112"/>
        <v>0</v>
      </c>
      <c r="N23" s="274">
        <f>IF($B$2="All",SUMIFS('Full Crash Data'!$U:$U,'Full Crash Data'!$C:$C,N$5,'Full Crash Data'!$AZ:$AZ,"Yes"),IF($B$2="State Highway Agency",SUMIFS('Full Crash Data'!$U:$U,'Full Crash Data'!$C:$C,N$5,'Full Crash Data'!$AN:$AN,"State Highway Agency",'Full Crash Data'!$AZ:$AZ,"Yes"),IF($B$2="County Highway Agency",SUMIFS('Full Crash Data'!$U:$U,'Full Crash Data'!$C:$C,N$5,'Full Crash Data'!$AN:$AN,"County Highway Agency",'Full Crash Data'!$AZ:$AZ,"Yes"),IF($B$2="Township Highway Agency",SUMIFS('Full Crash Data'!$U:$U,'Full Crash Data'!$C:$C,N$5,'Full Crash Data'!$AN:$AN,"Township Highway Agency",'Full Crash Data'!$AZ:$AZ,"Yes"),IF($B$2="City or Village Highway Agency",SUMIFS('Full Crash Data'!$U:$U,'Full Crash Data'!$C:$C,N$5,'Full Crash Data'!$AN:$AN,"City or Village Highway Agency",'Full Crash Data'!$AZ:$AZ,"Yes"))))))</f>
        <v>0</v>
      </c>
      <c r="O23" s="276">
        <f t="shared" si="113"/>
        <v>0</v>
      </c>
      <c r="P23" s="274">
        <f>IF($B$2="All",SUMIFS('Full Crash Data'!$U:$U,'Full Crash Data'!$C:$C,P$5,'Full Crash Data'!$AZ:$AZ,"Yes"),IF($B$2="State Highway Agency",SUMIFS('Full Crash Data'!$U:$U,'Full Crash Data'!$C:$C,P$5,'Full Crash Data'!$AN:$AN,"State Highway Agency",'Full Crash Data'!$AZ:$AZ,"Yes"),IF($B$2="County Highway Agency",SUMIFS('Full Crash Data'!$U:$U,'Full Crash Data'!$C:$C,P$5,'Full Crash Data'!$AN:$AN,"County Highway Agency",'Full Crash Data'!$AZ:$AZ,"Yes"),IF($B$2="Township Highway Agency",SUMIFS('Full Crash Data'!$U:$U,'Full Crash Data'!$C:$C,P$5,'Full Crash Data'!$AN:$AN,"Township Highway Agency",'Full Crash Data'!$AZ:$AZ,"Yes"),IF($B$2="City or Village Highway Agency",SUMIFS('Full Crash Data'!$U:$U,'Full Crash Data'!$C:$C,P$5,'Full Crash Data'!$AN:$AN,"City or Village Highway Agency",'Full Crash Data'!$AZ:$AZ,"Yes"))))))</f>
        <v>0</v>
      </c>
      <c r="Q23" s="276">
        <f t="shared" si="114"/>
        <v>0</v>
      </c>
      <c r="R23" s="274">
        <f>IF($B$2="All",SUMIFS('Full Crash Data'!$U:$U,'Full Crash Data'!$C:$C,R$5,'Full Crash Data'!$AZ:$AZ,"Yes"),IF($B$2="State Highway Agency",SUMIFS('Full Crash Data'!$U:$U,'Full Crash Data'!$C:$C,R$5,'Full Crash Data'!$AN:$AN,"State Highway Agency",'Full Crash Data'!$AZ:$AZ,"Yes"),IF($B$2="County Highway Agency",SUMIFS('Full Crash Data'!$U:$U,'Full Crash Data'!$C:$C,R$5,'Full Crash Data'!$AN:$AN,"County Highway Agency",'Full Crash Data'!$AZ:$AZ,"Yes"),IF($B$2="Township Highway Agency",SUMIFS('Full Crash Data'!$U:$U,'Full Crash Data'!$C:$C,R$5,'Full Crash Data'!$AN:$AN,"Township Highway Agency",'Full Crash Data'!$AZ:$AZ,"Yes"),IF($B$2="City or Village Highway Agency",SUMIFS('Full Crash Data'!$U:$U,'Full Crash Data'!$C:$C,R$5,'Full Crash Data'!$AN:$AN,"City or Village Highway Agency",'Full Crash Data'!$AZ:$AZ,"Yes"))))))</f>
        <v>0</v>
      </c>
      <c r="S23" s="276">
        <f t="shared" si="115"/>
        <v>0</v>
      </c>
      <c r="T23" s="274">
        <f>IF($B$2="All",SUMIFS('Full Crash Data'!$U:$U,'Full Crash Data'!$C:$C,T$5,'Full Crash Data'!$AZ:$AZ,"Yes"),IF($B$2="State Highway Agency",SUMIFS('Full Crash Data'!$U:$U,'Full Crash Data'!$C:$C,T$5,'Full Crash Data'!$AN:$AN,"State Highway Agency",'Full Crash Data'!$AZ:$AZ,"Yes"),IF($B$2="County Highway Agency",SUMIFS('Full Crash Data'!$U:$U,'Full Crash Data'!$C:$C,T$5,'Full Crash Data'!$AN:$AN,"County Highway Agency",'Full Crash Data'!$AZ:$AZ,"Yes"),IF($B$2="Township Highway Agency",SUMIFS('Full Crash Data'!$U:$U,'Full Crash Data'!$C:$C,T$5,'Full Crash Data'!$AN:$AN,"Township Highway Agency",'Full Crash Data'!$AZ:$AZ,"Yes"),IF($B$2="City or Village Highway Agency",SUMIFS('Full Crash Data'!$U:$U,'Full Crash Data'!$C:$C,T$5,'Full Crash Data'!$AN:$AN,"City or Village Highway Agency",'Full Crash Data'!$AZ:$AZ,"Yes"))))))</f>
        <v>0</v>
      </c>
      <c r="U23" s="276">
        <f t="shared" si="116"/>
        <v>0</v>
      </c>
      <c r="V23" s="274">
        <f>IF($B$2="All",SUMIFS('Full Crash Data'!$U:$U,'Full Crash Data'!$C:$C,V$5,'Full Crash Data'!$AZ:$AZ,"Yes"),IF($B$2="State Highway Agency",SUMIFS('Full Crash Data'!$U:$U,'Full Crash Data'!$C:$C,V$5,'Full Crash Data'!$AN:$AN,"State Highway Agency",'Full Crash Data'!$AZ:$AZ,"Yes"),IF($B$2="County Highway Agency",SUMIFS('Full Crash Data'!$U:$U,'Full Crash Data'!$C:$C,V$5,'Full Crash Data'!$AN:$AN,"County Highway Agency",'Full Crash Data'!$AZ:$AZ,"Yes"),IF($B$2="Township Highway Agency",SUMIFS('Full Crash Data'!$U:$U,'Full Crash Data'!$C:$C,V$5,'Full Crash Data'!$AN:$AN,"Township Highway Agency",'Full Crash Data'!$AZ:$AZ,"Yes"),IF($B$2="City or Village Highway Agency",SUMIFS('Full Crash Data'!$U:$U,'Full Crash Data'!$C:$C,V$5,'Full Crash Data'!$AN:$AN,"City or Village Highway Agency",'Full Crash Data'!$AZ:$AZ,"Yes"))))))</f>
        <v>0</v>
      </c>
      <c r="W23" s="276">
        <f t="shared" si="117"/>
        <v>0</v>
      </c>
    </row>
    <row r="24" spans="1:31" ht="22.5" customHeight="1" thickBot="1" x14ac:dyDescent="0.25">
      <c r="A24" s="277" t="s">
        <v>390</v>
      </c>
      <c r="B24" s="278">
        <f>IF($B$2="All",SUMIFS('Full Crash Data'!$U:$U,'Full Crash Data'!$C:$C,B$5,'Full Crash Data'!$G:$G,"Rear End"),IF($B$2="State Highway Agency",SUMIFS('Full Crash Data'!$U:$U,'Full Crash Data'!$C:$C,B$5,'Full Crash Data'!$AN:$AN,"State Highway Agency",'Full Crash Data'!$G:$G,"Rear End"),IF($B$2="County Highway Agency",SUMIFS('Full Crash Data'!$U:$U,'Full Crash Data'!$C:$C,B$5,'Full Crash Data'!$AN:$AN,"County Highway Agency",'Full Crash Data'!$G:$G,"Rear End"),IF($B$2="Township Highway Agency",SUMIFS('Full Crash Data'!$U:$U,'Full Crash Data'!$C:$C,B$5,'Full Crash Data'!$AN:$AN,"Township Highway Agency",'Full Crash Data'!$G:$G,"Rear End"),IF($B$2="City or Village Highway Agency",SUMIFS('Full Crash Data'!$U:$U,'Full Crash Data'!$C:$C,B$5,'Full Crash Data'!$AN:$AN,"City or Village Highway Agency",'Full Crash Data'!$G:$G,"Rear End"))))))</f>
        <v>0</v>
      </c>
      <c r="C24" s="279">
        <f t="shared" si="0"/>
        <v>0</v>
      </c>
      <c r="D24" s="278">
        <f>IF($B$2="All",SUMIFS('Full Crash Data'!$U:$U,'Full Crash Data'!$C:$C,D$5,'Full Crash Data'!$G:$G,"Rear End"),IF($B$2="State Highway Agency",SUMIFS('Full Crash Data'!$U:$U,'Full Crash Data'!$C:$C,D$5,'Full Crash Data'!$AN:$AN,"State Highway Agency",'Full Crash Data'!$G:$G,"Rear End"),IF($B$2="County Highway Agency",SUMIFS('Full Crash Data'!$U:$U,'Full Crash Data'!$C:$C,D$5,'Full Crash Data'!$AN:$AN,"County Highway Agency",'Full Crash Data'!$G:$G,"Rear End"),IF($B$2="Township Highway Agency",SUMIFS('Full Crash Data'!$U:$U,'Full Crash Data'!$C:$C,D$5,'Full Crash Data'!$AN:$AN,"Township Highway Agency",'Full Crash Data'!$G:$G,"Rear End"),IF($B$2="City or Village Highway Agency",SUMIFS('Full Crash Data'!$U:$U,'Full Crash Data'!$C:$C,D$5,'Full Crash Data'!$AN:$AN,"City or Village Highway Agency",'Full Crash Data'!$G:$G,"Rear End"))))))</f>
        <v>0</v>
      </c>
      <c r="E24" s="279">
        <f t="shared" si="0"/>
        <v>0</v>
      </c>
      <c r="F24" s="278">
        <f>IF($B$2="All",SUMIFS('Full Crash Data'!$U:$U,'Full Crash Data'!$C:$C,F$5,'Full Crash Data'!$G:$G,"Rear End"),IF($B$2="State Highway Agency",SUMIFS('Full Crash Data'!$U:$U,'Full Crash Data'!$C:$C,F$5,'Full Crash Data'!$AN:$AN,"State Highway Agency",'Full Crash Data'!$G:$G,"Rear End"),IF($B$2="County Highway Agency",SUMIFS('Full Crash Data'!$U:$U,'Full Crash Data'!$C:$C,F$5,'Full Crash Data'!$AN:$AN,"County Highway Agency",'Full Crash Data'!$G:$G,"Rear End"),IF($B$2="Township Highway Agency",SUMIFS('Full Crash Data'!$U:$U,'Full Crash Data'!$C:$C,F$5,'Full Crash Data'!$AN:$AN,"Township Highway Agency",'Full Crash Data'!$G:$G,"Rear End"),IF($B$2="City or Village Highway Agency",SUMIFS('Full Crash Data'!$U:$U,'Full Crash Data'!$C:$C,F$5,'Full Crash Data'!$AN:$AN,"City or Village Highway Agency",'Full Crash Data'!$G:$G,"Rear End"))))))</f>
        <v>0</v>
      </c>
      <c r="G24" s="279">
        <f t="shared" ref="G24" si="118">IFERROR(ROUND(F24/F$8,2),0)</f>
        <v>0</v>
      </c>
      <c r="H24" s="278">
        <f>IF($B$2="All",SUMIFS('Full Crash Data'!$U:$U,'Full Crash Data'!$C:$C,H$5,'Full Crash Data'!$G:$G,"Rear End"),IF($B$2="State Highway Agency",SUMIFS('Full Crash Data'!$U:$U,'Full Crash Data'!$C:$C,H$5,'Full Crash Data'!$AN:$AN,"State Highway Agency",'Full Crash Data'!$G:$G,"Rear End"),IF($B$2="County Highway Agency",SUMIFS('Full Crash Data'!$U:$U,'Full Crash Data'!$C:$C,H$5,'Full Crash Data'!$AN:$AN,"County Highway Agency",'Full Crash Data'!$G:$G,"Rear End"),IF($B$2="Township Highway Agency",SUMIFS('Full Crash Data'!$U:$U,'Full Crash Data'!$C:$C,H$5,'Full Crash Data'!$AN:$AN,"Township Highway Agency",'Full Crash Data'!$G:$G,"Rear End"),IF($B$2="City or Village Highway Agency",SUMIFS('Full Crash Data'!$U:$U,'Full Crash Data'!$C:$C,H$5,'Full Crash Data'!$AN:$AN,"City or Village Highway Agency",'Full Crash Data'!$G:$G,"Rear End"))))))</f>
        <v>0</v>
      </c>
      <c r="I24" s="279">
        <f t="shared" ref="I24" si="119">IFERROR(ROUND(H24/H$8,2),0)</f>
        <v>0</v>
      </c>
      <c r="J24" s="278">
        <f>IF($B$2="All",SUMIFS('Full Crash Data'!$U:$U,'Full Crash Data'!$C:$C,J$5,'Full Crash Data'!$G:$G,"Rear End"),IF($B$2="State Highway Agency",SUMIFS('Full Crash Data'!$U:$U,'Full Crash Data'!$C:$C,J$5,'Full Crash Data'!$AN:$AN,"State Highway Agency",'Full Crash Data'!$G:$G,"Rear End"),IF($B$2="County Highway Agency",SUMIFS('Full Crash Data'!$U:$U,'Full Crash Data'!$C:$C,J$5,'Full Crash Data'!$AN:$AN,"County Highway Agency",'Full Crash Data'!$G:$G,"Rear End"),IF($B$2="Township Highway Agency",SUMIFS('Full Crash Data'!$U:$U,'Full Crash Data'!$C:$C,J$5,'Full Crash Data'!$AN:$AN,"Township Highway Agency",'Full Crash Data'!$G:$G,"Rear End"),IF($B$2="City or Village Highway Agency",SUMIFS('Full Crash Data'!$U:$U,'Full Crash Data'!$C:$C,J$5,'Full Crash Data'!$AN:$AN,"City or Village Highway Agency",'Full Crash Data'!$G:$G,"Rear End"))))))</f>
        <v>0</v>
      </c>
      <c r="K24" s="279">
        <f t="shared" ref="K24" si="120">IFERROR(ROUND(J24/J$8,2),0)</f>
        <v>0</v>
      </c>
      <c r="L24" s="278">
        <f>IF($B$2="All",SUMIFS('Full Crash Data'!$U:$U,'Full Crash Data'!$C:$C,L$5,'Full Crash Data'!$G:$G,"Rear End"),IF($B$2="State Highway Agency",SUMIFS('Full Crash Data'!$U:$U,'Full Crash Data'!$C:$C,L$5,'Full Crash Data'!$AN:$AN,"State Highway Agency",'Full Crash Data'!$G:$G,"Rear End"),IF($B$2="County Highway Agency",SUMIFS('Full Crash Data'!$U:$U,'Full Crash Data'!$C:$C,L$5,'Full Crash Data'!$AN:$AN,"County Highway Agency",'Full Crash Data'!$G:$G,"Rear End"),IF($B$2="Township Highway Agency",SUMIFS('Full Crash Data'!$U:$U,'Full Crash Data'!$C:$C,L$5,'Full Crash Data'!$AN:$AN,"Township Highway Agency",'Full Crash Data'!$G:$G,"Rear End"),IF($B$2="City or Village Highway Agency",SUMIFS('Full Crash Data'!$U:$U,'Full Crash Data'!$C:$C,L$5,'Full Crash Data'!$AN:$AN,"City or Village Highway Agency",'Full Crash Data'!$G:$G,"Rear End"))))))</f>
        <v>0</v>
      </c>
      <c r="M24" s="279">
        <f t="shared" ref="M24" si="121">IFERROR(ROUND(L24/L$8,2),0)</f>
        <v>0</v>
      </c>
      <c r="N24" s="278">
        <f>IF($B$2="All",SUMIFS('Full Crash Data'!$U:$U,'Full Crash Data'!$C:$C,N$5,'Full Crash Data'!$G:$G,"Rear End"),IF($B$2="State Highway Agency",SUMIFS('Full Crash Data'!$U:$U,'Full Crash Data'!$C:$C,N$5,'Full Crash Data'!$AN:$AN,"State Highway Agency",'Full Crash Data'!$G:$G,"Rear End"),IF($B$2="County Highway Agency",SUMIFS('Full Crash Data'!$U:$U,'Full Crash Data'!$C:$C,N$5,'Full Crash Data'!$AN:$AN,"County Highway Agency",'Full Crash Data'!$G:$G,"Rear End"),IF($B$2="Township Highway Agency",SUMIFS('Full Crash Data'!$U:$U,'Full Crash Data'!$C:$C,N$5,'Full Crash Data'!$AN:$AN,"Township Highway Agency",'Full Crash Data'!$G:$G,"Rear End"),IF($B$2="City or Village Highway Agency",SUMIFS('Full Crash Data'!$U:$U,'Full Crash Data'!$C:$C,N$5,'Full Crash Data'!$AN:$AN,"City or Village Highway Agency",'Full Crash Data'!$G:$G,"Rear End"))))))</f>
        <v>0</v>
      </c>
      <c r="O24" s="279">
        <f t="shared" ref="O24" si="122">IFERROR(ROUND(N24/N$8,2),0)</f>
        <v>0</v>
      </c>
      <c r="P24" s="278">
        <f>IF($B$2="All",SUMIFS('Full Crash Data'!$U:$U,'Full Crash Data'!$C:$C,P$5,'Full Crash Data'!$G:$G,"Rear End"),IF($B$2="State Highway Agency",SUMIFS('Full Crash Data'!$U:$U,'Full Crash Data'!$C:$C,P$5,'Full Crash Data'!$AN:$AN,"State Highway Agency",'Full Crash Data'!$G:$G,"Rear End"),IF($B$2="County Highway Agency",SUMIFS('Full Crash Data'!$U:$U,'Full Crash Data'!$C:$C,P$5,'Full Crash Data'!$AN:$AN,"County Highway Agency",'Full Crash Data'!$G:$G,"Rear End"),IF($B$2="Township Highway Agency",SUMIFS('Full Crash Data'!$U:$U,'Full Crash Data'!$C:$C,P$5,'Full Crash Data'!$AN:$AN,"Township Highway Agency",'Full Crash Data'!$G:$G,"Rear End"),IF($B$2="City or Village Highway Agency",SUMIFS('Full Crash Data'!$U:$U,'Full Crash Data'!$C:$C,P$5,'Full Crash Data'!$AN:$AN,"City or Village Highway Agency",'Full Crash Data'!$G:$G,"Rear End"))))))</f>
        <v>0</v>
      </c>
      <c r="Q24" s="279">
        <f t="shared" ref="Q24" si="123">IFERROR(ROUND(P24/P$8,2),0)</f>
        <v>0</v>
      </c>
      <c r="R24" s="278">
        <f>IF($B$2="All",SUMIFS('Full Crash Data'!$U:$U,'Full Crash Data'!$C:$C,R$5,'Full Crash Data'!$G:$G,"Rear End"),IF($B$2="State Highway Agency",SUMIFS('Full Crash Data'!$U:$U,'Full Crash Data'!$C:$C,R$5,'Full Crash Data'!$AN:$AN,"State Highway Agency",'Full Crash Data'!$G:$G,"Rear End"),IF($B$2="County Highway Agency",SUMIFS('Full Crash Data'!$U:$U,'Full Crash Data'!$C:$C,R$5,'Full Crash Data'!$AN:$AN,"County Highway Agency",'Full Crash Data'!$G:$G,"Rear End"),IF($B$2="Township Highway Agency",SUMIFS('Full Crash Data'!$U:$U,'Full Crash Data'!$C:$C,R$5,'Full Crash Data'!$AN:$AN,"Township Highway Agency",'Full Crash Data'!$G:$G,"Rear End"),IF($B$2="City or Village Highway Agency",SUMIFS('Full Crash Data'!$U:$U,'Full Crash Data'!$C:$C,R$5,'Full Crash Data'!$AN:$AN,"City or Village Highway Agency",'Full Crash Data'!$G:$G,"Rear End"))))))</f>
        <v>0</v>
      </c>
      <c r="S24" s="279">
        <f t="shared" ref="S24" si="124">IFERROR(ROUND(R24/R$8,2),0)</f>
        <v>0</v>
      </c>
      <c r="T24" s="278">
        <f>IF($B$2="All",SUMIFS('Full Crash Data'!$U:$U,'Full Crash Data'!$C:$C,T$5,'Full Crash Data'!$G:$G,"Rear End"),IF($B$2="State Highway Agency",SUMIFS('Full Crash Data'!$U:$U,'Full Crash Data'!$C:$C,T$5,'Full Crash Data'!$AN:$AN,"State Highway Agency",'Full Crash Data'!$G:$G,"Rear End"),IF($B$2="County Highway Agency",SUMIFS('Full Crash Data'!$U:$U,'Full Crash Data'!$C:$C,T$5,'Full Crash Data'!$AN:$AN,"County Highway Agency",'Full Crash Data'!$G:$G,"Rear End"),IF($B$2="Township Highway Agency",SUMIFS('Full Crash Data'!$U:$U,'Full Crash Data'!$C:$C,T$5,'Full Crash Data'!$AN:$AN,"Township Highway Agency",'Full Crash Data'!$G:$G,"Rear End"),IF($B$2="City or Village Highway Agency",SUMIFS('Full Crash Data'!$U:$U,'Full Crash Data'!$C:$C,T$5,'Full Crash Data'!$AN:$AN,"City or Village Highway Agency",'Full Crash Data'!$G:$G,"Rear End"))))))</f>
        <v>0</v>
      </c>
      <c r="U24" s="279">
        <f t="shared" ref="U24" si="125">IFERROR(ROUND(T24/T$8,2),0)</f>
        <v>0</v>
      </c>
      <c r="V24" s="278">
        <f>IF($B$2="All",SUMIFS('Full Crash Data'!$U:$U,'Full Crash Data'!$C:$C,V$5,'Full Crash Data'!$G:$G,"Rear End"),IF($B$2="State Highway Agency",SUMIFS('Full Crash Data'!$U:$U,'Full Crash Data'!$C:$C,V$5,'Full Crash Data'!$AN:$AN,"State Highway Agency",'Full Crash Data'!$G:$G,"Rear End"),IF($B$2="County Highway Agency",SUMIFS('Full Crash Data'!$U:$U,'Full Crash Data'!$C:$C,V$5,'Full Crash Data'!$AN:$AN,"County Highway Agency",'Full Crash Data'!$G:$G,"Rear End"),IF($B$2="Township Highway Agency",SUMIFS('Full Crash Data'!$U:$U,'Full Crash Data'!$C:$C,V$5,'Full Crash Data'!$AN:$AN,"Township Highway Agency",'Full Crash Data'!$G:$G,"Rear End"),IF($B$2="City or Village Highway Agency",SUMIFS('Full Crash Data'!$U:$U,'Full Crash Data'!$C:$C,V$5,'Full Crash Data'!$AN:$AN,"City or Village Highway Agency",'Full Crash Data'!$G:$G,"Rear End"))))))</f>
        <v>0</v>
      </c>
      <c r="W24" s="279">
        <f t="shared" ref="W24" si="126">IFERROR(ROUND(V24/V$8,2),0)</f>
        <v>0</v>
      </c>
      <c r="AE24" s="116">
        <v>23</v>
      </c>
    </row>
    <row r="25" spans="1:31" x14ac:dyDescent="0.2">
      <c r="A25" s="280" t="s">
        <v>6414</v>
      </c>
      <c r="C25" s="282"/>
      <c r="D25" s="282"/>
      <c r="E25" s="282"/>
      <c r="F25" s="283"/>
      <c r="G25" s="283"/>
      <c r="H25" s="284"/>
      <c r="I25" s="284"/>
      <c r="J25" s="284"/>
      <c r="K25" s="284"/>
      <c r="L25" s="284"/>
      <c r="M25" s="284"/>
      <c r="N25" s="284"/>
      <c r="O25" s="284"/>
      <c r="P25" s="284"/>
      <c r="Q25" s="284"/>
      <c r="R25" s="284"/>
      <c r="S25" s="284"/>
      <c r="T25" s="284"/>
      <c r="U25" s="284"/>
      <c r="V25" s="285"/>
      <c r="W25" s="286"/>
    </row>
    <row r="26" spans="1:31" x14ac:dyDescent="0.2">
      <c r="A26" s="287"/>
      <c r="B26" s="288"/>
      <c r="C26" s="288"/>
      <c r="D26" s="288"/>
      <c r="E26" s="288"/>
      <c r="F26" s="288"/>
      <c r="G26" s="288"/>
      <c r="H26" s="288"/>
      <c r="I26" s="289"/>
      <c r="J26" s="288"/>
      <c r="K26" s="289"/>
      <c r="L26" s="288"/>
      <c r="M26" s="289"/>
      <c r="N26" s="288"/>
      <c r="O26" s="289"/>
      <c r="P26" s="288"/>
      <c r="Q26" s="289"/>
      <c r="R26" s="288"/>
      <c r="S26" s="289"/>
      <c r="T26" s="288"/>
      <c r="U26" s="289"/>
      <c r="V26" s="288"/>
      <c r="W26" s="289"/>
    </row>
    <row r="27" spans="1:31" x14ac:dyDescent="0.2">
      <c r="A27" s="290"/>
      <c r="B27" s="288"/>
      <c r="C27" s="288"/>
      <c r="D27" s="288"/>
      <c r="E27" s="288"/>
      <c r="F27" s="288"/>
      <c r="G27" s="288"/>
      <c r="H27" s="288"/>
      <c r="I27" s="289"/>
      <c r="J27" s="288"/>
      <c r="K27" s="289"/>
      <c r="L27" s="288"/>
      <c r="M27" s="289"/>
      <c r="N27" s="288"/>
      <c r="O27" s="289"/>
      <c r="P27" s="288"/>
      <c r="Q27" s="289"/>
      <c r="R27" s="288"/>
      <c r="S27" s="289"/>
      <c r="T27" s="288"/>
      <c r="U27" s="289"/>
      <c r="V27" s="288"/>
      <c r="W27" s="289"/>
    </row>
    <row r="28" spans="1:31" ht="43" thickBot="1" x14ac:dyDescent="0.25">
      <c r="A28" s="425" t="s">
        <v>6124</v>
      </c>
      <c r="B28" s="630"/>
      <c r="C28" s="630"/>
      <c r="D28" s="630"/>
      <c r="E28" s="630"/>
      <c r="F28" s="630"/>
      <c r="G28" s="630"/>
      <c r="H28" s="630"/>
      <c r="I28" s="630"/>
      <c r="J28" s="630"/>
      <c r="K28" s="630"/>
      <c r="L28" s="630"/>
      <c r="M28" s="630"/>
      <c r="N28" s="630"/>
      <c r="O28" s="630"/>
      <c r="P28" s="630"/>
      <c r="Q28" s="630"/>
      <c r="R28" s="630"/>
      <c r="S28" s="630"/>
      <c r="T28" s="630"/>
      <c r="U28" s="630"/>
      <c r="V28" s="630"/>
      <c r="W28" s="630"/>
      <c r="AE28" s="116">
        <v>1</v>
      </c>
    </row>
    <row r="29" spans="1:31" ht="21" thickBot="1" x14ac:dyDescent="0.25">
      <c r="A29" s="426"/>
      <c r="B29" s="291">
        <f t="shared" ref="B29:W29" si="127">B5</f>
        <v>2025</v>
      </c>
      <c r="C29" s="292">
        <f t="shared" si="127"/>
        <v>2025</v>
      </c>
      <c r="D29" s="293">
        <f t="shared" si="127"/>
        <v>2024</v>
      </c>
      <c r="E29" s="292">
        <f t="shared" si="127"/>
        <v>2024</v>
      </c>
      <c r="F29" s="293">
        <f t="shared" si="127"/>
        <v>2023</v>
      </c>
      <c r="G29" s="292">
        <f t="shared" si="127"/>
        <v>2023</v>
      </c>
      <c r="H29" s="293">
        <f t="shared" si="127"/>
        <v>2022</v>
      </c>
      <c r="I29" s="292">
        <f t="shared" si="127"/>
        <v>2022</v>
      </c>
      <c r="J29" s="293">
        <f t="shared" si="127"/>
        <v>2021</v>
      </c>
      <c r="K29" s="292">
        <f t="shared" si="127"/>
        <v>2021</v>
      </c>
      <c r="L29" s="293">
        <f t="shared" si="127"/>
        <v>2020</v>
      </c>
      <c r="M29" s="292">
        <f t="shared" si="127"/>
        <v>2020</v>
      </c>
      <c r="N29" s="293">
        <f t="shared" si="127"/>
        <v>2019</v>
      </c>
      <c r="O29" s="292">
        <f t="shared" si="127"/>
        <v>2019</v>
      </c>
      <c r="P29" s="293">
        <f t="shared" si="127"/>
        <v>2018</v>
      </c>
      <c r="Q29" s="292">
        <f t="shared" si="127"/>
        <v>2018</v>
      </c>
      <c r="R29" s="293">
        <f t="shared" si="127"/>
        <v>2017</v>
      </c>
      <c r="S29" s="292">
        <f t="shared" si="127"/>
        <v>2017</v>
      </c>
      <c r="T29" s="293">
        <f t="shared" si="127"/>
        <v>2016</v>
      </c>
      <c r="U29" s="292">
        <f t="shared" si="127"/>
        <v>2016</v>
      </c>
      <c r="V29" s="293">
        <f t="shared" si="127"/>
        <v>2015</v>
      </c>
      <c r="W29" s="292">
        <f t="shared" si="127"/>
        <v>2015</v>
      </c>
      <c r="AE29" s="116">
        <v>2</v>
      </c>
    </row>
    <row r="30" spans="1:31" ht="51" x14ac:dyDescent="0.2">
      <c r="A30" s="414" t="s">
        <v>5986</v>
      </c>
      <c r="B30" s="415" t="s">
        <v>1172</v>
      </c>
      <c r="C30" s="427" t="s">
        <v>5995</v>
      </c>
      <c r="D30" s="415" t="s">
        <v>1172</v>
      </c>
      <c r="E30" s="427" t="s">
        <v>5995</v>
      </c>
      <c r="F30" s="415" t="s">
        <v>1172</v>
      </c>
      <c r="G30" s="427" t="s">
        <v>5995</v>
      </c>
      <c r="H30" s="415" t="s">
        <v>1172</v>
      </c>
      <c r="I30" s="427" t="s">
        <v>5995</v>
      </c>
      <c r="J30" s="415" t="s">
        <v>1172</v>
      </c>
      <c r="K30" s="427" t="s">
        <v>5995</v>
      </c>
      <c r="L30" s="415" t="s">
        <v>1172</v>
      </c>
      <c r="M30" s="427" t="s">
        <v>5995</v>
      </c>
      <c r="N30" s="415" t="s">
        <v>1172</v>
      </c>
      <c r="O30" s="427" t="s">
        <v>5995</v>
      </c>
      <c r="P30" s="415" t="s">
        <v>1172</v>
      </c>
      <c r="Q30" s="427" t="s">
        <v>5995</v>
      </c>
      <c r="R30" s="415" t="s">
        <v>1172</v>
      </c>
      <c r="S30" s="427" t="s">
        <v>5995</v>
      </c>
      <c r="T30" s="415" t="s">
        <v>1172</v>
      </c>
      <c r="U30" s="427" t="s">
        <v>5995</v>
      </c>
      <c r="V30" s="415" t="s">
        <v>1172</v>
      </c>
      <c r="W30" s="427" t="s">
        <v>5995</v>
      </c>
      <c r="AE30" s="116">
        <v>3</v>
      </c>
    </row>
    <row r="31" spans="1:31" ht="20" x14ac:dyDescent="0.2">
      <c r="A31" s="428"/>
      <c r="B31" s="429"/>
      <c r="C31" s="429"/>
      <c r="D31" s="430"/>
      <c r="E31" s="429"/>
      <c r="F31" s="430"/>
      <c r="G31" s="429"/>
      <c r="H31" s="430"/>
      <c r="I31" s="429"/>
      <c r="J31" s="430"/>
      <c r="K31" s="429"/>
      <c r="L31" s="430"/>
      <c r="M31" s="429"/>
      <c r="N31" s="430"/>
      <c r="O31" s="429"/>
      <c r="P31" s="430"/>
      <c r="Q31" s="429"/>
      <c r="R31" s="430"/>
      <c r="S31" s="429"/>
      <c r="T31" s="430"/>
      <c r="U31" s="429"/>
      <c r="V31" s="430"/>
      <c r="W31" s="429"/>
      <c r="AE31" s="116">
        <v>4</v>
      </c>
    </row>
    <row r="32" spans="1:31" ht="20" x14ac:dyDescent="0.2">
      <c r="A32" s="431" t="s">
        <v>5996</v>
      </c>
      <c r="B32" s="432">
        <f>IF($B$2="All",SUMIFS('Full Crash Data'!$V:$V,'Full Crash Data'!$C:$C,B$29),IF($B$2="State Highway Agency",SUMIFS('Full Crash Data'!$V:$V,'Full Crash Data'!$C:$C,B$29,'Full Crash Data'!$AN:$AN,"State Highway Agency"),IF($B$2="County Highway Agency",SUMIFS('Full Crash Data'!$V:$V,'Full Crash Data'!$C:$C,B$29,'Full Crash Data'!$AN:$AN,"County Highway Agency"),IF($B$2="Township Highway Agency",SUMIFS('Full Crash Data'!$V:$V,'Full Crash Data'!$C:$C,B$29,'Full Crash Data'!$AN:$AN,"Township Highway Agency"),IF($B$2="City or Village Highway Agency",SUMIFS('Full Crash Data'!$V:$V,'Full Crash Data'!$C:$C,B$29,'Full Crash Data'!$AN:$AN,"City or Village Highway Agency"))))))</f>
        <v>2</v>
      </c>
      <c r="C32" s="432"/>
      <c r="D32" s="432">
        <f>IF($B$2="All",SUMIFS('Full Crash Data'!$V:$V,'Full Crash Data'!$C:$C,D$29),IF($B$2="State Highway Agency",SUMIFS('Full Crash Data'!$V:$V,'Full Crash Data'!$C:$C,D$29,'Full Crash Data'!$AN:$AN,"State Highway Agency"),IF($B$2="County Highway Agency",SUMIFS('Full Crash Data'!$V:$V,'Full Crash Data'!$C:$C,D$29,'Full Crash Data'!$AN:$AN,"County Highway Agency"),IF($B$2="Township Highway Agency",SUMIFS('Full Crash Data'!$V:$V,'Full Crash Data'!$C:$C,D$29,'Full Crash Data'!$AN:$AN,"Township Highway Agency"),IF($B$2="City or Village Highway Agency",SUMIFS('Full Crash Data'!$V:$V,'Full Crash Data'!$C:$C,D$29,'Full Crash Data'!$AN:$AN,"City or Village Highway Agency"))))))</f>
        <v>0</v>
      </c>
      <c r="E32" s="432"/>
      <c r="F32" s="432">
        <f>IF($B$2="All",SUMIFS('Full Crash Data'!$V:$V,'Full Crash Data'!$C:$C,F$29),IF($B$2="State Highway Agency",SUMIFS('Full Crash Data'!$V:$V,'Full Crash Data'!$C:$C,F$29,'Full Crash Data'!$AN:$AN,"State Highway Agency"),IF($B$2="County Highway Agency",SUMIFS('Full Crash Data'!$V:$V,'Full Crash Data'!$C:$C,F$29,'Full Crash Data'!$AN:$AN,"County Highway Agency"),IF($B$2="Township Highway Agency",SUMIFS('Full Crash Data'!$V:$V,'Full Crash Data'!$C:$C,F$29,'Full Crash Data'!$AN:$AN,"Township Highway Agency"),IF($B$2="City or Village Highway Agency",SUMIFS('Full Crash Data'!$V:$V,'Full Crash Data'!$C:$C,F$29,'Full Crash Data'!$AN:$AN,"City or Village Highway Agency"))))))</f>
        <v>2</v>
      </c>
      <c r="G32" s="432"/>
      <c r="H32" s="432">
        <f>IF($B$2="All",SUMIFS('Full Crash Data'!$V:$V,'Full Crash Data'!$C:$C,H$29),IF($B$2="State Highway Agency",SUMIFS('Full Crash Data'!$V:$V,'Full Crash Data'!$C:$C,H$29,'Full Crash Data'!$AN:$AN,"State Highway Agency"),IF($B$2="County Highway Agency",SUMIFS('Full Crash Data'!$V:$V,'Full Crash Data'!$C:$C,H$29,'Full Crash Data'!$AN:$AN,"County Highway Agency"),IF($B$2="Township Highway Agency",SUMIFS('Full Crash Data'!$V:$V,'Full Crash Data'!$C:$C,H$29,'Full Crash Data'!$AN:$AN,"Township Highway Agency"),IF($B$2="City or Village Highway Agency",SUMIFS('Full Crash Data'!$V:$V,'Full Crash Data'!$C:$C,H$29,'Full Crash Data'!$AN:$AN,"City or Village Highway Agency"))))))</f>
        <v>1</v>
      </c>
      <c r="I32" s="432"/>
      <c r="J32" s="432">
        <f>IF($B$2="All",SUMIFS('Full Crash Data'!$V:$V,'Full Crash Data'!$C:$C,J$29),IF($B$2="State Highway Agency",SUMIFS('Full Crash Data'!$V:$V,'Full Crash Data'!$C:$C,J$29,'Full Crash Data'!$AN:$AN,"State Highway Agency"),IF($B$2="County Highway Agency",SUMIFS('Full Crash Data'!$V:$V,'Full Crash Data'!$C:$C,J$29,'Full Crash Data'!$AN:$AN,"County Highway Agency"),IF($B$2="Township Highway Agency",SUMIFS('Full Crash Data'!$V:$V,'Full Crash Data'!$C:$C,J$29,'Full Crash Data'!$AN:$AN,"Township Highway Agency"),IF($B$2="City or Village Highway Agency",SUMIFS('Full Crash Data'!$V:$V,'Full Crash Data'!$C:$C,J$29,'Full Crash Data'!$AN:$AN,"City or Village Highway Agency"))))))</f>
        <v>4</v>
      </c>
      <c r="K32" s="432"/>
      <c r="L32" s="432">
        <f>IF($B$2="All",SUMIFS('Full Crash Data'!$V:$V,'Full Crash Data'!$C:$C,L$29),IF($B$2="State Highway Agency",SUMIFS('Full Crash Data'!$V:$V,'Full Crash Data'!$C:$C,L$29,'Full Crash Data'!$AN:$AN,"State Highway Agency"),IF($B$2="County Highway Agency",SUMIFS('Full Crash Data'!$V:$V,'Full Crash Data'!$C:$C,L$29,'Full Crash Data'!$AN:$AN,"County Highway Agency"),IF($B$2="Township Highway Agency",SUMIFS('Full Crash Data'!$V:$V,'Full Crash Data'!$C:$C,L$29,'Full Crash Data'!$AN:$AN,"Township Highway Agency"),IF($B$2="City or Village Highway Agency",SUMIFS('Full Crash Data'!$V:$V,'Full Crash Data'!$C:$C,L$29,'Full Crash Data'!$AN:$AN,"City or Village Highway Agency"))))))</f>
        <v>0</v>
      </c>
      <c r="M32" s="432"/>
      <c r="N32" s="432">
        <f>IF($B$2="All",SUMIFS('Full Crash Data'!$V:$V,'Full Crash Data'!$C:$C,N$29),IF($B$2="State Highway Agency",SUMIFS('Full Crash Data'!$V:$V,'Full Crash Data'!$C:$C,N$29,'Full Crash Data'!$AN:$AN,"State Highway Agency"),IF($B$2="County Highway Agency",SUMIFS('Full Crash Data'!$V:$V,'Full Crash Data'!$C:$C,N$29,'Full Crash Data'!$AN:$AN,"County Highway Agency"),IF($B$2="Township Highway Agency",SUMIFS('Full Crash Data'!$V:$V,'Full Crash Data'!$C:$C,N$29,'Full Crash Data'!$AN:$AN,"Township Highway Agency"),IF($B$2="City or Village Highway Agency",SUMIFS('Full Crash Data'!$V:$V,'Full Crash Data'!$C:$C,N$29,'Full Crash Data'!$AN:$AN,"City or Village Highway Agency"))))))</f>
        <v>0</v>
      </c>
      <c r="O32" s="432"/>
      <c r="P32" s="432">
        <f>IF($B$2="All",SUMIFS('Full Crash Data'!$V:$V,'Full Crash Data'!$C:$C,P$29),IF($B$2="State Highway Agency",SUMIFS('Full Crash Data'!$V:$V,'Full Crash Data'!$C:$C,P$29,'Full Crash Data'!$AN:$AN,"State Highway Agency"),IF($B$2="County Highway Agency",SUMIFS('Full Crash Data'!$V:$V,'Full Crash Data'!$C:$C,P$29,'Full Crash Data'!$AN:$AN,"County Highway Agency"),IF($B$2="Township Highway Agency",SUMIFS('Full Crash Data'!$V:$V,'Full Crash Data'!$C:$C,P$29,'Full Crash Data'!$AN:$AN,"Township Highway Agency"),IF($B$2="City or Village Highway Agency",SUMIFS('Full Crash Data'!$V:$V,'Full Crash Data'!$C:$C,P$29,'Full Crash Data'!$AN:$AN,"City or Village Highway Agency"))))))</f>
        <v>0</v>
      </c>
      <c r="Q32" s="432"/>
      <c r="R32" s="432">
        <f>IF($B$2="All",SUMIFS('Full Crash Data'!$V:$V,'Full Crash Data'!$C:$C,R$29),IF($B$2="State Highway Agency",SUMIFS('Full Crash Data'!$V:$V,'Full Crash Data'!$C:$C,R$29,'Full Crash Data'!$AN:$AN,"State Highway Agency"),IF($B$2="County Highway Agency",SUMIFS('Full Crash Data'!$V:$V,'Full Crash Data'!$C:$C,R$29,'Full Crash Data'!$AN:$AN,"County Highway Agency"),IF($B$2="Township Highway Agency",SUMIFS('Full Crash Data'!$V:$V,'Full Crash Data'!$C:$C,R$29,'Full Crash Data'!$AN:$AN,"Township Highway Agency"),IF($B$2="City or Village Highway Agency",SUMIFS('Full Crash Data'!$V:$V,'Full Crash Data'!$C:$C,R$29,'Full Crash Data'!$AN:$AN,"City or Village Highway Agency"))))))</f>
        <v>0</v>
      </c>
      <c r="S32" s="432"/>
      <c r="T32" s="432">
        <f>IF($B$2="All",SUMIFS('Full Crash Data'!$V:$V,'Full Crash Data'!$C:$C,T$29),IF($B$2="State Highway Agency",SUMIFS('Full Crash Data'!$V:$V,'Full Crash Data'!$C:$C,T$29,'Full Crash Data'!$AN:$AN,"State Highway Agency"),IF($B$2="County Highway Agency",SUMIFS('Full Crash Data'!$V:$V,'Full Crash Data'!$C:$C,T$29,'Full Crash Data'!$AN:$AN,"County Highway Agency"),IF($B$2="Township Highway Agency",SUMIFS('Full Crash Data'!$V:$V,'Full Crash Data'!$C:$C,T$29,'Full Crash Data'!$AN:$AN,"Township Highway Agency"),IF($B$2="City or Village Highway Agency",SUMIFS('Full Crash Data'!$V:$V,'Full Crash Data'!$C:$C,T$29,'Full Crash Data'!$AN:$AN,"City or Village Highway Agency"))))))</f>
        <v>0</v>
      </c>
      <c r="U32" s="432"/>
      <c r="V32" s="432">
        <f>IF($B$2="All",SUMIFS('Full Crash Data'!$V:$V,'Full Crash Data'!$C:$C,V$29),IF($B$2="State Highway Agency",SUMIFS('Full Crash Data'!$V:$V,'Full Crash Data'!$C:$C,V$29,'Full Crash Data'!$AN:$AN,"State Highway Agency"),IF($B$2="County Highway Agency",SUMIFS('Full Crash Data'!$V:$V,'Full Crash Data'!$C:$C,V$29,'Full Crash Data'!$AN:$AN,"County Highway Agency"),IF($B$2="Township Highway Agency",SUMIFS('Full Crash Data'!$V:$V,'Full Crash Data'!$C:$C,V$29,'Full Crash Data'!$AN:$AN,"Township Highway Agency"),IF($B$2="City or Village Highway Agency",SUMIFS('Full Crash Data'!$V:$V,'Full Crash Data'!$C:$C,V$29,'Full Crash Data'!$AN:$AN,"City or Village Highway Agency"))))))</f>
        <v>0</v>
      </c>
      <c r="W32" s="429"/>
      <c r="AE32" s="116">
        <v>5</v>
      </c>
    </row>
    <row r="33" spans="1:31" ht="22.5" customHeight="1" x14ac:dyDescent="0.2">
      <c r="A33" s="417" t="s">
        <v>1178</v>
      </c>
      <c r="B33" s="418">
        <f>IF($B$2="All",SUMIFS('Full Crash Data'!$V:$V,'Full Crash Data'!$C:$C,B$29,'Full Crash Data'!$AW:$AW,"Yes"),IF($B$2="State Highway Agency",SUMIFS('Full Crash Data'!$V:$V,'Full Crash Data'!$C:$C,B$29,'Full Crash Data'!$AN:$AN,"State Highway Agency",'Full Crash Data'!$AW:$AW,"Yes"),IF($B$2="County Highway Agency",SUMIFS('Full Crash Data'!$V:$V,'Full Crash Data'!$C:$C,B$29,'Full Crash Data'!$AN:$AN,"County Highway Agency",'Full Crash Data'!$AW:$AW,"Yes"),IF($B$2="Township Highway Agency",SUMIFS('Full Crash Data'!$V:$V,'Full Crash Data'!$C:$C,B$29,'Full Crash Data'!$AN:$AN,"Township Highway Agency",'Full Crash Data'!$AW:$AW,"Yes"),IF($B$2="City or Village Highway Agency",SUMIFS('Full Crash Data'!$V:$V,'Full Crash Data'!$C:$C,B$29,'Full Crash Data'!$AN:$AN,"City or Village Highway Agency",'Full Crash Data'!$AW:$AW,"Yes"))))))</f>
        <v>0</v>
      </c>
      <c r="C33" s="419">
        <f>IFERROR(ROUND(B33/B$32,2),0)</f>
        <v>0</v>
      </c>
      <c r="D33" s="418">
        <f>IF($B$2="All",SUMIFS('Full Crash Data'!$V:$V,'Full Crash Data'!$C:$C,D$29,'Full Crash Data'!$AW:$AW,"Yes"),IF($B$2="State Highway Agency",SUMIFS('Full Crash Data'!$V:$V,'Full Crash Data'!$C:$C,D$29,'Full Crash Data'!$AN:$AN,"State Highway Agency",'Full Crash Data'!$AW:$AW,"Yes"),IF($B$2="County Highway Agency",SUMIFS('Full Crash Data'!$V:$V,'Full Crash Data'!$C:$C,D$29,'Full Crash Data'!$AN:$AN,"County Highway Agency",'Full Crash Data'!$AW:$AW,"Yes"),IF($B$2="Township Highway Agency",SUMIFS('Full Crash Data'!$V:$V,'Full Crash Data'!$C:$C,D$29,'Full Crash Data'!$AN:$AN,"Township Highway Agency",'Full Crash Data'!$AW:$AW,"Yes"),IF($B$2="City or Village Highway Agency",SUMIFS('Full Crash Data'!$V:$V,'Full Crash Data'!$C:$C,D$29,'Full Crash Data'!$AN:$AN,"City or Village Highway Agency",'Full Crash Data'!$AW:$AW,"Yes"))))))</f>
        <v>0</v>
      </c>
      <c r="E33" s="419">
        <f>IFERROR(ROUND(D33/D$32,2),0)</f>
        <v>0</v>
      </c>
      <c r="F33" s="418">
        <f>IF($B$2="All",SUMIFS('Full Crash Data'!$V:$V,'Full Crash Data'!$C:$C,F$29,'Full Crash Data'!$AW:$AW,"Yes"),IF($B$2="State Highway Agency",SUMIFS('Full Crash Data'!$V:$V,'Full Crash Data'!$C:$C,F$29,'Full Crash Data'!$AN:$AN,"State Highway Agency",'Full Crash Data'!$AW:$AW,"Yes"),IF($B$2="County Highway Agency",SUMIFS('Full Crash Data'!$V:$V,'Full Crash Data'!$C:$C,F$29,'Full Crash Data'!$AN:$AN,"County Highway Agency",'Full Crash Data'!$AW:$AW,"Yes"),IF($B$2="Township Highway Agency",SUMIFS('Full Crash Data'!$V:$V,'Full Crash Data'!$C:$C,F$29,'Full Crash Data'!$AN:$AN,"Township Highway Agency",'Full Crash Data'!$AW:$AW,"Yes"),IF($B$2="City or Village Highway Agency",SUMIFS('Full Crash Data'!$V:$V,'Full Crash Data'!$C:$C,F$29,'Full Crash Data'!$AN:$AN,"City or Village Highway Agency",'Full Crash Data'!$AW:$AW,"Yes"))))))</f>
        <v>1</v>
      </c>
      <c r="G33" s="419">
        <f>IFERROR(ROUND(F33/F$32,2),0)</f>
        <v>0.5</v>
      </c>
      <c r="H33" s="418">
        <f>IF($B$2="All",SUMIFS('Full Crash Data'!$V:$V,'Full Crash Data'!$C:$C,H$29,'Full Crash Data'!$AW:$AW,"Yes"),IF($B$2="State Highway Agency",SUMIFS('Full Crash Data'!$V:$V,'Full Crash Data'!$C:$C,H$29,'Full Crash Data'!$AN:$AN,"State Highway Agency",'Full Crash Data'!$AW:$AW,"Yes"),IF($B$2="County Highway Agency",SUMIFS('Full Crash Data'!$V:$V,'Full Crash Data'!$C:$C,H$29,'Full Crash Data'!$AN:$AN,"County Highway Agency",'Full Crash Data'!$AW:$AW,"Yes"),IF($B$2="Township Highway Agency",SUMIFS('Full Crash Data'!$V:$V,'Full Crash Data'!$C:$C,H$29,'Full Crash Data'!$AN:$AN,"Township Highway Agency",'Full Crash Data'!$AW:$AW,"Yes"),IF($B$2="City or Village Highway Agency",SUMIFS('Full Crash Data'!$V:$V,'Full Crash Data'!$C:$C,H$29,'Full Crash Data'!$AN:$AN,"City or Village Highway Agency",'Full Crash Data'!$AW:$AW,"Yes"))))))</f>
        <v>0</v>
      </c>
      <c r="I33" s="419">
        <f>IFERROR(ROUND(H33/H$32,2),0)</f>
        <v>0</v>
      </c>
      <c r="J33" s="418">
        <f>IF($B$2="All",SUMIFS('Full Crash Data'!$V:$V,'Full Crash Data'!$C:$C,J$29,'Full Crash Data'!$AW:$AW,"Yes"),IF($B$2="State Highway Agency",SUMIFS('Full Crash Data'!$V:$V,'Full Crash Data'!$C:$C,J$29,'Full Crash Data'!$AN:$AN,"State Highway Agency",'Full Crash Data'!$AW:$AW,"Yes"),IF($B$2="County Highway Agency",SUMIFS('Full Crash Data'!$V:$V,'Full Crash Data'!$C:$C,J$29,'Full Crash Data'!$AN:$AN,"County Highway Agency",'Full Crash Data'!$AW:$AW,"Yes"),IF($B$2="Township Highway Agency",SUMIFS('Full Crash Data'!$V:$V,'Full Crash Data'!$C:$C,J$29,'Full Crash Data'!$AN:$AN,"Township Highway Agency",'Full Crash Data'!$AW:$AW,"Yes"),IF($B$2="City or Village Highway Agency",SUMIFS('Full Crash Data'!$V:$V,'Full Crash Data'!$C:$C,J$29,'Full Crash Data'!$AN:$AN,"City or Village Highway Agency",'Full Crash Data'!$AW:$AW,"Yes"))))))</f>
        <v>1</v>
      </c>
      <c r="K33" s="419">
        <f>IFERROR(ROUND(J33/J$32,2),0)</f>
        <v>0.25</v>
      </c>
      <c r="L33" s="418">
        <f>IF($B$2="All",SUMIFS('Full Crash Data'!$V:$V,'Full Crash Data'!$C:$C,L$29,'Full Crash Data'!$AW:$AW,"Yes"),IF($B$2="State Highway Agency",SUMIFS('Full Crash Data'!$V:$V,'Full Crash Data'!$C:$C,L$29,'Full Crash Data'!$AN:$AN,"State Highway Agency",'Full Crash Data'!$AW:$AW,"Yes"),IF($B$2="County Highway Agency",SUMIFS('Full Crash Data'!$V:$V,'Full Crash Data'!$C:$C,L$29,'Full Crash Data'!$AN:$AN,"County Highway Agency",'Full Crash Data'!$AW:$AW,"Yes"),IF($B$2="Township Highway Agency",SUMIFS('Full Crash Data'!$V:$V,'Full Crash Data'!$C:$C,L$29,'Full Crash Data'!$AN:$AN,"Township Highway Agency",'Full Crash Data'!$AW:$AW,"Yes"),IF($B$2="City or Village Highway Agency",SUMIFS('Full Crash Data'!$V:$V,'Full Crash Data'!$C:$C,L$29,'Full Crash Data'!$AN:$AN,"City or Village Highway Agency",'Full Crash Data'!$AW:$AW,"Yes"))))))</f>
        <v>0</v>
      </c>
      <c r="M33" s="419">
        <f>IFERROR(ROUND(L33/L$32,2),0)</f>
        <v>0</v>
      </c>
      <c r="N33" s="418">
        <f>IF($B$2="All",SUMIFS('Full Crash Data'!$V:$V,'Full Crash Data'!$C:$C,N$29,'Full Crash Data'!$AW:$AW,"Yes"),IF($B$2="State Highway Agency",SUMIFS('Full Crash Data'!$V:$V,'Full Crash Data'!$C:$C,N$29,'Full Crash Data'!$AN:$AN,"State Highway Agency",'Full Crash Data'!$AW:$AW,"Yes"),IF($B$2="County Highway Agency",SUMIFS('Full Crash Data'!$V:$V,'Full Crash Data'!$C:$C,N$29,'Full Crash Data'!$AN:$AN,"County Highway Agency",'Full Crash Data'!$AW:$AW,"Yes"),IF($B$2="Township Highway Agency",SUMIFS('Full Crash Data'!$V:$V,'Full Crash Data'!$C:$C,N$29,'Full Crash Data'!$AN:$AN,"Township Highway Agency",'Full Crash Data'!$AW:$AW,"Yes"),IF($B$2="City or Village Highway Agency",SUMIFS('Full Crash Data'!$V:$V,'Full Crash Data'!$C:$C,N$29,'Full Crash Data'!$AN:$AN,"City or Village Highway Agency",'Full Crash Data'!$AW:$AW,"Yes"))))))</f>
        <v>0</v>
      </c>
      <c r="O33" s="419">
        <f>IFERROR(ROUND(N33/N$32,2),0)</f>
        <v>0</v>
      </c>
      <c r="P33" s="418">
        <f>IF($B$2="All",SUMIFS('Full Crash Data'!$V:$V,'Full Crash Data'!$C:$C,P$29,'Full Crash Data'!$AW:$AW,"Yes"),IF($B$2="State Highway Agency",SUMIFS('Full Crash Data'!$V:$V,'Full Crash Data'!$C:$C,P$29,'Full Crash Data'!$AN:$AN,"State Highway Agency",'Full Crash Data'!$AW:$AW,"Yes"),IF($B$2="County Highway Agency",SUMIFS('Full Crash Data'!$V:$V,'Full Crash Data'!$C:$C,P$29,'Full Crash Data'!$AN:$AN,"County Highway Agency",'Full Crash Data'!$AW:$AW,"Yes"),IF($B$2="Township Highway Agency",SUMIFS('Full Crash Data'!$V:$V,'Full Crash Data'!$C:$C,P$29,'Full Crash Data'!$AN:$AN,"Township Highway Agency",'Full Crash Data'!$AW:$AW,"Yes"),IF($B$2="City or Village Highway Agency",SUMIFS('Full Crash Data'!$V:$V,'Full Crash Data'!$C:$C,P$29,'Full Crash Data'!$AN:$AN,"City or Village Highway Agency",'Full Crash Data'!$AW:$AW,"Yes"))))))</f>
        <v>0</v>
      </c>
      <c r="Q33" s="419">
        <f>IFERROR(ROUND(P33/P$32,2),0)</f>
        <v>0</v>
      </c>
      <c r="R33" s="418">
        <f>IF($B$2="All",SUMIFS('Full Crash Data'!$V:$V,'Full Crash Data'!$C:$C,R$29,'Full Crash Data'!$AW:$AW,"Yes"),IF($B$2="State Highway Agency",SUMIFS('Full Crash Data'!$V:$V,'Full Crash Data'!$C:$C,R$29,'Full Crash Data'!$AN:$AN,"State Highway Agency",'Full Crash Data'!$AW:$AW,"Yes"),IF($B$2="County Highway Agency",SUMIFS('Full Crash Data'!$V:$V,'Full Crash Data'!$C:$C,R$29,'Full Crash Data'!$AN:$AN,"County Highway Agency",'Full Crash Data'!$AW:$AW,"Yes"),IF($B$2="Township Highway Agency",SUMIFS('Full Crash Data'!$V:$V,'Full Crash Data'!$C:$C,R$29,'Full Crash Data'!$AN:$AN,"Township Highway Agency",'Full Crash Data'!$AW:$AW,"Yes"),IF($B$2="City or Village Highway Agency",SUMIFS('Full Crash Data'!$V:$V,'Full Crash Data'!$C:$C,R$29,'Full Crash Data'!$AN:$AN,"City or Village Highway Agency",'Full Crash Data'!$AW:$AW,"Yes"))))))</f>
        <v>0</v>
      </c>
      <c r="S33" s="419">
        <f>IFERROR(ROUND(R33/R$32,2),0)</f>
        <v>0</v>
      </c>
      <c r="T33" s="418">
        <f>IF($B$2="All",SUMIFS('Full Crash Data'!$V:$V,'Full Crash Data'!$C:$C,T$29,'Full Crash Data'!$AW:$AW,"Yes"),IF($B$2="State Highway Agency",SUMIFS('Full Crash Data'!$V:$V,'Full Crash Data'!$C:$C,T$29,'Full Crash Data'!$AN:$AN,"State Highway Agency",'Full Crash Data'!$AW:$AW,"Yes"),IF($B$2="County Highway Agency",SUMIFS('Full Crash Data'!$V:$V,'Full Crash Data'!$C:$C,T$29,'Full Crash Data'!$AN:$AN,"County Highway Agency",'Full Crash Data'!$AW:$AW,"Yes"),IF($B$2="Township Highway Agency",SUMIFS('Full Crash Data'!$V:$V,'Full Crash Data'!$C:$C,T$29,'Full Crash Data'!$AN:$AN,"Township Highway Agency",'Full Crash Data'!$AW:$AW,"Yes"),IF($B$2="City or Village Highway Agency",SUMIFS('Full Crash Data'!$V:$V,'Full Crash Data'!$C:$C,T$29,'Full Crash Data'!$AN:$AN,"City or Village Highway Agency",'Full Crash Data'!$AW:$AW,"Yes"))))))</f>
        <v>0</v>
      </c>
      <c r="U33" s="419">
        <f>IFERROR(ROUND(T33/T$32,2),0)</f>
        <v>0</v>
      </c>
      <c r="V33" s="418">
        <f>IF($B$2="All",SUMIFS('Full Crash Data'!$V:$V,'Full Crash Data'!$C:$C,V$29,'Full Crash Data'!$AW:$AW,"Yes"),IF($B$2="State Highway Agency",SUMIFS('Full Crash Data'!$V:$V,'Full Crash Data'!$C:$C,V$29,'Full Crash Data'!$AN:$AN,"State Highway Agency",'Full Crash Data'!$AW:$AW,"Yes"),IF($B$2="County Highway Agency",SUMIFS('Full Crash Data'!$V:$V,'Full Crash Data'!$C:$C,V$29,'Full Crash Data'!$AN:$AN,"County Highway Agency",'Full Crash Data'!$AW:$AW,"Yes"),IF($B$2="Township Highway Agency",SUMIFS('Full Crash Data'!$V:$V,'Full Crash Data'!$C:$C,V$29,'Full Crash Data'!$AN:$AN,"Township Highway Agency",'Full Crash Data'!$AW:$AW,"Yes"),IF($B$2="City or Village Highway Agency",SUMIFS('Full Crash Data'!$V:$V,'Full Crash Data'!$C:$C,V$29,'Full Crash Data'!$AN:$AN,"City or Village Highway Agency",'Full Crash Data'!$AW:$AW,"Yes"))))))</f>
        <v>0</v>
      </c>
      <c r="W33" s="419">
        <f>IFERROR(ROUND(V33/V$32,2),0)</f>
        <v>0</v>
      </c>
      <c r="AE33" s="116">
        <v>6</v>
      </c>
    </row>
    <row r="34" spans="1:31" ht="22.5" customHeight="1" x14ac:dyDescent="0.2">
      <c r="A34" s="294" t="s">
        <v>221</v>
      </c>
      <c r="B34" s="295">
        <f>IF($B$2="All",SUMIFS('Full Crash Data'!$V:$V,'Full Crash Data'!$C:$C,B$29,'Full Crash Data'!$AX:$AX,"Yes"),IF($B$2="State Highway Agency",SUMIFS('Full Crash Data'!$V:$V,'Full Crash Data'!$C:$C,B$29,'Full Crash Data'!$AN:$AN,"State Highway Agency",'Full Crash Data'!$AX:$AX,"Yes"),IF($B$2="County Highway Agency",SUMIFS('Full Crash Data'!$V:$V,'Full Crash Data'!$C:$C,B$29,'Full Crash Data'!$AN:$AN,"County Highway Agency",'Full Crash Data'!$AX:$AX,"Yes"),IF($B$2="Township Highway Agency",SUMIFS('Full Crash Data'!$V:$V,'Full Crash Data'!$C:$C,B$29,'Full Crash Data'!$AN:$AN,"Township Highway Agency",'Full Crash Data'!$AX:$AX,"Yes"),IF($B$2="City or Village Highway Agency",SUMIFS('Full Crash Data'!$V:$V,'Full Crash Data'!$C:$C,B$29,'Full Crash Data'!$AN:$AN,"City or Village Highway Agency",'Full Crash Data'!$AX:$AX,"Yes"))))))</f>
        <v>1</v>
      </c>
      <c r="C34" s="272">
        <f t="shared" ref="C34:E48" si="128">IFERROR(ROUND(B34/B$32,2),0)</f>
        <v>0.5</v>
      </c>
      <c r="D34" s="295">
        <f>IF($B$2="All",SUMIFS('Full Crash Data'!$V:$V,'Full Crash Data'!$C:$C,D$29,'Full Crash Data'!$AX:$AX,"Yes"),IF($B$2="State Highway Agency",SUMIFS('Full Crash Data'!$V:$V,'Full Crash Data'!$C:$C,D$29,'Full Crash Data'!$AN:$AN,"State Highway Agency",'Full Crash Data'!$AX:$AX,"Yes"),IF($B$2="County Highway Agency",SUMIFS('Full Crash Data'!$V:$V,'Full Crash Data'!$C:$C,D$29,'Full Crash Data'!$AN:$AN,"County Highway Agency",'Full Crash Data'!$AX:$AX,"Yes"),IF($B$2="Township Highway Agency",SUMIFS('Full Crash Data'!$V:$V,'Full Crash Data'!$C:$C,D$29,'Full Crash Data'!$AN:$AN,"Township Highway Agency",'Full Crash Data'!$AX:$AX,"Yes"),IF($B$2="City or Village Highway Agency",SUMIFS('Full Crash Data'!$V:$V,'Full Crash Data'!$C:$C,D$29,'Full Crash Data'!$AN:$AN,"City or Village Highway Agency",'Full Crash Data'!$AX:$AX,"Yes"))))))</f>
        <v>0</v>
      </c>
      <c r="E34" s="272">
        <f t="shared" si="128"/>
        <v>0</v>
      </c>
      <c r="F34" s="295">
        <f>IF($B$2="All",SUMIFS('Full Crash Data'!$V:$V,'Full Crash Data'!$C:$C,F$29,'Full Crash Data'!$AX:$AX,"Yes"),IF($B$2="State Highway Agency",SUMIFS('Full Crash Data'!$V:$V,'Full Crash Data'!$C:$C,F$29,'Full Crash Data'!$AN:$AN,"State Highway Agency",'Full Crash Data'!$AX:$AX,"Yes"),IF($B$2="County Highway Agency",SUMIFS('Full Crash Data'!$V:$V,'Full Crash Data'!$C:$C,F$29,'Full Crash Data'!$AN:$AN,"County Highway Agency",'Full Crash Data'!$AX:$AX,"Yes"),IF($B$2="Township Highway Agency",SUMIFS('Full Crash Data'!$V:$V,'Full Crash Data'!$C:$C,F$29,'Full Crash Data'!$AN:$AN,"Township Highway Agency",'Full Crash Data'!$AX:$AX,"Yes"),IF($B$2="City or Village Highway Agency",SUMIFS('Full Crash Data'!$V:$V,'Full Crash Data'!$C:$C,F$29,'Full Crash Data'!$AN:$AN,"City or Village Highway Agency",'Full Crash Data'!$AX:$AX,"Yes"))))))</f>
        <v>1</v>
      </c>
      <c r="G34" s="272">
        <f t="shared" ref="G34" si="129">IFERROR(ROUND(F34/F$32,2),0)</f>
        <v>0.5</v>
      </c>
      <c r="H34" s="295">
        <f>IF($B$2="All",SUMIFS('Full Crash Data'!$V:$V,'Full Crash Data'!$C:$C,H$29,'Full Crash Data'!$AX:$AX,"Yes"),IF($B$2="State Highway Agency",SUMIFS('Full Crash Data'!$V:$V,'Full Crash Data'!$C:$C,H$29,'Full Crash Data'!$AN:$AN,"State Highway Agency",'Full Crash Data'!$AX:$AX,"Yes"),IF($B$2="County Highway Agency",SUMIFS('Full Crash Data'!$V:$V,'Full Crash Data'!$C:$C,H$29,'Full Crash Data'!$AN:$AN,"County Highway Agency",'Full Crash Data'!$AX:$AX,"Yes"),IF($B$2="Township Highway Agency",SUMIFS('Full Crash Data'!$V:$V,'Full Crash Data'!$C:$C,H$29,'Full Crash Data'!$AN:$AN,"Township Highway Agency",'Full Crash Data'!$AX:$AX,"Yes"),IF($B$2="City or Village Highway Agency",SUMIFS('Full Crash Data'!$V:$V,'Full Crash Data'!$C:$C,H$29,'Full Crash Data'!$AN:$AN,"City or Village Highway Agency",'Full Crash Data'!$AX:$AX,"Yes"))))))</f>
        <v>1</v>
      </c>
      <c r="I34" s="272">
        <f t="shared" ref="I34" si="130">IFERROR(ROUND(H34/H$32,2),0)</f>
        <v>1</v>
      </c>
      <c r="J34" s="295">
        <f>IF($B$2="All",SUMIFS('Full Crash Data'!$V:$V,'Full Crash Data'!$C:$C,J$29,'Full Crash Data'!$AX:$AX,"Yes"),IF($B$2="State Highway Agency",SUMIFS('Full Crash Data'!$V:$V,'Full Crash Data'!$C:$C,J$29,'Full Crash Data'!$AN:$AN,"State Highway Agency",'Full Crash Data'!$AX:$AX,"Yes"),IF($B$2="County Highway Agency",SUMIFS('Full Crash Data'!$V:$V,'Full Crash Data'!$C:$C,J$29,'Full Crash Data'!$AN:$AN,"County Highway Agency",'Full Crash Data'!$AX:$AX,"Yes"),IF($B$2="Township Highway Agency",SUMIFS('Full Crash Data'!$V:$V,'Full Crash Data'!$C:$C,J$29,'Full Crash Data'!$AN:$AN,"Township Highway Agency",'Full Crash Data'!$AX:$AX,"Yes"),IF($B$2="City or Village Highway Agency",SUMIFS('Full Crash Data'!$V:$V,'Full Crash Data'!$C:$C,J$29,'Full Crash Data'!$AN:$AN,"City or Village Highway Agency",'Full Crash Data'!$AX:$AX,"Yes"))))))</f>
        <v>1</v>
      </c>
      <c r="K34" s="272">
        <f t="shared" ref="K34" si="131">IFERROR(ROUND(J34/J$32,2),0)</f>
        <v>0.25</v>
      </c>
      <c r="L34" s="295">
        <f>IF($B$2="All",SUMIFS('Full Crash Data'!$V:$V,'Full Crash Data'!$C:$C,L$29,'Full Crash Data'!$AX:$AX,"Yes"),IF($B$2="State Highway Agency",SUMIFS('Full Crash Data'!$V:$V,'Full Crash Data'!$C:$C,L$29,'Full Crash Data'!$AN:$AN,"State Highway Agency",'Full Crash Data'!$AX:$AX,"Yes"),IF($B$2="County Highway Agency",SUMIFS('Full Crash Data'!$V:$V,'Full Crash Data'!$C:$C,L$29,'Full Crash Data'!$AN:$AN,"County Highway Agency",'Full Crash Data'!$AX:$AX,"Yes"),IF($B$2="Township Highway Agency",SUMIFS('Full Crash Data'!$V:$V,'Full Crash Data'!$C:$C,L$29,'Full Crash Data'!$AN:$AN,"Township Highway Agency",'Full Crash Data'!$AX:$AX,"Yes"),IF($B$2="City or Village Highway Agency",SUMIFS('Full Crash Data'!$V:$V,'Full Crash Data'!$C:$C,L$29,'Full Crash Data'!$AN:$AN,"City or Village Highway Agency",'Full Crash Data'!$AX:$AX,"Yes"))))))</f>
        <v>0</v>
      </c>
      <c r="M34" s="272">
        <f t="shared" ref="M34" si="132">IFERROR(ROUND(L34/L$32,2),0)</f>
        <v>0</v>
      </c>
      <c r="N34" s="295">
        <f>IF($B$2="All",SUMIFS('Full Crash Data'!$V:$V,'Full Crash Data'!$C:$C,N$29,'Full Crash Data'!$AX:$AX,"Yes"),IF($B$2="State Highway Agency",SUMIFS('Full Crash Data'!$V:$V,'Full Crash Data'!$C:$C,N$29,'Full Crash Data'!$AN:$AN,"State Highway Agency",'Full Crash Data'!$AX:$AX,"Yes"),IF($B$2="County Highway Agency",SUMIFS('Full Crash Data'!$V:$V,'Full Crash Data'!$C:$C,N$29,'Full Crash Data'!$AN:$AN,"County Highway Agency",'Full Crash Data'!$AX:$AX,"Yes"),IF($B$2="Township Highway Agency",SUMIFS('Full Crash Data'!$V:$V,'Full Crash Data'!$C:$C,N$29,'Full Crash Data'!$AN:$AN,"Township Highway Agency",'Full Crash Data'!$AX:$AX,"Yes"),IF($B$2="City or Village Highway Agency",SUMIFS('Full Crash Data'!$V:$V,'Full Crash Data'!$C:$C,N$29,'Full Crash Data'!$AN:$AN,"City or Village Highway Agency",'Full Crash Data'!$AX:$AX,"Yes"))))))</f>
        <v>0</v>
      </c>
      <c r="O34" s="272">
        <f t="shared" ref="O34" si="133">IFERROR(ROUND(N34/N$32,2),0)</f>
        <v>0</v>
      </c>
      <c r="P34" s="295">
        <f>IF($B$2="All",SUMIFS('Full Crash Data'!$V:$V,'Full Crash Data'!$C:$C,P$29,'Full Crash Data'!$AX:$AX,"Yes"),IF($B$2="State Highway Agency",SUMIFS('Full Crash Data'!$V:$V,'Full Crash Data'!$C:$C,P$29,'Full Crash Data'!$AN:$AN,"State Highway Agency",'Full Crash Data'!$AX:$AX,"Yes"),IF($B$2="County Highway Agency",SUMIFS('Full Crash Data'!$V:$V,'Full Crash Data'!$C:$C,P$29,'Full Crash Data'!$AN:$AN,"County Highway Agency",'Full Crash Data'!$AX:$AX,"Yes"),IF($B$2="Township Highway Agency",SUMIFS('Full Crash Data'!$V:$V,'Full Crash Data'!$C:$C,P$29,'Full Crash Data'!$AN:$AN,"Township Highway Agency",'Full Crash Data'!$AX:$AX,"Yes"),IF($B$2="City or Village Highway Agency",SUMIFS('Full Crash Data'!$V:$V,'Full Crash Data'!$C:$C,P$29,'Full Crash Data'!$AN:$AN,"City or Village Highway Agency",'Full Crash Data'!$AX:$AX,"Yes"))))))</f>
        <v>0</v>
      </c>
      <c r="Q34" s="272">
        <f t="shared" ref="Q34" si="134">IFERROR(ROUND(P34/P$32,2),0)</f>
        <v>0</v>
      </c>
      <c r="R34" s="295">
        <f>IF($B$2="All",SUMIFS('Full Crash Data'!$V:$V,'Full Crash Data'!$C:$C,R$29,'Full Crash Data'!$AX:$AX,"Yes"),IF($B$2="State Highway Agency",SUMIFS('Full Crash Data'!$V:$V,'Full Crash Data'!$C:$C,R$29,'Full Crash Data'!$AN:$AN,"State Highway Agency",'Full Crash Data'!$AX:$AX,"Yes"),IF($B$2="County Highway Agency",SUMIFS('Full Crash Data'!$V:$V,'Full Crash Data'!$C:$C,R$29,'Full Crash Data'!$AN:$AN,"County Highway Agency",'Full Crash Data'!$AX:$AX,"Yes"),IF($B$2="Township Highway Agency",SUMIFS('Full Crash Data'!$V:$V,'Full Crash Data'!$C:$C,R$29,'Full Crash Data'!$AN:$AN,"Township Highway Agency",'Full Crash Data'!$AX:$AX,"Yes"),IF($B$2="City or Village Highway Agency",SUMIFS('Full Crash Data'!$V:$V,'Full Crash Data'!$C:$C,R$29,'Full Crash Data'!$AN:$AN,"City or Village Highway Agency",'Full Crash Data'!$AX:$AX,"Yes"))))))</f>
        <v>0</v>
      </c>
      <c r="S34" s="272">
        <f t="shared" ref="S34" si="135">IFERROR(ROUND(R34/R$32,2),0)</f>
        <v>0</v>
      </c>
      <c r="T34" s="295">
        <f>IF($B$2="All",SUMIFS('Full Crash Data'!$V:$V,'Full Crash Data'!$C:$C,T$29,'Full Crash Data'!$AX:$AX,"Yes"),IF($B$2="State Highway Agency",SUMIFS('Full Crash Data'!$V:$V,'Full Crash Data'!$C:$C,T$29,'Full Crash Data'!$AN:$AN,"State Highway Agency",'Full Crash Data'!$AX:$AX,"Yes"),IF($B$2="County Highway Agency",SUMIFS('Full Crash Data'!$V:$V,'Full Crash Data'!$C:$C,T$29,'Full Crash Data'!$AN:$AN,"County Highway Agency",'Full Crash Data'!$AX:$AX,"Yes"),IF($B$2="Township Highway Agency",SUMIFS('Full Crash Data'!$V:$V,'Full Crash Data'!$C:$C,T$29,'Full Crash Data'!$AN:$AN,"Township Highway Agency",'Full Crash Data'!$AX:$AX,"Yes"),IF($B$2="City or Village Highway Agency",SUMIFS('Full Crash Data'!$V:$V,'Full Crash Data'!$C:$C,T$29,'Full Crash Data'!$AN:$AN,"City or Village Highway Agency",'Full Crash Data'!$AX:$AX,"Yes"))))))</f>
        <v>0</v>
      </c>
      <c r="U34" s="272">
        <f t="shared" ref="U34" si="136">IFERROR(ROUND(T34/T$32,2),0)</f>
        <v>0</v>
      </c>
      <c r="V34" s="295">
        <f>IF($B$2="All",SUMIFS('Full Crash Data'!$V:$V,'Full Crash Data'!$C:$C,V$29,'Full Crash Data'!$AX:$AX,"Yes"),IF($B$2="State Highway Agency",SUMIFS('Full Crash Data'!$V:$V,'Full Crash Data'!$C:$C,V$29,'Full Crash Data'!$AN:$AN,"State Highway Agency",'Full Crash Data'!$AX:$AX,"Yes"),IF($B$2="County Highway Agency",SUMIFS('Full Crash Data'!$V:$V,'Full Crash Data'!$C:$C,V$29,'Full Crash Data'!$AN:$AN,"County Highway Agency",'Full Crash Data'!$AX:$AX,"Yes"),IF($B$2="Township Highway Agency",SUMIFS('Full Crash Data'!$V:$V,'Full Crash Data'!$C:$C,V$29,'Full Crash Data'!$AN:$AN,"Township Highway Agency",'Full Crash Data'!$AX:$AX,"Yes"),IF($B$2="City or Village Highway Agency",SUMIFS('Full Crash Data'!$V:$V,'Full Crash Data'!$C:$C,V$29,'Full Crash Data'!$AN:$AN,"City or Village Highway Agency",'Full Crash Data'!$AX:$AX,"Yes"))))))</f>
        <v>0</v>
      </c>
      <c r="W34" s="272">
        <f t="shared" ref="W34" si="137">IFERROR(ROUND(V34/V$32,2),0)</f>
        <v>0</v>
      </c>
      <c r="AE34" s="116">
        <v>7</v>
      </c>
    </row>
    <row r="35" spans="1:31" ht="22.5" customHeight="1" x14ac:dyDescent="0.2">
      <c r="A35" s="294" t="s">
        <v>5989</v>
      </c>
      <c r="B35" s="295">
        <f>IF($B$2="All",SUMIFS('Full Crash Data'!$V:$V,'Full Crash Data'!$C:$C,B$29,'Full Crash Data'!$G:$G,"Train"),IF($B$2="State Highway Agency",SUMIFS('Full Crash Data'!$V:$V,'Full Crash Data'!$C:$C,B$29,'Full Crash Data'!$AN:$AN,"State Highway Agency",'Full Crash Data'!$G:$G,"Train"),IF($B$2="County Highway Agency",SUMIFS('Full Crash Data'!$V:$V,'Full Crash Data'!$C:$C,B$29,'Full Crash Data'!$AN:$AN,"County Highway Agency",'Full Crash Data'!$G:$G,"Train"),IF($B$2="Township Highway Agency",SUMIFS('Full Crash Data'!$V:$V,'Full Crash Data'!$C:$C,B$29,'Full Crash Data'!$AN:$AN,"Township Highway Agency",'Full Crash Data'!$G:$G,"Train"),IF($B$2="City or Village Highway Agency",SUMIFS('Full Crash Data'!$V:$V,'Full Crash Data'!$C:$C,B$29,'Full Crash Data'!$AN:$AN,"City or Village Highway Agency",'Full Crash Data'!$G:$G,"Train"))))))</f>
        <v>0</v>
      </c>
      <c r="C35" s="272">
        <f t="shared" si="128"/>
        <v>0</v>
      </c>
      <c r="D35" s="295">
        <f>IF($B$2="All",SUMIFS('Full Crash Data'!$V:$V,'Full Crash Data'!$C:$C,D$29,'Full Crash Data'!$G:$G,"Train"),IF($B$2="State Highway Agency",SUMIFS('Full Crash Data'!$V:$V,'Full Crash Data'!$C:$C,D$29,'Full Crash Data'!$AN:$AN,"State Highway Agency",'Full Crash Data'!$G:$G,"Train"),IF($B$2="County Highway Agency",SUMIFS('Full Crash Data'!$V:$V,'Full Crash Data'!$C:$C,D$29,'Full Crash Data'!$AN:$AN,"County Highway Agency",'Full Crash Data'!$G:$G,"Train"),IF($B$2="Township Highway Agency",SUMIFS('Full Crash Data'!$V:$V,'Full Crash Data'!$C:$C,D$29,'Full Crash Data'!$AN:$AN,"Township Highway Agency",'Full Crash Data'!$G:$G,"Train"),IF($B$2="City or Village Highway Agency",SUMIFS('Full Crash Data'!$V:$V,'Full Crash Data'!$C:$C,D$29,'Full Crash Data'!$AN:$AN,"City or Village Highway Agency",'Full Crash Data'!$G:$G,"Train"))))))</f>
        <v>0</v>
      </c>
      <c r="E35" s="272">
        <f t="shared" si="128"/>
        <v>0</v>
      </c>
      <c r="F35" s="295">
        <f>IF($B$2="All",SUMIFS('Full Crash Data'!$V:$V,'Full Crash Data'!$C:$C,F$29,'Full Crash Data'!$G:$G,"Train"),IF($B$2="State Highway Agency",SUMIFS('Full Crash Data'!$V:$V,'Full Crash Data'!$C:$C,F$29,'Full Crash Data'!$AN:$AN,"State Highway Agency",'Full Crash Data'!$G:$G,"Train"),IF($B$2="County Highway Agency",SUMIFS('Full Crash Data'!$V:$V,'Full Crash Data'!$C:$C,F$29,'Full Crash Data'!$AN:$AN,"County Highway Agency",'Full Crash Data'!$G:$G,"Train"),IF($B$2="Township Highway Agency",SUMIFS('Full Crash Data'!$V:$V,'Full Crash Data'!$C:$C,F$29,'Full Crash Data'!$AN:$AN,"Township Highway Agency",'Full Crash Data'!$G:$G,"Train"),IF($B$2="City or Village Highway Agency",SUMIFS('Full Crash Data'!$V:$V,'Full Crash Data'!$C:$C,F$29,'Full Crash Data'!$AN:$AN,"City or Village Highway Agency",'Full Crash Data'!$G:$G,"Train"))))))</f>
        <v>0</v>
      </c>
      <c r="G35" s="272">
        <f t="shared" ref="G35" si="138">IFERROR(ROUND(F35/F$32,2),0)</f>
        <v>0</v>
      </c>
      <c r="H35" s="295">
        <f>IF($B$2="All",SUMIFS('Full Crash Data'!$V:$V,'Full Crash Data'!$C:$C,H$29,'Full Crash Data'!$G:$G,"Train"),IF($B$2="State Highway Agency",SUMIFS('Full Crash Data'!$V:$V,'Full Crash Data'!$C:$C,H$29,'Full Crash Data'!$AN:$AN,"State Highway Agency",'Full Crash Data'!$G:$G,"Train"),IF($B$2="County Highway Agency",SUMIFS('Full Crash Data'!$V:$V,'Full Crash Data'!$C:$C,H$29,'Full Crash Data'!$AN:$AN,"County Highway Agency",'Full Crash Data'!$G:$G,"Train"),IF($B$2="Township Highway Agency",SUMIFS('Full Crash Data'!$V:$V,'Full Crash Data'!$C:$C,H$29,'Full Crash Data'!$AN:$AN,"Township Highway Agency",'Full Crash Data'!$G:$G,"Train"),IF($B$2="City or Village Highway Agency",SUMIFS('Full Crash Data'!$V:$V,'Full Crash Data'!$C:$C,H$29,'Full Crash Data'!$AN:$AN,"City or Village Highway Agency",'Full Crash Data'!$G:$G,"Train"))))))</f>
        <v>0</v>
      </c>
      <c r="I35" s="272">
        <f t="shared" ref="I35" si="139">IFERROR(ROUND(H35/H$32,2),0)</f>
        <v>0</v>
      </c>
      <c r="J35" s="295">
        <f>IF($B$2="All",SUMIFS('Full Crash Data'!$V:$V,'Full Crash Data'!$C:$C,J$29,'Full Crash Data'!$G:$G,"Train"),IF($B$2="State Highway Agency",SUMIFS('Full Crash Data'!$V:$V,'Full Crash Data'!$C:$C,J$29,'Full Crash Data'!$AN:$AN,"State Highway Agency",'Full Crash Data'!$G:$G,"Train"),IF($B$2="County Highway Agency",SUMIFS('Full Crash Data'!$V:$V,'Full Crash Data'!$C:$C,J$29,'Full Crash Data'!$AN:$AN,"County Highway Agency",'Full Crash Data'!$G:$G,"Train"),IF($B$2="Township Highway Agency",SUMIFS('Full Crash Data'!$V:$V,'Full Crash Data'!$C:$C,J$29,'Full Crash Data'!$AN:$AN,"Township Highway Agency",'Full Crash Data'!$G:$G,"Train"),IF($B$2="City or Village Highway Agency",SUMIFS('Full Crash Data'!$V:$V,'Full Crash Data'!$C:$C,J$29,'Full Crash Data'!$AN:$AN,"City or Village Highway Agency",'Full Crash Data'!$G:$G,"Train"))))))</f>
        <v>0</v>
      </c>
      <c r="K35" s="272">
        <f t="shared" ref="K35" si="140">IFERROR(ROUND(J35/J$32,2),0)</f>
        <v>0</v>
      </c>
      <c r="L35" s="295">
        <f>IF($B$2="All",SUMIFS('Full Crash Data'!$V:$V,'Full Crash Data'!$C:$C,L$29,'Full Crash Data'!$G:$G,"Train"),IF($B$2="State Highway Agency",SUMIFS('Full Crash Data'!$V:$V,'Full Crash Data'!$C:$C,L$29,'Full Crash Data'!$AN:$AN,"State Highway Agency",'Full Crash Data'!$G:$G,"Train"),IF($B$2="County Highway Agency",SUMIFS('Full Crash Data'!$V:$V,'Full Crash Data'!$C:$C,L$29,'Full Crash Data'!$AN:$AN,"County Highway Agency",'Full Crash Data'!$G:$G,"Train"),IF($B$2="Township Highway Agency",SUMIFS('Full Crash Data'!$V:$V,'Full Crash Data'!$C:$C,L$29,'Full Crash Data'!$AN:$AN,"Township Highway Agency",'Full Crash Data'!$G:$G,"Train"),IF($B$2="City or Village Highway Agency",SUMIFS('Full Crash Data'!$V:$V,'Full Crash Data'!$C:$C,L$29,'Full Crash Data'!$AN:$AN,"City or Village Highway Agency",'Full Crash Data'!$G:$G,"Train"))))))</f>
        <v>0</v>
      </c>
      <c r="M35" s="272">
        <f t="shared" ref="M35" si="141">IFERROR(ROUND(L35/L$32,2),0)</f>
        <v>0</v>
      </c>
      <c r="N35" s="295">
        <f>IF($B$2="All",SUMIFS('Full Crash Data'!$V:$V,'Full Crash Data'!$C:$C,N$29,'Full Crash Data'!$G:$G,"Train"),IF($B$2="State Highway Agency",SUMIFS('Full Crash Data'!$V:$V,'Full Crash Data'!$C:$C,N$29,'Full Crash Data'!$AN:$AN,"State Highway Agency",'Full Crash Data'!$G:$G,"Train"),IF($B$2="County Highway Agency",SUMIFS('Full Crash Data'!$V:$V,'Full Crash Data'!$C:$C,N$29,'Full Crash Data'!$AN:$AN,"County Highway Agency",'Full Crash Data'!$G:$G,"Train"),IF($B$2="Township Highway Agency",SUMIFS('Full Crash Data'!$V:$V,'Full Crash Data'!$C:$C,N$29,'Full Crash Data'!$AN:$AN,"Township Highway Agency",'Full Crash Data'!$G:$G,"Train"),IF($B$2="City or Village Highway Agency",SUMIFS('Full Crash Data'!$V:$V,'Full Crash Data'!$C:$C,N$29,'Full Crash Data'!$AN:$AN,"City or Village Highway Agency",'Full Crash Data'!$G:$G,"Train"))))))</f>
        <v>0</v>
      </c>
      <c r="O35" s="272">
        <f t="shared" ref="O35" si="142">IFERROR(ROUND(N35/N$32,2),0)</f>
        <v>0</v>
      </c>
      <c r="P35" s="295">
        <f>IF($B$2="All",SUMIFS('Full Crash Data'!$V:$V,'Full Crash Data'!$C:$C,P$29,'Full Crash Data'!$G:$G,"Train"),IF($B$2="State Highway Agency",SUMIFS('Full Crash Data'!$V:$V,'Full Crash Data'!$C:$C,P$29,'Full Crash Data'!$AN:$AN,"State Highway Agency",'Full Crash Data'!$G:$G,"Train"),IF($B$2="County Highway Agency",SUMIFS('Full Crash Data'!$V:$V,'Full Crash Data'!$C:$C,P$29,'Full Crash Data'!$AN:$AN,"County Highway Agency",'Full Crash Data'!$G:$G,"Train"),IF($B$2="Township Highway Agency",SUMIFS('Full Crash Data'!$V:$V,'Full Crash Data'!$C:$C,P$29,'Full Crash Data'!$AN:$AN,"Township Highway Agency",'Full Crash Data'!$G:$G,"Train"),IF($B$2="City or Village Highway Agency",SUMIFS('Full Crash Data'!$V:$V,'Full Crash Data'!$C:$C,P$29,'Full Crash Data'!$AN:$AN,"City or Village Highway Agency",'Full Crash Data'!$G:$G,"Train"))))))</f>
        <v>0</v>
      </c>
      <c r="Q35" s="272">
        <f t="shared" ref="Q35" si="143">IFERROR(ROUND(P35/P$32,2),0)</f>
        <v>0</v>
      </c>
      <c r="R35" s="295">
        <f>IF($B$2="All",SUMIFS('Full Crash Data'!$V:$V,'Full Crash Data'!$C:$C,R$29,'Full Crash Data'!$G:$G,"Train"),IF($B$2="State Highway Agency",SUMIFS('Full Crash Data'!$V:$V,'Full Crash Data'!$C:$C,R$29,'Full Crash Data'!$AN:$AN,"State Highway Agency",'Full Crash Data'!$G:$G,"Train"),IF($B$2="County Highway Agency",SUMIFS('Full Crash Data'!$V:$V,'Full Crash Data'!$C:$C,R$29,'Full Crash Data'!$AN:$AN,"County Highway Agency",'Full Crash Data'!$G:$G,"Train"),IF($B$2="Township Highway Agency",SUMIFS('Full Crash Data'!$V:$V,'Full Crash Data'!$C:$C,R$29,'Full Crash Data'!$AN:$AN,"Township Highway Agency",'Full Crash Data'!$G:$G,"Train"),IF($B$2="City or Village Highway Agency",SUMIFS('Full Crash Data'!$V:$V,'Full Crash Data'!$C:$C,R$29,'Full Crash Data'!$AN:$AN,"City or Village Highway Agency",'Full Crash Data'!$G:$G,"Train"))))))</f>
        <v>0</v>
      </c>
      <c r="S35" s="272">
        <f t="shared" ref="S35" si="144">IFERROR(ROUND(R35/R$32,2),0)</f>
        <v>0</v>
      </c>
      <c r="T35" s="295">
        <f>IF($B$2="All",SUMIFS('Full Crash Data'!$V:$V,'Full Crash Data'!$C:$C,T$29,'Full Crash Data'!$G:$G,"Train"),IF($B$2="State Highway Agency",SUMIFS('Full Crash Data'!$V:$V,'Full Crash Data'!$C:$C,T$29,'Full Crash Data'!$AN:$AN,"State Highway Agency",'Full Crash Data'!$G:$G,"Train"),IF($B$2="County Highway Agency",SUMIFS('Full Crash Data'!$V:$V,'Full Crash Data'!$C:$C,T$29,'Full Crash Data'!$AN:$AN,"County Highway Agency",'Full Crash Data'!$G:$G,"Train"),IF($B$2="Township Highway Agency",SUMIFS('Full Crash Data'!$V:$V,'Full Crash Data'!$C:$C,T$29,'Full Crash Data'!$AN:$AN,"Township Highway Agency",'Full Crash Data'!$G:$G,"Train"),IF($B$2="City or Village Highway Agency",SUMIFS('Full Crash Data'!$V:$V,'Full Crash Data'!$C:$C,T$29,'Full Crash Data'!$AN:$AN,"City or Village Highway Agency",'Full Crash Data'!$G:$G,"Train"))))))</f>
        <v>0</v>
      </c>
      <c r="U35" s="272">
        <f t="shared" ref="U35" si="145">IFERROR(ROUND(T35/T$32,2),0)</f>
        <v>0</v>
      </c>
      <c r="V35" s="295">
        <f>IF($B$2="All",SUMIFS('Full Crash Data'!$V:$V,'Full Crash Data'!$C:$C,V$29,'Full Crash Data'!$G:$G,"Train"),IF($B$2="State Highway Agency",SUMIFS('Full Crash Data'!$V:$V,'Full Crash Data'!$C:$C,V$29,'Full Crash Data'!$AN:$AN,"State Highway Agency",'Full Crash Data'!$G:$G,"Train"),IF($B$2="County Highway Agency",SUMIFS('Full Crash Data'!$V:$V,'Full Crash Data'!$C:$C,V$29,'Full Crash Data'!$AN:$AN,"County Highway Agency",'Full Crash Data'!$G:$G,"Train"),IF($B$2="Township Highway Agency",SUMIFS('Full Crash Data'!$V:$V,'Full Crash Data'!$C:$C,V$29,'Full Crash Data'!$AN:$AN,"Township Highway Agency",'Full Crash Data'!$G:$G,"Train"),IF($B$2="City or Village Highway Agency",SUMIFS('Full Crash Data'!$V:$V,'Full Crash Data'!$C:$C,V$29,'Full Crash Data'!$AN:$AN,"City or Village Highway Agency",'Full Crash Data'!$G:$G,"Train"))))))</f>
        <v>0</v>
      </c>
      <c r="W35" s="272">
        <f t="shared" ref="W35" si="146">IFERROR(ROUND(V35/V$32,2),0)</f>
        <v>0</v>
      </c>
      <c r="AE35" s="116">
        <v>10</v>
      </c>
    </row>
    <row r="36" spans="1:31" ht="22.5" customHeight="1" x14ac:dyDescent="0.2">
      <c r="A36" s="294" t="s">
        <v>5997</v>
      </c>
      <c r="B36" s="295">
        <f>IF($B$2="All",SUMIFS('Full Crash Data'!$V:$V,'Full Crash Data'!$C:$C,B$29,'Full Crash Data'!$AY:$AY,"Yes"),IF($B$2="State Highway Agency",SUMIFS('Full Crash Data'!$V:$V,'Full Crash Data'!$C:$C,B$29,'Full Crash Data'!$AN:$AN,"State Highway Agency",'Full Crash Data'!$AY:$AY,"Yes"),IF($B$2="County Highway Agency",SUMIFS('Full Crash Data'!$V:$V,'Full Crash Data'!$C:$C,B$29,'Full Crash Data'!$AN:$AN,"County Highway Agency",'Full Crash Data'!$AY:$AY,"Yes"),IF($B$2="Township Highway Agency",SUMIFS('Full Crash Data'!$V:$V,'Full Crash Data'!$C:$C,B$29,'Full Crash Data'!$AN:$AN,"Township Highway Agency",'Full Crash Data'!$AY:$AY,"Yes"),IF($B$2="City or Village Highway Agency",SUMIFS('Full Crash Data'!$V:$V,'Full Crash Data'!$C:$C,B$29,'Full Crash Data'!$AN:$AN,"City or Village Highway Agency",'Full Crash Data'!$AY:$AY,"Yes"))))))</f>
        <v>0</v>
      </c>
      <c r="C36" s="272">
        <f t="shared" si="128"/>
        <v>0</v>
      </c>
      <c r="D36" s="295">
        <f>IF($B$2="All",SUMIFS('Full Crash Data'!$V:$V,'Full Crash Data'!$C:$C,D$29,'Full Crash Data'!$AY:$AY,"Yes"),IF($B$2="State Highway Agency",SUMIFS('Full Crash Data'!$V:$V,'Full Crash Data'!$C:$C,D$29,'Full Crash Data'!$AN:$AN,"State Highway Agency",'Full Crash Data'!$AY:$AY,"Yes"),IF($B$2="County Highway Agency",SUMIFS('Full Crash Data'!$V:$V,'Full Crash Data'!$C:$C,D$29,'Full Crash Data'!$AN:$AN,"County Highway Agency",'Full Crash Data'!$AY:$AY,"Yes"),IF($B$2="Township Highway Agency",SUMIFS('Full Crash Data'!$V:$V,'Full Crash Data'!$C:$C,D$29,'Full Crash Data'!$AN:$AN,"Township Highway Agency",'Full Crash Data'!$AY:$AY,"Yes"),IF($B$2="City or Village Highway Agency",SUMIFS('Full Crash Data'!$V:$V,'Full Crash Data'!$C:$C,D$29,'Full Crash Data'!$AN:$AN,"City or Village Highway Agency",'Full Crash Data'!$AY:$AY,"Yes"))))))</f>
        <v>0</v>
      </c>
      <c r="E36" s="272">
        <f t="shared" si="128"/>
        <v>0</v>
      </c>
      <c r="F36" s="295">
        <f>IF($B$2="All",SUMIFS('Full Crash Data'!$V:$V,'Full Crash Data'!$C:$C,F$29,'Full Crash Data'!$AY:$AY,"Yes"),IF($B$2="State Highway Agency",SUMIFS('Full Crash Data'!$V:$V,'Full Crash Data'!$C:$C,F$29,'Full Crash Data'!$AN:$AN,"State Highway Agency",'Full Crash Data'!$AY:$AY,"Yes"),IF($B$2="County Highway Agency",SUMIFS('Full Crash Data'!$V:$V,'Full Crash Data'!$C:$C,F$29,'Full Crash Data'!$AN:$AN,"County Highway Agency",'Full Crash Data'!$AY:$AY,"Yes"),IF($B$2="Township Highway Agency",SUMIFS('Full Crash Data'!$V:$V,'Full Crash Data'!$C:$C,F$29,'Full Crash Data'!$AN:$AN,"Township Highway Agency",'Full Crash Data'!$AY:$AY,"Yes"),IF($B$2="City or Village Highway Agency",SUMIFS('Full Crash Data'!$V:$V,'Full Crash Data'!$C:$C,F$29,'Full Crash Data'!$AN:$AN,"City or Village Highway Agency",'Full Crash Data'!$AY:$AY,"Yes"))))))</f>
        <v>0</v>
      </c>
      <c r="G36" s="272">
        <f t="shared" ref="G36" si="147">IFERROR(ROUND(F36/F$32,2),0)</f>
        <v>0</v>
      </c>
      <c r="H36" s="295">
        <f>IF($B$2="All",SUMIFS('Full Crash Data'!$V:$V,'Full Crash Data'!$C:$C,H$29,'Full Crash Data'!$AY:$AY,"Yes"),IF($B$2="State Highway Agency",SUMIFS('Full Crash Data'!$V:$V,'Full Crash Data'!$C:$C,H$29,'Full Crash Data'!$AN:$AN,"State Highway Agency",'Full Crash Data'!$AY:$AY,"Yes"),IF($B$2="County Highway Agency",SUMIFS('Full Crash Data'!$V:$V,'Full Crash Data'!$C:$C,H$29,'Full Crash Data'!$AN:$AN,"County Highway Agency",'Full Crash Data'!$AY:$AY,"Yes"),IF($B$2="Township Highway Agency",SUMIFS('Full Crash Data'!$V:$V,'Full Crash Data'!$C:$C,H$29,'Full Crash Data'!$AN:$AN,"Township Highway Agency",'Full Crash Data'!$AY:$AY,"Yes"),IF($B$2="City or Village Highway Agency",SUMIFS('Full Crash Data'!$V:$V,'Full Crash Data'!$C:$C,H$29,'Full Crash Data'!$AN:$AN,"City or Village Highway Agency",'Full Crash Data'!$AY:$AY,"Yes"))))))</f>
        <v>0</v>
      </c>
      <c r="I36" s="272">
        <f t="shared" ref="I36" si="148">IFERROR(ROUND(H36/H$32,2),0)</f>
        <v>0</v>
      </c>
      <c r="J36" s="295">
        <f>IF($B$2="All",SUMIFS('Full Crash Data'!$V:$V,'Full Crash Data'!$C:$C,J$29,'Full Crash Data'!$AY:$AY,"Yes"),IF($B$2="State Highway Agency",SUMIFS('Full Crash Data'!$V:$V,'Full Crash Data'!$C:$C,J$29,'Full Crash Data'!$AN:$AN,"State Highway Agency",'Full Crash Data'!$AY:$AY,"Yes"),IF($B$2="County Highway Agency",SUMIFS('Full Crash Data'!$V:$V,'Full Crash Data'!$C:$C,J$29,'Full Crash Data'!$AN:$AN,"County Highway Agency",'Full Crash Data'!$AY:$AY,"Yes"),IF($B$2="Township Highway Agency",SUMIFS('Full Crash Data'!$V:$V,'Full Crash Data'!$C:$C,J$29,'Full Crash Data'!$AN:$AN,"Township Highway Agency",'Full Crash Data'!$AY:$AY,"Yes"),IF($B$2="City or Village Highway Agency",SUMIFS('Full Crash Data'!$V:$V,'Full Crash Data'!$C:$C,J$29,'Full Crash Data'!$AN:$AN,"City or Village Highway Agency",'Full Crash Data'!$AY:$AY,"Yes"))))))</f>
        <v>2</v>
      </c>
      <c r="K36" s="272">
        <f t="shared" ref="K36" si="149">IFERROR(ROUND(J36/J$32,2),0)</f>
        <v>0.5</v>
      </c>
      <c r="L36" s="295">
        <f>IF($B$2="All",SUMIFS('Full Crash Data'!$V:$V,'Full Crash Data'!$C:$C,L$29,'Full Crash Data'!$AY:$AY,"Yes"),IF($B$2="State Highway Agency",SUMIFS('Full Crash Data'!$V:$V,'Full Crash Data'!$C:$C,L$29,'Full Crash Data'!$AN:$AN,"State Highway Agency",'Full Crash Data'!$AY:$AY,"Yes"),IF($B$2="County Highway Agency",SUMIFS('Full Crash Data'!$V:$V,'Full Crash Data'!$C:$C,L$29,'Full Crash Data'!$AN:$AN,"County Highway Agency",'Full Crash Data'!$AY:$AY,"Yes"),IF($B$2="Township Highway Agency",SUMIFS('Full Crash Data'!$V:$V,'Full Crash Data'!$C:$C,L$29,'Full Crash Data'!$AN:$AN,"Township Highway Agency",'Full Crash Data'!$AY:$AY,"Yes"),IF($B$2="City or Village Highway Agency",SUMIFS('Full Crash Data'!$V:$V,'Full Crash Data'!$C:$C,L$29,'Full Crash Data'!$AN:$AN,"City or Village Highway Agency",'Full Crash Data'!$AY:$AY,"Yes"))))))</f>
        <v>0</v>
      </c>
      <c r="M36" s="272">
        <f t="shared" ref="M36" si="150">IFERROR(ROUND(L36/L$32,2),0)</f>
        <v>0</v>
      </c>
      <c r="N36" s="295">
        <f>IF($B$2="All",SUMIFS('Full Crash Data'!$V:$V,'Full Crash Data'!$C:$C,N$29,'Full Crash Data'!$AY:$AY,"Yes"),IF($B$2="State Highway Agency",SUMIFS('Full Crash Data'!$V:$V,'Full Crash Data'!$C:$C,N$29,'Full Crash Data'!$AN:$AN,"State Highway Agency",'Full Crash Data'!$AY:$AY,"Yes"),IF($B$2="County Highway Agency",SUMIFS('Full Crash Data'!$V:$V,'Full Crash Data'!$C:$C,N$29,'Full Crash Data'!$AN:$AN,"County Highway Agency",'Full Crash Data'!$AY:$AY,"Yes"),IF($B$2="Township Highway Agency",SUMIFS('Full Crash Data'!$V:$V,'Full Crash Data'!$C:$C,N$29,'Full Crash Data'!$AN:$AN,"Township Highway Agency",'Full Crash Data'!$AY:$AY,"Yes"),IF($B$2="City or Village Highway Agency",SUMIFS('Full Crash Data'!$V:$V,'Full Crash Data'!$C:$C,N$29,'Full Crash Data'!$AN:$AN,"City or Village Highway Agency",'Full Crash Data'!$AY:$AY,"Yes"))))))</f>
        <v>0</v>
      </c>
      <c r="O36" s="272">
        <f t="shared" ref="O36" si="151">IFERROR(ROUND(N36/N$32,2),0)</f>
        <v>0</v>
      </c>
      <c r="P36" s="295">
        <f>IF($B$2="All",SUMIFS('Full Crash Data'!$V:$V,'Full Crash Data'!$C:$C,P$29,'Full Crash Data'!$AY:$AY,"Yes"),IF($B$2="State Highway Agency",SUMIFS('Full Crash Data'!$V:$V,'Full Crash Data'!$C:$C,P$29,'Full Crash Data'!$AN:$AN,"State Highway Agency",'Full Crash Data'!$AY:$AY,"Yes"),IF($B$2="County Highway Agency",SUMIFS('Full Crash Data'!$V:$V,'Full Crash Data'!$C:$C,P$29,'Full Crash Data'!$AN:$AN,"County Highway Agency",'Full Crash Data'!$AY:$AY,"Yes"),IF($B$2="Township Highway Agency",SUMIFS('Full Crash Data'!$V:$V,'Full Crash Data'!$C:$C,P$29,'Full Crash Data'!$AN:$AN,"Township Highway Agency",'Full Crash Data'!$AY:$AY,"Yes"),IF($B$2="City or Village Highway Agency",SUMIFS('Full Crash Data'!$V:$V,'Full Crash Data'!$C:$C,P$29,'Full Crash Data'!$AN:$AN,"City or Village Highway Agency",'Full Crash Data'!$AY:$AY,"Yes"))))))</f>
        <v>0</v>
      </c>
      <c r="Q36" s="272">
        <f t="shared" ref="Q36" si="152">IFERROR(ROUND(P36/P$32,2),0)</f>
        <v>0</v>
      </c>
      <c r="R36" s="295">
        <f>IF($B$2="All",SUMIFS('Full Crash Data'!$V:$V,'Full Crash Data'!$C:$C,R$29,'Full Crash Data'!$AY:$AY,"Yes"),IF($B$2="State Highway Agency",SUMIFS('Full Crash Data'!$V:$V,'Full Crash Data'!$C:$C,R$29,'Full Crash Data'!$AN:$AN,"State Highway Agency",'Full Crash Data'!$AY:$AY,"Yes"),IF($B$2="County Highway Agency",SUMIFS('Full Crash Data'!$V:$V,'Full Crash Data'!$C:$C,R$29,'Full Crash Data'!$AN:$AN,"County Highway Agency",'Full Crash Data'!$AY:$AY,"Yes"),IF($B$2="Township Highway Agency",SUMIFS('Full Crash Data'!$V:$V,'Full Crash Data'!$C:$C,R$29,'Full Crash Data'!$AN:$AN,"Township Highway Agency",'Full Crash Data'!$AY:$AY,"Yes"),IF($B$2="City or Village Highway Agency",SUMIFS('Full Crash Data'!$V:$V,'Full Crash Data'!$C:$C,R$29,'Full Crash Data'!$AN:$AN,"City or Village Highway Agency",'Full Crash Data'!$AY:$AY,"Yes"))))))</f>
        <v>0</v>
      </c>
      <c r="S36" s="272">
        <f t="shared" ref="S36" si="153">IFERROR(ROUND(R36/R$32,2),0)</f>
        <v>0</v>
      </c>
      <c r="T36" s="295">
        <f>IF($B$2="All",SUMIFS('Full Crash Data'!$V:$V,'Full Crash Data'!$C:$C,T$29,'Full Crash Data'!$AY:$AY,"Yes"),IF($B$2="State Highway Agency",SUMIFS('Full Crash Data'!$V:$V,'Full Crash Data'!$C:$C,T$29,'Full Crash Data'!$AN:$AN,"State Highway Agency",'Full Crash Data'!$AY:$AY,"Yes"),IF($B$2="County Highway Agency",SUMIFS('Full Crash Data'!$V:$V,'Full Crash Data'!$C:$C,T$29,'Full Crash Data'!$AN:$AN,"County Highway Agency",'Full Crash Data'!$AY:$AY,"Yes"),IF($B$2="Township Highway Agency",SUMIFS('Full Crash Data'!$V:$V,'Full Crash Data'!$C:$C,T$29,'Full Crash Data'!$AN:$AN,"Township Highway Agency",'Full Crash Data'!$AY:$AY,"Yes"),IF($B$2="City or Village Highway Agency",SUMIFS('Full Crash Data'!$V:$V,'Full Crash Data'!$C:$C,T$29,'Full Crash Data'!$AN:$AN,"City or Village Highway Agency",'Full Crash Data'!$AY:$AY,"Yes"))))))</f>
        <v>0</v>
      </c>
      <c r="U36" s="272">
        <f t="shared" ref="U36" si="154">IFERROR(ROUND(T36/T$32,2),0)</f>
        <v>0</v>
      </c>
      <c r="V36" s="295">
        <f>IF($B$2="All",SUMIFS('Full Crash Data'!$V:$V,'Full Crash Data'!$C:$C,V$29,'Full Crash Data'!$AY:$AY,"Yes"),IF($B$2="State Highway Agency",SUMIFS('Full Crash Data'!$V:$V,'Full Crash Data'!$C:$C,V$29,'Full Crash Data'!$AN:$AN,"State Highway Agency",'Full Crash Data'!$AY:$AY,"Yes"),IF($B$2="County Highway Agency",SUMIFS('Full Crash Data'!$V:$V,'Full Crash Data'!$C:$C,V$29,'Full Crash Data'!$AN:$AN,"County Highway Agency",'Full Crash Data'!$AY:$AY,"Yes"),IF($B$2="Township Highway Agency",SUMIFS('Full Crash Data'!$V:$V,'Full Crash Data'!$C:$C,V$29,'Full Crash Data'!$AN:$AN,"Township Highway Agency",'Full Crash Data'!$AY:$AY,"Yes"),IF($B$2="City or Village Highway Agency",SUMIFS('Full Crash Data'!$V:$V,'Full Crash Data'!$C:$C,V$29,'Full Crash Data'!$AN:$AN,"City or Village Highway Agency",'Full Crash Data'!$AY:$AY,"Yes"))))))</f>
        <v>0</v>
      </c>
      <c r="W36" s="272">
        <f t="shared" ref="W36" si="155">IFERROR(ROUND(V36/V$32,2),0)</f>
        <v>0</v>
      </c>
      <c r="AE36" s="116">
        <v>11</v>
      </c>
    </row>
    <row r="37" spans="1:31" ht="22.5" customHeight="1" x14ac:dyDescent="0.2">
      <c r="A37" s="296" t="s">
        <v>5990</v>
      </c>
      <c r="B37" s="297">
        <f>IF($B$2="All",SUMIFS('Full Crash Data'!$V:$V,'Full Crash Data'!$C:$C,B$29,'Full Crash Data'!$Z:$Z,"&gt;0"),IF($B$2="State Highway Agency",SUMIFS('Full Crash Data'!$V:$V,'Full Crash Data'!$C:$C,B$29,'Full Crash Data'!$AN:$AN,"State Highway Agency",'Full Crash Data'!$Z:$Z,"&gt;0"),IF($B$2="County Highway Agency",SUMIFS('Full Crash Data'!$V:$V,'Full Crash Data'!$C:$C,B$29,'Full Crash Data'!$AN:$AN,"County Highway Agency",'Full Crash Data'!$Z:$Z,"&gt;0"),IF($B$2="Township Highway Agency",SUMIFS('Full Crash Data'!$V:$V,'Full Crash Data'!$C:$C,B$29,'Full Crash Data'!$AN:$AN,"Township Highway Agency",'Full Crash Data'!$Z:$Z,"&gt;0"),IF($B$2="City or Village Highway Agency",SUMIFS('Full Crash Data'!$V:$V,'Full Crash Data'!$C:$C,B$29,'Full Crash Data'!$AN:$AN,"City or Village Highway Agency",'Full Crash Data'!$Z:$Z,"&gt;0"))))))</f>
        <v>0</v>
      </c>
      <c r="C37" s="272">
        <f t="shared" si="128"/>
        <v>0</v>
      </c>
      <c r="D37" s="297">
        <f>IF($B$2="All",SUMIFS('Full Crash Data'!$V:$V,'Full Crash Data'!$C:$C,D$29,'Full Crash Data'!$Z:$Z,"&gt;0"),IF($B$2="State Highway Agency",SUMIFS('Full Crash Data'!$V:$V,'Full Crash Data'!$C:$C,D$29,'Full Crash Data'!$AN:$AN,"State Highway Agency",'Full Crash Data'!$Z:$Z,"&gt;0"),IF($B$2="County Highway Agency",SUMIFS('Full Crash Data'!$V:$V,'Full Crash Data'!$C:$C,D$29,'Full Crash Data'!$AN:$AN,"County Highway Agency",'Full Crash Data'!$Z:$Z,"&gt;0"),IF($B$2="Township Highway Agency",SUMIFS('Full Crash Data'!$V:$V,'Full Crash Data'!$C:$C,D$29,'Full Crash Data'!$AN:$AN,"Township Highway Agency",'Full Crash Data'!$Z:$Z,"&gt;0"),IF($B$2="City or Village Highway Agency",SUMIFS('Full Crash Data'!$V:$V,'Full Crash Data'!$C:$C,D$29,'Full Crash Data'!$AN:$AN,"City or Village Highway Agency",'Full Crash Data'!$Z:$Z,"&gt;0"))))))</f>
        <v>0</v>
      </c>
      <c r="E37" s="272">
        <f t="shared" si="128"/>
        <v>0</v>
      </c>
      <c r="F37" s="297">
        <f>IF($B$2="All",SUMIFS('Full Crash Data'!$V:$V,'Full Crash Data'!$C:$C,F$29,'Full Crash Data'!$Z:$Z,"&gt;0"),IF($B$2="State Highway Agency",SUMIFS('Full Crash Data'!$V:$V,'Full Crash Data'!$C:$C,F$29,'Full Crash Data'!$AN:$AN,"State Highway Agency",'Full Crash Data'!$Z:$Z,"&gt;0"),IF($B$2="County Highway Agency",SUMIFS('Full Crash Data'!$V:$V,'Full Crash Data'!$C:$C,F$29,'Full Crash Data'!$AN:$AN,"County Highway Agency",'Full Crash Data'!$Z:$Z,"&gt;0"),IF($B$2="Township Highway Agency",SUMIFS('Full Crash Data'!$V:$V,'Full Crash Data'!$C:$C,F$29,'Full Crash Data'!$AN:$AN,"Township Highway Agency",'Full Crash Data'!$Z:$Z,"&gt;0"),IF($B$2="City or Village Highway Agency",SUMIFS('Full Crash Data'!$V:$V,'Full Crash Data'!$C:$C,F$29,'Full Crash Data'!$AN:$AN,"City or Village Highway Agency",'Full Crash Data'!$Z:$Z,"&gt;0"))))))</f>
        <v>1</v>
      </c>
      <c r="G37" s="272">
        <f t="shared" ref="G37" si="156">IFERROR(ROUND(F37/F$32,2),0)</f>
        <v>0.5</v>
      </c>
      <c r="H37" s="297">
        <f>IF($B$2="All",SUMIFS('Full Crash Data'!$V:$V,'Full Crash Data'!$C:$C,H$29,'Full Crash Data'!$Z:$Z,"&gt;0"),IF($B$2="State Highway Agency",SUMIFS('Full Crash Data'!$V:$V,'Full Crash Data'!$C:$C,H$29,'Full Crash Data'!$AN:$AN,"State Highway Agency",'Full Crash Data'!$Z:$Z,"&gt;0"),IF($B$2="County Highway Agency",SUMIFS('Full Crash Data'!$V:$V,'Full Crash Data'!$C:$C,H$29,'Full Crash Data'!$AN:$AN,"County Highway Agency",'Full Crash Data'!$Z:$Z,"&gt;0"),IF($B$2="Township Highway Agency",SUMIFS('Full Crash Data'!$V:$V,'Full Crash Data'!$C:$C,H$29,'Full Crash Data'!$AN:$AN,"Township Highway Agency",'Full Crash Data'!$Z:$Z,"&gt;0"),IF($B$2="City or Village Highway Agency",SUMIFS('Full Crash Data'!$V:$V,'Full Crash Data'!$C:$C,H$29,'Full Crash Data'!$AN:$AN,"City or Village Highway Agency",'Full Crash Data'!$Z:$Z,"&gt;0"))))))</f>
        <v>0</v>
      </c>
      <c r="I37" s="272">
        <f t="shared" ref="I37" si="157">IFERROR(ROUND(H37/H$32,2),0)</f>
        <v>0</v>
      </c>
      <c r="J37" s="297">
        <f>IF($B$2="All",SUMIFS('Full Crash Data'!$V:$V,'Full Crash Data'!$C:$C,J$29,'Full Crash Data'!$Z:$Z,"&gt;0"),IF($B$2="State Highway Agency",SUMIFS('Full Crash Data'!$V:$V,'Full Crash Data'!$C:$C,J$29,'Full Crash Data'!$AN:$AN,"State Highway Agency",'Full Crash Data'!$Z:$Z,"&gt;0"),IF($B$2="County Highway Agency",SUMIFS('Full Crash Data'!$V:$V,'Full Crash Data'!$C:$C,J$29,'Full Crash Data'!$AN:$AN,"County Highway Agency",'Full Crash Data'!$Z:$Z,"&gt;0"),IF($B$2="Township Highway Agency",SUMIFS('Full Crash Data'!$V:$V,'Full Crash Data'!$C:$C,J$29,'Full Crash Data'!$AN:$AN,"Township Highway Agency",'Full Crash Data'!$Z:$Z,"&gt;0"),IF($B$2="City or Village Highway Agency",SUMIFS('Full Crash Data'!$V:$V,'Full Crash Data'!$C:$C,J$29,'Full Crash Data'!$AN:$AN,"City or Village Highway Agency",'Full Crash Data'!$Z:$Z,"&gt;0"))))))</f>
        <v>1</v>
      </c>
      <c r="K37" s="272">
        <f t="shared" ref="K37" si="158">IFERROR(ROUND(J37/J$32,2),0)</f>
        <v>0.25</v>
      </c>
      <c r="L37" s="297">
        <f>IF($B$2="All",SUMIFS('Full Crash Data'!$V:$V,'Full Crash Data'!$C:$C,L$29,'Full Crash Data'!$Z:$Z,"&gt;0"),IF($B$2="State Highway Agency",SUMIFS('Full Crash Data'!$V:$V,'Full Crash Data'!$C:$C,L$29,'Full Crash Data'!$AN:$AN,"State Highway Agency",'Full Crash Data'!$Z:$Z,"&gt;0"),IF($B$2="County Highway Agency",SUMIFS('Full Crash Data'!$V:$V,'Full Crash Data'!$C:$C,L$29,'Full Crash Data'!$AN:$AN,"County Highway Agency",'Full Crash Data'!$Z:$Z,"&gt;0"),IF($B$2="Township Highway Agency",SUMIFS('Full Crash Data'!$V:$V,'Full Crash Data'!$C:$C,L$29,'Full Crash Data'!$AN:$AN,"Township Highway Agency",'Full Crash Data'!$Z:$Z,"&gt;0"),IF($B$2="City or Village Highway Agency",SUMIFS('Full Crash Data'!$V:$V,'Full Crash Data'!$C:$C,L$29,'Full Crash Data'!$AN:$AN,"City or Village Highway Agency",'Full Crash Data'!$Z:$Z,"&gt;0"))))))</f>
        <v>0</v>
      </c>
      <c r="M37" s="272">
        <f t="shared" ref="M37" si="159">IFERROR(ROUND(L37/L$32,2),0)</f>
        <v>0</v>
      </c>
      <c r="N37" s="297">
        <f>IF($B$2="All",SUMIFS('Full Crash Data'!$V:$V,'Full Crash Data'!$C:$C,N$29,'Full Crash Data'!$Z:$Z,"&gt;0"),IF($B$2="State Highway Agency",SUMIFS('Full Crash Data'!$V:$V,'Full Crash Data'!$C:$C,N$29,'Full Crash Data'!$AN:$AN,"State Highway Agency",'Full Crash Data'!$Z:$Z,"&gt;0"),IF($B$2="County Highway Agency",SUMIFS('Full Crash Data'!$V:$V,'Full Crash Data'!$C:$C,N$29,'Full Crash Data'!$AN:$AN,"County Highway Agency",'Full Crash Data'!$Z:$Z,"&gt;0"),IF($B$2="Township Highway Agency",SUMIFS('Full Crash Data'!$V:$V,'Full Crash Data'!$C:$C,N$29,'Full Crash Data'!$AN:$AN,"Township Highway Agency",'Full Crash Data'!$Z:$Z,"&gt;0"),IF($B$2="City or Village Highway Agency",SUMIFS('Full Crash Data'!$V:$V,'Full Crash Data'!$C:$C,N$29,'Full Crash Data'!$AN:$AN,"City or Village Highway Agency",'Full Crash Data'!$Z:$Z,"&gt;0"))))))</f>
        <v>0</v>
      </c>
      <c r="O37" s="272">
        <f t="shared" ref="O37" si="160">IFERROR(ROUND(N37/N$32,2),0)</f>
        <v>0</v>
      </c>
      <c r="P37" s="297">
        <f>IF($B$2="All",SUMIFS('Full Crash Data'!$V:$V,'Full Crash Data'!$C:$C,P$29,'Full Crash Data'!$Z:$Z,"&gt;0"),IF($B$2="State Highway Agency",SUMIFS('Full Crash Data'!$V:$V,'Full Crash Data'!$C:$C,P$29,'Full Crash Data'!$AN:$AN,"State Highway Agency",'Full Crash Data'!$Z:$Z,"&gt;0"),IF($B$2="County Highway Agency",SUMIFS('Full Crash Data'!$V:$V,'Full Crash Data'!$C:$C,P$29,'Full Crash Data'!$AN:$AN,"County Highway Agency",'Full Crash Data'!$Z:$Z,"&gt;0"),IF($B$2="Township Highway Agency",SUMIFS('Full Crash Data'!$V:$V,'Full Crash Data'!$C:$C,P$29,'Full Crash Data'!$AN:$AN,"Township Highway Agency",'Full Crash Data'!$Z:$Z,"&gt;0"),IF($B$2="City or Village Highway Agency",SUMIFS('Full Crash Data'!$V:$V,'Full Crash Data'!$C:$C,P$29,'Full Crash Data'!$AN:$AN,"City or Village Highway Agency",'Full Crash Data'!$Z:$Z,"&gt;0"))))))</f>
        <v>0</v>
      </c>
      <c r="Q37" s="272">
        <f t="shared" ref="Q37" si="161">IFERROR(ROUND(P37/P$32,2),0)</f>
        <v>0</v>
      </c>
      <c r="R37" s="297">
        <f>IF($B$2="All",SUMIFS('Full Crash Data'!$V:$V,'Full Crash Data'!$C:$C,R$29,'Full Crash Data'!$Z:$Z,"&gt;0"),IF($B$2="State Highway Agency",SUMIFS('Full Crash Data'!$V:$V,'Full Crash Data'!$C:$C,R$29,'Full Crash Data'!$AN:$AN,"State Highway Agency",'Full Crash Data'!$Z:$Z,"&gt;0"),IF($B$2="County Highway Agency",SUMIFS('Full Crash Data'!$V:$V,'Full Crash Data'!$C:$C,R$29,'Full Crash Data'!$AN:$AN,"County Highway Agency",'Full Crash Data'!$Z:$Z,"&gt;0"),IF($B$2="Township Highway Agency",SUMIFS('Full Crash Data'!$V:$V,'Full Crash Data'!$C:$C,R$29,'Full Crash Data'!$AN:$AN,"Township Highway Agency",'Full Crash Data'!$Z:$Z,"&gt;0"),IF($B$2="City or Village Highway Agency",SUMIFS('Full Crash Data'!$V:$V,'Full Crash Data'!$C:$C,R$29,'Full Crash Data'!$AN:$AN,"City or Village Highway Agency",'Full Crash Data'!$Z:$Z,"&gt;0"))))))</f>
        <v>0</v>
      </c>
      <c r="S37" s="272">
        <f t="shared" ref="S37" si="162">IFERROR(ROUND(R37/R$32,2),0)</f>
        <v>0</v>
      </c>
      <c r="T37" s="297">
        <f>IF($B$2="All",SUMIFS('Full Crash Data'!$V:$V,'Full Crash Data'!$C:$C,T$29,'Full Crash Data'!$Z:$Z,"&gt;0"),IF($B$2="State Highway Agency",SUMIFS('Full Crash Data'!$V:$V,'Full Crash Data'!$C:$C,T$29,'Full Crash Data'!$AN:$AN,"State Highway Agency",'Full Crash Data'!$Z:$Z,"&gt;0"),IF($B$2="County Highway Agency",SUMIFS('Full Crash Data'!$V:$V,'Full Crash Data'!$C:$C,T$29,'Full Crash Data'!$AN:$AN,"County Highway Agency",'Full Crash Data'!$Z:$Z,"&gt;0"),IF($B$2="Township Highway Agency",SUMIFS('Full Crash Data'!$V:$V,'Full Crash Data'!$C:$C,T$29,'Full Crash Data'!$AN:$AN,"Township Highway Agency",'Full Crash Data'!$Z:$Z,"&gt;0"),IF($B$2="City or Village Highway Agency",SUMIFS('Full Crash Data'!$V:$V,'Full Crash Data'!$C:$C,T$29,'Full Crash Data'!$AN:$AN,"City or Village Highway Agency",'Full Crash Data'!$Z:$Z,"&gt;0"))))))</f>
        <v>0</v>
      </c>
      <c r="U37" s="272">
        <f t="shared" ref="U37" si="163">IFERROR(ROUND(T37/T$32,2),0)</f>
        <v>0</v>
      </c>
      <c r="V37" s="297">
        <f>IF($B$2="All",SUMIFS('Full Crash Data'!$V:$V,'Full Crash Data'!$C:$C,V$29,'Full Crash Data'!$Z:$Z,"&gt;0"),IF($B$2="State Highway Agency",SUMIFS('Full Crash Data'!$V:$V,'Full Crash Data'!$C:$C,V$29,'Full Crash Data'!$AN:$AN,"State Highway Agency",'Full Crash Data'!$Z:$Z,"&gt;0"),IF($B$2="County Highway Agency",SUMIFS('Full Crash Data'!$V:$V,'Full Crash Data'!$C:$C,V$29,'Full Crash Data'!$AN:$AN,"County Highway Agency",'Full Crash Data'!$Z:$Z,"&gt;0"),IF($B$2="Township Highway Agency",SUMIFS('Full Crash Data'!$V:$V,'Full Crash Data'!$C:$C,V$29,'Full Crash Data'!$AN:$AN,"Township Highway Agency",'Full Crash Data'!$Z:$Z,"&gt;0"),IF($B$2="City or Village Highway Agency",SUMIFS('Full Crash Data'!$V:$V,'Full Crash Data'!$C:$C,V$29,'Full Crash Data'!$AN:$AN,"City or Village Highway Agency",'Full Crash Data'!$Z:$Z,"&gt;0"))))))</f>
        <v>0</v>
      </c>
      <c r="W37" s="272">
        <f t="shared" ref="W37" si="164">IFERROR(ROUND(V37/V$32,2),0)</f>
        <v>0</v>
      </c>
      <c r="AE37" s="116">
        <v>12</v>
      </c>
    </row>
    <row r="38" spans="1:31" ht="22.5" customHeight="1" x14ac:dyDescent="0.2">
      <c r="A38" s="294" t="s">
        <v>5998</v>
      </c>
      <c r="B38" s="298">
        <f>IF($B$2="All",SUMIFS('Full Crash Data'!$V:$V,'Full Crash Data'!$C:$C,B$29,'Full Crash Data'!$BD:$BD,"Yes"),IF($B$2="State Highway Agency",SUMIFS('Full Crash Data'!$V:$V,'Full Crash Data'!$C:$C,B$29,'Full Crash Data'!$AN:$AN,"State Highway Agency",'Full Crash Data'!$BD:$BD,"Yes"),IF($B$2="County Highway Agency",SUMIFS('Full Crash Data'!$V:$V,'Full Crash Data'!$C:$C,B$29,'Full Crash Data'!$AN:$AN,"County Highway Agency",'Full Crash Data'!$BD:$BD,"Yes"),IF($B$2="Township Highway Agency",SUMIFS('Full Crash Data'!$V:$V,'Full Crash Data'!$C:$C,B$29,'Full Crash Data'!$AN:$AN,"Township Highway Agency",'Full Crash Data'!$BD:$BD,"Yes"),IF($B$2="City or Village Highway Agency",SUMIFS('Full Crash Data'!$V:$V,'Full Crash Data'!$C:$C,B$29,'Full Crash Data'!$AN:$AN,"City or Village Highway Agency",'Full Crash Data'!$BD:$BD,"Yes"))))))</f>
        <v>1</v>
      </c>
      <c r="C38" s="272">
        <f t="shared" si="128"/>
        <v>0.5</v>
      </c>
      <c r="D38" s="298">
        <f>IF($B$2="All",SUMIFS('Full Crash Data'!$V:$V,'Full Crash Data'!$C:$C,D$29,'Full Crash Data'!$BD:$BD,"Yes"),IF($B$2="State Highway Agency",SUMIFS('Full Crash Data'!$V:$V,'Full Crash Data'!$C:$C,D$29,'Full Crash Data'!$AN:$AN,"State Highway Agency",'Full Crash Data'!$BD:$BD,"Yes"),IF($B$2="County Highway Agency",SUMIFS('Full Crash Data'!$V:$V,'Full Crash Data'!$C:$C,D$29,'Full Crash Data'!$AN:$AN,"County Highway Agency",'Full Crash Data'!$BD:$BD,"Yes"),IF($B$2="Township Highway Agency",SUMIFS('Full Crash Data'!$V:$V,'Full Crash Data'!$C:$C,D$29,'Full Crash Data'!$AN:$AN,"Township Highway Agency",'Full Crash Data'!$BD:$BD,"Yes"),IF($B$2="City or Village Highway Agency",SUMIFS('Full Crash Data'!$V:$V,'Full Crash Data'!$C:$C,D$29,'Full Crash Data'!$AN:$AN,"City or Village Highway Agency",'Full Crash Data'!$BD:$BD,"Yes"))))))</f>
        <v>0</v>
      </c>
      <c r="E38" s="272">
        <f t="shared" si="128"/>
        <v>0</v>
      </c>
      <c r="F38" s="298">
        <f>IF($B$2="All",SUMIFS('Full Crash Data'!$V:$V,'Full Crash Data'!$C:$C,F$29,'Full Crash Data'!$BD:$BD,"Yes"),IF($B$2="State Highway Agency",SUMIFS('Full Crash Data'!$V:$V,'Full Crash Data'!$C:$C,F$29,'Full Crash Data'!$AN:$AN,"State Highway Agency",'Full Crash Data'!$BD:$BD,"Yes"),IF($B$2="County Highway Agency",SUMIFS('Full Crash Data'!$V:$V,'Full Crash Data'!$C:$C,F$29,'Full Crash Data'!$AN:$AN,"County Highway Agency",'Full Crash Data'!$BD:$BD,"Yes"),IF($B$2="Township Highway Agency",SUMIFS('Full Crash Data'!$V:$V,'Full Crash Data'!$C:$C,F$29,'Full Crash Data'!$AN:$AN,"Township Highway Agency",'Full Crash Data'!$BD:$BD,"Yes"),IF($B$2="City or Village Highway Agency",SUMIFS('Full Crash Data'!$V:$V,'Full Crash Data'!$C:$C,F$29,'Full Crash Data'!$AN:$AN,"City or Village Highway Agency",'Full Crash Data'!$BD:$BD,"Yes"))))))</f>
        <v>0</v>
      </c>
      <c r="G38" s="272">
        <f t="shared" ref="G38" si="165">IFERROR(ROUND(F38/F$32,2),0)</f>
        <v>0</v>
      </c>
      <c r="H38" s="298">
        <f>IF($B$2="All",SUMIFS('Full Crash Data'!$V:$V,'Full Crash Data'!$C:$C,H$29,'Full Crash Data'!$BD:$BD,"Yes"),IF($B$2="State Highway Agency",SUMIFS('Full Crash Data'!$V:$V,'Full Crash Data'!$C:$C,H$29,'Full Crash Data'!$AN:$AN,"State Highway Agency",'Full Crash Data'!$BD:$BD,"Yes"),IF($B$2="County Highway Agency",SUMIFS('Full Crash Data'!$V:$V,'Full Crash Data'!$C:$C,H$29,'Full Crash Data'!$AN:$AN,"County Highway Agency",'Full Crash Data'!$BD:$BD,"Yes"),IF($B$2="Township Highway Agency",SUMIFS('Full Crash Data'!$V:$V,'Full Crash Data'!$C:$C,H$29,'Full Crash Data'!$AN:$AN,"Township Highway Agency",'Full Crash Data'!$BD:$BD,"Yes"),IF($B$2="City or Village Highway Agency",SUMIFS('Full Crash Data'!$V:$V,'Full Crash Data'!$C:$C,H$29,'Full Crash Data'!$AN:$AN,"City or Village Highway Agency",'Full Crash Data'!$BD:$BD,"Yes"))))))</f>
        <v>0</v>
      </c>
      <c r="I38" s="272">
        <f t="shared" ref="I38" si="166">IFERROR(ROUND(H38/H$32,2),0)</f>
        <v>0</v>
      </c>
      <c r="J38" s="298">
        <f>IF($B$2="All",SUMIFS('Full Crash Data'!$V:$V,'Full Crash Data'!$C:$C,J$29,'Full Crash Data'!$BD:$BD,"Yes"),IF($B$2="State Highway Agency",SUMIFS('Full Crash Data'!$V:$V,'Full Crash Data'!$C:$C,J$29,'Full Crash Data'!$AN:$AN,"State Highway Agency",'Full Crash Data'!$BD:$BD,"Yes"),IF($B$2="County Highway Agency",SUMIFS('Full Crash Data'!$V:$V,'Full Crash Data'!$C:$C,J$29,'Full Crash Data'!$AN:$AN,"County Highway Agency",'Full Crash Data'!$BD:$BD,"Yes"),IF($B$2="Township Highway Agency",SUMIFS('Full Crash Data'!$V:$V,'Full Crash Data'!$C:$C,J$29,'Full Crash Data'!$AN:$AN,"Township Highway Agency",'Full Crash Data'!$BD:$BD,"Yes"),IF($B$2="City or Village Highway Agency",SUMIFS('Full Crash Data'!$V:$V,'Full Crash Data'!$C:$C,J$29,'Full Crash Data'!$AN:$AN,"City or Village Highway Agency",'Full Crash Data'!$BD:$BD,"Yes"))))))</f>
        <v>3</v>
      </c>
      <c r="K38" s="272">
        <f t="shared" ref="K38" si="167">IFERROR(ROUND(J38/J$32,2),0)</f>
        <v>0.75</v>
      </c>
      <c r="L38" s="298">
        <f>IF($B$2="All",SUMIFS('Full Crash Data'!$V:$V,'Full Crash Data'!$C:$C,L$29,'Full Crash Data'!$BD:$BD,"Yes"),IF($B$2="State Highway Agency",SUMIFS('Full Crash Data'!$V:$V,'Full Crash Data'!$C:$C,L$29,'Full Crash Data'!$AN:$AN,"State Highway Agency",'Full Crash Data'!$BD:$BD,"Yes"),IF($B$2="County Highway Agency",SUMIFS('Full Crash Data'!$V:$V,'Full Crash Data'!$C:$C,L$29,'Full Crash Data'!$AN:$AN,"County Highway Agency",'Full Crash Data'!$BD:$BD,"Yes"),IF($B$2="Township Highway Agency",SUMIFS('Full Crash Data'!$V:$V,'Full Crash Data'!$C:$C,L$29,'Full Crash Data'!$AN:$AN,"Township Highway Agency",'Full Crash Data'!$BD:$BD,"Yes"),IF($B$2="City or Village Highway Agency",SUMIFS('Full Crash Data'!$V:$V,'Full Crash Data'!$C:$C,L$29,'Full Crash Data'!$AN:$AN,"City or Village Highway Agency",'Full Crash Data'!$BD:$BD,"Yes"))))))</f>
        <v>0</v>
      </c>
      <c r="M38" s="272">
        <f t="shared" ref="M38" si="168">IFERROR(ROUND(L38/L$32,2),0)</f>
        <v>0</v>
      </c>
      <c r="N38" s="298">
        <f>IF($B$2="All",SUMIFS('Full Crash Data'!$V:$V,'Full Crash Data'!$C:$C,N$29,'Full Crash Data'!$BD:$BD,"Yes"),IF($B$2="State Highway Agency",SUMIFS('Full Crash Data'!$V:$V,'Full Crash Data'!$C:$C,N$29,'Full Crash Data'!$AN:$AN,"State Highway Agency",'Full Crash Data'!$BD:$BD,"Yes"),IF($B$2="County Highway Agency",SUMIFS('Full Crash Data'!$V:$V,'Full Crash Data'!$C:$C,N$29,'Full Crash Data'!$AN:$AN,"County Highway Agency",'Full Crash Data'!$BD:$BD,"Yes"),IF($B$2="Township Highway Agency",SUMIFS('Full Crash Data'!$V:$V,'Full Crash Data'!$C:$C,N$29,'Full Crash Data'!$AN:$AN,"Township Highway Agency",'Full Crash Data'!$BD:$BD,"Yes"),IF($B$2="City or Village Highway Agency",SUMIFS('Full Crash Data'!$V:$V,'Full Crash Data'!$C:$C,N$29,'Full Crash Data'!$AN:$AN,"City or Village Highway Agency",'Full Crash Data'!$BD:$BD,"Yes"))))))</f>
        <v>0</v>
      </c>
      <c r="O38" s="272">
        <f t="shared" ref="O38" si="169">IFERROR(ROUND(N38/N$32,2),0)</f>
        <v>0</v>
      </c>
      <c r="P38" s="298">
        <f>IF($B$2="All",SUMIFS('Full Crash Data'!$V:$V,'Full Crash Data'!$C:$C,P$29,'Full Crash Data'!$BD:$BD,"Yes"),IF($B$2="State Highway Agency",SUMIFS('Full Crash Data'!$V:$V,'Full Crash Data'!$C:$C,P$29,'Full Crash Data'!$AN:$AN,"State Highway Agency",'Full Crash Data'!$BD:$BD,"Yes"),IF($B$2="County Highway Agency",SUMIFS('Full Crash Data'!$V:$V,'Full Crash Data'!$C:$C,P$29,'Full Crash Data'!$AN:$AN,"County Highway Agency",'Full Crash Data'!$BD:$BD,"Yes"),IF($B$2="Township Highway Agency",SUMIFS('Full Crash Data'!$V:$V,'Full Crash Data'!$C:$C,P$29,'Full Crash Data'!$AN:$AN,"Township Highway Agency",'Full Crash Data'!$BD:$BD,"Yes"),IF($B$2="City or Village Highway Agency",SUMIFS('Full Crash Data'!$V:$V,'Full Crash Data'!$C:$C,P$29,'Full Crash Data'!$AN:$AN,"City or Village Highway Agency",'Full Crash Data'!$BD:$BD,"Yes"))))))</f>
        <v>0</v>
      </c>
      <c r="Q38" s="272">
        <f t="shared" ref="Q38" si="170">IFERROR(ROUND(P38/P$32,2),0)</f>
        <v>0</v>
      </c>
      <c r="R38" s="298">
        <f>IF($B$2="All",SUMIFS('Full Crash Data'!$V:$V,'Full Crash Data'!$C:$C,R$29,'Full Crash Data'!$BD:$BD,"Yes"),IF($B$2="State Highway Agency",SUMIFS('Full Crash Data'!$V:$V,'Full Crash Data'!$C:$C,R$29,'Full Crash Data'!$AN:$AN,"State Highway Agency",'Full Crash Data'!$BD:$BD,"Yes"),IF($B$2="County Highway Agency",SUMIFS('Full Crash Data'!$V:$V,'Full Crash Data'!$C:$C,R$29,'Full Crash Data'!$AN:$AN,"County Highway Agency",'Full Crash Data'!$BD:$BD,"Yes"),IF($B$2="Township Highway Agency",SUMIFS('Full Crash Data'!$V:$V,'Full Crash Data'!$C:$C,R$29,'Full Crash Data'!$AN:$AN,"Township Highway Agency",'Full Crash Data'!$BD:$BD,"Yes"),IF($B$2="City or Village Highway Agency",SUMIFS('Full Crash Data'!$V:$V,'Full Crash Data'!$C:$C,R$29,'Full Crash Data'!$AN:$AN,"City or Village Highway Agency",'Full Crash Data'!$BD:$BD,"Yes"))))))</f>
        <v>0</v>
      </c>
      <c r="S38" s="272">
        <f t="shared" ref="S38" si="171">IFERROR(ROUND(R38/R$32,2),0)</f>
        <v>0</v>
      </c>
      <c r="T38" s="298">
        <f>IF($B$2="All",SUMIFS('Full Crash Data'!$V:$V,'Full Crash Data'!$C:$C,T$29,'Full Crash Data'!$BD:$BD,"Yes"),IF($B$2="State Highway Agency",SUMIFS('Full Crash Data'!$V:$V,'Full Crash Data'!$C:$C,T$29,'Full Crash Data'!$AN:$AN,"State Highway Agency",'Full Crash Data'!$BD:$BD,"Yes"),IF($B$2="County Highway Agency",SUMIFS('Full Crash Data'!$V:$V,'Full Crash Data'!$C:$C,T$29,'Full Crash Data'!$AN:$AN,"County Highway Agency",'Full Crash Data'!$BD:$BD,"Yes"),IF($B$2="Township Highway Agency",SUMIFS('Full Crash Data'!$V:$V,'Full Crash Data'!$C:$C,T$29,'Full Crash Data'!$AN:$AN,"Township Highway Agency",'Full Crash Data'!$BD:$BD,"Yes"),IF($B$2="City or Village Highway Agency",SUMIFS('Full Crash Data'!$V:$V,'Full Crash Data'!$C:$C,T$29,'Full Crash Data'!$AN:$AN,"City or Village Highway Agency",'Full Crash Data'!$BD:$BD,"Yes"))))))</f>
        <v>0</v>
      </c>
      <c r="U38" s="272">
        <f t="shared" ref="U38" si="172">IFERROR(ROUND(T38/T$32,2),0)</f>
        <v>0</v>
      </c>
      <c r="V38" s="298">
        <f>IF($B$2="All",SUMIFS('Full Crash Data'!$V:$V,'Full Crash Data'!$C:$C,V$29,'Full Crash Data'!$BD:$BD,"Yes"),IF($B$2="State Highway Agency",SUMIFS('Full Crash Data'!$V:$V,'Full Crash Data'!$C:$C,V$29,'Full Crash Data'!$AN:$AN,"State Highway Agency",'Full Crash Data'!$BD:$BD,"Yes"),IF($B$2="County Highway Agency",SUMIFS('Full Crash Data'!$V:$V,'Full Crash Data'!$C:$C,V$29,'Full Crash Data'!$AN:$AN,"County Highway Agency",'Full Crash Data'!$BD:$BD,"Yes"),IF($B$2="Township Highway Agency",SUMIFS('Full Crash Data'!$V:$V,'Full Crash Data'!$C:$C,V$29,'Full Crash Data'!$AN:$AN,"Township Highway Agency",'Full Crash Data'!$BD:$BD,"Yes"),IF($B$2="City or Village Highway Agency",SUMIFS('Full Crash Data'!$V:$V,'Full Crash Data'!$C:$C,V$29,'Full Crash Data'!$AN:$AN,"City or Village Highway Agency",'Full Crash Data'!$BD:$BD,"Yes"))))))</f>
        <v>0</v>
      </c>
      <c r="W38" s="272">
        <f t="shared" ref="W38" si="173">IFERROR(ROUND(V38/V$32,2),0)</f>
        <v>0</v>
      </c>
      <c r="AE38" s="116">
        <v>13</v>
      </c>
    </row>
    <row r="39" spans="1:31" ht="22.5" customHeight="1" x14ac:dyDescent="0.2">
      <c r="A39" s="294" t="s">
        <v>5991</v>
      </c>
      <c r="B39" s="295">
        <f>IF($B$2="All",SUMIFS('Full Crash Data'!$V:$V,'Full Crash Data'!$C:$C,B$29,'Full Crash Data'!$BF:$BF,"Yes"),IF($B$2="State Highway Agency",SUMIFS('Full Crash Data'!$V:$V,'Full Crash Data'!$C:$C,B$29,'Full Crash Data'!$AN:$AN,"State Highway Agency",'Full Crash Data'!$BF:$BF,"Yes"),IF($B$2="County Highway Agency",SUMIFS('Full Crash Data'!$V:$V,'Full Crash Data'!$C:$C,B$29,'Full Crash Data'!$AN:$AN,"County Highway Agency",'Full Crash Data'!$BF:$BF,"Yes"),IF($B$2="Township Highway Agency",SUMIFS('Full Crash Data'!$V:$V,'Full Crash Data'!$C:$C,B$29,'Full Crash Data'!$AN:$AN,"Township Highway Agency",'Full Crash Data'!$BF:$BF,"Yes"),IF($B$2="City or Village Highway Agency",SUMIFS('Full Crash Data'!$V:$V,'Full Crash Data'!$C:$C,B$29,'Full Crash Data'!$AN:$AN,"City or Village Highway Agency",'Full Crash Data'!$BF:$BF,"Yes"))))))</f>
        <v>1</v>
      </c>
      <c r="C39" s="272">
        <f t="shared" si="128"/>
        <v>0.5</v>
      </c>
      <c r="D39" s="295">
        <f>IF($B$2="All",SUMIFS('Full Crash Data'!$V:$V,'Full Crash Data'!$C:$C,D$29,'Full Crash Data'!$BF:$BF,"Yes"),IF($B$2="State Highway Agency",SUMIFS('Full Crash Data'!$V:$V,'Full Crash Data'!$C:$C,D$29,'Full Crash Data'!$AN:$AN,"State Highway Agency",'Full Crash Data'!$BF:$BF,"Yes"),IF($B$2="County Highway Agency",SUMIFS('Full Crash Data'!$V:$V,'Full Crash Data'!$C:$C,D$29,'Full Crash Data'!$AN:$AN,"County Highway Agency",'Full Crash Data'!$BF:$BF,"Yes"),IF($B$2="Township Highway Agency",SUMIFS('Full Crash Data'!$V:$V,'Full Crash Data'!$C:$C,D$29,'Full Crash Data'!$AN:$AN,"Township Highway Agency",'Full Crash Data'!$BF:$BF,"Yes"),IF($B$2="City or Village Highway Agency",SUMIFS('Full Crash Data'!$V:$V,'Full Crash Data'!$C:$C,D$29,'Full Crash Data'!$AN:$AN,"City or Village Highway Agency",'Full Crash Data'!$BF:$BF,"Yes"))))))</f>
        <v>0</v>
      </c>
      <c r="E39" s="272">
        <f t="shared" si="128"/>
        <v>0</v>
      </c>
      <c r="F39" s="295">
        <f>IF($B$2="All",SUMIFS('Full Crash Data'!$V:$V,'Full Crash Data'!$C:$C,F$29,'Full Crash Data'!$BF:$BF,"Yes"),IF($B$2="State Highway Agency",SUMIFS('Full Crash Data'!$V:$V,'Full Crash Data'!$C:$C,F$29,'Full Crash Data'!$AN:$AN,"State Highway Agency",'Full Crash Data'!$BF:$BF,"Yes"),IF($B$2="County Highway Agency",SUMIFS('Full Crash Data'!$V:$V,'Full Crash Data'!$C:$C,F$29,'Full Crash Data'!$AN:$AN,"County Highway Agency",'Full Crash Data'!$BF:$BF,"Yes"),IF($B$2="Township Highway Agency",SUMIFS('Full Crash Data'!$V:$V,'Full Crash Data'!$C:$C,F$29,'Full Crash Data'!$AN:$AN,"Township Highway Agency",'Full Crash Data'!$BF:$BF,"Yes"),IF($B$2="City or Village Highway Agency",SUMIFS('Full Crash Data'!$V:$V,'Full Crash Data'!$C:$C,F$29,'Full Crash Data'!$AN:$AN,"City or Village Highway Agency",'Full Crash Data'!$BF:$BF,"Yes"))))))</f>
        <v>0</v>
      </c>
      <c r="G39" s="272">
        <f t="shared" ref="G39" si="174">IFERROR(ROUND(F39/F$32,2),0)</f>
        <v>0</v>
      </c>
      <c r="H39" s="295">
        <f>IF($B$2="All",SUMIFS('Full Crash Data'!$V:$V,'Full Crash Data'!$C:$C,H$29,'Full Crash Data'!$BF:$BF,"Yes"),IF($B$2="State Highway Agency",SUMIFS('Full Crash Data'!$V:$V,'Full Crash Data'!$C:$C,H$29,'Full Crash Data'!$AN:$AN,"State Highway Agency",'Full Crash Data'!$BF:$BF,"Yes"),IF($B$2="County Highway Agency",SUMIFS('Full Crash Data'!$V:$V,'Full Crash Data'!$C:$C,H$29,'Full Crash Data'!$AN:$AN,"County Highway Agency",'Full Crash Data'!$BF:$BF,"Yes"),IF($B$2="Township Highway Agency",SUMIFS('Full Crash Data'!$V:$V,'Full Crash Data'!$C:$C,H$29,'Full Crash Data'!$AN:$AN,"Township Highway Agency",'Full Crash Data'!$BF:$BF,"Yes"),IF($B$2="City or Village Highway Agency",SUMIFS('Full Crash Data'!$V:$V,'Full Crash Data'!$C:$C,H$29,'Full Crash Data'!$AN:$AN,"City or Village Highway Agency",'Full Crash Data'!$BF:$BF,"Yes"))))))</f>
        <v>0</v>
      </c>
      <c r="I39" s="272">
        <f t="shared" ref="I39" si="175">IFERROR(ROUND(H39/H$32,2),0)</f>
        <v>0</v>
      </c>
      <c r="J39" s="295">
        <f>IF($B$2="All",SUMIFS('Full Crash Data'!$V:$V,'Full Crash Data'!$C:$C,J$29,'Full Crash Data'!$BF:$BF,"Yes"),IF($B$2="State Highway Agency",SUMIFS('Full Crash Data'!$V:$V,'Full Crash Data'!$C:$C,J$29,'Full Crash Data'!$AN:$AN,"State Highway Agency",'Full Crash Data'!$BF:$BF,"Yes"),IF($B$2="County Highway Agency",SUMIFS('Full Crash Data'!$V:$V,'Full Crash Data'!$C:$C,J$29,'Full Crash Data'!$AN:$AN,"County Highway Agency",'Full Crash Data'!$BF:$BF,"Yes"),IF($B$2="Township Highway Agency",SUMIFS('Full Crash Data'!$V:$V,'Full Crash Data'!$C:$C,J$29,'Full Crash Data'!$AN:$AN,"Township Highway Agency",'Full Crash Data'!$BF:$BF,"Yes"),IF($B$2="City or Village Highway Agency",SUMIFS('Full Crash Data'!$V:$V,'Full Crash Data'!$C:$C,J$29,'Full Crash Data'!$AN:$AN,"City or Village Highway Agency",'Full Crash Data'!$BF:$BF,"Yes"))))))</f>
        <v>2</v>
      </c>
      <c r="K39" s="272">
        <f t="shared" ref="K39" si="176">IFERROR(ROUND(J39/J$32,2),0)</f>
        <v>0.5</v>
      </c>
      <c r="L39" s="295">
        <f>IF($B$2="All",SUMIFS('Full Crash Data'!$V:$V,'Full Crash Data'!$C:$C,L$29,'Full Crash Data'!$BF:$BF,"Yes"),IF($B$2="State Highway Agency",SUMIFS('Full Crash Data'!$V:$V,'Full Crash Data'!$C:$C,L$29,'Full Crash Data'!$AN:$AN,"State Highway Agency",'Full Crash Data'!$BF:$BF,"Yes"),IF($B$2="County Highway Agency",SUMIFS('Full Crash Data'!$V:$V,'Full Crash Data'!$C:$C,L$29,'Full Crash Data'!$AN:$AN,"County Highway Agency",'Full Crash Data'!$BF:$BF,"Yes"),IF($B$2="Township Highway Agency",SUMIFS('Full Crash Data'!$V:$V,'Full Crash Data'!$C:$C,L$29,'Full Crash Data'!$AN:$AN,"Township Highway Agency",'Full Crash Data'!$BF:$BF,"Yes"),IF($B$2="City or Village Highway Agency",SUMIFS('Full Crash Data'!$V:$V,'Full Crash Data'!$C:$C,L$29,'Full Crash Data'!$AN:$AN,"City or Village Highway Agency",'Full Crash Data'!$BF:$BF,"Yes"))))))</f>
        <v>0</v>
      </c>
      <c r="M39" s="272">
        <f t="shared" ref="M39" si="177">IFERROR(ROUND(L39/L$32,2),0)</f>
        <v>0</v>
      </c>
      <c r="N39" s="295">
        <f>IF($B$2="All",SUMIFS('Full Crash Data'!$V:$V,'Full Crash Data'!$C:$C,N$29,'Full Crash Data'!$BF:$BF,"Yes"),IF($B$2="State Highway Agency",SUMIFS('Full Crash Data'!$V:$V,'Full Crash Data'!$C:$C,N$29,'Full Crash Data'!$AN:$AN,"State Highway Agency",'Full Crash Data'!$BF:$BF,"Yes"),IF($B$2="County Highway Agency",SUMIFS('Full Crash Data'!$V:$V,'Full Crash Data'!$C:$C,N$29,'Full Crash Data'!$AN:$AN,"County Highway Agency",'Full Crash Data'!$BF:$BF,"Yes"),IF($B$2="Township Highway Agency",SUMIFS('Full Crash Data'!$V:$V,'Full Crash Data'!$C:$C,N$29,'Full Crash Data'!$AN:$AN,"Township Highway Agency",'Full Crash Data'!$BF:$BF,"Yes"),IF($B$2="City or Village Highway Agency",SUMIFS('Full Crash Data'!$V:$V,'Full Crash Data'!$C:$C,N$29,'Full Crash Data'!$AN:$AN,"City or Village Highway Agency",'Full Crash Data'!$BF:$BF,"Yes"))))))</f>
        <v>0</v>
      </c>
      <c r="O39" s="272">
        <f t="shared" ref="O39" si="178">IFERROR(ROUND(N39/N$32,2),0)</f>
        <v>0</v>
      </c>
      <c r="P39" s="295">
        <f>IF($B$2="All",SUMIFS('Full Crash Data'!$V:$V,'Full Crash Data'!$C:$C,P$29,'Full Crash Data'!$BF:$BF,"Yes"),IF($B$2="State Highway Agency",SUMIFS('Full Crash Data'!$V:$V,'Full Crash Data'!$C:$C,P$29,'Full Crash Data'!$AN:$AN,"State Highway Agency",'Full Crash Data'!$BF:$BF,"Yes"),IF($B$2="County Highway Agency",SUMIFS('Full Crash Data'!$V:$V,'Full Crash Data'!$C:$C,P$29,'Full Crash Data'!$AN:$AN,"County Highway Agency",'Full Crash Data'!$BF:$BF,"Yes"),IF($B$2="Township Highway Agency",SUMIFS('Full Crash Data'!$V:$V,'Full Crash Data'!$C:$C,P$29,'Full Crash Data'!$AN:$AN,"Township Highway Agency",'Full Crash Data'!$BF:$BF,"Yes"),IF($B$2="City or Village Highway Agency",SUMIFS('Full Crash Data'!$V:$V,'Full Crash Data'!$C:$C,P$29,'Full Crash Data'!$AN:$AN,"City or Village Highway Agency",'Full Crash Data'!$BF:$BF,"Yes"))))))</f>
        <v>0</v>
      </c>
      <c r="Q39" s="272">
        <f t="shared" ref="Q39" si="179">IFERROR(ROUND(P39/P$32,2),0)</f>
        <v>0</v>
      </c>
      <c r="R39" s="295">
        <f>IF($B$2="All",SUMIFS('Full Crash Data'!$V:$V,'Full Crash Data'!$C:$C,R$29,'Full Crash Data'!$BF:$BF,"Yes"),IF($B$2="State Highway Agency",SUMIFS('Full Crash Data'!$V:$V,'Full Crash Data'!$C:$C,R$29,'Full Crash Data'!$AN:$AN,"State Highway Agency",'Full Crash Data'!$BF:$BF,"Yes"),IF($B$2="County Highway Agency",SUMIFS('Full Crash Data'!$V:$V,'Full Crash Data'!$C:$C,R$29,'Full Crash Data'!$AN:$AN,"County Highway Agency",'Full Crash Data'!$BF:$BF,"Yes"),IF($B$2="Township Highway Agency",SUMIFS('Full Crash Data'!$V:$V,'Full Crash Data'!$C:$C,R$29,'Full Crash Data'!$AN:$AN,"Township Highway Agency",'Full Crash Data'!$BF:$BF,"Yes"),IF($B$2="City or Village Highway Agency",SUMIFS('Full Crash Data'!$V:$V,'Full Crash Data'!$C:$C,R$29,'Full Crash Data'!$AN:$AN,"City or Village Highway Agency",'Full Crash Data'!$BF:$BF,"Yes"))))))</f>
        <v>0</v>
      </c>
      <c r="S39" s="272">
        <f t="shared" ref="S39" si="180">IFERROR(ROUND(R39/R$32,2),0)</f>
        <v>0</v>
      </c>
      <c r="T39" s="295">
        <f>IF($B$2="All",SUMIFS('Full Crash Data'!$V:$V,'Full Crash Data'!$C:$C,T$29,'Full Crash Data'!$BF:$BF,"Yes"),IF($B$2="State Highway Agency",SUMIFS('Full Crash Data'!$V:$V,'Full Crash Data'!$C:$C,T$29,'Full Crash Data'!$AN:$AN,"State Highway Agency",'Full Crash Data'!$BF:$BF,"Yes"),IF($B$2="County Highway Agency",SUMIFS('Full Crash Data'!$V:$V,'Full Crash Data'!$C:$C,T$29,'Full Crash Data'!$AN:$AN,"County Highway Agency",'Full Crash Data'!$BF:$BF,"Yes"),IF($B$2="Township Highway Agency",SUMIFS('Full Crash Data'!$V:$V,'Full Crash Data'!$C:$C,T$29,'Full Crash Data'!$AN:$AN,"Township Highway Agency",'Full Crash Data'!$BF:$BF,"Yes"),IF($B$2="City or Village Highway Agency",SUMIFS('Full Crash Data'!$V:$V,'Full Crash Data'!$C:$C,T$29,'Full Crash Data'!$AN:$AN,"City or Village Highway Agency",'Full Crash Data'!$BF:$BF,"Yes"))))))</f>
        <v>0</v>
      </c>
      <c r="U39" s="272">
        <f t="shared" ref="U39" si="181">IFERROR(ROUND(T39/T$32,2),0)</f>
        <v>0</v>
      </c>
      <c r="V39" s="295">
        <f>IF($B$2="All",SUMIFS('Full Crash Data'!$V:$V,'Full Crash Data'!$C:$C,V$29,'Full Crash Data'!$BF:$BF,"Yes"),IF($B$2="State Highway Agency",SUMIFS('Full Crash Data'!$V:$V,'Full Crash Data'!$C:$C,V$29,'Full Crash Data'!$AN:$AN,"State Highway Agency",'Full Crash Data'!$BF:$BF,"Yes"),IF($B$2="County Highway Agency",SUMIFS('Full Crash Data'!$V:$V,'Full Crash Data'!$C:$C,V$29,'Full Crash Data'!$AN:$AN,"County Highway Agency",'Full Crash Data'!$BF:$BF,"Yes"),IF($B$2="Township Highway Agency",SUMIFS('Full Crash Data'!$V:$V,'Full Crash Data'!$C:$C,V$29,'Full Crash Data'!$AN:$AN,"Township Highway Agency",'Full Crash Data'!$BF:$BF,"Yes"),IF($B$2="City or Village Highway Agency",SUMIFS('Full Crash Data'!$V:$V,'Full Crash Data'!$C:$C,V$29,'Full Crash Data'!$AN:$AN,"City or Village Highway Agency",'Full Crash Data'!$BF:$BF,"Yes"))))))</f>
        <v>0</v>
      </c>
      <c r="W39" s="272">
        <f t="shared" ref="W39" si="182">IFERROR(ROUND(V39/V$32,2),0)</f>
        <v>0</v>
      </c>
      <c r="AE39" s="116">
        <v>14</v>
      </c>
    </row>
    <row r="40" spans="1:31" ht="22.5" customHeight="1" x14ac:dyDescent="0.2">
      <c r="A40" s="294" t="s">
        <v>5999</v>
      </c>
      <c r="B40" s="295">
        <f>IF($B$2="All",SUMIFS('Full Crash Data'!$V:$V,'Full Crash Data'!$C:$C,B$29,'Full Crash Data'!$BE:$BE,"Yes"),IF($B$2="State Highway Agency",SUMIFS('Full Crash Data'!$V:$V,'Full Crash Data'!$C:$C,B$29,'Full Crash Data'!$AN:$AN,"State Highway Agency",'Full Crash Data'!$BE:$BE,"Yes"),IF($B$2="County Highway Agency",SUMIFS('Full Crash Data'!$V:$V,'Full Crash Data'!$C:$C,B$29,'Full Crash Data'!$AN:$AN,"County Highway Agency",'Full Crash Data'!$BE:$BE,"Yes"),IF($B$2="Township Highway Agency",SUMIFS('Full Crash Data'!$V:$V,'Full Crash Data'!$C:$C,B$29,'Full Crash Data'!$AN:$AN,"Township Highway Agency",'Full Crash Data'!$BE:$BE,"Yes"),IF($B$2="City or Village Highway Agency",SUMIFS('Full Crash Data'!$V:$V,'Full Crash Data'!$C:$C,B$29,'Full Crash Data'!$AN:$AN,"City or Village Highway Agency",'Full Crash Data'!$BE:$BE,"Yes"))))))</f>
        <v>0</v>
      </c>
      <c r="C40" s="272">
        <f t="shared" si="128"/>
        <v>0</v>
      </c>
      <c r="D40" s="295">
        <f>IF($B$2="All",SUMIFS('Full Crash Data'!$V:$V,'Full Crash Data'!$C:$C,D$29,'Full Crash Data'!$BE:$BE,"Yes"),IF($B$2="State Highway Agency",SUMIFS('Full Crash Data'!$V:$V,'Full Crash Data'!$C:$C,D$29,'Full Crash Data'!$AN:$AN,"State Highway Agency",'Full Crash Data'!$BE:$BE,"Yes"),IF($B$2="County Highway Agency",SUMIFS('Full Crash Data'!$V:$V,'Full Crash Data'!$C:$C,D$29,'Full Crash Data'!$AN:$AN,"County Highway Agency",'Full Crash Data'!$BE:$BE,"Yes"),IF($B$2="Township Highway Agency",SUMIFS('Full Crash Data'!$V:$V,'Full Crash Data'!$C:$C,D$29,'Full Crash Data'!$AN:$AN,"Township Highway Agency",'Full Crash Data'!$BE:$BE,"Yes"),IF($B$2="City or Village Highway Agency",SUMIFS('Full Crash Data'!$V:$V,'Full Crash Data'!$C:$C,D$29,'Full Crash Data'!$AN:$AN,"City or Village Highway Agency",'Full Crash Data'!$BE:$BE,"Yes"))))))</f>
        <v>0</v>
      </c>
      <c r="E40" s="272">
        <f t="shared" si="128"/>
        <v>0</v>
      </c>
      <c r="F40" s="295">
        <f>IF($B$2="All",SUMIFS('Full Crash Data'!$V:$V,'Full Crash Data'!$C:$C,F$29,'Full Crash Data'!$BE:$BE,"Yes"),IF($B$2="State Highway Agency",SUMIFS('Full Crash Data'!$V:$V,'Full Crash Data'!$C:$C,F$29,'Full Crash Data'!$AN:$AN,"State Highway Agency",'Full Crash Data'!$BE:$BE,"Yes"),IF($B$2="County Highway Agency",SUMIFS('Full Crash Data'!$V:$V,'Full Crash Data'!$C:$C,F$29,'Full Crash Data'!$AN:$AN,"County Highway Agency",'Full Crash Data'!$BE:$BE,"Yes"),IF($B$2="Township Highway Agency",SUMIFS('Full Crash Data'!$V:$V,'Full Crash Data'!$C:$C,F$29,'Full Crash Data'!$AN:$AN,"Township Highway Agency",'Full Crash Data'!$BE:$BE,"Yes"),IF($B$2="City or Village Highway Agency",SUMIFS('Full Crash Data'!$V:$V,'Full Crash Data'!$C:$C,F$29,'Full Crash Data'!$AN:$AN,"City or Village Highway Agency",'Full Crash Data'!$BE:$BE,"Yes"))))))</f>
        <v>1</v>
      </c>
      <c r="G40" s="272">
        <f t="shared" ref="G40" si="183">IFERROR(ROUND(F40/F$32,2),0)</f>
        <v>0.5</v>
      </c>
      <c r="H40" s="295">
        <f>IF($B$2="All",SUMIFS('Full Crash Data'!$V:$V,'Full Crash Data'!$C:$C,H$29,'Full Crash Data'!$BE:$BE,"Yes"),IF($B$2="State Highway Agency",SUMIFS('Full Crash Data'!$V:$V,'Full Crash Data'!$C:$C,H$29,'Full Crash Data'!$AN:$AN,"State Highway Agency",'Full Crash Data'!$BE:$BE,"Yes"),IF($B$2="County Highway Agency",SUMIFS('Full Crash Data'!$V:$V,'Full Crash Data'!$C:$C,H$29,'Full Crash Data'!$AN:$AN,"County Highway Agency",'Full Crash Data'!$BE:$BE,"Yes"),IF($B$2="Township Highway Agency",SUMIFS('Full Crash Data'!$V:$V,'Full Crash Data'!$C:$C,H$29,'Full Crash Data'!$AN:$AN,"Township Highway Agency",'Full Crash Data'!$BE:$BE,"Yes"),IF($B$2="City or Village Highway Agency",SUMIFS('Full Crash Data'!$V:$V,'Full Crash Data'!$C:$C,H$29,'Full Crash Data'!$AN:$AN,"City or Village Highway Agency",'Full Crash Data'!$BE:$BE,"Yes"))))))</f>
        <v>1</v>
      </c>
      <c r="I40" s="272">
        <f t="shared" ref="I40" si="184">IFERROR(ROUND(H40/H$32,2),0)</f>
        <v>1</v>
      </c>
      <c r="J40" s="295">
        <f>IF($B$2="All",SUMIFS('Full Crash Data'!$V:$V,'Full Crash Data'!$C:$C,J$29,'Full Crash Data'!$BE:$BE,"Yes"),IF($B$2="State Highway Agency",SUMIFS('Full Crash Data'!$V:$V,'Full Crash Data'!$C:$C,J$29,'Full Crash Data'!$AN:$AN,"State Highway Agency",'Full Crash Data'!$BE:$BE,"Yes"),IF($B$2="County Highway Agency",SUMIFS('Full Crash Data'!$V:$V,'Full Crash Data'!$C:$C,J$29,'Full Crash Data'!$AN:$AN,"County Highway Agency",'Full Crash Data'!$BE:$BE,"Yes"),IF($B$2="Township Highway Agency",SUMIFS('Full Crash Data'!$V:$V,'Full Crash Data'!$C:$C,J$29,'Full Crash Data'!$AN:$AN,"Township Highway Agency",'Full Crash Data'!$BE:$BE,"Yes"),IF($B$2="City or Village Highway Agency",SUMIFS('Full Crash Data'!$V:$V,'Full Crash Data'!$C:$C,J$29,'Full Crash Data'!$AN:$AN,"City or Village Highway Agency",'Full Crash Data'!$BE:$BE,"Yes"))))))</f>
        <v>0</v>
      </c>
      <c r="K40" s="272">
        <f t="shared" ref="K40" si="185">IFERROR(ROUND(J40/J$32,2),0)</f>
        <v>0</v>
      </c>
      <c r="L40" s="295">
        <f>IF($B$2="All",SUMIFS('Full Crash Data'!$V:$V,'Full Crash Data'!$C:$C,L$29,'Full Crash Data'!$BE:$BE,"Yes"),IF($B$2="State Highway Agency",SUMIFS('Full Crash Data'!$V:$V,'Full Crash Data'!$C:$C,L$29,'Full Crash Data'!$AN:$AN,"State Highway Agency",'Full Crash Data'!$BE:$BE,"Yes"),IF($B$2="County Highway Agency",SUMIFS('Full Crash Data'!$V:$V,'Full Crash Data'!$C:$C,L$29,'Full Crash Data'!$AN:$AN,"County Highway Agency",'Full Crash Data'!$BE:$BE,"Yes"),IF($B$2="Township Highway Agency",SUMIFS('Full Crash Data'!$V:$V,'Full Crash Data'!$C:$C,L$29,'Full Crash Data'!$AN:$AN,"Township Highway Agency",'Full Crash Data'!$BE:$BE,"Yes"),IF($B$2="City or Village Highway Agency",SUMIFS('Full Crash Data'!$V:$V,'Full Crash Data'!$C:$C,L$29,'Full Crash Data'!$AN:$AN,"City or Village Highway Agency",'Full Crash Data'!$BE:$BE,"Yes"))))))</f>
        <v>0</v>
      </c>
      <c r="M40" s="272">
        <f t="shared" ref="M40" si="186">IFERROR(ROUND(L40/L$32,2),0)</f>
        <v>0</v>
      </c>
      <c r="N40" s="295">
        <f>IF($B$2="All",SUMIFS('Full Crash Data'!$V:$V,'Full Crash Data'!$C:$C,N$29,'Full Crash Data'!$BE:$BE,"Yes"),IF($B$2="State Highway Agency",SUMIFS('Full Crash Data'!$V:$V,'Full Crash Data'!$C:$C,N$29,'Full Crash Data'!$AN:$AN,"State Highway Agency",'Full Crash Data'!$BE:$BE,"Yes"),IF($B$2="County Highway Agency",SUMIFS('Full Crash Data'!$V:$V,'Full Crash Data'!$C:$C,N$29,'Full Crash Data'!$AN:$AN,"County Highway Agency",'Full Crash Data'!$BE:$BE,"Yes"),IF($B$2="Township Highway Agency",SUMIFS('Full Crash Data'!$V:$V,'Full Crash Data'!$C:$C,N$29,'Full Crash Data'!$AN:$AN,"Township Highway Agency",'Full Crash Data'!$BE:$BE,"Yes"),IF($B$2="City or Village Highway Agency",SUMIFS('Full Crash Data'!$V:$V,'Full Crash Data'!$C:$C,N$29,'Full Crash Data'!$AN:$AN,"City or Village Highway Agency",'Full Crash Data'!$BE:$BE,"Yes"))))))</f>
        <v>0</v>
      </c>
      <c r="O40" s="272">
        <f t="shared" ref="O40" si="187">IFERROR(ROUND(N40/N$32,2),0)</f>
        <v>0</v>
      </c>
      <c r="P40" s="295">
        <f>IF($B$2="All",SUMIFS('Full Crash Data'!$V:$V,'Full Crash Data'!$C:$C,P$29,'Full Crash Data'!$BE:$BE,"Yes"),IF($B$2="State Highway Agency",SUMIFS('Full Crash Data'!$V:$V,'Full Crash Data'!$C:$C,P$29,'Full Crash Data'!$AN:$AN,"State Highway Agency",'Full Crash Data'!$BE:$BE,"Yes"),IF($B$2="County Highway Agency",SUMIFS('Full Crash Data'!$V:$V,'Full Crash Data'!$C:$C,P$29,'Full Crash Data'!$AN:$AN,"County Highway Agency",'Full Crash Data'!$BE:$BE,"Yes"),IF($B$2="Township Highway Agency",SUMIFS('Full Crash Data'!$V:$V,'Full Crash Data'!$C:$C,P$29,'Full Crash Data'!$AN:$AN,"Township Highway Agency",'Full Crash Data'!$BE:$BE,"Yes"),IF($B$2="City or Village Highway Agency",SUMIFS('Full Crash Data'!$V:$V,'Full Crash Data'!$C:$C,P$29,'Full Crash Data'!$AN:$AN,"City or Village Highway Agency",'Full Crash Data'!$BE:$BE,"Yes"))))))</f>
        <v>0</v>
      </c>
      <c r="Q40" s="272">
        <f t="shared" ref="Q40" si="188">IFERROR(ROUND(P40/P$32,2),0)</f>
        <v>0</v>
      </c>
      <c r="R40" s="295">
        <f>IF($B$2="All",SUMIFS('Full Crash Data'!$V:$V,'Full Crash Data'!$C:$C,R$29,'Full Crash Data'!$BE:$BE,"Yes"),IF($B$2="State Highway Agency",SUMIFS('Full Crash Data'!$V:$V,'Full Crash Data'!$C:$C,R$29,'Full Crash Data'!$AN:$AN,"State Highway Agency",'Full Crash Data'!$BE:$BE,"Yes"),IF($B$2="County Highway Agency",SUMIFS('Full Crash Data'!$V:$V,'Full Crash Data'!$C:$C,R$29,'Full Crash Data'!$AN:$AN,"County Highway Agency",'Full Crash Data'!$BE:$BE,"Yes"),IF($B$2="Township Highway Agency",SUMIFS('Full Crash Data'!$V:$V,'Full Crash Data'!$C:$C,R$29,'Full Crash Data'!$AN:$AN,"Township Highway Agency",'Full Crash Data'!$BE:$BE,"Yes"),IF($B$2="City or Village Highway Agency",SUMIFS('Full Crash Data'!$V:$V,'Full Crash Data'!$C:$C,R$29,'Full Crash Data'!$AN:$AN,"City or Village Highway Agency",'Full Crash Data'!$BE:$BE,"Yes"))))))</f>
        <v>0</v>
      </c>
      <c r="S40" s="272">
        <f t="shared" ref="S40" si="189">IFERROR(ROUND(R40/R$32,2),0)</f>
        <v>0</v>
      </c>
      <c r="T40" s="295">
        <f>IF($B$2="All",SUMIFS('Full Crash Data'!$V:$V,'Full Crash Data'!$C:$C,T$29,'Full Crash Data'!$BE:$BE,"Yes"),IF($B$2="State Highway Agency",SUMIFS('Full Crash Data'!$V:$V,'Full Crash Data'!$C:$C,T$29,'Full Crash Data'!$AN:$AN,"State Highway Agency",'Full Crash Data'!$BE:$BE,"Yes"),IF($B$2="County Highway Agency",SUMIFS('Full Crash Data'!$V:$V,'Full Crash Data'!$C:$C,T$29,'Full Crash Data'!$AN:$AN,"County Highway Agency",'Full Crash Data'!$BE:$BE,"Yes"),IF($B$2="Township Highway Agency",SUMIFS('Full Crash Data'!$V:$V,'Full Crash Data'!$C:$C,T$29,'Full Crash Data'!$AN:$AN,"Township Highway Agency",'Full Crash Data'!$BE:$BE,"Yes"),IF($B$2="City or Village Highway Agency",SUMIFS('Full Crash Data'!$V:$V,'Full Crash Data'!$C:$C,T$29,'Full Crash Data'!$AN:$AN,"City or Village Highway Agency",'Full Crash Data'!$BE:$BE,"Yes"))))))</f>
        <v>0</v>
      </c>
      <c r="U40" s="272">
        <f t="shared" ref="U40" si="190">IFERROR(ROUND(T40/T$32,2),0)</f>
        <v>0</v>
      </c>
      <c r="V40" s="295">
        <f>IF($B$2="All",SUMIFS('Full Crash Data'!$V:$V,'Full Crash Data'!$C:$C,V$29,'Full Crash Data'!$BE:$BE,"Yes"),IF($B$2="State Highway Agency",SUMIFS('Full Crash Data'!$V:$V,'Full Crash Data'!$C:$C,V$29,'Full Crash Data'!$AN:$AN,"State Highway Agency",'Full Crash Data'!$BE:$BE,"Yes"),IF($B$2="County Highway Agency",SUMIFS('Full Crash Data'!$V:$V,'Full Crash Data'!$C:$C,V$29,'Full Crash Data'!$AN:$AN,"County Highway Agency",'Full Crash Data'!$BE:$BE,"Yes"),IF($B$2="Township Highway Agency",SUMIFS('Full Crash Data'!$V:$V,'Full Crash Data'!$C:$C,V$29,'Full Crash Data'!$AN:$AN,"Township Highway Agency",'Full Crash Data'!$BE:$BE,"Yes"),IF($B$2="City or Village Highway Agency",SUMIFS('Full Crash Data'!$V:$V,'Full Crash Data'!$C:$C,V$29,'Full Crash Data'!$AN:$AN,"City or Village Highway Agency",'Full Crash Data'!$BE:$BE,"Yes"))))))</f>
        <v>0</v>
      </c>
      <c r="W40" s="272">
        <f t="shared" ref="W40" si="191">IFERROR(ROUND(V40/V$32,2),0)</f>
        <v>0</v>
      </c>
      <c r="AE40" s="116">
        <v>15</v>
      </c>
    </row>
    <row r="41" spans="1:31" ht="22.5" customHeight="1" x14ac:dyDescent="0.2">
      <c r="A41" s="296" t="s">
        <v>6000</v>
      </c>
      <c r="B41" s="297">
        <f>IF($B$2="All",SUMIFS('Full Crash Data'!$V:$V,'Full Crash Data'!$C:$C,B$29,'Full Crash Data'!$BJ:$BJ,"Yes"),IF($B$2="State Highway Agency",SUMIFS('Full Crash Data'!$V:$V,'Full Crash Data'!$C:$C,B$29,'Full Crash Data'!$AN:$AN,"State Highway Agency",'Full Crash Data'!$BJ:$BJ,"Yes"),IF($B$2="County Highway Agency",SUMIFS('Full Crash Data'!$V:$V,'Full Crash Data'!$C:$C,B$29,'Full Crash Data'!$AN:$AN,"County Highway Agency",'Full Crash Data'!$BJ:$BJ,"Yes"),IF($B$2="Township Highway Agency",SUMIFS('Full Crash Data'!$V:$V,'Full Crash Data'!$C:$C,B$29,'Full Crash Data'!$AN:$AN,"Township Highway Agency",'Full Crash Data'!$BJ:$BJ,"Yes"),IF($B$2="City or Village Highway Agency",SUMIFS('Full Crash Data'!$V:$V,'Full Crash Data'!$C:$C,B$29,'Full Crash Data'!$AN:$AN,"City or Village Highway Agency",'Full Crash Data'!$BJ:$BJ,"Yes"))))))</f>
        <v>0</v>
      </c>
      <c r="C41" s="272">
        <f t="shared" si="128"/>
        <v>0</v>
      </c>
      <c r="D41" s="297">
        <f>IF($B$2="All",SUMIFS('Full Crash Data'!$V:$V,'Full Crash Data'!$C:$C,D$29,'Full Crash Data'!$BJ:$BJ,"Yes"),IF($B$2="State Highway Agency",SUMIFS('Full Crash Data'!$V:$V,'Full Crash Data'!$C:$C,D$29,'Full Crash Data'!$AN:$AN,"State Highway Agency",'Full Crash Data'!$BJ:$BJ,"Yes"),IF($B$2="County Highway Agency",SUMIFS('Full Crash Data'!$V:$V,'Full Crash Data'!$C:$C,D$29,'Full Crash Data'!$AN:$AN,"County Highway Agency",'Full Crash Data'!$BJ:$BJ,"Yes"),IF($B$2="Township Highway Agency",SUMIFS('Full Crash Data'!$V:$V,'Full Crash Data'!$C:$C,D$29,'Full Crash Data'!$AN:$AN,"Township Highway Agency",'Full Crash Data'!$BJ:$BJ,"Yes"),IF($B$2="City or Village Highway Agency",SUMIFS('Full Crash Data'!$V:$V,'Full Crash Data'!$C:$C,D$29,'Full Crash Data'!$AN:$AN,"City or Village Highway Agency",'Full Crash Data'!$BJ:$BJ,"Yes"))))))</f>
        <v>0</v>
      </c>
      <c r="E41" s="272">
        <f t="shared" si="128"/>
        <v>0</v>
      </c>
      <c r="F41" s="297">
        <f>IF($B$2="All",SUMIFS('Full Crash Data'!$V:$V,'Full Crash Data'!$C:$C,F$29,'Full Crash Data'!$BJ:$BJ,"Yes"),IF($B$2="State Highway Agency",SUMIFS('Full Crash Data'!$V:$V,'Full Crash Data'!$C:$C,F$29,'Full Crash Data'!$AN:$AN,"State Highway Agency",'Full Crash Data'!$BJ:$BJ,"Yes"),IF($B$2="County Highway Agency",SUMIFS('Full Crash Data'!$V:$V,'Full Crash Data'!$C:$C,F$29,'Full Crash Data'!$AN:$AN,"County Highway Agency",'Full Crash Data'!$BJ:$BJ,"Yes"),IF($B$2="Township Highway Agency",SUMIFS('Full Crash Data'!$V:$V,'Full Crash Data'!$C:$C,F$29,'Full Crash Data'!$AN:$AN,"Township Highway Agency",'Full Crash Data'!$BJ:$BJ,"Yes"),IF($B$2="City or Village Highway Agency",SUMIFS('Full Crash Data'!$V:$V,'Full Crash Data'!$C:$C,F$29,'Full Crash Data'!$AN:$AN,"City or Village Highway Agency",'Full Crash Data'!$BJ:$BJ,"Yes"))))))</f>
        <v>0</v>
      </c>
      <c r="G41" s="272">
        <f t="shared" ref="G41" si="192">IFERROR(ROUND(F41/F$32,2),0)</f>
        <v>0</v>
      </c>
      <c r="H41" s="297">
        <f>IF($B$2="All",SUMIFS('Full Crash Data'!$V:$V,'Full Crash Data'!$C:$C,H$29,'Full Crash Data'!$BJ:$BJ,"Yes"),IF($B$2="State Highway Agency",SUMIFS('Full Crash Data'!$V:$V,'Full Crash Data'!$C:$C,H$29,'Full Crash Data'!$AN:$AN,"State Highway Agency",'Full Crash Data'!$BJ:$BJ,"Yes"),IF($B$2="County Highway Agency",SUMIFS('Full Crash Data'!$V:$V,'Full Crash Data'!$C:$C,H$29,'Full Crash Data'!$AN:$AN,"County Highway Agency",'Full Crash Data'!$BJ:$BJ,"Yes"),IF($B$2="Township Highway Agency",SUMIFS('Full Crash Data'!$V:$V,'Full Crash Data'!$C:$C,H$29,'Full Crash Data'!$AN:$AN,"Township Highway Agency",'Full Crash Data'!$BJ:$BJ,"Yes"),IF($B$2="City or Village Highway Agency",SUMIFS('Full Crash Data'!$V:$V,'Full Crash Data'!$C:$C,H$29,'Full Crash Data'!$AN:$AN,"City or Village Highway Agency",'Full Crash Data'!$BJ:$BJ,"Yes"))))))</f>
        <v>0</v>
      </c>
      <c r="I41" s="272">
        <f t="shared" ref="I41" si="193">IFERROR(ROUND(H41/H$32,2),0)</f>
        <v>0</v>
      </c>
      <c r="J41" s="297">
        <f>IF($B$2="All",SUMIFS('Full Crash Data'!$V:$V,'Full Crash Data'!$C:$C,J$29,'Full Crash Data'!$BJ:$BJ,"Yes"),IF($B$2="State Highway Agency",SUMIFS('Full Crash Data'!$V:$V,'Full Crash Data'!$C:$C,J$29,'Full Crash Data'!$AN:$AN,"State Highway Agency",'Full Crash Data'!$BJ:$BJ,"Yes"),IF($B$2="County Highway Agency",SUMIFS('Full Crash Data'!$V:$V,'Full Crash Data'!$C:$C,J$29,'Full Crash Data'!$AN:$AN,"County Highway Agency",'Full Crash Data'!$BJ:$BJ,"Yes"),IF($B$2="Township Highway Agency",SUMIFS('Full Crash Data'!$V:$V,'Full Crash Data'!$C:$C,J$29,'Full Crash Data'!$AN:$AN,"Township Highway Agency",'Full Crash Data'!$BJ:$BJ,"Yes"),IF($B$2="City or Village Highway Agency",SUMIFS('Full Crash Data'!$V:$V,'Full Crash Data'!$C:$C,J$29,'Full Crash Data'!$AN:$AN,"City or Village Highway Agency",'Full Crash Data'!$BJ:$BJ,"Yes"))))))</f>
        <v>0</v>
      </c>
      <c r="K41" s="272">
        <f t="shared" ref="K41" si="194">IFERROR(ROUND(J41/J$32,2),0)</f>
        <v>0</v>
      </c>
      <c r="L41" s="297">
        <f>IF($B$2="All",SUMIFS('Full Crash Data'!$V:$V,'Full Crash Data'!$C:$C,L$29,'Full Crash Data'!$BJ:$BJ,"Yes"),IF($B$2="State Highway Agency",SUMIFS('Full Crash Data'!$V:$V,'Full Crash Data'!$C:$C,L$29,'Full Crash Data'!$AN:$AN,"State Highway Agency",'Full Crash Data'!$BJ:$BJ,"Yes"),IF($B$2="County Highway Agency",SUMIFS('Full Crash Data'!$V:$V,'Full Crash Data'!$C:$C,L$29,'Full Crash Data'!$AN:$AN,"County Highway Agency",'Full Crash Data'!$BJ:$BJ,"Yes"),IF($B$2="Township Highway Agency",SUMIFS('Full Crash Data'!$V:$V,'Full Crash Data'!$C:$C,L$29,'Full Crash Data'!$AN:$AN,"Township Highway Agency",'Full Crash Data'!$BJ:$BJ,"Yes"),IF($B$2="City or Village Highway Agency",SUMIFS('Full Crash Data'!$V:$V,'Full Crash Data'!$C:$C,L$29,'Full Crash Data'!$AN:$AN,"City or Village Highway Agency",'Full Crash Data'!$BJ:$BJ,"Yes"))))))</f>
        <v>0</v>
      </c>
      <c r="M41" s="272">
        <f t="shared" ref="M41" si="195">IFERROR(ROUND(L41/L$32,2),0)</f>
        <v>0</v>
      </c>
      <c r="N41" s="297">
        <f>IF($B$2="All",SUMIFS('Full Crash Data'!$V:$V,'Full Crash Data'!$C:$C,N$29,'Full Crash Data'!$BJ:$BJ,"Yes"),IF($B$2="State Highway Agency",SUMIFS('Full Crash Data'!$V:$V,'Full Crash Data'!$C:$C,N$29,'Full Crash Data'!$AN:$AN,"State Highway Agency",'Full Crash Data'!$BJ:$BJ,"Yes"),IF($B$2="County Highway Agency",SUMIFS('Full Crash Data'!$V:$V,'Full Crash Data'!$C:$C,N$29,'Full Crash Data'!$AN:$AN,"County Highway Agency",'Full Crash Data'!$BJ:$BJ,"Yes"),IF($B$2="Township Highway Agency",SUMIFS('Full Crash Data'!$V:$V,'Full Crash Data'!$C:$C,N$29,'Full Crash Data'!$AN:$AN,"Township Highway Agency",'Full Crash Data'!$BJ:$BJ,"Yes"),IF($B$2="City or Village Highway Agency",SUMIFS('Full Crash Data'!$V:$V,'Full Crash Data'!$C:$C,N$29,'Full Crash Data'!$AN:$AN,"City or Village Highway Agency",'Full Crash Data'!$BJ:$BJ,"Yes"))))))</f>
        <v>0</v>
      </c>
      <c r="O41" s="272">
        <f t="shared" ref="O41" si="196">IFERROR(ROUND(N41/N$32,2),0)</f>
        <v>0</v>
      </c>
      <c r="P41" s="297">
        <f>IF($B$2="All",SUMIFS('Full Crash Data'!$V:$V,'Full Crash Data'!$C:$C,P$29,'Full Crash Data'!$BJ:$BJ,"Yes"),IF($B$2="State Highway Agency",SUMIFS('Full Crash Data'!$V:$V,'Full Crash Data'!$C:$C,P$29,'Full Crash Data'!$AN:$AN,"State Highway Agency",'Full Crash Data'!$BJ:$BJ,"Yes"),IF($B$2="County Highway Agency",SUMIFS('Full Crash Data'!$V:$V,'Full Crash Data'!$C:$C,P$29,'Full Crash Data'!$AN:$AN,"County Highway Agency",'Full Crash Data'!$BJ:$BJ,"Yes"),IF($B$2="Township Highway Agency",SUMIFS('Full Crash Data'!$V:$V,'Full Crash Data'!$C:$C,P$29,'Full Crash Data'!$AN:$AN,"Township Highway Agency",'Full Crash Data'!$BJ:$BJ,"Yes"),IF($B$2="City or Village Highway Agency",SUMIFS('Full Crash Data'!$V:$V,'Full Crash Data'!$C:$C,P$29,'Full Crash Data'!$AN:$AN,"City or Village Highway Agency",'Full Crash Data'!$BJ:$BJ,"Yes"))))))</f>
        <v>0</v>
      </c>
      <c r="Q41" s="272">
        <f t="shared" ref="Q41" si="197">IFERROR(ROUND(P41/P$32,2),0)</f>
        <v>0</v>
      </c>
      <c r="R41" s="297">
        <f>IF($B$2="All",SUMIFS('Full Crash Data'!$V:$V,'Full Crash Data'!$C:$C,R$29,'Full Crash Data'!$BJ:$BJ,"Yes"),IF($B$2="State Highway Agency",SUMIFS('Full Crash Data'!$V:$V,'Full Crash Data'!$C:$C,R$29,'Full Crash Data'!$AN:$AN,"State Highway Agency",'Full Crash Data'!$BJ:$BJ,"Yes"),IF($B$2="County Highway Agency",SUMIFS('Full Crash Data'!$V:$V,'Full Crash Data'!$C:$C,R$29,'Full Crash Data'!$AN:$AN,"County Highway Agency",'Full Crash Data'!$BJ:$BJ,"Yes"),IF($B$2="Township Highway Agency",SUMIFS('Full Crash Data'!$V:$V,'Full Crash Data'!$C:$C,R$29,'Full Crash Data'!$AN:$AN,"Township Highway Agency",'Full Crash Data'!$BJ:$BJ,"Yes"),IF($B$2="City or Village Highway Agency",SUMIFS('Full Crash Data'!$V:$V,'Full Crash Data'!$C:$C,R$29,'Full Crash Data'!$AN:$AN,"City or Village Highway Agency",'Full Crash Data'!$BJ:$BJ,"Yes"))))))</f>
        <v>0</v>
      </c>
      <c r="S41" s="272">
        <f t="shared" ref="S41" si="198">IFERROR(ROUND(R41/R$32,2),0)</f>
        <v>0</v>
      </c>
      <c r="T41" s="297">
        <f>IF($B$2="All",SUMIFS('Full Crash Data'!$V:$V,'Full Crash Data'!$C:$C,T$29,'Full Crash Data'!$BJ:$BJ,"Yes"),IF($B$2="State Highway Agency",SUMIFS('Full Crash Data'!$V:$V,'Full Crash Data'!$C:$C,T$29,'Full Crash Data'!$AN:$AN,"State Highway Agency",'Full Crash Data'!$BJ:$BJ,"Yes"),IF($B$2="County Highway Agency",SUMIFS('Full Crash Data'!$V:$V,'Full Crash Data'!$C:$C,T$29,'Full Crash Data'!$AN:$AN,"County Highway Agency",'Full Crash Data'!$BJ:$BJ,"Yes"),IF($B$2="Township Highway Agency",SUMIFS('Full Crash Data'!$V:$V,'Full Crash Data'!$C:$C,T$29,'Full Crash Data'!$AN:$AN,"Township Highway Agency",'Full Crash Data'!$BJ:$BJ,"Yes"),IF($B$2="City or Village Highway Agency",SUMIFS('Full Crash Data'!$V:$V,'Full Crash Data'!$C:$C,T$29,'Full Crash Data'!$AN:$AN,"City or Village Highway Agency",'Full Crash Data'!$BJ:$BJ,"Yes"))))))</f>
        <v>0</v>
      </c>
      <c r="U41" s="272">
        <f t="shared" ref="U41" si="199">IFERROR(ROUND(T41/T$32,2),0)</f>
        <v>0</v>
      </c>
      <c r="V41" s="297">
        <f>IF($B$2="All",SUMIFS('Full Crash Data'!$V:$V,'Full Crash Data'!$C:$C,V$29,'Full Crash Data'!$BJ:$BJ,"Yes"),IF($B$2="State Highway Agency",SUMIFS('Full Crash Data'!$V:$V,'Full Crash Data'!$C:$C,V$29,'Full Crash Data'!$AN:$AN,"State Highway Agency",'Full Crash Data'!$BJ:$BJ,"Yes"),IF($B$2="County Highway Agency",SUMIFS('Full Crash Data'!$V:$V,'Full Crash Data'!$C:$C,V$29,'Full Crash Data'!$AN:$AN,"County Highway Agency",'Full Crash Data'!$BJ:$BJ,"Yes"),IF($B$2="Township Highway Agency",SUMIFS('Full Crash Data'!$V:$V,'Full Crash Data'!$C:$C,V$29,'Full Crash Data'!$AN:$AN,"Township Highway Agency",'Full Crash Data'!$BJ:$BJ,"Yes"),IF($B$2="City or Village Highway Agency",SUMIFS('Full Crash Data'!$V:$V,'Full Crash Data'!$C:$C,V$29,'Full Crash Data'!$AN:$AN,"City or Village Highway Agency",'Full Crash Data'!$BJ:$BJ,"Yes"))))))</f>
        <v>0</v>
      </c>
      <c r="W41" s="272">
        <f t="shared" ref="W41" si="200">IFERROR(ROUND(V41/V$32,2),0)</f>
        <v>0</v>
      </c>
      <c r="AE41" s="116">
        <v>16</v>
      </c>
    </row>
    <row r="42" spans="1:31" ht="22.5" customHeight="1" x14ac:dyDescent="0.2">
      <c r="A42" s="294" t="s">
        <v>5992</v>
      </c>
      <c r="B42" s="295">
        <f>IF($B$2="All",SUMIFS('Full Crash Data'!$V:$V,'Full Crash Data'!$C:$C,B$29,'Full Crash Data'!$BC:$BC,"Yes"),IF($B$2="State Highway Agency",SUMIFS('Full Crash Data'!$V:$V,'Full Crash Data'!$C:$C,B$29,'Full Crash Data'!$AN:$AN,"State Highway Agency",'Full Crash Data'!$BC:$BC,"Yes"),IF($B$2="County Highway Agency",SUMIFS('Full Crash Data'!$V:$V,'Full Crash Data'!$C:$C,B$29,'Full Crash Data'!$AN:$AN,"County Highway Agency",'Full Crash Data'!$BC:$BC,"Yes"),IF($B$2="Township Highway Agency",SUMIFS('Full Crash Data'!$V:$V,'Full Crash Data'!$C:$C,B$29,'Full Crash Data'!$AN:$AN,"Township Highway Agency",'Full Crash Data'!$BC:$BC,"Yes"),IF($B$2="City or Village Highway Agency",SUMIFS('Full Crash Data'!$V:$V,'Full Crash Data'!$C:$C,B$29,'Full Crash Data'!$AN:$AN,"City or Village Highway Agency",'Full Crash Data'!$BC:$BC,"Yes"))))))</f>
        <v>2</v>
      </c>
      <c r="C42" s="272">
        <f t="shared" si="128"/>
        <v>1</v>
      </c>
      <c r="D42" s="295">
        <f>IF($B$2="All",SUMIFS('Full Crash Data'!$V:$V,'Full Crash Data'!$C:$C,D$29,'Full Crash Data'!$BC:$BC,"Yes"),IF($B$2="State Highway Agency",SUMIFS('Full Crash Data'!$V:$V,'Full Crash Data'!$C:$C,D$29,'Full Crash Data'!$AN:$AN,"State Highway Agency",'Full Crash Data'!$BC:$BC,"Yes"),IF($B$2="County Highway Agency",SUMIFS('Full Crash Data'!$V:$V,'Full Crash Data'!$C:$C,D$29,'Full Crash Data'!$AN:$AN,"County Highway Agency",'Full Crash Data'!$BC:$BC,"Yes"),IF($B$2="Township Highway Agency",SUMIFS('Full Crash Data'!$V:$V,'Full Crash Data'!$C:$C,D$29,'Full Crash Data'!$AN:$AN,"Township Highway Agency",'Full Crash Data'!$BC:$BC,"Yes"),IF($B$2="City or Village Highway Agency",SUMIFS('Full Crash Data'!$V:$V,'Full Crash Data'!$C:$C,D$29,'Full Crash Data'!$AN:$AN,"City or Village Highway Agency",'Full Crash Data'!$BC:$BC,"Yes"))))))</f>
        <v>0</v>
      </c>
      <c r="E42" s="272">
        <f t="shared" si="128"/>
        <v>0</v>
      </c>
      <c r="F42" s="295">
        <f>IF($B$2="All",SUMIFS('Full Crash Data'!$V:$V,'Full Crash Data'!$C:$C,F$29,'Full Crash Data'!$BC:$BC,"Yes"),IF($B$2="State Highway Agency",SUMIFS('Full Crash Data'!$V:$V,'Full Crash Data'!$C:$C,F$29,'Full Crash Data'!$AN:$AN,"State Highway Agency",'Full Crash Data'!$BC:$BC,"Yes"),IF($B$2="County Highway Agency",SUMIFS('Full Crash Data'!$V:$V,'Full Crash Data'!$C:$C,F$29,'Full Crash Data'!$AN:$AN,"County Highway Agency",'Full Crash Data'!$BC:$BC,"Yes"),IF($B$2="Township Highway Agency",SUMIFS('Full Crash Data'!$V:$V,'Full Crash Data'!$C:$C,F$29,'Full Crash Data'!$AN:$AN,"Township Highway Agency",'Full Crash Data'!$BC:$BC,"Yes"),IF($B$2="City or Village Highway Agency",SUMIFS('Full Crash Data'!$V:$V,'Full Crash Data'!$C:$C,F$29,'Full Crash Data'!$AN:$AN,"City or Village Highway Agency",'Full Crash Data'!$BC:$BC,"Yes"))))))</f>
        <v>0</v>
      </c>
      <c r="G42" s="272">
        <f t="shared" ref="G42" si="201">IFERROR(ROUND(F42/F$32,2),0)</f>
        <v>0</v>
      </c>
      <c r="H42" s="295">
        <f>IF($B$2="All",SUMIFS('Full Crash Data'!$V:$V,'Full Crash Data'!$C:$C,H$29,'Full Crash Data'!$BC:$BC,"Yes"),IF($B$2="State Highway Agency",SUMIFS('Full Crash Data'!$V:$V,'Full Crash Data'!$C:$C,H$29,'Full Crash Data'!$AN:$AN,"State Highway Agency",'Full Crash Data'!$BC:$BC,"Yes"),IF($B$2="County Highway Agency",SUMIFS('Full Crash Data'!$V:$V,'Full Crash Data'!$C:$C,H$29,'Full Crash Data'!$AN:$AN,"County Highway Agency",'Full Crash Data'!$BC:$BC,"Yes"),IF($B$2="Township Highway Agency",SUMIFS('Full Crash Data'!$V:$V,'Full Crash Data'!$C:$C,H$29,'Full Crash Data'!$AN:$AN,"Township Highway Agency",'Full Crash Data'!$BC:$BC,"Yes"),IF($B$2="City or Village Highway Agency",SUMIFS('Full Crash Data'!$V:$V,'Full Crash Data'!$C:$C,H$29,'Full Crash Data'!$AN:$AN,"City or Village Highway Agency",'Full Crash Data'!$BC:$BC,"Yes"))))))</f>
        <v>0</v>
      </c>
      <c r="I42" s="272">
        <f t="shared" ref="I42" si="202">IFERROR(ROUND(H42/H$32,2),0)</f>
        <v>0</v>
      </c>
      <c r="J42" s="295">
        <f>IF($B$2="All",SUMIFS('Full Crash Data'!$V:$V,'Full Crash Data'!$C:$C,J$29,'Full Crash Data'!$BC:$BC,"Yes"),IF($B$2="State Highway Agency",SUMIFS('Full Crash Data'!$V:$V,'Full Crash Data'!$C:$C,J$29,'Full Crash Data'!$AN:$AN,"State Highway Agency",'Full Crash Data'!$BC:$BC,"Yes"),IF($B$2="County Highway Agency",SUMIFS('Full Crash Data'!$V:$V,'Full Crash Data'!$C:$C,J$29,'Full Crash Data'!$AN:$AN,"County Highway Agency",'Full Crash Data'!$BC:$BC,"Yes"),IF($B$2="Township Highway Agency",SUMIFS('Full Crash Data'!$V:$V,'Full Crash Data'!$C:$C,J$29,'Full Crash Data'!$AN:$AN,"Township Highway Agency",'Full Crash Data'!$BC:$BC,"Yes"),IF($B$2="City or Village Highway Agency",SUMIFS('Full Crash Data'!$V:$V,'Full Crash Data'!$C:$C,J$29,'Full Crash Data'!$AN:$AN,"City or Village Highway Agency",'Full Crash Data'!$BC:$BC,"Yes"))))))</f>
        <v>3</v>
      </c>
      <c r="K42" s="272">
        <f t="shared" ref="K42" si="203">IFERROR(ROUND(J42/J$32,2),0)</f>
        <v>0.75</v>
      </c>
      <c r="L42" s="295">
        <f>IF($B$2="All",SUMIFS('Full Crash Data'!$V:$V,'Full Crash Data'!$C:$C,L$29,'Full Crash Data'!$BC:$BC,"Yes"),IF($B$2="State Highway Agency",SUMIFS('Full Crash Data'!$V:$V,'Full Crash Data'!$C:$C,L$29,'Full Crash Data'!$AN:$AN,"State Highway Agency",'Full Crash Data'!$BC:$BC,"Yes"),IF($B$2="County Highway Agency",SUMIFS('Full Crash Data'!$V:$V,'Full Crash Data'!$C:$C,L$29,'Full Crash Data'!$AN:$AN,"County Highway Agency",'Full Crash Data'!$BC:$BC,"Yes"),IF($B$2="Township Highway Agency",SUMIFS('Full Crash Data'!$V:$V,'Full Crash Data'!$C:$C,L$29,'Full Crash Data'!$AN:$AN,"Township Highway Agency",'Full Crash Data'!$BC:$BC,"Yes"),IF($B$2="City or Village Highway Agency",SUMIFS('Full Crash Data'!$V:$V,'Full Crash Data'!$C:$C,L$29,'Full Crash Data'!$AN:$AN,"City or Village Highway Agency",'Full Crash Data'!$BC:$BC,"Yes"))))))</f>
        <v>0</v>
      </c>
      <c r="M42" s="272">
        <f t="shared" ref="M42" si="204">IFERROR(ROUND(L42/L$32,2),0)</f>
        <v>0</v>
      </c>
      <c r="N42" s="295">
        <f>IF($B$2="All",SUMIFS('Full Crash Data'!$V:$V,'Full Crash Data'!$C:$C,N$29,'Full Crash Data'!$BC:$BC,"Yes"),IF($B$2="State Highway Agency",SUMIFS('Full Crash Data'!$V:$V,'Full Crash Data'!$C:$C,N$29,'Full Crash Data'!$AN:$AN,"State Highway Agency",'Full Crash Data'!$BC:$BC,"Yes"),IF($B$2="County Highway Agency",SUMIFS('Full Crash Data'!$V:$V,'Full Crash Data'!$C:$C,N$29,'Full Crash Data'!$AN:$AN,"County Highway Agency",'Full Crash Data'!$BC:$BC,"Yes"),IF($B$2="Township Highway Agency",SUMIFS('Full Crash Data'!$V:$V,'Full Crash Data'!$C:$C,N$29,'Full Crash Data'!$AN:$AN,"Township Highway Agency",'Full Crash Data'!$BC:$BC,"Yes"),IF($B$2="City or Village Highway Agency",SUMIFS('Full Crash Data'!$V:$V,'Full Crash Data'!$C:$C,N$29,'Full Crash Data'!$AN:$AN,"City or Village Highway Agency",'Full Crash Data'!$BC:$BC,"Yes"))))))</f>
        <v>0</v>
      </c>
      <c r="O42" s="272">
        <f t="shared" ref="O42" si="205">IFERROR(ROUND(N42/N$32,2),0)</f>
        <v>0</v>
      </c>
      <c r="P42" s="295">
        <f>IF($B$2="All",SUMIFS('Full Crash Data'!$V:$V,'Full Crash Data'!$C:$C,P$29,'Full Crash Data'!$BC:$BC,"Yes"),IF($B$2="State Highway Agency",SUMIFS('Full Crash Data'!$V:$V,'Full Crash Data'!$C:$C,P$29,'Full Crash Data'!$AN:$AN,"State Highway Agency",'Full Crash Data'!$BC:$BC,"Yes"),IF($B$2="County Highway Agency",SUMIFS('Full Crash Data'!$V:$V,'Full Crash Data'!$C:$C,P$29,'Full Crash Data'!$AN:$AN,"County Highway Agency",'Full Crash Data'!$BC:$BC,"Yes"),IF($B$2="Township Highway Agency",SUMIFS('Full Crash Data'!$V:$V,'Full Crash Data'!$C:$C,P$29,'Full Crash Data'!$AN:$AN,"Township Highway Agency",'Full Crash Data'!$BC:$BC,"Yes"),IF($B$2="City or Village Highway Agency",SUMIFS('Full Crash Data'!$V:$V,'Full Crash Data'!$C:$C,P$29,'Full Crash Data'!$AN:$AN,"City or Village Highway Agency",'Full Crash Data'!$BC:$BC,"Yes"))))))</f>
        <v>0</v>
      </c>
      <c r="Q42" s="272">
        <f t="shared" ref="Q42" si="206">IFERROR(ROUND(P42/P$32,2),0)</f>
        <v>0</v>
      </c>
      <c r="R42" s="295">
        <f>IF($B$2="All",SUMIFS('Full Crash Data'!$V:$V,'Full Crash Data'!$C:$C,R$29,'Full Crash Data'!$BC:$BC,"Yes"),IF($B$2="State Highway Agency",SUMIFS('Full Crash Data'!$V:$V,'Full Crash Data'!$C:$C,R$29,'Full Crash Data'!$AN:$AN,"State Highway Agency",'Full Crash Data'!$BC:$BC,"Yes"),IF($B$2="County Highway Agency",SUMIFS('Full Crash Data'!$V:$V,'Full Crash Data'!$C:$C,R$29,'Full Crash Data'!$AN:$AN,"County Highway Agency",'Full Crash Data'!$BC:$BC,"Yes"),IF($B$2="Township Highway Agency",SUMIFS('Full Crash Data'!$V:$V,'Full Crash Data'!$C:$C,R$29,'Full Crash Data'!$AN:$AN,"Township Highway Agency",'Full Crash Data'!$BC:$BC,"Yes"),IF($B$2="City or Village Highway Agency",SUMIFS('Full Crash Data'!$V:$V,'Full Crash Data'!$C:$C,R$29,'Full Crash Data'!$AN:$AN,"City or Village Highway Agency",'Full Crash Data'!$BC:$BC,"Yes"))))))</f>
        <v>0</v>
      </c>
      <c r="S42" s="272">
        <f t="shared" ref="S42" si="207">IFERROR(ROUND(R42/R$32,2),0)</f>
        <v>0</v>
      </c>
      <c r="T42" s="295">
        <f>IF($B$2="All",SUMIFS('Full Crash Data'!$V:$V,'Full Crash Data'!$C:$C,T$29,'Full Crash Data'!$BC:$BC,"Yes"),IF($B$2="State Highway Agency",SUMIFS('Full Crash Data'!$V:$V,'Full Crash Data'!$C:$C,T$29,'Full Crash Data'!$AN:$AN,"State Highway Agency",'Full Crash Data'!$BC:$BC,"Yes"),IF($B$2="County Highway Agency",SUMIFS('Full Crash Data'!$V:$V,'Full Crash Data'!$C:$C,T$29,'Full Crash Data'!$AN:$AN,"County Highway Agency",'Full Crash Data'!$BC:$BC,"Yes"),IF($B$2="Township Highway Agency",SUMIFS('Full Crash Data'!$V:$V,'Full Crash Data'!$C:$C,T$29,'Full Crash Data'!$AN:$AN,"Township Highway Agency",'Full Crash Data'!$BC:$BC,"Yes"),IF($B$2="City or Village Highway Agency",SUMIFS('Full Crash Data'!$V:$V,'Full Crash Data'!$C:$C,T$29,'Full Crash Data'!$AN:$AN,"City or Village Highway Agency",'Full Crash Data'!$BC:$BC,"Yes"))))))</f>
        <v>0</v>
      </c>
      <c r="U42" s="272">
        <f t="shared" ref="U42" si="208">IFERROR(ROUND(T42/T$32,2),0)</f>
        <v>0</v>
      </c>
      <c r="V42" s="295">
        <f>IF($B$2="All",SUMIFS('Full Crash Data'!$V:$V,'Full Crash Data'!$C:$C,V$29,'Full Crash Data'!$BC:$BC,"Yes"),IF($B$2="State Highway Agency",SUMIFS('Full Crash Data'!$V:$V,'Full Crash Data'!$C:$C,V$29,'Full Crash Data'!$AN:$AN,"State Highway Agency",'Full Crash Data'!$BC:$BC,"Yes"),IF($B$2="County Highway Agency",SUMIFS('Full Crash Data'!$V:$V,'Full Crash Data'!$C:$C,V$29,'Full Crash Data'!$AN:$AN,"County Highway Agency",'Full Crash Data'!$BC:$BC,"Yes"),IF($B$2="Township Highway Agency",SUMIFS('Full Crash Data'!$V:$V,'Full Crash Data'!$C:$C,V$29,'Full Crash Data'!$AN:$AN,"Township Highway Agency",'Full Crash Data'!$BC:$BC,"Yes"),IF($B$2="City or Village Highway Agency",SUMIFS('Full Crash Data'!$V:$V,'Full Crash Data'!$C:$C,V$29,'Full Crash Data'!$AN:$AN,"City or Village Highway Agency",'Full Crash Data'!$BC:$BC,"Yes"))))))</f>
        <v>0</v>
      </c>
      <c r="W42" s="272">
        <f t="shared" ref="W42" si="209">IFERROR(ROUND(V42/V$32,2),0)</f>
        <v>0</v>
      </c>
      <c r="AE42" s="116">
        <v>18</v>
      </c>
    </row>
    <row r="43" spans="1:31" ht="22.5" customHeight="1" x14ac:dyDescent="0.2">
      <c r="A43" s="294" t="s">
        <v>5993</v>
      </c>
      <c r="B43" s="295">
        <f>IF($B$2="All",SUMIFS('Full Crash Data'!$V:$V,'Full Crash Data'!$C:$C,B$29,'Full Crash Data'!$G:$G,"Pedestrian"),IF($B$2="State Highway Agency",SUMIFS('Full Crash Data'!$V:$V,'Full Crash Data'!$C:$C,B$29,'Full Crash Data'!$AN:$AN,"State Highway Agency",'Full Crash Data'!$G:$G,"Pedestrian"),IF($B$2="County Highway Agency",SUMIFS('Full Crash Data'!$V:$V,'Full Crash Data'!$C:$C,B$29,'Full Crash Data'!$AN:$AN,"County Highway Agency",'Full Crash Data'!$G:$G,"Pedestrian"),IF($B$2="Township Highway Agency",SUMIFS('Full Crash Data'!$V:$V,'Full Crash Data'!$C:$C,B$29,'Full Crash Data'!$AN:$AN,"Township Highway Agency",'Full Crash Data'!$G:$G,"Pedestrian"),IF($B$2="City or Village Highway Agency",SUMIFS('Full Crash Data'!$V:$V,'Full Crash Data'!$C:$C,B$29,'Full Crash Data'!$AN:$AN,"City or Village Highway Agency",'Full Crash Data'!$G:$G,"Pedestrian"))))))</f>
        <v>0</v>
      </c>
      <c r="C43" s="272">
        <f t="shared" si="128"/>
        <v>0</v>
      </c>
      <c r="D43" s="295">
        <f>IF($B$2="All",SUMIFS('Full Crash Data'!$V:$V,'Full Crash Data'!$C:$C,D$29,'Full Crash Data'!$G:$G,"Pedestrian"),IF($B$2="State Highway Agency",SUMIFS('Full Crash Data'!$V:$V,'Full Crash Data'!$C:$C,D$29,'Full Crash Data'!$AN:$AN,"State Highway Agency",'Full Crash Data'!$G:$G,"Pedestrian"),IF($B$2="County Highway Agency",SUMIFS('Full Crash Data'!$V:$V,'Full Crash Data'!$C:$C,D$29,'Full Crash Data'!$AN:$AN,"County Highway Agency",'Full Crash Data'!$G:$G,"Pedestrian"),IF($B$2="Township Highway Agency",SUMIFS('Full Crash Data'!$V:$V,'Full Crash Data'!$C:$C,D$29,'Full Crash Data'!$AN:$AN,"Township Highway Agency",'Full Crash Data'!$G:$G,"Pedestrian"),IF($B$2="City or Village Highway Agency",SUMIFS('Full Crash Data'!$V:$V,'Full Crash Data'!$C:$C,D$29,'Full Crash Data'!$AN:$AN,"City or Village Highway Agency",'Full Crash Data'!$G:$G,"Pedestrian"))))))</f>
        <v>0</v>
      </c>
      <c r="E43" s="272">
        <f t="shared" si="128"/>
        <v>0</v>
      </c>
      <c r="F43" s="295">
        <f>IF($B$2="All",SUMIFS('Full Crash Data'!$V:$V,'Full Crash Data'!$C:$C,F$29,'Full Crash Data'!$G:$G,"Pedestrian"),IF($B$2="State Highway Agency",SUMIFS('Full Crash Data'!$V:$V,'Full Crash Data'!$C:$C,F$29,'Full Crash Data'!$AN:$AN,"State Highway Agency",'Full Crash Data'!$G:$G,"Pedestrian"),IF($B$2="County Highway Agency",SUMIFS('Full Crash Data'!$V:$V,'Full Crash Data'!$C:$C,F$29,'Full Crash Data'!$AN:$AN,"County Highway Agency",'Full Crash Data'!$G:$G,"Pedestrian"),IF($B$2="Township Highway Agency",SUMIFS('Full Crash Data'!$V:$V,'Full Crash Data'!$C:$C,F$29,'Full Crash Data'!$AN:$AN,"Township Highway Agency",'Full Crash Data'!$G:$G,"Pedestrian"),IF($B$2="City or Village Highway Agency",SUMIFS('Full Crash Data'!$V:$V,'Full Crash Data'!$C:$C,F$29,'Full Crash Data'!$AN:$AN,"City or Village Highway Agency",'Full Crash Data'!$G:$G,"Pedestrian"))))))</f>
        <v>0</v>
      </c>
      <c r="G43" s="272">
        <f t="shared" ref="G43" si="210">IFERROR(ROUND(F43/F$32,2),0)</f>
        <v>0</v>
      </c>
      <c r="H43" s="295">
        <f>IF($B$2="All",SUMIFS('Full Crash Data'!$V:$V,'Full Crash Data'!$C:$C,H$29,'Full Crash Data'!$G:$G,"Pedestrian"),IF($B$2="State Highway Agency",SUMIFS('Full Crash Data'!$V:$V,'Full Crash Data'!$C:$C,H$29,'Full Crash Data'!$AN:$AN,"State Highway Agency",'Full Crash Data'!$G:$G,"Pedestrian"),IF($B$2="County Highway Agency",SUMIFS('Full Crash Data'!$V:$V,'Full Crash Data'!$C:$C,H$29,'Full Crash Data'!$AN:$AN,"County Highway Agency",'Full Crash Data'!$G:$G,"Pedestrian"),IF($B$2="Township Highway Agency",SUMIFS('Full Crash Data'!$V:$V,'Full Crash Data'!$C:$C,H$29,'Full Crash Data'!$AN:$AN,"Township Highway Agency",'Full Crash Data'!$G:$G,"Pedestrian"),IF($B$2="City or Village Highway Agency",SUMIFS('Full Crash Data'!$V:$V,'Full Crash Data'!$C:$C,H$29,'Full Crash Data'!$AN:$AN,"City or Village Highway Agency",'Full Crash Data'!$G:$G,"Pedestrian"))))))</f>
        <v>0</v>
      </c>
      <c r="I43" s="272">
        <f t="shared" ref="I43" si="211">IFERROR(ROUND(H43/H$32,2),0)</f>
        <v>0</v>
      </c>
      <c r="J43" s="295">
        <f>IF($B$2="All",SUMIFS('Full Crash Data'!$V:$V,'Full Crash Data'!$C:$C,J$29,'Full Crash Data'!$G:$G,"Pedestrian"),IF($B$2="State Highway Agency",SUMIFS('Full Crash Data'!$V:$V,'Full Crash Data'!$C:$C,J$29,'Full Crash Data'!$AN:$AN,"State Highway Agency",'Full Crash Data'!$G:$G,"Pedestrian"),IF($B$2="County Highway Agency",SUMIFS('Full Crash Data'!$V:$V,'Full Crash Data'!$C:$C,J$29,'Full Crash Data'!$AN:$AN,"County Highway Agency",'Full Crash Data'!$G:$G,"Pedestrian"),IF($B$2="Township Highway Agency",SUMIFS('Full Crash Data'!$V:$V,'Full Crash Data'!$C:$C,J$29,'Full Crash Data'!$AN:$AN,"Township Highway Agency",'Full Crash Data'!$G:$G,"Pedestrian"),IF($B$2="City or Village Highway Agency",SUMIFS('Full Crash Data'!$V:$V,'Full Crash Data'!$C:$C,J$29,'Full Crash Data'!$AN:$AN,"City or Village Highway Agency",'Full Crash Data'!$G:$G,"Pedestrian"))))))</f>
        <v>0</v>
      </c>
      <c r="K43" s="272">
        <f t="shared" ref="K43" si="212">IFERROR(ROUND(J43/J$32,2),0)</f>
        <v>0</v>
      </c>
      <c r="L43" s="295">
        <f>IF($B$2="All",SUMIFS('Full Crash Data'!$V:$V,'Full Crash Data'!$C:$C,L$29,'Full Crash Data'!$G:$G,"Pedestrian"),IF($B$2="State Highway Agency",SUMIFS('Full Crash Data'!$V:$V,'Full Crash Data'!$C:$C,L$29,'Full Crash Data'!$AN:$AN,"State Highway Agency",'Full Crash Data'!$G:$G,"Pedestrian"),IF($B$2="County Highway Agency",SUMIFS('Full Crash Data'!$V:$V,'Full Crash Data'!$C:$C,L$29,'Full Crash Data'!$AN:$AN,"County Highway Agency",'Full Crash Data'!$G:$G,"Pedestrian"),IF($B$2="Township Highway Agency",SUMIFS('Full Crash Data'!$V:$V,'Full Crash Data'!$C:$C,L$29,'Full Crash Data'!$AN:$AN,"Township Highway Agency",'Full Crash Data'!$G:$G,"Pedestrian"),IF($B$2="City or Village Highway Agency",SUMIFS('Full Crash Data'!$V:$V,'Full Crash Data'!$C:$C,L$29,'Full Crash Data'!$AN:$AN,"City or Village Highway Agency",'Full Crash Data'!$G:$G,"Pedestrian"))))))</f>
        <v>0</v>
      </c>
      <c r="M43" s="272">
        <f t="shared" ref="M43" si="213">IFERROR(ROUND(L43/L$32,2),0)</f>
        <v>0</v>
      </c>
      <c r="N43" s="295">
        <f>IF($B$2="All",SUMIFS('Full Crash Data'!$V:$V,'Full Crash Data'!$C:$C,N$29,'Full Crash Data'!$G:$G,"Pedestrian"),IF($B$2="State Highway Agency",SUMIFS('Full Crash Data'!$V:$V,'Full Crash Data'!$C:$C,N$29,'Full Crash Data'!$AN:$AN,"State Highway Agency",'Full Crash Data'!$G:$G,"Pedestrian"),IF($B$2="County Highway Agency",SUMIFS('Full Crash Data'!$V:$V,'Full Crash Data'!$C:$C,N$29,'Full Crash Data'!$AN:$AN,"County Highway Agency",'Full Crash Data'!$G:$G,"Pedestrian"),IF($B$2="Township Highway Agency",SUMIFS('Full Crash Data'!$V:$V,'Full Crash Data'!$C:$C,N$29,'Full Crash Data'!$AN:$AN,"Township Highway Agency",'Full Crash Data'!$G:$G,"Pedestrian"),IF($B$2="City or Village Highway Agency",SUMIFS('Full Crash Data'!$V:$V,'Full Crash Data'!$C:$C,N$29,'Full Crash Data'!$AN:$AN,"City or Village Highway Agency",'Full Crash Data'!$G:$G,"Pedestrian"))))))</f>
        <v>0</v>
      </c>
      <c r="O43" s="272">
        <f t="shared" ref="O43" si="214">IFERROR(ROUND(N43/N$32,2),0)</f>
        <v>0</v>
      </c>
      <c r="P43" s="295">
        <f>IF($B$2="All",SUMIFS('Full Crash Data'!$V:$V,'Full Crash Data'!$C:$C,P$29,'Full Crash Data'!$G:$G,"Pedestrian"),IF($B$2="State Highway Agency",SUMIFS('Full Crash Data'!$V:$V,'Full Crash Data'!$C:$C,P$29,'Full Crash Data'!$AN:$AN,"State Highway Agency",'Full Crash Data'!$G:$G,"Pedestrian"),IF($B$2="County Highway Agency",SUMIFS('Full Crash Data'!$V:$V,'Full Crash Data'!$C:$C,P$29,'Full Crash Data'!$AN:$AN,"County Highway Agency",'Full Crash Data'!$G:$G,"Pedestrian"),IF($B$2="Township Highway Agency",SUMIFS('Full Crash Data'!$V:$V,'Full Crash Data'!$C:$C,P$29,'Full Crash Data'!$AN:$AN,"Township Highway Agency",'Full Crash Data'!$G:$G,"Pedestrian"),IF($B$2="City or Village Highway Agency",SUMIFS('Full Crash Data'!$V:$V,'Full Crash Data'!$C:$C,P$29,'Full Crash Data'!$AN:$AN,"City or Village Highway Agency",'Full Crash Data'!$G:$G,"Pedestrian"))))))</f>
        <v>0</v>
      </c>
      <c r="Q43" s="272">
        <f t="shared" ref="Q43" si="215">IFERROR(ROUND(P43/P$32,2),0)</f>
        <v>0</v>
      </c>
      <c r="R43" s="295">
        <f>IF($B$2="All",SUMIFS('Full Crash Data'!$V:$V,'Full Crash Data'!$C:$C,R$29,'Full Crash Data'!$G:$G,"Pedestrian"),IF($B$2="State Highway Agency",SUMIFS('Full Crash Data'!$V:$V,'Full Crash Data'!$C:$C,R$29,'Full Crash Data'!$AN:$AN,"State Highway Agency",'Full Crash Data'!$G:$G,"Pedestrian"),IF($B$2="County Highway Agency",SUMIFS('Full Crash Data'!$V:$V,'Full Crash Data'!$C:$C,R$29,'Full Crash Data'!$AN:$AN,"County Highway Agency",'Full Crash Data'!$G:$G,"Pedestrian"),IF($B$2="Township Highway Agency",SUMIFS('Full Crash Data'!$V:$V,'Full Crash Data'!$C:$C,R$29,'Full Crash Data'!$AN:$AN,"Township Highway Agency",'Full Crash Data'!$G:$G,"Pedestrian"),IF($B$2="City or Village Highway Agency",SUMIFS('Full Crash Data'!$V:$V,'Full Crash Data'!$C:$C,R$29,'Full Crash Data'!$AN:$AN,"City or Village Highway Agency",'Full Crash Data'!$G:$G,"Pedestrian"))))))</f>
        <v>0</v>
      </c>
      <c r="S43" s="272">
        <f t="shared" ref="S43" si="216">IFERROR(ROUND(R43/R$32,2),0)</f>
        <v>0</v>
      </c>
      <c r="T43" s="295">
        <f>IF($B$2="All",SUMIFS('Full Crash Data'!$V:$V,'Full Crash Data'!$C:$C,T$29,'Full Crash Data'!$G:$G,"Pedestrian"),IF($B$2="State Highway Agency",SUMIFS('Full Crash Data'!$V:$V,'Full Crash Data'!$C:$C,T$29,'Full Crash Data'!$AN:$AN,"State Highway Agency",'Full Crash Data'!$G:$G,"Pedestrian"),IF($B$2="County Highway Agency",SUMIFS('Full Crash Data'!$V:$V,'Full Crash Data'!$C:$C,T$29,'Full Crash Data'!$AN:$AN,"County Highway Agency",'Full Crash Data'!$G:$G,"Pedestrian"),IF($B$2="Township Highway Agency",SUMIFS('Full Crash Data'!$V:$V,'Full Crash Data'!$C:$C,T$29,'Full Crash Data'!$AN:$AN,"Township Highway Agency",'Full Crash Data'!$G:$G,"Pedestrian"),IF($B$2="City or Village Highway Agency",SUMIFS('Full Crash Data'!$V:$V,'Full Crash Data'!$C:$C,T$29,'Full Crash Data'!$AN:$AN,"City or Village Highway Agency",'Full Crash Data'!$G:$G,"Pedestrian"))))))</f>
        <v>0</v>
      </c>
      <c r="U43" s="272">
        <f t="shared" ref="U43" si="217">IFERROR(ROUND(T43/T$32,2),0)</f>
        <v>0</v>
      </c>
      <c r="V43" s="295">
        <f>IF($B$2="All",SUMIFS('Full Crash Data'!$V:$V,'Full Crash Data'!$C:$C,V$29,'Full Crash Data'!$G:$G,"Pedestrian"),IF($B$2="State Highway Agency",SUMIFS('Full Crash Data'!$V:$V,'Full Crash Data'!$C:$C,V$29,'Full Crash Data'!$AN:$AN,"State Highway Agency",'Full Crash Data'!$G:$G,"Pedestrian"),IF($B$2="County Highway Agency",SUMIFS('Full Crash Data'!$V:$V,'Full Crash Data'!$C:$C,V$29,'Full Crash Data'!$AN:$AN,"County Highway Agency",'Full Crash Data'!$G:$G,"Pedestrian"),IF($B$2="Township Highway Agency",SUMIFS('Full Crash Data'!$V:$V,'Full Crash Data'!$C:$C,V$29,'Full Crash Data'!$AN:$AN,"Township Highway Agency",'Full Crash Data'!$G:$G,"Pedestrian"),IF($B$2="City or Village Highway Agency",SUMIFS('Full Crash Data'!$V:$V,'Full Crash Data'!$C:$C,V$29,'Full Crash Data'!$AN:$AN,"City or Village Highway Agency",'Full Crash Data'!$G:$G,"Pedestrian"))))))</f>
        <v>0</v>
      </c>
      <c r="W43" s="272">
        <f t="shared" ref="W43" si="218">IFERROR(ROUND(V43/V$32,2),0)</f>
        <v>0</v>
      </c>
      <c r="AE43" s="116">
        <v>19</v>
      </c>
    </row>
    <row r="44" spans="1:31" ht="22.5" customHeight="1" x14ac:dyDescent="0.2">
      <c r="A44" s="294" t="s">
        <v>5994</v>
      </c>
      <c r="B44" s="295">
        <f>IF($B$2="All",SUMIFS('Full Crash Data'!$V:$V,'Full Crash Data'!$C:$C,B$29,'Full Crash Data'!$G:$G,"Pedalcycles"),IF($B$2="State Highway Agency",SUMIFS('Full Crash Data'!$V:$V,'Full Crash Data'!$C:$C,B$29,'Full Crash Data'!$AN:$AN,"State Highway Agency",'Full Crash Data'!$G:$G,"Pedalcycles"),IF($B$2="County Highway Agency",SUMIFS('Full Crash Data'!$V:$V,'Full Crash Data'!$C:$C,B$29,'Full Crash Data'!$AN:$AN,"County Highway Agency",'Full Crash Data'!$G:$G,"Pedalcycles"),IF($B$2="Township Highway Agency",SUMIFS('Full Crash Data'!$V:$V,'Full Crash Data'!$C:$C,B$29,'Full Crash Data'!$AN:$AN,"Township Highway Agency",'Full Crash Data'!$G:$G,"Pedalcycles"),IF($B$2="City or Village Highway Agency",SUMIFS('Full Crash Data'!$V:$V,'Full Crash Data'!$C:$C,B$29,'Full Crash Data'!$AN:$AN,"City or Village Highway Agency",'Full Crash Data'!$G:$G,"Pedalcycles"))))))</f>
        <v>0</v>
      </c>
      <c r="C44" s="272">
        <f t="shared" si="128"/>
        <v>0</v>
      </c>
      <c r="D44" s="295">
        <f>IF($B$2="All",SUMIFS('Full Crash Data'!$V:$V,'Full Crash Data'!$C:$C,D$29,'Full Crash Data'!$G:$G,"Pedalcycles"),IF($B$2="State Highway Agency",SUMIFS('Full Crash Data'!$V:$V,'Full Crash Data'!$C:$C,D$29,'Full Crash Data'!$AN:$AN,"State Highway Agency",'Full Crash Data'!$G:$G,"Pedalcycles"),IF($B$2="County Highway Agency",SUMIFS('Full Crash Data'!$V:$V,'Full Crash Data'!$C:$C,D$29,'Full Crash Data'!$AN:$AN,"County Highway Agency",'Full Crash Data'!$G:$G,"Pedalcycles"),IF($B$2="Township Highway Agency",SUMIFS('Full Crash Data'!$V:$V,'Full Crash Data'!$C:$C,D$29,'Full Crash Data'!$AN:$AN,"Township Highway Agency",'Full Crash Data'!$G:$G,"Pedalcycles"),IF($B$2="City or Village Highway Agency",SUMIFS('Full Crash Data'!$V:$V,'Full Crash Data'!$C:$C,D$29,'Full Crash Data'!$AN:$AN,"City or Village Highway Agency",'Full Crash Data'!$G:$G,"Pedalcycles"))))))</f>
        <v>0</v>
      </c>
      <c r="E44" s="272">
        <f t="shared" si="128"/>
        <v>0</v>
      </c>
      <c r="F44" s="295">
        <f>IF($B$2="All",SUMIFS('Full Crash Data'!$V:$V,'Full Crash Data'!$C:$C,F$29,'Full Crash Data'!$G:$G,"Pedalcycles"),IF($B$2="State Highway Agency",SUMIFS('Full Crash Data'!$V:$V,'Full Crash Data'!$C:$C,F$29,'Full Crash Data'!$AN:$AN,"State Highway Agency",'Full Crash Data'!$G:$G,"Pedalcycles"),IF($B$2="County Highway Agency",SUMIFS('Full Crash Data'!$V:$V,'Full Crash Data'!$C:$C,F$29,'Full Crash Data'!$AN:$AN,"County Highway Agency",'Full Crash Data'!$G:$G,"Pedalcycles"),IF($B$2="Township Highway Agency",SUMIFS('Full Crash Data'!$V:$V,'Full Crash Data'!$C:$C,F$29,'Full Crash Data'!$AN:$AN,"Township Highway Agency",'Full Crash Data'!$G:$G,"Pedalcycles"),IF($B$2="City or Village Highway Agency",SUMIFS('Full Crash Data'!$V:$V,'Full Crash Data'!$C:$C,F$29,'Full Crash Data'!$AN:$AN,"City or Village Highway Agency",'Full Crash Data'!$G:$G,"Pedalcycles"))))))</f>
        <v>0</v>
      </c>
      <c r="G44" s="272">
        <f t="shared" ref="G44" si="219">IFERROR(ROUND(F44/F$32,2),0)</f>
        <v>0</v>
      </c>
      <c r="H44" s="295">
        <f>IF($B$2="All",SUMIFS('Full Crash Data'!$V:$V,'Full Crash Data'!$C:$C,H$29,'Full Crash Data'!$G:$G,"Pedalcycles"),IF($B$2="State Highway Agency",SUMIFS('Full Crash Data'!$V:$V,'Full Crash Data'!$C:$C,H$29,'Full Crash Data'!$AN:$AN,"State Highway Agency",'Full Crash Data'!$G:$G,"Pedalcycles"),IF($B$2="County Highway Agency",SUMIFS('Full Crash Data'!$V:$V,'Full Crash Data'!$C:$C,H$29,'Full Crash Data'!$AN:$AN,"County Highway Agency",'Full Crash Data'!$G:$G,"Pedalcycles"),IF($B$2="Township Highway Agency",SUMIFS('Full Crash Data'!$V:$V,'Full Crash Data'!$C:$C,H$29,'Full Crash Data'!$AN:$AN,"Township Highway Agency",'Full Crash Data'!$G:$G,"Pedalcycles"),IF($B$2="City or Village Highway Agency",SUMIFS('Full Crash Data'!$V:$V,'Full Crash Data'!$C:$C,H$29,'Full Crash Data'!$AN:$AN,"City or Village Highway Agency",'Full Crash Data'!$G:$G,"Pedalcycles"))))))</f>
        <v>0</v>
      </c>
      <c r="I44" s="272">
        <f t="shared" ref="I44" si="220">IFERROR(ROUND(H44/H$32,2),0)</f>
        <v>0</v>
      </c>
      <c r="J44" s="295">
        <f>IF($B$2="All",SUMIFS('Full Crash Data'!$V:$V,'Full Crash Data'!$C:$C,J$29,'Full Crash Data'!$G:$G,"Pedalcycles"),IF($B$2="State Highway Agency",SUMIFS('Full Crash Data'!$V:$V,'Full Crash Data'!$C:$C,J$29,'Full Crash Data'!$AN:$AN,"State Highway Agency",'Full Crash Data'!$G:$G,"Pedalcycles"),IF($B$2="County Highway Agency",SUMIFS('Full Crash Data'!$V:$V,'Full Crash Data'!$C:$C,J$29,'Full Crash Data'!$AN:$AN,"County Highway Agency",'Full Crash Data'!$G:$G,"Pedalcycles"),IF($B$2="Township Highway Agency",SUMIFS('Full Crash Data'!$V:$V,'Full Crash Data'!$C:$C,J$29,'Full Crash Data'!$AN:$AN,"Township Highway Agency",'Full Crash Data'!$G:$G,"Pedalcycles"),IF($B$2="City or Village Highway Agency",SUMIFS('Full Crash Data'!$V:$V,'Full Crash Data'!$C:$C,J$29,'Full Crash Data'!$AN:$AN,"City or Village Highway Agency",'Full Crash Data'!$G:$G,"Pedalcycles"))))))</f>
        <v>0</v>
      </c>
      <c r="K44" s="272">
        <f t="shared" ref="K44" si="221">IFERROR(ROUND(J44/J$32,2),0)</f>
        <v>0</v>
      </c>
      <c r="L44" s="295">
        <f>IF($B$2="All",SUMIFS('Full Crash Data'!$V:$V,'Full Crash Data'!$C:$C,L$29,'Full Crash Data'!$G:$G,"Pedalcycles"),IF($B$2="State Highway Agency",SUMIFS('Full Crash Data'!$V:$V,'Full Crash Data'!$C:$C,L$29,'Full Crash Data'!$AN:$AN,"State Highway Agency",'Full Crash Data'!$G:$G,"Pedalcycles"),IF($B$2="County Highway Agency",SUMIFS('Full Crash Data'!$V:$V,'Full Crash Data'!$C:$C,L$29,'Full Crash Data'!$AN:$AN,"County Highway Agency",'Full Crash Data'!$G:$G,"Pedalcycles"),IF($B$2="Township Highway Agency",SUMIFS('Full Crash Data'!$V:$V,'Full Crash Data'!$C:$C,L$29,'Full Crash Data'!$AN:$AN,"Township Highway Agency",'Full Crash Data'!$G:$G,"Pedalcycles"),IF($B$2="City or Village Highway Agency",SUMIFS('Full Crash Data'!$V:$V,'Full Crash Data'!$C:$C,L$29,'Full Crash Data'!$AN:$AN,"City or Village Highway Agency",'Full Crash Data'!$G:$G,"Pedalcycles"))))))</f>
        <v>0</v>
      </c>
      <c r="M44" s="272">
        <f t="shared" ref="M44" si="222">IFERROR(ROUND(L44/L$32,2),0)</f>
        <v>0</v>
      </c>
      <c r="N44" s="295">
        <f>IF($B$2="All",SUMIFS('Full Crash Data'!$V:$V,'Full Crash Data'!$C:$C,N$29,'Full Crash Data'!$G:$G,"Pedalcycles"),IF($B$2="State Highway Agency",SUMIFS('Full Crash Data'!$V:$V,'Full Crash Data'!$C:$C,N$29,'Full Crash Data'!$AN:$AN,"State Highway Agency",'Full Crash Data'!$G:$G,"Pedalcycles"),IF($B$2="County Highway Agency",SUMIFS('Full Crash Data'!$V:$V,'Full Crash Data'!$C:$C,N$29,'Full Crash Data'!$AN:$AN,"County Highway Agency",'Full Crash Data'!$G:$G,"Pedalcycles"),IF($B$2="Township Highway Agency",SUMIFS('Full Crash Data'!$V:$V,'Full Crash Data'!$C:$C,N$29,'Full Crash Data'!$AN:$AN,"Township Highway Agency",'Full Crash Data'!$G:$G,"Pedalcycles"),IF($B$2="City or Village Highway Agency",SUMIFS('Full Crash Data'!$V:$V,'Full Crash Data'!$C:$C,N$29,'Full Crash Data'!$AN:$AN,"City or Village Highway Agency",'Full Crash Data'!$G:$G,"Pedalcycles"))))))</f>
        <v>0</v>
      </c>
      <c r="O44" s="272">
        <f t="shared" ref="O44" si="223">IFERROR(ROUND(N44/N$32,2),0)</f>
        <v>0</v>
      </c>
      <c r="P44" s="295">
        <f>IF($B$2="All",SUMIFS('Full Crash Data'!$V:$V,'Full Crash Data'!$C:$C,P$29,'Full Crash Data'!$G:$G,"Pedalcycles"),IF($B$2="State Highway Agency",SUMIFS('Full Crash Data'!$V:$V,'Full Crash Data'!$C:$C,P$29,'Full Crash Data'!$AN:$AN,"State Highway Agency",'Full Crash Data'!$G:$G,"Pedalcycles"),IF($B$2="County Highway Agency",SUMIFS('Full Crash Data'!$V:$V,'Full Crash Data'!$C:$C,P$29,'Full Crash Data'!$AN:$AN,"County Highway Agency",'Full Crash Data'!$G:$G,"Pedalcycles"),IF($B$2="Township Highway Agency",SUMIFS('Full Crash Data'!$V:$V,'Full Crash Data'!$C:$C,P$29,'Full Crash Data'!$AN:$AN,"Township Highway Agency",'Full Crash Data'!$G:$G,"Pedalcycles"),IF($B$2="City or Village Highway Agency",SUMIFS('Full Crash Data'!$V:$V,'Full Crash Data'!$C:$C,P$29,'Full Crash Data'!$AN:$AN,"City or Village Highway Agency",'Full Crash Data'!$G:$G,"Pedalcycles"))))))</f>
        <v>0</v>
      </c>
      <c r="Q44" s="272">
        <f t="shared" ref="Q44" si="224">IFERROR(ROUND(P44/P$32,2),0)</f>
        <v>0</v>
      </c>
      <c r="R44" s="295">
        <f>IF($B$2="All",SUMIFS('Full Crash Data'!$V:$V,'Full Crash Data'!$C:$C,R$29,'Full Crash Data'!$G:$G,"Pedalcycles"),IF($B$2="State Highway Agency",SUMIFS('Full Crash Data'!$V:$V,'Full Crash Data'!$C:$C,R$29,'Full Crash Data'!$AN:$AN,"State Highway Agency",'Full Crash Data'!$G:$G,"Pedalcycles"),IF($B$2="County Highway Agency",SUMIFS('Full Crash Data'!$V:$V,'Full Crash Data'!$C:$C,R$29,'Full Crash Data'!$AN:$AN,"County Highway Agency",'Full Crash Data'!$G:$G,"Pedalcycles"),IF($B$2="Township Highway Agency",SUMIFS('Full Crash Data'!$V:$V,'Full Crash Data'!$C:$C,R$29,'Full Crash Data'!$AN:$AN,"Township Highway Agency",'Full Crash Data'!$G:$G,"Pedalcycles"),IF($B$2="City or Village Highway Agency",SUMIFS('Full Crash Data'!$V:$V,'Full Crash Data'!$C:$C,R$29,'Full Crash Data'!$AN:$AN,"City or Village Highway Agency",'Full Crash Data'!$G:$G,"Pedalcycles"))))))</f>
        <v>0</v>
      </c>
      <c r="S44" s="272">
        <f t="shared" ref="S44" si="225">IFERROR(ROUND(R44/R$32,2),0)</f>
        <v>0</v>
      </c>
      <c r="T44" s="295">
        <f>IF($B$2="All",SUMIFS('Full Crash Data'!$V:$V,'Full Crash Data'!$C:$C,T$29,'Full Crash Data'!$G:$G,"Pedalcycles"),IF($B$2="State Highway Agency",SUMIFS('Full Crash Data'!$V:$V,'Full Crash Data'!$C:$C,T$29,'Full Crash Data'!$AN:$AN,"State Highway Agency",'Full Crash Data'!$G:$G,"Pedalcycles"),IF($B$2="County Highway Agency",SUMIFS('Full Crash Data'!$V:$V,'Full Crash Data'!$C:$C,T$29,'Full Crash Data'!$AN:$AN,"County Highway Agency",'Full Crash Data'!$G:$G,"Pedalcycles"),IF($B$2="Township Highway Agency",SUMIFS('Full Crash Data'!$V:$V,'Full Crash Data'!$C:$C,T$29,'Full Crash Data'!$AN:$AN,"Township Highway Agency",'Full Crash Data'!$G:$G,"Pedalcycles"),IF($B$2="City or Village Highway Agency",SUMIFS('Full Crash Data'!$V:$V,'Full Crash Data'!$C:$C,T$29,'Full Crash Data'!$AN:$AN,"City or Village Highway Agency",'Full Crash Data'!$G:$G,"Pedalcycles"))))))</f>
        <v>0</v>
      </c>
      <c r="U44" s="272">
        <f t="shared" ref="U44" si="226">IFERROR(ROUND(T44/T$32,2),0)</f>
        <v>0</v>
      </c>
      <c r="V44" s="295">
        <f>IF($B$2="All",SUMIFS('Full Crash Data'!$V:$V,'Full Crash Data'!$C:$C,V$29,'Full Crash Data'!$G:$G,"Pedalcycles"),IF($B$2="State Highway Agency",SUMIFS('Full Crash Data'!$V:$V,'Full Crash Data'!$C:$C,V$29,'Full Crash Data'!$AN:$AN,"State Highway Agency",'Full Crash Data'!$G:$G,"Pedalcycles"),IF($B$2="County Highway Agency",SUMIFS('Full Crash Data'!$V:$V,'Full Crash Data'!$C:$C,V$29,'Full Crash Data'!$AN:$AN,"County Highway Agency",'Full Crash Data'!$G:$G,"Pedalcycles"),IF($B$2="Township Highway Agency",SUMIFS('Full Crash Data'!$V:$V,'Full Crash Data'!$C:$C,V$29,'Full Crash Data'!$AN:$AN,"Township Highway Agency",'Full Crash Data'!$G:$G,"Pedalcycles"),IF($B$2="City or Village Highway Agency",SUMIFS('Full Crash Data'!$V:$V,'Full Crash Data'!$C:$C,V$29,'Full Crash Data'!$AN:$AN,"City or Village Highway Agency",'Full Crash Data'!$G:$G,"Pedalcycles"))))))</f>
        <v>0</v>
      </c>
      <c r="W44" s="272">
        <f t="shared" ref="W44" si="227">IFERROR(ROUND(V44/V$32,2),0)</f>
        <v>0</v>
      </c>
      <c r="AE44" s="116">
        <v>20</v>
      </c>
    </row>
    <row r="45" spans="1:31" ht="22.5" customHeight="1" x14ac:dyDescent="0.2">
      <c r="A45" s="294" t="s">
        <v>1200</v>
      </c>
      <c r="B45" s="295">
        <f>IF($B$2="All",SUMIFS('Full Crash Data'!$V:$V,'Full Crash Data'!$C:$C,B$29,'Full Crash Data'!$BG:$BG,"Yes"),IF($B$2="State Highway Agency",SUMIFS('Full Crash Data'!$V:$V,'Full Crash Data'!$C:$C,B$29,'Full Crash Data'!$AN:$AN,"State Highway Agency",'Full Crash Data'!$BG:$BG,"Yes"),IF($B$2="County Highway Agency",SUMIFS('Full Crash Data'!$V:$V,'Full Crash Data'!$C:$C,B$29,'Full Crash Data'!$AN:$AN,"County Highway Agency",'Full Crash Data'!$BG:$BG,"Yes"),IF($B$2="Township Highway Agency",SUMIFS('Full Crash Data'!$V:$V,'Full Crash Data'!$C:$C,B$29,'Full Crash Data'!$AN:$AN,"Township Highway Agency",'Full Crash Data'!$BG:$BG,"Yes"),IF($B$2="City or Village Highway Agency",SUMIFS('Full Crash Data'!$V:$V,'Full Crash Data'!$C:$C,B$29,'Full Crash Data'!$AN:$AN,"City or Village Highway Agency",'Full Crash Data'!$BG:$BG,"Yes"))))))</f>
        <v>0</v>
      </c>
      <c r="C45" s="272">
        <f t="shared" si="128"/>
        <v>0</v>
      </c>
      <c r="D45" s="295">
        <f>IF($B$2="All",SUMIFS('Full Crash Data'!$V:$V,'Full Crash Data'!$C:$C,D$29,'Full Crash Data'!$BG:$BG,"Yes"),IF($B$2="State Highway Agency",SUMIFS('Full Crash Data'!$V:$V,'Full Crash Data'!$C:$C,D$29,'Full Crash Data'!$AN:$AN,"State Highway Agency",'Full Crash Data'!$BG:$BG,"Yes"),IF($B$2="County Highway Agency",SUMIFS('Full Crash Data'!$V:$V,'Full Crash Data'!$C:$C,D$29,'Full Crash Data'!$AN:$AN,"County Highway Agency",'Full Crash Data'!$BG:$BG,"Yes"),IF($B$2="Township Highway Agency",SUMIFS('Full Crash Data'!$V:$V,'Full Crash Data'!$C:$C,D$29,'Full Crash Data'!$AN:$AN,"Township Highway Agency",'Full Crash Data'!$BG:$BG,"Yes"),IF($B$2="City or Village Highway Agency",SUMIFS('Full Crash Data'!$V:$V,'Full Crash Data'!$C:$C,D$29,'Full Crash Data'!$AN:$AN,"City or Village Highway Agency",'Full Crash Data'!$BG:$BG,"Yes"))))))</f>
        <v>0</v>
      </c>
      <c r="E45" s="272">
        <f t="shared" si="128"/>
        <v>0</v>
      </c>
      <c r="F45" s="295">
        <f>IF($B$2="All",SUMIFS('Full Crash Data'!$V:$V,'Full Crash Data'!$C:$C,F$29,'Full Crash Data'!$BG:$BG,"Yes"),IF($B$2="State Highway Agency",SUMIFS('Full Crash Data'!$V:$V,'Full Crash Data'!$C:$C,F$29,'Full Crash Data'!$AN:$AN,"State Highway Agency",'Full Crash Data'!$BG:$BG,"Yes"),IF($B$2="County Highway Agency",SUMIFS('Full Crash Data'!$V:$V,'Full Crash Data'!$C:$C,F$29,'Full Crash Data'!$AN:$AN,"County Highway Agency",'Full Crash Data'!$BG:$BG,"Yes"),IF($B$2="Township Highway Agency",SUMIFS('Full Crash Data'!$V:$V,'Full Crash Data'!$C:$C,F$29,'Full Crash Data'!$AN:$AN,"Township Highway Agency",'Full Crash Data'!$BG:$BG,"Yes"),IF($B$2="City or Village Highway Agency",SUMIFS('Full Crash Data'!$V:$V,'Full Crash Data'!$C:$C,F$29,'Full Crash Data'!$AN:$AN,"City or Village Highway Agency",'Full Crash Data'!$BG:$BG,"Yes"))))))</f>
        <v>0</v>
      </c>
      <c r="G45" s="272">
        <f t="shared" ref="G45" si="228">IFERROR(ROUND(F45/F$32,2),0)</f>
        <v>0</v>
      </c>
      <c r="H45" s="295">
        <f>IF($B$2="All",SUMIFS('Full Crash Data'!$V:$V,'Full Crash Data'!$C:$C,H$29,'Full Crash Data'!$BG:$BG,"Yes"),IF($B$2="State Highway Agency",SUMIFS('Full Crash Data'!$V:$V,'Full Crash Data'!$C:$C,H$29,'Full Crash Data'!$AN:$AN,"State Highway Agency",'Full Crash Data'!$BG:$BG,"Yes"),IF($B$2="County Highway Agency",SUMIFS('Full Crash Data'!$V:$V,'Full Crash Data'!$C:$C,H$29,'Full Crash Data'!$AN:$AN,"County Highway Agency",'Full Crash Data'!$BG:$BG,"Yes"),IF($B$2="Township Highway Agency",SUMIFS('Full Crash Data'!$V:$V,'Full Crash Data'!$C:$C,H$29,'Full Crash Data'!$AN:$AN,"Township Highway Agency",'Full Crash Data'!$BG:$BG,"Yes"),IF($B$2="City or Village Highway Agency",SUMIFS('Full Crash Data'!$V:$V,'Full Crash Data'!$C:$C,H$29,'Full Crash Data'!$AN:$AN,"City or Village Highway Agency",'Full Crash Data'!$BG:$BG,"Yes"))))))</f>
        <v>0</v>
      </c>
      <c r="I45" s="272">
        <f t="shared" ref="I45" si="229">IFERROR(ROUND(H45/H$32,2),0)</f>
        <v>0</v>
      </c>
      <c r="J45" s="295">
        <f>IF($B$2="All",SUMIFS('Full Crash Data'!$V:$V,'Full Crash Data'!$C:$C,J$29,'Full Crash Data'!$BG:$BG,"Yes"),IF($B$2="State Highway Agency",SUMIFS('Full Crash Data'!$V:$V,'Full Crash Data'!$C:$C,J$29,'Full Crash Data'!$AN:$AN,"State Highway Agency",'Full Crash Data'!$BG:$BG,"Yes"),IF($B$2="County Highway Agency",SUMIFS('Full Crash Data'!$V:$V,'Full Crash Data'!$C:$C,J$29,'Full Crash Data'!$AN:$AN,"County Highway Agency",'Full Crash Data'!$BG:$BG,"Yes"),IF($B$2="Township Highway Agency",SUMIFS('Full Crash Data'!$V:$V,'Full Crash Data'!$C:$C,J$29,'Full Crash Data'!$AN:$AN,"Township Highway Agency",'Full Crash Data'!$BG:$BG,"Yes"),IF($B$2="City or Village Highway Agency",SUMIFS('Full Crash Data'!$V:$V,'Full Crash Data'!$C:$C,J$29,'Full Crash Data'!$AN:$AN,"City or Village Highway Agency",'Full Crash Data'!$BG:$BG,"Yes"))))))</f>
        <v>0</v>
      </c>
      <c r="K45" s="272">
        <f t="shared" ref="K45" si="230">IFERROR(ROUND(J45/J$32,2),0)</f>
        <v>0</v>
      </c>
      <c r="L45" s="295">
        <f>IF($B$2="All",SUMIFS('Full Crash Data'!$V:$V,'Full Crash Data'!$C:$C,L$29,'Full Crash Data'!$BG:$BG,"Yes"),IF($B$2="State Highway Agency",SUMIFS('Full Crash Data'!$V:$V,'Full Crash Data'!$C:$C,L$29,'Full Crash Data'!$AN:$AN,"State Highway Agency",'Full Crash Data'!$BG:$BG,"Yes"),IF($B$2="County Highway Agency",SUMIFS('Full Crash Data'!$V:$V,'Full Crash Data'!$C:$C,L$29,'Full Crash Data'!$AN:$AN,"County Highway Agency",'Full Crash Data'!$BG:$BG,"Yes"),IF($B$2="Township Highway Agency",SUMIFS('Full Crash Data'!$V:$V,'Full Crash Data'!$C:$C,L$29,'Full Crash Data'!$AN:$AN,"Township Highway Agency",'Full Crash Data'!$BG:$BG,"Yes"),IF($B$2="City or Village Highway Agency",SUMIFS('Full Crash Data'!$V:$V,'Full Crash Data'!$C:$C,L$29,'Full Crash Data'!$AN:$AN,"City or Village Highway Agency",'Full Crash Data'!$BG:$BG,"Yes"))))))</f>
        <v>0</v>
      </c>
      <c r="M45" s="272">
        <f t="shared" ref="M45" si="231">IFERROR(ROUND(L45/L$32,2),0)</f>
        <v>0</v>
      </c>
      <c r="N45" s="295">
        <f>IF($B$2="All",SUMIFS('Full Crash Data'!$V:$V,'Full Crash Data'!$C:$C,N$29,'Full Crash Data'!$BG:$BG,"Yes"),IF($B$2="State Highway Agency",SUMIFS('Full Crash Data'!$V:$V,'Full Crash Data'!$C:$C,N$29,'Full Crash Data'!$AN:$AN,"State Highway Agency",'Full Crash Data'!$BG:$BG,"Yes"),IF($B$2="County Highway Agency",SUMIFS('Full Crash Data'!$V:$V,'Full Crash Data'!$C:$C,N$29,'Full Crash Data'!$AN:$AN,"County Highway Agency",'Full Crash Data'!$BG:$BG,"Yes"),IF($B$2="Township Highway Agency",SUMIFS('Full Crash Data'!$V:$V,'Full Crash Data'!$C:$C,N$29,'Full Crash Data'!$AN:$AN,"Township Highway Agency",'Full Crash Data'!$BG:$BG,"Yes"),IF($B$2="City or Village Highway Agency",SUMIFS('Full Crash Data'!$V:$V,'Full Crash Data'!$C:$C,N$29,'Full Crash Data'!$AN:$AN,"City or Village Highway Agency",'Full Crash Data'!$BG:$BG,"Yes"))))))</f>
        <v>0</v>
      </c>
      <c r="O45" s="272">
        <f t="shared" ref="O45" si="232">IFERROR(ROUND(N45/N$32,2),0)</f>
        <v>0</v>
      </c>
      <c r="P45" s="295">
        <f>IF($B$2="All",SUMIFS('Full Crash Data'!$V:$V,'Full Crash Data'!$C:$C,P$29,'Full Crash Data'!$BG:$BG,"Yes"),IF($B$2="State Highway Agency",SUMIFS('Full Crash Data'!$V:$V,'Full Crash Data'!$C:$C,P$29,'Full Crash Data'!$AN:$AN,"State Highway Agency",'Full Crash Data'!$BG:$BG,"Yes"),IF($B$2="County Highway Agency",SUMIFS('Full Crash Data'!$V:$V,'Full Crash Data'!$C:$C,P$29,'Full Crash Data'!$AN:$AN,"County Highway Agency",'Full Crash Data'!$BG:$BG,"Yes"),IF($B$2="Township Highway Agency",SUMIFS('Full Crash Data'!$V:$V,'Full Crash Data'!$C:$C,P$29,'Full Crash Data'!$AN:$AN,"Township Highway Agency",'Full Crash Data'!$BG:$BG,"Yes"),IF($B$2="City or Village Highway Agency",SUMIFS('Full Crash Data'!$V:$V,'Full Crash Data'!$C:$C,P$29,'Full Crash Data'!$AN:$AN,"City or Village Highway Agency",'Full Crash Data'!$BG:$BG,"Yes"))))))</f>
        <v>0</v>
      </c>
      <c r="Q45" s="272">
        <f t="shared" ref="Q45" si="233">IFERROR(ROUND(P45/P$32,2),0)</f>
        <v>0</v>
      </c>
      <c r="R45" s="295">
        <f>IF($B$2="All",SUMIFS('Full Crash Data'!$V:$V,'Full Crash Data'!$C:$C,R$29,'Full Crash Data'!$BG:$BG,"Yes"),IF($B$2="State Highway Agency",SUMIFS('Full Crash Data'!$V:$V,'Full Crash Data'!$C:$C,R$29,'Full Crash Data'!$AN:$AN,"State Highway Agency",'Full Crash Data'!$BG:$BG,"Yes"),IF($B$2="County Highway Agency",SUMIFS('Full Crash Data'!$V:$V,'Full Crash Data'!$C:$C,R$29,'Full Crash Data'!$AN:$AN,"County Highway Agency",'Full Crash Data'!$BG:$BG,"Yes"),IF($B$2="Township Highway Agency",SUMIFS('Full Crash Data'!$V:$V,'Full Crash Data'!$C:$C,R$29,'Full Crash Data'!$AN:$AN,"Township Highway Agency",'Full Crash Data'!$BG:$BG,"Yes"),IF($B$2="City or Village Highway Agency",SUMIFS('Full Crash Data'!$V:$V,'Full Crash Data'!$C:$C,R$29,'Full Crash Data'!$AN:$AN,"City or Village Highway Agency",'Full Crash Data'!$BG:$BG,"Yes"))))))</f>
        <v>0</v>
      </c>
      <c r="S45" s="272">
        <f t="shared" ref="S45" si="234">IFERROR(ROUND(R45/R$32,2),0)</f>
        <v>0</v>
      </c>
      <c r="T45" s="295">
        <f>IF($B$2="All",SUMIFS('Full Crash Data'!$V:$V,'Full Crash Data'!$C:$C,T$29,'Full Crash Data'!$BG:$BG,"Yes"),IF($B$2="State Highway Agency",SUMIFS('Full Crash Data'!$V:$V,'Full Crash Data'!$C:$C,T$29,'Full Crash Data'!$AN:$AN,"State Highway Agency",'Full Crash Data'!$BG:$BG,"Yes"),IF($B$2="County Highway Agency",SUMIFS('Full Crash Data'!$V:$V,'Full Crash Data'!$C:$C,T$29,'Full Crash Data'!$AN:$AN,"County Highway Agency",'Full Crash Data'!$BG:$BG,"Yes"),IF($B$2="Township Highway Agency",SUMIFS('Full Crash Data'!$V:$V,'Full Crash Data'!$C:$C,T$29,'Full Crash Data'!$AN:$AN,"Township Highway Agency",'Full Crash Data'!$BG:$BG,"Yes"),IF($B$2="City or Village Highway Agency",SUMIFS('Full Crash Data'!$V:$V,'Full Crash Data'!$C:$C,T$29,'Full Crash Data'!$AN:$AN,"City or Village Highway Agency",'Full Crash Data'!$BG:$BG,"Yes"))))))</f>
        <v>0</v>
      </c>
      <c r="U45" s="272">
        <f t="shared" ref="U45" si="235">IFERROR(ROUND(T45/T$32,2),0)</f>
        <v>0</v>
      </c>
      <c r="V45" s="295">
        <f>IF($B$2="All",SUMIFS('Full Crash Data'!$V:$V,'Full Crash Data'!$C:$C,V$29,'Full Crash Data'!$BG:$BG,"Yes"),IF($B$2="State Highway Agency",SUMIFS('Full Crash Data'!$V:$V,'Full Crash Data'!$C:$C,V$29,'Full Crash Data'!$AN:$AN,"State Highway Agency",'Full Crash Data'!$BG:$BG,"Yes"),IF($B$2="County Highway Agency",SUMIFS('Full Crash Data'!$V:$V,'Full Crash Data'!$C:$C,V$29,'Full Crash Data'!$AN:$AN,"County Highway Agency",'Full Crash Data'!$BG:$BG,"Yes"),IF($B$2="Township Highway Agency",SUMIFS('Full Crash Data'!$V:$V,'Full Crash Data'!$C:$C,V$29,'Full Crash Data'!$AN:$AN,"Township Highway Agency",'Full Crash Data'!$BG:$BG,"Yes"),IF($B$2="City or Village Highway Agency",SUMIFS('Full Crash Data'!$V:$V,'Full Crash Data'!$C:$C,V$29,'Full Crash Data'!$AN:$AN,"City or Village Highway Agency",'Full Crash Data'!$BG:$BG,"Yes"))))))</f>
        <v>0</v>
      </c>
      <c r="W45" s="272">
        <f t="shared" ref="W45" si="236">IFERROR(ROUND(V45/V$32,2),0)</f>
        <v>0</v>
      </c>
      <c r="AE45" s="116">
        <v>21</v>
      </c>
    </row>
    <row r="46" spans="1:31" ht="22.5" customHeight="1" x14ac:dyDescent="0.2">
      <c r="A46" s="296" t="s">
        <v>6001</v>
      </c>
      <c r="B46" s="297">
        <f>IF($B$2="All",SUMIFS('Full Crash Data'!$V:$V,'Full Crash Data'!$C:$C,B$29,'Full Crash Data'!$BA:$BA,"Yes"),IF($B$2="State Highway Agency",SUMIFS('Full Crash Data'!$V:$V,'Full Crash Data'!$C:$C,B$29,'Full Crash Data'!$AN:$AN,"State Highway Agency",'Full Crash Data'!$BA:$BA,"Yes"),IF($B$2="County Highway Agency",SUMIFS('Full Crash Data'!$V:$V,'Full Crash Data'!$C:$C,B$29,'Full Crash Data'!$AN:$AN,"County Highway Agency",'Full Crash Data'!$BA:$BA,"Yes"),IF($B$2="Township Highway Agency",SUMIFS('Full Crash Data'!$V:$V,'Full Crash Data'!$C:$C,B$29,'Full Crash Data'!$AN:$AN,"Township Highway Agency",'Full Crash Data'!$BA:$BA,"Yes"),IF($B$2="City or Village Highway Agency",SUMIFS('Full Crash Data'!$V:$V,'Full Crash Data'!$C:$C,B$29,'Full Crash Data'!$AN:$AN,"City or Village Highway Agency",'Full Crash Data'!$BA:$BA,"Yes"))))))</f>
        <v>0</v>
      </c>
      <c r="C46" s="272">
        <f t="shared" si="128"/>
        <v>0</v>
      </c>
      <c r="D46" s="297">
        <f>IF($B$2="All",SUMIFS('Full Crash Data'!$V:$V,'Full Crash Data'!$C:$C,D$29,'Full Crash Data'!$BA:$BA,"Yes"),IF($B$2="State Highway Agency",SUMIFS('Full Crash Data'!$V:$V,'Full Crash Data'!$C:$C,D$29,'Full Crash Data'!$AN:$AN,"State Highway Agency",'Full Crash Data'!$BA:$BA,"Yes"),IF($B$2="County Highway Agency",SUMIFS('Full Crash Data'!$V:$V,'Full Crash Data'!$C:$C,D$29,'Full Crash Data'!$AN:$AN,"County Highway Agency",'Full Crash Data'!$BA:$BA,"Yes"),IF($B$2="Township Highway Agency",SUMIFS('Full Crash Data'!$V:$V,'Full Crash Data'!$C:$C,D$29,'Full Crash Data'!$AN:$AN,"Township Highway Agency",'Full Crash Data'!$BA:$BA,"Yes"),IF($B$2="City or Village Highway Agency",SUMIFS('Full Crash Data'!$V:$V,'Full Crash Data'!$C:$C,D$29,'Full Crash Data'!$AN:$AN,"City or Village Highway Agency",'Full Crash Data'!$BA:$BA,"Yes"))))))</f>
        <v>0</v>
      </c>
      <c r="E46" s="272">
        <f t="shared" si="128"/>
        <v>0</v>
      </c>
      <c r="F46" s="297">
        <f>IF($B$2="All",SUMIFS('Full Crash Data'!$V:$V,'Full Crash Data'!$C:$C,F$29,'Full Crash Data'!$BA:$BA,"Yes"),IF($B$2="State Highway Agency",SUMIFS('Full Crash Data'!$V:$V,'Full Crash Data'!$C:$C,F$29,'Full Crash Data'!$AN:$AN,"State Highway Agency",'Full Crash Data'!$BA:$BA,"Yes"),IF($B$2="County Highway Agency",SUMIFS('Full Crash Data'!$V:$V,'Full Crash Data'!$C:$C,F$29,'Full Crash Data'!$AN:$AN,"County Highway Agency",'Full Crash Data'!$BA:$BA,"Yes"),IF($B$2="Township Highway Agency",SUMIFS('Full Crash Data'!$V:$V,'Full Crash Data'!$C:$C,F$29,'Full Crash Data'!$AN:$AN,"Township Highway Agency",'Full Crash Data'!$BA:$BA,"Yes"),IF($B$2="City or Village Highway Agency",SUMIFS('Full Crash Data'!$V:$V,'Full Crash Data'!$C:$C,F$29,'Full Crash Data'!$AN:$AN,"City or Village Highway Agency",'Full Crash Data'!$BA:$BA,"Yes"))))))</f>
        <v>0</v>
      </c>
      <c r="G46" s="272">
        <f t="shared" ref="G46:G47" si="237">IFERROR(ROUND(F46/F$32,2),0)</f>
        <v>0</v>
      </c>
      <c r="H46" s="297">
        <f>IF($B$2="All",SUMIFS('Full Crash Data'!$V:$V,'Full Crash Data'!$C:$C,H$29,'Full Crash Data'!$BA:$BA,"Yes"),IF($B$2="State Highway Agency",SUMIFS('Full Crash Data'!$V:$V,'Full Crash Data'!$C:$C,H$29,'Full Crash Data'!$AN:$AN,"State Highway Agency",'Full Crash Data'!$BA:$BA,"Yes"),IF($B$2="County Highway Agency",SUMIFS('Full Crash Data'!$V:$V,'Full Crash Data'!$C:$C,H$29,'Full Crash Data'!$AN:$AN,"County Highway Agency",'Full Crash Data'!$BA:$BA,"Yes"),IF($B$2="Township Highway Agency",SUMIFS('Full Crash Data'!$V:$V,'Full Crash Data'!$C:$C,H$29,'Full Crash Data'!$AN:$AN,"Township Highway Agency",'Full Crash Data'!$BA:$BA,"Yes"),IF($B$2="City or Village Highway Agency",SUMIFS('Full Crash Data'!$V:$V,'Full Crash Data'!$C:$C,H$29,'Full Crash Data'!$AN:$AN,"City or Village Highway Agency",'Full Crash Data'!$BA:$BA,"Yes"))))))</f>
        <v>0</v>
      </c>
      <c r="I46" s="272">
        <f t="shared" ref="I46:I47" si="238">IFERROR(ROUND(H46/H$32,2),0)</f>
        <v>0</v>
      </c>
      <c r="J46" s="297">
        <f>IF($B$2="All",SUMIFS('Full Crash Data'!$V:$V,'Full Crash Data'!$C:$C,J$29,'Full Crash Data'!$BA:$BA,"Yes"),IF($B$2="State Highway Agency",SUMIFS('Full Crash Data'!$V:$V,'Full Crash Data'!$C:$C,J$29,'Full Crash Data'!$AN:$AN,"State Highway Agency",'Full Crash Data'!$BA:$BA,"Yes"),IF($B$2="County Highway Agency",SUMIFS('Full Crash Data'!$V:$V,'Full Crash Data'!$C:$C,J$29,'Full Crash Data'!$AN:$AN,"County Highway Agency",'Full Crash Data'!$BA:$BA,"Yes"),IF($B$2="Township Highway Agency",SUMIFS('Full Crash Data'!$V:$V,'Full Crash Data'!$C:$C,J$29,'Full Crash Data'!$AN:$AN,"Township Highway Agency",'Full Crash Data'!$BA:$BA,"Yes"),IF($B$2="City or Village Highway Agency",SUMIFS('Full Crash Data'!$V:$V,'Full Crash Data'!$C:$C,J$29,'Full Crash Data'!$AN:$AN,"City or Village Highway Agency",'Full Crash Data'!$BA:$BA,"Yes"))))))</f>
        <v>0</v>
      </c>
      <c r="K46" s="272">
        <f t="shared" ref="K46:K47" si="239">IFERROR(ROUND(J46/J$32,2),0)</f>
        <v>0</v>
      </c>
      <c r="L46" s="297">
        <f>IF($B$2="All",SUMIFS('Full Crash Data'!$V:$V,'Full Crash Data'!$C:$C,L$29,'Full Crash Data'!$BA:$BA,"Yes"),IF($B$2="State Highway Agency",SUMIFS('Full Crash Data'!$V:$V,'Full Crash Data'!$C:$C,L$29,'Full Crash Data'!$AN:$AN,"State Highway Agency",'Full Crash Data'!$BA:$BA,"Yes"),IF($B$2="County Highway Agency",SUMIFS('Full Crash Data'!$V:$V,'Full Crash Data'!$C:$C,L$29,'Full Crash Data'!$AN:$AN,"County Highway Agency",'Full Crash Data'!$BA:$BA,"Yes"),IF($B$2="Township Highway Agency",SUMIFS('Full Crash Data'!$V:$V,'Full Crash Data'!$C:$C,L$29,'Full Crash Data'!$AN:$AN,"Township Highway Agency",'Full Crash Data'!$BA:$BA,"Yes"),IF($B$2="City or Village Highway Agency",SUMIFS('Full Crash Data'!$V:$V,'Full Crash Data'!$C:$C,L$29,'Full Crash Data'!$AN:$AN,"City or Village Highway Agency",'Full Crash Data'!$BA:$BA,"Yes"))))))</f>
        <v>0</v>
      </c>
      <c r="M46" s="272">
        <f t="shared" ref="M46:M47" si="240">IFERROR(ROUND(L46/L$32,2),0)</f>
        <v>0</v>
      </c>
      <c r="N46" s="297">
        <f>IF($B$2="All",SUMIFS('Full Crash Data'!$V:$V,'Full Crash Data'!$C:$C,N$29,'Full Crash Data'!$BA:$BA,"Yes"),IF($B$2="State Highway Agency",SUMIFS('Full Crash Data'!$V:$V,'Full Crash Data'!$C:$C,N$29,'Full Crash Data'!$AN:$AN,"State Highway Agency",'Full Crash Data'!$BA:$BA,"Yes"),IF($B$2="County Highway Agency",SUMIFS('Full Crash Data'!$V:$V,'Full Crash Data'!$C:$C,N$29,'Full Crash Data'!$AN:$AN,"County Highway Agency",'Full Crash Data'!$BA:$BA,"Yes"),IF($B$2="Township Highway Agency",SUMIFS('Full Crash Data'!$V:$V,'Full Crash Data'!$C:$C,N$29,'Full Crash Data'!$AN:$AN,"Township Highway Agency",'Full Crash Data'!$BA:$BA,"Yes"),IF($B$2="City or Village Highway Agency",SUMIFS('Full Crash Data'!$V:$V,'Full Crash Data'!$C:$C,N$29,'Full Crash Data'!$AN:$AN,"City or Village Highway Agency",'Full Crash Data'!$BA:$BA,"Yes"))))))</f>
        <v>0</v>
      </c>
      <c r="O46" s="272">
        <f t="shared" ref="O46:O47" si="241">IFERROR(ROUND(N46/N$32,2),0)</f>
        <v>0</v>
      </c>
      <c r="P46" s="297">
        <f>IF($B$2="All",SUMIFS('Full Crash Data'!$V:$V,'Full Crash Data'!$C:$C,P$29,'Full Crash Data'!$BA:$BA,"Yes"),IF($B$2="State Highway Agency",SUMIFS('Full Crash Data'!$V:$V,'Full Crash Data'!$C:$C,P$29,'Full Crash Data'!$AN:$AN,"State Highway Agency",'Full Crash Data'!$BA:$BA,"Yes"),IF($B$2="County Highway Agency",SUMIFS('Full Crash Data'!$V:$V,'Full Crash Data'!$C:$C,P$29,'Full Crash Data'!$AN:$AN,"County Highway Agency",'Full Crash Data'!$BA:$BA,"Yes"),IF($B$2="Township Highway Agency",SUMIFS('Full Crash Data'!$V:$V,'Full Crash Data'!$C:$C,P$29,'Full Crash Data'!$AN:$AN,"Township Highway Agency",'Full Crash Data'!$BA:$BA,"Yes"),IF($B$2="City or Village Highway Agency",SUMIFS('Full Crash Data'!$V:$V,'Full Crash Data'!$C:$C,P$29,'Full Crash Data'!$AN:$AN,"City or Village Highway Agency",'Full Crash Data'!$BA:$BA,"Yes"))))))</f>
        <v>0</v>
      </c>
      <c r="Q46" s="272">
        <f t="shared" ref="Q46:Q47" si="242">IFERROR(ROUND(P46/P$32,2),0)</f>
        <v>0</v>
      </c>
      <c r="R46" s="297">
        <f>IF($B$2="All",SUMIFS('Full Crash Data'!$V:$V,'Full Crash Data'!$C:$C,R$29,'Full Crash Data'!$BA:$BA,"Yes"),IF($B$2="State Highway Agency",SUMIFS('Full Crash Data'!$V:$V,'Full Crash Data'!$C:$C,R$29,'Full Crash Data'!$AN:$AN,"State Highway Agency",'Full Crash Data'!$BA:$BA,"Yes"),IF($B$2="County Highway Agency",SUMIFS('Full Crash Data'!$V:$V,'Full Crash Data'!$C:$C,R$29,'Full Crash Data'!$AN:$AN,"County Highway Agency",'Full Crash Data'!$BA:$BA,"Yes"),IF($B$2="Township Highway Agency",SUMIFS('Full Crash Data'!$V:$V,'Full Crash Data'!$C:$C,R$29,'Full Crash Data'!$AN:$AN,"Township Highway Agency",'Full Crash Data'!$BA:$BA,"Yes"),IF($B$2="City or Village Highway Agency",SUMIFS('Full Crash Data'!$V:$V,'Full Crash Data'!$C:$C,R$29,'Full Crash Data'!$AN:$AN,"City or Village Highway Agency",'Full Crash Data'!$BA:$BA,"Yes"))))))</f>
        <v>0</v>
      </c>
      <c r="S46" s="272">
        <f t="shared" ref="S46:S47" si="243">IFERROR(ROUND(R46/R$32,2),0)</f>
        <v>0</v>
      </c>
      <c r="T46" s="297">
        <f>IF($B$2="All",SUMIFS('Full Crash Data'!$V:$V,'Full Crash Data'!$C:$C,T$29,'Full Crash Data'!$BA:$BA,"Yes"),IF($B$2="State Highway Agency",SUMIFS('Full Crash Data'!$V:$V,'Full Crash Data'!$C:$C,T$29,'Full Crash Data'!$AN:$AN,"State Highway Agency",'Full Crash Data'!$BA:$BA,"Yes"),IF($B$2="County Highway Agency",SUMIFS('Full Crash Data'!$V:$V,'Full Crash Data'!$C:$C,T$29,'Full Crash Data'!$AN:$AN,"County Highway Agency",'Full Crash Data'!$BA:$BA,"Yes"),IF($B$2="Township Highway Agency",SUMIFS('Full Crash Data'!$V:$V,'Full Crash Data'!$C:$C,T$29,'Full Crash Data'!$AN:$AN,"Township Highway Agency",'Full Crash Data'!$BA:$BA,"Yes"),IF($B$2="City or Village Highway Agency",SUMIFS('Full Crash Data'!$V:$V,'Full Crash Data'!$C:$C,T$29,'Full Crash Data'!$AN:$AN,"City or Village Highway Agency",'Full Crash Data'!$BA:$BA,"Yes"))))))</f>
        <v>0</v>
      </c>
      <c r="U46" s="272">
        <f t="shared" ref="U46:U47" si="244">IFERROR(ROUND(T46/T$32,2),0)</f>
        <v>0</v>
      </c>
      <c r="V46" s="297">
        <f>IF($B$2="All",SUMIFS('Full Crash Data'!$V:$V,'Full Crash Data'!$C:$C,V$29,'Full Crash Data'!$BA:$BA,"Yes"),IF($B$2="State Highway Agency",SUMIFS('Full Crash Data'!$V:$V,'Full Crash Data'!$C:$C,V$29,'Full Crash Data'!$AN:$AN,"State Highway Agency",'Full Crash Data'!$BA:$BA,"Yes"),IF($B$2="County Highway Agency",SUMIFS('Full Crash Data'!$V:$V,'Full Crash Data'!$C:$C,V$29,'Full Crash Data'!$AN:$AN,"County Highway Agency",'Full Crash Data'!$BA:$BA,"Yes"),IF($B$2="Township Highway Agency",SUMIFS('Full Crash Data'!$V:$V,'Full Crash Data'!$C:$C,V$29,'Full Crash Data'!$AN:$AN,"Township Highway Agency",'Full Crash Data'!$BA:$BA,"Yes"),IF($B$2="City or Village Highway Agency",SUMIFS('Full Crash Data'!$V:$V,'Full Crash Data'!$C:$C,V$29,'Full Crash Data'!$AN:$AN,"City or Village Highway Agency",'Full Crash Data'!$BA:$BA,"Yes"))))))</f>
        <v>0</v>
      </c>
      <c r="W46" s="272">
        <f t="shared" ref="W46:W47" si="245">IFERROR(ROUND(V46/V$32,2),0)</f>
        <v>0</v>
      </c>
      <c r="AE46" s="116">
        <v>22</v>
      </c>
    </row>
    <row r="47" spans="1:31" ht="22.5" customHeight="1" x14ac:dyDescent="0.2">
      <c r="A47" s="296" t="s">
        <v>6409</v>
      </c>
      <c r="B47" s="297">
        <f>IF($B$2="All",SUMIFS('Full Crash Data'!$V:$V,'Full Crash Data'!$C:$C,B$29,'Full Crash Data'!$AZ:$AZ,"Yes"),IF($B$2="State Highway Agency",SUMIFS('Full Crash Data'!$V:$V,'Full Crash Data'!$C:$C,B$29,'Full Crash Data'!$AN:$AN,"State Highway Agency",'Full Crash Data'!$AZ:$AZ,"Yes"),IF($B$2="County Highway Agency",SUMIFS('Full Crash Data'!$V:$V,'Full Crash Data'!$C:$C,B$29,'Full Crash Data'!$AN:$AN,"County Highway Agency",'Full Crash Data'!$AZ:$AZ,"Yes"),IF($B$2="Township Highway Agency",SUMIFS('Full Crash Data'!$V:$V,'Full Crash Data'!$C:$C,B$29,'Full Crash Data'!$AN:$AN,"Township Highway Agency",'Full Crash Data'!$AZ:$AZ,"Yes"),IF($B$2="City or Village Highway Agency",SUMIFS('Full Crash Data'!$V:$V,'Full Crash Data'!$C:$C,B$29,'Full Crash Data'!$AN:$AN,"City or Village Highway Agency",'Full Crash Data'!$AZ:$AZ,"Yes"))))))</f>
        <v>0</v>
      </c>
      <c r="C47" s="272">
        <f t="shared" si="128"/>
        <v>0</v>
      </c>
      <c r="D47" s="297">
        <f>IF($B$2="All",SUMIFS('Full Crash Data'!$V:$V,'Full Crash Data'!$C:$C,D$29,'Full Crash Data'!$AZ:$AZ,"Yes"),IF($B$2="State Highway Agency",SUMIFS('Full Crash Data'!$V:$V,'Full Crash Data'!$C:$C,D$29,'Full Crash Data'!$AN:$AN,"State Highway Agency",'Full Crash Data'!$AZ:$AZ,"Yes"),IF($B$2="County Highway Agency",SUMIFS('Full Crash Data'!$V:$V,'Full Crash Data'!$C:$C,D$29,'Full Crash Data'!$AN:$AN,"County Highway Agency",'Full Crash Data'!$AZ:$AZ,"Yes"),IF($B$2="Township Highway Agency",SUMIFS('Full Crash Data'!$V:$V,'Full Crash Data'!$C:$C,D$29,'Full Crash Data'!$AN:$AN,"Township Highway Agency",'Full Crash Data'!$AZ:$AZ,"Yes"),IF($B$2="City or Village Highway Agency",SUMIFS('Full Crash Data'!$V:$V,'Full Crash Data'!$C:$C,D$29,'Full Crash Data'!$AN:$AN,"City or Village Highway Agency",'Full Crash Data'!$AZ:$AZ,"Yes"))))))</f>
        <v>0</v>
      </c>
      <c r="E47" s="272">
        <f t="shared" si="128"/>
        <v>0</v>
      </c>
      <c r="F47" s="297">
        <f>IF($B$2="All",SUMIFS('Full Crash Data'!$V:$V,'Full Crash Data'!$C:$C,F$29,'Full Crash Data'!$AZ:$AZ,"Yes"),IF($B$2="State Highway Agency",SUMIFS('Full Crash Data'!$V:$V,'Full Crash Data'!$C:$C,F$29,'Full Crash Data'!$AN:$AN,"State Highway Agency",'Full Crash Data'!$AZ:$AZ,"Yes"),IF($B$2="County Highway Agency",SUMIFS('Full Crash Data'!$V:$V,'Full Crash Data'!$C:$C,F$29,'Full Crash Data'!$AN:$AN,"County Highway Agency",'Full Crash Data'!$AZ:$AZ,"Yes"),IF($B$2="Township Highway Agency",SUMIFS('Full Crash Data'!$V:$V,'Full Crash Data'!$C:$C,F$29,'Full Crash Data'!$AN:$AN,"Township Highway Agency",'Full Crash Data'!$AZ:$AZ,"Yes"),IF($B$2="City or Village Highway Agency",SUMIFS('Full Crash Data'!$V:$V,'Full Crash Data'!$C:$C,F$29,'Full Crash Data'!$AN:$AN,"City or Village Highway Agency",'Full Crash Data'!$AZ:$AZ,"Yes"))))))</f>
        <v>0</v>
      </c>
      <c r="G47" s="272">
        <f t="shared" si="237"/>
        <v>0</v>
      </c>
      <c r="H47" s="297">
        <f>IF($B$2="All",SUMIFS('Full Crash Data'!$V:$V,'Full Crash Data'!$C:$C,H$29,'Full Crash Data'!$AZ:$AZ,"Yes"),IF($B$2="State Highway Agency",SUMIFS('Full Crash Data'!$V:$V,'Full Crash Data'!$C:$C,H$29,'Full Crash Data'!$AN:$AN,"State Highway Agency",'Full Crash Data'!$AZ:$AZ,"Yes"),IF($B$2="County Highway Agency",SUMIFS('Full Crash Data'!$V:$V,'Full Crash Data'!$C:$C,H$29,'Full Crash Data'!$AN:$AN,"County Highway Agency",'Full Crash Data'!$AZ:$AZ,"Yes"),IF($B$2="Township Highway Agency",SUMIFS('Full Crash Data'!$V:$V,'Full Crash Data'!$C:$C,H$29,'Full Crash Data'!$AN:$AN,"Township Highway Agency",'Full Crash Data'!$AZ:$AZ,"Yes"),IF($B$2="City or Village Highway Agency",SUMIFS('Full Crash Data'!$V:$V,'Full Crash Data'!$C:$C,H$29,'Full Crash Data'!$AN:$AN,"City or Village Highway Agency",'Full Crash Data'!$AZ:$AZ,"Yes"))))))</f>
        <v>0</v>
      </c>
      <c r="I47" s="272">
        <f t="shared" si="238"/>
        <v>0</v>
      </c>
      <c r="J47" s="297">
        <f>IF($B$2="All",SUMIFS('Full Crash Data'!$V:$V,'Full Crash Data'!$C:$C,J$29,'Full Crash Data'!$AZ:$AZ,"Yes"),IF($B$2="State Highway Agency",SUMIFS('Full Crash Data'!$V:$V,'Full Crash Data'!$C:$C,J$29,'Full Crash Data'!$AN:$AN,"State Highway Agency",'Full Crash Data'!$AZ:$AZ,"Yes"),IF($B$2="County Highway Agency",SUMIFS('Full Crash Data'!$V:$V,'Full Crash Data'!$C:$C,J$29,'Full Crash Data'!$AN:$AN,"County Highway Agency",'Full Crash Data'!$AZ:$AZ,"Yes"),IF($B$2="Township Highway Agency",SUMIFS('Full Crash Data'!$V:$V,'Full Crash Data'!$C:$C,J$29,'Full Crash Data'!$AN:$AN,"Township Highway Agency",'Full Crash Data'!$AZ:$AZ,"Yes"),IF($B$2="City or Village Highway Agency",SUMIFS('Full Crash Data'!$V:$V,'Full Crash Data'!$C:$C,J$29,'Full Crash Data'!$AN:$AN,"City or Village Highway Agency",'Full Crash Data'!$AZ:$AZ,"Yes"))))))</f>
        <v>0</v>
      </c>
      <c r="K47" s="272">
        <f t="shared" si="239"/>
        <v>0</v>
      </c>
      <c r="L47" s="297">
        <f>IF($B$2="All",SUMIFS('Full Crash Data'!$V:$V,'Full Crash Data'!$C:$C,L$29,'Full Crash Data'!$AZ:$AZ,"Yes"),IF($B$2="State Highway Agency",SUMIFS('Full Crash Data'!$V:$V,'Full Crash Data'!$C:$C,L$29,'Full Crash Data'!$AN:$AN,"State Highway Agency",'Full Crash Data'!$AZ:$AZ,"Yes"),IF($B$2="County Highway Agency",SUMIFS('Full Crash Data'!$V:$V,'Full Crash Data'!$C:$C,L$29,'Full Crash Data'!$AN:$AN,"County Highway Agency",'Full Crash Data'!$AZ:$AZ,"Yes"),IF($B$2="Township Highway Agency",SUMIFS('Full Crash Data'!$V:$V,'Full Crash Data'!$C:$C,L$29,'Full Crash Data'!$AN:$AN,"Township Highway Agency",'Full Crash Data'!$AZ:$AZ,"Yes"),IF($B$2="City or Village Highway Agency",SUMIFS('Full Crash Data'!$V:$V,'Full Crash Data'!$C:$C,L$29,'Full Crash Data'!$AN:$AN,"City or Village Highway Agency",'Full Crash Data'!$AZ:$AZ,"Yes"))))))</f>
        <v>0</v>
      </c>
      <c r="M47" s="272">
        <f t="shared" si="240"/>
        <v>0</v>
      </c>
      <c r="N47" s="297">
        <f>IF($B$2="All",SUMIFS('Full Crash Data'!$V:$V,'Full Crash Data'!$C:$C,N$29,'Full Crash Data'!$AZ:$AZ,"Yes"),IF($B$2="State Highway Agency",SUMIFS('Full Crash Data'!$V:$V,'Full Crash Data'!$C:$C,N$29,'Full Crash Data'!$AN:$AN,"State Highway Agency",'Full Crash Data'!$AZ:$AZ,"Yes"),IF($B$2="County Highway Agency",SUMIFS('Full Crash Data'!$V:$V,'Full Crash Data'!$C:$C,N$29,'Full Crash Data'!$AN:$AN,"County Highway Agency",'Full Crash Data'!$AZ:$AZ,"Yes"),IF($B$2="Township Highway Agency",SUMIFS('Full Crash Data'!$V:$V,'Full Crash Data'!$C:$C,N$29,'Full Crash Data'!$AN:$AN,"Township Highway Agency",'Full Crash Data'!$AZ:$AZ,"Yes"),IF($B$2="City or Village Highway Agency",SUMIFS('Full Crash Data'!$V:$V,'Full Crash Data'!$C:$C,N$29,'Full Crash Data'!$AN:$AN,"City or Village Highway Agency",'Full Crash Data'!$AZ:$AZ,"Yes"))))))</f>
        <v>0</v>
      </c>
      <c r="O47" s="272">
        <f t="shared" si="241"/>
        <v>0</v>
      </c>
      <c r="P47" s="297">
        <f>IF($B$2="All",SUMIFS('Full Crash Data'!$V:$V,'Full Crash Data'!$C:$C,P$29,'Full Crash Data'!$AZ:$AZ,"Yes"),IF($B$2="State Highway Agency",SUMIFS('Full Crash Data'!$V:$V,'Full Crash Data'!$C:$C,P$29,'Full Crash Data'!$AN:$AN,"State Highway Agency",'Full Crash Data'!$AZ:$AZ,"Yes"),IF($B$2="County Highway Agency",SUMIFS('Full Crash Data'!$V:$V,'Full Crash Data'!$C:$C,P$29,'Full Crash Data'!$AN:$AN,"County Highway Agency",'Full Crash Data'!$AZ:$AZ,"Yes"),IF($B$2="Township Highway Agency",SUMIFS('Full Crash Data'!$V:$V,'Full Crash Data'!$C:$C,P$29,'Full Crash Data'!$AN:$AN,"Township Highway Agency",'Full Crash Data'!$AZ:$AZ,"Yes"),IF($B$2="City or Village Highway Agency",SUMIFS('Full Crash Data'!$V:$V,'Full Crash Data'!$C:$C,P$29,'Full Crash Data'!$AN:$AN,"City or Village Highway Agency",'Full Crash Data'!$AZ:$AZ,"Yes"))))))</f>
        <v>0</v>
      </c>
      <c r="Q47" s="272">
        <f t="shared" si="242"/>
        <v>0</v>
      </c>
      <c r="R47" s="297">
        <f>IF($B$2="All",SUMIFS('Full Crash Data'!$V:$V,'Full Crash Data'!$C:$C,R$29,'Full Crash Data'!$AZ:$AZ,"Yes"),IF($B$2="State Highway Agency",SUMIFS('Full Crash Data'!$V:$V,'Full Crash Data'!$C:$C,R$29,'Full Crash Data'!$AN:$AN,"State Highway Agency",'Full Crash Data'!$AZ:$AZ,"Yes"),IF($B$2="County Highway Agency",SUMIFS('Full Crash Data'!$V:$V,'Full Crash Data'!$C:$C,R$29,'Full Crash Data'!$AN:$AN,"County Highway Agency",'Full Crash Data'!$AZ:$AZ,"Yes"),IF($B$2="Township Highway Agency",SUMIFS('Full Crash Data'!$V:$V,'Full Crash Data'!$C:$C,R$29,'Full Crash Data'!$AN:$AN,"Township Highway Agency",'Full Crash Data'!$AZ:$AZ,"Yes"),IF($B$2="City or Village Highway Agency",SUMIFS('Full Crash Data'!$V:$V,'Full Crash Data'!$C:$C,R$29,'Full Crash Data'!$AN:$AN,"City or Village Highway Agency",'Full Crash Data'!$AZ:$AZ,"Yes"))))))</f>
        <v>0</v>
      </c>
      <c r="S47" s="272">
        <f t="shared" si="243"/>
        <v>0</v>
      </c>
      <c r="T47" s="297">
        <f>IF($B$2="All",SUMIFS('Full Crash Data'!$V:$V,'Full Crash Data'!$C:$C,T$29,'Full Crash Data'!$AZ:$AZ,"Yes"),IF($B$2="State Highway Agency",SUMIFS('Full Crash Data'!$V:$V,'Full Crash Data'!$C:$C,T$29,'Full Crash Data'!$AN:$AN,"State Highway Agency",'Full Crash Data'!$AZ:$AZ,"Yes"),IF($B$2="County Highway Agency",SUMIFS('Full Crash Data'!$V:$V,'Full Crash Data'!$C:$C,T$29,'Full Crash Data'!$AN:$AN,"County Highway Agency",'Full Crash Data'!$AZ:$AZ,"Yes"),IF($B$2="Township Highway Agency",SUMIFS('Full Crash Data'!$V:$V,'Full Crash Data'!$C:$C,T$29,'Full Crash Data'!$AN:$AN,"Township Highway Agency",'Full Crash Data'!$AZ:$AZ,"Yes"),IF($B$2="City or Village Highway Agency",SUMIFS('Full Crash Data'!$V:$V,'Full Crash Data'!$C:$C,T$29,'Full Crash Data'!$AN:$AN,"City or Village Highway Agency",'Full Crash Data'!$AZ:$AZ,"Yes"))))))</f>
        <v>0</v>
      </c>
      <c r="U47" s="272">
        <f t="shared" si="244"/>
        <v>0</v>
      </c>
      <c r="V47" s="297">
        <f>IF($B$2="All",SUMIFS('Full Crash Data'!$V:$V,'Full Crash Data'!$C:$C,V$29,'Full Crash Data'!$AZ:$AZ,"Yes"),IF($B$2="State Highway Agency",SUMIFS('Full Crash Data'!$V:$V,'Full Crash Data'!$C:$C,V$29,'Full Crash Data'!$AN:$AN,"State Highway Agency",'Full Crash Data'!$AZ:$AZ,"Yes"),IF($B$2="County Highway Agency",SUMIFS('Full Crash Data'!$V:$V,'Full Crash Data'!$C:$C,V$29,'Full Crash Data'!$AN:$AN,"County Highway Agency",'Full Crash Data'!$AZ:$AZ,"Yes"),IF($B$2="Township Highway Agency",SUMIFS('Full Crash Data'!$V:$V,'Full Crash Data'!$C:$C,V$29,'Full Crash Data'!$AN:$AN,"Township Highway Agency",'Full Crash Data'!$AZ:$AZ,"Yes"),IF($B$2="City or Village Highway Agency",SUMIFS('Full Crash Data'!$V:$V,'Full Crash Data'!$C:$C,V$29,'Full Crash Data'!$AN:$AN,"City or Village Highway Agency",'Full Crash Data'!$AZ:$AZ,"Yes"))))))</f>
        <v>0</v>
      </c>
      <c r="W47" s="272">
        <f t="shared" si="245"/>
        <v>0</v>
      </c>
    </row>
    <row r="48" spans="1:31" ht="22.5" customHeight="1" thickBot="1" x14ac:dyDescent="0.25">
      <c r="A48" s="299" t="s">
        <v>390</v>
      </c>
      <c r="B48" s="300">
        <f>IF($B$2="All",SUMIFS('Full Crash Data'!$V:$V,'Full Crash Data'!$C:$C,B$29,'Full Crash Data'!$G:$G,"Rear End"),IF($B$2="State Highway Agency",SUMIFS('Full Crash Data'!$V:$V,'Full Crash Data'!$C:$C,B$29,'Full Crash Data'!$AN:$AN,"State Highway Agency",'Full Crash Data'!$G:$G,"Rear End"),IF($B$2="County Highway Agency",SUMIFS('Full Crash Data'!$V:$V,'Full Crash Data'!$C:$C,B$29,'Full Crash Data'!$AN:$AN,"County Highway Agency",'Full Crash Data'!$G:$G,"Rear End"),IF($B$2="Township Highway Agency",SUMIFS('Full Crash Data'!$V:$V,'Full Crash Data'!$C:$C,B$29,'Full Crash Data'!$AN:$AN,"Township Highway Agency",'Full Crash Data'!$G:$G,"Rear End"),IF($B$2="City or Village Highway Agency",SUMIFS('Full Crash Data'!$V:$V,'Full Crash Data'!$C:$C,B$29,'Full Crash Data'!$AN:$AN,"City or Village Highway Agency",'Full Crash Data'!$G:$G,"Rear End"))))))</f>
        <v>0</v>
      </c>
      <c r="C48" s="279">
        <f t="shared" si="128"/>
        <v>0</v>
      </c>
      <c r="D48" s="300">
        <f>IF($B$2="All",SUMIFS('Full Crash Data'!$V:$V,'Full Crash Data'!$C:$C,D$29,'Full Crash Data'!$G:$G,"Rear End"),IF($B$2="State Highway Agency",SUMIFS('Full Crash Data'!$V:$V,'Full Crash Data'!$C:$C,D$29,'Full Crash Data'!$AN:$AN,"State Highway Agency",'Full Crash Data'!$G:$G,"Rear End"),IF($B$2="County Highway Agency",SUMIFS('Full Crash Data'!$V:$V,'Full Crash Data'!$C:$C,D$29,'Full Crash Data'!$AN:$AN,"County Highway Agency",'Full Crash Data'!$G:$G,"Rear End"),IF($B$2="Township Highway Agency",SUMIFS('Full Crash Data'!$V:$V,'Full Crash Data'!$C:$C,D$29,'Full Crash Data'!$AN:$AN,"Township Highway Agency",'Full Crash Data'!$G:$G,"Rear End"),IF($B$2="City or Village Highway Agency",SUMIFS('Full Crash Data'!$V:$V,'Full Crash Data'!$C:$C,D$29,'Full Crash Data'!$AN:$AN,"City or Village Highway Agency",'Full Crash Data'!$G:$G,"Rear End"))))))</f>
        <v>0</v>
      </c>
      <c r="E48" s="279">
        <f t="shared" si="128"/>
        <v>0</v>
      </c>
      <c r="F48" s="300">
        <f>IF($B$2="All",SUMIFS('Full Crash Data'!$V:$V,'Full Crash Data'!$C:$C,F$29,'Full Crash Data'!$G:$G,"Rear End"),IF($B$2="State Highway Agency",SUMIFS('Full Crash Data'!$V:$V,'Full Crash Data'!$C:$C,F$29,'Full Crash Data'!$AN:$AN,"State Highway Agency",'Full Crash Data'!$G:$G,"Rear End"),IF($B$2="County Highway Agency",SUMIFS('Full Crash Data'!$V:$V,'Full Crash Data'!$C:$C,F$29,'Full Crash Data'!$AN:$AN,"County Highway Agency",'Full Crash Data'!$G:$G,"Rear End"),IF($B$2="Township Highway Agency",SUMIFS('Full Crash Data'!$V:$V,'Full Crash Data'!$C:$C,F$29,'Full Crash Data'!$AN:$AN,"Township Highway Agency",'Full Crash Data'!$G:$G,"Rear End"),IF($B$2="City or Village Highway Agency",SUMIFS('Full Crash Data'!$V:$V,'Full Crash Data'!$C:$C,F$29,'Full Crash Data'!$AN:$AN,"City or Village Highway Agency",'Full Crash Data'!$G:$G,"Rear End"))))))</f>
        <v>0</v>
      </c>
      <c r="G48" s="279">
        <f t="shared" ref="G48" si="246">IFERROR(ROUND(F48/F$32,2),0)</f>
        <v>0</v>
      </c>
      <c r="H48" s="300">
        <f>IF($B$2="All",SUMIFS('Full Crash Data'!$V:$V,'Full Crash Data'!$C:$C,H$29,'Full Crash Data'!$G:$G,"Rear End"),IF($B$2="State Highway Agency",SUMIFS('Full Crash Data'!$V:$V,'Full Crash Data'!$C:$C,H$29,'Full Crash Data'!$AN:$AN,"State Highway Agency",'Full Crash Data'!$G:$G,"Rear End"),IF($B$2="County Highway Agency",SUMIFS('Full Crash Data'!$V:$V,'Full Crash Data'!$C:$C,H$29,'Full Crash Data'!$AN:$AN,"County Highway Agency",'Full Crash Data'!$G:$G,"Rear End"),IF($B$2="Township Highway Agency",SUMIFS('Full Crash Data'!$V:$V,'Full Crash Data'!$C:$C,H$29,'Full Crash Data'!$AN:$AN,"Township Highway Agency",'Full Crash Data'!$G:$G,"Rear End"),IF($B$2="City or Village Highway Agency",SUMIFS('Full Crash Data'!$V:$V,'Full Crash Data'!$C:$C,H$29,'Full Crash Data'!$AN:$AN,"City or Village Highway Agency",'Full Crash Data'!$G:$G,"Rear End"))))))</f>
        <v>0</v>
      </c>
      <c r="I48" s="279">
        <f t="shared" ref="I48" si="247">IFERROR(ROUND(H48/H$32,2),0)</f>
        <v>0</v>
      </c>
      <c r="J48" s="300">
        <f>IF($B$2="All",SUMIFS('Full Crash Data'!$V:$V,'Full Crash Data'!$C:$C,J$29,'Full Crash Data'!$G:$G,"Rear End"),IF($B$2="State Highway Agency",SUMIFS('Full Crash Data'!$V:$V,'Full Crash Data'!$C:$C,J$29,'Full Crash Data'!$AN:$AN,"State Highway Agency",'Full Crash Data'!$G:$G,"Rear End"),IF($B$2="County Highway Agency",SUMIFS('Full Crash Data'!$V:$V,'Full Crash Data'!$C:$C,J$29,'Full Crash Data'!$AN:$AN,"County Highway Agency",'Full Crash Data'!$G:$G,"Rear End"),IF($B$2="Township Highway Agency",SUMIFS('Full Crash Data'!$V:$V,'Full Crash Data'!$C:$C,J$29,'Full Crash Data'!$AN:$AN,"Township Highway Agency",'Full Crash Data'!$G:$G,"Rear End"),IF($B$2="City or Village Highway Agency",SUMIFS('Full Crash Data'!$V:$V,'Full Crash Data'!$C:$C,J$29,'Full Crash Data'!$AN:$AN,"City or Village Highway Agency",'Full Crash Data'!$G:$G,"Rear End"))))))</f>
        <v>0</v>
      </c>
      <c r="K48" s="279">
        <f t="shared" ref="K48" si="248">IFERROR(ROUND(J48/J$32,2),0)</f>
        <v>0</v>
      </c>
      <c r="L48" s="300">
        <f>IF($B$2="All",SUMIFS('Full Crash Data'!$V:$V,'Full Crash Data'!$C:$C,L$29,'Full Crash Data'!$G:$G,"Rear End"),IF($B$2="State Highway Agency",SUMIFS('Full Crash Data'!$V:$V,'Full Crash Data'!$C:$C,L$29,'Full Crash Data'!$AN:$AN,"State Highway Agency",'Full Crash Data'!$G:$G,"Rear End"),IF($B$2="County Highway Agency",SUMIFS('Full Crash Data'!$V:$V,'Full Crash Data'!$C:$C,L$29,'Full Crash Data'!$AN:$AN,"County Highway Agency",'Full Crash Data'!$G:$G,"Rear End"),IF($B$2="Township Highway Agency",SUMIFS('Full Crash Data'!$V:$V,'Full Crash Data'!$C:$C,L$29,'Full Crash Data'!$AN:$AN,"Township Highway Agency",'Full Crash Data'!$G:$G,"Rear End"),IF($B$2="City or Village Highway Agency",SUMIFS('Full Crash Data'!$V:$V,'Full Crash Data'!$C:$C,L$29,'Full Crash Data'!$AN:$AN,"City or Village Highway Agency",'Full Crash Data'!$G:$G,"Rear End"))))))</f>
        <v>0</v>
      </c>
      <c r="M48" s="279">
        <f t="shared" ref="M48" si="249">IFERROR(ROUND(L48/L$32,2),0)</f>
        <v>0</v>
      </c>
      <c r="N48" s="300">
        <f>IF($B$2="All",SUMIFS('Full Crash Data'!$V:$V,'Full Crash Data'!$C:$C,N$29,'Full Crash Data'!$G:$G,"Rear End"),IF($B$2="State Highway Agency",SUMIFS('Full Crash Data'!$V:$V,'Full Crash Data'!$C:$C,N$29,'Full Crash Data'!$AN:$AN,"State Highway Agency",'Full Crash Data'!$G:$G,"Rear End"),IF($B$2="County Highway Agency",SUMIFS('Full Crash Data'!$V:$V,'Full Crash Data'!$C:$C,N$29,'Full Crash Data'!$AN:$AN,"County Highway Agency",'Full Crash Data'!$G:$G,"Rear End"),IF($B$2="Township Highway Agency",SUMIFS('Full Crash Data'!$V:$V,'Full Crash Data'!$C:$C,N$29,'Full Crash Data'!$AN:$AN,"Township Highway Agency",'Full Crash Data'!$G:$G,"Rear End"),IF($B$2="City or Village Highway Agency",SUMIFS('Full Crash Data'!$V:$V,'Full Crash Data'!$C:$C,N$29,'Full Crash Data'!$AN:$AN,"City or Village Highway Agency",'Full Crash Data'!$G:$G,"Rear End"))))))</f>
        <v>0</v>
      </c>
      <c r="O48" s="279">
        <f t="shared" ref="O48" si="250">IFERROR(ROUND(N48/N$32,2),0)</f>
        <v>0</v>
      </c>
      <c r="P48" s="300">
        <f>IF($B$2="All",SUMIFS('Full Crash Data'!$V:$V,'Full Crash Data'!$C:$C,P$29,'Full Crash Data'!$G:$G,"Rear End"),IF($B$2="State Highway Agency",SUMIFS('Full Crash Data'!$V:$V,'Full Crash Data'!$C:$C,P$29,'Full Crash Data'!$AN:$AN,"State Highway Agency",'Full Crash Data'!$G:$G,"Rear End"),IF($B$2="County Highway Agency",SUMIFS('Full Crash Data'!$V:$V,'Full Crash Data'!$C:$C,P$29,'Full Crash Data'!$AN:$AN,"County Highway Agency",'Full Crash Data'!$G:$G,"Rear End"),IF($B$2="Township Highway Agency",SUMIFS('Full Crash Data'!$V:$V,'Full Crash Data'!$C:$C,P$29,'Full Crash Data'!$AN:$AN,"Township Highway Agency",'Full Crash Data'!$G:$G,"Rear End"),IF($B$2="City or Village Highway Agency",SUMIFS('Full Crash Data'!$V:$V,'Full Crash Data'!$C:$C,P$29,'Full Crash Data'!$AN:$AN,"City or Village Highway Agency",'Full Crash Data'!$G:$G,"Rear End"))))))</f>
        <v>0</v>
      </c>
      <c r="Q48" s="279">
        <f t="shared" ref="Q48" si="251">IFERROR(ROUND(P48/P$32,2),0)</f>
        <v>0</v>
      </c>
      <c r="R48" s="300">
        <f>IF($B$2="All",SUMIFS('Full Crash Data'!$V:$V,'Full Crash Data'!$C:$C,R$29,'Full Crash Data'!$G:$G,"Rear End"),IF($B$2="State Highway Agency",SUMIFS('Full Crash Data'!$V:$V,'Full Crash Data'!$C:$C,R$29,'Full Crash Data'!$AN:$AN,"State Highway Agency",'Full Crash Data'!$G:$G,"Rear End"),IF($B$2="County Highway Agency",SUMIFS('Full Crash Data'!$V:$V,'Full Crash Data'!$C:$C,R$29,'Full Crash Data'!$AN:$AN,"County Highway Agency",'Full Crash Data'!$G:$G,"Rear End"),IF($B$2="Township Highway Agency",SUMIFS('Full Crash Data'!$V:$V,'Full Crash Data'!$C:$C,R$29,'Full Crash Data'!$AN:$AN,"Township Highway Agency",'Full Crash Data'!$G:$G,"Rear End"),IF($B$2="City or Village Highway Agency",SUMIFS('Full Crash Data'!$V:$V,'Full Crash Data'!$C:$C,R$29,'Full Crash Data'!$AN:$AN,"City or Village Highway Agency",'Full Crash Data'!$G:$G,"Rear End"))))))</f>
        <v>0</v>
      </c>
      <c r="S48" s="279">
        <f t="shared" ref="S48" si="252">IFERROR(ROUND(R48/R$32,2),0)</f>
        <v>0</v>
      </c>
      <c r="T48" s="300">
        <f>IF($B$2="All",SUMIFS('Full Crash Data'!$V:$V,'Full Crash Data'!$C:$C,T$29,'Full Crash Data'!$G:$G,"Rear End"),IF($B$2="State Highway Agency",SUMIFS('Full Crash Data'!$V:$V,'Full Crash Data'!$C:$C,T$29,'Full Crash Data'!$AN:$AN,"State Highway Agency",'Full Crash Data'!$G:$G,"Rear End"),IF($B$2="County Highway Agency",SUMIFS('Full Crash Data'!$V:$V,'Full Crash Data'!$C:$C,T$29,'Full Crash Data'!$AN:$AN,"County Highway Agency",'Full Crash Data'!$G:$G,"Rear End"),IF($B$2="Township Highway Agency",SUMIFS('Full Crash Data'!$V:$V,'Full Crash Data'!$C:$C,T$29,'Full Crash Data'!$AN:$AN,"Township Highway Agency",'Full Crash Data'!$G:$G,"Rear End"),IF($B$2="City or Village Highway Agency",SUMIFS('Full Crash Data'!$V:$V,'Full Crash Data'!$C:$C,T$29,'Full Crash Data'!$AN:$AN,"City or Village Highway Agency",'Full Crash Data'!$G:$G,"Rear End"))))))</f>
        <v>0</v>
      </c>
      <c r="U48" s="279">
        <f t="shared" ref="U48" si="253">IFERROR(ROUND(T48/T$32,2),0)</f>
        <v>0</v>
      </c>
      <c r="V48" s="300">
        <f>IF($B$2="All",SUMIFS('Full Crash Data'!$V:$V,'Full Crash Data'!$C:$C,V$29,'Full Crash Data'!$G:$G,"Rear End"),IF($B$2="State Highway Agency",SUMIFS('Full Crash Data'!$V:$V,'Full Crash Data'!$C:$C,V$29,'Full Crash Data'!$AN:$AN,"State Highway Agency",'Full Crash Data'!$G:$G,"Rear End"),IF($B$2="County Highway Agency",SUMIFS('Full Crash Data'!$V:$V,'Full Crash Data'!$C:$C,V$29,'Full Crash Data'!$AN:$AN,"County Highway Agency",'Full Crash Data'!$G:$G,"Rear End"),IF($B$2="Township Highway Agency",SUMIFS('Full Crash Data'!$V:$V,'Full Crash Data'!$C:$C,V$29,'Full Crash Data'!$AN:$AN,"Township Highway Agency",'Full Crash Data'!$G:$G,"Rear End"),IF($B$2="City or Village Highway Agency",SUMIFS('Full Crash Data'!$V:$V,'Full Crash Data'!$C:$C,V$29,'Full Crash Data'!$AN:$AN,"City or Village Highway Agency",'Full Crash Data'!$G:$G,"Rear End"))))))</f>
        <v>0</v>
      </c>
      <c r="W48" s="279">
        <f t="shared" ref="W48" si="254">IFERROR(ROUND(V48/V$32,2),0)</f>
        <v>0</v>
      </c>
      <c r="AE48" s="116">
        <v>23</v>
      </c>
    </row>
    <row r="49" spans="1:23" x14ac:dyDescent="0.2">
      <c r="A49" s="301" t="str">
        <f>A25</f>
        <v>*2020 Data is Preliminary</v>
      </c>
      <c r="B49" s="301"/>
      <c r="C49" s="301"/>
      <c r="D49" s="301"/>
      <c r="E49" s="301"/>
      <c r="F49" s="302"/>
      <c r="G49" s="302"/>
      <c r="H49" s="289"/>
      <c r="I49" s="289"/>
      <c r="J49" s="289"/>
      <c r="K49" s="289"/>
      <c r="L49" s="289"/>
      <c r="M49" s="289"/>
      <c r="N49" s="289"/>
      <c r="O49" s="289"/>
      <c r="P49" s="289"/>
      <c r="Q49" s="289"/>
      <c r="R49" s="289"/>
      <c r="S49" s="289"/>
      <c r="T49" s="289"/>
      <c r="U49" s="289"/>
      <c r="V49" s="289"/>
      <c r="W49" s="289"/>
    </row>
    <row r="50" spans="1:23" x14ac:dyDescent="0.2">
      <c r="A50" s="305"/>
      <c r="B50" s="288"/>
      <c r="C50" s="288"/>
      <c r="D50" s="288"/>
      <c r="E50" s="288"/>
      <c r="F50" s="288"/>
      <c r="G50" s="288"/>
      <c r="H50" s="288"/>
      <c r="I50" s="289"/>
      <c r="J50" s="288"/>
      <c r="K50" s="289"/>
      <c r="L50" s="288"/>
      <c r="M50" s="289"/>
      <c r="N50" s="288"/>
      <c r="O50" s="289"/>
      <c r="P50" s="288"/>
      <c r="Q50" s="289"/>
      <c r="R50" s="288"/>
      <c r="S50" s="289"/>
      <c r="T50" s="288"/>
      <c r="U50" s="289"/>
      <c r="V50" s="288"/>
      <c r="W50" s="289"/>
    </row>
    <row r="52" spans="1:23" ht="43" thickBot="1" x14ac:dyDescent="0.25">
      <c r="A52" s="412" t="s">
        <v>6123</v>
      </c>
      <c r="B52" s="629"/>
      <c r="C52" s="629"/>
      <c r="D52" s="629"/>
      <c r="E52" s="629"/>
      <c r="F52" s="629"/>
      <c r="G52" s="629"/>
      <c r="H52" s="629"/>
      <c r="I52" s="629"/>
      <c r="J52" s="629"/>
      <c r="K52" s="629"/>
      <c r="L52" s="629"/>
      <c r="M52" s="629"/>
      <c r="N52" s="629"/>
      <c r="O52" s="629"/>
      <c r="P52" s="629"/>
      <c r="Q52" s="629"/>
      <c r="R52" s="629"/>
      <c r="S52" s="629"/>
      <c r="T52" s="629"/>
      <c r="U52" s="629"/>
      <c r="V52" s="629"/>
      <c r="W52" s="629"/>
    </row>
    <row r="53" spans="1:23" ht="21" thickBot="1" x14ac:dyDescent="0.25">
      <c r="A53" s="413"/>
      <c r="B53" s="291">
        <f>B29</f>
        <v>2025</v>
      </c>
      <c r="C53" s="411">
        <f t="shared" ref="C53:W53" si="255">C29</f>
        <v>2025</v>
      </c>
      <c r="D53" s="293">
        <f t="shared" si="255"/>
        <v>2024</v>
      </c>
      <c r="E53" s="411">
        <f t="shared" si="255"/>
        <v>2024</v>
      </c>
      <c r="F53" s="293">
        <f t="shared" si="255"/>
        <v>2023</v>
      </c>
      <c r="G53" s="411">
        <f t="shared" si="255"/>
        <v>2023</v>
      </c>
      <c r="H53" s="293">
        <f t="shared" si="255"/>
        <v>2022</v>
      </c>
      <c r="I53" s="411">
        <f t="shared" si="255"/>
        <v>2022</v>
      </c>
      <c r="J53" s="293">
        <f t="shared" si="255"/>
        <v>2021</v>
      </c>
      <c r="K53" s="411">
        <f t="shared" si="255"/>
        <v>2021</v>
      </c>
      <c r="L53" s="293">
        <f t="shared" si="255"/>
        <v>2020</v>
      </c>
      <c r="M53" s="411">
        <f t="shared" si="255"/>
        <v>2020</v>
      </c>
      <c r="N53" s="293">
        <f t="shared" si="255"/>
        <v>2019</v>
      </c>
      <c r="O53" s="411">
        <f t="shared" si="255"/>
        <v>2019</v>
      </c>
      <c r="P53" s="293">
        <f t="shared" si="255"/>
        <v>2018</v>
      </c>
      <c r="Q53" s="411">
        <f t="shared" si="255"/>
        <v>2018</v>
      </c>
      <c r="R53" s="293">
        <f t="shared" si="255"/>
        <v>2017</v>
      </c>
      <c r="S53" s="411">
        <f t="shared" si="255"/>
        <v>2017</v>
      </c>
      <c r="T53" s="293">
        <f t="shared" si="255"/>
        <v>2016</v>
      </c>
      <c r="U53" s="411">
        <f t="shared" si="255"/>
        <v>2016</v>
      </c>
      <c r="V53" s="293">
        <f t="shared" si="255"/>
        <v>2015</v>
      </c>
      <c r="W53" s="411">
        <f t="shared" si="255"/>
        <v>2015</v>
      </c>
    </row>
    <row r="54" spans="1:23" ht="34" x14ac:dyDescent="0.2">
      <c r="A54" s="414" t="s">
        <v>5986</v>
      </c>
      <c r="B54" s="415" t="s">
        <v>6085</v>
      </c>
      <c r="C54" s="416" t="s">
        <v>6411</v>
      </c>
      <c r="D54" s="415" t="s">
        <v>6085</v>
      </c>
      <c r="E54" s="416" t="s">
        <v>6411</v>
      </c>
      <c r="F54" s="415" t="s">
        <v>6085</v>
      </c>
      <c r="G54" s="416" t="s">
        <v>6411</v>
      </c>
      <c r="H54" s="415" t="s">
        <v>6085</v>
      </c>
      <c r="I54" s="416" t="s">
        <v>6411</v>
      </c>
      <c r="J54" s="415" t="s">
        <v>6085</v>
      </c>
      <c r="K54" s="416" t="s">
        <v>6411</v>
      </c>
      <c r="L54" s="415" t="s">
        <v>6085</v>
      </c>
      <c r="M54" s="416" t="s">
        <v>6411</v>
      </c>
      <c r="N54" s="415" t="s">
        <v>6085</v>
      </c>
      <c r="O54" s="416" t="s">
        <v>6411</v>
      </c>
      <c r="P54" s="415" t="s">
        <v>6085</v>
      </c>
      <c r="Q54" s="416" t="s">
        <v>6411</v>
      </c>
      <c r="R54" s="415" t="s">
        <v>6085</v>
      </c>
      <c r="S54" s="416" t="s">
        <v>6411</v>
      </c>
      <c r="T54" s="415" t="s">
        <v>6085</v>
      </c>
      <c r="U54" s="416" t="s">
        <v>6411</v>
      </c>
      <c r="V54" s="415" t="s">
        <v>6085</v>
      </c>
      <c r="W54" s="416" t="s">
        <v>6411</v>
      </c>
    </row>
    <row r="55" spans="1:23" ht="20" x14ac:dyDescent="0.2">
      <c r="A55" s="420"/>
      <c r="B55" s="421"/>
      <c r="C55" s="421"/>
      <c r="D55" s="422"/>
      <c r="E55" s="421"/>
      <c r="F55" s="422"/>
      <c r="G55" s="421"/>
      <c r="H55" s="422"/>
      <c r="I55" s="421"/>
      <c r="J55" s="422"/>
      <c r="K55" s="421"/>
      <c r="L55" s="422"/>
      <c r="M55" s="421"/>
      <c r="N55" s="422"/>
      <c r="O55" s="421"/>
      <c r="P55" s="422"/>
      <c r="Q55" s="421"/>
      <c r="R55" s="422"/>
      <c r="S55" s="421"/>
      <c r="T55" s="422"/>
      <c r="U55" s="421"/>
      <c r="V55" s="422"/>
      <c r="W55" s="421"/>
    </row>
    <row r="56" spans="1:23" ht="20" x14ac:dyDescent="0.2">
      <c r="A56" s="423" t="s">
        <v>6410</v>
      </c>
      <c r="B56" s="424">
        <f>IF($B$2="All",COUNTIFS('Full Crash Data'!$C:$C,B$29),IF($B$2="State Highway Agency",COUNTIFS('Full Crash Data'!$C:$C,B$29,'Full Crash Data'!$AN:$AN,"State Highway Agency"),IF($B$2="County Highway Agency",COUNTIFS('Full Crash Data'!$C:$C,B$29,'Full Crash Data'!$AN:$AN,"County Highway Agency"),IF($B$2="Township Highway Agency",COUNTIFS('Full Crash Data'!$C:$C,B$29,'Full Crash Data'!$AN:$AN,"Township Highway Agency"),IF($B$2="City or Village Highway Agency",COUNTIFS('Full Crash Data'!$C:$C,B$29,'Full Crash Data'!$AN:$AN,"City or Village Highway Agency"))))))</f>
        <v>37</v>
      </c>
      <c r="C56" s="424"/>
      <c r="D56" s="424">
        <f>IF($B$2="All",COUNTIFS('Full Crash Data'!$C:$C,D$29),IF($B$2="State Highway Agency",COUNTIFS('Full Crash Data'!$C:$C,D$29,'Full Crash Data'!$AN:$AN,"State Highway Agency"),IF($B$2="County Highway Agency",COUNTIFS('Full Crash Data'!$C:$C,D$29,'Full Crash Data'!$AN:$AN,"County Highway Agency"),IF($B$2="Township Highway Agency",COUNTIFS('Full Crash Data'!$C:$C,D$29,'Full Crash Data'!$AN:$AN,"Township Highway Agency"),IF($B$2="City or Village Highway Agency",COUNTIFS('Full Crash Data'!$C:$C,D$29,'Full Crash Data'!$AN:$AN,"City or Village Highway Agency"))))))</f>
        <v>71</v>
      </c>
      <c r="E56" s="424"/>
      <c r="F56" s="424">
        <f>IF($B$2="All",COUNTIFS('Full Crash Data'!$C:$C,F$29),IF($B$2="State Highway Agency",COUNTIFS('Full Crash Data'!$C:$C,F$29,'Full Crash Data'!$AN:$AN,"State Highway Agency"),IF($B$2="County Highway Agency",COUNTIFS('Full Crash Data'!$C:$C,F$29,'Full Crash Data'!$AN:$AN,"County Highway Agency"),IF($B$2="Township Highway Agency",COUNTIFS('Full Crash Data'!$C:$C,F$29,'Full Crash Data'!$AN:$AN,"Township Highway Agency"),IF($B$2="City or Village Highway Agency",COUNTIFS('Full Crash Data'!$C:$C,F$29,'Full Crash Data'!$AN:$AN,"City or Village Highway Agency"))))))</f>
        <v>64</v>
      </c>
      <c r="G56" s="424"/>
      <c r="H56" s="424">
        <f>IF($B$2="All",COUNTIFS('Full Crash Data'!$C:$C,H$29),IF($B$2="State Highway Agency",COUNTIFS('Full Crash Data'!$C:$C,H$29,'Full Crash Data'!$AN:$AN,"State Highway Agency"),IF($B$2="County Highway Agency",COUNTIFS('Full Crash Data'!$C:$C,H$29,'Full Crash Data'!$AN:$AN,"County Highway Agency"),IF($B$2="Township Highway Agency",COUNTIFS('Full Crash Data'!$C:$C,H$29,'Full Crash Data'!$AN:$AN,"Township Highway Agency"),IF($B$2="City or Village Highway Agency",COUNTIFS('Full Crash Data'!$C:$C,H$29,'Full Crash Data'!$AN:$AN,"City or Village Highway Agency"))))))</f>
        <v>57</v>
      </c>
      <c r="I56" s="424"/>
      <c r="J56" s="424">
        <f>IF($B$2="All",COUNTIFS('Full Crash Data'!$C:$C,J$29),IF($B$2="State Highway Agency",COUNTIFS('Full Crash Data'!$C:$C,J$29,'Full Crash Data'!$AN:$AN,"State Highway Agency"),IF($B$2="County Highway Agency",COUNTIFS('Full Crash Data'!$C:$C,J$29,'Full Crash Data'!$AN:$AN,"County Highway Agency"),IF($B$2="Township Highway Agency",COUNTIFS('Full Crash Data'!$C:$C,J$29,'Full Crash Data'!$AN:$AN,"Township Highway Agency"),IF($B$2="City or Village Highway Agency",COUNTIFS('Full Crash Data'!$C:$C,J$29,'Full Crash Data'!$AN:$AN,"City or Village Highway Agency"))))))</f>
        <v>79</v>
      </c>
      <c r="K56" s="424"/>
      <c r="L56" s="424">
        <f>IF($B$2="All",COUNTIFS('Full Crash Data'!$C:$C,L$29),IF($B$2="State Highway Agency",COUNTIFS('Full Crash Data'!$C:$C,L$29,'Full Crash Data'!$AN:$AN,"State Highway Agency"),IF($B$2="County Highway Agency",COUNTIFS('Full Crash Data'!$C:$C,L$29,'Full Crash Data'!$AN:$AN,"County Highway Agency"),IF($B$2="Township Highway Agency",COUNTIFS('Full Crash Data'!$C:$C,L$29,'Full Crash Data'!$AN:$AN,"Township Highway Agency"),IF($B$2="City or Village Highway Agency",COUNTIFS('Full Crash Data'!$C:$C,L$29,'Full Crash Data'!$AN:$AN,"City or Village Highway Agency"))))))</f>
        <v>0</v>
      </c>
      <c r="M56" s="424"/>
      <c r="N56" s="424">
        <f>IF($B$2="All",COUNTIFS('Full Crash Data'!$C:$C,N$29),IF($B$2="State Highway Agency",COUNTIFS('Full Crash Data'!$C:$C,N$29,'Full Crash Data'!$AN:$AN,"State Highway Agency"),IF($B$2="County Highway Agency",COUNTIFS('Full Crash Data'!$C:$C,N$29,'Full Crash Data'!$AN:$AN,"County Highway Agency"),IF($B$2="Township Highway Agency",COUNTIFS('Full Crash Data'!$C:$C,N$29,'Full Crash Data'!$AN:$AN,"Township Highway Agency"),IF($B$2="City or Village Highway Agency",COUNTIFS('Full Crash Data'!$C:$C,N$29,'Full Crash Data'!$AN:$AN,"City or Village Highway Agency"))))))</f>
        <v>0</v>
      </c>
      <c r="O56" s="424"/>
      <c r="P56" s="424">
        <f>IF($B$2="All",COUNTIFS('Full Crash Data'!$C:$C,P$29),IF($B$2="State Highway Agency",COUNTIFS('Full Crash Data'!$C:$C,P$29,'Full Crash Data'!$AN:$AN,"State Highway Agency"),IF($B$2="County Highway Agency",COUNTIFS('Full Crash Data'!$C:$C,P$29,'Full Crash Data'!$AN:$AN,"County Highway Agency"),IF($B$2="Township Highway Agency",COUNTIFS('Full Crash Data'!$C:$C,P$29,'Full Crash Data'!$AN:$AN,"Township Highway Agency"),IF($B$2="City or Village Highway Agency",COUNTIFS('Full Crash Data'!$C:$C,P$29,'Full Crash Data'!$AN:$AN,"City or Village Highway Agency"))))))</f>
        <v>0</v>
      </c>
      <c r="Q56" s="424"/>
      <c r="R56" s="424">
        <f>IF($B$2="All",COUNTIFS('Full Crash Data'!$C:$C,R$29),IF($B$2="State Highway Agency",COUNTIFS('Full Crash Data'!$C:$C,R$29,'Full Crash Data'!$AN:$AN,"State Highway Agency"),IF($B$2="County Highway Agency",COUNTIFS('Full Crash Data'!$C:$C,R$29,'Full Crash Data'!$AN:$AN,"County Highway Agency"),IF($B$2="Township Highway Agency",COUNTIFS('Full Crash Data'!$C:$C,R$29,'Full Crash Data'!$AN:$AN,"Township Highway Agency"),IF($B$2="City or Village Highway Agency",COUNTIFS('Full Crash Data'!$C:$C,R$29,'Full Crash Data'!$AN:$AN,"City or Village Highway Agency"))))))</f>
        <v>0</v>
      </c>
      <c r="S56" s="424"/>
      <c r="T56" s="424">
        <f>IF($B$2="All",COUNTIFS('Full Crash Data'!$C:$C,T$29),IF($B$2="State Highway Agency",COUNTIFS('Full Crash Data'!$C:$C,T$29,'Full Crash Data'!$AN:$AN,"State Highway Agency"),IF($B$2="County Highway Agency",COUNTIFS('Full Crash Data'!$C:$C,T$29,'Full Crash Data'!$AN:$AN,"County Highway Agency"),IF($B$2="Township Highway Agency",COUNTIFS('Full Crash Data'!$C:$C,T$29,'Full Crash Data'!$AN:$AN,"Township Highway Agency"),IF($B$2="City or Village Highway Agency",COUNTIFS('Full Crash Data'!$C:$C,T$29,'Full Crash Data'!$AN:$AN,"City or Village Highway Agency"))))))</f>
        <v>0</v>
      </c>
      <c r="U56" s="424"/>
      <c r="V56" s="424">
        <f>IF($B$2="All",COUNTIFS('Full Crash Data'!$C:$C,V$29),IF($B$2="State Highway Agency",COUNTIFS('Full Crash Data'!$C:$C,V$29,'Full Crash Data'!$AN:$AN,"State Highway Agency"),IF($B$2="County Highway Agency",COUNTIFS('Full Crash Data'!$C:$C,V$29,'Full Crash Data'!$AN:$AN,"County Highway Agency"),IF($B$2="Township Highway Agency",COUNTIFS('Full Crash Data'!$C:$C,V$29,'Full Crash Data'!$AN:$AN,"Township Highway Agency"),IF($B$2="City or Village Highway Agency",COUNTIFS('Full Crash Data'!$C:$C,V$29,'Full Crash Data'!$AN:$AN,"City or Village Highway Agency"))))))</f>
        <v>0</v>
      </c>
      <c r="W56" s="421"/>
    </row>
    <row r="57" spans="1:23" x14ac:dyDescent="0.2">
      <c r="A57" s="417" t="s">
        <v>1178</v>
      </c>
      <c r="B57" s="418">
        <f>IF($B$2="All",COUNTIFS('Full Crash Data'!$C:$C,B$53,'Full Crash Data'!$AW:$AW,"Yes"),IF($B$2="State Highway Agency",COUNTIFS('Full Crash Data'!$C:$C,B$53,'Full Crash Data'!$AN:$AN,"State Highway Agency",'Full Crash Data'!$AW:$AW,"Yes"),IF($B$2="County Highway Agency",COUNTIFS('Full Crash Data'!$C:$C,B$53,'Full Crash Data'!$AN:$AN,"County Highway Agency",'Full Crash Data'!$AW:$AW,"Yes"),IF($B$2="Township Highway Agency",COUNTIFS('Full Crash Data'!$C:$C,B$53,'Full Crash Data'!$AN:$AN,"Township Highway Agency",'Full Crash Data'!$AW:$AW,"Yes"),IF($B$2="City or Village Highway Agency",COUNTIFS('Full Crash Data'!$C:$C,B$53,'Full Crash Data'!$AN:$AN,"City or Village Highway Agency",'Full Crash Data'!$AW:$AW,"Yes"))))))</f>
        <v>8</v>
      </c>
      <c r="C57" s="419">
        <f>IFERROR(ROUND(B57/B$56,2),0)</f>
        <v>0.22</v>
      </c>
      <c r="D57" s="418">
        <f>IF($B$2="All",COUNTIFS('Full Crash Data'!$C:$C,D$53,'Full Crash Data'!$AW:$AW,"Yes"),IF($B$2="State Highway Agency",COUNTIFS('Full Crash Data'!$C:$C,D$53,'Full Crash Data'!$AN:$AN,"State Highway Agency",'Full Crash Data'!$AW:$AW,"Yes"),IF($B$2="County Highway Agency",COUNTIFS('Full Crash Data'!$C:$C,D$53,'Full Crash Data'!$AN:$AN,"County Highway Agency",'Full Crash Data'!$AW:$AW,"Yes"),IF($B$2="Township Highway Agency",COUNTIFS('Full Crash Data'!$C:$C,D$53,'Full Crash Data'!$AN:$AN,"Township Highway Agency",'Full Crash Data'!$AW:$AW,"Yes"),IF($B$2="City or Village Highway Agency",COUNTIFS('Full Crash Data'!$C:$C,D$53,'Full Crash Data'!$AN:$AN,"City or Village Highway Agency",'Full Crash Data'!$AW:$AW,"Yes"))))))</f>
        <v>5</v>
      </c>
      <c r="E57" s="419">
        <f t="shared" ref="E57:E72" si="256">IFERROR(ROUND(D57/D$56,2),0)</f>
        <v>7.0000000000000007E-2</v>
      </c>
      <c r="F57" s="418">
        <f>IF($B$2="All",COUNTIFS('Full Crash Data'!$C:$C,F$53,'Full Crash Data'!$AW:$AW,"Yes"),IF($B$2="State Highway Agency",COUNTIFS('Full Crash Data'!$C:$C,F$53,'Full Crash Data'!$AN:$AN,"State Highway Agency",'Full Crash Data'!$AW:$AW,"Yes"),IF($B$2="County Highway Agency",COUNTIFS('Full Crash Data'!$C:$C,F$53,'Full Crash Data'!$AN:$AN,"County Highway Agency",'Full Crash Data'!$AW:$AW,"Yes"),IF($B$2="Township Highway Agency",COUNTIFS('Full Crash Data'!$C:$C,F$53,'Full Crash Data'!$AN:$AN,"Township Highway Agency",'Full Crash Data'!$AW:$AW,"Yes"),IF($B$2="City or Village Highway Agency",COUNTIFS('Full Crash Data'!$C:$C,F$53,'Full Crash Data'!$AN:$AN,"City or Village Highway Agency",'Full Crash Data'!$AW:$AW,"Yes"))))))</f>
        <v>9</v>
      </c>
      <c r="G57" s="419">
        <f t="shared" ref="G57:I72" si="257">IFERROR(ROUND(F57/F$56,2),0)</f>
        <v>0.14000000000000001</v>
      </c>
      <c r="H57" s="418">
        <f>IF($B$2="All",COUNTIFS('Full Crash Data'!$C:$C,H$53,'Full Crash Data'!$AW:$AW,"Yes"),IF($B$2="State Highway Agency",COUNTIFS('Full Crash Data'!$C:$C,H$53,'Full Crash Data'!$AN:$AN,"State Highway Agency",'Full Crash Data'!$AW:$AW,"Yes"),IF($B$2="County Highway Agency",COUNTIFS('Full Crash Data'!$C:$C,H$53,'Full Crash Data'!$AN:$AN,"County Highway Agency",'Full Crash Data'!$AW:$AW,"Yes"),IF($B$2="Township Highway Agency",COUNTIFS('Full Crash Data'!$C:$C,H$53,'Full Crash Data'!$AN:$AN,"Township Highway Agency",'Full Crash Data'!$AW:$AW,"Yes"),IF($B$2="City or Village Highway Agency",COUNTIFS('Full Crash Data'!$C:$C,H$53,'Full Crash Data'!$AN:$AN,"City or Village Highway Agency",'Full Crash Data'!$AW:$AW,"Yes"))))))</f>
        <v>14</v>
      </c>
      <c r="I57" s="419">
        <f t="shared" si="257"/>
        <v>0.25</v>
      </c>
      <c r="J57" s="418">
        <f>IF($B$2="All",COUNTIFS('Full Crash Data'!$C:$C,J$53,'Full Crash Data'!$AW:$AW,"Yes"),IF($B$2="State Highway Agency",COUNTIFS('Full Crash Data'!$C:$C,J$53,'Full Crash Data'!$AN:$AN,"State Highway Agency",'Full Crash Data'!$AW:$AW,"Yes"),IF($B$2="County Highway Agency",COUNTIFS('Full Crash Data'!$C:$C,J$53,'Full Crash Data'!$AN:$AN,"County Highway Agency",'Full Crash Data'!$AW:$AW,"Yes"),IF($B$2="Township Highway Agency",COUNTIFS('Full Crash Data'!$C:$C,J$53,'Full Crash Data'!$AN:$AN,"Township Highway Agency",'Full Crash Data'!$AW:$AW,"Yes"),IF($B$2="City or Village Highway Agency",COUNTIFS('Full Crash Data'!$C:$C,J$53,'Full Crash Data'!$AN:$AN,"City or Village Highway Agency",'Full Crash Data'!$AW:$AW,"Yes"))))))</f>
        <v>13</v>
      </c>
      <c r="K57" s="419">
        <f t="shared" ref="K57" si="258">IFERROR(ROUND(J57/J$56,2),0)</f>
        <v>0.16</v>
      </c>
      <c r="L57" s="418">
        <f>IF($B$2="All",COUNTIFS('Full Crash Data'!$C:$C,L$53,'Full Crash Data'!$AW:$AW,"Yes"),IF($B$2="State Highway Agency",COUNTIFS('Full Crash Data'!$C:$C,L$53,'Full Crash Data'!$AN:$AN,"State Highway Agency",'Full Crash Data'!$AW:$AW,"Yes"),IF($B$2="County Highway Agency",COUNTIFS('Full Crash Data'!$C:$C,L$53,'Full Crash Data'!$AN:$AN,"County Highway Agency",'Full Crash Data'!$AW:$AW,"Yes"),IF($B$2="Township Highway Agency",COUNTIFS('Full Crash Data'!$C:$C,L$53,'Full Crash Data'!$AN:$AN,"Township Highway Agency",'Full Crash Data'!$AW:$AW,"Yes"),IF($B$2="City or Village Highway Agency",COUNTIFS('Full Crash Data'!$C:$C,L$53,'Full Crash Data'!$AN:$AN,"City or Village Highway Agency",'Full Crash Data'!$AW:$AW,"Yes"))))))</f>
        <v>0</v>
      </c>
      <c r="M57" s="419">
        <f t="shared" ref="M57" si="259">IFERROR(ROUND(L57/L$56,2),0)</f>
        <v>0</v>
      </c>
      <c r="N57" s="418">
        <f>IF($B$2="All",COUNTIFS('Full Crash Data'!$C:$C,N$53,'Full Crash Data'!$AW:$AW,"Yes"),IF($B$2="State Highway Agency",COUNTIFS('Full Crash Data'!$C:$C,N$53,'Full Crash Data'!$AN:$AN,"State Highway Agency",'Full Crash Data'!$AW:$AW,"Yes"),IF($B$2="County Highway Agency",COUNTIFS('Full Crash Data'!$C:$C,N$53,'Full Crash Data'!$AN:$AN,"County Highway Agency",'Full Crash Data'!$AW:$AW,"Yes"),IF($B$2="Township Highway Agency",COUNTIFS('Full Crash Data'!$C:$C,N$53,'Full Crash Data'!$AN:$AN,"Township Highway Agency",'Full Crash Data'!$AW:$AW,"Yes"),IF($B$2="City or Village Highway Agency",COUNTIFS('Full Crash Data'!$C:$C,N$53,'Full Crash Data'!$AN:$AN,"City or Village Highway Agency",'Full Crash Data'!$AW:$AW,"Yes"))))))</f>
        <v>0</v>
      </c>
      <c r="O57" s="419">
        <f t="shared" ref="O57" si="260">IFERROR(ROUND(N57/N$56,2),0)</f>
        <v>0</v>
      </c>
      <c r="P57" s="418">
        <f>IF($B$2="All",COUNTIFS('Full Crash Data'!$C:$C,P$53,'Full Crash Data'!$AW:$AW,"Yes"),IF($B$2="State Highway Agency",COUNTIFS('Full Crash Data'!$C:$C,P$53,'Full Crash Data'!$AN:$AN,"State Highway Agency",'Full Crash Data'!$AW:$AW,"Yes"),IF($B$2="County Highway Agency",COUNTIFS('Full Crash Data'!$C:$C,P$53,'Full Crash Data'!$AN:$AN,"County Highway Agency",'Full Crash Data'!$AW:$AW,"Yes"),IF($B$2="Township Highway Agency",COUNTIFS('Full Crash Data'!$C:$C,P$53,'Full Crash Data'!$AN:$AN,"Township Highway Agency",'Full Crash Data'!$AW:$AW,"Yes"),IF($B$2="City or Village Highway Agency",COUNTIFS('Full Crash Data'!$C:$C,P$53,'Full Crash Data'!$AN:$AN,"City or Village Highway Agency",'Full Crash Data'!$AW:$AW,"Yes"))))))</f>
        <v>0</v>
      </c>
      <c r="Q57" s="419">
        <f t="shared" ref="Q57" si="261">IFERROR(ROUND(P57/P$56,2),0)</f>
        <v>0</v>
      </c>
      <c r="R57" s="418">
        <f>IF($B$2="All",COUNTIFS('Full Crash Data'!$C:$C,R$53,'Full Crash Data'!$AW:$AW,"Yes"),IF($B$2="State Highway Agency",COUNTIFS('Full Crash Data'!$C:$C,R$53,'Full Crash Data'!$AN:$AN,"State Highway Agency",'Full Crash Data'!$AW:$AW,"Yes"),IF($B$2="County Highway Agency",COUNTIFS('Full Crash Data'!$C:$C,R$53,'Full Crash Data'!$AN:$AN,"County Highway Agency",'Full Crash Data'!$AW:$AW,"Yes"),IF($B$2="Township Highway Agency",COUNTIFS('Full Crash Data'!$C:$C,R$53,'Full Crash Data'!$AN:$AN,"Township Highway Agency",'Full Crash Data'!$AW:$AW,"Yes"),IF($B$2="City or Village Highway Agency",COUNTIFS('Full Crash Data'!$C:$C,R$53,'Full Crash Data'!$AN:$AN,"City or Village Highway Agency",'Full Crash Data'!$AW:$AW,"Yes"))))))</f>
        <v>0</v>
      </c>
      <c r="S57" s="419">
        <f t="shared" ref="S57" si="262">IFERROR(ROUND(R57/R$56,2),0)</f>
        <v>0</v>
      </c>
      <c r="T57" s="418">
        <f>IF($B$2="All",COUNTIFS('Full Crash Data'!$C:$C,T$53,'Full Crash Data'!$AW:$AW,"Yes"),IF($B$2="State Highway Agency",COUNTIFS('Full Crash Data'!$C:$C,T$53,'Full Crash Data'!$AN:$AN,"State Highway Agency",'Full Crash Data'!$AW:$AW,"Yes"),IF($B$2="County Highway Agency",COUNTIFS('Full Crash Data'!$C:$C,T$53,'Full Crash Data'!$AN:$AN,"County Highway Agency",'Full Crash Data'!$AW:$AW,"Yes"),IF($B$2="Township Highway Agency",COUNTIFS('Full Crash Data'!$C:$C,T$53,'Full Crash Data'!$AN:$AN,"Township Highway Agency",'Full Crash Data'!$AW:$AW,"Yes"),IF($B$2="City or Village Highway Agency",COUNTIFS('Full Crash Data'!$C:$C,T$53,'Full Crash Data'!$AN:$AN,"City or Village Highway Agency",'Full Crash Data'!$AW:$AW,"Yes"))))))</f>
        <v>0</v>
      </c>
      <c r="U57" s="419">
        <f t="shared" ref="U57" si="263">IFERROR(ROUND(T57/T$56,2),0)</f>
        <v>0</v>
      </c>
      <c r="V57" s="418">
        <f>IF($B$2="All",COUNTIFS('Full Crash Data'!$C:$C,V$53,'Full Crash Data'!$AW:$AW,"Yes"),IF($B$2="State Highway Agency",COUNTIFS('Full Crash Data'!$C:$C,V$53,'Full Crash Data'!$AN:$AN,"State Highway Agency",'Full Crash Data'!$AW:$AW,"Yes"),IF($B$2="County Highway Agency",COUNTIFS('Full Crash Data'!$C:$C,V$53,'Full Crash Data'!$AN:$AN,"County Highway Agency",'Full Crash Data'!$AW:$AW,"Yes"),IF($B$2="Township Highway Agency",COUNTIFS('Full Crash Data'!$C:$C,V$53,'Full Crash Data'!$AN:$AN,"Township Highway Agency",'Full Crash Data'!$AW:$AW,"Yes"),IF($B$2="City or Village Highway Agency",COUNTIFS('Full Crash Data'!$C:$C,V$53,'Full Crash Data'!$AN:$AN,"City or Village Highway Agency",'Full Crash Data'!$AW:$AW,"Yes"))))))</f>
        <v>0</v>
      </c>
      <c r="W57" s="419">
        <f t="shared" ref="W57" si="264">IFERROR(ROUND(V57/V$56,2),0)</f>
        <v>0</v>
      </c>
    </row>
    <row r="58" spans="1:23" x14ac:dyDescent="0.2">
      <c r="A58" s="294" t="s">
        <v>221</v>
      </c>
      <c r="B58" s="295">
        <f>IF($B$2="All",COUNTIFS('Full Crash Data'!$C:$C,B$29,'Full Crash Data'!$AX:$AX,"Yes"),IF($B$2="State Highway Agency",COUNTIFS('Full Crash Data'!$C:$C,B$29,'Full Crash Data'!$AN:$AN,"State Highway Agency",'Full Crash Data'!$AX:$AX,"Yes"),IF($B$2="County Highway Agency",COUNTIFS('Full Crash Data'!$C:$C,B$29,'Full Crash Data'!$AN:$AN,"County Highway Agency",'Full Crash Data'!$AX:$AX,"Yes"),IF($B$2="Township Highway Agency",COUNTIFS('Full Crash Data'!$C:$C,B$29,'Full Crash Data'!$AN:$AN,"Township Highway Agency",'Full Crash Data'!$AX:$AX,"Yes"),IF($B$2="City or Village Highway Agency",COUNTIFS('Full Crash Data'!$C:$C,B$29,'Full Crash Data'!$AN:$AN,"City or Village Highway Agency",'Full Crash Data'!$AX:$AX,"Yes"))))))</f>
        <v>23</v>
      </c>
      <c r="C58" s="272">
        <f t="shared" ref="C58:C72" si="265">IFERROR(ROUND(B58/B$56,2),0)</f>
        <v>0.62</v>
      </c>
      <c r="D58" s="295">
        <f>IF($B$2="All",COUNTIFS('Full Crash Data'!$C:$C,D$29,'Full Crash Data'!$AX:$AX,"Yes"),IF($B$2="State Highway Agency",COUNTIFS('Full Crash Data'!$C:$C,D$29,'Full Crash Data'!$AN:$AN,"State Highway Agency",'Full Crash Data'!$AX:$AX,"Yes"),IF($B$2="County Highway Agency",COUNTIFS('Full Crash Data'!$C:$C,D$29,'Full Crash Data'!$AN:$AN,"County Highway Agency",'Full Crash Data'!$AX:$AX,"Yes"),IF($B$2="Township Highway Agency",COUNTIFS('Full Crash Data'!$C:$C,D$29,'Full Crash Data'!$AN:$AN,"Township Highway Agency",'Full Crash Data'!$AX:$AX,"Yes"),IF($B$2="City or Village Highway Agency",COUNTIFS('Full Crash Data'!$C:$C,D$29,'Full Crash Data'!$AN:$AN,"City or Village Highway Agency",'Full Crash Data'!$AX:$AX,"Yes"))))))</f>
        <v>49</v>
      </c>
      <c r="E58" s="272">
        <f t="shared" si="256"/>
        <v>0.69</v>
      </c>
      <c r="F58" s="295">
        <f>IF($B$2="All",COUNTIFS('Full Crash Data'!$C:$C,F$29,'Full Crash Data'!$AX:$AX,"Yes"),IF($B$2="State Highway Agency",COUNTIFS('Full Crash Data'!$C:$C,F$29,'Full Crash Data'!$AN:$AN,"State Highway Agency",'Full Crash Data'!$AX:$AX,"Yes"),IF($B$2="County Highway Agency",COUNTIFS('Full Crash Data'!$C:$C,F$29,'Full Crash Data'!$AN:$AN,"County Highway Agency",'Full Crash Data'!$AX:$AX,"Yes"),IF($B$2="Township Highway Agency",COUNTIFS('Full Crash Data'!$C:$C,F$29,'Full Crash Data'!$AN:$AN,"Township Highway Agency",'Full Crash Data'!$AX:$AX,"Yes"),IF($B$2="City or Village Highway Agency",COUNTIFS('Full Crash Data'!$C:$C,F$29,'Full Crash Data'!$AN:$AN,"City or Village Highway Agency",'Full Crash Data'!$AX:$AX,"Yes"))))))</f>
        <v>42</v>
      </c>
      <c r="G58" s="272">
        <f t="shared" si="257"/>
        <v>0.66</v>
      </c>
      <c r="H58" s="295">
        <f>IF($B$2="All",COUNTIFS('Full Crash Data'!$C:$C,H$29,'Full Crash Data'!$AX:$AX,"Yes"),IF($B$2="State Highway Agency",COUNTIFS('Full Crash Data'!$C:$C,H$29,'Full Crash Data'!$AN:$AN,"State Highway Agency",'Full Crash Data'!$AX:$AX,"Yes"),IF($B$2="County Highway Agency",COUNTIFS('Full Crash Data'!$C:$C,H$29,'Full Crash Data'!$AN:$AN,"County Highway Agency",'Full Crash Data'!$AX:$AX,"Yes"),IF($B$2="Township Highway Agency",COUNTIFS('Full Crash Data'!$C:$C,H$29,'Full Crash Data'!$AN:$AN,"Township Highway Agency",'Full Crash Data'!$AX:$AX,"Yes"),IF($B$2="City or Village Highway Agency",COUNTIFS('Full Crash Data'!$C:$C,H$29,'Full Crash Data'!$AN:$AN,"City or Village Highway Agency",'Full Crash Data'!$AX:$AX,"Yes"))))))</f>
        <v>29</v>
      </c>
      <c r="I58" s="272">
        <f t="shared" si="257"/>
        <v>0.51</v>
      </c>
      <c r="J58" s="295">
        <f>IF($B$2="All",COUNTIFS('Full Crash Data'!$C:$C,J$29,'Full Crash Data'!$AX:$AX,"Yes"),IF($B$2="State Highway Agency",COUNTIFS('Full Crash Data'!$C:$C,J$29,'Full Crash Data'!$AN:$AN,"State Highway Agency",'Full Crash Data'!$AX:$AX,"Yes"),IF($B$2="County Highway Agency",COUNTIFS('Full Crash Data'!$C:$C,J$29,'Full Crash Data'!$AN:$AN,"County Highway Agency",'Full Crash Data'!$AX:$AX,"Yes"),IF($B$2="Township Highway Agency",COUNTIFS('Full Crash Data'!$C:$C,J$29,'Full Crash Data'!$AN:$AN,"Township Highway Agency",'Full Crash Data'!$AX:$AX,"Yes"),IF($B$2="City or Village Highway Agency",COUNTIFS('Full Crash Data'!$C:$C,J$29,'Full Crash Data'!$AN:$AN,"City or Village Highway Agency",'Full Crash Data'!$AX:$AX,"Yes"))))))</f>
        <v>46</v>
      </c>
      <c r="K58" s="272">
        <f t="shared" ref="K58" si="266">IFERROR(ROUND(J58/J$56,2),0)</f>
        <v>0.57999999999999996</v>
      </c>
      <c r="L58" s="295">
        <f>IF($B$2="All",COUNTIFS('Full Crash Data'!$C:$C,L$29,'Full Crash Data'!$AX:$AX,"Yes"),IF($B$2="State Highway Agency",COUNTIFS('Full Crash Data'!$C:$C,L$29,'Full Crash Data'!$AN:$AN,"State Highway Agency",'Full Crash Data'!$AX:$AX,"Yes"),IF($B$2="County Highway Agency",COUNTIFS('Full Crash Data'!$C:$C,L$29,'Full Crash Data'!$AN:$AN,"County Highway Agency",'Full Crash Data'!$AX:$AX,"Yes"),IF($B$2="Township Highway Agency",COUNTIFS('Full Crash Data'!$C:$C,L$29,'Full Crash Data'!$AN:$AN,"Township Highway Agency",'Full Crash Data'!$AX:$AX,"Yes"),IF($B$2="City or Village Highway Agency",COUNTIFS('Full Crash Data'!$C:$C,L$29,'Full Crash Data'!$AN:$AN,"City or Village Highway Agency",'Full Crash Data'!$AX:$AX,"Yes"))))))</f>
        <v>0</v>
      </c>
      <c r="M58" s="272">
        <f t="shared" ref="M58" si="267">IFERROR(ROUND(L58/L$56,2),0)</f>
        <v>0</v>
      </c>
      <c r="N58" s="295">
        <f>IF($B$2="All",COUNTIFS('Full Crash Data'!$C:$C,N$29,'Full Crash Data'!$AX:$AX,"Yes"),IF($B$2="State Highway Agency",COUNTIFS('Full Crash Data'!$C:$C,N$29,'Full Crash Data'!$AN:$AN,"State Highway Agency",'Full Crash Data'!$AX:$AX,"Yes"),IF($B$2="County Highway Agency",COUNTIFS('Full Crash Data'!$C:$C,N$29,'Full Crash Data'!$AN:$AN,"County Highway Agency",'Full Crash Data'!$AX:$AX,"Yes"),IF($B$2="Township Highway Agency",COUNTIFS('Full Crash Data'!$C:$C,N$29,'Full Crash Data'!$AN:$AN,"Township Highway Agency",'Full Crash Data'!$AX:$AX,"Yes"),IF($B$2="City or Village Highway Agency",COUNTIFS('Full Crash Data'!$C:$C,N$29,'Full Crash Data'!$AN:$AN,"City or Village Highway Agency",'Full Crash Data'!$AX:$AX,"Yes"))))))</f>
        <v>0</v>
      </c>
      <c r="O58" s="272">
        <f t="shared" ref="O58" si="268">IFERROR(ROUND(N58/N$56,2),0)</f>
        <v>0</v>
      </c>
      <c r="P58" s="295">
        <f>IF($B$2="All",COUNTIFS('Full Crash Data'!$C:$C,P$29,'Full Crash Data'!$AX:$AX,"Yes"),IF($B$2="State Highway Agency",COUNTIFS('Full Crash Data'!$C:$C,P$29,'Full Crash Data'!$AN:$AN,"State Highway Agency",'Full Crash Data'!$AX:$AX,"Yes"),IF($B$2="County Highway Agency",COUNTIFS('Full Crash Data'!$C:$C,P$29,'Full Crash Data'!$AN:$AN,"County Highway Agency",'Full Crash Data'!$AX:$AX,"Yes"),IF($B$2="Township Highway Agency",COUNTIFS('Full Crash Data'!$C:$C,P$29,'Full Crash Data'!$AN:$AN,"Township Highway Agency",'Full Crash Data'!$AX:$AX,"Yes"),IF($B$2="City or Village Highway Agency",COUNTIFS('Full Crash Data'!$C:$C,P$29,'Full Crash Data'!$AN:$AN,"City or Village Highway Agency",'Full Crash Data'!$AX:$AX,"Yes"))))))</f>
        <v>0</v>
      </c>
      <c r="Q58" s="272">
        <f t="shared" ref="Q58" si="269">IFERROR(ROUND(P58/P$56,2),0)</f>
        <v>0</v>
      </c>
      <c r="R58" s="295">
        <f>IF($B$2="All",COUNTIFS('Full Crash Data'!$C:$C,R$29,'Full Crash Data'!$AX:$AX,"Yes"),IF($B$2="State Highway Agency",COUNTIFS('Full Crash Data'!$C:$C,R$29,'Full Crash Data'!$AN:$AN,"State Highway Agency",'Full Crash Data'!$AX:$AX,"Yes"),IF($B$2="County Highway Agency",COUNTIFS('Full Crash Data'!$C:$C,R$29,'Full Crash Data'!$AN:$AN,"County Highway Agency",'Full Crash Data'!$AX:$AX,"Yes"),IF($B$2="Township Highway Agency",COUNTIFS('Full Crash Data'!$C:$C,R$29,'Full Crash Data'!$AN:$AN,"Township Highway Agency",'Full Crash Data'!$AX:$AX,"Yes"),IF($B$2="City or Village Highway Agency",COUNTIFS('Full Crash Data'!$C:$C,R$29,'Full Crash Data'!$AN:$AN,"City or Village Highway Agency",'Full Crash Data'!$AX:$AX,"Yes"))))))</f>
        <v>0</v>
      </c>
      <c r="S58" s="272">
        <f t="shared" ref="S58" si="270">IFERROR(ROUND(R58/R$56,2),0)</f>
        <v>0</v>
      </c>
      <c r="T58" s="295">
        <f>IF($B$2="All",COUNTIFS('Full Crash Data'!$C:$C,T$29,'Full Crash Data'!$AX:$AX,"Yes"),IF($B$2="State Highway Agency",COUNTIFS('Full Crash Data'!$C:$C,T$29,'Full Crash Data'!$AN:$AN,"State Highway Agency",'Full Crash Data'!$AX:$AX,"Yes"),IF($B$2="County Highway Agency",COUNTIFS('Full Crash Data'!$C:$C,T$29,'Full Crash Data'!$AN:$AN,"County Highway Agency",'Full Crash Data'!$AX:$AX,"Yes"),IF($B$2="Township Highway Agency",COUNTIFS('Full Crash Data'!$C:$C,T$29,'Full Crash Data'!$AN:$AN,"Township Highway Agency",'Full Crash Data'!$AX:$AX,"Yes"),IF($B$2="City or Village Highway Agency",COUNTIFS('Full Crash Data'!$C:$C,T$29,'Full Crash Data'!$AN:$AN,"City or Village Highway Agency",'Full Crash Data'!$AX:$AX,"Yes"))))))</f>
        <v>0</v>
      </c>
      <c r="U58" s="272">
        <f t="shared" ref="U58" si="271">IFERROR(ROUND(T58/T$56,2),0)</f>
        <v>0</v>
      </c>
      <c r="V58" s="295">
        <f>IF($B$2="All",COUNTIFS('Full Crash Data'!$C:$C,V$29,'Full Crash Data'!$AX:$AX,"Yes"),IF($B$2="State Highway Agency",COUNTIFS('Full Crash Data'!$C:$C,V$29,'Full Crash Data'!$AN:$AN,"State Highway Agency",'Full Crash Data'!$AX:$AX,"Yes"),IF($B$2="County Highway Agency",COUNTIFS('Full Crash Data'!$C:$C,V$29,'Full Crash Data'!$AN:$AN,"County Highway Agency",'Full Crash Data'!$AX:$AX,"Yes"),IF($B$2="Township Highway Agency",COUNTIFS('Full Crash Data'!$C:$C,V$29,'Full Crash Data'!$AN:$AN,"Township Highway Agency",'Full Crash Data'!$AX:$AX,"Yes"),IF($B$2="City or Village Highway Agency",COUNTIFS('Full Crash Data'!$C:$C,V$29,'Full Crash Data'!$AN:$AN,"City or Village Highway Agency",'Full Crash Data'!$AX:$AX,"Yes"))))))</f>
        <v>0</v>
      </c>
      <c r="W58" s="272">
        <f t="shared" ref="W58" si="272">IFERROR(ROUND(V58/V$56,2),0)</f>
        <v>0</v>
      </c>
    </row>
    <row r="59" spans="1:23" x14ac:dyDescent="0.2">
      <c r="A59" s="294" t="s">
        <v>5989</v>
      </c>
      <c r="B59" s="295">
        <f>IF($B$2="All",COUNTIFS('Full Crash Data'!$C:$C,B$29,'Full Crash Data'!$G:$G,"Train"),IF($B$2="State Highway Agency",COUNTIFS('Full Crash Data'!$C:$C,B$29,'Full Crash Data'!$AN:$AN,"State Highway Agency",'Full Crash Data'!$G:$G,"Train"),IF($B$2="County Highway Agency",COUNTIFS('Full Crash Data'!$C:$C,B$29,'Full Crash Data'!$AN:$AN,"County Highway Agency",'Full Crash Data'!$G:$G,"Train"),IF($B$2="Township Highway Agency",COUNTIFS('Full Crash Data'!$C:$C,B$29,'Full Crash Data'!$AN:$AN,"Township Highway Agency",'Full Crash Data'!$G:$G,"Train"),IF($B$2="City or Village Highway Agency",COUNTIFS('Full Crash Data'!$C:$C,B$29,'Full Crash Data'!$AN:$AN,"City or Village Highway Agency",'Full Crash Data'!$G:$G,"Train"))))))</f>
        <v>0</v>
      </c>
      <c r="C59" s="272">
        <f t="shared" si="265"/>
        <v>0</v>
      </c>
      <c r="D59" s="295">
        <f>IF($B$2="All",COUNTIFS('Full Crash Data'!$C:$C,D$29,'Full Crash Data'!$G:$G,"Train"),IF($B$2="State Highway Agency",COUNTIFS('Full Crash Data'!$C:$C,D$29,'Full Crash Data'!$AN:$AN,"State Highway Agency",'Full Crash Data'!$G:$G,"Train"),IF($B$2="County Highway Agency",COUNTIFS('Full Crash Data'!$C:$C,D$29,'Full Crash Data'!$AN:$AN,"County Highway Agency",'Full Crash Data'!$G:$G,"Train"),IF($B$2="Township Highway Agency",COUNTIFS('Full Crash Data'!$C:$C,D$29,'Full Crash Data'!$AN:$AN,"Township Highway Agency",'Full Crash Data'!$G:$G,"Train"),IF($B$2="City or Village Highway Agency",COUNTIFS('Full Crash Data'!$C:$C,D$29,'Full Crash Data'!$AN:$AN,"City or Village Highway Agency",'Full Crash Data'!$G:$G,"Train"))))))</f>
        <v>0</v>
      </c>
      <c r="E59" s="272">
        <f t="shared" si="256"/>
        <v>0</v>
      </c>
      <c r="F59" s="295">
        <f>IF($B$2="All",COUNTIFS('Full Crash Data'!$C:$C,F$29,'Full Crash Data'!$G:$G,"Train"),IF($B$2="State Highway Agency",COUNTIFS('Full Crash Data'!$C:$C,F$29,'Full Crash Data'!$AN:$AN,"State Highway Agency",'Full Crash Data'!$G:$G,"Train"),IF($B$2="County Highway Agency",COUNTIFS('Full Crash Data'!$C:$C,F$29,'Full Crash Data'!$AN:$AN,"County Highway Agency",'Full Crash Data'!$G:$G,"Train"),IF($B$2="Township Highway Agency",COUNTIFS('Full Crash Data'!$C:$C,F$29,'Full Crash Data'!$AN:$AN,"Township Highway Agency",'Full Crash Data'!$G:$G,"Train"),IF($B$2="City or Village Highway Agency",COUNTIFS('Full Crash Data'!$C:$C,F$29,'Full Crash Data'!$AN:$AN,"City or Village Highway Agency",'Full Crash Data'!$G:$G,"Train"))))))</f>
        <v>0</v>
      </c>
      <c r="G59" s="272">
        <f t="shared" si="257"/>
        <v>0</v>
      </c>
      <c r="H59" s="295">
        <f>IF($B$2="All",COUNTIFS('Full Crash Data'!$C:$C,H$29,'Full Crash Data'!$G:$G,"Train"),IF($B$2="State Highway Agency",COUNTIFS('Full Crash Data'!$C:$C,H$29,'Full Crash Data'!$AN:$AN,"State Highway Agency",'Full Crash Data'!$G:$G,"Train"),IF($B$2="County Highway Agency",COUNTIFS('Full Crash Data'!$C:$C,H$29,'Full Crash Data'!$AN:$AN,"County Highway Agency",'Full Crash Data'!$G:$G,"Train"),IF($B$2="Township Highway Agency",COUNTIFS('Full Crash Data'!$C:$C,H$29,'Full Crash Data'!$AN:$AN,"Township Highway Agency",'Full Crash Data'!$G:$G,"Train"),IF($B$2="City or Village Highway Agency",COUNTIFS('Full Crash Data'!$C:$C,H$29,'Full Crash Data'!$AN:$AN,"City or Village Highway Agency",'Full Crash Data'!$G:$G,"Train"))))))</f>
        <v>0</v>
      </c>
      <c r="I59" s="272">
        <f t="shared" si="257"/>
        <v>0</v>
      </c>
      <c r="J59" s="295">
        <f>IF($B$2="All",COUNTIFS('Full Crash Data'!$C:$C,J$29,'Full Crash Data'!$G:$G,"Train"),IF($B$2="State Highway Agency",COUNTIFS('Full Crash Data'!$C:$C,J$29,'Full Crash Data'!$AN:$AN,"State Highway Agency",'Full Crash Data'!$G:$G,"Train"),IF($B$2="County Highway Agency",COUNTIFS('Full Crash Data'!$C:$C,J$29,'Full Crash Data'!$AN:$AN,"County Highway Agency",'Full Crash Data'!$G:$G,"Train"),IF($B$2="Township Highway Agency",COUNTIFS('Full Crash Data'!$C:$C,J$29,'Full Crash Data'!$AN:$AN,"Township Highway Agency",'Full Crash Data'!$G:$G,"Train"),IF($B$2="City or Village Highway Agency",COUNTIFS('Full Crash Data'!$C:$C,J$29,'Full Crash Data'!$AN:$AN,"City or Village Highway Agency",'Full Crash Data'!$G:$G,"Train"))))))</f>
        <v>0</v>
      </c>
      <c r="K59" s="272">
        <f t="shared" ref="K59" si="273">IFERROR(ROUND(J59/J$56,2),0)</f>
        <v>0</v>
      </c>
      <c r="L59" s="295">
        <f>IF($B$2="All",COUNTIFS('Full Crash Data'!$C:$C,L$29,'Full Crash Data'!$G:$G,"Train"),IF($B$2="State Highway Agency",COUNTIFS('Full Crash Data'!$C:$C,L$29,'Full Crash Data'!$AN:$AN,"State Highway Agency",'Full Crash Data'!$G:$G,"Train"),IF($B$2="County Highway Agency",COUNTIFS('Full Crash Data'!$C:$C,L$29,'Full Crash Data'!$AN:$AN,"County Highway Agency",'Full Crash Data'!$G:$G,"Train"),IF($B$2="Township Highway Agency",COUNTIFS('Full Crash Data'!$C:$C,L$29,'Full Crash Data'!$AN:$AN,"Township Highway Agency",'Full Crash Data'!$G:$G,"Train"),IF($B$2="City or Village Highway Agency",COUNTIFS('Full Crash Data'!$C:$C,L$29,'Full Crash Data'!$AN:$AN,"City or Village Highway Agency",'Full Crash Data'!$G:$G,"Train"))))))</f>
        <v>0</v>
      </c>
      <c r="M59" s="272">
        <f t="shared" ref="M59" si="274">IFERROR(ROUND(L59/L$56,2),0)</f>
        <v>0</v>
      </c>
      <c r="N59" s="295">
        <f>IF($B$2="All",COUNTIFS('Full Crash Data'!$C:$C,N$29,'Full Crash Data'!$G:$G,"Train"),IF($B$2="State Highway Agency",COUNTIFS('Full Crash Data'!$C:$C,N$29,'Full Crash Data'!$AN:$AN,"State Highway Agency",'Full Crash Data'!$G:$G,"Train"),IF($B$2="County Highway Agency",COUNTIFS('Full Crash Data'!$C:$C,N$29,'Full Crash Data'!$AN:$AN,"County Highway Agency",'Full Crash Data'!$G:$G,"Train"),IF($B$2="Township Highway Agency",COUNTIFS('Full Crash Data'!$C:$C,N$29,'Full Crash Data'!$AN:$AN,"Township Highway Agency",'Full Crash Data'!$G:$G,"Train"),IF($B$2="City or Village Highway Agency",COUNTIFS('Full Crash Data'!$C:$C,N$29,'Full Crash Data'!$AN:$AN,"City or Village Highway Agency",'Full Crash Data'!$G:$G,"Train"))))))</f>
        <v>0</v>
      </c>
      <c r="O59" s="272">
        <f t="shared" ref="O59" si="275">IFERROR(ROUND(N59/N$56,2),0)</f>
        <v>0</v>
      </c>
      <c r="P59" s="295">
        <f>IF($B$2="All",COUNTIFS('Full Crash Data'!$C:$C,P$29,'Full Crash Data'!$G:$G,"Train"),IF($B$2="State Highway Agency",COUNTIFS('Full Crash Data'!$C:$C,P$29,'Full Crash Data'!$AN:$AN,"State Highway Agency",'Full Crash Data'!$G:$G,"Train"),IF($B$2="County Highway Agency",COUNTIFS('Full Crash Data'!$C:$C,P$29,'Full Crash Data'!$AN:$AN,"County Highway Agency",'Full Crash Data'!$G:$G,"Train"),IF($B$2="Township Highway Agency",COUNTIFS('Full Crash Data'!$C:$C,P$29,'Full Crash Data'!$AN:$AN,"Township Highway Agency",'Full Crash Data'!$G:$G,"Train"),IF($B$2="City or Village Highway Agency",COUNTIFS('Full Crash Data'!$C:$C,P$29,'Full Crash Data'!$AN:$AN,"City or Village Highway Agency",'Full Crash Data'!$G:$G,"Train"))))))</f>
        <v>0</v>
      </c>
      <c r="Q59" s="272">
        <f t="shared" ref="Q59" si="276">IFERROR(ROUND(P59/P$56,2),0)</f>
        <v>0</v>
      </c>
      <c r="R59" s="295">
        <f>IF($B$2="All",COUNTIFS('Full Crash Data'!$C:$C,R$29,'Full Crash Data'!$G:$G,"Train"),IF($B$2="State Highway Agency",COUNTIFS('Full Crash Data'!$C:$C,R$29,'Full Crash Data'!$AN:$AN,"State Highway Agency",'Full Crash Data'!$G:$G,"Train"),IF($B$2="County Highway Agency",COUNTIFS('Full Crash Data'!$C:$C,R$29,'Full Crash Data'!$AN:$AN,"County Highway Agency",'Full Crash Data'!$G:$G,"Train"),IF($B$2="Township Highway Agency",COUNTIFS('Full Crash Data'!$C:$C,R$29,'Full Crash Data'!$AN:$AN,"Township Highway Agency",'Full Crash Data'!$G:$G,"Train"),IF($B$2="City or Village Highway Agency",COUNTIFS('Full Crash Data'!$C:$C,R$29,'Full Crash Data'!$AN:$AN,"City or Village Highway Agency",'Full Crash Data'!$G:$G,"Train"))))))</f>
        <v>0</v>
      </c>
      <c r="S59" s="272">
        <f t="shared" ref="S59" si="277">IFERROR(ROUND(R59/R$56,2),0)</f>
        <v>0</v>
      </c>
      <c r="T59" s="295">
        <f>IF($B$2="All",COUNTIFS('Full Crash Data'!$C:$C,T$29,'Full Crash Data'!$G:$G,"Train"),IF($B$2="State Highway Agency",COUNTIFS('Full Crash Data'!$C:$C,T$29,'Full Crash Data'!$AN:$AN,"State Highway Agency",'Full Crash Data'!$G:$G,"Train"),IF($B$2="County Highway Agency",COUNTIFS('Full Crash Data'!$C:$C,T$29,'Full Crash Data'!$AN:$AN,"County Highway Agency",'Full Crash Data'!$G:$G,"Train"),IF($B$2="Township Highway Agency",COUNTIFS('Full Crash Data'!$C:$C,T$29,'Full Crash Data'!$AN:$AN,"Township Highway Agency",'Full Crash Data'!$G:$G,"Train"),IF($B$2="City or Village Highway Agency",COUNTIFS('Full Crash Data'!$C:$C,T$29,'Full Crash Data'!$AN:$AN,"City or Village Highway Agency",'Full Crash Data'!$G:$G,"Train"))))))</f>
        <v>0</v>
      </c>
      <c r="U59" s="272">
        <f t="shared" ref="U59" si="278">IFERROR(ROUND(T59/T$56,2),0)</f>
        <v>0</v>
      </c>
      <c r="V59" s="295">
        <f>IF($B$2="All",COUNTIFS('Full Crash Data'!$C:$C,V$29,'Full Crash Data'!$G:$G,"Train"),IF($B$2="State Highway Agency",COUNTIFS('Full Crash Data'!$C:$C,V$29,'Full Crash Data'!$AN:$AN,"State Highway Agency",'Full Crash Data'!$G:$G,"Train"),IF($B$2="County Highway Agency",COUNTIFS('Full Crash Data'!$C:$C,V$29,'Full Crash Data'!$AN:$AN,"County Highway Agency",'Full Crash Data'!$G:$G,"Train"),IF($B$2="Township Highway Agency",COUNTIFS('Full Crash Data'!$C:$C,V$29,'Full Crash Data'!$AN:$AN,"Township Highway Agency",'Full Crash Data'!$G:$G,"Train"),IF($B$2="City or Village Highway Agency",COUNTIFS('Full Crash Data'!$C:$C,V$29,'Full Crash Data'!$AN:$AN,"City or Village Highway Agency",'Full Crash Data'!$G:$G,"Train"))))))</f>
        <v>0</v>
      </c>
      <c r="W59" s="272">
        <f t="shared" ref="W59" si="279">IFERROR(ROUND(V59/V$56,2),0)</f>
        <v>0</v>
      </c>
    </row>
    <row r="60" spans="1:23" x14ac:dyDescent="0.2">
      <c r="A60" s="294" t="s">
        <v>5997</v>
      </c>
      <c r="B60" s="295">
        <f>IF($B$2="All",COUNTIFS('Full Crash Data'!$C:$C,B$29,'Full Crash Data'!$AY:$AY,"Yes"),IF($B$2="State Highway Agency",COUNTIFS('Full Crash Data'!$C:$C,B$29,'Full Crash Data'!$AN:$AN,"State Highway Agency",'Full Crash Data'!$AY:$AY,"Yes"),IF($B$2="County Highway Agency",COUNTIFS('Full Crash Data'!$C:$C,B$29,'Full Crash Data'!$AN:$AN,"County Highway Agency",'Full Crash Data'!$AY:$AY,"Yes"),IF($B$2="Township Highway Agency",COUNTIFS('Full Crash Data'!$C:$C,B$29,'Full Crash Data'!$AN:$AN,"Township Highway Agency",'Full Crash Data'!$AY:$AY,"Yes"),IF($B$2="City or Village Highway Agency",COUNTIFS('Full Crash Data'!$C:$C,B$29,'Full Crash Data'!$AN:$AN,"City or Village Highway Agency",'Full Crash Data'!$AY:$AY,"Yes"))))))</f>
        <v>3</v>
      </c>
      <c r="C60" s="272">
        <f t="shared" si="265"/>
        <v>0.08</v>
      </c>
      <c r="D60" s="295">
        <f>IF($B$2="All",COUNTIFS('Full Crash Data'!$C:$C,D$29,'Full Crash Data'!$AY:$AY,"Yes"),IF($B$2="State Highway Agency",COUNTIFS('Full Crash Data'!$C:$C,D$29,'Full Crash Data'!$AN:$AN,"State Highway Agency",'Full Crash Data'!$AY:$AY,"Yes"),IF($B$2="County Highway Agency",COUNTIFS('Full Crash Data'!$C:$C,D$29,'Full Crash Data'!$AN:$AN,"County Highway Agency",'Full Crash Data'!$AY:$AY,"Yes"),IF($B$2="Township Highway Agency",COUNTIFS('Full Crash Data'!$C:$C,D$29,'Full Crash Data'!$AN:$AN,"Township Highway Agency",'Full Crash Data'!$AY:$AY,"Yes"),IF($B$2="City or Village Highway Agency",COUNTIFS('Full Crash Data'!$C:$C,D$29,'Full Crash Data'!$AN:$AN,"City or Village Highway Agency",'Full Crash Data'!$AY:$AY,"Yes"))))))</f>
        <v>0</v>
      </c>
      <c r="E60" s="272">
        <f t="shared" si="256"/>
        <v>0</v>
      </c>
      <c r="F60" s="295">
        <f>IF($B$2="All",COUNTIFS('Full Crash Data'!$C:$C,F$29,'Full Crash Data'!$AY:$AY,"Yes"),IF($B$2="State Highway Agency",COUNTIFS('Full Crash Data'!$C:$C,F$29,'Full Crash Data'!$AN:$AN,"State Highway Agency",'Full Crash Data'!$AY:$AY,"Yes"),IF($B$2="County Highway Agency",COUNTIFS('Full Crash Data'!$C:$C,F$29,'Full Crash Data'!$AN:$AN,"County Highway Agency",'Full Crash Data'!$AY:$AY,"Yes"),IF($B$2="Township Highway Agency",COUNTIFS('Full Crash Data'!$C:$C,F$29,'Full Crash Data'!$AN:$AN,"Township Highway Agency",'Full Crash Data'!$AY:$AY,"Yes"),IF($B$2="City or Village Highway Agency",COUNTIFS('Full Crash Data'!$C:$C,F$29,'Full Crash Data'!$AN:$AN,"City or Village Highway Agency",'Full Crash Data'!$AY:$AY,"Yes"))))))</f>
        <v>2</v>
      </c>
      <c r="G60" s="272">
        <f t="shared" si="257"/>
        <v>0.03</v>
      </c>
      <c r="H60" s="295">
        <f>IF($B$2="All",COUNTIFS('Full Crash Data'!$C:$C,H$29,'Full Crash Data'!$AY:$AY,"Yes"),IF($B$2="State Highway Agency",COUNTIFS('Full Crash Data'!$C:$C,H$29,'Full Crash Data'!$AN:$AN,"State Highway Agency",'Full Crash Data'!$AY:$AY,"Yes"),IF($B$2="County Highway Agency",COUNTIFS('Full Crash Data'!$C:$C,H$29,'Full Crash Data'!$AN:$AN,"County Highway Agency",'Full Crash Data'!$AY:$AY,"Yes"),IF($B$2="Township Highway Agency",COUNTIFS('Full Crash Data'!$C:$C,H$29,'Full Crash Data'!$AN:$AN,"Township Highway Agency",'Full Crash Data'!$AY:$AY,"Yes"),IF($B$2="City or Village Highway Agency",COUNTIFS('Full Crash Data'!$C:$C,H$29,'Full Crash Data'!$AN:$AN,"City or Village Highway Agency",'Full Crash Data'!$AY:$AY,"Yes"))))))</f>
        <v>4</v>
      </c>
      <c r="I60" s="272">
        <f t="shared" si="257"/>
        <v>7.0000000000000007E-2</v>
      </c>
      <c r="J60" s="295">
        <f>IF($B$2="All",COUNTIFS('Full Crash Data'!$C:$C,J$29,'Full Crash Data'!$AY:$AY,"Yes"),IF($B$2="State Highway Agency",COUNTIFS('Full Crash Data'!$C:$C,J$29,'Full Crash Data'!$AN:$AN,"State Highway Agency",'Full Crash Data'!$AY:$AY,"Yes"),IF($B$2="County Highway Agency",COUNTIFS('Full Crash Data'!$C:$C,J$29,'Full Crash Data'!$AN:$AN,"County Highway Agency",'Full Crash Data'!$AY:$AY,"Yes"),IF($B$2="Township Highway Agency",COUNTIFS('Full Crash Data'!$C:$C,J$29,'Full Crash Data'!$AN:$AN,"Township Highway Agency",'Full Crash Data'!$AY:$AY,"Yes"),IF($B$2="City or Village Highway Agency",COUNTIFS('Full Crash Data'!$C:$C,J$29,'Full Crash Data'!$AN:$AN,"City or Village Highway Agency",'Full Crash Data'!$AY:$AY,"Yes"))))))</f>
        <v>8</v>
      </c>
      <c r="K60" s="272">
        <f t="shared" ref="K60" si="280">IFERROR(ROUND(J60/J$56,2),0)</f>
        <v>0.1</v>
      </c>
      <c r="L60" s="295">
        <f>IF($B$2="All",COUNTIFS('Full Crash Data'!$C:$C,L$29,'Full Crash Data'!$AY:$AY,"Yes"),IF($B$2="State Highway Agency",COUNTIFS('Full Crash Data'!$C:$C,L$29,'Full Crash Data'!$AN:$AN,"State Highway Agency",'Full Crash Data'!$AY:$AY,"Yes"),IF($B$2="County Highway Agency",COUNTIFS('Full Crash Data'!$C:$C,L$29,'Full Crash Data'!$AN:$AN,"County Highway Agency",'Full Crash Data'!$AY:$AY,"Yes"),IF($B$2="Township Highway Agency",COUNTIFS('Full Crash Data'!$C:$C,L$29,'Full Crash Data'!$AN:$AN,"Township Highway Agency",'Full Crash Data'!$AY:$AY,"Yes"),IF($B$2="City or Village Highway Agency",COUNTIFS('Full Crash Data'!$C:$C,L$29,'Full Crash Data'!$AN:$AN,"City or Village Highway Agency",'Full Crash Data'!$AY:$AY,"Yes"))))))</f>
        <v>0</v>
      </c>
      <c r="M60" s="272">
        <f t="shared" ref="M60" si="281">IFERROR(ROUND(L60/L$56,2),0)</f>
        <v>0</v>
      </c>
      <c r="N60" s="295">
        <f>IF($B$2="All",COUNTIFS('Full Crash Data'!$C:$C,N$29,'Full Crash Data'!$AY:$AY,"Yes"),IF($B$2="State Highway Agency",COUNTIFS('Full Crash Data'!$C:$C,N$29,'Full Crash Data'!$AN:$AN,"State Highway Agency",'Full Crash Data'!$AY:$AY,"Yes"),IF($B$2="County Highway Agency",COUNTIFS('Full Crash Data'!$C:$C,N$29,'Full Crash Data'!$AN:$AN,"County Highway Agency",'Full Crash Data'!$AY:$AY,"Yes"),IF($B$2="Township Highway Agency",COUNTIFS('Full Crash Data'!$C:$C,N$29,'Full Crash Data'!$AN:$AN,"Township Highway Agency",'Full Crash Data'!$AY:$AY,"Yes"),IF($B$2="City or Village Highway Agency",COUNTIFS('Full Crash Data'!$C:$C,N$29,'Full Crash Data'!$AN:$AN,"City or Village Highway Agency",'Full Crash Data'!$AY:$AY,"Yes"))))))</f>
        <v>0</v>
      </c>
      <c r="O60" s="272">
        <f t="shared" ref="O60" si="282">IFERROR(ROUND(N60/N$56,2),0)</f>
        <v>0</v>
      </c>
      <c r="P60" s="295">
        <f>IF($B$2="All",COUNTIFS('Full Crash Data'!$C:$C,P$29,'Full Crash Data'!$AY:$AY,"Yes"),IF($B$2="State Highway Agency",COUNTIFS('Full Crash Data'!$C:$C,P$29,'Full Crash Data'!$AN:$AN,"State Highway Agency",'Full Crash Data'!$AY:$AY,"Yes"),IF($B$2="County Highway Agency",COUNTIFS('Full Crash Data'!$C:$C,P$29,'Full Crash Data'!$AN:$AN,"County Highway Agency",'Full Crash Data'!$AY:$AY,"Yes"),IF($B$2="Township Highway Agency",COUNTIFS('Full Crash Data'!$C:$C,P$29,'Full Crash Data'!$AN:$AN,"Township Highway Agency",'Full Crash Data'!$AY:$AY,"Yes"),IF($B$2="City or Village Highway Agency",COUNTIFS('Full Crash Data'!$C:$C,P$29,'Full Crash Data'!$AN:$AN,"City or Village Highway Agency",'Full Crash Data'!$AY:$AY,"Yes"))))))</f>
        <v>0</v>
      </c>
      <c r="Q60" s="272">
        <f t="shared" ref="Q60" si="283">IFERROR(ROUND(P60/P$56,2),0)</f>
        <v>0</v>
      </c>
      <c r="R60" s="295">
        <f>IF($B$2="All",COUNTIFS('Full Crash Data'!$C:$C,R$29,'Full Crash Data'!$AY:$AY,"Yes"),IF($B$2="State Highway Agency",COUNTIFS('Full Crash Data'!$C:$C,R$29,'Full Crash Data'!$AN:$AN,"State Highway Agency",'Full Crash Data'!$AY:$AY,"Yes"),IF($B$2="County Highway Agency",COUNTIFS('Full Crash Data'!$C:$C,R$29,'Full Crash Data'!$AN:$AN,"County Highway Agency",'Full Crash Data'!$AY:$AY,"Yes"),IF($B$2="Township Highway Agency",COUNTIFS('Full Crash Data'!$C:$C,R$29,'Full Crash Data'!$AN:$AN,"Township Highway Agency",'Full Crash Data'!$AY:$AY,"Yes"),IF($B$2="City or Village Highway Agency",COUNTIFS('Full Crash Data'!$C:$C,R$29,'Full Crash Data'!$AN:$AN,"City or Village Highway Agency",'Full Crash Data'!$AY:$AY,"Yes"))))))</f>
        <v>0</v>
      </c>
      <c r="S60" s="272">
        <f t="shared" ref="S60" si="284">IFERROR(ROUND(R60/R$56,2),0)</f>
        <v>0</v>
      </c>
      <c r="T60" s="295">
        <f>IF($B$2="All",COUNTIFS('Full Crash Data'!$C:$C,T$29,'Full Crash Data'!$AY:$AY,"Yes"),IF($B$2="State Highway Agency",COUNTIFS('Full Crash Data'!$C:$C,T$29,'Full Crash Data'!$AN:$AN,"State Highway Agency",'Full Crash Data'!$AY:$AY,"Yes"),IF($B$2="County Highway Agency",COUNTIFS('Full Crash Data'!$C:$C,T$29,'Full Crash Data'!$AN:$AN,"County Highway Agency",'Full Crash Data'!$AY:$AY,"Yes"),IF($B$2="Township Highway Agency",COUNTIFS('Full Crash Data'!$C:$C,T$29,'Full Crash Data'!$AN:$AN,"Township Highway Agency",'Full Crash Data'!$AY:$AY,"Yes"),IF($B$2="City or Village Highway Agency",COUNTIFS('Full Crash Data'!$C:$C,T$29,'Full Crash Data'!$AN:$AN,"City or Village Highway Agency",'Full Crash Data'!$AY:$AY,"Yes"))))))</f>
        <v>0</v>
      </c>
      <c r="U60" s="272">
        <f t="shared" ref="U60" si="285">IFERROR(ROUND(T60/T$56,2),0)</f>
        <v>0</v>
      </c>
      <c r="V60" s="295">
        <f>IF($B$2="All",COUNTIFS('Full Crash Data'!$C:$C,V$29,'Full Crash Data'!$AY:$AY,"Yes"),IF($B$2="State Highway Agency",COUNTIFS('Full Crash Data'!$C:$C,V$29,'Full Crash Data'!$AN:$AN,"State Highway Agency",'Full Crash Data'!$AY:$AY,"Yes"),IF($B$2="County Highway Agency",COUNTIFS('Full Crash Data'!$C:$C,V$29,'Full Crash Data'!$AN:$AN,"County Highway Agency",'Full Crash Data'!$AY:$AY,"Yes"),IF($B$2="Township Highway Agency",COUNTIFS('Full Crash Data'!$C:$C,V$29,'Full Crash Data'!$AN:$AN,"Township Highway Agency",'Full Crash Data'!$AY:$AY,"Yes"),IF($B$2="City or Village Highway Agency",COUNTIFS('Full Crash Data'!$C:$C,V$29,'Full Crash Data'!$AN:$AN,"City or Village Highway Agency",'Full Crash Data'!$AY:$AY,"Yes"))))))</f>
        <v>0</v>
      </c>
      <c r="W60" s="272">
        <f t="shared" ref="W60" si="286">IFERROR(ROUND(V60/V$56,2),0)</f>
        <v>0</v>
      </c>
    </row>
    <row r="61" spans="1:23" x14ac:dyDescent="0.2">
      <c r="A61" s="296" t="s">
        <v>5990</v>
      </c>
      <c r="B61" s="297">
        <f>IF($B$2="All",COUNTIFS('Full Crash Data'!$C:$C,B$29,'Full Crash Data'!$Z:$Z,"&gt;0"),IF($B$2="State Highway Agency",COUNTIFS('Full Crash Data'!$C:$C,B$29,'Full Crash Data'!$AN:$AN,"State Highway Agency",'Full Crash Data'!$Z:$Z,"&gt;0"),IF($B$2="County Highway Agency",COUNTIFS('Full Crash Data'!$C:$C,B$29,'Full Crash Data'!$AN:$AN,"County Highway Agency",'Full Crash Data'!$Z:$Z,"&gt;0"),IF($B$2="Township Highway Agency",COUNTIFS('Full Crash Data'!$C:$C,B$29,'Full Crash Data'!$AN:$AN,"Township Highway Agency",'Full Crash Data'!$Z:$Z,"&gt;0"),IF($B$2="City or Village Highway Agency",COUNTIFS('Full Crash Data'!$C:$C,B$29,'Full Crash Data'!$AN:$AN,"City or Village Highway Agency",'Full Crash Data'!$Z:$Z,"&gt;0"))))))</f>
        <v>3</v>
      </c>
      <c r="C61" s="272">
        <f t="shared" si="265"/>
        <v>0.08</v>
      </c>
      <c r="D61" s="297">
        <f>IF($B$2="All",COUNTIFS('Full Crash Data'!$C:$C,D$29,'Full Crash Data'!$Z:$Z,"&gt;0"),IF($B$2="State Highway Agency",COUNTIFS('Full Crash Data'!$C:$C,D$29,'Full Crash Data'!$AN:$AN,"State Highway Agency",'Full Crash Data'!$Z:$Z,"&gt;0"),IF($B$2="County Highway Agency",COUNTIFS('Full Crash Data'!$C:$C,D$29,'Full Crash Data'!$AN:$AN,"County Highway Agency",'Full Crash Data'!$Z:$Z,"&gt;0"),IF($B$2="Township Highway Agency",COUNTIFS('Full Crash Data'!$C:$C,D$29,'Full Crash Data'!$AN:$AN,"Township Highway Agency",'Full Crash Data'!$Z:$Z,"&gt;0"),IF($B$2="City or Village Highway Agency",COUNTIFS('Full Crash Data'!$C:$C,D$29,'Full Crash Data'!$AN:$AN,"City or Village Highway Agency",'Full Crash Data'!$Z:$Z,"&gt;0"))))))</f>
        <v>5</v>
      </c>
      <c r="E61" s="272">
        <f t="shared" si="256"/>
        <v>7.0000000000000007E-2</v>
      </c>
      <c r="F61" s="297">
        <f>IF($B$2="All",COUNTIFS('Full Crash Data'!$C:$C,F$29,'Full Crash Data'!$Z:$Z,"&gt;0"),IF($B$2="State Highway Agency",COUNTIFS('Full Crash Data'!$C:$C,F$29,'Full Crash Data'!$AN:$AN,"State Highway Agency",'Full Crash Data'!$Z:$Z,"&gt;0"),IF($B$2="County Highway Agency",COUNTIFS('Full Crash Data'!$C:$C,F$29,'Full Crash Data'!$AN:$AN,"County Highway Agency",'Full Crash Data'!$Z:$Z,"&gt;0"),IF($B$2="Township Highway Agency",COUNTIFS('Full Crash Data'!$C:$C,F$29,'Full Crash Data'!$AN:$AN,"Township Highway Agency",'Full Crash Data'!$Z:$Z,"&gt;0"),IF($B$2="City or Village Highway Agency",COUNTIFS('Full Crash Data'!$C:$C,F$29,'Full Crash Data'!$AN:$AN,"City or Village Highway Agency",'Full Crash Data'!$Z:$Z,"&gt;0"))))))</f>
        <v>10</v>
      </c>
      <c r="G61" s="272">
        <f t="shared" si="257"/>
        <v>0.16</v>
      </c>
      <c r="H61" s="297">
        <f>IF($B$2="All",COUNTIFS('Full Crash Data'!$C:$C,H$29,'Full Crash Data'!$Z:$Z,"&gt;0"),IF($B$2="State Highway Agency",COUNTIFS('Full Crash Data'!$C:$C,H$29,'Full Crash Data'!$AN:$AN,"State Highway Agency",'Full Crash Data'!$Z:$Z,"&gt;0"),IF($B$2="County Highway Agency",COUNTIFS('Full Crash Data'!$C:$C,H$29,'Full Crash Data'!$AN:$AN,"County Highway Agency",'Full Crash Data'!$Z:$Z,"&gt;0"),IF($B$2="Township Highway Agency",COUNTIFS('Full Crash Data'!$C:$C,H$29,'Full Crash Data'!$AN:$AN,"Township Highway Agency",'Full Crash Data'!$Z:$Z,"&gt;0"),IF($B$2="City or Village Highway Agency",COUNTIFS('Full Crash Data'!$C:$C,H$29,'Full Crash Data'!$AN:$AN,"City or Village Highway Agency",'Full Crash Data'!$Z:$Z,"&gt;0"))))))</f>
        <v>3</v>
      </c>
      <c r="I61" s="272">
        <f t="shared" si="257"/>
        <v>0.05</v>
      </c>
      <c r="J61" s="297">
        <f>IF($B$2="All",COUNTIFS('Full Crash Data'!$C:$C,J$29,'Full Crash Data'!$Z:$Z,"&gt;0"),IF($B$2="State Highway Agency",COUNTIFS('Full Crash Data'!$C:$C,J$29,'Full Crash Data'!$AN:$AN,"State Highway Agency",'Full Crash Data'!$Z:$Z,"&gt;0"),IF($B$2="County Highway Agency",COUNTIFS('Full Crash Data'!$C:$C,J$29,'Full Crash Data'!$AN:$AN,"County Highway Agency",'Full Crash Data'!$Z:$Z,"&gt;0"),IF($B$2="Township Highway Agency",COUNTIFS('Full Crash Data'!$C:$C,J$29,'Full Crash Data'!$AN:$AN,"Township Highway Agency",'Full Crash Data'!$Z:$Z,"&gt;0"),IF($B$2="City or Village Highway Agency",COUNTIFS('Full Crash Data'!$C:$C,J$29,'Full Crash Data'!$AN:$AN,"City or Village Highway Agency",'Full Crash Data'!$Z:$Z,"&gt;0"))))))</f>
        <v>8</v>
      </c>
      <c r="K61" s="272">
        <f t="shared" ref="K61" si="287">IFERROR(ROUND(J61/J$56,2),0)</f>
        <v>0.1</v>
      </c>
      <c r="L61" s="297">
        <f>IF($B$2="All",COUNTIFS('Full Crash Data'!$C:$C,L$29,'Full Crash Data'!$Z:$Z,"&gt;0"),IF($B$2="State Highway Agency",COUNTIFS('Full Crash Data'!$C:$C,L$29,'Full Crash Data'!$AN:$AN,"State Highway Agency",'Full Crash Data'!$Z:$Z,"&gt;0"),IF($B$2="County Highway Agency",COUNTIFS('Full Crash Data'!$C:$C,L$29,'Full Crash Data'!$AN:$AN,"County Highway Agency",'Full Crash Data'!$Z:$Z,"&gt;0"),IF($B$2="Township Highway Agency",COUNTIFS('Full Crash Data'!$C:$C,L$29,'Full Crash Data'!$AN:$AN,"Township Highway Agency",'Full Crash Data'!$Z:$Z,"&gt;0"),IF($B$2="City or Village Highway Agency",COUNTIFS('Full Crash Data'!$C:$C,L$29,'Full Crash Data'!$AN:$AN,"City or Village Highway Agency",'Full Crash Data'!$Z:$Z,"&gt;0"))))))</f>
        <v>0</v>
      </c>
      <c r="M61" s="272">
        <f t="shared" ref="M61" si="288">IFERROR(ROUND(L61/L$56,2),0)</f>
        <v>0</v>
      </c>
      <c r="N61" s="297">
        <f>IF($B$2="All",COUNTIFS('Full Crash Data'!$C:$C,N$29,'Full Crash Data'!$Z:$Z,"&gt;0"),IF($B$2="State Highway Agency",COUNTIFS('Full Crash Data'!$C:$C,N$29,'Full Crash Data'!$AN:$AN,"State Highway Agency",'Full Crash Data'!$Z:$Z,"&gt;0"),IF($B$2="County Highway Agency",COUNTIFS('Full Crash Data'!$C:$C,N$29,'Full Crash Data'!$AN:$AN,"County Highway Agency",'Full Crash Data'!$Z:$Z,"&gt;0"),IF($B$2="Township Highway Agency",COUNTIFS('Full Crash Data'!$C:$C,N$29,'Full Crash Data'!$AN:$AN,"Township Highway Agency",'Full Crash Data'!$Z:$Z,"&gt;0"),IF($B$2="City or Village Highway Agency",COUNTIFS('Full Crash Data'!$C:$C,N$29,'Full Crash Data'!$AN:$AN,"City or Village Highway Agency",'Full Crash Data'!$Z:$Z,"&gt;0"))))))</f>
        <v>0</v>
      </c>
      <c r="O61" s="272">
        <f t="shared" ref="O61" si="289">IFERROR(ROUND(N61/N$56,2),0)</f>
        <v>0</v>
      </c>
      <c r="P61" s="297">
        <f>IF($B$2="All",COUNTIFS('Full Crash Data'!$C:$C,P$29,'Full Crash Data'!$Z:$Z,"&gt;0"),IF($B$2="State Highway Agency",COUNTIFS('Full Crash Data'!$C:$C,P$29,'Full Crash Data'!$AN:$AN,"State Highway Agency",'Full Crash Data'!$Z:$Z,"&gt;0"),IF($B$2="County Highway Agency",COUNTIFS('Full Crash Data'!$C:$C,P$29,'Full Crash Data'!$AN:$AN,"County Highway Agency",'Full Crash Data'!$Z:$Z,"&gt;0"),IF($B$2="Township Highway Agency",COUNTIFS('Full Crash Data'!$C:$C,P$29,'Full Crash Data'!$AN:$AN,"Township Highway Agency",'Full Crash Data'!$Z:$Z,"&gt;0"),IF($B$2="City or Village Highway Agency",COUNTIFS('Full Crash Data'!$C:$C,P$29,'Full Crash Data'!$AN:$AN,"City or Village Highway Agency",'Full Crash Data'!$Z:$Z,"&gt;0"))))))</f>
        <v>0</v>
      </c>
      <c r="Q61" s="272">
        <f t="shared" ref="Q61" si="290">IFERROR(ROUND(P61/P$56,2),0)</f>
        <v>0</v>
      </c>
      <c r="R61" s="297">
        <f>IF($B$2="All",COUNTIFS('Full Crash Data'!$C:$C,R$29,'Full Crash Data'!$Z:$Z,"&gt;0"),IF($B$2="State Highway Agency",COUNTIFS('Full Crash Data'!$C:$C,R$29,'Full Crash Data'!$AN:$AN,"State Highway Agency",'Full Crash Data'!$Z:$Z,"&gt;0"),IF($B$2="County Highway Agency",COUNTIFS('Full Crash Data'!$C:$C,R$29,'Full Crash Data'!$AN:$AN,"County Highway Agency",'Full Crash Data'!$Z:$Z,"&gt;0"),IF($B$2="Township Highway Agency",COUNTIFS('Full Crash Data'!$C:$C,R$29,'Full Crash Data'!$AN:$AN,"Township Highway Agency",'Full Crash Data'!$Z:$Z,"&gt;0"),IF($B$2="City or Village Highway Agency",COUNTIFS('Full Crash Data'!$C:$C,R$29,'Full Crash Data'!$AN:$AN,"City or Village Highway Agency",'Full Crash Data'!$Z:$Z,"&gt;0"))))))</f>
        <v>0</v>
      </c>
      <c r="S61" s="272">
        <f t="shared" ref="S61" si="291">IFERROR(ROUND(R61/R$56,2),0)</f>
        <v>0</v>
      </c>
      <c r="T61" s="297">
        <f>IF($B$2="All",COUNTIFS('Full Crash Data'!$C:$C,T$29,'Full Crash Data'!$Z:$Z,"&gt;0"),IF($B$2="State Highway Agency",COUNTIFS('Full Crash Data'!$C:$C,T$29,'Full Crash Data'!$AN:$AN,"State Highway Agency",'Full Crash Data'!$Z:$Z,"&gt;0"),IF($B$2="County Highway Agency",COUNTIFS('Full Crash Data'!$C:$C,T$29,'Full Crash Data'!$AN:$AN,"County Highway Agency",'Full Crash Data'!$Z:$Z,"&gt;0"),IF($B$2="Township Highway Agency",COUNTIFS('Full Crash Data'!$C:$C,T$29,'Full Crash Data'!$AN:$AN,"Township Highway Agency",'Full Crash Data'!$Z:$Z,"&gt;0"),IF($B$2="City or Village Highway Agency",COUNTIFS('Full Crash Data'!$C:$C,T$29,'Full Crash Data'!$AN:$AN,"City or Village Highway Agency",'Full Crash Data'!$Z:$Z,"&gt;0"))))))</f>
        <v>0</v>
      </c>
      <c r="U61" s="272">
        <f t="shared" ref="U61" si="292">IFERROR(ROUND(T61/T$56,2),0)</f>
        <v>0</v>
      </c>
      <c r="V61" s="297">
        <f>IF($B$2="All",COUNTIFS('Full Crash Data'!$C:$C,V$29,'Full Crash Data'!$Z:$Z,"&gt;0"),IF($B$2="State Highway Agency",COUNTIFS('Full Crash Data'!$C:$C,V$29,'Full Crash Data'!$AN:$AN,"State Highway Agency",'Full Crash Data'!$Z:$Z,"&gt;0"),IF($B$2="County Highway Agency",COUNTIFS('Full Crash Data'!$C:$C,V$29,'Full Crash Data'!$AN:$AN,"County Highway Agency",'Full Crash Data'!$Z:$Z,"&gt;0"),IF($B$2="Township Highway Agency",COUNTIFS('Full Crash Data'!$C:$C,V$29,'Full Crash Data'!$AN:$AN,"Township Highway Agency",'Full Crash Data'!$Z:$Z,"&gt;0"),IF($B$2="City or Village Highway Agency",COUNTIFS('Full Crash Data'!$C:$C,V$29,'Full Crash Data'!$AN:$AN,"City or Village Highway Agency",'Full Crash Data'!$Z:$Z,"&gt;0"))))))</f>
        <v>0</v>
      </c>
      <c r="W61" s="272">
        <f t="shared" ref="W61" si="293">IFERROR(ROUND(V61/V$56,2),0)</f>
        <v>0</v>
      </c>
    </row>
    <row r="62" spans="1:23" x14ac:dyDescent="0.2">
      <c r="A62" s="294" t="s">
        <v>5998</v>
      </c>
      <c r="B62" s="298">
        <f>IF($B$2="All",COUNTIFS('Full Crash Data'!$C:$C,B$29,'Full Crash Data'!$BD:$BD,"Yes"),IF($B$2="State Highway Agency",COUNTIFS('Full Crash Data'!$C:$C,B$29,'Full Crash Data'!$AN:$AN,"State Highway Agency",'Full Crash Data'!$BD:$BD,"Yes"),IF($B$2="County Highway Agency",COUNTIFS('Full Crash Data'!$C:$C,B$29,'Full Crash Data'!$AN:$AN,"County Highway Agency",'Full Crash Data'!$BD:$BD,"Yes"),IF($B$2="Township Highway Agency",COUNTIFS('Full Crash Data'!$C:$C,B$29,'Full Crash Data'!$AN:$AN,"Township Highway Agency",'Full Crash Data'!$BD:$BD,"Yes"),IF($B$2="City or Village Highway Agency",COUNTIFS('Full Crash Data'!$C:$C,B$29,'Full Crash Data'!$AN:$AN,"City or Village Highway Agency",'Full Crash Data'!$BD:$BD,"Yes"))))))</f>
        <v>1</v>
      </c>
      <c r="C62" s="272">
        <f t="shared" si="265"/>
        <v>0.03</v>
      </c>
      <c r="D62" s="298">
        <f>IF($B$2="All",COUNTIFS('Full Crash Data'!$C:$C,D$29,'Full Crash Data'!$BD:$BD,"Yes"),IF($B$2="State Highway Agency",COUNTIFS('Full Crash Data'!$C:$C,D$29,'Full Crash Data'!$AN:$AN,"State Highway Agency",'Full Crash Data'!$BD:$BD,"Yes"),IF($B$2="County Highway Agency",COUNTIFS('Full Crash Data'!$C:$C,D$29,'Full Crash Data'!$AN:$AN,"County Highway Agency",'Full Crash Data'!$BD:$BD,"Yes"),IF($B$2="Township Highway Agency",COUNTIFS('Full Crash Data'!$C:$C,D$29,'Full Crash Data'!$AN:$AN,"Township Highway Agency",'Full Crash Data'!$BD:$BD,"Yes"),IF($B$2="City or Village Highway Agency",COUNTIFS('Full Crash Data'!$C:$C,D$29,'Full Crash Data'!$AN:$AN,"City or Village Highway Agency",'Full Crash Data'!$BD:$BD,"Yes"))))))</f>
        <v>5</v>
      </c>
      <c r="E62" s="272">
        <f t="shared" si="256"/>
        <v>7.0000000000000007E-2</v>
      </c>
      <c r="F62" s="298">
        <f>IF($B$2="All",COUNTIFS('Full Crash Data'!$C:$C,F$29,'Full Crash Data'!$BD:$BD,"Yes"),IF($B$2="State Highway Agency",COUNTIFS('Full Crash Data'!$C:$C,F$29,'Full Crash Data'!$AN:$AN,"State Highway Agency",'Full Crash Data'!$BD:$BD,"Yes"),IF($B$2="County Highway Agency",COUNTIFS('Full Crash Data'!$C:$C,F$29,'Full Crash Data'!$AN:$AN,"County Highway Agency",'Full Crash Data'!$BD:$BD,"Yes"),IF($B$2="Township Highway Agency",COUNTIFS('Full Crash Data'!$C:$C,F$29,'Full Crash Data'!$AN:$AN,"Township Highway Agency",'Full Crash Data'!$BD:$BD,"Yes"),IF($B$2="City or Village Highway Agency",COUNTIFS('Full Crash Data'!$C:$C,F$29,'Full Crash Data'!$AN:$AN,"City or Village Highway Agency",'Full Crash Data'!$BD:$BD,"Yes"))))))</f>
        <v>5</v>
      </c>
      <c r="G62" s="272">
        <f t="shared" si="257"/>
        <v>0.08</v>
      </c>
      <c r="H62" s="298">
        <f>IF($B$2="All",COUNTIFS('Full Crash Data'!$C:$C,H$29,'Full Crash Data'!$BD:$BD,"Yes"),IF($B$2="State Highway Agency",COUNTIFS('Full Crash Data'!$C:$C,H$29,'Full Crash Data'!$AN:$AN,"State Highway Agency",'Full Crash Data'!$BD:$BD,"Yes"),IF($B$2="County Highway Agency",COUNTIFS('Full Crash Data'!$C:$C,H$29,'Full Crash Data'!$AN:$AN,"County Highway Agency",'Full Crash Data'!$BD:$BD,"Yes"),IF($B$2="Township Highway Agency",COUNTIFS('Full Crash Data'!$C:$C,H$29,'Full Crash Data'!$AN:$AN,"Township Highway Agency",'Full Crash Data'!$BD:$BD,"Yes"),IF($B$2="City or Village Highway Agency",COUNTIFS('Full Crash Data'!$C:$C,H$29,'Full Crash Data'!$AN:$AN,"City or Village Highway Agency",'Full Crash Data'!$BD:$BD,"Yes"))))))</f>
        <v>2</v>
      </c>
      <c r="I62" s="272">
        <f t="shared" si="257"/>
        <v>0.04</v>
      </c>
      <c r="J62" s="298">
        <f>IF($B$2="All",COUNTIFS('Full Crash Data'!$C:$C,J$29,'Full Crash Data'!$BD:$BD,"Yes"),IF($B$2="State Highway Agency",COUNTIFS('Full Crash Data'!$C:$C,J$29,'Full Crash Data'!$AN:$AN,"State Highway Agency",'Full Crash Data'!$BD:$BD,"Yes"),IF($B$2="County Highway Agency",COUNTIFS('Full Crash Data'!$C:$C,J$29,'Full Crash Data'!$AN:$AN,"County Highway Agency",'Full Crash Data'!$BD:$BD,"Yes"),IF($B$2="Township Highway Agency",COUNTIFS('Full Crash Data'!$C:$C,J$29,'Full Crash Data'!$AN:$AN,"Township Highway Agency",'Full Crash Data'!$BD:$BD,"Yes"),IF($B$2="City or Village Highway Agency",COUNTIFS('Full Crash Data'!$C:$C,J$29,'Full Crash Data'!$AN:$AN,"City or Village Highway Agency",'Full Crash Data'!$BD:$BD,"Yes"))))))</f>
        <v>7</v>
      </c>
      <c r="K62" s="272">
        <f t="shared" ref="K62" si="294">IFERROR(ROUND(J62/J$56,2),0)</f>
        <v>0.09</v>
      </c>
      <c r="L62" s="298">
        <f>IF($B$2="All",COUNTIFS('Full Crash Data'!$C:$C,L$29,'Full Crash Data'!$BD:$BD,"Yes"),IF($B$2="State Highway Agency",COUNTIFS('Full Crash Data'!$C:$C,L$29,'Full Crash Data'!$AN:$AN,"State Highway Agency",'Full Crash Data'!$BD:$BD,"Yes"),IF($B$2="County Highway Agency",COUNTIFS('Full Crash Data'!$C:$C,L$29,'Full Crash Data'!$AN:$AN,"County Highway Agency",'Full Crash Data'!$BD:$BD,"Yes"),IF($B$2="Township Highway Agency",COUNTIFS('Full Crash Data'!$C:$C,L$29,'Full Crash Data'!$AN:$AN,"Township Highway Agency",'Full Crash Data'!$BD:$BD,"Yes"),IF($B$2="City or Village Highway Agency",COUNTIFS('Full Crash Data'!$C:$C,L$29,'Full Crash Data'!$AN:$AN,"City or Village Highway Agency",'Full Crash Data'!$BD:$BD,"Yes"))))))</f>
        <v>0</v>
      </c>
      <c r="M62" s="272">
        <f t="shared" ref="M62" si="295">IFERROR(ROUND(L62/L$56,2),0)</f>
        <v>0</v>
      </c>
      <c r="N62" s="298">
        <f>IF($B$2="All",COUNTIFS('Full Crash Data'!$C:$C,N$29,'Full Crash Data'!$BD:$BD,"Yes"),IF($B$2="State Highway Agency",COUNTIFS('Full Crash Data'!$C:$C,N$29,'Full Crash Data'!$AN:$AN,"State Highway Agency",'Full Crash Data'!$BD:$BD,"Yes"),IF($B$2="County Highway Agency",COUNTIFS('Full Crash Data'!$C:$C,N$29,'Full Crash Data'!$AN:$AN,"County Highway Agency",'Full Crash Data'!$BD:$BD,"Yes"),IF($B$2="Township Highway Agency",COUNTIFS('Full Crash Data'!$C:$C,N$29,'Full Crash Data'!$AN:$AN,"Township Highway Agency",'Full Crash Data'!$BD:$BD,"Yes"),IF($B$2="City or Village Highway Agency",COUNTIFS('Full Crash Data'!$C:$C,N$29,'Full Crash Data'!$AN:$AN,"City or Village Highway Agency",'Full Crash Data'!$BD:$BD,"Yes"))))))</f>
        <v>0</v>
      </c>
      <c r="O62" s="272">
        <f t="shared" ref="O62" si="296">IFERROR(ROUND(N62/N$56,2),0)</f>
        <v>0</v>
      </c>
      <c r="P62" s="298">
        <f>IF($B$2="All",COUNTIFS('Full Crash Data'!$C:$C,P$29,'Full Crash Data'!$BD:$BD,"Yes"),IF($B$2="State Highway Agency",COUNTIFS('Full Crash Data'!$C:$C,P$29,'Full Crash Data'!$AN:$AN,"State Highway Agency",'Full Crash Data'!$BD:$BD,"Yes"),IF($B$2="County Highway Agency",COUNTIFS('Full Crash Data'!$C:$C,P$29,'Full Crash Data'!$AN:$AN,"County Highway Agency",'Full Crash Data'!$BD:$BD,"Yes"),IF($B$2="Township Highway Agency",COUNTIFS('Full Crash Data'!$C:$C,P$29,'Full Crash Data'!$AN:$AN,"Township Highway Agency",'Full Crash Data'!$BD:$BD,"Yes"),IF($B$2="City or Village Highway Agency",COUNTIFS('Full Crash Data'!$C:$C,P$29,'Full Crash Data'!$AN:$AN,"City or Village Highway Agency",'Full Crash Data'!$BD:$BD,"Yes"))))))</f>
        <v>0</v>
      </c>
      <c r="Q62" s="272">
        <f t="shared" ref="Q62" si="297">IFERROR(ROUND(P62/P$56,2),0)</f>
        <v>0</v>
      </c>
      <c r="R62" s="298">
        <f>IF($B$2="All",COUNTIFS('Full Crash Data'!$C:$C,R$29,'Full Crash Data'!$BD:$BD,"Yes"),IF($B$2="State Highway Agency",COUNTIFS('Full Crash Data'!$C:$C,R$29,'Full Crash Data'!$AN:$AN,"State Highway Agency",'Full Crash Data'!$BD:$BD,"Yes"),IF($B$2="County Highway Agency",COUNTIFS('Full Crash Data'!$C:$C,R$29,'Full Crash Data'!$AN:$AN,"County Highway Agency",'Full Crash Data'!$BD:$BD,"Yes"),IF($B$2="Township Highway Agency",COUNTIFS('Full Crash Data'!$C:$C,R$29,'Full Crash Data'!$AN:$AN,"Township Highway Agency",'Full Crash Data'!$BD:$BD,"Yes"),IF($B$2="City or Village Highway Agency",COUNTIFS('Full Crash Data'!$C:$C,R$29,'Full Crash Data'!$AN:$AN,"City or Village Highway Agency",'Full Crash Data'!$BD:$BD,"Yes"))))))</f>
        <v>0</v>
      </c>
      <c r="S62" s="272">
        <f t="shared" ref="S62" si="298">IFERROR(ROUND(R62/R$56,2),0)</f>
        <v>0</v>
      </c>
      <c r="T62" s="298">
        <f>IF($B$2="All",COUNTIFS('Full Crash Data'!$C:$C,T$29,'Full Crash Data'!$BD:$BD,"Yes"),IF($B$2="State Highway Agency",COUNTIFS('Full Crash Data'!$C:$C,T$29,'Full Crash Data'!$AN:$AN,"State Highway Agency",'Full Crash Data'!$BD:$BD,"Yes"),IF($B$2="County Highway Agency",COUNTIFS('Full Crash Data'!$C:$C,T$29,'Full Crash Data'!$AN:$AN,"County Highway Agency",'Full Crash Data'!$BD:$BD,"Yes"),IF($B$2="Township Highway Agency",COUNTIFS('Full Crash Data'!$C:$C,T$29,'Full Crash Data'!$AN:$AN,"Township Highway Agency",'Full Crash Data'!$BD:$BD,"Yes"),IF($B$2="City or Village Highway Agency",COUNTIFS('Full Crash Data'!$C:$C,T$29,'Full Crash Data'!$AN:$AN,"City or Village Highway Agency",'Full Crash Data'!$BD:$BD,"Yes"))))))</f>
        <v>0</v>
      </c>
      <c r="U62" s="272">
        <f t="shared" ref="U62" si="299">IFERROR(ROUND(T62/T$56,2),0)</f>
        <v>0</v>
      </c>
      <c r="V62" s="298">
        <f>IF($B$2="All",COUNTIFS('Full Crash Data'!$C:$C,V$29,'Full Crash Data'!$BD:$BD,"Yes"),IF($B$2="State Highway Agency",COUNTIFS('Full Crash Data'!$C:$C,V$29,'Full Crash Data'!$AN:$AN,"State Highway Agency",'Full Crash Data'!$BD:$BD,"Yes"),IF($B$2="County Highway Agency",COUNTIFS('Full Crash Data'!$C:$C,V$29,'Full Crash Data'!$AN:$AN,"County Highway Agency",'Full Crash Data'!$BD:$BD,"Yes"),IF($B$2="Township Highway Agency",COUNTIFS('Full Crash Data'!$C:$C,V$29,'Full Crash Data'!$AN:$AN,"Township Highway Agency",'Full Crash Data'!$BD:$BD,"Yes"),IF($B$2="City or Village Highway Agency",COUNTIFS('Full Crash Data'!$C:$C,V$29,'Full Crash Data'!$AN:$AN,"City or Village Highway Agency",'Full Crash Data'!$BD:$BD,"Yes"))))))</f>
        <v>0</v>
      </c>
      <c r="W62" s="272">
        <f t="shared" ref="W62" si="300">IFERROR(ROUND(V62/V$56,2),0)</f>
        <v>0</v>
      </c>
    </row>
    <row r="63" spans="1:23" x14ac:dyDescent="0.2">
      <c r="A63" s="294" t="s">
        <v>5991</v>
      </c>
      <c r="B63" s="295">
        <f>IF($B$2="All",COUNTIFS('Full Crash Data'!$C:$C,B$29,'Full Crash Data'!$BF:$BF,"Yes"),IF($B$2="State Highway Agency",COUNTIFS('Full Crash Data'!$C:$C,B$29,'Full Crash Data'!$AN:$AN,"State Highway Agency",'Full Crash Data'!$BF:$BF,"Yes"),IF($B$2="County Highway Agency",COUNTIFS('Full Crash Data'!$C:$C,B$29,'Full Crash Data'!$AN:$AN,"County Highway Agency",'Full Crash Data'!$BF:$BF,"Yes"),IF($B$2="Township Highway Agency",COUNTIFS('Full Crash Data'!$C:$C,B$29,'Full Crash Data'!$AN:$AN,"Township Highway Agency",'Full Crash Data'!$BF:$BF,"Yes"),IF($B$2="City or Village Highway Agency",COUNTIFS('Full Crash Data'!$C:$C,B$29,'Full Crash Data'!$AN:$AN,"City or Village Highway Agency",'Full Crash Data'!$BF:$BF,"Yes"))))))</f>
        <v>9</v>
      </c>
      <c r="C63" s="272">
        <f t="shared" si="265"/>
        <v>0.24</v>
      </c>
      <c r="D63" s="295">
        <f>IF($B$2="All",COUNTIFS('Full Crash Data'!$C:$C,D$29,'Full Crash Data'!$BF:$BF,"Yes"),IF($B$2="State Highway Agency",COUNTIFS('Full Crash Data'!$C:$C,D$29,'Full Crash Data'!$AN:$AN,"State Highway Agency",'Full Crash Data'!$BF:$BF,"Yes"),IF($B$2="County Highway Agency",COUNTIFS('Full Crash Data'!$C:$C,D$29,'Full Crash Data'!$AN:$AN,"County Highway Agency",'Full Crash Data'!$BF:$BF,"Yes"),IF($B$2="Township Highway Agency",COUNTIFS('Full Crash Data'!$C:$C,D$29,'Full Crash Data'!$AN:$AN,"Township Highway Agency",'Full Crash Data'!$BF:$BF,"Yes"),IF($B$2="City or Village Highway Agency",COUNTIFS('Full Crash Data'!$C:$C,D$29,'Full Crash Data'!$AN:$AN,"City or Village Highway Agency",'Full Crash Data'!$BF:$BF,"Yes"))))))</f>
        <v>21</v>
      </c>
      <c r="E63" s="272">
        <f t="shared" si="256"/>
        <v>0.3</v>
      </c>
      <c r="F63" s="295">
        <f>IF($B$2="All",COUNTIFS('Full Crash Data'!$C:$C,F$29,'Full Crash Data'!$BF:$BF,"Yes"),IF($B$2="State Highway Agency",COUNTIFS('Full Crash Data'!$C:$C,F$29,'Full Crash Data'!$AN:$AN,"State Highway Agency",'Full Crash Data'!$BF:$BF,"Yes"),IF($B$2="County Highway Agency",COUNTIFS('Full Crash Data'!$C:$C,F$29,'Full Crash Data'!$AN:$AN,"County Highway Agency",'Full Crash Data'!$BF:$BF,"Yes"),IF($B$2="Township Highway Agency",COUNTIFS('Full Crash Data'!$C:$C,F$29,'Full Crash Data'!$AN:$AN,"Township Highway Agency",'Full Crash Data'!$BF:$BF,"Yes"),IF($B$2="City or Village Highway Agency",COUNTIFS('Full Crash Data'!$C:$C,F$29,'Full Crash Data'!$AN:$AN,"City or Village Highway Agency",'Full Crash Data'!$BF:$BF,"Yes"))))))</f>
        <v>26</v>
      </c>
      <c r="G63" s="272">
        <f t="shared" si="257"/>
        <v>0.41</v>
      </c>
      <c r="H63" s="295">
        <f>IF($B$2="All",COUNTIFS('Full Crash Data'!$C:$C,H$29,'Full Crash Data'!$BF:$BF,"Yes"),IF($B$2="State Highway Agency",COUNTIFS('Full Crash Data'!$C:$C,H$29,'Full Crash Data'!$AN:$AN,"State Highway Agency",'Full Crash Data'!$BF:$BF,"Yes"),IF($B$2="County Highway Agency",COUNTIFS('Full Crash Data'!$C:$C,H$29,'Full Crash Data'!$AN:$AN,"County Highway Agency",'Full Crash Data'!$BF:$BF,"Yes"),IF($B$2="Township Highway Agency",COUNTIFS('Full Crash Data'!$C:$C,H$29,'Full Crash Data'!$AN:$AN,"Township Highway Agency",'Full Crash Data'!$BF:$BF,"Yes"),IF($B$2="City or Village Highway Agency",COUNTIFS('Full Crash Data'!$C:$C,H$29,'Full Crash Data'!$AN:$AN,"City or Village Highway Agency",'Full Crash Data'!$BF:$BF,"Yes"))))))</f>
        <v>19</v>
      </c>
      <c r="I63" s="272">
        <f t="shared" si="257"/>
        <v>0.33</v>
      </c>
      <c r="J63" s="295">
        <f>IF($B$2="All",COUNTIFS('Full Crash Data'!$C:$C,J$29,'Full Crash Data'!$BF:$BF,"Yes"),IF($B$2="State Highway Agency",COUNTIFS('Full Crash Data'!$C:$C,J$29,'Full Crash Data'!$AN:$AN,"State Highway Agency",'Full Crash Data'!$BF:$BF,"Yes"),IF($B$2="County Highway Agency",COUNTIFS('Full Crash Data'!$C:$C,J$29,'Full Crash Data'!$AN:$AN,"County Highway Agency",'Full Crash Data'!$BF:$BF,"Yes"),IF($B$2="Township Highway Agency",COUNTIFS('Full Crash Data'!$C:$C,J$29,'Full Crash Data'!$AN:$AN,"Township Highway Agency",'Full Crash Data'!$BF:$BF,"Yes"),IF($B$2="City or Village Highway Agency",COUNTIFS('Full Crash Data'!$C:$C,J$29,'Full Crash Data'!$AN:$AN,"City or Village Highway Agency",'Full Crash Data'!$BF:$BF,"Yes"))))))</f>
        <v>27</v>
      </c>
      <c r="K63" s="272">
        <f t="shared" ref="K63" si="301">IFERROR(ROUND(J63/J$56,2),0)</f>
        <v>0.34</v>
      </c>
      <c r="L63" s="295">
        <f>IF($B$2="All",COUNTIFS('Full Crash Data'!$C:$C,L$29,'Full Crash Data'!$BF:$BF,"Yes"),IF($B$2="State Highway Agency",COUNTIFS('Full Crash Data'!$C:$C,L$29,'Full Crash Data'!$AN:$AN,"State Highway Agency",'Full Crash Data'!$BF:$BF,"Yes"),IF($B$2="County Highway Agency",COUNTIFS('Full Crash Data'!$C:$C,L$29,'Full Crash Data'!$AN:$AN,"County Highway Agency",'Full Crash Data'!$BF:$BF,"Yes"),IF($B$2="Township Highway Agency",COUNTIFS('Full Crash Data'!$C:$C,L$29,'Full Crash Data'!$AN:$AN,"Township Highway Agency",'Full Crash Data'!$BF:$BF,"Yes"),IF($B$2="City or Village Highway Agency",COUNTIFS('Full Crash Data'!$C:$C,L$29,'Full Crash Data'!$AN:$AN,"City or Village Highway Agency",'Full Crash Data'!$BF:$BF,"Yes"))))))</f>
        <v>0</v>
      </c>
      <c r="M63" s="272">
        <f t="shared" ref="M63" si="302">IFERROR(ROUND(L63/L$56,2),0)</f>
        <v>0</v>
      </c>
      <c r="N63" s="295">
        <f>IF($B$2="All",COUNTIFS('Full Crash Data'!$C:$C,N$29,'Full Crash Data'!$BF:$BF,"Yes"),IF($B$2="State Highway Agency",COUNTIFS('Full Crash Data'!$C:$C,N$29,'Full Crash Data'!$AN:$AN,"State Highway Agency",'Full Crash Data'!$BF:$BF,"Yes"),IF($B$2="County Highway Agency",COUNTIFS('Full Crash Data'!$C:$C,N$29,'Full Crash Data'!$AN:$AN,"County Highway Agency",'Full Crash Data'!$BF:$BF,"Yes"),IF($B$2="Township Highway Agency",COUNTIFS('Full Crash Data'!$C:$C,N$29,'Full Crash Data'!$AN:$AN,"Township Highway Agency",'Full Crash Data'!$BF:$BF,"Yes"),IF($B$2="City or Village Highway Agency",COUNTIFS('Full Crash Data'!$C:$C,N$29,'Full Crash Data'!$AN:$AN,"City or Village Highway Agency",'Full Crash Data'!$BF:$BF,"Yes"))))))</f>
        <v>0</v>
      </c>
      <c r="O63" s="272">
        <f t="shared" ref="O63" si="303">IFERROR(ROUND(N63/N$56,2),0)</f>
        <v>0</v>
      </c>
      <c r="P63" s="295">
        <f>IF($B$2="All",COUNTIFS('Full Crash Data'!$C:$C,P$29,'Full Crash Data'!$BF:$BF,"Yes"),IF($B$2="State Highway Agency",COUNTIFS('Full Crash Data'!$C:$C,P$29,'Full Crash Data'!$AN:$AN,"State Highway Agency",'Full Crash Data'!$BF:$BF,"Yes"),IF($B$2="County Highway Agency",COUNTIFS('Full Crash Data'!$C:$C,P$29,'Full Crash Data'!$AN:$AN,"County Highway Agency",'Full Crash Data'!$BF:$BF,"Yes"),IF($B$2="Township Highway Agency",COUNTIFS('Full Crash Data'!$C:$C,P$29,'Full Crash Data'!$AN:$AN,"Township Highway Agency",'Full Crash Data'!$BF:$BF,"Yes"),IF($B$2="City or Village Highway Agency",COUNTIFS('Full Crash Data'!$C:$C,P$29,'Full Crash Data'!$AN:$AN,"City or Village Highway Agency",'Full Crash Data'!$BF:$BF,"Yes"))))))</f>
        <v>0</v>
      </c>
      <c r="Q63" s="272">
        <f t="shared" ref="Q63" si="304">IFERROR(ROUND(P63/P$56,2),0)</f>
        <v>0</v>
      </c>
      <c r="R63" s="295">
        <f>IF($B$2="All",COUNTIFS('Full Crash Data'!$C:$C,R$29,'Full Crash Data'!$BF:$BF,"Yes"),IF($B$2="State Highway Agency",COUNTIFS('Full Crash Data'!$C:$C,R$29,'Full Crash Data'!$AN:$AN,"State Highway Agency",'Full Crash Data'!$BF:$BF,"Yes"),IF($B$2="County Highway Agency",COUNTIFS('Full Crash Data'!$C:$C,R$29,'Full Crash Data'!$AN:$AN,"County Highway Agency",'Full Crash Data'!$BF:$BF,"Yes"),IF($B$2="Township Highway Agency",COUNTIFS('Full Crash Data'!$C:$C,R$29,'Full Crash Data'!$AN:$AN,"Township Highway Agency",'Full Crash Data'!$BF:$BF,"Yes"),IF($B$2="City or Village Highway Agency",COUNTIFS('Full Crash Data'!$C:$C,R$29,'Full Crash Data'!$AN:$AN,"City or Village Highway Agency",'Full Crash Data'!$BF:$BF,"Yes"))))))</f>
        <v>0</v>
      </c>
      <c r="S63" s="272">
        <f t="shared" ref="S63" si="305">IFERROR(ROUND(R63/R$56,2),0)</f>
        <v>0</v>
      </c>
      <c r="T63" s="295">
        <f>IF($B$2="All",COUNTIFS('Full Crash Data'!$C:$C,T$29,'Full Crash Data'!$BF:$BF,"Yes"),IF($B$2="State Highway Agency",COUNTIFS('Full Crash Data'!$C:$C,T$29,'Full Crash Data'!$AN:$AN,"State Highway Agency",'Full Crash Data'!$BF:$BF,"Yes"),IF($B$2="County Highway Agency",COUNTIFS('Full Crash Data'!$C:$C,T$29,'Full Crash Data'!$AN:$AN,"County Highway Agency",'Full Crash Data'!$BF:$BF,"Yes"),IF($B$2="Township Highway Agency",COUNTIFS('Full Crash Data'!$C:$C,T$29,'Full Crash Data'!$AN:$AN,"Township Highway Agency",'Full Crash Data'!$BF:$BF,"Yes"),IF($B$2="City or Village Highway Agency",COUNTIFS('Full Crash Data'!$C:$C,T$29,'Full Crash Data'!$AN:$AN,"City or Village Highway Agency",'Full Crash Data'!$BF:$BF,"Yes"))))))</f>
        <v>0</v>
      </c>
      <c r="U63" s="272">
        <f t="shared" ref="U63" si="306">IFERROR(ROUND(T63/T$56,2),0)</f>
        <v>0</v>
      </c>
      <c r="V63" s="295">
        <f>IF($B$2="All",COUNTIFS('Full Crash Data'!$C:$C,V$29,'Full Crash Data'!$BF:$BF,"Yes"),IF($B$2="State Highway Agency",COUNTIFS('Full Crash Data'!$C:$C,V$29,'Full Crash Data'!$AN:$AN,"State Highway Agency",'Full Crash Data'!$BF:$BF,"Yes"),IF($B$2="County Highway Agency",COUNTIFS('Full Crash Data'!$C:$C,V$29,'Full Crash Data'!$AN:$AN,"County Highway Agency",'Full Crash Data'!$BF:$BF,"Yes"),IF($B$2="Township Highway Agency",COUNTIFS('Full Crash Data'!$C:$C,V$29,'Full Crash Data'!$AN:$AN,"Township Highway Agency",'Full Crash Data'!$BF:$BF,"Yes"),IF($B$2="City or Village Highway Agency",COUNTIFS('Full Crash Data'!$C:$C,V$29,'Full Crash Data'!$AN:$AN,"City or Village Highway Agency",'Full Crash Data'!$BF:$BF,"Yes"))))))</f>
        <v>0</v>
      </c>
      <c r="W63" s="272">
        <f t="shared" ref="W63" si="307">IFERROR(ROUND(V63/V$56,2),0)</f>
        <v>0</v>
      </c>
    </row>
    <row r="64" spans="1:23" x14ac:dyDescent="0.2">
      <c r="A64" s="294" t="s">
        <v>5999</v>
      </c>
      <c r="B64" s="295">
        <f>IF($B$2="All",COUNTIFS('Full Crash Data'!$C:$C,B$29,'Full Crash Data'!$BE:$BE,"Yes"),IF($B$2="State Highway Agency",COUNTIFS('Full Crash Data'!$C:$C,B$29,'Full Crash Data'!$AN:$AN,"State Highway Agency",'Full Crash Data'!$BE:$BE,"Yes"),IF($B$2="County Highway Agency",COUNTIFS('Full Crash Data'!$C:$C,B$29,'Full Crash Data'!$AN:$AN,"County Highway Agency",'Full Crash Data'!$BE:$BE,"Yes"),IF($B$2="Township Highway Agency",COUNTIFS('Full Crash Data'!$C:$C,B$29,'Full Crash Data'!$AN:$AN,"Township Highway Agency",'Full Crash Data'!$BE:$BE,"Yes"),IF($B$2="City or Village Highway Agency",COUNTIFS('Full Crash Data'!$C:$C,B$29,'Full Crash Data'!$AN:$AN,"City or Village Highway Agency",'Full Crash Data'!$BE:$BE,"Yes"))))))</f>
        <v>5</v>
      </c>
      <c r="C64" s="272">
        <f t="shared" si="265"/>
        <v>0.14000000000000001</v>
      </c>
      <c r="D64" s="295">
        <f>IF($B$2="All",COUNTIFS('Full Crash Data'!$C:$C,D$29,'Full Crash Data'!$BE:$BE,"Yes"),IF($B$2="State Highway Agency",COUNTIFS('Full Crash Data'!$C:$C,D$29,'Full Crash Data'!$AN:$AN,"State Highway Agency",'Full Crash Data'!$BE:$BE,"Yes"),IF($B$2="County Highway Agency",COUNTIFS('Full Crash Data'!$C:$C,D$29,'Full Crash Data'!$AN:$AN,"County Highway Agency",'Full Crash Data'!$BE:$BE,"Yes"),IF($B$2="Township Highway Agency",COUNTIFS('Full Crash Data'!$C:$C,D$29,'Full Crash Data'!$AN:$AN,"Township Highway Agency",'Full Crash Data'!$BE:$BE,"Yes"),IF($B$2="City or Village Highway Agency",COUNTIFS('Full Crash Data'!$C:$C,D$29,'Full Crash Data'!$AN:$AN,"City or Village Highway Agency",'Full Crash Data'!$BE:$BE,"Yes"))))))</f>
        <v>12</v>
      </c>
      <c r="E64" s="272">
        <f t="shared" si="256"/>
        <v>0.17</v>
      </c>
      <c r="F64" s="295">
        <f>IF($B$2="All",COUNTIFS('Full Crash Data'!$C:$C,F$29,'Full Crash Data'!$BE:$BE,"Yes"),IF($B$2="State Highway Agency",COUNTIFS('Full Crash Data'!$C:$C,F$29,'Full Crash Data'!$AN:$AN,"State Highway Agency",'Full Crash Data'!$BE:$BE,"Yes"),IF($B$2="County Highway Agency",COUNTIFS('Full Crash Data'!$C:$C,F$29,'Full Crash Data'!$AN:$AN,"County Highway Agency",'Full Crash Data'!$BE:$BE,"Yes"),IF($B$2="Township Highway Agency",COUNTIFS('Full Crash Data'!$C:$C,F$29,'Full Crash Data'!$AN:$AN,"Township Highway Agency",'Full Crash Data'!$BE:$BE,"Yes"),IF($B$2="City or Village Highway Agency",COUNTIFS('Full Crash Data'!$C:$C,F$29,'Full Crash Data'!$AN:$AN,"City or Village Highway Agency",'Full Crash Data'!$BE:$BE,"Yes"))))))</f>
        <v>8</v>
      </c>
      <c r="G64" s="272">
        <f t="shared" si="257"/>
        <v>0.13</v>
      </c>
      <c r="H64" s="295">
        <f>IF($B$2="All",COUNTIFS('Full Crash Data'!$C:$C,H$29,'Full Crash Data'!$BE:$BE,"Yes"),IF($B$2="State Highway Agency",COUNTIFS('Full Crash Data'!$C:$C,H$29,'Full Crash Data'!$AN:$AN,"State Highway Agency",'Full Crash Data'!$BE:$BE,"Yes"),IF($B$2="County Highway Agency",COUNTIFS('Full Crash Data'!$C:$C,H$29,'Full Crash Data'!$AN:$AN,"County Highway Agency",'Full Crash Data'!$BE:$BE,"Yes"),IF($B$2="Township Highway Agency",COUNTIFS('Full Crash Data'!$C:$C,H$29,'Full Crash Data'!$AN:$AN,"Township Highway Agency",'Full Crash Data'!$BE:$BE,"Yes"),IF($B$2="City or Village Highway Agency",COUNTIFS('Full Crash Data'!$C:$C,H$29,'Full Crash Data'!$AN:$AN,"City or Village Highway Agency",'Full Crash Data'!$BE:$BE,"Yes"))))))</f>
        <v>7</v>
      </c>
      <c r="I64" s="272">
        <f t="shared" si="257"/>
        <v>0.12</v>
      </c>
      <c r="J64" s="295">
        <f>IF($B$2="All",COUNTIFS('Full Crash Data'!$C:$C,J$29,'Full Crash Data'!$BE:$BE,"Yes"),IF($B$2="State Highway Agency",COUNTIFS('Full Crash Data'!$C:$C,J$29,'Full Crash Data'!$AN:$AN,"State Highway Agency",'Full Crash Data'!$BE:$BE,"Yes"),IF($B$2="County Highway Agency",COUNTIFS('Full Crash Data'!$C:$C,J$29,'Full Crash Data'!$AN:$AN,"County Highway Agency",'Full Crash Data'!$BE:$BE,"Yes"),IF($B$2="Township Highway Agency",COUNTIFS('Full Crash Data'!$C:$C,J$29,'Full Crash Data'!$AN:$AN,"Township Highway Agency",'Full Crash Data'!$BE:$BE,"Yes"),IF($B$2="City or Village Highway Agency",COUNTIFS('Full Crash Data'!$C:$C,J$29,'Full Crash Data'!$AN:$AN,"City or Village Highway Agency",'Full Crash Data'!$BE:$BE,"Yes"))))))</f>
        <v>9</v>
      </c>
      <c r="K64" s="272">
        <f t="shared" ref="K64" si="308">IFERROR(ROUND(J64/J$56,2),0)</f>
        <v>0.11</v>
      </c>
      <c r="L64" s="295">
        <f>IF($B$2="All",COUNTIFS('Full Crash Data'!$C:$C,L$29,'Full Crash Data'!$BE:$BE,"Yes"),IF($B$2="State Highway Agency",COUNTIFS('Full Crash Data'!$C:$C,L$29,'Full Crash Data'!$AN:$AN,"State Highway Agency",'Full Crash Data'!$BE:$BE,"Yes"),IF($B$2="County Highway Agency",COUNTIFS('Full Crash Data'!$C:$C,L$29,'Full Crash Data'!$AN:$AN,"County Highway Agency",'Full Crash Data'!$BE:$BE,"Yes"),IF($B$2="Township Highway Agency",COUNTIFS('Full Crash Data'!$C:$C,L$29,'Full Crash Data'!$AN:$AN,"Township Highway Agency",'Full Crash Data'!$BE:$BE,"Yes"),IF($B$2="City or Village Highway Agency",COUNTIFS('Full Crash Data'!$C:$C,L$29,'Full Crash Data'!$AN:$AN,"City or Village Highway Agency",'Full Crash Data'!$BE:$BE,"Yes"))))))</f>
        <v>0</v>
      </c>
      <c r="M64" s="272">
        <f t="shared" ref="M64" si="309">IFERROR(ROUND(L64/L$56,2),0)</f>
        <v>0</v>
      </c>
      <c r="N64" s="295">
        <f>IF($B$2="All",COUNTIFS('Full Crash Data'!$C:$C,N$29,'Full Crash Data'!$BE:$BE,"Yes"),IF($B$2="State Highway Agency",COUNTIFS('Full Crash Data'!$C:$C,N$29,'Full Crash Data'!$AN:$AN,"State Highway Agency",'Full Crash Data'!$BE:$BE,"Yes"),IF($B$2="County Highway Agency",COUNTIFS('Full Crash Data'!$C:$C,N$29,'Full Crash Data'!$AN:$AN,"County Highway Agency",'Full Crash Data'!$BE:$BE,"Yes"),IF($B$2="Township Highway Agency",COUNTIFS('Full Crash Data'!$C:$C,N$29,'Full Crash Data'!$AN:$AN,"Township Highway Agency",'Full Crash Data'!$BE:$BE,"Yes"),IF($B$2="City or Village Highway Agency",COUNTIFS('Full Crash Data'!$C:$C,N$29,'Full Crash Data'!$AN:$AN,"City or Village Highway Agency",'Full Crash Data'!$BE:$BE,"Yes"))))))</f>
        <v>0</v>
      </c>
      <c r="O64" s="272">
        <f t="shared" ref="O64" si="310">IFERROR(ROUND(N64/N$56,2),0)</f>
        <v>0</v>
      </c>
      <c r="P64" s="295">
        <f>IF($B$2="All",COUNTIFS('Full Crash Data'!$C:$C,P$29,'Full Crash Data'!$BE:$BE,"Yes"),IF($B$2="State Highway Agency",COUNTIFS('Full Crash Data'!$C:$C,P$29,'Full Crash Data'!$AN:$AN,"State Highway Agency",'Full Crash Data'!$BE:$BE,"Yes"),IF($B$2="County Highway Agency",COUNTIFS('Full Crash Data'!$C:$C,P$29,'Full Crash Data'!$AN:$AN,"County Highway Agency",'Full Crash Data'!$BE:$BE,"Yes"),IF($B$2="Township Highway Agency",COUNTIFS('Full Crash Data'!$C:$C,P$29,'Full Crash Data'!$AN:$AN,"Township Highway Agency",'Full Crash Data'!$BE:$BE,"Yes"),IF($B$2="City or Village Highway Agency",COUNTIFS('Full Crash Data'!$C:$C,P$29,'Full Crash Data'!$AN:$AN,"City or Village Highway Agency",'Full Crash Data'!$BE:$BE,"Yes"))))))</f>
        <v>0</v>
      </c>
      <c r="Q64" s="272">
        <f t="shared" ref="Q64" si="311">IFERROR(ROUND(P64/P$56,2),0)</f>
        <v>0</v>
      </c>
      <c r="R64" s="295">
        <f>IF($B$2="All",COUNTIFS('Full Crash Data'!$C:$C,R$29,'Full Crash Data'!$BE:$BE,"Yes"),IF($B$2="State Highway Agency",COUNTIFS('Full Crash Data'!$C:$C,R$29,'Full Crash Data'!$AN:$AN,"State Highway Agency",'Full Crash Data'!$BE:$BE,"Yes"),IF($B$2="County Highway Agency",COUNTIFS('Full Crash Data'!$C:$C,R$29,'Full Crash Data'!$AN:$AN,"County Highway Agency",'Full Crash Data'!$BE:$BE,"Yes"),IF($B$2="Township Highway Agency",COUNTIFS('Full Crash Data'!$C:$C,R$29,'Full Crash Data'!$AN:$AN,"Township Highway Agency",'Full Crash Data'!$BE:$BE,"Yes"),IF($B$2="City or Village Highway Agency",COUNTIFS('Full Crash Data'!$C:$C,R$29,'Full Crash Data'!$AN:$AN,"City or Village Highway Agency",'Full Crash Data'!$BE:$BE,"Yes"))))))</f>
        <v>0</v>
      </c>
      <c r="S64" s="272">
        <f t="shared" ref="S64" si="312">IFERROR(ROUND(R64/R$56,2),0)</f>
        <v>0</v>
      </c>
      <c r="T64" s="295">
        <f>IF($B$2="All",COUNTIFS('Full Crash Data'!$C:$C,T$29,'Full Crash Data'!$BE:$BE,"Yes"),IF($B$2="State Highway Agency",COUNTIFS('Full Crash Data'!$C:$C,T$29,'Full Crash Data'!$AN:$AN,"State Highway Agency",'Full Crash Data'!$BE:$BE,"Yes"),IF($B$2="County Highway Agency",COUNTIFS('Full Crash Data'!$C:$C,T$29,'Full Crash Data'!$AN:$AN,"County Highway Agency",'Full Crash Data'!$BE:$BE,"Yes"),IF($B$2="Township Highway Agency",COUNTIFS('Full Crash Data'!$C:$C,T$29,'Full Crash Data'!$AN:$AN,"Township Highway Agency",'Full Crash Data'!$BE:$BE,"Yes"),IF($B$2="City or Village Highway Agency",COUNTIFS('Full Crash Data'!$C:$C,T$29,'Full Crash Data'!$AN:$AN,"City or Village Highway Agency",'Full Crash Data'!$BE:$BE,"Yes"))))))</f>
        <v>0</v>
      </c>
      <c r="U64" s="272">
        <f t="shared" ref="U64" si="313">IFERROR(ROUND(T64/T$56,2),0)</f>
        <v>0</v>
      </c>
      <c r="V64" s="295">
        <f>IF($B$2="All",COUNTIFS('Full Crash Data'!$C:$C,V$29,'Full Crash Data'!$BE:$BE,"Yes"),IF($B$2="State Highway Agency",COUNTIFS('Full Crash Data'!$C:$C,V$29,'Full Crash Data'!$AN:$AN,"State Highway Agency",'Full Crash Data'!$BE:$BE,"Yes"),IF($B$2="County Highway Agency",COUNTIFS('Full Crash Data'!$C:$C,V$29,'Full Crash Data'!$AN:$AN,"County Highway Agency",'Full Crash Data'!$BE:$BE,"Yes"),IF($B$2="Township Highway Agency",COUNTIFS('Full Crash Data'!$C:$C,V$29,'Full Crash Data'!$AN:$AN,"Township Highway Agency",'Full Crash Data'!$BE:$BE,"Yes"),IF($B$2="City or Village Highway Agency",COUNTIFS('Full Crash Data'!$C:$C,V$29,'Full Crash Data'!$AN:$AN,"City or Village Highway Agency",'Full Crash Data'!$BE:$BE,"Yes"))))))</f>
        <v>0</v>
      </c>
      <c r="W64" s="272">
        <f t="shared" ref="W64" si="314">IFERROR(ROUND(V64/V$56,2),0)</f>
        <v>0</v>
      </c>
    </row>
    <row r="65" spans="1:23" x14ac:dyDescent="0.2">
      <c r="A65" s="296" t="s">
        <v>6000</v>
      </c>
      <c r="B65" s="297">
        <f>IF($B$2="All",COUNTIFS('Full Crash Data'!$C:$C,B$29,'Full Crash Data'!$BJ:$BJ,"Yes"),IF($B$2="State Highway Agency",COUNTIFS('Full Crash Data'!$C:$C,B$29,'Full Crash Data'!$AN:$AN,"State Highway Agency",'Full Crash Data'!$BJ:$BJ,"Yes"),IF($B$2="County Highway Agency",COUNTIFS('Full Crash Data'!$C:$C,B$29,'Full Crash Data'!$AN:$AN,"County Highway Agency",'Full Crash Data'!$BJ:$BJ,"Yes"),IF($B$2="Township Highway Agency",COUNTIFS('Full Crash Data'!$C:$C,B$29,'Full Crash Data'!$AN:$AN,"Township Highway Agency",'Full Crash Data'!$BJ:$BJ,"Yes"),IF($B$2="City or Village Highway Agency",COUNTIFS('Full Crash Data'!$C:$C,B$29,'Full Crash Data'!$AN:$AN,"City or Village Highway Agency",'Full Crash Data'!$BJ:$BJ,"Yes"))))))</f>
        <v>0</v>
      </c>
      <c r="C65" s="272">
        <f t="shared" si="265"/>
        <v>0</v>
      </c>
      <c r="D65" s="297">
        <f>IF($B$2="All",COUNTIFS('Full Crash Data'!$C:$C,D$29,'Full Crash Data'!$BJ:$BJ,"Yes"),IF($B$2="State Highway Agency",COUNTIFS('Full Crash Data'!$C:$C,D$29,'Full Crash Data'!$AN:$AN,"State Highway Agency",'Full Crash Data'!$BJ:$BJ,"Yes"),IF($B$2="County Highway Agency",COUNTIFS('Full Crash Data'!$C:$C,D$29,'Full Crash Data'!$AN:$AN,"County Highway Agency",'Full Crash Data'!$BJ:$BJ,"Yes"),IF($B$2="Township Highway Agency",COUNTIFS('Full Crash Data'!$C:$C,D$29,'Full Crash Data'!$AN:$AN,"Township Highway Agency",'Full Crash Data'!$BJ:$BJ,"Yes"),IF($B$2="City or Village Highway Agency",COUNTIFS('Full Crash Data'!$C:$C,D$29,'Full Crash Data'!$AN:$AN,"City or Village Highway Agency",'Full Crash Data'!$BJ:$BJ,"Yes"))))))</f>
        <v>1</v>
      </c>
      <c r="E65" s="272">
        <f t="shared" si="256"/>
        <v>0.01</v>
      </c>
      <c r="F65" s="297">
        <f>IF($B$2="All",COUNTIFS('Full Crash Data'!$C:$C,F$29,'Full Crash Data'!$BJ:$BJ,"Yes"),IF($B$2="State Highway Agency",COUNTIFS('Full Crash Data'!$C:$C,F$29,'Full Crash Data'!$AN:$AN,"State Highway Agency",'Full Crash Data'!$BJ:$BJ,"Yes"),IF($B$2="County Highway Agency",COUNTIFS('Full Crash Data'!$C:$C,F$29,'Full Crash Data'!$AN:$AN,"County Highway Agency",'Full Crash Data'!$BJ:$BJ,"Yes"),IF($B$2="Township Highway Agency",COUNTIFS('Full Crash Data'!$C:$C,F$29,'Full Crash Data'!$AN:$AN,"Township Highway Agency",'Full Crash Data'!$BJ:$BJ,"Yes"),IF($B$2="City or Village Highway Agency",COUNTIFS('Full Crash Data'!$C:$C,F$29,'Full Crash Data'!$AN:$AN,"City or Village Highway Agency",'Full Crash Data'!$BJ:$BJ,"Yes"))))))</f>
        <v>3</v>
      </c>
      <c r="G65" s="272">
        <f t="shared" si="257"/>
        <v>0.05</v>
      </c>
      <c r="H65" s="297">
        <f>IF($B$2="All",COUNTIFS('Full Crash Data'!$C:$C,H$29,'Full Crash Data'!$BJ:$BJ,"Yes"),IF($B$2="State Highway Agency",COUNTIFS('Full Crash Data'!$C:$C,H$29,'Full Crash Data'!$AN:$AN,"State Highway Agency",'Full Crash Data'!$BJ:$BJ,"Yes"),IF($B$2="County Highway Agency",COUNTIFS('Full Crash Data'!$C:$C,H$29,'Full Crash Data'!$AN:$AN,"County Highway Agency",'Full Crash Data'!$BJ:$BJ,"Yes"),IF($B$2="Township Highway Agency",COUNTIFS('Full Crash Data'!$C:$C,H$29,'Full Crash Data'!$AN:$AN,"Township Highway Agency",'Full Crash Data'!$BJ:$BJ,"Yes"),IF($B$2="City or Village Highway Agency",COUNTIFS('Full Crash Data'!$C:$C,H$29,'Full Crash Data'!$AN:$AN,"City or Village Highway Agency",'Full Crash Data'!$BJ:$BJ,"Yes"))))))</f>
        <v>2</v>
      </c>
      <c r="I65" s="272">
        <f t="shared" si="257"/>
        <v>0.04</v>
      </c>
      <c r="J65" s="297">
        <f>IF($B$2="All",COUNTIFS('Full Crash Data'!$C:$C,J$29,'Full Crash Data'!$BJ:$BJ,"Yes"),IF($B$2="State Highway Agency",COUNTIFS('Full Crash Data'!$C:$C,J$29,'Full Crash Data'!$AN:$AN,"State Highway Agency",'Full Crash Data'!$BJ:$BJ,"Yes"),IF($B$2="County Highway Agency",COUNTIFS('Full Crash Data'!$C:$C,J$29,'Full Crash Data'!$AN:$AN,"County Highway Agency",'Full Crash Data'!$BJ:$BJ,"Yes"),IF($B$2="Township Highway Agency",COUNTIFS('Full Crash Data'!$C:$C,J$29,'Full Crash Data'!$AN:$AN,"Township Highway Agency",'Full Crash Data'!$BJ:$BJ,"Yes"),IF($B$2="City or Village Highway Agency",COUNTIFS('Full Crash Data'!$C:$C,J$29,'Full Crash Data'!$AN:$AN,"City or Village Highway Agency",'Full Crash Data'!$BJ:$BJ,"Yes"))))))</f>
        <v>3</v>
      </c>
      <c r="K65" s="272">
        <f t="shared" ref="K65" si="315">IFERROR(ROUND(J65/J$56,2),0)</f>
        <v>0.04</v>
      </c>
      <c r="L65" s="297">
        <f>IF($B$2="All",COUNTIFS('Full Crash Data'!$C:$C,L$29,'Full Crash Data'!$BJ:$BJ,"Yes"),IF($B$2="State Highway Agency",COUNTIFS('Full Crash Data'!$C:$C,L$29,'Full Crash Data'!$AN:$AN,"State Highway Agency",'Full Crash Data'!$BJ:$BJ,"Yes"),IF($B$2="County Highway Agency",COUNTIFS('Full Crash Data'!$C:$C,L$29,'Full Crash Data'!$AN:$AN,"County Highway Agency",'Full Crash Data'!$BJ:$BJ,"Yes"),IF($B$2="Township Highway Agency",COUNTIFS('Full Crash Data'!$C:$C,L$29,'Full Crash Data'!$AN:$AN,"Township Highway Agency",'Full Crash Data'!$BJ:$BJ,"Yes"),IF($B$2="City or Village Highway Agency",COUNTIFS('Full Crash Data'!$C:$C,L$29,'Full Crash Data'!$AN:$AN,"City or Village Highway Agency",'Full Crash Data'!$BJ:$BJ,"Yes"))))))</f>
        <v>0</v>
      </c>
      <c r="M65" s="272">
        <f t="shared" ref="M65" si="316">IFERROR(ROUND(L65/L$56,2),0)</f>
        <v>0</v>
      </c>
      <c r="N65" s="297">
        <f>IF($B$2="All",COUNTIFS('Full Crash Data'!$C:$C,N$29,'Full Crash Data'!$BJ:$BJ,"Yes"),IF($B$2="State Highway Agency",COUNTIFS('Full Crash Data'!$C:$C,N$29,'Full Crash Data'!$AN:$AN,"State Highway Agency",'Full Crash Data'!$BJ:$BJ,"Yes"),IF($B$2="County Highway Agency",COUNTIFS('Full Crash Data'!$C:$C,N$29,'Full Crash Data'!$AN:$AN,"County Highway Agency",'Full Crash Data'!$BJ:$BJ,"Yes"),IF($B$2="Township Highway Agency",COUNTIFS('Full Crash Data'!$C:$C,N$29,'Full Crash Data'!$AN:$AN,"Township Highway Agency",'Full Crash Data'!$BJ:$BJ,"Yes"),IF($B$2="City or Village Highway Agency",COUNTIFS('Full Crash Data'!$C:$C,N$29,'Full Crash Data'!$AN:$AN,"City or Village Highway Agency",'Full Crash Data'!$BJ:$BJ,"Yes"))))))</f>
        <v>0</v>
      </c>
      <c r="O65" s="272">
        <f t="shared" ref="O65" si="317">IFERROR(ROUND(N65/N$56,2),0)</f>
        <v>0</v>
      </c>
      <c r="P65" s="297">
        <f>IF($B$2="All",COUNTIFS('Full Crash Data'!$C:$C,P$29,'Full Crash Data'!$BJ:$BJ,"Yes"),IF($B$2="State Highway Agency",COUNTIFS('Full Crash Data'!$C:$C,P$29,'Full Crash Data'!$AN:$AN,"State Highway Agency",'Full Crash Data'!$BJ:$BJ,"Yes"),IF($B$2="County Highway Agency",COUNTIFS('Full Crash Data'!$C:$C,P$29,'Full Crash Data'!$AN:$AN,"County Highway Agency",'Full Crash Data'!$BJ:$BJ,"Yes"),IF($B$2="Township Highway Agency",COUNTIFS('Full Crash Data'!$C:$C,P$29,'Full Crash Data'!$AN:$AN,"Township Highway Agency",'Full Crash Data'!$BJ:$BJ,"Yes"),IF($B$2="City or Village Highway Agency",COUNTIFS('Full Crash Data'!$C:$C,P$29,'Full Crash Data'!$AN:$AN,"City or Village Highway Agency",'Full Crash Data'!$BJ:$BJ,"Yes"))))))</f>
        <v>0</v>
      </c>
      <c r="Q65" s="272">
        <f t="shared" ref="Q65" si="318">IFERROR(ROUND(P65/P$56,2),0)</f>
        <v>0</v>
      </c>
      <c r="R65" s="297">
        <f>IF($B$2="All",COUNTIFS('Full Crash Data'!$C:$C,R$29,'Full Crash Data'!$BJ:$BJ,"Yes"),IF($B$2="State Highway Agency",COUNTIFS('Full Crash Data'!$C:$C,R$29,'Full Crash Data'!$AN:$AN,"State Highway Agency",'Full Crash Data'!$BJ:$BJ,"Yes"),IF($B$2="County Highway Agency",COUNTIFS('Full Crash Data'!$C:$C,R$29,'Full Crash Data'!$AN:$AN,"County Highway Agency",'Full Crash Data'!$BJ:$BJ,"Yes"),IF($B$2="Township Highway Agency",COUNTIFS('Full Crash Data'!$C:$C,R$29,'Full Crash Data'!$AN:$AN,"Township Highway Agency",'Full Crash Data'!$BJ:$BJ,"Yes"),IF($B$2="City or Village Highway Agency",COUNTIFS('Full Crash Data'!$C:$C,R$29,'Full Crash Data'!$AN:$AN,"City or Village Highway Agency",'Full Crash Data'!$BJ:$BJ,"Yes"))))))</f>
        <v>0</v>
      </c>
      <c r="S65" s="272">
        <f t="shared" ref="S65" si="319">IFERROR(ROUND(R65/R$56,2),0)</f>
        <v>0</v>
      </c>
      <c r="T65" s="297">
        <f>IF($B$2="All",COUNTIFS('Full Crash Data'!$C:$C,T$29,'Full Crash Data'!$BJ:$BJ,"Yes"),IF($B$2="State Highway Agency",COUNTIFS('Full Crash Data'!$C:$C,T$29,'Full Crash Data'!$AN:$AN,"State Highway Agency",'Full Crash Data'!$BJ:$BJ,"Yes"),IF($B$2="County Highway Agency",COUNTIFS('Full Crash Data'!$C:$C,T$29,'Full Crash Data'!$AN:$AN,"County Highway Agency",'Full Crash Data'!$BJ:$BJ,"Yes"),IF($B$2="Township Highway Agency",COUNTIFS('Full Crash Data'!$C:$C,T$29,'Full Crash Data'!$AN:$AN,"Township Highway Agency",'Full Crash Data'!$BJ:$BJ,"Yes"),IF($B$2="City or Village Highway Agency",COUNTIFS('Full Crash Data'!$C:$C,T$29,'Full Crash Data'!$AN:$AN,"City or Village Highway Agency",'Full Crash Data'!$BJ:$BJ,"Yes"))))))</f>
        <v>0</v>
      </c>
      <c r="U65" s="272">
        <f t="shared" ref="U65" si="320">IFERROR(ROUND(T65/T$56,2),0)</f>
        <v>0</v>
      </c>
      <c r="V65" s="297">
        <f>IF($B$2="All",COUNTIFS('Full Crash Data'!$C:$C,V$29,'Full Crash Data'!$BJ:$BJ,"Yes"),IF($B$2="State Highway Agency",COUNTIFS('Full Crash Data'!$C:$C,V$29,'Full Crash Data'!$AN:$AN,"State Highway Agency",'Full Crash Data'!$BJ:$BJ,"Yes"),IF($B$2="County Highway Agency",COUNTIFS('Full Crash Data'!$C:$C,V$29,'Full Crash Data'!$AN:$AN,"County Highway Agency",'Full Crash Data'!$BJ:$BJ,"Yes"),IF($B$2="Township Highway Agency",COUNTIFS('Full Crash Data'!$C:$C,V$29,'Full Crash Data'!$AN:$AN,"Township Highway Agency",'Full Crash Data'!$BJ:$BJ,"Yes"),IF($B$2="City or Village Highway Agency",COUNTIFS('Full Crash Data'!$C:$C,V$29,'Full Crash Data'!$AN:$AN,"City or Village Highway Agency",'Full Crash Data'!$BJ:$BJ,"Yes"))))))</f>
        <v>0</v>
      </c>
      <c r="W65" s="272">
        <f t="shared" ref="W65" si="321">IFERROR(ROUND(V65/V$56,2),0)</f>
        <v>0</v>
      </c>
    </row>
    <row r="66" spans="1:23" x14ac:dyDescent="0.2">
      <c r="A66" s="294" t="s">
        <v>5992</v>
      </c>
      <c r="B66" s="295">
        <f>IF($B$2="All",COUNTIFS('Full Crash Data'!$C:$C,B$29,'Full Crash Data'!$BC:$BC,"Yes"),IF($B$2="State Highway Agency",COUNTIFS('Full Crash Data'!$C:$C,B$29,'Full Crash Data'!$AN:$AN,"State Highway Agency",'Full Crash Data'!$BC:$BC,"Yes"),IF($B$2="County Highway Agency",COUNTIFS('Full Crash Data'!$C:$C,B$29,'Full Crash Data'!$AN:$AN,"County Highway Agency",'Full Crash Data'!$BC:$BC,"Yes"),IF($B$2="Township Highway Agency",COUNTIFS('Full Crash Data'!$C:$C,B$29,'Full Crash Data'!$AN:$AN,"Township Highway Agency",'Full Crash Data'!$BC:$BC,"Yes"),IF($B$2="City or Village Highway Agency",COUNTIFS('Full Crash Data'!$C:$C,B$29,'Full Crash Data'!$AN:$AN,"City or Village Highway Agency",'Full Crash Data'!$BC:$BC,"Yes"))))))</f>
        <v>2</v>
      </c>
      <c r="C66" s="272">
        <f t="shared" si="265"/>
        <v>0.05</v>
      </c>
      <c r="D66" s="295">
        <f>IF($B$2="All",COUNTIFS('Full Crash Data'!$C:$C,D$29,'Full Crash Data'!$BC:$BC,"Yes"),IF($B$2="State Highway Agency",COUNTIFS('Full Crash Data'!$C:$C,D$29,'Full Crash Data'!$AN:$AN,"State Highway Agency",'Full Crash Data'!$BC:$BC,"Yes"),IF($B$2="County Highway Agency",COUNTIFS('Full Crash Data'!$C:$C,D$29,'Full Crash Data'!$AN:$AN,"County Highway Agency",'Full Crash Data'!$BC:$BC,"Yes"),IF($B$2="Township Highway Agency",COUNTIFS('Full Crash Data'!$C:$C,D$29,'Full Crash Data'!$AN:$AN,"Township Highway Agency",'Full Crash Data'!$BC:$BC,"Yes"),IF($B$2="City or Village Highway Agency",COUNTIFS('Full Crash Data'!$C:$C,D$29,'Full Crash Data'!$AN:$AN,"City or Village Highway Agency",'Full Crash Data'!$BC:$BC,"Yes"))))))</f>
        <v>0</v>
      </c>
      <c r="E66" s="272">
        <f t="shared" si="256"/>
        <v>0</v>
      </c>
      <c r="F66" s="295">
        <f>IF($B$2="All",COUNTIFS('Full Crash Data'!$C:$C,F$29,'Full Crash Data'!$BC:$BC,"Yes"),IF($B$2="State Highway Agency",COUNTIFS('Full Crash Data'!$C:$C,F$29,'Full Crash Data'!$AN:$AN,"State Highway Agency",'Full Crash Data'!$BC:$BC,"Yes"),IF($B$2="County Highway Agency",COUNTIFS('Full Crash Data'!$C:$C,F$29,'Full Crash Data'!$AN:$AN,"County Highway Agency",'Full Crash Data'!$BC:$BC,"Yes"),IF($B$2="Township Highway Agency",COUNTIFS('Full Crash Data'!$C:$C,F$29,'Full Crash Data'!$AN:$AN,"Township Highway Agency",'Full Crash Data'!$BC:$BC,"Yes"),IF($B$2="City or Village Highway Agency",COUNTIFS('Full Crash Data'!$C:$C,F$29,'Full Crash Data'!$AN:$AN,"City or Village Highway Agency",'Full Crash Data'!$BC:$BC,"Yes"))))))</f>
        <v>1</v>
      </c>
      <c r="G66" s="272">
        <f t="shared" si="257"/>
        <v>0.02</v>
      </c>
      <c r="H66" s="295">
        <f>IF($B$2="All",COUNTIFS('Full Crash Data'!$C:$C,H$29,'Full Crash Data'!$BC:$BC,"Yes"),IF($B$2="State Highway Agency",COUNTIFS('Full Crash Data'!$C:$C,H$29,'Full Crash Data'!$AN:$AN,"State Highway Agency",'Full Crash Data'!$BC:$BC,"Yes"),IF($B$2="County Highway Agency",COUNTIFS('Full Crash Data'!$C:$C,H$29,'Full Crash Data'!$AN:$AN,"County Highway Agency",'Full Crash Data'!$BC:$BC,"Yes"),IF($B$2="Township Highway Agency",COUNTIFS('Full Crash Data'!$C:$C,H$29,'Full Crash Data'!$AN:$AN,"Township Highway Agency",'Full Crash Data'!$BC:$BC,"Yes"),IF($B$2="City or Village Highway Agency",COUNTIFS('Full Crash Data'!$C:$C,H$29,'Full Crash Data'!$AN:$AN,"City or Village Highway Agency",'Full Crash Data'!$BC:$BC,"Yes"))))))</f>
        <v>0</v>
      </c>
      <c r="I66" s="272">
        <f t="shared" si="257"/>
        <v>0</v>
      </c>
      <c r="J66" s="295">
        <f>IF($B$2="All",COUNTIFS('Full Crash Data'!$C:$C,J$29,'Full Crash Data'!$BC:$BC,"Yes"),IF($B$2="State Highway Agency",COUNTIFS('Full Crash Data'!$C:$C,J$29,'Full Crash Data'!$AN:$AN,"State Highway Agency",'Full Crash Data'!$BC:$BC,"Yes"),IF($B$2="County Highway Agency",COUNTIFS('Full Crash Data'!$C:$C,J$29,'Full Crash Data'!$AN:$AN,"County Highway Agency",'Full Crash Data'!$BC:$BC,"Yes"),IF($B$2="Township Highway Agency",COUNTIFS('Full Crash Data'!$C:$C,J$29,'Full Crash Data'!$AN:$AN,"Township Highway Agency",'Full Crash Data'!$BC:$BC,"Yes"),IF($B$2="City or Village Highway Agency",COUNTIFS('Full Crash Data'!$C:$C,J$29,'Full Crash Data'!$AN:$AN,"City or Village Highway Agency",'Full Crash Data'!$BC:$BC,"Yes"))))))</f>
        <v>4</v>
      </c>
      <c r="K66" s="272">
        <f t="shared" ref="K66" si="322">IFERROR(ROUND(J66/J$56,2),0)</f>
        <v>0.05</v>
      </c>
      <c r="L66" s="295">
        <f>IF($B$2="All",COUNTIFS('Full Crash Data'!$C:$C,L$29,'Full Crash Data'!$BC:$BC,"Yes"),IF($B$2="State Highway Agency",COUNTIFS('Full Crash Data'!$C:$C,L$29,'Full Crash Data'!$AN:$AN,"State Highway Agency",'Full Crash Data'!$BC:$BC,"Yes"),IF($B$2="County Highway Agency",COUNTIFS('Full Crash Data'!$C:$C,L$29,'Full Crash Data'!$AN:$AN,"County Highway Agency",'Full Crash Data'!$BC:$BC,"Yes"),IF($B$2="Township Highway Agency",COUNTIFS('Full Crash Data'!$C:$C,L$29,'Full Crash Data'!$AN:$AN,"Township Highway Agency",'Full Crash Data'!$BC:$BC,"Yes"),IF($B$2="City or Village Highway Agency",COUNTIFS('Full Crash Data'!$C:$C,L$29,'Full Crash Data'!$AN:$AN,"City or Village Highway Agency",'Full Crash Data'!$BC:$BC,"Yes"))))))</f>
        <v>0</v>
      </c>
      <c r="M66" s="272">
        <f t="shared" ref="M66" si="323">IFERROR(ROUND(L66/L$56,2),0)</f>
        <v>0</v>
      </c>
      <c r="N66" s="295">
        <f>IF($B$2="All",COUNTIFS('Full Crash Data'!$C:$C,N$29,'Full Crash Data'!$BC:$BC,"Yes"),IF($B$2="State Highway Agency",COUNTIFS('Full Crash Data'!$C:$C,N$29,'Full Crash Data'!$AN:$AN,"State Highway Agency",'Full Crash Data'!$BC:$BC,"Yes"),IF($B$2="County Highway Agency",COUNTIFS('Full Crash Data'!$C:$C,N$29,'Full Crash Data'!$AN:$AN,"County Highway Agency",'Full Crash Data'!$BC:$BC,"Yes"),IF($B$2="Township Highway Agency",COUNTIFS('Full Crash Data'!$C:$C,N$29,'Full Crash Data'!$AN:$AN,"Township Highway Agency",'Full Crash Data'!$BC:$BC,"Yes"),IF($B$2="City or Village Highway Agency",COUNTIFS('Full Crash Data'!$C:$C,N$29,'Full Crash Data'!$AN:$AN,"City or Village Highway Agency",'Full Crash Data'!$BC:$BC,"Yes"))))))</f>
        <v>0</v>
      </c>
      <c r="O66" s="272">
        <f t="shared" ref="O66" si="324">IFERROR(ROUND(N66/N$56,2),0)</f>
        <v>0</v>
      </c>
      <c r="P66" s="295">
        <f>IF($B$2="All",COUNTIFS('Full Crash Data'!$C:$C,P$29,'Full Crash Data'!$BC:$BC,"Yes"),IF($B$2="State Highway Agency",COUNTIFS('Full Crash Data'!$C:$C,P$29,'Full Crash Data'!$AN:$AN,"State Highway Agency",'Full Crash Data'!$BC:$BC,"Yes"),IF($B$2="County Highway Agency",COUNTIFS('Full Crash Data'!$C:$C,P$29,'Full Crash Data'!$AN:$AN,"County Highway Agency",'Full Crash Data'!$BC:$BC,"Yes"),IF($B$2="Township Highway Agency",COUNTIFS('Full Crash Data'!$C:$C,P$29,'Full Crash Data'!$AN:$AN,"Township Highway Agency",'Full Crash Data'!$BC:$BC,"Yes"),IF($B$2="City or Village Highway Agency",COUNTIFS('Full Crash Data'!$C:$C,P$29,'Full Crash Data'!$AN:$AN,"City or Village Highway Agency",'Full Crash Data'!$BC:$BC,"Yes"))))))</f>
        <v>0</v>
      </c>
      <c r="Q66" s="272">
        <f t="shared" ref="Q66" si="325">IFERROR(ROUND(P66/P$56,2),0)</f>
        <v>0</v>
      </c>
      <c r="R66" s="295">
        <f>IF($B$2="All",COUNTIFS('Full Crash Data'!$C:$C,R$29,'Full Crash Data'!$BC:$BC,"Yes"),IF($B$2="State Highway Agency",COUNTIFS('Full Crash Data'!$C:$C,R$29,'Full Crash Data'!$AN:$AN,"State Highway Agency",'Full Crash Data'!$BC:$BC,"Yes"),IF($B$2="County Highway Agency",COUNTIFS('Full Crash Data'!$C:$C,R$29,'Full Crash Data'!$AN:$AN,"County Highway Agency",'Full Crash Data'!$BC:$BC,"Yes"),IF($B$2="Township Highway Agency",COUNTIFS('Full Crash Data'!$C:$C,R$29,'Full Crash Data'!$AN:$AN,"Township Highway Agency",'Full Crash Data'!$BC:$BC,"Yes"),IF($B$2="City or Village Highway Agency",COUNTIFS('Full Crash Data'!$C:$C,R$29,'Full Crash Data'!$AN:$AN,"City or Village Highway Agency",'Full Crash Data'!$BC:$BC,"Yes"))))))</f>
        <v>0</v>
      </c>
      <c r="S66" s="272">
        <f t="shared" ref="S66" si="326">IFERROR(ROUND(R66/R$56,2),0)</f>
        <v>0</v>
      </c>
      <c r="T66" s="295">
        <f>IF($B$2="All",COUNTIFS('Full Crash Data'!$C:$C,T$29,'Full Crash Data'!$BC:$BC,"Yes"),IF($B$2="State Highway Agency",COUNTIFS('Full Crash Data'!$C:$C,T$29,'Full Crash Data'!$AN:$AN,"State Highway Agency",'Full Crash Data'!$BC:$BC,"Yes"),IF($B$2="County Highway Agency",COUNTIFS('Full Crash Data'!$C:$C,T$29,'Full Crash Data'!$AN:$AN,"County Highway Agency",'Full Crash Data'!$BC:$BC,"Yes"),IF($B$2="Township Highway Agency",COUNTIFS('Full Crash Data'!$C:$C,T$29,'Full Crash Data'!$AN:$AN,"Township Highway Agency",'Full Crash Data'!$BC:$BC,"Yes"),IF($B$2="City or Village Highway Agency",COUNTIFS('Full Crash Data'!$C:$C,T$29,'Full Crash Data'!$AN:$AN,"City or Village Highway Agency",'Full Crash Data'!$BC:$BC,"Yes"))))))</f>
        <v>0</v>
      </c>
      <c r="U66" s="272">
        <f t="shared" ref="U66" si="327">IFERROR(ROUND(T66/T$56,2),0)</f>
        <v>0</v>
      </c>
      <c r="V66" s="295">
        <f>IF($B$2="All",COUNTIFS('Full Crash Data'!$C:$C,V$29,'Full Crash Data'!$BC:$BC,"Yes"),IF($B$2="State Highway Agency",COUNTIFS('Full Crash Data'!$C:$C,V$29,'Full Crash Data'!$AN:$AN,"State Highway Agency",'Full Crash Data'!$BC:$BC,"Yes"),IF($B$2="County Highway Agency",COUNTIFS('Full Crash Data'!$C:$C,V$29,'Full Crash Data'!$AN:$AN,"County Highway Agency",'Full Crash Data'!$BC:$BC,"Yes"),IF($B$2="Township Highway Agency",COUNTIFS('Full Crash Data'!$C:$C,V$29,'Full Crash Data'!$AN:$AN,"Township Highway Agency",'Full Crash Data'!$BC:$BC,"Yes"),IF($B$2="City or Village Highway Agency",COUNTIFS('Full Crash Data'!$C:$C,V$29,'Full Crash Data'!$AN:$AN,"City or Village Highway Agency",'Full Crash Data'!$BC:$BC,"Yes"))))))</f>
        <v>0</v>
      </c>
      <c r="W66" s="272">
        <f t="shared" ref="W66" si="328">IFERROR(ROUND(V66/V$56,2),0)</f>
        <v>0</v>
      </c>
    </row>
    <row r="67" spans="1:23" x14ac:dyDescent="0.2">
      <c r="A67" s="294" t="s">
        <v>5993</v>
      </c>
      <c r="B67" s="295">
        <f>IF($B$2="All",COUNTIFS('Full Crash Data'!$C:$C,B$29,'Full Crash Data'!$G:$G,"Pedestrian"),IF($B$2="State Highway Agency",COUNTIFS('Full Crash Data'!$C:$C,B$29,'Full Crash Data'!$AN:$AN,"State Highway Agency",'Full Crash Data'!$G:$G,"Pedestrian"),IF($B$2="County Highway Agency",COUNTIFS('Full Crash Data'!$C:$C,B$29,'Full Crash Data'!$AN:$AN,"County Highway Agency",'Full Crash Data'!$G:$G,"Pedestrian"),IF($B$2="Township Highway Agency",COUNTIFS('Full Crash Data'!$C:$C,B$29,'Full Crash Data'!$AN:$AN,"Township Highway Agency",'Full Crash Data'!$G:$G,"Pedestrian"),IF($B$2="City or Village Highway Agency",COUNTIFS('Full Crash Data'!$C:$C,B$29,'Full Crash Data'!$AN:$AN,"City or Village Highway Agency",'Full Crash Data'!$G:$G,"Pedestrian"))))))</f>
        <v>0</v>
      </c>
      <c r="C67" s="272">
        <f t="shared" si="265"/>
        <v>0</v>
      </c>
      <c r="D67" s="295">
        <f>IF($B$2="All",COUNTIFS('Full Crash Data'!$C:$C,D$29,'Full Crash Data'!$G:$G,"Pedestrian"),IF($B$2="State Highway Agency",COUNTIFS('Full Crash Data'!$C:$C,D$29,'Full Crash Data'!$AN:$AN,"State Highway Agency",'Full Crash Data'!$G:$G,"Pedestrian"),IF($B$2="County Highway Agency",COUNTIFS('Full Crash Data'!$C:$C,D$29,'Full Crash Data'!$AN:$AN,"County Highway Agency",'Full Crash Data'!$G:$G,"Pedestrian"),IF($B$2="Township Highway Agency",COUNTIFS('Full Crash Data'!$C:$C,D$29,'Full Crash Data'!$AN:$AN,"Township Highway Agency",'Full Crash Data'!$G:$G,"Pedestrian"),IF($B$2="City or Village Highway Agency",COUNTIFS('Full Crash Data'!$C:$C,D$29,'Full Crash Data'!$AN:$AN,"City or Village Highway Agency",'Full Crash Data'!$G:$G,"Pedestrian"))))))</f>
        <v>2</v>
      </c>
      <c r="E67" s="272">
        <f t="shared" si="256"/>
        <v>0.03</v>
      </c>
      <c r="F67" s="295">
        <f>IF($B$2="All",COUNTIFS('Full Crash Data'!$C:$C,F$29,'Full Crash Data'!$G:$G,"Pedestrian"),IF($B$2="State Highway Agency",COUNTIFS('Full Crash Data'!$C:$C,F$29,'Full Crash Data'!$AN:$AN,"State Highway Agency",'Full Crash Data'!$G:$G,"Pedestrian"),IF($B$2="County Highway Agency",COUNTIFS('Full Crash Data'!$C:$C,F$29,'Full Crash Data'!$AN:$AN,"County Highway Agency",'Full Crash Data'!$G:$G,"Pedestrian"),IF($B$2="Township Highway Agency",COUNTIFS('Full Crash Data'!$C:$C,F$29,'Full Crash Data'!$AN:$AN,"Township Highway Agency",'Full Crash Data'!$G:$G,"Pedestrian"),IF($B$2="City or Village Highway Agency",COUNTIFS('Full Crash Data'!$C:$C,F$29,'Full Crash Data'!$AN:$AN,"City or Village Highway Agency",'Full Crash Data'!$G:$G,"Pedestrian"))))))</f>
        <v>0</v>
      </c>
      <c r="G67" s="272">
        <f t="shared" si="257"/>
        <v>0</v>
      </c>
      <c r="H67" s="295">
        <f>IF($B$2="All",COUNTIFS('Full Crash Data'!$C:$C,H$29,'Full Crash Data'!$G:$G,"Pedestrian"),IF($B$2="State Highway Agency",COUNTIFS('Full Crash Data'!$C:$C,H$29,'Full Crash Data'!$AN:$AN,"State Highway Agency",'Full Crash Data'!$G:$G,"Pedestrian"),IF($B$2="County Highway Agency",COUNTIFS('Full Crash Data'!$C:$C,H$29,'Full Crash Data'!$AN:$AN,"County Highway Agency",'Full Crash Data'!$G:$G,"Pedestrian"),IF($B$2="Township Highway Agency",COUNTIFS('Full Crash Data'!$C:$C,H$29,'Full Crash Data'!$AN:$AN,"Township Highway Agency",'Full Crash Data'!$G:$G,"Pedestrian"),IF($B$2="City or Village Highway Agency",COUNTIFS('Full Crash Data'!$C:$C,H$29,'Full Crash Data'!$AN:$AN,"City or Village Highway Agency",'Full Crash Data'!$G:$G,"Pedestrian"))))))</f>
        <v>2</v>
      </c>
      <c r="I67" s="272">
        <f t="shared" si="257"/>
        <v>0.04</v>
      </c>
      <c r="J67" s="295">
        <f>IF($B$2="All",COUNTIFS('Full Crash Data'!$C:$C,J$29,'Full Crash Data'!$G:$G,"Pedestrian"),IF($B$2="State Highway Agency",COUNTIFS('Full Crash Data'!$C:$C,J$29,'Full Crash Data'!$AN:$AN,"State Highway Agency",'Full Crash Data'!$G:$G,"Pedestrian"),IF($B$2="County Highway Agency",COUNTIFS('Full Crash Data'!$C:$C,J$29,'Full Crash Data'!$AN:$AN,"County Highway Agency",'Full Crash Data'!$G:$G,"Pedestrian"),IF($B$2="Township Highway Agency",COUNTIFS('Full Crash Data'!$C:$C,J$29,'Full Crash Data'!$AN:$AN,"Township Highway Agency",'Full Crash Data'!$G:$G,"Pedestrian"),IF($B$2="City or Village Highway Agency",COUNTIFS('Full Crash Data'!$C:$C,J$29,'Full Crash Data'!$AN:$AN,"City or Village Highway Agency",'Full Crash Data'!$G:$G,"Pedestrian"))))))</f>
        <v>1</v>
      </c>
      <c r="K67" s="272">
        <f t="shared" ref="K67" si="329">IFERROR(ROUND(J67/J$56,2),0)</f>
        <v>0.01</v>
      </c>
      <c r="L67" s="295">
        <f>IF($B$2="All",COUNTIFS('Full Crash Data'!$C:$C,L$29,'Full Crash Data'!$G:$G,"Pedestrian"),IF($B$2="State Highway Agency",COUNTIFS('Full Crash Data'!$C:$C,L$29,'Full Crash Data'!$AN:$AN,"State Highway Agency",'Full Crash Data'!$G:$G,"Pedestrian"),IF($B$2="County Highway Agency",COUNTIFS('Full Crash Data'!$C:$C,L$29,'Full Crash Data'!$AN:$AN,"County Highway Agency",'Full Crash Data'!$G:$G,"Pedestrian"),IF($B$2="Township Highway Agency",COUNTIFS('Full Crash Data'!$C:$C,L$29,'Full Crash Data'!$AN:$AN,"Township Highway Agency",'Full Crash Data'!$G:$G,"Pedestrian"),IF($B$2="City or Village Highway Agency",COUNTIFS('Full Crash Data'!$C:$C,L$29,'Full Crash Data'!$AN:$AN,"City or Village Highway Agency",'Full Crash Data'!$G:$G,"Pedestrian"))))))</f>
        <v>0</v>
      </c>
      <c r="M67" s="272">
        <f t="shared" ref="M67" si="330">IFERROR(ROUND(L67/L$56,2),0)</f>
        <v>0</v>
      </c>
      <c r="N67" s="295">
        <f>IF($B$2="All",COUNTIFS('Full Crash Data'!$C:$C,N$29,'Full Crash Data'!$G:$G,"Pedestrian"),IF($B$2="State Highway Agency",COUNTIFS('Full Crash Data'!$C:$C,N$29,'Full Crash Data'!$AN:$AN,"State Highway Agency",'Full Crash Data'!$G:$G,"Pedestrian"),IF($B$2="County Highway Agency",COUNTIFS('Full Crash Data'!$C:$C,N$29,'Full Crash Data'!$AN:$AN,"County Highway Agency",'Full Crash Data'!$G:$G,"Pedestrian"),IF($B$2="Township Highway Agency",COUNTIFS('Full Crash Data'!$C:$C,N$29,'Full Crash Data'!$AN:$AN,"Township Highway Agency",'Full Crash Data'!$G:$G,"Pedestrian"),IF($B$2="City or Village Highway Agency",COUNTIFS('Full Crash Data'!$C:$C,N$29,'Full Crash Data'!$AN:$AN,"City or Village Highway Agency",'Full Crash Data'!$G:$G,"Pedestrian"))))))</f>
        <v>0</v>
      </c>
      <c r="O67" s="272">
        <f t="shared" ref="O67" si="331">IFERROR(ROUND(N67/N$56,2),0)</f>
        <v>0</v>
      </c>
      <c r="P67" s="295">
        <f>IF($B$2="All",COUNTIFS('Full Crash Data'!$C:$C,P$29,'Full Crash Data'!$G:$G,"Pedestrian"),IF($B$2="State Highway Agency",COUNTIFS('Full Crash Data'!$C:$C,P$29,'Full Crash Data'!$AN:$AN,"State Highway Agency",'Full Crash Data'!$G:$G,"Pedestrian"),IF($B$2="County Highway Agency",COUNTIFS('Full Crash Data'!$C:$C,P$29,'Full Crash Data'!$AN:$AN,"County Highway Agency",'Full Crash Data'!$G:$G,"Pedestrian"),IF($B$2="Township Highway Agency",COUNTIFS('Full Crash Data'!$C:$C,P$29,'Full Crash Data'!$AN:$AN,"Township Highway Agency",'Full Crash Data'!$G:$G,"Pedestrian"),IF($B$2="City or Village Highway Agency",COUNTIFS('Full Crash Data'!$C:$C,P$29,'Full Crash Data'!$AN:$AN,"City or Village Highway Agency",'Full Crash Data'!$G:$G,"Pedestrian"))))))</f>
        <v>0</v>
      </c>
      <c r="Q67" s="272">
        <f t="shared" ref="Q67" si="332">IFERROR(ROUND(P67/P$56,2),0)</f>
        <v>0</v>
      </c>
      <c r="R67" s="295">
        <f>IF($B$2="All",COUNTIFS('Full Crash Data'!$C:$C,R$29,'Full Crash Data'!$G:$G,"Pedestrian"),IF($B$2="State Highway Agency",COUNTIFS('Full Crash Data'!$C:$C,R$29,'Full Crash Data'!$AN:$AN,"State Highway Agency",'Full Crash Data'!$G:$G,"Pedestrian"),IF($B$2="County Highway Agency",COUNTIFS('Full Crash Data'!$C:$C,R$29,'Full Crash Data'!$AN:$AN,"County Highway Agency",'Full Crash Data'!$G:$G,"Pedestrian"),IF($B$2="Township Highway Agency",COUNTIFS('Full Crash Data'!$C:$C,R$29,'Full Crash Data'!$AN:$AN,"Township Highway Agency",'Full Crash Data'!$G:$G,"Pedestrian"),IF($B$2="City or Village Highway Agency",COUNTIFS('Full Crash Data'!$C:$C,R$29,'Full Crash Data'!$AN:$AN,"City or Village Highway Agency",'Full Crash Data'!$G:$G,"Pedestrian"))))))</f>
        <v>0</v>
      </c>
      <c r="S67" s="272">
        <f t="shared" ref="S67" si="333">IFERROR(ROUND(R67/R$56,2),0)</f>
        <v>0</v>
      </c>
      <c r="T67" s="295">
        <f>IF($B$2="All",COUNTIFS('Full Crash Data'!$C:$C,T$29,'Full Crash Data'!$G:$G,"Pedestrian"),IF($B$2="State Highway Agency",COUNTIFS('Full Crash Data'!$C:$C,T$29,'Full Crash Data'!$AN:$AN,"State Highway Agency",'Full Crash Data'!$G:$G,"Pedestrian"),IF($B$2="County Highway Agency",COUNTIFS('Full Crash Data'!$C:$C,T$29,'Full Crash Data'!$AN:$AN,"County Highway Agency",'Full Crash Data'!$G:$G,"Pedestrian"),IF($B$2="Township Highway Agency",COUNTIFS('Full Crash Data'!$C:$C,T$29,'Full Crash Data'!$AN:$AN,"Township Highway Agency",'Full Crash Data'!$G:$G,"Pedestrian"),IF($B$2="City or Village Highway Agency",COUNTIFS('Full Crash Data'!$C:$C,T$29,'Full Crash Data'!$AN:$AN,"City or Village Highway Agency",'Full Crash Data'!$G:$G,"Pedestrian"))))))</f>
        <v>0</v>
      </c>
      <c r="U67" s="272">
        <f t="shared" ref="U67" si="334">IFERROR(ROUND(T67/T$56,2),0)</f>
        <v>0</v>
      </c>
      <c r="V67" s="295">
        <f>IF($B$2="All",COUNTIFS('Full Crash Data'!$C:$C,V$29,'Full Crash Data'!$G:$G,"Pedestrian"),IF($B$2="State Highway Agency",COUNTIFS('Full Crash Data'!$C:$C,V$29,'Full Crash Data'!$AN:$AN,"State Highway Agency",'Full Crash Data'!$G:$G,"Pedestrian"),IF($B$2="County Highway Agency",COUNTIFS('Full Crash Data'!$C:$C,V$29,'Full Crash Data'!$AN:$AN,"County Highway Agency",'Full Crash Data'!$G:$G,"Pedestrian"),IF($B$2="Township Highway Agency",COUNTIFS('Full Crash Data'!$C:$C,V$29,'Full Crash Data'!$AN:$AN,"Township Highway Agency",'Full Crash Data'!$G:$G,"Pedestrian"),IF($B$2="City or Village Highway Agency",COUNTIFS('Full Crash Data'!$C:$C,V$29,'Full Crash Data'!$AN:$AN,"City or Village Highway Agency",'Full Crash Data'!$G:$G,"Pedestrian"))))))</f>
        <v>0</v>
      </c>
      <c r="W67" s="272">
        <f t="shared" ref="W67" si="335">IFERROR(ROUND(V67/V$56,2),0)</f>
        <v>0</v>
      </c>
    </row>
    <row r="68" spans="1:23" x14ac:dyDescent="0.2">
      <c r="A68" s="294" t="s">
        <v>5994</v>
      </c>
      <c r="B68" s="295">
        <f>IF($B$2="All",COUNTIFS('Full Crash Data'!$C:$C,B$29,'Full Crash Data'!$G:$G,"Pedalcycles"),IF($B$2="State Highway Agency",COUNTIFS('Full Crash Data'!$C:$C,B$29,'Full Crash Data'!$AN:$AN,"State Highway Agency",'Full Crash Data'!$G:$G,"Pedalcycles"),IF($B$2="County Highway Agency",COUNTIFS('Full Crash Data'!$C:$C,B$29,'Full Crash Data'!$AN:$AN,"County Highway Agency",'Full Crash Data'!$G:$G,"Pedalcycles"),IF($B$2="Township Highway Agency",COUNTIFS('Full Crash Data'!$C:$C,B$29,'Full Crash Data'!$AN:$AN,"Township Highway Agency",'Full Crash Data'!$G:$G,"Pedalcycles"),IF($B$2="City or Village Highway Agency",COUNTIFS('Full Crash Data'!$C:$C,B$29,'Full Crash Data'!$AN:$AN,"City or Village Highway Agency",'Full Crash Data'!$G:$G,"Pedalcycles"))))))</f>
        <v>1</v>
      </c>
      <c r="C68" s="272">
        <f t="shared" si="265"/>
        <v>0.03</v>
      </c>
      <c r="D68" s="295">
        <f>IF($B$2="All",COUNTIFS('Full Crash Data'!$C:$C,D$29,'Full Crash Data'!$G:$G,"Pedalcycles"),IF($B$2="State Highway Agency",COUNTIFS('Full Crash Data'!$C:$C,D$29,'Full Crash Data'!$AN:$AN,"State Highway Agency",'Full Crash Data'!$G:$G,"Pedalcycles"),IF($B$2="County Highway Agency",COUNTIFS('Full Crash Data'!$C:$C,D$29,'Full Crash Data'!$AN:$AN,"County Highway Agency",'Full Crash Data'!$G:$G,"Pedalcycles"),IF($B$2="Township Highway Agency",COUNTIFS('Full Crash Data'!$C:$C,D$29,'Full Crash Data'!$AN:$AN,"Township Highway Agency",'Full Crash Data'!$G:$G,"Pedalcycles"),IF($B$2="City or Village Highway Agency",COUNTIFS('Full Crash Data'!$C:$C,D$29,'Full Crash Data'!$AN:$AN,"City or Village Highway Agency",'Full Crash Data'!$G:$G,"Pedalcycles"))))))</f>
        <v>2</v>
      </c>
      <c r="E68" s="272">
        <f t="shared" si="256"/>
        <v>0.03</v>
      </c>
      <c r="F68" s="295">
        <f>IF($B$2="All",COUNTIFS('Full Crash Data'!$C:$C,F$29,'Full Crash Data'!$G:$G,"Pedalcycles"),IF($B$2="State Highway Agency",COUNTIFS('Full Crash Data'!$C:$C,F$29,'Full Crash Data'!$AN:$AN,"State Highway Agency",'Full Crash Data'!$G:$G,"Pedalcycles"),IF($B$2="County Highway Agency",COUNTIFS('Full Crash Data'!$C:$C,F$29,'Full Crash Data'!$AN:$AN,"County Highway Agency",'Full Crash Data'!$G:$G,"Pedalcycles"),IF($B$2="Township Highway Agency",COUNTIFS('Full Crash Data'!$C:$C,F$29,'Full Crash Data'!$AN:$AN,"Township Highway Agency",'Full Crash Data'!$G:$G,"Pedalcycles"),IF($B$2="City or Village Highway Agency",COUNTIFS('Full Crash Data'!$C:$C,F$29,'Full Crash Data'!$AN:$AN,"City or Village Highway Agency",'Full Crash Data'!$G:$G,"Pedalcycles"))))))</f>
        <v>2</v>
      </c>
      <c r="G68" s="272">
        <f t="shared" si="257"/>
        <v>0.03</v>
      </c>
      <c r="H68" s="295">
        <f>IF($B$2="All",COUNTIFS('Full Crash Data'!$C:$C,H$29,'Full Crash Data'!$G:$G,"Pedalcycles"),IF($B$2="State Highway Agency",COUNTIFS('Full Crash Data'!$C:$C,H$29,'Full Crash Data'!$AN:$AN,"State Highway Agency",'Full Crash Data'!$G:$G,"Pedalcycles"),IF($B$2="County Highway Agency",COUNTIFS('Full Crash Data'!$C:$C,H$29,'Full Crash Data'!$AN:$AN,"County Highway Agency",'Full Crash Data'!$G:$G,"Pedalcycles"),IF($B$2="Township Highway Agency",COUNTIFS('Full Crash Data'!$C:$C,H$29,'Full Crash Data'!$AN:$AN,"Township Highway Agency",'Full Crash Data'!$G:$G,"Pedalcycles"),IF($B$2="City or Village Highway Agency",COUNTIFS('Full Crash Data'!$C:$C,H$29,'Full Crash Data'!$AN:$AN,"City or Village Highway Agency",'Full Crash Data'!$G:$G,"Pedalcycles"))))))</f>
        <v>0</v>
      </c>
      <c r="I68" s="272">
        <f t="shared" si="257"/>
        <v>0</v>
      </c>
      <c r="J68" s="295">
        <f>IF($B$2="All",COUNTIFS('Full Crash Data'!$C:$C,J$29,'Full Crash Data'!$G:$G,"Pedalcycles"),IF($B$2="State Highway Agency",COUNTIFS('Full Crash Data'!$C:$C,J$29,'Full Crash Data'!$AN:$AN,"State Highway Agency",'Full Crash Data'!$G:$G,"Pedalcycles"),IF($B$2="County Highway Agency",COUNTIFS('Full Crash Data'!$C:$C,J$29,'Full Crash Data'!$AN:$AN,"County Highway Agency",'Full Crash Data'!$G:$G,"Pedalcycles"),IF($B$2="Township Highway Agency",COUNTIFS('Full Crash Data'!$C:$C,J$29,'Full Crash Data'!$AN:$AN,"Township Highway Agency",'Full Crash Data'!$G:$G,"Pedalcycles"),IF($B$2="City or Village Highway Agency",COUNTIFS('Full Crash Data'!$C:$C,J$29,'Full Crash Data'!$AN:$AN,"City or Village Highway Agency",'Full Crash Data'!$G:$G,"Pedalcycles"))))))</f>
        <v>0</v>
      </c>
      <c r="K68" s="272">
        <f t="shared" ref="K68" si="336">IFERROR(ROUND(J68/J$56,2),0)</f>
        <v>0</v>
      </c>
      <c r="L68" s="295">
        <f>IF($B$2="All",COUNTIFS('Full Crash Data'!$C:$C,L$29,'Full Crash Data'!$G:$G,"Pedalcycles"),IF($B$2="State Highway Agency",COUNTIFS('Full Crash Data'!$C:$C,L$29,'Full Crash Data'!$AN:$AN,"State Highway Agency",'Full Crash Data'!$G:$G,"Pedalcycles"),IF($B$2="County Highway Agency",COUNTIFS('Full Crash Data'!$C:$C,L$29,'Full Crash Data'!$AN:$AN,"County Highway Agency",'Full Crash Data'!$G:$G,"Pedalcycles"),IF($B$2="Township Highway Agency",COUNTIFS('Full Crash Data'!$C:$C,L$29,'Full Crash Data'!$AN:$AN,"Township Highway Agency",'Full Crash Data'!$G:$G,"Pedalcycles"),IF($B$2="City or Village Highway Agency",COUNTIFS('Full Crash Data'!$C:$C,L$29,'Full Crash Data'!$AN:$AN,"City or Village Highway Agency",'Full Crash Data'!$G:$G,"Pedalcycles"))))))</f>
        <v>0</v>
      </c>
      <c r="M68" s="272">
        <f t="shared" ref="M68" si="337">IFERROR(ROUND(L68/L$56,2),0)</f>
        <v>0</v>
      </c>
      <c r="N68" s="295">
        <f>IF($B$2="All",COUNTIFS('Full Crash Data'!$C:$C,N$29,'Full Crash Data'!$G:$G,"Pedalcycles"),IF($B$2="State Highway Agency",COUNTIFS('Full Crash Data'!$C:$C,N$29,'Full Crash Data'!$AN:$AN,"State Highway Agency",'Full Crash Data'!$G:$G,"Pedalcycles"),IF($B$2="County Highway Agency",COUNTIFS('Full Crash Data'!$C:$C,N$29,'Full Crash Data'!$AN:$AN,"County Highway Agency",'Full Crash Data'!$G:$G,"Pedalcycles"),IF($B$2="Township Highway Agency",COUNTIFS('Full Crash Data'!$C:$C,N$29,'Full Crash Data'!$AN:$AN,"Township Highway Agency",'Full Crash Data'!$G:$G,"Pedalcycles"),IF($B$2="City or Village Highway Agency",COUNTIFS('Full Crash Data'!$C:$C,N$29,'Full Crash Data'!$AN:$AN,"City or Village Highway Agency",'Full Crash Data'!$G:$G,"Pedalcycles"))))))</f>
        <v>0</v>
      </c>
      <c r="O68" s="272">
        <f t="shared" ref="O68" si="338">IFERROR(ROUND(N68/N$56,2),0)</f>
        <v>0</v>
      </c>
      <c r="P68" s="295">
        <f>IF($B$2="All",COUNTIFS('Full Crash Data'!$C:$C,P$29,'Full Crash Data'!$G:$G,"Pedalcycles"),IF($B$2="State Highway Agency",COUNTIFS('Full Crash Data'!$C:$C,P$29,'Full Crash Data'!$AN:$AN,"State Highway Agency",'Full Crash Data'!$G:$G,"Pedalcycles"),IF($B$2="County Highway Agency",COUNTIFS('Full Crash Data'!$C:$C,P$29,'Full Crash Data'!$AN:$AN,"County Highway Agency",'Full Crash Data'!$G:$G,"Pedalcycles"),IF($B$2="Township Highway Agency",COUNTIFS('Full Crash Data'!$C:$C,P$29,'Full Crash Data'!$AN:$AN,"Township Highway Agency",'Full Crash Data'!$G:$G,"Pedalcycles"),IF($B$2="City or Village Highway Agency",COUNTIFS('Full Crash Data'!$C:$C,P$29,'Full Crash Data'!$AN:$AN,"City or Village Highway Agency",'Full Crash Data'!$G:$G,"Pedalcycles"))))))</f>
        <v>0</v>
      </c>
      <c r="Q68" s="272">
        <f t="shared" ref="Q68" si="339">IFERROR(ROUND(P68/P$56,2),0)</f>
        <v>0</v>
      </c>
      <c r="R68" s="295">
        <f>IF($B$2="All",COUNTIFS('Full Crash Data'!$C:$C,R$29,'Full Crash Data'!$G:$G,"Pedalcycles"),IF($B$2="State Highway Agency",COUNTIFS('Full Crash Data'!$C:$C,R$29,'Full Crash Data'!$AN:$AN,"State Highway Agency",'Full Crash Data'!$G:$G,"Pedalcycles"),IF($B$2="County Highway Agency",COUNTIFS('Full Crash Data'!$C:$C,R$29,'Full Crash Data'!$AN:$AN,"County Highway Agency",'Full Crash Data'!$G:$G,"Pedalcycles"),IF($B$2="Township Highway Agency",COUNTIFS('Full Crash Data'!$C:$C,R$29,'Full Crash Data'!$AN:$AN,"Township Highway Agency",'Full Crash Data'!$G:$G,"Pedalcycles"),IF($B$2="City or Village Highway Agency",COUNTIFS('Full Crash Data'!$C:$C,R$29,'Full Crash Data'!$AN:$AN,"City or Village Highway Agency",'Full Crash Data'!$G:$G,"Pedalcycles"))))))</f>
        <v>0</v>
      </c>
      <c r="S68" s="272">
        <f t="shared" ref="S68" si="340">IFERROR(ROUND(R68/R$56,2),0)</f>
        <v>0</v>
      </c>
      <c r="T68" s="295">
        <f>IF($B$2="All",COUNTIFS('Full Crash Data'!$C:$C,T$29,'Full Crash Data'!$G:$G,"Pedalcycles"),IF($B$2="State Highway Agency",COUNTIFS('Full Crash Data'!$C:$C,T$29,'Full Crash Data'!$AN:$AN,"State Highway Agency",'Full Crash Data'!$G:$G,"Pedalcycles"),IF($B$2="County Highway Agency",COUNTIFS('Full Crash Data'!$C:$C,T$29,'Full Crash Data'!$AN:$AN,"County Highway Agency",'Full Crash Data'!$G:$G,"Pedalcycles"),IF($B$2="Township Highway Agency",COUNTIFS('Full Crash Data'!$C:$C,T$29,'Full Crash Data'!$AN:$AN,"Township Highway Agency",'Full Crash Data'!$G:$G,"Pedalcycles"),IF($B$2="City or Village Highway Agency",COUNTIFS('Full Crash Data'!$C:$C,T$29,'Full Crash Data'!$AN:$AN,"City or Village Highway Agency",'Full Crash Data'!$G:$G,"Pedalcycles"))))))</f>
        <v>0</v>
      </c>
      <c r="U68" s="272">
        <f t="shared" ref="U68" si="341">IFERROR(ROUND(T68/T$56,2),0)</f>
        <v>0</v>
      </c>
      <c r="V68" s="295">
        <f>IF($B$2="All",COUNTIFS('Full Crash Data'!$C:$C,V$29,'Full Crash Data'!$G:$G,"Pedalcycles"),IF($B$2="State Highway Agency",COUNTIFS('Full Crash Data'!$C:$C,V$29,'Full Crash Data'!$AN:$AN,"State Highway Agency",'Full Crash Data'!$G:$G,"Pedalcycles"),IF($B$2="County Highway Agency",COUNTIFS('Full Crash Data'!$C:$C,V$29,'Full Crash Data'!$AN:$AN,"County Highway Agency",'Full Crash Data'!$G:$G,"Pedalcycles"),IF($B$2="Township Highway Agency",COUNTIFS('Full Crash Data'!$C:$C,V$29,'Full Crash Data'!$AN:$AN,"Township Highway Agency",'Full Crash Data'!$G:$G,"Pedalcycles"),IF($B$2="City or Village Highway Agency",COUNTIFS('Full Crash Data'!$C:$C,V$29,'Full Crash Data'!$AN:$AN,"City or Village Highway Agency",'Full Crash Data'!$G:$G,"Pedalcycles"))))))</f>
        <v>0</v>
      </c>
      <c r="W68" s="272">
        <f t="shared" ref="W68" si="342">IFERROR(ROUND(V68/V$56,2),0)</f>
        <v>0</v>
      </c>
    </row>
    <row r="69" spans="1:23" x14ac:dyDescent="0.2">
      <c r="A69" s="294" t="s">
        <v>1200</v>
      </c>
      <c r="B69" s="295">
        <f>IF($B$2="All",COUNTIFS('Full Crash Data'!$C:$C,B$29,'Full Crash Data'!$BG:$BG,"Yes"),IF($B$2="State Highway Agency",COUNTIFS('Full Crash Data'!$C:$C,B$29,'Full Crash Data'!$AN:$AN,"State Highway Agency",'Full Crash Data'!$BG:$BG,"Yes"),IF($B$2="County Highway Agency",COUNTIFS('Full Crash Data'!$C:$C,B$29,'Full Crash Data'!$AN:$AN,"County Highway Agency",'Full Crash Data'!$BG:$BG,"Yes"),IF($B$2="Township Highway Agency",COUNTIFS('Full Crash Data'!$C:$C,B$29,'Full Crash Data'!$AN:$AN,"Township Highway Agency",'Full Crash Data'!$BG:$BG,"Yes"),IF($B$2="City or Village Highway Agency",COUNTIFS('Full Crash Data'!$C:$C,B$29,'Full Crash Data'!$AN:$AN,"City or Village Highway Agency",'Full Crash Data'!$BG:$BG,"Yes"))))))</f>
        <v>0</v>
      </c>
      <c r="C69" s="272">
        <f t="shared" si="265"/>
        <v>0</v>
      </c>
      <c r="D69" s="295">
        <f>IF($B$2="All",COUNTIFS('Full Crash Data'!$C:$C,D$29,'Full Crash Data'!$BG:$BG,"Yes"),IF($B$2="State Highway Agency",COUNTIFS('Full Crash Data'!$C:$C,D$29,'Full Crash Data'!$AN:$AN,"State Highway Agency",'Full Crash Data'!$BG:$BG,"Yes"),IF($B$2="County Highway Agency",COUNTIFS('Full Crash Data'!$C:$C,D$29,'Full Crash Data'!$AN:$AN,"County Highway Agency",'Full Crash Data'!$BG:$BG,"Yes"),IF($B$2="Township Highway Agency",COUNTIFS('Full Crash Data'!$C:$C,D$29,'Full Crash Data'!$AN:$AN,"Township Highway Agency",'Full Crash Data'!$BG:$BG,"Yes"),IF($B$2="City or Village Highway Agency",COUNTIFS('Full Crash Data'!$C:$C,D$29,'Full Crash Data'!$AN:$AN,"City or Village Highway Agency",'Full Crash Data'!$BG:$BG,"Yes"))))))</f>
        <v>0</v>
      </c>
      <c r="E69" s="272">
        <f t="shared" si="256"/>
        <v>0</v>
      </c>
      <c r="F69" s="295">
        <f>IF($B$2="All",COUNTIFS('Full Crash Data'!$C:$C,F$29,'Full Crash Data'!$BG:$BG,"Yes"),IF($B$2="State Highway Agency",COUNTIFS('Full Crash Data'!$C:$C,F$29,'Full Crash Data'!$AN:$AN,"State Highway Agency",'Full Crash Data'!$BG:$BG,"Yes"),IF($B$2="County Highway Agency",COUNTIFS('Full Crash Data'!$C:$C,F$29,'Full Crash Data'!$AN:$AN,"County Highway Agency",'Full Crash Data'!$BG:$BG,"Yes"),IF($B$2="Township Highway Agency",COUNTIFS('Full Crash Data'!$C:$C,F$29,'Full Crash Data'!$AN:$AN,"Township Highway Agency",'Full Crash Data'!$BG:$BG,"Yes"),IF($B$2="City or Village Highway Agency",COUNTIFS('Full Crash Data'!$C:$C,F$29,'Full Crash Data'!$AN:$AN,"City or Village Highway Agency",'Full Crash Data'!$BG:$BG,"Yes"))))))</f>
        <v>1</v>
      </c>
      <c r="G69" s="272">
        <f t="shared" si="257"/>
        <v>0.02</v>
      </c>
      <c r="H69" s="295">
        <f>IF($B$2="All",COUNTIFS('Full Crash Data'!$C:$C,H$29,'Full Crash Data'!$BG:$BG,"Yes"),IF($B$2="State Highway Agency",COUNTIFS('Full Crash Data'!$C:$C,H$29,'Full Crash Data'!$AN:$AN,"State Highway Agency",'Full Crash Data'!$BG:$BG,"Yes"),IF($B$2="County Highway Agency",COUNTIFS('Full Crash Data'!$C:$C,H$29,'Full Crash Data'!$AN:$AN,"County Highway Agency",'Full Crash Data'!$BG:$BG,"Yes"),IF($B$2="Township Highway Agency",COUNTIFS('Full Crash Data'!$C:$C,H$29,'Full Crash Data'!$AN:$AN,"Township Highway Agency",'Full Crash Data'!$BG:$BG,"Yes"),IF($B$2="City or Village Highway Agency",COUNTIFS('Full Crash Data'!$C:$C,H$29,'Full Crash Data'!$AN:$AN,"City or Village Highway Agency",'Full Crash Data'!$BG:$BG,"Yes"))))))</f>
        <v>0</v>
      </c>
      <c r="I69" s="272">
        <f t="shared" si="257"/>
        <v>0</v>
      </c>
      <c r="J69" s="295">
        <f>IF($B$2="All",COUNTIFS('Full Crash Data'!$C:$C,J$29,'Full Crash Data'!$BG:$BG,"Yes"),IF($B$2="State Highway Agency",COUNTIFS('Full Crash Data'!$C:$C,J$29,'Full Crash Data'!$AN:$AN,"State Highway Agency",'Full Crash Data'!$BG:$BG,"Yes"),IF($B$2="County Highway Agency",COUNTIFS('Full Crash Data'!$C:$C,J$29,'Full Crash Data'!$AN:$AN,"County Highway Agency",'Full Crash Data'!$BG:$BG,"Yes"),IF($B$2="Township Highway Agency",COUNTIFS('Full Crash Data'!$C:$C,J$29,'Full Crash Data'!$AN:$AN,"Township Highway Agency",'Full Crash Data'!$BG:$BG,"Yes"),IF($B$2="City or Village Highway Agency",COUNTIFS('Full Crash Data'!$C:$C,J$29,'Full Crash Data'!$AN:$AN,"City or Village Highway Agency",'Full Crash Data'!$BG:$BG,"Yes"))))))</f>
        <v>1</v>
      </c>
      <c r="K69" s="272">
        <f t="shared" ref="K69" si="343">IFERROR(ROUND(J69/J$56,2),0)</f>
        <v>0.01</v>
      </c>
      <c r="L69" s="295">
        <f>IF($B$2="All",COUNTIFS('Full Crash Data'!$C:$C,L$29,'Full Crash Data'!$BG:$BG,"Yes"),IF($B$2="State Highway Agency",COUNTIFS('Full Crash Data'!$C:$C,L$29,'Full Crash Data'!$AN:$AN,"State Highway Agency",'Full Crash Data'!$BG:$BG,"Yes"),IF($B$2="County Highway Agency",COUNTIFS('Full Crash Data'!$C:$C,L$29,'Full Crash Data'!$AN:$AN,"County Highway Agency",'Full Crash Data'!$BG:$BG,"Yes"),IF($B$2="Township Highway Agency",COUNTIFS('Full Crash Data'!$C:$C,L$29,'Full Crash Data'!$AN:$AN,"Township Highway Agency",'Full Crash Data'!$BG:$BG,"Yes"),IF($B$2="City or Village Highway Agency",COUNTIFS('Full Crash Data'!$C:$C,L$29,'Full Crash Data'!$AN:$AN,"City or Village Highway Agency",'Full Crash Data'!$BG:$BG,"Yes"))))))</f>
        <v>0</v>
      </c>
      <c r="M69" s="272">
        <f t="shared" ref="M69" si="344">IFERROR(ROUND(L69/L$56,2),0)</f>
        <v>0</v>
      </c>
      <c r="N69" s="295">
        <f>IF($B$2="All",COUNTIFS('Full Crash Data'!$C:$C,N$29,'Full Crash Data'!$BG:$BG,"Yes"),IF($B$2="State Highway Agency",COUNTIFS('Full Crash Data'!$C:$C,N$29,'Full Crash Data'!$AN:$AN,"State Highway Agency",'Full Crash Data'!$BG:$BG,"Yes"),IF($B$2="County Highway Agency",COUNTIFS('Full Crash Data'!$C:$C,N$29,'Full Crash Data'!$AN:$AN,"County Highway Agency",'Full Crash Data'!$BG:$BG,"Yes"),IF($B$2="Township Highway Agency",COUNTIFS('Full Crash Data'!$C:$C,N$29,'Full Crash Data'!$AN:$AN,"Township Highway Agency",'Full Crash Data'!$BG:$BG,"Yes"),IF($B$2="City or Village Highway Agency",COUNTIFS('Full Crash Data'!$C:$C,N$29,'Full Crash Data'!$AN:$AN,"City or Village Highway Agency",'Full Crash Data'!$BG:$BG,"Yes"))))))</f>
        <v>0</v>
      </c>
      <c r="O69" s="272">
        <f t="shared" ref="O69" si="345">IFERROR(ROUND(N69/N$56,2),0)</f>
        <v>0</v>
      </c>
      <c r="P69" s="295">
        <f>IF($B$2="All",COUNTIFS('Full Crash Data'!$C:$C,P$29,'Full Crash Data'!$BG:$BG,"Yes"),IF($B$2="State Highway Agency",COUNTIFS('Full Crash Data'!$C:$C,P$29,'Full Crash Data'!$AN:$AN,"State Highway Agency",'Full Crash Data'!$BG:$BG,"Yes"),IF($B$2="County Highway Agency",COUNTIFS('Full Crash Data'!$C:$C,P$29,'Full Crash Data'!$AN:$AN,"County Highway Agency",'Full Crash Data'!$BG:$BG,"Yes"),IF($B$2="Township Highway Agency",COUNTIFS('Full Crash Data'!$C:$C,P$29,'Full Crash Data'!$AN:$AN,"Township Highway Agency",'Full Crash Data'!$BG:$BG,"Yes"),IF($B$2="City or Village Highway Agency",COUNTIFS('Full Crash Data'!$C:$C,P$29,'Full Crash Data'!$AN:$AN,"City or Village Highway Agency",'Full Crash Data'!$BG:$BG,"Yes"))))))</f>
        <v>0</v>
      </c>
      <c r="Q69" s="272">
        <f t="shared" ref="Q69" si="346">IFERROR(ROUND(P69/P$56,2),0)</f>
        <v>0</v>
      </c>
      <c r="R69" s="295">
        <f>IF($B$2="All",COUNTIFS('Full Crash Data'!$C:$C,R$29,'Full Crash Data'!$BG:$BG,"Yes"),IF($B$2="State Highway Agency",COUNTIFS('Full Crash Data'!$C:$C,R$29,'Full Crash Data'!$AN:$AN,"State Highway Agency",'Full Crash Data'!$BG:$BG,"Yes"),IF($B$2="County Highway Agency",COUNTIFS('Full Crash Data'!$C:$C,R$29,'Full Crash Data'!$AN:$AN,"County Highway Agency",'Full Crash Data'!$BG:$BG,"Yes"),IF($B$2="Township Highway Agency",COUNTIFS('Full Crash Data'!$C:$C,R$29,'Full Crash Data'!$AN:$AN,"Township Highway Agency",'Full Crash Data'!$BG:$BG,"Yes"),IF($B$2="City or Village Highway Agency",COUNTIFS('Full Crash Data'!$C:$C,R$29,'Full Crash Data'!$AN:$AN,"City or Village Highway Agency",'Full Crash Data'!$BG:$BG,"Yes"))))))</f>
        <v>0</v>
      </c>
      <c r="S69" s="272">
        <f t="shared" ref="S69" si="347">IFERROR(ROUND(R69/R$56,2),0)</f>
        <v>0</v>
      </c>
      <c r="T69" s="295">
        <f>IF($B$2="All",COUNTIFS('Full Crash Data'!$C:$C,T$29,'Full Crash Data'!$BG:$BG,"Yes"),IF($B$2="State Highway Agency",COUNTIFS('Full Crash Data'!$C:$C,T$29,'Full Crash Data'!$AN:$AN,"State Highway Agency",'Full Crash Data'!$BG:$BG,"Yes"),IF($B$2="County Highway Agency",COUNTIFS('Full Crash Data'!$C:$C,T$29,'Full Crash Data'!$AN:$AN,"County Highway Agency",'Full Crash Data'!$BG:$BG,"Yes"),IF($B$2="Township Highway Agency",COUNTIFS('Full Crash Data'!$C:$C,T$29,'Full Crash Data'!$AN:$AN,"Township Highway Agency",'Full Crash Data'!$BG:$BG,"Yes"),IF($B$2="City or Village Highway Agency",COUNTIFS('Full Crash Data'!$C:$C,T$29,'Full Crash Data'!$AN:$AN,"City or Village Highway Agency",'Full Crash Data'!$BG:$BG,"Yes"))))))</f>
        <v>0</v>
      </c>
      <c r="U69" s="272">
        <f t="shared" ref="U69" si="348">IFERROR(ROUND(T69/T$56,2),0)</f>
        <v>0</v>
      </c>
      <c r="V69" s="295">
        <f>IF($B$2="All",COUNTIFS('Full Crash Data'!$C:$C,V$29,'Full Crash Data'!$BG:$BG,"Yes"),IF($B$2="State Highway Agency",COUNTIFS('Full Crash Data'!$C:$C,V$29,'Full Crash Data'!$AN:$AN,"State Highway Agency",'Full Crash Data'!$BG:$BG,"Yes"),IF($B$2="County Highway Agency",COUNTIFS('Full Crash Data'!$C:$C,V$29,'Full Crash Data'!$AN:$AN,"County Highway Agency",'Full Crash Data'!$BG:$BG,"Yes"),IF($B$2="Township Highway Agency",COUNTIFS('Full Crash Data'!$C:$C,V$29,'Full Crash Data'!$AN:$AN,"Township Highway Agency",'Full Crash Data'!$BG:$BG,"Yes"),IF($B$2="City or Village Highway Agency",COUNTIFS('Full Crash Data'!$C:$C,V$29,'Full Crash Data'!$AN:$AN,"City or Village Highway Agency",'Full Crash Data'!$BG:$BG,"Yes"))))))</f>
        <v>0</v>
      </c>
      <c r="W69" s="272">
        <f t="shared" ref="W69" si="349">IFERROR(ROUND(V69/V$56,2),0)</f>
        <v>0</v>
      </c>
    </row>
    <row r="70" spans="1:23" x14ac:dyDescent="0.2">
      <c r="A70" s="296" t="s">
        <v>6001</v>
      </c>
      <c r="B70" s="297">
        <f>IF($B$2="All",COUNTIFS('Full Crash Data'!$C:$C,B$29,'Full Crash Data'!$BA:$BA,"Yes"),IF($B$2="State Highway Agency",COUNTIFS('Full Crash Data'!$C:$C,B$29,'Full Crash Data'!$AN:$AN,"State Highway Agency",'Full Crash Data'!$BA:$BA,"Yes"),IF($B$2="County Highway Agency",COUNTIFS('Full Crash Data'!$C:$C,B$29,'Full Crash Data'!$AN:$AN,"County Highway Agency",'Full Crash Data'!$BA:$BA,"Yes"),IF($B$2="Township Highway Agency",COUNTIFS('Full Crash Data'!$C:$C,B$29,'Full Crash Data'!$AN:$AN,"Township Highway Agency",'Full Crash Data'!$BA:$BA,"Yes"),IF($B$2="City or Village Highway Agency",COUNTIFS('Full Crash Data'!$C:$C,B$29,'Full Crash Data'!$AN:$AN,"City or Village Highway Agency",'Full Crash Data'!$BA:$BA,"Yes"))))))</f>
        <v>0</v>
      </c>
      <c r="C70" s="272">
        <f t="shared" si="265"/>
        <v>0</v>
      </c>
      <c r="D70" s="297">
        <f>IF($B$2="All",COUNTIFS('Full Crash Data'!$C:$C,D$29,'Full Crash Data'!$BA:$BA,"Yes"),IF($B$2="State Highway Agency",COUNTIFS('Full Crash Data'!$C:$C,D$29,'Full Crash Data'!$AN:$AN,"State Highway Agency",'Full Crash Data'!$BA:$BA,"Yes"),IF($B$2="County Highway Agency",COUNTIFS('Full Crash Data'!$C:$C,D$29,'Full Crash Data'!$AN:$AN,"County Highway Agency",'Full Crash Data'!$BA:$BA,"Yes"),IF($B$2="Township Highway Agency",COUNTIFS('Full Crash Data'!$C:$C,D$29,'Full Crash Data'!$AN:$AN,"Township Highway Agency",'Full Crash Data'!$BA:$BA,"Yes"),IF($B$2="City or Village Highway Agency",COUNTIFS('Full Crash Data'!$C:$C,D$29,'Full Crash Data'!$AN:$AN,"City or Village Highway Agency",'Full Crash Data'!$BA:$BA,"Yes"))))))</f>
        <v>0</v>
      </c>
      <c r="E70" s="272">
        <f t="shared" si="256"/>
        <v>0</v>
      </c>
      <c r="F70" s="297">
        <f>IF($B$2="All",COUNTIFS('Full Crash Data'!$C:$C,F$29,'Full Crash Data'!$BA:$BA,"Yes"),IF($B$2="State Highway Agency",COUNTIFS('Full Crash Data'!$C:$C,F$29,'Full Crash Data'!$AN:$AN,"State Highway Agency",'Full Crash Data'!$BA:$BA,"Yes"),IF($B$2="County Highway Agency",COUNTIFS('Full Crash Data'!$C:$C,F$29,'Full Crash Data'!$AN:$AN,"County Highway Agency",'Full Crash Data'!$BA:$BA,"Yes"),IF($B$2="Township Highway Agency",COUNTIFS('Full Crash Data'!$C:$C,F$29,'Full Crash Data'!$AN:$AN,"Township Highway Agency",'Full Crash Data'!$BA:$BA,"Yes"),IF($B$2="City or Village Highway Agency",COUNTIFS('Full Crash Data'!$C:$C,F$29,'Full Crash Data'!$AN:$AN,"City or Village Highway Agency",'Full Crash Data'!$BA:$BA,"Yes"))))))</f>
        <v>0</v>
      </c>
      <c r="G70" s="272">
        <f t="shared" si="257"/>
        <v>0</v>
      </c>
      <c r="H70" s="297">
        <f>IF($B$2="All",COUNTIFS('Full Crash Data'!$C:$C,H$29,'Full Crash Data'!$BA:$BA,"Yes"),IF($B$2="State Highway Agency",COUNTIFS('Full Crash Data'!$C:$C,H$29,'Full Crash Data'!$AN:$AN,"State Highway Agency",'Full Crash Data'!$BA:$BA,"Yes"),IF($B$2="County Highway Agency",COUNTIFS('Full Crash Data'!$C:$C,H$29,'Full Crash Data'!$AN:$AN,"County Highway Agency",'Full Crash Data'!$BA:$BA,"Yes"),IF($B$2="Township Highway Agency",COUNTIFS('Full Crash Data'!$C:$C,H$29,'Full Crash Data'!$AN:$AN,"Township Highway Agency",'Full Crash Data'!$BA:$BA,"Yes"),IF($B$2="City or Village Highway Agency",COUNTIFS('Full Crash Data'!$C:$C,H$29,'Full Crash Data'!$AN:$AN,"City or Village Highway Agency",'Full Crash Data'!$BA:$BA,"Yes"))))))</f>
        <v>1</v>
      </c>
      <c r="I70" s="272">
        <f t="shared" si="257"/>
        <v>0.02</v>
      </c>
      <c r="J70" s="297">
        <f>IF($B$2="All",COUNTIFS('Full Crash Data'!$C:$C,J$29,'Full Crash Data'!$BA:$BA,"Yes"),IF($B$2="State Highway Agency",COUNTIFS('Full Crash Data'!$C:$C,J$29,'Full Crash Data'!$AN:$AN,"State Highway Agency",'Full Crash Data'!$BA:$BA,"Yes"),IF($B$2="County Highway Agency",COUNTIFS('Full Crash Data'!$C:$C,J$29,'Full Crash Data'!$AN:$AN,"County Highway Agency",'Full Crash Data'!$BA:$BA,"Yes"),IF($B$2="Township Highway Agency",COUNTIFS('Full Crash Data'!$C:$C,J$29,'Full Crash Data'!$AN:$AN,"Township Highway Agency",'Full Crash Data'!$BA:$BA,"Yes"),IF($B$2="City or Village Highway Agency",COUNTIFS('Full Crash Data'!$C:$C,J$29,'Full Crash Data'!$AN:$AN,"City or Village Highway Agency",'Full Crash Data'!$BA:$BA,"Yes"))))))</f>
        <v>0</v>
      </c>
      <c r="K70" s="272">
        <f t="shared" ref="K70:K71" si="350">IFERROR(ROUND(J70/J$56,2),0)</f>
        <v>0</v>
      </c>
      <c r="L70" s="297">
        <f>IF($B$2="All",COUNTIFS('Full Crash Data'!$C:$C,L$29,'Full Crash Data'!$BA:$BA,"Yes"),IF($B$2="State Highway Agency",COUNTIFS('Full Crash Data'!$C:$C,L$29,'Full Crash Data'!$AN:$AN,"State Highway Agency",'Full Crash Data'!$BA:$BA,"Yes"),IF($B$2="County Highway Agency",COUNTIFS('Full Crash Data'!$C:$C,L$29,'Full Crash Data'!$AN:$AN,"County Highway Agency",'Full Crash Data'!$BA:$BA,"Yes"),IF($B$2="Township Highway Agency",COUNTIFS('Full Crash Data'!$C:$C,L$29,'Full Crash Data'!$AN:$AN,"Township Highway Agency",'Full Crash Data'!$BA:$BA,"Yes"),IF($B$2="City or Village Highway Agency",COUNTIFS('Full Crash Data'!$C:$C,L$29,'Full Crash Data'!$AN:$AN,"City or Village Highway Agency",'Full Crash Data'!$BA:$BA,"Yes"))))))</f>
        <v>0</v>
      </c>
      <c r="M70" s="272">
        <f t="shared" ref="M70:M71" si="351">IFERROR(ROUND(L70/L$56,2),0)</f>
        <v>0</v>
      </c>
      <c r="N70" s="297">
        <f>IF($B$2="All",COUNTIFS('Full Crash Data'!$C:$C,N$29,'Full Crash Data'!$BA:$BA,"Yes"),IF($B$2="State Highway Agency",COUNTIFS('Full Crash Data'!$C:$C,N$29,'Full Crash Data'!$AN:$AN,"State Highway Agency",'Full Crash Data'!$BA:$BA,"Yes"),IF($B$2="County Highway Agency",COUNTIFS('Full Crash Data'!$C:$C,N$29,'Full Crash Data'!$AN:$AN,"County Highway Agency",'Full Crash Data'!$BA:$BA,"Yes"),IF($B$2="Township Highway Agency",COUNTIFS('Full Crash Data'!$C:$C,N$29,'Full Crash Data'!$AN:$AN,"Township Highway Agency",'Full Crash Data'!$BA:$BA,"Yes"),IF($B$2="City or Village Highway Agency",COUNTIFS('Full Crash Data'!$C:$C,N$29,'Full Crash Data'!$AN:$AN,"City or Village Highway Agency",'Full Crash Data'!$BA:$BA,"Yes"))))))</f>
        <v>0</v>
      </c>
      <c r="O70" s="272">
        <f t="shared" ref="O70:O71" si="352">IFERROR(ROUND(N70/N$56,2),0)</f>
        <v>0</v>
      </c>
      <c r="P70" s="297">
        <f>IF($B$2="All",COUNTIFS('Full Crash Data'!$C:$C,P$29,'Full Crash Data'!$BA:$BA,"Yes"),IF($B$2="State Highway Agency",COUNTIFS('Full Crash Data'!$C:$C,P$29,'Full Crash Data'!$AN:$AN,"State Highway Agency",'Full Crash Data'!$BA:$BA,"Yes"),IF($B$2="County Highway Agency",COUNTIFS('Full Crash Data'!$C:$C,P$29,'Full Crash Data'!$AN:$AN,"County Highway Agency",'Full Crash Data'!$BA:$BA,"Yes"),IF($B$2="Township Highway Agency",COUNTIFS('Full Crash Data'!$C:$C,P$29,'Full Crash Data'!$AN:$AN,"Township Highway Agency",'Full Crash Data'!$BA:$BA,"Yes"),IF($B$2="City or Village Highway Agency",COUNTIFS('Full Crash Data'!$C:$C,P$29,'Full Crash Data'!$AN:$AN,"City or Village Highway Agency",'Full Crash Data'!$BA:$BA,"Yes"))))))</f>
        <v>0</v>
      </c>
      <c r="Q70" s="272">
        <f t="shared" ref="Q70:Q71" si="353">IFERROR(ROUND(P70/P$56,2),0)</f>
        <v>0</v>
      </c>
      <c r="R70" s="297">
        <f>IF($B$2="All",COUNTIFS('Full Crash Data'!$C:$C,R$29,'Full Crash Data'!$BA:$BA,"Yes"),IF($B$2="State Highway Agency",COUNTIFS('Full Crash Data'!$C:$C,R$29,'Full Crash Data'!$AN:$AN,"State Highway Agency",'Full Crash Data'!$BA:$BA,"Yes"),IF($B$2="County Highway Agency",COUNTIFS('Full Crash Data'!$C:$C,R$29,'Full Crash Data'!$AN:$AN,"County Highway Agency",'Full Crash Data'!$BA:$BA,"Yes"),IF($B$2="Township Highway Agency",COUNTIFS('Full Crash Data'!$C:$C,R$29,'Full Crash Data'!$AN:$AN,"Township Highway Agency",'Full Crash Data'!$BA:$BA,"Yes"),IF($B$2="City or Village Highway Agency",COUNTIFS('Full Crash Data'!$C:$C,R$29,'Full Crash Data'!$AN:$AN,"City or Village Highway Agency",'Full Crash Data'!$BA:$BA,"Yes"))))))</f>
        <v>0</v>
      </c>
      <c r="S70" s="272">
        <f t="shared" ref="S70:S71" si="354">IFERROR(ROUND(R70/R$56,2),0)</f>
        <v>0</v>
      </c>
      <c r="T70" s="297">
        <f>IF($B$2="All",COUNTIFS('Full Crash Data'!$C:$C,T$29,'Full Crash Data'!$BA:$BA,"Yes"),IF($B$2="State Highway Agency",COUNTIFS('Full Crash Data'!$C:$C,T$29,'Full Crash Data'!$AN:$AN,"State Highway Agency",'Full Crash Data'!$BA:$BA,"Yes"),IF($B$2="County Highway Agency",COUNTIFS('Full Crash Data'!$C:$C,T$29,'Full Crash Data'!$AN:$AN,"County Highway Agency",'Full Crash Data'!$BA:$BA,"Yes"),IF($B$2="Township Highway Agency",COUNTIFS('Full Crash Data'!$C:$C,T$29,'Full Crash Data'!$AN:$AN,"Township Highway Agency",'Full Crash Data'!$BA:$BA,"Yes"),IF($B$2="City or Village Highway Agency",COUNTIFS('Full Crash Data'!$C:$C,T$29,'Full Crash Data'!$AN:$AN,"City or Village Highway Agency",'Full Crash Data'!$BA:$BA,"Yes"))))))</f>
        <v>0</v>
      </c>
      <c r="U70" s="272">
        <f t="shared" ref="U70:U71" si="355">IFERROR(ROUND(T70/T$56,2),0)</f>
        <v>0</v>
      </c>
      <c r="V70" s="297">
        <f>IF($B$2="All",COUNTIFS('Full Crash Data'!$C:$C,V$29,'Full Crash Data'!$BA:$BA,"Yes"),IF($B$2="State Highway Agency",COUNTIFS('Full Crash Data'!$C:$C,V$29,'Full Crash Data'!$AN:$AN,"State Highway Agency",'Full Crash Data'!$BA:$BA,"Yes"),IF($B$2="County Highway Agency",COUNTIFS('Full Crash Data'!$C:$C,V$29,'Full Crash Data'!$AN:$AN,"County Highway Agency",'Full Crash Data'!$BA:$BA,"Yes"),IF($B$2="Township Highway Agency",COUNTIFS('Full Crash Data'!$C:$C,V$29,'Full Crash Data'!$AN:$AN,"Township Highway Agency",'Full Crash Data'!$BA:$BA,"Yes"),IF($B$2="City or Village Highway Agency",COUNTIFS('Full Crash Data'!$C:$C,V$29,'Full Crash Data'!$AN:$AN,"City or Village Highway Agency",'Full Crash Data'!$BA:$BA,"Yes"))))))</f>
        <v>0</v>
      </c>
      <c r="W70" s="272">
        <f t="shared" ref="W70:W71" si="356">IFERROR(ROUND(V70/V$56,2),0)</f>
        <v>0</v>
      </c>
    </row>
    <row r="71" spans="1:23" x14ac:dyDescent="0.2">
      <c r="A71" s="296" t="s">
        <v>6409</v>
      </c>
      <c r="B71" s="297">
        <f>IF($B$2="All",SUMIFS('Full Crash Data'!$V:$V,'Full Crash Data'!$C:$C,B$29,'Full Crash Data'!$AZ:$AZ,"Yes"),IF($B$2="State Highway Agency",SUMIFS('Full Crash Data'!$V:$V,'Full Crash Data'!$C:$C,B$29,'Full Crash Data'!$AN:$AN,"State Highway Agency",'Full Crash Data'!$AZ:$AZ,"Yes"),IF($B$2="County Highway Agency",SUMIFS('Full Crash Data'!$V:$V,'Full Crash Data'!$C:$C,B$29,'Full Crash Data'!$AN:$AN,"County Highway Agency",'Full Crash Data'!$AZ:$AZ,"Yes"),IF($B$2="Township Highway Agency",SUMIFS('Full Crash Data'!$V:$V,'Full Crash Data'!$C:$C,B$29,'Full Crash Data'!$AN:$AN,"Township Highway Agency",'Full Crash Data'!$AZ:$AZ,"Yes"),IF($B$2="City or Village Highway Agency",SUMIFS('Full Crash Data'!$V:$V,'Full Crash Data'!$C:$C,B$29,'Full Crash Data'!$AN:$AN,"City or Village Highway Agency",'Full Crash Data'!$AZ:$AZ,"Yes"))))))</f>
        <v>0</v>
      </c>
      <c r="C71" s="272">
        <f t="shared" si="265"/>
        <v>0</v>
      </c>
      <c r="D71" s="297">
        <f>IF($B$2="All",SUMIFS('Full Crash Data'!$V:$V,'Full Crash Data'!$C:$C,D$29,'Full Crash Data'!$AZ:$AZ,"Yes"),IF($B$2="State Highway Agency",SUMIFS('Full Crash Data'!$V:$V,'Full Crash Data'!$C:$C,D$29,'Full Crash Data'!$AN:$AN,"State Highway Agency",'Full Crash Data'!$AZ:$AZ,"Yes"),IF($B$2="County Highway Agency",SUMIFS('Full Crash Data'!$V:$V,'Full Crash Data'!$C:$C,D$29,'Full Crash Data'!$AN:$AN,"County Highway Agency",'Full Crash Data'!$AZ:$AZ,"Yes"),IF($B$2="Township Highway Agency",SUMIFS('Full Crash Data'!$V:$V,'Full Crash Data'!$C:$C,D$29,'Full Crash Data'!$AN:$AN,"Township Highway Agency",'Full Crash Data'!$AZ:$AZ,"Yes"),IF($B$2="City or Village Highway Agency",SUMIFS('Full Crash Data'!$V:$V,'Full Crash Data'!$C:$C,D$29,'Full Crash Data'!$AN:$AN,"City or Village Highway Agency",'Full Crash Data'!$AZ:$AZ,"Yes"))))))</f>
        <v>0</v>
      </c>
      <c r="E71" s="272">
        <f t="shared" si="256"/>
        <v>0</v>
      </c>
      <c r="F71" s="297">
        <f>IF($B$2="All",SUMIFS('Full Crash Data'!$V:$V,'Full Crash Data'!$C:$C,F$29,'Full Crash Data'!$AZ:$AZ,"Yes"),IF($B$2="State Highway Agency",SUMIFS('Full Crash Data'!$V:$V,'Full Crash Data'!$C:$C,F$29,'Full Crash Data'!$AN:$AN,"State Highway Agency",'Full Crash Data'!$AZ:$AZ,"Yes"),IF($B$2="County Highway Agency",SUMIFS('Full Crash Data'!$V:$V,'Full Crash Data'!$C:$C,F$29,'Full Crash Data'!$AN:$AN,"County Highway Agency",'Full Crash Data'!$AZ:$AZ,"Yes"),IF($B$2="Township Highway Agency",SUMIFS('Full Crash Data'!$V:$V,'Full Crash Data'!$C:$C,F$29,'Full Crash Data'!$AN:$AN,"Township Highway Agency",'Full Crash Data'!$AZ:$AZ,"Yes"),IF($B$2="City or Village Highway Agency",SUMIFS('Full Crash Data'!$V:$V,'Full Crash Data'!$C:$C,F$29,'Full Crash Data'!$AN:$AN,"City or Village Highway Agency",'Full Crash Data'!$AZ:$AZ,"Yes"))))))</f>
        <v>0</v>
      </c>
      <c r="G71" s="272">
        <f t="shared" si="257"/>
        <v>0</v>
      </c>
      <c r="H71" s="297">
        <f>IF($B$2="All",SUMIFS('Full Crash Data'!$V:$V,'Full Crash Data'!$C:$C,H$29,'Full Crash Data'!$AZ:$AZ,"Yes"),IF($B$2="State Highway Agency",SUMIFS('Full Crash Data'!$V:$V,'Full Crash Data'!$C:$C,H$29,'Full Crash Data'!$AN:$AN,"State Highway Agency",'Full Crash Data'!$AZ:$AZ,"Yes"),IF($B$2="County Highway Agency",SUMIFS('Full Crash Data'!$V:$V,'Full Crash Data'!$C:$C,H$29,'Full Crash Data'!$AN:$AN,"County Highway Agency",'Full Crash Data'!$AZ:$AZ,"Yes"),IF($B$2="Township Highway Agency",SUMIFS('Full Crash Data'!$V:$V,'Full Crash Data'!$C:$C,H$29,'Full Crash Data'!$AN:$AN,"Township Highway Agency",'Full Crash Data'!$AZ:$AZ,"Yes"),IF($B$2="City or Village Highway Agency",SUMIFS('Full Crash Data'!$V:$V,'Full Crash Data'!$C:$C,H$29,'Full Crash Data'!$AN:$AN,"City or Village Highway Agency",'Full Crash Data'!$AZ:$AZ,"Yes"))))))</f>
        <v>0</v>
      </c>
      <c r="I71" s="272">
        <f t="shared" si="257"/>
        <v>0</v>
      </c>
      <c r="J71" s="297">
        <f>IF($B$2="All",SUMIFS('Full Crash Data'!$V:$V,'Full Crash Data'!$C:$C,J$29,'Full Crash Data'!$AZ:$AZ,"Yes"),IF($B$2="State Highway Agency",SUMIFS('Full Crash Data'!$V:$V,'Full Crash Data'!$C:$C,J$29,'Full Crash Data'!$AN:$AN,"State Highway Agency",'Full Crash Data'!$AZ:$AZ,"Yes"),IF($B$2="County Highway Agency",SUMIFS('Full Crash Data'!$V:$V,'Full Crash Data'!$C:$C,J$29,'Full Crash Data'!$AN:$AN,"County Highway Agency",'Full Crash Data'!$AZ:$AZ,"Yes"),IF($B$2="Township Highway Agency",SUMIFS('Full Crash Data'!$V:$V,'Full Crash Data'!$C:$C,J$29,'Full Crash Data'!$AN:$AN,"Township Highway Agency",'Full Crash Data'!$AZ:$AZ,"Yes"),IF($B$2="City or Village Highway Agency",SUMIFS('Full Crash Data'!$V:$V,'Full Crash Data'!$C:$C,J$29,'Full Crash Data'!$AN:$AN,"City or Village Highway Agency",'Full Crash Data'!$AZ:$AZ,"Yes"))))))</f>
        <v>0</v>
      </c>
      <c r="K71" s="272">
        <f t="shared" si="350"/>
        <v>0</v>
      </c>
      <c r="L71" s="297">
        <f>IF($B$2="All",SUMIFS('Full Crash Data'!$V:$V,'Full Crash Data'!$C:$C,L$29,'Full Crash Data'!$AZ:$AZ,"Yes"),IF($B$2="State Highway Agency",SUMIFS('Full Crash Data'!$V:$V,'Full Crash Data'!$C:$C,L$29,'Full Crash Data'!$AN:$AN,"State Highway Agency",'Full Crash Data'!$AZ:$AZ,"Yes"),IF($B$2="County Highway Agency",SUMIFS('Full Crash Data'!$V:$V,'Full Crash Data'!$C:$C,L$29,'Full Crash Data'!$AN:$AN,"County Highway Agency",'Full Crash Data'!$AZ:$AZ,"Yes"),IF($B$2="Township Highway Agency",SUMIFS('Full Crash Data'!$V:$V,'Full Crash Data'!$C:$C,L$29,'Full Crash Data'!$AN:$AN,"Township Highway Agency",'Full Crash Data'!$AZ:$AZ,"Yes"),IF($B$2="City or Village Highway Agency",SUMIFS('Full Crash Data'!$V:$V,'Full Crash Data'!$C:$C,L$29,'Full Crash Data'!$AN:$AN,"City or Village Highway Agency",'Full Crash Data'!$AZ:$AZ,"Yes"))))))</f>
        <v>0</v>
      </c>
      <c r="M71" s="272">
        <f t="shared" si="351"/>
        <v>0</v>
      </c>
      <c r="N71" s="297">
        <f>IF($B$2="All",SUMIFS('Full Crash Data'!$V:$V,'Full Crash Data'!$C:$C,N$29,'Full Crash Data'!$AZ:$AZ,"Yes"),IF($B$2="State Highway Agency",SUMIFS('Full Crash Data'!$V:$V,'Full Crash Data'!$C:$C,N$29,'Full Crash Data'!$AN:$AN,"State Highway Agency",'Full Crash Data'!$AZ:$AZ,"Yes"),IF($B$2="County Highway Agency",SUMIFS('Full Crash Data'!$V:$V,'Full Crash Data'!$C:$C,N$29,'Full Crash Data'!$AN:$AN,"County Highway Agency",'Full Crash Data'!$AZ:$AZ,"Yes"),IF($B$2="Township Highway Agency",SUMIFS('Full Crash Data'!$V:$V,'Full Crash Data'!$C:$C,N$29,'Full Crash Data'!$AN:$AN,"Township Highway Agency",'Full Crash Data'!$AZ:$AZ,"Yes"),IF($B$2="City or Village Highway Agency",SUMIFS('Full Crash Data'!$V:$V,'Full Crash Data'!$C:$C,N$29,'Full Crash Data'!$AN:$AN,"City or Village Highway Agency",'Full Crash Data'!$AZ:$AZ,"Yes"))))))</f>
        <v>0</v>
      </c>
      <c r="O71" s="272">
        <f t="shared" si="352"/>
        <v>0</v>
      </c>
      <c r="P71" s="297">
        <f>IF($B$2="All",SUMIFS('Full Crash Data'!$V:$V,'Full Crash Data'!$C:$C,P$29,'Full Crash Data'!$AZ:$AZ,"Yes"),IF($B$2="State Highway Agency",SUMIFS('Full Crash Data'!$V:$V,'Full Crash Data'!$C:$C,P$29,'Full Crash Data'!$AN:$AN,"State Highway Agency",'Full Crash Data'!$AZ:$AZ,"Yes"),IF($B$2="County Highway Agency",SUMIFS('Full Crash Data'!$V:$V,'Full Crash Data'!$C:$C,P$29,'Full Crash Data'!$AN:$AN,"County Highway Agency",'Full Crash Data'!$AZ:$AZ,"Yes"),IF($B$2="Township Highway Agency",SUMIFS('Full Crash Data'!$V:$V,'Full Crash Data'!$C:$C,P$29,'Full Crash Data'!$AN:$AN,"Township Highway Agency",'Full Crash Data'!$AZ:$AZ,"Yes"),IF($B$2="City or Village Highway Agency",SUMIFS('Full Crash Data'!$V:$V,'Full Crash Data'!$C:$C,P$29,'Full Crash Data'!$AN:$AN,"City or Village Highway Agency",'Full Crash Data'!$AZ:$AZ,"Yes"))))))</f>
        <v>0</v>
      </c>
      <c r="Q71" s="272">
        <f t="shared" si="353"/>
        <v>0</v>
      </c>
      <c r="R71" s="297">
        <f>IF($B$2="All",SUMIFS('Full Crash Data'!$V:$V,'Full Crash Data'!$C:$C,R$29,'Full Crash Data'!$AZ:$AZ,"Yes"),IF($B$2="State Highway Agency",SUMIFS('Full Crash Data'!$V:$V,'Full Crash Data'!$C:$C,R$29,'Full Crash Data'!$AN:$AN,"State Highway Agency",'Full Crash Data'!$AZ:$AZ,"Yes"),IF($B$2="County Highway Agency",SUMIFS('Full Crash Data'!$V:$V,'Full Crash Data'!$C:$C,R$29,'Full Crash Data'!$AN:$AN,"County Highway Agency",'Full Crash Data'!$AZ:$AZ,"Yes"),IF($B$2="Township Highway Agency",SUMIFS('Full Crash Data'!$V:$V,'Full Crash Data'!$C:$C,R$29,'Full Crash Data'!$AN:$AN,"Township Highway Agency",'Full Crash Data'!$AZ:$AZ,"Yes"),IF($B$2="City or Village Highway Agency",SUMIFS('Full Crash Data'!$V:$V,'Full Crash Data'!$C:$C,R$29,'Full Crash Data'!$AN:$AN,"City or Village Highway Agency",'Full Crash Data'!$AZ:$AZ,"Yes"))))))</f>
        <v>0</v>
      </c>
      <c r="S71" s="272">
        <f t="shared" si="354"/>
        <v>0</v>
      </c>
      <c r="T71" s="297">
        <f>IF($B$2="All",SUMIFS('Full Crash Data'!$V:$V,'Full Crash Data'!$C:$C,T$29,'Full Crash Data'!$AZ:$AZ,"Yes"),IF($B$2="State Highway Agency",SUMIFS('Full Crash Data'!$V:$V,'Full Crash Data'!$C:$C,T$29,'Full Crash Data'!$AN:$AN,"State Highway Agency",'Full Crash Data'!$AZ:$AZ,"Yes"),IF($B$2="County Highway Agency",SUMIFS('Full Crash Data'!$V:$V,'Full Crash Data'!$C:$C,T$29,'Full Crash Data'!$AN:$AN,"County Highway Agency",'Full Crash Data'!$AZ:$AZ,"Yes"),IF($B$2="Township Highway Agency",SUMIFS('Full Crash Data'!$V:$V,'Full Crash Data'!$C:$C,T$29,'Full Crash Data'!$AN:$AN,"Township Highway Agency",'Full Crash Data'!$AZ:$AZ,"Yes"),IF($B$2="City or Village Highway Agency",SUMIFS('Full Crash Data'!$V:$V,'Full Crash Data'!$C:$C,T$29,'Full Crash Data'!$AN:$AN,"City or Village Highway Agency",'Full Crash Data'!$AZ:$AZ,"Yes"))))))</f>
        <v>0</v>
      </c>
      <c r="U71" s="272">
        <f t="shared" si="355"/>
        <v>0</v>
      </c>
      <c r="V71" s="297">
        <f>IF($B$2="All",SUMIFS('Full Crash Data'!$V:$V,'Full Crash Data'!$C:$C,V$29,'Full Crash Data'!$AZ:$AZ,"Yes"),IF($B$2="State Highway Agency",SUMIFS('Full Crash Data'!$V:$V,'Full Crash Data'!$C:$C,V$29,'Full Crash Data'!$AN:$AN,"State Highway Agency",'Full Crash Data'!$AZ:$AZ,"Yes"),IF($B$2="County Highway Agency",SUMIFS('Full Crash Data'!$V:$V,'Full Crash Data'!$C:$C,V$29,'Full Crash Data'!$AN:$AN,"County Highway Agency",'Full Crash Data'!$AZ:$AZ,"Yes"),IF($B$2="Township Highway Agency",SUMIFS('Full Crash Data'!$V:$V,'Full Crash Data'!$C:$C,V$29,'Full Crash Data'!$AN:$AN,"Township Highway Agency",'Full Crash Data'!$AZ:$AZ,"Yes"),IF($B$2="City or Village Highway Agency",SUMIFS('Full Crash Data'!$V:$V,'Full Crash Data'!$C:$C,V$29,'Full Crash Data'!$AN:$AN,"City or Village Highway Agency",'Full Crash Data'!$AZ:$AZ,"Yes"))))))</f>
        <v>0</v>
      </c>
      <c r="W71" s="272">
        <f t="shared" si="356"/>
        <v>0</v>
      </c>
    </row>
    <row r="72" spans="1:23" ht="19" thickBot="1" x14ac:dyDescent="0.25">
      <c r="A72" s="299" t="s">
        <v>390</v>
      </c>
      <c r="B72" s="300">
        <f>IF($B$2="All",COUNTIFS('Full Crash Data'!$C:$C,B$29,'Full Crash Data'!$G:$G,"Rear End"),IF($B$2="State Highway Agency",COUNTIFS('Full Crash Data'!$C:$C,B$29,'Full Crash Data'!$AN:$AN,"State Highway Agency",'Full Crash Data'!$G:$G,"Rear End"),IF($B$2="County Highway Agency",COUNTIFS('Full Crash Data'!$C:$C,B$29,'Full Crash Data'!$AN:$AN,"County Highway Agency",'Full Crash Data'!$G:$G,"Rear End"),IF($B$2="Township Highway Agency",COUNTIFS('Full Crash Data'!$C:$C,B$29,'Full Crash Data'!$AN:$AN,"Township Highway Agency",'Full Crash Data'!$G:$G,"Rear End"),IF($B$2="City or Village Highway Agency",COUNTIFS('Full Crash Data'!$C:$C,B$29,'Full Crash Data'!$AN:$AN,"City or Village Highway Agency",'Full Crash Data'!$G:$G,"Rear End"))))))</f>
        <v>6</v>
      </c>
      <c r="C72" s="279">
        <f t="shared" si="265"/>
        <v>0.16</v>
      </c>
      <c r="D72" s="300">
        <f>IF($B$2="All",COUNTIFS('Full Crash Data'!$C:$C,D$29,'Full Crash Data'!$G:$G,"Rear End"),IF($B$2="State Highway Agency",COUNTIFS('Full Crash Data'!$C:$C,D$29,'Full Crash Data'!$AN:$AN,"State Highway Agency",'Full Crash Data'!$G:$G,"Rear End"),IF($B$2="County Highway Agency",COUNTIFS('Full Crash Data'!$C:$C,D$29,'Full Crash Data'!$AN:$AN,"County Highway Agency",'Full Crash Data'!$G:$G,"Rear End"),IF($B$2="Township Highway Agency",COUNTIFS('Full Crash Data'!$C:$C,D$29,'Full Crash Data'!$AN:$AN,"Township Highway Agency",'Full Crash Data'!$G:$G,"Rear End"),IF($B$2="City or Village Highway Agency",COUNTIFS('Full Crash Data'!$C:$C,D$29,'Full Crash Data'!$AN:$AN,"City or Village Highway Agency",'Full Crash Data'!$G:$G,"Rear End"))))))</f>
        <v>9</v>
      </c>
      <c r="E72" s="279">
        <f t="shared" si="256"/>
        <v>0.13</v>
      </c>
      <c r="F72" s="300">
        <f>IF($B$2="All",COUNTIFS('Full Crash Data'!$C:$C,F$29,'Full Crash Data'!$G:$G,"Rear End"),IF($B$2="State Highway Agency",COUNTIFS('Full Crash Data'!$C:$C,F$29,'Full Crash Data'!$AN:$AN,"State Highway Agency",'Full Crash Data'!$G:$G,"Rear End"),IF($B$2="County Highway Agency",COUNTIFS('Full Crash Data'!$C:$C,F$29,'Full Crash Data'!$AN:$AN,"County Highway Agency",'Full Crash Data'!$G:$G,"Rear End"),IF($B$2="Township Highway Agency",COUNTIFS('Full Crash Data'!$C:$C,F$29,'Full Crash Data'!$AN:$AN,"Township Highway Agency",'Full Crash Data'!$G:$G,"Rear End"),IF($B$2="City or Village Highway Agency",COUNTIFS('Full Crash Data'!$C:$C,F$29,'Full Crash Data'!$AN:$AN,"City or Village Highway Agency",'Full Crash Data'!$G:$G,"Rear End"))))))</f>
        <v>14</v>
      </c>
      <c r="G72" s="279">
        <f t="shared" si="257"/>
        <v>0.22</v>
      </c>
      <c r="H72" s="300">
        <f>IF($B$2="All",COUNTIFS('Full Crash Data'!$C:$C,H$29,'Full Crash Data'!$G:$G,"Rear End"),IF($B$2="State Highway Agency",COUNTIFS('Full Crash Data'!$C:$C,H$29,'Full Crash Data'!$AN:$AN,"State Highway Agency",'Full Crash Data'!$G:$G,"Rear End"),IF($B$2="County Highway Agency",COUNTIFS('Full Crash Data'!$C:$C,H$29,'Full Crash Data'!$AN:$AN,"County Highway Agency",'Full Crash Data'!$G:$G,"Rear End"),IF($B$2="Township Highway Agency",COUNTIFS('Full Crash Data'!$C:$C,H$29,'Full Crash Data'!$AN:$AN,"Township Highway Agency",'Full Crash Data'!$G:$G,"Rear End"),IF($B$2="City or Village Highway Agency",COUNTIFS('Full Crash Data'!$C:$C,H$29,'Full Crash Data'!$AN:$AN,"City or Village Highway Agency",'Full Crash Data'!$G:$G,"Rear End"))))))</f>
        <v>10</v>
      </c>
      <c r="I72" s="279">
        <f t="shared" si="257"/>
        <v>0.18</v>
      </c>
      <c r="J72" s="300">
        <f>IF($B$2="All",COUNTIFS('Full Crash Data'!$C:$C,J$29,'Full Crash Data'!$G:$G,"Rear End"),IF($B$2="State Highway Agency",COUNTIFS('Full Crash Data'!$C:$C,J$29,'Full Crash Data'!$AN:$AN,"State Highway Agency",'Full Crash Data'!$G:$G,"Rear End"),IF($B$2="County Highway Agency",COUNTIFS('Full Crash Data'!$C:$C,J$29,'Full Crash Data'!$AN:$AN,"County Highway Agency",'Full Crash Data'!$G:$G,"Rear End"),IF($B$2="Township Highway Agency",COUNTIFS('Full Crash Data'!$C:$C,J$29,'Full Crash Data'!$AN:$AN,"Township Highway Agency",'Full Crash Data'!$G:$G,"Rear End"),IF($B$2="City or Village Highway Agency",COUNTIFS('Full Crash Data'!$C:$C,J$29,'Full Crash Data'!$AN:$AN,"City or Village Highway Agency",'Full Crash Data'!$G:$G,"Rear End"))))))</f>
        <v>21</v>
      </c>
      <c r="K72" s="279">
        <f t="shared" ref="K72" si="357">IFERROR(ROUND(J72/J$56,2),0)</f>
        <v>0.27</v>
      </c>
      <c r="L72" s="300">
        <f>IF($B$2="All",COUNTIFS('Full Crash Data'!$C:$C,L$29,'Full Crash Data'!$G:$G,"Rear End"),IF($B$2="State Highway Agency",COUNTIFS('Full Crash Data'!$C:$C,L$29,'Full Crash Data'!$AN:$AN,"State Highway Agency",'Full Crash Data'!$G:$G,"Rear End"),IF($B$2="County Highway Agency",COUNTIFS('Full Crash Data'!$C:$C,L$29,'Full Crash Data'!$AN:$AN,"County Highway Agency",'Full Crash Data'!$G:$G,"Rear End"),IF($B$2="Township Highway Agency",COUNTIFS('Full Crash Data'!$C:$C,L$29,'Full Crash Data'!$AN:$AN,"Township Highway Agency",'Full Crash Data'!$G:$G,"Rear End"),IF($B$2="City or Village Highway Agency",COUNTIFS('Full Crash Data'!$C:$C,L$29,'Full Crash Data'!$AN:$AN,"City or Village Highway Agency",'Full Crash Data'!$G:$G,"Rear End"))))))</f>
        <v>0</v>
      </c>
      <c r="M72" s="279">
        <f t="shared" ref="M72" si="358">IFERROR(ROUND(L72/L$56,2),0)</f>
        <v>0</v>
      </c>
      <c r="N72" s="300">
        <f>IF($B$2="All",COUNTIFS('Full Crash Data'!$C:$C,N$29,'Full Crash Data'!$G:$G,"Rear End"),IF($B$2="State Highway Agency",COUNTIFS('Full Crash Data'!$C:$C,N$29,'Full Crash Data'!$AN:$AN,"State Highway Agency",'Full Crash Data'!$G:$G,"Rear End"),IF($B$2="County Highway Agency",COUNTIFS('Full Crash Data'!$C:$C,N$29,'Full Crash Data'!$AN:$AN,"County Highway Agency",'Full Crash Data'!$G:$G,"Rear End"),IF($B$2="Township Highway Agency",COUNTIFS('Full Crash Data'!$C:$C,N$29,'Full Crash Data'!$AN:$AN,"Township Highway Agency",'Full Crash Data'!$G:$G,"Rear End"),IF($B$2="City or Village Highway Agency",COUNTIFS('Full Crash Data'!$C:$C,N$29,'Full Crash Data'!$AN:$AN,"City or Village Highway Agency",'Full Crash Data'!$G:$G,"Rear End"))))))</f>
        <v>0</v>
      </c>
      <c r="O72" s="279">
        <f t="shared" ref="O72" si="359">IFERROR(ROUND(N72/N$56,2),0)</f>
        <v>0</v>
      </c>
      <c r="P72" s="300">
        <f>IF($B$2="All",COUNTIFS('Full Crash Data'!$C:$C,P$29,'Full Crash Data'!$G:$G,"Rear End"),IF($B$2="State Highway Agency",COUNTIFS('Full Crash Data'!$C:$C,P$29,'Full Crash Data'!$AN:$AN,"State Highway Agency",'Full Crash Data'!$G:$G,"Rear End"),IF($B$2="County Highway Agency",COUNTIFS('Full Crash Data'!$C:$C,P$29,'Full Crash Data'!$AN:$AN,"County Highway Agency",'Full Crash Data'!$G:$G,"Rear End"),IF($B$2="Township Highway Agency",COUNTIFS('Full Crash Data'!$C:$C,P$29,'Full Crash Data'!$AN:$AN,"Township Highway Agency",'Full Crash Data'!$G:$G,"Rear End"),IF($B$2="City or Village Highway Agency",COUNTIFS('Full Crash Data'!$C:$C,P$29,'Full Crash Data'!$AN:$AN,"City or Village Highway Agency",'Full Crash Data'!$G:$G,"Rear End"))))))</f>
        <v>0</v>
      </c>
      <c r="Q72" s="279">
        <f t="shared" ref="Q72" si="360">IFERROR(ROUND(P72/P$56,2),0)</f>
        <v>0</v>
      </c>
      <c r="R72" s="300">
        <f>IF($B$2="All",COUNTIFS('Full Crash Data'!$C:$C,R$29,'Full Crash Data'!$G:$G,"Rear End"),IF($B$2="State Highway Agency",COUNTIFS('Full Crash Data'!$C:$C,R$29,'Full Crash Data'!$AN:$AN,"State Highway Agency",'Full Crash Data'!$G:$G,"Rear End"),IF($B$2="County Highway Agency",COUNTIFS('Full Crash Data'!$C:$C,R$29,'Full Crash Data'!$AN:$AN,"County Highway Agency",'Full Crash Data'!$G:$G,"Rear End"),IF($B$2="Township Highway Agency",COUNTIFS('Full Crash Data'!$C:$C,R$29,'Full Crash Data'!$AN:$AN,"Township Highway Agency",'Full Crash Data'!$G:$G,"Rear End"),IF($B$2="City or Village Highway Agency",COUNTIFS('Full Crash Data'!$C:$C,R$29,'Full Crash Data'!$AN:$AN,"City or Village Highway Agency",'Full Crash Data'!$G:$G,"Rear End"))))))</f>
        <v>0</v>
      </c>
      <c r="S72" s="279">
        <f t="shared" ref="S72" si="361">IFERROR(ROUND(R72/R$56,2),0)</f>
        <v>0</v>
      </c>
      <c r="T72" s="300">
        <f>IF($B$2="All",COUNTIFS('Full Crash Data'!$C:$C,T$29,'Full Crash Data'!$G:$G,"Rear End"),IF($B$2="State Highway Agency",COUNTIFS('Full Crash Data'!$C:$C,T$29,'Full Crash Data'!$AN:$AN,"State Highway Agency",'Full Crash Data'!$G:$G,"Rear End"),IF($B$2="County Highway Agency",COUNTIFS('Full Crash Data'!$C:$C,T$29,'Full Crash Data'!$AN:$AN,"County Highway Agency",'Full Crash Data'!$G:$G,"Rear End"),IF($B$2="Township Highway Agency",COUNTIFS('Full Crash Data'!$C:$C,T$29,'Full Crash Data'!$AN:$AN,"Township Highway Agency",'Full Crash Data'!$G:$G,"Rear End"),IF($B$2="City or Village Highway Agency",COUNTIFS('Full Crash Data'!$C:$C,T$29,'Full Crash Data'!$AN:$AN,"City or Village Highway Agency",'Full Crash Data'!$G:$G,"Rear End"))))))</f>
        <v>0</v>
      </c>
      <c r="U72" s="279">
        <f t="shared" ref="U72" si="362">IFERROR(ROUND(T72/T$56,2),0)</f>
        <v>0</v>
      </c>
      <c r="V72" s="300">
        <f>IF($B$2="All",COUNTIFS('Full Crash Data'!$C:$C,V$29,'Full Crash Data'!$G:$G,"Rear End"),IF($B$2="State Highway Agency",COUNTIFS('Full Crash Data'!$C:$C,V$29,'Full Crash Data'!$AN:$AN,"State Highway Agency",'Full Crash Data'!$G:$G,"Rear End"),IF($B$2="County Highway Agency",COUNTIFS('Full Crash Data'!$C:$C,V$29,'Full Crash Data'!$AN:$AN,"County Highway Agency",'Full Crash Data'!$G:$G,"Rear End"),IF($B$2="Township Highway Agency",COUNTIFS('Full Crash Data'!$C:$C,V$29,'Full Crash Data'!$AN:$AN,"Township Highway Agency",'Full Crash Data'!$G:$G,"Rear End"),IF($B$2="City or Village Highway Agency",COUNTIFS('Full Crash Data'!$C:$C,V$29,'Full Crash Data'!$AN:$AN,"City or Village Highway Agency",'Full Crash Data'!$G:$G,"Rear End"))))))</f>
        <v>0</v>
      </c>
      <c r="W72" s="279">
        <f t="shared" ref="W72" si="363">IFERROR(ROUND(V72/V$56,2),0)</f>
        <v>0</v>
      </c>
    </row>
    <row r="73" spans="1:23" x14ac:dyDescent="0.2">
      <c r="A73" s="301" t="str">
        <f>A49</f>
        <v>*2020 Data is Preliminary</v>
      </c>
      <c r="B73" s="301"/>
      <c r="C73" s="301"/>
      <c r="D73" s="301"/>
      <c r="E73" s="301"/>
      <c r="F73" s="302"/>
      <c r="G73" s="302"/>
      <c r="H73" s="289"/>
      <c r="I73" s="289"/>
      <c r="J73" s="289"/>
      <c r="K73" s="289"/>
      <c r="L73" s="289"/>
      <c r="M73" s="289"/>
      <c r="N73" s="289"/>
      <c r="O73" s="289"/>
      <c r="P73" s="289"/>
      <c r="Q73" s="289"/>
      <c r="R73" s="289"/>
      <c r="S73" s="289"/>
      <c r="T73" s="289"/>
      <c r="U73" s="289"/>
      <c r="V73" s="289"/>
      <c r="W73" s="289"/>
    </row>
  </sheetData>
  <mergeCells count="23">
    <mergeCell ref="P52:Q52"/>
    <mergeCell ref="R52:S52"/>
    <mergeCell ref="B2:D2"/>
    <mergeCell ref="B52:C52"/>
    <mergeCell ref="D52:E52"/>
    <mergeCell ref="F52:G52"/>
    <mergeCell ref="H52:I52"/>
    <mergeCell ref="T52:U52"/>
    <mergeCell ref="V52:W52"/>
    <mergeCell ref="B28:C28"/>
    <mergeCell ref="D28:E28"/>
    <mergeCell ref="F28:G28"/>
    <mergeCell ref="H28:I28"/>
    <mergeCell ref="J28:K28"/>
    <mergeCell ref="L28:M28"/>
    <mergeCell ref="N28:O28"/>
    <mergeCell ref="P28:Q28"/>
    <mergeCell ref="R28:S28"/>
    <mergeCell ref="T28:U28"/>
    <mergeCell ref="V28:W28"/>
    <mergeCell ref="J52:K52"/>
    <mergeCell ref="L52:M52"/>
    <mergeCell ref="N52:O52"/>
  </mergeCells>
  <conditionalFormatting sqref="G9:G24">
    <cfRule type="colorScale" priority="90">
      <colorScale>
        <cfvo type="min"/>
        <cfvo type="max"/>
        <color rgb="FFFFEF9C"/>
        <color rgb="FFFF7128"/>
      </colorScale>
    </cfRule>
  </conditionalFormatting>
  <conditionalFormatting sqref="I9:I24">
    <cfRule type="colorScale" priority="92">
      <colorScale>
        <cfvo type="min"/>
        <cfvo type="max"/>
        <color rgb="FFFFEF9C"/>
        <color rgb="FFFF7128"/>
      </colorScale>
    </cfRule>
  </conditionalFormatting>
  <conditionalFormatting sqref="E9:E24">
    <cfRule type="colorScale" priority="94">
      <colorScale>
        <cfvo type="min"/>
        <cfvo type="max"/>
        <color rgb="FFFFEF9C"/>
        <color rgb="FFFF7128"/>
      </colorScale>
    </cfRule>
  </conditionalFormatting>
  <conditionalFormatting sqref="C9:C24">
    <cfRule type="colorScale" priority="96">
      <colorScale>
        <cfvo type="min"/>
        <cfvo type="max"/>
        <color rgb="FFFFEF9C"/>
        <color rgb="FFFF7128"/>
      </colorScale>
    </cfRule>
  </conditionalFormatting>
  <conditionalFormatting sqref="K9:K24">
    <cfRule type="colorScale" priority="98">
      <colorScale>
        <cfvo type="min"/>
        <cfvo type="max"/>
        <color rgb="FFFFEF9C"/>
        <color rgb="FFFF7128"/>
      </colorScale>
    </cfRule>
  </conditionalFormatting>
  <conditionalFormatting sqref="M9:M24">
    <cfRule type="colorScale" priority="100">
      <colorScale>
        <cfvo type="min"/>
        <cfvo type="max"/>
        <color rgb="FFFFEF9C"/>
        <color rgb="FFFF7128"/>
      </colorScale>
    </cfRule>
  </conditionalFormatting>
  <conditionalFormatting sqref="O9:O24">
    <cfRule type="colorScale" priority="102">
      <colorScale>
        <cfvo type="min"/>
        <cfvo type="max"/>
        <color rgb="FFFFEF9C"/>
        <color rgb="FFFF7128"/>
      </colorScale>
    </cfRule>
  </conditionalFormatting>
  <conditionalFormatting sqref="Q9:Q24">
    <cfRule type="colorScale" priority="104">
      <colorScale>
        <cfvo type="min"/>
        <cfvo type="max"/>
        <color rgb="FFFFEF9C"/>
        <color rgb="FFFF7128"/>
      </colorScale>
    </cfRule>
  </conditionalFormatting>
  <conditionalFormatting sqref="S9:S24">
    <cfRule type="colorScale" priority="106">
      <colorScale>
        <cfvo type="min"/>
        <cfvo type="max"/>
        <color rgb="FFFFEF9C"/>
        <color rgb="FFFF7128"/>
      </colorScale>
    </cfRule>
  </conditionalFormatting>
  <conditionalFormatting sqref="U9:U24">
    <cfRule type="colorScale" priority="108">
      <colorScale>
        <cfvo type="min"/>
        <cfvo type="max"/>
        <color rgb="FFFFEF9C"/>
        <color rgb="FFFF7128"/>
      </colorScale>
    </cfRule>
  </conditionalFormatting>
  <conditionalFormatting sqref="W9:W24">
    <cfRule type="colorScale" priority="110">
      <colorScale>
        <cfvo type="min"/>
        <cfvo type="max"/>
        <color rgb="FFFFEF9C"/>
        <color rgb="FFFF7128"/>
      </colorScale>
    </cfRule>
  </conditionalFormatting>
  <conditionalFormatting sqref="C33:C48">
    <cfRule type="colorScale" priority="111">
      <colorScale>
        <cfvo type="min"/>
        <cfvo type="max"/>
        <color rgb="FF63BE7B"/>
        <color rgb="FFFFEF9C"/>
      </colorScale>
    </cfRule>
  </conditionalFormatting>
  <conditionalFormatting sqref="C33:C48">
    <cfRule type="colorScale" priority="113">
      <colorScale>
        <cfvo type="min"/>
        <cfvo type="max"/>
        <color theme="2" tint="-0.499984740745262"/>
        <color rgb="FFFDF04D"/>
      </colorScale>
    </cfRule>
    <cfRule type="colorScale" priority="114">
      <colorScale>
        <cfvo type="min"/>
        <cfvo type="percentile" val="50"/>
        <cfvo type="max"/>
        <color rgb="FF7DC991"/>
        <color rgb="FFFFEF9F"/>
        <color rgb="FFFDF04D"/>
      </colorScale>
    </cfRule>
  </conditionalFormatting>
  <conditionalFormatting sqref="E33:E48">
    <cfRule type="colorScale" priority="117">
      <colorScale>
        <cfvo type="min"/>
        <cfvo type="max"/>
        <color rgb="FF63BE7B"/>
        <color rgb="FFFFEF9C"/>
      </colorScale>
    </cfRule>
  </conditionalFormatting>
  <conditionalFormatting sqref="E33:E48">
    <cfRule type="colorScale" priority="119">
      <colorScale>
        <cfvo type="min"/>
        <cfvo type="max"/>
        <color theme="2" tint="-0.499984740745262"/>
        <color rgb="FFFDF04D"/>
      </colorScale>
    </cfRule>
    <cfRule type="colorScale" priority="120">
      <colorScale>
        <cfvo type="min"/>
        <cfvo type="percentile" val="50"/>
        <cfvo type="max"/>
        <color rgb="FF7DC991"/>
        <color rgb="FFFFEF9F"/>
        <color rgb="FFFDF04D"/>
      </colorScale>
    </cfRule>
  </conditionalFormatting>
  <conditionalFormatting sqref="G33:G48">
    <cfRule type="colorScale" priority="123">
      <colorScale>
        <cfvo type="min"/>
        <cfvo type="max"/>
        <color rgb="FF63BE7B"/>
        <color rgb="FFFFEF9C"/>
      </colorScale>
    </cfRule>
  </conditionalFormatting>
  <conditionalFormatting sqref="G33:G48">
    <cfRule type="colorScale" priority="125">
      <colorScale>
        <cfvo type="min"/>
        <cfvo type="max"/>
        <color theme="2" tint="-0.499984740745262"/>
        <color rgb="FFFDF04D"/>
      </colorScale>
    </cfRule>
    <cfRule type="colorScale" priority="126">
      <colorScale>
        <cfvo type="min"/>
        <cfvo type="percentile" val="50"/>
        <cfvo type="max"/>
        <color rgb="FF7DC991"/>
        <color rgb="FFFFEF9F"/>
        <color rgb="FFFDF04D"/>
      </colorScale>
    </cfRule>
  </conditionalFormatting>
  <conditionalFormatting sqref="I33:I48">
    <cfRule type="colorScale" priority="129">
      <colorScale>
        <cfvo type="min"/>
        <cfvo type="max"/>
        <color rgb="FF63BE7B"/>
        <color rgb="FFFFEF9C"/>
      </colorScale>
    </cfRule>
  </conditionalFormatting>
  <conditionalFormatting sqref="I33:I48">
    <cfRule type="colorScale" priority="131">
      <colorScale>
        <cfvo type="min"/>
        <cfvo type="max"/>
        <color theme="2" tint="-0.499984740745262"/>
        <color rgb="FFFDF04D"/>
      </colorScale>
    </cfRule>
    <cfRule type="colorScale" priority="132">
      <colorScale>
        <cfvo type="min"/>
        <cfvo type="percentile" val="50"/>
        <cfvo type="max"/>
        <color rgb="FF7DC991"/>
        <color rgb="FFFFEF9F"/>
        <color rgb="FFFDF04D"/>
      </colorScale>
    </cfRule>
  </conditionalFormatting>
  <conditionalFormatting sqref="K33:K48">
    <cfRule type="colorScale" priority="135">
      <colorScale>
        <cfvo type="min"/>
        <cfvo type="max"/>
        <color rgb="FF63BE7B"/>
        <color rgb="FFFFEF9C"/>
      </colorScale>
    </cfRule>
  </conditionalFormatting>
  <conditionalFormatting sqref="K33:K48">
    <cfRule type="colorScale" priority="137">
      <colorScale>
        <cfvo type="min"/>
        <cfvo type="max"/>
        <color theme="2" tint="-0.499984740745262"/>
        <color rgb="FFFDF04D"/>
      </colorScale>
    </cfRule>
    <cfRule type="colorScale" priority="138">
      <colorScale>
        <cfvo type="min"/>
        <cfvo type="percentile" val="50"/>
        <cfvo type="max"/>
        <color rgb="FF7DC991"/>
        <color rgb="FFFFEF9F"/>
        <color rgb="FFFDF04D"/>
      </colorScale>
    </cfRule>
  </conditionalFormatting>
  <conditionalFormatting sqref="M33:M48">
    <cfRule type="colorScale" priority="141">
      <colorScale>
        <cfvo type="min"/>
        <cfvo type="max"/>
        <color rgb="FF63BE7B"/>
        <color rgb="FFFFEF9C"/>
      </colorScale>
    </cfRule>
  </conditionalFormatting>
  <conditionalFormatting sqref="M33:M48">
    <cfRule type="colorScale" priority="143">
      <colorScale>
        <cfvo type="min"/>
        <cfvo type="max"/>
        <color theme="2" tint="-0.499984740745262"/>
        <color rgb="FFFDF04D"/>
      </colorScale>
    </cfRule>
    <cfRule type="colorScale" priority="144">
      <colorScale>
        <cfvo type="min"/>
        <cfvo type="percentile" val="50"/>
        <cfvo type="max"/>
        <color rgb="FF7DC991"/>
        <color rgb="FFFFEF9F"/>
        <color rgb="FFFDF04D"/>
      </colorScale>
    </cfRule>
  </conditionalFormatting>
  <conditionalFormatting sqref="O33:O48">
    <cfRule type="colorScale" priority="147">
      <colorScale>
        <cfvo type="min"/>
        <cfvo type="max"/>
        <color rgb="FF63BE7B"/>
        <color rgb="FFFFEF9C"/>
      </colorScale>
    </cfRule>
  </conditionalFormatting>
  <conditionalFormatting sqref="O33:O48">
    <cfRule type="colorScale" priority="149">
      <colorScale>
        <cfvo type="min"/>
        <cfvo type="max"/>
        <color theme="2" tint="-0.499984740745262"/>
        <color rgb="FFFDF04D"/>
      </colorScale>
    </cfRule>
    <cfRule type="colorScale" priority="150">
      <colorScale>
        <cfvo type="min"/>
        <cfvo type="percentile" val="50"/>
        <cfvo type="max"/>
        <color rgb="FF7DC991"/>
        <color rgb="FFFFEF9F"/>
        <color rgb="FFFDF04D"/>
      </colorScale>
    </cfRule>
  </conditionalFormatting>
  <conditionalFormatting sqref="Q33:Q48">
    <cfRule type="colorScale" priority="153">
      <colorScale>
        <cfvo type="min"/>
        <cfvo type="max"/>
        <color rgb="FF63BE7B"/>
        <color rgb="FFFFEF9C"/>
      </colorScale>
    </cfRule>
  </conditionalFormatting>
  <conditionalFormatting sqref="Q33:Q48">
    <cfRule type="colorScale" priority="155">
      <colorScale>
        <cfvo type="min"/>
        <cfvo type="max"/>
        <color theme="2" tint="-0.499984740745262"/>
        <color rgb="FFFDF04D"/>
      </colorScale>
    </cfRule>
    <cfRule type="colorScale" priority="156">
      <colorScale>
        <cfvo type="min"/>
        <cfvo type="percentile" val="50"/>
        <cfvo type="max"/>
        <color rgb="FF7DC991"/>
        <color rgb="FFFFEF9F"/>
        <color rgb="FFFDF04D"/>
      </colorScale>
    </cfRule>
  </conditionalFormatting>
  <conditionalFormatting sqref="S33:S48">
    <cfRule type="colorScale" priority="159">
      <colorScale>
        <cfvo type="min"/>
        <cfvo type="max"/>
        <color rgb="FF63BE7B"/>
        <color rgb="FFFFEF9C"/>
      </colorScale>
    </cfRule>
  </conditionalFormatting>
  <conditionalFormatting sqref="S33:S48">
    <cfRule type="colorScale" priority="161">
      <colorScale>
        <cfvo type="min"/>
        <cfvo type="max"/>
        <color theme="2" tint="-0.499984740745262"/>
        <color rgb="FFFDF04D"/>
      </colorScale>
    </cfRule>
    <cfRule type="colorScale" priority="162">
      <colorScale>
        <cfvo type="min"/>
        <cfvo type="percentile" val="50"/>
        <cfvo type="max"/>
        <color rgb="FF7DC991"/>
        <color rgb="FFFFEF9F"/>
        <color rgb="FFFDF04D"/>
      </colorScale>
    </cfRule>
  </conditionalFormatting>
  <conditionalFormatting sqref="U33:U48">
    <cfRule type="colorScale" priority="165">
      <colorScale>
        <cfvo type="min"/>
        <cfvo type="max"/>
        <color rgb="FF63BE7B"/>
        <color rgb="FFFFEF9C"/>
      </colorScale>
    </cfRule>
  </conditionalFormatting>
  <conditionalFormatting sqref="U33:U48">
    <cfRule type="colorScale" priority="167">
      <colorScale>
        <cfvo type="min"/>
        <cfvo type="max"/>
        <color theme="2" tint="-0.499984740745262"/>
        <color rgb="FFFDF04D"/>
      </colorScale>
    </cfRule>
    <cfRule type="colorScale" priority="168">
      <colorScale>
        <cfvo type="min"/>
        <cfvo type="percentile" val="50"/>
        <cfvo type="max"/>
        <color rgb="FF7DC991"/>
        <color rgb="FFFFEF9F"/>
        <color rgb="FFFDF04D"/>
      </colorScale>
    </cfRule>
  </conditionalFormatting>
  <conditionalFormatting sqref="W33:W48">
    <cfRule type="colorScale" priority="171">
      <colorScale>
        <cfvo type="min"/>
        <cfvo type="max"/>
        <color rgb="FF63BE7B"/>
        <color rgb="FFFFEF9C"/>
      </colorScale>
    </cfRule>
  </conditionalFormatting>
  <conditionalFormatting sqref="W33:W48">
    <cfRule type="colorScale" priority="173">
      <colorScale>
        <cfvo type="min"/>
        <cfvo type="max"/>
        <color theme="2" tint="-0.499984740745262"/>
        <color rgb="FFFDF04D"/>
      </colorScale>
    </cfRule>
    <cfRule type="colorScale" priority="174">
      <colorScale>
        <cfvo type="min"/>
        <cfvo type="percentile" val="50"/>
        <cfvo type="max"/>
        <color rgb="FF7DC991"/>
        <color rgb="FFFFEF9F"/>
        <color rgb="FFFDF04D"/>
      </colorScale>
    </cfRule>
  </conditionalFormatting>
  <conditionalFormatting sqref="C57:C72">
    <cfRule type="colorScale" priority="13">
      <colorScale>
        <cfvo type="min"/>
        <cfvo type="max"/>
        <color rgb="FF63BE7B"/>
        <color rgb="FFFFEF9C"/>
      </colorScale>
    </cfRule>
  </conditionalFormatting>
  <conditionalFormatting sqref="C57:C72">
    <cfRule type="colorScale" priority="12">
      <colorScale>
        <cfvo type="min"/>
        <cfvo type="percentile" val="50"/>
        <cfvo type="max"/>
        <color rgb="FF5A8AC6"/>
        <color rgb="FFFCFCFF"/>
        <color rgb="FFF8696B"/>
      </colorScale>
    </cfRule>
    <cfRule type="colorScale" priority="14">
      <colorScale>
        <cfvo type="min"/>
        <cfvo type="max"/>
        <color theme="2" tint="-0.499984740745262"/>
        <color rgb="FFFDF04D"/>
      </colorScale>
    </cfRule>
  </conditionalFormatting>
  <conditionalFormatting sqref="E57:E72">
    <cfRule type="colorScale" priority="16">
      <colorScale>
        <cfvo type="min"/>
        <cfvo type="max"/>
        <color rgb="FF63BE7B"/>
        <color rgb="FFFFEF9C"/>
      </colorScale>
    </cfRule>
  </conditionalFormatting>
  <conditionalFormatting sqref="E57:E72">
    <cfRule type="colorScale" priority="10">
      <colorScale>
        <cfvo type="min"/>
        <cfvo type="percentile" val="50"/>
        <cfvo type="max"/>
        <color rgb="FF5A8AC6"/>
        <color rgb="FFFCFCFF"/>
        <color rgb="FFF8696B"/>
      </colorScale>
    </cfRule>
    <cfRule type="colorScale" priority="17">
      <colorScale>
        <cfvo type="min"/>
        <cfvo type="max"/>
        <color theme="2" tint="-0.499984740745262"/>
        <color rgb="FFFDF04D"/>
      </colorScale>
    </cfRule>
  </conditionalFormatting>
  <conditionalFormatting sqref="G57:G72">
    <cfRule type="colorScale" priority="19">
      <colorScale>
        <cfvo type="min"/>
        <cfvo type="max"/>
        <color rgb="FF63BE7B"/>
        <color rgb="FFFFEF9C"/>
      </colorScale>
    </cfRule>
  </conditionalFormatting>
  <conditionalFormatting sqref="G57:G72">
    <cfRule type="colorScale" priority="9">
      <colorScale>
        <cfvo type="min"/>
        <cfvo type="percentile" val="50"/>
        <cfvo type="max"/>
        <color rgb="FF5A8AC6"/>
        <color rgb="FFFCFCFF"/>
        <color rgb="FFF8696B"/>
      </colorScale>
    </cfRule>
    <cfRule type="colorScale" priority="20">
      <colorScale>
        <cfvo type="min"/>
        <cfvo type="max"/>
        <color theme="2" tint="-0.499984740745262"/>
        <color rgb="FFFDF04D"/>
      </colorScale>
    </cfRule>
  </conditionalFormatting>
  <conditionalFormatting sqref="I57:I72">
    <cfRule type="colorScale" priority="22">
      <colorScale>
        <cfvo type="min"/>
        <cfvo type="max"/>
        <color rgb="FF63BE7B"/>
        <color rgb="FFFFEF9C"/>
      </colorScale>
    </cfRule>
  </conditionalFormatting>
  <conditionalFormatting sqref="I57:I72">
    <cfRule type="colorScale" priority="8">
      <colorScale>
        <cfvo type="min"/>
        <cfvo type="percentile" val="50"/>
        <cfvo type="max"/>
        <color rgb="FF5A8AC6"/>
        <color rgb="FFFCFCFF"/>
        <color rgb="FFF8696B"/>
      </colorScale>
    </cfRule>
    <cfRule type="colorScale" priority="23">
      <colorScale>
        <cfvo type="min"/>
        <cfvo type="max"/>
        <color theme="2" tint="-0.499984740745262"/>
        <color rgb="FFFDF04D"/>
      </colorScale>
    </cfRule>
  </conditionalFormatting>
  <conditionalFormatting sqref="K57:K72">
    <cfRule type="colorScale" priority="25">
      <colorScale>
        <cfvo type="min"/>
        <cfvo type="max"/>
        <color rgb="FF63BE7B"/>
        <color rgb="FFFFEF9C"/>
      </colorScale>
    </cfRule>
  </conditionalFormatting>
  <conditionalFormatting sqref="K57:K72">
    <cfRule type="colorScale" priority="7">
      <colorScale>
        <cfvo type="min"/>
        <cfvo type="percentile" val="50"/>
        <cfvo type="max"/>
        <color rgb="FF5A8AC6"/>
        <color rgb="FFFCFCFF"/>
        <color rgb="FFF8696B"/>
      </colorScale>
    </cfRule>
    <cfRule type="colorScale" priority="26">
      <colorScale>
        <cfvo type="min"/>
        <cfvo type="max"/>
        <color theme="2" tint="-0.499984740745262"/>
        <color rgb="FFFDF04D"/>
      </colorScale>
    </cfRule>
  </conditionalFormatting>
  <conditionalFormatting sqref="M57:M72">
    <cfRule type="colorScale" priority="28">
      <colorScale>
        <cfvo type="min"/>
        <cfvo type="max"/>
        <color rgb="FF63BE7B"/>
        <color rgb="FFFFEF9C"/>
      </colorScale>
    </cfRule>
  </conditionalFormatting>
  <conditionalFormatting sqref="M57:M72">
    <cfRule type="colorScale" priority="6">
      <colorScale>
        <cfvo type="min"/>
        <cfvo type="percentile" val="50"/>
        <cfvo type="max"/>
        <color rgb="FF5A8AC6"/>
        <color rgb="FFFCFCFF"/>
        <color rgb="FFF8696B"/>
      </colorScale>
    </cfRule>
    <cfRule type="colorScale" priority="29">
      <colorScale>
        <cfvo type="min"/>
        <cfvo type="max"/>
        <color theme="2" tint="-0.499984740745262"/>
        <color rgb="FFFDF04D"/>
      </colorScale>
    </cfRule>
  </conditionalFormatting>
  <conditionalFormatting sqref="O57:O72">
    <cfRule type="colorScale" priority="31">
      <colorScale>
        <cfvo type="min"/>
        <cfvo type="max"/>
        <color rgb="FF63BE7B"/>
        <color rgb="FFFFEF9C"/>
      </colorScale>
    </cfRule>
  </conditionalFormatting>
  <conditionalFormatting sqref="O57:O72">
    <cfRule type="colorScale" priority="5">
      <colorScale>
        <cfvo type="min"/>
        <cfvo type="percentile" val="50"/>
        <cfvo type="max"/>
        <color rgb="FF5A8AC6"/>
        <color rgb="FFFCFCFF"/>
        <color rgb="FFF8696B"/>
      </colorScale>
    </cfRule>
    <cfRule type="colorScale" priority="32">
      <colorScale>
        <cfvo type="min"/>
        <cfvo type="max"/>
        <color theme="2" tint="-0.499984740745262"/>
        <color rgb="FFFDF04D"/>
      </colorScale>
    </cfRule>
  </conditionalFormatting>
  <conditionalFormatting sqref="Q57:Q72">
    <cfRule type="colorScale" priority="34">
      <colorScale>
        <cfvo type="min"/>
        <cfvo type="max"/>
        <color rgb="FF63BE7B"/>
        <color rgb="FFFFEF9C"/>
      </colorScale>
    </cfRule>
  </conditionalFormatting>
  <conditionalFormatting sqref="Q57:Q72">
    <cfRule type="colorScale" priority="4">
      <colorScale>
        <cfvo type="min"/>
        <cfvo type="percentile" val="50"/>
        <cfvo type="max"/>
        <color rgb="FF5A8AC6"/>
        <color rgb="FFFCFCFF"/>
        <color rgb="FFF8696B"/>
      </colorScale>
    </cfRule>
    <cfRule type="colorScale" priority="35">
      <colorScale>
        <cfvo type="min"/>
        <cfvo type="max"/>
        <color theme="2" tint="-0.499984740745262"/>
        <color rgb="FFFDF04D"/>
      </colorScale>
    </cfRule>
  </conditionalFormatting>
  <conditionalFormatting sqref="S57:S72">
    <cfRule type="colorScale" priority="37">
      <colorScale>
        <cfvo type="min"/>
        <cfvo type="max"/>
        <color rgb="FF63BE7B"/>
        <color rgb="FFFFEF9C"/>
      </colorScale>
    </cfRule>
  </conditionalFormatting>
  <conditionalFormatting sqref="S57:S72">
    <cfRule type="colorScale" priority="3">
      <colorScale>
        <cfvo type="min"/>
        <cfvo type="percentile" val="50"/>
        <cfvo type="max"/>
        <color rgb="FF5A8AC6"/>
        <color rgb="FFFCFCFF"/>
        <color rgb="FFF8696B"/>
      </colorScale>
    </cfRule>
    <cfRule type="colorScale" priority="38">
      <colorScale>
        <cfvo type="min"/>
        <cfvo type="max"/>
        <color theme="2" tint="-0.499984740745262"/>
        <color rgb="FFFDF04D"/>
      </colorScale>
    </cfRule>
  </conditionalFormatting>
  <conditionalFormatting sqref="U57:U72">
    <cfRule type="colorScale" priority="40">
      <colorScale>
        <cfvo type="min"/>
        <cfvo type="max"/>
        <color rgb="FF63BE7B"/>
        <color rgb="FFFFEF9C"/>
      </colorScale>
    </cfRule>
  </conditionalFormatting>
  <conditionalFormatting sqref="U57:U72">
    <cfRule type="colorScale" priority="2">
      <colorScale>
        <cfvo type="min"/>
        <cfvo type="percentile" val="50"/>
        <cfvo type="max"/>
        <color rgb="FF5A8AC6"/>
        <color rgb="FFFCFCFF"/>
        <color rgb="FFF8696B"/>
      </colorScale>
    </cfRule>
    <cfRule type="colorScale" priority="41">
      <colorScale>
        <cfvo type="min"/>
        <cfvo type="max"/>
        <color theme="2" tint="-0.499984740745262"/>
        <color rgb="FFFDF04D"/>
      </colorScale>
    </cfRule>
  </conditionalFormatting>
  <conditionalFormatting sqref="W57:W72">
    <cfRule type="colorScale" priority="43">
      <colorScale>
        <cfvo type="min"/>
        <cfvo type="max"/>
        <color rgb="FF63BE7B"/>
        <color rgb="FFFFEF9C"/>
      </colorScale>
    </cfRule>
  </conditionalFormatting>
  <conditionalFormatting sqref="W57:W72">
    <cfRule type="colorScale" priority="1">
      <colorScale>
        <cfvo type="min"/>
        <cfvo type="percentile" val="50"/>
        <cfvo type="max"/>
        <color rgb="FF5A8AC6"/>
        <color rgb="FFFCFCFF"/>
        <color rgb="FFF8696B"/>
      </colorScale>
    </cfRule>
    <cfRule type="colorScale" priority="44">
      <colorScale>
        <cfvo type="min"/>
        <cfvo type="max"/>
        <color theme="2" tint="-0.499984740745262"/>
        <color rgb="FFFDF04D"/>
      </colorScale>
    </cfRule>
  </conditionalFormatting>
  <dataValidations count="1">
    <dataValidation type="list" allowBlank="1" showInputMessage="1" showErrorMessage="1" sqref="B2:D2" xr:uid="{00000000-0002-0000-0F00-000000000000}">
      <formula1>$AA$4:$AA$9</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C000"/>
  </sheetPr>
  <dimension ref="A1:BB38"/>
  <sheetViews>
    <sheetView zoomScale="115" zoomScaleNormal="115" workbookViewId="0"/>
  </sheetViews>
  <sheetFormatPr baseColWidth="10" defaultColWidth="9.1640625" defaultRowHeight="15" x14ac:dyDescent="0.2"/>
  <cols>
    <col min="1" max="1" width="9.1640625" style="306"/>
    <col min="2" max="2" width="16.6640625" style="306" customWidth="1"/>
    <col min="3" max="7" width="15.6640625" style="306" customWidth="1"/>
    <col min="8" max="9" width="23.5" style="306" customWidth="1"/>
    <col min="10" max="10" width="11.6640625" style="306" customWidth="1"/>
    <col min="11" max="11" width="15.5" style="306" customWidth="1"/>
    <col min="12" max="26" width="9.1640625" style="306"/>
    <col min="27" max="27" width="9.1640625" style="306" customWidth="1"/>
    <col min="28" max="28" width="9.1640625" style="306"/>
    <col min="29" max="29" width="19.6640625" style="306" customWidth="1"/>
    <col min="30" max="30" width="9.1640625" style="306"/>
    <col min="31" max="31" width="10.33203125" style="306" bestFit="1" customWidth="1"/>
    <col min="32" max="32" width="11.1640625" style="306" bestFit="1" customWidth="1"/>
    <col min="33" max="33" width="12.5" style="306" customWidth="1"/>
    <col min="34" max="34" width="14.6640625" style="306" bestFit="1" customWidth="1"/>
    <col min="35" max="35" width="19.33203125" style="306" customWidth="1"/>
    <col min="36" max="39" width="15.5" style="306" customWidth="1"/>
    <col min="40" max="40" width="18.1640625" style="306" customWidth="1"/>
    <col min="41" max="52" width="9.1640625" style="306"/>
    <col min="53" max="54" width="9.1640625" style="306" customWidth="1"/>
    <col min="55" max="16384" width="9.1640625" style="306"/>
  </cols>
  <sheetData>
    <row r="1" spans="1:54" ht="24" x14ac:dyDescent="0.3">
      <c r="A1" s="401" t="s">
        <v>6093</v>
      </c>
    </row>
    <row r="2" spans="1:54" customFormat="1" ht="18" x14ac:dyDescent="0.2">
      <c r="A2" s="18" t="str">
        <f>'Crash Analysis'!B1</f>
        <v>Type 'Heading' Here</v>
      </c>
    </row>
    <row r="3" spans="1:54" ht="16" thickBot="1" x14ac:dyDescent="0.25">
      <c r="AN3" s="306" t="s">
        <v>6002</v>
      </c>
    </row>
    <row r="4" spans="1:54" ht="19" thickBot="1" x14ac:dyDescent="0.25">
      <c r="A4" s="397"/>
      <c r="B4" s="398" t="s">
        <v>6094</v>
      </c>
      <c r="C4" s="655" t="str">
        <f>'Emphasis Area'!B2</f>
        <v>All</v>
      </c>
      <c r="D4" s="656"/>
      <c r="H4" s="307" t="s">
        <v>6003</v>
      </c>
      <c r="AI4" s="657" t="s">
        <v>6004</v>
      </c>
      <c r="AJ4" s="657"/>
      <c r="AK4" s="657" t="s">
        <v>6005</v>
      </c>
      <c r="AL4" s="657"/>
      <c r="AN4" s="308">
        <f>E24</f>
        <v>0.01</v>
      </c>
    </row>
    <row r="5" spans="1:54" ht="52" customHeight="1" thickBot="1" x14ac:dyDescent="0.25">
      <c r="A5" s="314" t="s">
        <v>80</v>
      </c>
      <c r="B5" s="314" t="s">
        <v>131</v>
      </c>
      <c r="C5" s="314" t="s">
        <v>1172</v>
      </c>
      <c r="D5" s="314" t="s">
        <v>6017</v>
      </c>
      <c r="E5" s="314" t="s">
        <v>6007</v>
      </c>
      <c r="F5" s="314" t="s">
        <v>6018</v>
      </c>
      <c r="G5" s="314" t="s">
        <v>6019</v>
      </c>
      <c r="AD5" s="658" t="s">
        <v>80</v>
      </c>
      <c r="AE5" s="660" t="s">
        <v>6006</v>
      </c>
      <c r="AF5" s="659" t="s">
        <v>6007</v>
      </c>
      <c r="AG5" s="661" t="s">
        <v>6008</v>
      </c>
      <c r="AI5" s="309" t="s">
        <v>6009</v>
      </c>
      <c r="AJ5" s="309">
        <f>SLOPE($AG$7:$AG$17,$AD$7:$AD$17)</f>
        <v>2.7272727272727268E-2</v>
      </c>
      <c r="AK5" s="309" t="s">
        <v>6009</v>
      </c>
      <c r="AL5" s="309" t="e">
        <f>SLOPE($AH$11:$AH$17,$AD$11:$AD$17)</f>
        <v>#DIV/0!</v>
      </c>
      <c r="AN5" s="308">
        <f>F24</f>
        <v>0.02</v>
      </c>
      <c r="BA5" s="306" t="s">
        <v>6010</v>
      </c>
      <c r="BB5" s="306" t="s">
        <v>6011</v>
      </c>
    </row>
    <row r="6" spans="1:54" ht="16" thickBot="1" x14ac:dyDescent="0.25">
      <c r="A6" s="320">
        <f t="shared" ref="A6:A14" si="0">A7-1</f>
        <v>2015</v>
      </c>
      <c r="B6" s="321">
        <f>IFERROR(HLOOKUP($A6,'Emphasis Area'!$5:$8,4,FALSE),0)</f>
        <v>0</v>
      </c>
      <c r="C6" s="322">
        <f>'Emphasis Area'!$V$32</f>
        <v>0</v>
      </c>
      <c r="D6" s="322">
        <f>'Emphasis Area'!$V$19+'Emphasis Area'!$V$20+'Emphasis Area'!$V$43+'Emphasis Area'!$V$44</f>
        <v>0</v>
      </c>
      <c r="E6" s="381"/>
      <c r="F6" s="323" t="str">
        <f>IFERROR(ROUND(B6/E6,5)*100,"")</f>
        <v/>
      </c>
      <c r="G6" s="324" t="str">
        <f>IFERROR(ROUND(C6/E6,5)*100,"")</f>
        <v/>
      </c>
      <c r="I6" s="399"/>
      <c r="J6" s="399"/>
      <c r="K6" s="399"/>
      <c r="L6" s="399"/>
      <c r="AD6" s="659"/>
      <c r="AE6" s="660"/>
      <c r="AF6" s="659"/>
      <c r="AG6" s="662"/>
      <c r="AI6" s="309" t="s">
        <v>6013</v>
      </c>
      <c r="AJ6" s="309">
        <f>INTERCEPT($AG$7:$AG$17,$AD$7:$AD$17)</f>
        <v>-54.999999999999986</v>
      </c>
      <c r="AK6" s="309" t="s">
        <v>6013</v>
      </c>
      <c r="AL6" s="309" t="e">
        <f>INTERCEPT($AH$11:$AH$17,$AD$11:$AD$17)</f>
        <v>#DIV/0!</v>
      </c>
      <c r="AN6" s="308">
        <f>G24</f>
        <v>0.05</v>
      </c>
      <c r="BA6" s="306" t="s">
        <v>6014</v>
      </c>
      <c r="BB6" s="306" t="s">
        <v>6015</v>
      </c>
    </row>
    <row r="7" spans="1:54" x14ac:dyDescent="0.2">
      <c r="A7" s="326">
        <f t="shared" si="0"/>
        <v>2016</v>
      </c>
      <c r="B7" s="327">
        <f>IFERROR(HLOOKUP($A7,'Emphasis Area'!$5:$8,4,FALSE),0)</f>
        <v>0</v>
      </c>
      <c r="C7" s="328">
        <f>'Emphasis Area'!$T$32</f>
        <v>0</v>
      </c>
      <c r="D7" s="328">
        <f>'Emphasis Area'!$T$19+'Emphasis Area'!$T$20+'Emphasis Area'!$T$43+'Emphasis Area'!$T$44</f>
        <v>0</v>
      </c>
      <c r="E7" s="382"/>
      <c r="F7" s="329" t="str">
        <f t="shared" ref="F7:F16" si="1">IFERROR(ROUND(B7/E7,5)*100,"")</f>
        <v/>
      </c>
      <c r="G7" s="330" t="str">
        <f t="shared" ref="G7:G16" si="2">IFERROR(ROUND(C7/E7,5)*100,"")</f>
        <v/>
      </c>
      <c r="I7" s="400"/>
      <c r="J7" s="400"/>
      <c r="K7" s="400"/>
      <c r="L7" s="400"/>
      <c r="AD7" s="310">
        <f>A6</f>
        <v>2015</v>
      </c>
      <c r="AE7" s="311">
        <f t="shared" ref="AE7:AE17" si="3">INDEX($A$5:$D$16,MATCH(AD7,$A$5:$A$16,0),MATCH($D$19,$A$5:$D$5,0))</f>
        <v>0</v>
      </c>
      <c r="AF7" s="312">
        <f t="shared" ref="AF7:AF17" si="4">E6</f>
        <v>0</v>
      </c>
      <c r="AG7" s="313">
        <f t="shared" ref="AG7:AG17" si="5">IF($D$20="Rate",ROUND(AE7/AF7,5)*100,AE7)</f>
        <v>0</v>
      </c>
      <c r="AN7" s="308" t="str">
        <f>H23</f>
        <v>Towards Zero</v>
      </c>
      <c r="AO7" s="306" t="str">
        <f>IFERROR(AH17/20,"")</f>
        <v/>
      </c>
      <c r="AP7" s="308"/>
      <c r="BA7" s="306" t="s">
        <v>6016</v>
      </c>
    </row>
    <row r="8" spans="1:54" ht="15.75" customHeight="1" thickBot="1" x14ac:dyDescent="0.25">
      <c r="A8" s="326">
        <f t="shared" si="0"/>
        <v>2017</v>
      </c>
      <c r="B8" s="327">
        <f>IFERROR(HLOOKUP($A8,'Emphasis Area'!$5:$8,4,FALSE),0)</f>
        <v>0</v>
      </c>
      <c r="C8" s="328">
        <f>'Emphasis Area'!$R$32</f>
        <v>0</v>
      </c>
      <c r="D8" s="328">
        <f>'Emphasis Area'!$R$19+'Emphasis Area'!$R$20+'Emphasis Area'!$R$43+'Emphasis Area'!$R$44</f>
        <v>0</v>
      </c>
      <c r="E8" s="382"/>
      <c r="F8" s="329" t="str">
        <f t="shared" si="1"/>
        <v/>
      </c>
      <c r="G8" s="330" t="str">
        <f t="shared" si="2"/>
        <v/>
      </c>
      <c r="I8" s="400"/>
      <c r="J8" s="400"/>
      <c r="K8" s="400"/>
      <c r="L8" s="400"/>
      <c r="AD8" s="315">
        <f>AD7+1</f>
        <v>2016</v>
      </c>
      <c r="AE8" s="316">
        <f t="shared" si="3"/>
        <v>0</v>
      </c>
      <c r="AF8" s="317">
        <f t="shared" si="4"/>
        <v>0</v>
      </c>
      <c r="AG8" s="318">
        <f t="shared" si="5"/>
        <v>0</v>
      </c>
      <c r="AH8" s="319"/>
      <c r="AI8" s="319"/>
      <c r="AJ8" s="306" t="s">
        <v>6020</v>
      </c>
      <c r="AK8" s="306" t="str">
        <f>IF(D20="Rate",D19&amp;" Rate",""&amp;D19)&amp;" Target Setting"</f>
        <v>Fatalities Target Setting</v>
      </c>
      <c r="AN8" s="306" t="s">
        <v>6021</v>
      </c>
      <c r="AO8" s="306" t="str">
        <f>IFERROR("Calculated '5 Year Rolling Average' Average of Reduction Rate: "&amp;$D$27*100&amp;"%","")</f>
        <v/>
      </c>
      <c r="BA8" s="306" t="s">
        <v>6022</v>
      </c>
    </row>
    <row r="9" spans="1:54" ht="15.75" customHeight="1" thickBot="1" x14ac:dyDescent="0.25">
      <c r="A9" s="326">
        <f t="shared" si="0"/>
        <v>2018</v>
      </c>
      <c r="B9" s="327">
        <f>IFERROR(HLOOKUP($A9,'Emphasis Area'!$5:$8,4,FALSE),0)</f>
        <v>0</v>
      </c>
      <c r="C9" s="328">
        <f>'Emphasis Area'!$P$32</f>
        <v>0</v>
      </c>
      <c r="D9" s="328">
        <f>'Emphasis Area'!$P$19+'Emphasis Area'!$P$20+'Emphasis Area'!$P$43+'Emphasis Area'!$P$44</f>
        <v>0</v>
      </c>
      <c r="E9" s="382"/>
      <c r="F9" s="329" t="str">
        <f t="shared" si="1"/>
        <v/>
      </c>
      <c r="G9" s="330" t="str">
        <f t="shared" si="2"/>
        <v/>
      </c>
      <c r="I9" s="400"/>
      <c r="J9" s="400"/>
      <c r="K9" s="400"/>
      <c r="L9" s="400"/>
      <c r="AD9" s="315">
        <f t="shared" ref="AD9:AD37" si="6">AD8+1</f>
        <v>2017</v>
      </c>
      <c r="AE9" s="316">
        <f t="shared" si="3"/>
        <v>0</v>
      </c>
      <c r="AF9" s="325">
        <f t="shared" si="4"/>
        <v>0</v>
      </c>
      <c r="AG9" s="318">
        <f t="shared" si="5"/>
        <v>0</v>
      </c>
      <c r="AH9" s="651" t="s">
        <v>6023</v>
      </c>
      <c r="AJ9" s="306" t="s">
        <v>6024</v>
      </c>
      <c r="AK9" s="306" t="str">
        <f>IF(D20="Rate","","Number of ")&amp;D19&amp;" "&amp;IF(D20="Rate","Rate Per 100MVMT ("," (")&amp;$AD$7&amp;" - "&amp;AD17&amp;")"</f>
        <v>Number of Fatalities  (2015 - 2025)</v>
      </c>
      <c r="AN9" s="306" t="s">
        <v>6025</v>
      </c>
      <c r="AO9" s="306" t="str">
        <f>IFERROR("Goal of "&amp;$E$27*100&amp;"% Annual Reduction Per Year","")</f>
        <v/>
      </c>
      <c r="BA9" s="306" t="s">
        <v>6026</v>
      </c>
    </row>
    <row r="10" spans="1:54" ht="15.75" customHeight="1" thickBot="1" x14ac:dyDescent="0.25">
      <c r="A10" s="326">
        <f t="shared" si="0"/>
        <v>2019</v>
      </c>
      <c r="B10" s="327">
        <f>IFERROR(HLOOKUP($A10,'Emphasis Area'!$5:$8,4,FALSE),0)</f>
        <v>0</v>
      </c>
      <c r="C10" s="328">
        <f>'Emphasis Area'!$N$32</f>
        <v>0</v>
      </c>
      <c r="D10" s="328">
        <f>'Emphasis Area'!$N$19+'Emphasis Area'!$N$20+'Emphasis Area'!$N$43+'Emphasis Area'!$N$44</f>
        <v>0</v>
      </c>
      <c r="E10" s="382"/>
      <c r="F10" s="329" t="str">
        <f t="shared" si="1"/>
        <v/>
      </c>
      <c r="G10" s="330" t="str">
        <f t="shared" si="2"/>
        <v/>
      </c>
      <c r="I10" s="400"/>
      <c r="J10" s="400"/>
      <c r="K10" s="400"/>
      <c r="L10" s="400"/>
      <c r="AD10" s="315">
        <f t="shared" si="6"/>
        <v>2018</v>
      </c>
      <c r="AE10" s="316">
        <f t="shared" si="3"/>
        <v>0</v>
      </c>
      <c r="AF10" s="325">
        <f t="shared" si="4"/>
        <v>0</v>
      </c>
      <c r="AG10" s="318">
        <f t="shared" si="5"/>
        <v>0</v>
      </c>
      <c r="AH10" s="652"/>
      <c r="AI10" s="653" t="s">
        <v>6027</v>
      </c>
      <c r="AJ10" s="306" t="s">
        <v>6028</v>
      </c>
      <c r="AK10" s="384" t="s">
        <v>6078</v>
      </c>
      <c r="AN10" s="306" t="s">
        <v>6029</v>
      </c>
      <c r="AO10" s="306" t="str">
        <f>IFERROR("Goal of "&amp;$F$27*100&amp;"% Annual Reduction Per Year","")</f>
        <v/>
      </c>
      <c r="BA10" s="306" t="s">
        <v>6030</v>
      </c>
    </row>
    <row r="11" spans="1:54" ht="16" thickBot="1" x14ac:dyDescent="0.25">
      <c r="A11" s="326">
        <f t="shared" si="0"/>
        <v>2020</v>
      </c>
      <c r="B11" s="327">
        <f>IFERROR(HLOOKUP($A11,'Emphasis Area'!$5:$8,4,FALSE),0)</f>
        <v>0</v>
      </c>
      <c r="C11" s="328">
        <f>'Emphasis Area'!$L$32</f>
        <v>0</v>
      </c>
      <c r="D11" s="328">
        <f>'Emphasis Area'!$L$19+'Emphasis Area'!$L$20+'Emphasis Area'!$L$43+'Emphasis Area'!$L$44</f>
        <v>0</v>
      </c>
      <c r="E11" s="382"/>
      <c r="F11" s="329" t="str">
        <f t="shared" si="1"/>
        <v/>
      </c>
      <c r="G11" s="330" t="str">
        <f t="shared" si="2"/>
        <v/>
      </c>
      <c r="I11" s="400"/>
      <c r="J11" s="400"/>
      <c r="K11" s="400"/>
      <c r="L11" s="400"/>
      <c r="AC11" s="306">
        <f>IF(SUM(AE7)&gt;0,1,0)</f>
        <v>0</v>
      </c>
      <c r="AD11" s="315">
        <f t="shared" si="6"/>
        <v>2019</v>
      </c>
      <c r="AE11" s="316">
        <f t="shared" si="3"/>
        <v>0</v>
      </c>
      <c r="AF11" s="317">
        <f t="shared" si="4"/>
        <v>0</v>
      </c>
      <c r="AG11" s="318">
        <f t="shared" si="5"/>
        <v>0</v>
      </c>
      <c r="AH11" s="331" t="str">
        <f>IF(AC11=1,ROUNDUP(AVERAGE(AG7:AG11),3),"")</f>
        <v/>
      </c>
      <c r="AI11" s="654"/>
      <c r="AJ11" s="306" t="s">
        <v>6031</v>
      </c>
      <c r="AK11" s="306" t="str">
        <f>IF(ISERROR(AI2),"","Five Year Rolling Average - "&amp;D19&amp;" "&amp;IF(D20="Rate","Rate ("," (")&amp;$AD$7&amp;" - "&amp;AD17&amp;")")</f>
        <v>Five Year Rolling Average - Fatalities  (2015 - 2025)</v>
      </c>
      <c r="AN11" s="306" t="s">
        <v>6032</v>
      </c>
      <c r="AO11" s="306" t="str">
        <f>IFERROR($G$27*100&amp;"% Annual Reduction Per Year","")</f>
        <v/>
      </c>
      <c r="BA11" s="306" t="s">
        <v>6033</v>
      </c>
    </row>
    <row r="12" spans="1:54" x14ac:dyDescent="0.2">
      <c r="A12" s="326">
        <f t="shared" si="0"/>
        <v>2021</v>
      </c>
      <c r="B12" s="327">
        <f>IFERROR(HLOOKUP($A12,'Emphasis Area'!$5:$8,4,FALSE),0)</f>
        <v>0</v>
      </c>
      <c r="C12" s="328">
        <f>'Emphasis Area'!$J$32</f>
        <v>4</v>
      </c>
      <c r="D12" s="328">
        <f>'Emphasis Area'!$J$19+'Emphasis Area'!$J$20+'Emphasis Area'!$J$43+'Emphasis Area'!$J$44</f>
        <v>0</v>
      </c>
      <c r="E12" s="382"/>
      <c r="F12" s="329" t="str">
        <f t="shared" si="1"/>
        <v/>
      </c>
      <c r="G12" s="330" t="str">
        <f t="shared" si="2"/>
        <v/>
      </c>
      <c r="I12" s="400"/>
      <c r="J12" s="400"/>
      <c r="K12" s="400"/>
      <c r="L12" s="400"/>
      <c r="AC12" s="306">
        <f>IF(SUM(AE7:AE8)&gt;0,1,0)</f>
        <v>0</v>
      </c>
      <c r="AD12" s="315">
        <f t="shared" si="6"/>
        <v>2020</v>
      </c>
      <c r="AE12" s="316">
        <f t="shared" si="3"/>
        <v>0</v>
      </c>
      <c r="AF12" s="317">
        <f t="shared" si="4"/>
        <v>0</v>
      </c>
      <c r="AG12" s="318">
        <f t="shared" si="5"/>
        <v>0</v>
      </c>
      <c r="AH12" s="332" t="str">
        <f t="shared" ref="AH12:AH17" si="7">IF(AC12=1,ROUNDUP(AVERAGE(AG8:AG12),3),"")</f>
        <v/>
      </c>
      <c r="AI12" s="333" t="str">
        <f>IF(AC12=1,IFERROR((AH12-AH11)/AH11,0),"")</f>
        <v/>
      </c>
      <c r="AN12" s="306" t="s">
        <v>6034</v>
      </c>
      <c r="AO12" s="306" t="str">
        <f>IF(ISERROR(AI2),"","Towards Zero Goal")</f>
        <v>Towards Zero Goal</v>
      </c>
      <c r="BA12" s="306" t="s">
        <v>6035</v>
      </c>
    </row>
    <row r="13" spans="1:54" ht="16" thickBot="1" x14ac:dyDescent="0.25">
      <c r="A13" s="326">
        <f t="shared" si="0"/>
        <v>2022</v>
      </c>
      <c r="B13" s="327">
        <f>IFERROR(HLOOKUP($A13,'Emphasis Area'!$5:$8,4,FALSE),0)</f>
        <v>0</v>
      </c>
      <c r="C13" s="328">
        <f>'Emphasis Area'!$H$32</f>
        <v>1</v>
      </c>
      <c r="D13" s="328">
        <f>'Emphasis Area'!$H$19+'Emphasis Area'!$H$20+'Emphasis Area'!$H$43+'Emphasis Area'!$H$44</f>
        <v>0</v>
      </c>
      <c r="E13" s="382"/>
      <c r="F13" s="329" t="str">
        <f t="shared" si="1"/>
        <v/>
      </c>
      <c r="G13" s="330" t="str">
        <f t="shared" si="2"/>
        <v/>
      </c>
      <c r="I13" s="400"/>
      <c r="J13" s="400"/>
      <c r="K13" s="400"/>
      <c r="L13" s="400"/>
      <c r="AC13" s="306">
        <f>IF(SUM(AE7:AE9)&gt;0,1,0)</f>
        <v>0</v>
      </c>
      <c r="AD13" s="315">
        <f t="shared" si="6"/>
        <v>2021</v>
      </c>
      <c r="AE13" s="316">
        <f t="shared" si="3"/>
        <v>0</v>
      </c>
      <c r="AF13" s="317">
        <f t="shared" si="4"/>
        <v>0</v>
      </c>
      <c r="AG13" s="318">
        <f t="shared" si="5"/>
        <v>0</v>
      </c>
      <c r="AH13" s="332" t="str">
        <f t="shared" si="7"/>
        <v/>
      </c>
      <c r="AI13" s="334" t="str">
        <f t="shared" ref="AI13:AI17" si="8">IF(AC13=1,IFERROR((AH13-AH12)/AH12,0),"")</f>
        <v/>
      </c>
      <c r="BA13" s="306" t="s">
        <v>6036</v>
      </c>
    </row>
    <row r="14" spans="1:54" x14ac:dyDescent="0.2">
      <c r="A14" s="326">
        <f t="shared" si="0"/>
        <v>2023</v>
      </c>
      <c r="B14" s="327">
        <f>IFERROR(HLOOKUP($A14,'Emphasis Area'!$5:$8,4,FALSE),0)</f>
        <v>1</v>
      </c>
      <c r="C14" s="328">
        <f>'Emphasis Area'!$F$32</f>
        <v>2</v>
      </c>
      <c r="D14" s="328">
        <f>'Emphasis Area'!$F$19+'Emphasis Area'!$F$20+'Emphasis Area'!$F$43+'Emphasis Area'!$F$44</f>
        <v>0</v>
      </c>
      <c r="E14" s="382"/>
      <c r="F14" s="329" t="str">
        <f t="shared" si="1"/>
        <v/>
      </c>
      <c r="G14" s="330" t="str">
        <f t="shared" si="2"/>
        <v/>
      </c>
      <c r="I14" s="400"/>
      <c r="J14" s="400"/>
      <c r="K14" s="400"/>
      <c r="L14" s="400"/>
      <c r="AC14" s="306">
        <f>IF(SUM(AE7:AE10)&gt;0,1,0)</f>
        <v>0</v>
      </c>
      <c r="AD14" s="315">
        <f t="shared" si="6"/>
        <v>2022</v>
      </c>
      <c r="AE14" s="316">
        <f t="shared" si="3"/>
        <v>0</v>
      </c>
      <c r="AF14" s="317">
        <f t="shared" si="4"/>
        <v>0</v>
      </c>
      <c r="AG14" s="318">
        <f t="shared" si="5"/>
        <v>0</v>
      </c>
      <c r="AH14" s="332" t="str">
        <f t="shared" si="7"/>
        <v/>
      </c>
      <c r="AI14" s="334" t="str">
        <f t="shared" si="8"/>
        <v/>
      </c>
      <c r="AJ14" s="637" t="str">
        <f>"Prediction Based on a Reduction of "&amp;AI2*100&amp;"% Each Year"</f>
        <v>Prediction Based on a Reduction of 0% Each Year</v>
      </c>
      <c r="AK14" s="637" t="str">
        <f>"Prediction Based on a Reduction of "&amp;AN4*100&amp;"% Each Year"</f>
        <v>Prediction Based on a Reduction of 1% Each Year</v>
      </c>
      <c r="AL14" s="637" t="str">
        <f>"Prediction Based on a Reduction of "&amp;AN5*100&amp;"% Each Year"</f>
        <v>Prediction Based on a Reduction of 2% Each Year</v>
      </c>
      <c r="AM14" s="637" t="str">
        <f>"Prediction Based on a Reduction of "&amp;AN6*100&amp;"% Each Year"</f>
        <v>Prediction Based on a Reduction of 5% Each Year</v>
      </c>
      <c r="AN14" s="640" t="str">
        <f>"Prediction Based on a Reduction of "&amp;AN7&amp;" Deaths each Year"</f>
        <v>Prediction Based on a Reduction of Towards Zero Deaths each Year</v>
      </c>
      <c r="BA14" s="306" t="s">
        <v>6037</v>
      </c>
    </row>
    <row r="15" spans="1:54" x14ac:dyDescent="0.2">
      <c r="A15" s="326">
        <f>A16-1</f>
        <v>2024</v>
      </c>
      <c r="B15" s="327">
        <f>IFERROR(HLOOKUP($A15,'Emphasis Area'!$5:$8,4,FALSE),0)</f>
        <v>0</v>
      </c>
      <c r="C15" s="328">
        <f>'Emphasis Area'!$D$32</f>
        <v>0</v>
      </c>
      <c r="D15" s="328">
        <f>'Emphasis Area'!$D$19+'Emphasis Area'!$D$20+'Emphasis Area'!$D$43+'Emphasis Area'!$D$44</f>
        <v>0</v>
      </c>
      <c r="E15" s="382"/>
      <c r="F15" s="329" t="str">
        <f t="shared" si="1"/>
        <v/>
      </c>
      <c r="G15" s="330" t="str">
        <f t="shared" si="2"/>
        <v/>
      </c>
      <c r="I15" s="400"/>
      <c r="J15" s="400"/>
      <c r="K15" s="400"/>
      <c r="L15" s="400"/>
      <c r="AC15" s="306">
        <f>IF(SUM(AE7:AE11)&gt;0,1,0)</f>
        <v>0</v>
      </c>
      <c r="AD15" s="315">
        <f t="shared" si="6"/>
        <v>2023</v>
      </c>
      <c r="AE15" s="316">
        <f t="shared" si="3"/>
        <v>1</v>
      </c>
      <c r="AF15" s="317">
        <f t="shared" si="4"/>
        <v>0</v>
      </c>
      <c r="AG15" s="318">
        <f t="shared" si="5"/>
        <v>1</v>
      </c>
      <c r="AH15" s="332" t="str">
        <f t="shared" si="7"/>
        <v/>
      </c>
      <c r="AI15" s="334" t="str">
        <f t="shared" si="8"/>
        <v/>
      </c>
      <c r="AJ15" s="638"/>
      <c r="AK15" s="638"/>
      <c r="AL15" s="638"/>
      <c r="AM15" s="638"/>
      <c r="AN15" s="641"/>
      <c r="BA15" s="306" t="s">
        <v>6038</v>
      </c>
    </row>
    <row r="16" spans="1:54" ht="16" thickBot="1" x14ac:dyDescent="0.25">
      <c r="A16" s="348">
        <f>'Emphasis Area'!B5</f>
        <v>2025</v>
      </c>
      <c r="B16" s="349">
        <f>IFERROR(HLOOKUP($A16,'Emphasis Area'!$5:$8,4,FALSE),0)</f>
        <v>0</v>
      </c>
      <c r="C16" s="350">
        <f>'Emphasis Area'!$B$32</f>
        <v>2</v>
      </c>
      <c r="D16" s="350">
        <f>'Emphasis Area'!$B$19+'Emphasis Area'!$B$20+'Emphasis Area'!$B$43+'Emphasis Area'!$B$44</f>
        <v>0</v>
      </c>
      <c r="E16" s="383"/>
      <c r="F16" s="351" t="str">
        <f t="shared" si="1"/>
        <v/>
      </c>
      <c r="G16" s="352" t="str">
        <f t="shared" si="2"/>
        <v/>
      </c>
      <c r="I16" s="400"/>
      <c r="J16" s="400"/>
      <c r="K16" s="400"/>
      <c r="L16" s="400"/>
      <c r="AC16" s="306">
        <f>IF(SUM(AE7:AE12)&gt;0,1,0)</f>
        <v>0</v>
      </c>
      <c r="AD16" s="315">
        <f t="shared" si="6"/>
        <v>2024</v>
      </c>
      <c r="AE16" s="316">
        <f t="shared" si="3"/>
        <v>0</v>
      </c>
      <c r="AF16" s="317">
        <f t="shared" si="4"/>
        <v>0</v>
      </c>
      <c r="AG16" s="318">
        <f t="shared" si="5"/>
        <v>0</v>
      </c>
      <c r="AH16" s="332" t="str">
        <f t="shared" si="7"/>
        <v/>
      </c>
      <c r="AI16" s="334" t="str">
        <f t="shared" si="8"/>
        <v/>
      </c>
      <c r="AJ16" s="638"/>
      <c r="AK16" s="638"/>
      <c r="AL16" s="638"/>
      <c r="AM16" s="638"/>
      <c r="AN16" s="641"/>
      <c r="BA16" s="306" t="s">
        <v>6039</v>
      </c>
    </row>
    <row r="17" spans="1:53" ht="16" thickBot="1" x14ac:dyDescent="0.25">
      <c r="A17" s="361" t="str">
        <f>'Emphasis Area'!A25</f>
        <v>*2020 Data is Preliminary</v>
      </c>
      <c r="AC17" s="306">
        <f>IF(COUNTIF(AC7:AC16,"&gt;0")=0,0,IF(SUM(AC7:AC16)&gt;0,1,0))</f>
        <v>0</v>
      </c>
      <c r="AD17" s="335">
        <f t="shared" si="6"/>
        <v>2025</v>
      </c>
      <c r="AE17" s="316">
        <f t="shared" si="3"/>
        <v>0</v>
      </c>
      <c r="AF17" s="336">
        <f t="shared" si="4"/>
        <v>0</v>
      </c>
      <c r="AG17" s="337">
        <f t="shared" si="5"/>
        <v>0</v>
      </c>
      <c r="AH17" s="338" t="str">
        <f t="shared" si="7"/>
        <v/>
      </c>
      <c r="AI17" s="339" t="str">
        <f t="shared" si="8"/>
        <v/>
      </c>
      <c r="AJ17" s="639"/>
      <c r="AK17" s="639"/>
      <c r="AL17" s="639"/>
      <c r="AM17" s="639"/>
      <c r="AN17" s="642"/>
      <c r="BA17" s="306" t="s">
        <v>6040</v>
      </c>
    </row>
    <row r="18" spans="1:53" ht="20" thickBot="1" x14ac:dyDescent="0.3">
      <c r="D18" s="380" t="str">
        <f>IF(COUNTIF(B6:B16,"&gt;0")&gt;5,"","WARNING: Add additional Years to calculate 5 year rolling average projections")</f>
        <v>WARNING: Add additional Years to calculate 5 year rolling average projections</v>
      </c>
      <c r="AC18" s="306" t="s">
        <v>6041</v>
      </c>
      <c r="AD18" s="340">
        <f t="shared" si="6"/>
        <v>2026</v>
      </c>
      <c r="AE18" s="341"/>
      <c r="AF18" s="341"/>
      <c r="AG18" s="342">
        <f>ROUND(IF($AJ$5*AD18+$AJ$6&lt;0,0,$AJ$5*AD18+$AJ$6),3)</f>
        <v>0.255</v>
      </c>
      <c r="AH18" s="343" t="e">
        <f>ROUND(IF($AL$5*AD18+$AL$6&lt;0,0,$AL$5*AD18+$AL$6),5)</f>
        <v>#DIV/0!</v>
      </c>
      <c r="AI18" s="344">
        <f t="shared" ref="AI18:AI37" si="9">IFERROR((AH18-AH17)/AH17,0)</f>
        <v>0</v>
      </c>
      <c r="AJ18" s="345" t="e">
        <f>ROUND(AH17+(AH17*$AI$2*-1),3)</f>
        <v>#VALUE!</v>
      </c>
      <c r="AK18" s="346" t="e">
        <f>ROUND(AH17+(AH17*$AN$4*-1),3)</f>
        <v>#VALUE!</v>
      </c>
      <c r="AL18" s="346" t="e">
        <f>ROUND(AH17+(AH17*$AN$5*-1),3)</f>
        <v>#VALUE!</v>
      </c>
      <c r="AM18" s="346" t="e">
        <f>ROUND(AH17+(AH17*AN6*-1),3)</f>
        <v>#VALUE!</v>
      </c>
      <c r="AN18" s="347" t="e">
        <f>ROUND(AH17-AO7,3)</f>
        <v>#VALUE!</v>
      </c>
      <c r="BA18" s="306" t="s">
        <v>6042</v>
      </c>
    </row>
    <row r="19" spans="1:53" ht="20" thickBot="1" x14ac:dyDescent="0.3">
      <c r="C19" s="362" t="s">
        <v>6049</v>
      </c>
      <c r="D19" s="643" t="s">
        <v>131</v>
      </c>
      <c r="E19" s="644"/>
      <c r="F19" s="644"/>
      <c r="G19" s="644"/>
      <c r="H19" s="645"/>
      <c r="AC19" s="306" t="s">
        <v>6043</v>
      </c>
      <c r="AD19" s="353">
        <f t="shared" si="6"/>
        <v>2027</v>
      </c>
      <c r="AE19" s="354"/>
      <c r="AF19" s="354"/>
      <c r="AG19" s="355">
        <f t="shared" ref="AG19:AG38" si="10">ROUND(IF($AJ$5*AD19+$AJ$6&lt;0,0,$AJ$5*AD19+$AJ$6),3)</f>
        <v>0.28199999999999997</v>
      </c>
      <c r="AH19" s="356" t="e">
        <f t="shared" ref="AH19:AH38" si="11">ROUND(IF($AL$5*AD19+$AL$6&lt;0,0,$AL$5*AD19+$AL$6),5)</f>
        <v>#DIV/0!</v>
      </c>
      <c r="AI19" s="357">
        <f t="shared" si="9"/>
        <v>0</v>
      </c>
      <c r="AJ19" s="358" t="e">
        <f>ROUND(AJ18+(AJ18*$AI$2*-1),3)</f>
        <v>#VALUE!</v>
      </c>
      <c r="AK19" s="359" t="e">
        <f>ROUND(AK18+(AK18*$AN$4*-1),3)</f>
        <v>#VALUE!</v>
      </c>
      <c r="AL19" s="359" t="e">
        <f>ROUND(AL18+(AL18*$AN$5*-1),3)</f>
        <v>#VALUE!</v>
      </c>
      <c r="AM19" s="359" t="e">
        <f>ROUND(AM18+(AM18*$AN$6*-1),3)</f>
        <v>#VALUE!</v>
      </c>
      <c r="AN19" s="360" t="e">
        <f>ROUND(AN18-$AO$7,3)</f>
        <v>#VALUE!</v>
      </c>
      <c r="BA19" s="306" t="s">
        <v>6044</v>
      </c>
    </row>
    <row r="20" spans="1:53" ht="20" thickBot="1" x14ac:dyDescent="0.3">
      <c r="C20" s="362" t="s">
        <v>6051</v>
      </c>
      <c r="D20" s="643" t="s">
        <v>6011</v>
      </c>
      <c r="E20" s="644"/>
      <c r="F20" s="644"/>
      <c r="G20" s="644"/>
      <c r="H20" s="645"/>
      <c r="AC20" s="306" t="s">
        <v>6045</v>
      </c>
      <c r="AD20" s="353">
        <f t="shared" si="6"/>
        <v>2028</v>
      </c>
      <c r="AE20" s="354"/>
      <c r="AF20" s="354"/>
      <c r="AG20" s="355">
        <f t="shared" si="10"/>
        <v>0.309</v>
      </c>
      <c r="AH20" s="356" t="e">
        <f t="shared" si="11"/>
        <v>#DIV/0!</v>
      </c>
      <c r="AI20" s="357">
        <f t="shared" si="9"/>
        <v>0</v>
      </c>
      <c r="AJ20" s="358" t="e">
        <f t="shared" ref="AJ20:AJ37" si="12">ROUND(AJ19+(AJ19*$AI$2*-1),3)</f>
        <v>#VALUE!</v>
      </c>
      <c r="AK20" s="359" t="e">
        <f t="shared" ref="AK20:AK37" si="13">ROUND(AK19+(AK19*$AN$4*-1),3)</f>
        <v>#VALUE!</v>
      </c>
      <c r="AL20" s="359" t="e">
        <f t="shared" ref="AL20:AL37" si="14">ROUND(AL19+(AL19*$AN$5*-1),3)</f>
        <v>#VALUE!</v>
      </c>
      <c r="AM20" s="359" t="e">
        <f t="shared" ref="AM20:AM37" si="15">ROUND(AM19+(AM19*$AN$6*-1),3)</f>
        <v>#VALUE!</v>
      </c>
      <c r="AN20" s="360" t="e">
        <f t="shared" ref="AN20:AN36" si="16">ROUND(AN19-$AO$7,3)</f>
        <v>#VALUE!</v>
      </c>
      <c r="BA20" s="306" t="s">
        <v>6046</v>
      </c>
    </row>
    <row r="21" spans="1:53" ht="16" thickBot="1" x14ac:dyDescent="0.25">
      <c r="AC21" s="306" t="s">
        <v>6047</v>
      </c>
      <c r="AD21" s="353">
        <f t="shared" si="6"/>
        <v>2029</v>
      </c>
      <c r="AE21" s="354"/>
      <c r="AF21" s="354"/>
      <c r="AG21" s="355">
        <f t="shared" si="10"/>
        <v>0.33600000000000002</v>
      </c>
      <c r="AH21" s="356" t="e">
        <f t="shared" si="11"/>
        <v>#DIV/0!</v>
      </c>
      <c r="AI21" s="357">
        <f t="shared" si="9"/>
        <v>0</v>
      </c>
      <c r="AJ21" s="358" t="e">
        <f t="shared" si="12"/>
        <v>#VALUE!</v>
      </c>
      <c r="AK21" s="359" t="e">
        <f t="shared" si="13"/>
        <v>#VALUE!</v>
      </c>
      <c r="AL21" s="359" t="e">
        <f t="shared" si="14"/>
        <v>#VALUE!</v>
      </c>
      <c r="AM21" s="359" t="e">
        <f t="shared" si="15"/>
        <v>#VALUE!</v>
      </c>
      <c r="AN21" s="360" t="e">
        <f t="shared" si="16"/>
        <v>#VALUE!</v>
      </c>
      <c r="BA21" s="306" t="s">
        <v>6048</v>
      </c>
    </row>
    <row r="22" spans="1:53" ht="20" thickBot="1" x14ac:dyDescent="0.3">
      <c r="D22" s="646" t="s">
        <v>6056</v>
      </c>
      <c r="E22" s="647"/>
      <c r="F22" s="647"/>
      <c r="G22" s="647"/>
      <c r="H22" s="648"/>
      <c r="AC22" s="306" t="s">
        <v>6050</v>
      </c>
      <c r="AD22" s="353">
        <f t="shared" si="6"/>
        <v>2030</v>
      </c>
      <c r="AE22" s="354"/>
      <c r="AF22" s="354"/>
      <c r="AG22" s="355">
        <f t="shared" si="10"/>
        <v>0.36399999999999999</v>
      </c>
      <c r="AH22" s="356" t="e">
        <f t="shared" si="11"/>
        <v>#DIV/0!</v>
      </c>
      <c r="AI22" s="357">
        <f t="shared" si="9"/>
        <v>0</v>
      </c>
      <c r="AJ22" s="358" t="e">
        <f t="shared" si="12"/>
        <v>#VALUE!</v>
      </c>
      <c r="AK22" s="359" t="e">
        <f t="shared" si="13"/>
        <v>#VALUE!</v>
      </c>
      <c r="AL22" s="359" t="e">
        <f t="shared" si="14"/>
        <v>#VALUE!</v>
      </c>
      <c r="AM22" s="359" t="e">
        <f t="shared" si="15"/>
        <v>#VALUE!</v>
      </c>
      <c r="AN22" s="360" t="e">
        <f t="shared" si="16"/>
        <v>#VALUE!</v>
      </c>
    </row>
    <row r="23" spans="1:53" ht="41" thickBot="1" x14ac:dyDescent="0.25">
      <c r="D23" s="363" t="s">
        <v>6059</v>
      </c>
      <c r="E23" s="364" t="s">
        <v>6060</v>
      </c>
      <c r="F23" s="364" t="s">
        <v>6061</v>
      </c>
      <c r="G23" s="364" t="s">
        <v>6062</v>
      </c>
      <c r="H23" s="649" t="s">
        <v>6063</v>
      </c>
      <c r="AC23" s="306" t="s">
        <v>6052</v>
      </c>
      <c r="AD23" s="353">
        <f t="shared" si="6"/>
        <v>2031</v>
      </c>
      <c r="AE23" s="354"/>
      <c r="AF23" s="354"/>
      <c r="AG23" s="355">
        <f t="shared" si="10"/>
        <v>0.39100000000000001</v>
      </c>
      <c r="AH23" s="356" t="e">
        <f t="shared" si="11"/>
        <v>#DIV/0!</v>
      </c>
      <c r="AI23" s="357">
        <f t="shared" si="9"/>
        <v>0</v>
      </c>
      <c r="AJ23" s="358" t="e">
        <f t="shared" si="12"/>
        <v>#VALUE!</v>
      </c>
      <c r="AK23" s="359" t="e">
        <f t="shared" si="13"/>
        <v>#VALUE!</v>
      </c>
      <c r="AL23" s="359" t="e">
        <f t="shared" si="14"/>
        <v>#VALUE!</v>
      </c>
      <c r="AM23" s="359" t="e">
        <f t="shared" si="15"/>
        <v>#VALUE!</v>
      </c>
      <c r="AN23" s="360" t="e">
        <f t="shared" si="16"/>
        <v>#VALUE!</v>
      </c>
      <c r="BA23" s="306" t="s">
        <v>6053</v>
      </c>
    </row>
    <row r="24" spans="1:53" ht="20" thickBot="1" x14ac:dyDescent="0.3">
      <c r="C24" s="362"/>
      <c r="D24" s="363" t="e">
        <f>ROUND(AVERAGE(AI12:AI17),4)*-1</f>
        <v>#DIV/0!</v>
      </c>
      <c r="E24" s="365">
        <v>0.01</v>
      </c>
      <c r="F24" s="365">
        <v>0.02</v>
      </c>
      <c r="G24" s="365">
        <v>0.05</v>
      </c>
      <c r="H24" s="650"/>
      <c r="AC24" s="306" t="s">
        <v>6054</v>
      </c>
      <c r="AD24" s="353">
        <f t="shared" si="6"/>
        <v>2032</v>
      </c>
      <c r="AE24" s="354"/>
      <c r="AF24" s="354"/>
      <c r="AG24" s="355">
        <f t="shared" si="10"/>
        <v>0.41799999999999998</v>
      </c>
      <c r="AH24" s="356" t="e">
        <f t="shared" si="11"/>
        <v>#DIV/0!</v>
      </c>
      <c r="AI24" s="357">
        <f t="shared" si="9"/>
        <v>0</v>
      </c>
      <c r="AJ24" s="358" t="e">
        <f t="shared" si="12"/>
        <v>#VALUE!</v>
      </c>
      <c r="AK24" s="359" t="e">
        <f t="shared" si="13"/>
        <v>#VALUE!</v>
      </c>
      <c r="AL24" s="359" t="e">
        <f t="shared" si="14"/>
        <v>#VALUE!</v>
      </c>
      <c r="AM24" s="359" t="e">
        <f t="shared" si="15"/>
        <v>#VALUE!</v>
      </c>
      <c r="AN24" s="360" t="e">
        <f t="shared" si="16"/>
        <v>#VALUE!</v>
      </c>
      <c r="BA24" s="306" t="s">
        <v>6055</v>
      </c>
    </row>
    <row r="25" spans="1:53" ht="20" thickBot="1" x14ac:dyDescent="0.3">
      <c r="C25" s="362" t="str">
        <f>A16&amp;" Value: "</f>
        <v xml:space="preserve">2025 Value: </v>
      </c>
      <c r="D25" s="632">
        <f>AG17</f>
        <v>0</v>
      </c>
      <c r="E25" s="633"/>
      <c r="F25" s="633"/>
      <c r="G25" s="633"/>
      <c r="H25" s="634"/>
      <c r="AC25" s="306" t="s">
        <v>6057</v>
      </c>
      <c r="AD25" s="353">
        <f t="shared" si="6"/>
        <v>2033</v>
      </c>
      <c r="AE25" s="354"/>
      <c r="AF25" s="354"/>
      <c r="AG25" s="355">
        <f t="shared" si="10"/>
        <v>0.44500000000000001</v>
      </c>
      <c r="AH25" s="356" t="e">
        <f t="shared" si="11"/>
        <v>#DIV/0!</v>
      </c>
      <c r="AI25" s="357">
        <f t="shared" si="9"/>
        <v>0</v>
      </c>
      <c r="AJ25" s="358" t="e">
        <f t="shared" si="12"/>
        <v>#VALUE!</v>
      </c>
      <c r="AK25" s="359" t="e">
        <f t="shared" si="13"/>
        <v>#VALUE!</v>
      </c>
      <c r="AL25" s="359" t="e">
        <f t="shared" si="14"/>
        <v>#VALUE!</v>
      </c>
      <c r="AM25" s="359" t="e">
        <f t="shared" si="15"/>
        <v>#VALUE!</v>
      </c>
      <c r="AN25" s="360" t="e">
        <f t="shared" si="16"/>
        <v>#VALUE!</v>
      </c>
      <c r="BA25" s="306" t="s">
        <v>6058</v>
      </c>
    </row>
    <row r="26" spans="1:53" ht="20" thickBot="1" x14ac:dyDescent="0.3">
      <c r="C26" s="362" t="s">
        <v>6041</v>
      </c>
      <c r="D26" s="366" t="e">
        <f>IF($D$20="Rate",AJ18,ROUND(AJ18,1))</f>
        <v>#VALUE!</v>
      </c>
      <c r="E26" s="366" t="e">
        <f t="shared" ref="E26:H26" si="17">IF($D$20="Rate",AK18,ROUND(AK18,1))</f>
        <v>#VALUE!</v>
      </c>
      <c r="F26" s="366" t="e">
        <f t="shared" si="17"/>
        <v>#VALUE!</v>
      </c>
      <c r="G26" s="366" t="e">
        <f t="shared" si="17"/>
        <v>#VALUE!</v>
      </c>
      <c r="H26" s="366" t="e">
        <f t="shared" si="17"/>
        <v>#VALUE!</v>
      </c>
      <c r="AC26" s="306" t="s">
        <v>6064</v>
      </c>
      <c r="AD26" s="353">
        <f t="shared" si="6"/>
        <v>2034</v>
      </c>
      <c r="AE26" s="354"/>
      <c r="AF26" s="354"/>
      <c r="AG26" s="355">
        <f t="shared" si="10"/>
        <v>0.47299999999999998</v>
      </c>
      <c r="AH26" s="356" t="e">
        <f t="shared" si="11"/>
        <v>#DIV/0!</v>
      </c>
      <c r="AI26" s="357">
        <f t="shared" si="9"/>
        <v>0</v>
      </c>
      <c r="AJ26" s="358" t="e">
        <f t="shared" si="12"/>
        <v>#VALUE!</v>
      </c>
      <c r="AK26" s="359" t="e">
        <f t="shared" si="13"/>
        <v>#VALUE!</v>
      </c>
      <c r="AL26" s="359" t="e">
        <f t="shared" si="14"/>
        <v>#VALUE!</v>
      </c>
      <c r="AM26" s="359" t="e">
        <f t="shared" si="15"/>
        <v>#VALUE!</v>
      </c>
      <c r="AN26" s="360" t="e">
        <f t="shared" si="16"/>
        <v>#VALUE!</v>
      </c>
      <c r="BA26" s="306" t="s">
        <v>4332</v>
      </c>
    </row>
    <row r="27" spans="1:53" ht="20" thickBot="1" x14ac:dyDescent="0.3">
      <c r="B27" s="635" t="s">
        <v>6069</v>
      </c>
      <c r="C27" s="636"/>
      <c r="D27" s="366" t="e">
        <f>IF($D$20="Rate",VLOOKUP($B27,$AC$18:$AN$37,8,FALSE),ROUND(VLOOKUP($B27,$AC$18:$AN$37,8,FALSE),1))</f>
        <v>#VALUE!</v>
      </c>
      <c r="E27" s="366" t="e">
        <f>IF($D$20="Rate",VLOOKUP($B27,$AC$18:$AN$37,9,FALSE),ROUND(VLOOKUP($B27,$AC$18:$AN$37,9,FALSE),1))</f>
        <v>#VALUE!</v>
      </c>
      <c r="F27" s="366" t="e">
        <f>IF($D$20="Rate",VLOOKUP($B27,$AC$18:$AN$37,10,FALSE),ROUND(VLOOKUP($B27,$AC$18:$AN$37,10,FALSE),1))</f>
        <v>#VALUE!</v>
      </c>
      <c r="G27" s="366" t="e">
        <f>IF($D$20="Rate",VLOOKUP($B27,$AC$18:$AN$37,11,FALSE),ROUND(VLOOKUP($B27,$AC$18:$AN$37,11,FALSE),1))</f>
        <v>#VALUE!</v>
      </c>
      <c r="H27" s="366">
        <f>IF($D$20="Rate",VLOOKUP($B27,$AC$18:$AN$37,12,FALSE),ROUND(VLOOKUP($B27,$AC$18:$AN$37,12,FALSE),1))</f>
        <v>0</v>
      </c>
      <c r="AC27" s="306" t="s">
        <v>6065</v>
      </c>
      <c r="AD27" s="353">
        <f t="shared" si="6"/>
        <v>2035</v>
      </c>
      <c r="AE27" s="354"/>
      <c r="AF27" s="354"/>
      <c r="AG27" s="355">
        <f t="shared" si="10"/>
        <v>0.5</v>
      </c>
      <c r="AH27" s="356" t="e">
        <f t="shared" si="11"/>
        <v>#DIV/0!</v>
      </c>
      <c r="AI27" s="357">
        <f t="shared" si="9"/>
        <v>0</v>
      </c>
      <c r="AJ27" s="358" t="e">
        <f t="shared" si="12"/>
        <v>#VALUE!</v>
      </c>
      <c r="AK27" s="359" t="e">
        <f t="shared" si="13"/>
        <v>#VALUE!</v>
      </c>
      <c r="AL27" s="359" t="e">
        <f t="shared" si="14"/>
        <v>#VALUE!</v>
      </c>
      <c r="AM27" s="359" t="e">
        <f t="shared" si="15"/>
        <v>#VALUE!</v>
      </c>
      <c r="AN27" s="360" t="e">
        <f t="shared" si="16"/>
        <v>#VALUE!</v>
      </c>
      <c r="BA27" s="306" t="s">
        <v>6066</v>
      </c>
    </row>
    <row r="28" spans="1:53" ht="19" x14ac:dyDescent="0.25">
      <c r="C28" s="362"/>
      <c r="D28" s="306" t="s">
        <v>6071</v>
      </c>
      <c r="AC28" s="306" t="s">
        <v>6067</v>
      </c>
      <c r="AD28" s="353">
        <f>AD27+1</f>
        <v>2036</v>
      </c>
      <c r="AE28" s="354"/>
      <c r="AF28" s="354"/>
      <c r="AG28" s="355">
        <f t="shared" si="10"/>
        <v>0.52700000000000002</v>
      </c>
      <c r="AH28" s="356" t="e">
        <f t="shared" si="11"/>
        <v>#DIV/0!</v>
      </c>
      <c r="AI28" s="357">
        <f>IFERROR((AH28-AH27)/AH27,0)</f>
        <v>0</v>
      </c>
      <c r="AJ28" s="358" t="e">
        <f>ROUND(AJ27+(AJ27*$AI$2*-1),3)</f>
        <v>#VALUE!</v>
      </c>
      <c r="AK28" s="359" t="e">
        <f>ROUND(AK27+(AK27*$AN$4*-1),3)</f>
        <v>#VALUE!</v>
      </c>
      <c r="AL28" s="359" t="e">
        <f>ROUND(AL27+(AL27*$AN$5*-1),3)</f>
        <v>#VALUE!</v>
      </c>
      <c r="AM28" s="359" t="e">
        <f>ROUND(AM27+(AM27*$AN$6*-1),3)</f>
        <v>#VALUE!</v>
      </c>
      <c r="AN28" s="360" t="e">
        <f>ROUND(AN27-$AO$7,3)</f>
        <v>#VALUE!</v>
      </c>
    </row>
    <row r="29" spans="1:53" x14ac:dyDescent="0.2">
      <c r="AC29" s="306" t="s">
        <v>6068</v>
      </c>
      <c r="AD29" s="353">
        <f>AD28+1</f>
        <v>2037</v>
      </c>
      <c r="AE29" s="354"/>
      <c r="AF29" s="354"/>
      <c r="AG29" s="355">
        <f t="shared" si="10"/>
        <v>0.55500000000000005</v>
      </c>
      <c r="AH29" s="356" t="e">
        <f t="shared" si="11"/>
        <v>#DIV/0!</v>
      </c>
      <c r="AI29" s="357">
        <f>IFERROR((AH29-AH28)/AH28,0)</f>
        <v>0</v>
      </c>
      <c r="AJ29" s="358" t="e">
        <f>ROUND(AJ28+(AJ28*$AI$2*-1),3)</f>
        <v>#VALUE!</v>
      </c>
      <c r="AK29" s="359" t="e">
        <f>ROUND(AK28+(AK28*$AN$4*-1),3)</f>
        <v>#VALUE!</v>
      </c>
      <c r="AL29" s="359" t="e">
        <f>ROUND(AL28+(AL28*$AN$5*-1),3)</f>
        <v>#VALUE!</v>
      </c>
      <c r="AM29" s="359" t="e">
        <f>ROUND(AM28+(AM28*$AN$6*-1),3)</f>
        <v>#VALUE!</v>
      </c>
      <c r="AN29" s="360" t="e">
        <f>ROUND(AN28-$AO$7,3)</f>
        <v>#VALUE!</v>
      </c>
      <c r="BA29" s="306" t="s">
        <v>6012</v>
      </c>
    </row>
    <row r="30" spans="1:53" x14ac:dyDescent="0.2">
      <c r="AC30" s="306" t="s">
        <v>6070</v>
      </c>
      <c r="AD30" s="353">
        <f t="shared" si="6"/>
        <v>2038</v>
      </c>
      <c r="AE30" s="354"/>
      <c r="AF30" s="354"/>
      <c r="AG30" s="355">
        <f t="shared" si="10"/>
        <v>0.58199999999999996</v>
      </c>
      <c r="AH30" s="356" t="e">
        <f t="shared" si="11"/>
        <v>#DIV/0!</v>
      </c>
      <c r="AI30" s="357">
        <f t="shared" si="9"/>
        <v>0</v>
      </c>
      <c r="AJ30" s="358" t="e">
        <f t="shared" si="12"/>
        <v>#VALUE!</v>
      </c>
      <c r="AK30" s="359" t="e">
        <f t="shared" si="13"/>
        <v>#VALUE!</v>
      </c>
      <c r="AL30" s="359" t="e">
        <f t="shared" si="14"/>
        <v>#VALUE!</v>
      </c>
      <c r="AM30" s="359" t="e">
        <f t="shared" si="15"/>
        <v>#VALUE!</v>
      </c>
      <c r="AN30" s="360" t="e">
        <f t="shared" si="16"/>
        <v>#VALUE!</v>
      </c>
    </row>
    <row r="31" spans="1:53" x14ac:dyDescent="0.2">
      <c r="AC31" s="306" t="s">
        <v>6072</v>
      </c>
      <c r="AD31" s="353">
        <f t="shared" si="6"/>
        <v>2039</v>
      </c>
      <c r="AE31" s="354"/>
      <c r="AF31" s="354"/>
      <c r="AG31" s="355">
        <f t="shared" si="10"/>
        <v>0.60899999999999999</v>
      </c>
      <c r="AH31" s="356" t="e">
        <f t="shared" si="11"/>
        <v>#DIV/0!</v>
      </c>
      <c r="AI31" s="357">
        <f t="shared" si="9"/>
        <v>0</v>
      </c>
      <c r="AJ31" s="358" t="e">
        <f t="shared" si="12"/>
        <v>#VALUE!</v>
      </c>
      <c r="AK31" s="359" t="e">
        <f t="shared" si="13"/>
        <v>#VALUE!</v>
      </c>
      <c r="AL31" s="359" t="e">
        <f t="shared" si="14"/>
        <v>#VALUE!</v>
      </c>
      <c r="AM31" s="359" t="e">
        <f t="shared" si="15"/>
        <v>#VALUE!</v>
      </c>
      <c r="AN31" s="360" t="e">
        <f t="shared" si="16"/>
        <v>#VALUE!</v>
      </c>
    </row>
    <row r="32" spans="1:53" x14ac:dyDescent="0.2">
      <c r="AC32" s="306" t="s">
        <v>6073</v>
      </c>
      <c r="AD32" s="353">
        <f t="shared" si="6"/>
        <v>2040</v>
      </c>
      <c r="AE32" s="354"/>
      <c r="AF32" s="354"/>
      <c r="AG32" s="355">
        <f t="shared" si="10"/>
        <v>0.63600000000000001</v>
      </c>
      <c r="AH32" s="356" t="e">
        <f t="shared" si="11"/>
        <v>#DIV/0!</v>
      </c>
      <c r="AI32" s="357">
        <f t="shared" si="9"/>
        <v>0</v>
      </c>
      <c r="AJ32" s="358" t="e">
        <f t="shared" si="12"/>
        <v>#VALUE!</v>
      </c>
      <c r="AK32" s="359" t="e">
        <f t="shared" si="13"/>
        <v>#VALUE!</v>
      </c>
      <c r="AL32" s="359" t="e">
        <f t="shared" si="14"/>
        <v>#VALUE!</v>
      </c>
      <c r="AM32" s="359" t="e">
        <f t="shared" si="15"/>
        <v>#VALUE!</v>
      </c>
      <c r="AN32" s="360" t="e">
        <f t="shared" si="16"/>
        <v>#VALUE!</v>
      </c>
    </row>
    <row r="33" spans="29:40" x14ac:dyDescent="0.2">
      <c r="AC33" s="306" t="s">
        <v>6074</v>
      </c>
      <c r="AD33" s="353">
        <f t="shared" si="6"/>
        <v>2041</v>
      </c>
      <c r="AE33" s="354"/>
      <c r="AF33" s="354"/>
      <c r="AG33" s="355">
        <f t="shared" si="10"/>
        <v>0.66400000000000003</v>
      </c>
      <c r="AH33" s="356" t="e">
        <f t="shared" si="11"/>
        <v>#DIV/0!</v>
      </c>
      <c r="AI33" s="357">
        <f t="shared" si="9"/>
        <v>0</v>
      </c>
      <c r="AJ33" s="358" t="e">
        <f t="shared" si="12"/>
        <v>#VALUE!</v>
      </c>
      <c r="AK33" s="359" t="e">
        <f t="shared" si="13"/>
        <v>#VALUE!</v>
      </c>
      <c r="AL33" s="359" t="e">
        <f t="shared" si="14"/>
        <v>#VALUE!</v>
      </c>
      <c r="AM33" s="359" t="e">
        <f t="shared" si="15"/>
        <v>#VALUE!</v>
      </c>
      <c r="AN33" s="360" t="e">
        <f t="shared" si="16"/>
        <v>#VALUE!</v>
      </c>
    </row>
    <row r="34" spans="29:40" x14ac:dyDescent="0.2">
      <c r="AC34" s="306" t="s">
        <v>6075</v>
      </c>
      <c r="AD34" s="367">
        <f t="shared" si="6"/>
        <v>2042</v>
      </c>
      <c r="AE34" s="368"/>
      <c r="AF34" s="368"/>
      <c r="AG34" s="369">
        <f t="shared" si="10"/>
        <v>0.69099999999999995</v>
      </c>
      <c r="AH34" s="370" t="e">
        <f t="shared" si="11"/>
        <v>#DIV/0!</v>
      </c>
      <c r="AI34" s="371">
        <f t="shared" si="9"/>
        <v>0</v>
      </c>
      <c r="AJ34" s="358" t="e">
        <f t="shared" si="12"/>
        <v>#VALUE!</v>
      </c>
      <c r="AK34" s="359" t="e">
        <f t="shared" si="13"/>
        <v>#VALUE!</v>
      </c>
      <c r="AL34" s="359" t="e">
        <f t="shared" si="14"/>
        <v>#VALUE!</v>
      </c>
      <c r="AM34" s="359" t="e">
        <f t="shared" si="15"/>
        <v>#VALUE!</v>
      </c>
      <c r="AN34" s="360" t="e">
        <f t="shared" si="16"/>
        <v>#VALUE!</v>
      </c>
    </row>
    <row r="35" spans="29:40" x14ac:dyDescent="0.2">
      <c r="AC35" s="306" t="s">
        <v>6076</v>
      </c>
      <c r="AD35" s="367">
        <f t="shared" si="6"/>
        <v>2043</v>
      </c>
      <c r="AE35" s="368"/>
      <c r="AF35" s="368"/>
      <c r="AG35" s="369">
        <f t="shared" si="10"/>
        <v>0.71799999999999997</v>
      </c>
      <c r="AH35" s="370" t="e">
        <f t="shared" si="11"/>
        <v>#DIV/0!</v>
      </c>
      <c r="AI35" s="371">
        <f t="shared" si="9"/>
        <v>0</v>
      </c>
      <c r="AJ35" s="358" t="e">
        <f t="shared" si="12"/>
        <v>#VALUE!</v>
      </c>
      <c r="AK35" s="359" t="e">
        <f t="shared" si="13"/>
        <v>#VALUE!</v>
      </c>
      <c r="AL35" s="359" t="e">
        <f t="shared" si="14"/>
        <v>#VALUE!</v>
      </c>
      <c r="AM35" s="359" t="e">
        <f t="shared" si="15"/>
        <v>#VALUE!</v>
      </c>
      <c r="AN35" s="360" t="e">
        <f t="shared" si="16"/>
        <v>#VALUE!</v>
      </c>
    </row>
    <row r="36" spans="29:40" x14ac:dyDescent="0.2">
      <c r="AC36" s="306" t="s">
        <v>6077</v>
      </c>
      <c r="AD36" s="367">
        <f t="shared" si="6"/>
        <v>2044</v>
      </c>
      <c r="AE36" s="368"/>
      <c r="AF36" s="368"/>
      <c r="AG36" s="369">
        <f t="shared" si="10"/>
        <v>0.745</v>
      </c>
      <c r="AH36" s="370" t="e">
        <f t="shared" si="11"/>
        <v>#DIV/0!</v>
      </c>
      <c r="AI36" s="371">
        <f t="shared" si="9"/>
        <v>0</v>
      </c>
      <c r="AJ36" s="358" t="e">
        <f t="shared" si="12"/>
        <v>#VALUE!</v>
      </c>
      <c r="AK36" s="359" t="e">
        <f t="shared" si="13"/>
        <v>#VALUE!</v>
      </c>
      <c r="AL36" s="359" t="e">
        <f t="shared" si="14"/>
        <v>#VALUE!</v>
      </c>
      <c r="AM36" s="359" t="e">
        <f t="shared" si="15"/>
        <v>#VALUE!</v>
      </c>
      <c r="AN36" s="360" t="e">
        <f t="shared" si="16"/>
        <v>#VALUE!</v>
      </c>
    </row>
    <row r="37" spans="29:40" ht="16" thickBot="1" x14ac:dyDescent="0.25">
      <c r="AC37" s="306" t="s">
        <v>6069</v>
      </c>
      <c r="AD37" s="372">
        <f t="shared" si="6"/>
        <v>2045</v>
      </c>
      <c r="AE37" s="373"/>
      <c r="AF37" s="373"/>
      <c r="AG37" s="374">
        <f t="shared" si="10"/>
        <v>0.77300000000000002</v>
      </c>
      <c r="AH37" s="375" t="e">
        <f t="shared" si="11"/>
        <v>#DIV/0!</v>
      </c>
      <c r="AI37" s="376">
        <f t="shared" si="9"/>
        <v>0</v>
      </c>
      <c r="AJ37" s="377" t="e">
        <f t="shared" si="12"/>
        <v>#VALUE!</v>
      </c>
      <c r="AK37" s="378" t="e">
        <f t="shared" si="13"/>
        <v>#VALUE!</v>
      </c>
      <c r="AL37" s="378" t="e">
        <f t="shared" si="14"/>
        <v>#VALUE!</v>
      </c>
      <c r="AM37" s="378" t="e">
        <f t="shared" si="15"/>
        <v>#VALUE!</v>
      </c>
      <c r="AN37" s="379">
        <v>0</v>
      </c>
    </row>
    <row r="38" spans="29:40" x14ac:dyDescent="0.2">
      <c r="AD38" s="361" t="str">
        <f>A17</f>
        <v>*2020 Data is Preliminary</v>
      </c>
      <c r="AG38" s="306" t="e">
        <f t="shared" si="10"/>
        <v>#VALUE!</v>
      </c>
      <c r="AH38" s="306" t="e">
        <f t="shared" si="11"/>
        <v>#DIV/0!</v>
      </c>
    </row>
  </sheetData>
  <mergeCells count="20">
    <mergeCell ref="C4:D4"/>
    <mergeCell ref="AI4:AJ4"/>
    <mergeCell ref="AK4:AL4"/>
    <mergeCell ref="AD5:AD6"/>
    <mergeCell ref="AE5:AE6"/>
    <mergeCell ref="AF5:AF6"/>
    <mergeCell ref="AG5:AG6"/>
    <mergeCell ref="AH9:AH10"/>
    <mergeCell ref="AI10:AI11"/>
    <mergeCell ref="AJ14:AJ17"/>
    <mergeCell ref="AK14:AK17"/>
    <mergeCell ref="AL14:AL17"/>
    <mergeCell ref="D25:H25"/>
    <mergeCell ref="B27:C27"/>
    <mergeCell ref="AM14:AM17"/>
    <mergeCell ref="AN14:AN17"/>
    <mergeCell ref="D19:H19"/>
    <mergeCell ref="D20:H20"/>
    <mergeCell ref="D22:H22"/>
    <mergeCell ref="H23:H24"/>
  </mergeCells>
  <dataValidations disablePrompts="1" count="3">
    <dataValidation type="list" allowBlank="1" showInputMessage="1" showErrorMessage="1" sqref="D19" xr:uid="{00000000-0002-0000-1000-000000000000}">
      <formula1>$B$5:$D$5</formula1>
    </dataValidation>
    <dataValidation type="list" allowBlank="1" showInputMessage="1" showErrorMessage="1" sqref="B27" xr:uid="{00000000-0002-0000-1000-000001000000}">
      <formula1>$AC$19:$AC$37</formula1>
    </dataValidation>
    <dataValidation type="list" allowBlank="1" showInputMessage="1" showErrorMessage="1" sqref="D20:H20" xr:uid="{00000000-0002-0000-1000-000002000000}">
      <formula1>IF(OR($D$19="Fatal and Serious Injuries for Non-Motorized Units",$D$19="Pedestrian Fatalities",$D$19="Pedestrian Serious Injuries",$D$19="Bicyclist Fatalities",$D$19="Bicyclist Serious Injuries"),$BB$5,$BB$5:$BB$6)</formula1>
    </dataValidation>
  </dataValidation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E4629-AFD5-4D32-93DA-79A6DE527E3A}">
  <sheetPr codeName="Sheet29">
    <tabColor rgb="FFFFCC00"/>
  </sheetPr>
  <dimension ref="A1:S57"/>
  <sheetViews>
    <sheetView workbookViewId="0">
      <selection activeCell="A27" sqref="A27:XFD27"/>
    </sheetView>
  </sheetViews>
  <sheetFormatPr baseColWidth="10" defaultColWidth="8.6640625" defaultRowHeight="15" x14ac:dyDescent="0.2"/>
  <cols>
    <col min="1" max="1" width="33.1640625" style="442" bestFit="1" customWidth="1"/>
    <col min="2" max="2" width="16.1640625" style="442" bestFit="1" customWidth="1"/>
    <col min="3" max="3" width="19.33203125" style="442" bestFit="1" customWidth="1"/>
    <col min="4" max="4" width="18" style="442" bestFit="1" customWidth="1"/>
    <col min="5" max="5" width="19.33203125" style="442" bestFit="1" customWidth="1"/>
    <col min="6" max="8" width="8.6640625" style="442"/>
    <col min="9" max="9" width="12" style="442" bestFit="1" customWidth="1"/>
    <col min="10" max="11" width="8.6640625" style="442"/>
    <col min="12" max="12" width="30.5" style="582" hidden="1" customWidth="1"/>
    <col min="13" max="13" width="21.5" style="582" hidden="1" customWidth="1"/>
    <col min="14" max="14" width="11.5" style="582" hidden="1" customWidth="1"/>
    <col min="15" max="15" width="8.6640625" style="582" hidden="1" customWidth="1"/>
    <col min="16" max="16" width="8.6640625" style="442" hidden="1" customWidth="1"/>
    <col min="17" max="17" width="8.6640625" style="442" customWidth="1"/>
    <col min="18" max="16384" width="8.6640625" style="442"/>
  </cols>
  <sheetData>
    <row r="1" spans="1:19" x14ac:dyDescent="0.2">
      <c r="A1" s="595" t="s">
        <v>6137</v>
      </c>
      <c r="B1" s="668" t="s">
        <v>6978</v>
      </c>
      <c r="C1" s="668"/>
      <c r="D1" s="668"/>
      <c r="E1" s="668"/>
      <c r="F1" s="668"/>
      <c r="G1" s="591" t="s">
        <v>6930</v>
      </c>
      <c r="L1" s="582">
        <f>MIN('Full Crash Data'!$C$21:$C1000000)</f>
        <v>2021</v>
      </c>
      <c r="M1" s="582">
        <f>MAX('Full Crash Data'!$C$21:$C$1000000)</f>
        <v>2025</v>
      </c>
      <c r="N1" s="582">
        <f>M1-L1+1</f>
        <v>5</v>
      </c>
      <c r="P1" s="442" t="s">
        <v>6935</v>
      </c>
    </row>
    <row r="2" spans="1:19" x14ac:dyDescent="0.2">
      <c r="B2" s="594"/>
      <c r="C2" s="594"/>
      <c r="D2" s="594"/>
      <c r="E2" s="591"/>
      <c r="P2" s="442" t="s">
        <v>6936</v>
      </c>
      <c r="R2" s="443"/>
      <c r="S2" s="443"/>
    </row>
    <row r="3" spans="1:19" ht="18" customHeight="1" x14ac:dyDescent="0.25">
      <c r="A3" s="667" t="s">
        <v>6934</v>
      </c>
      <c r="B3" s="667"/>
      <c r="C3" s="667"/>
      <c r="D3" s="667"/>
      <c r="P3" s="442" t="s">
        <v>6937</v>
      </c>
    </row>
    <row r="4" spans="1:19" x14ac:dyDescent="0.2">
      <c r="A4" s="669" t="s">
        <v>496</v>
      </c>
      <c r="B4" s="664" t="s">
        <v>6138</v>
      </c>
      <c r="C4" s="665"/>
      <c r="D4" s="606" t="s">
        <v>6139</v>
      </c>
      <c r="G4" s="610"/>
      <c r="H4" s="611" t="s">
        <v>6983</v>
      </c>
      <c r="P4" s="442" t="s">
        <v>6938</v>
      </c>
    </row>
    <row r="5" spans="1:19" x14ac:dyDescent="0.2">
      <c r="A5" s="670"/>
      <c r="B5" s="445" t="str">
        <f>"Total ("&amp;$L$1&amp;"-"&amp;$M$1&amp;")"</f>
        <v>Total (2021-2025)</v>
      </c>
      <c r="C5" s="608" t="s">
        <v>6140</v>
      </c>
      <c r="D5" s="606" t="str">
        <f>C5</f>
        <v>Total (%)</v>
      </c>
      <c r="L5" s="592"/>
      <c r="P5" s="442" t="s">
        <v>6939</v>
      </c>
    </row>
    <row r="6" spans="1:19" x14ac:dyDescent="0.2">
      <c r="A6" s="590" t="s">
        <v>6931</v>
      </c>
      <c r="B6" s="447">
        <f>COUNTIFS('Full Crash Data'!F:F,$M6)</f>
        <v>1</v>
      </c>
      <c r="C6" s="609">
        <f>ROUND(B6/$B$11,4)</f>
        <v>3.2000000000000002E-3</v>
      </c>
      <c r="D6" s="607">
        <f>ROUND(SUMIFS(Table11[Total Crashes],Table11[Site Subtype],$B$1,Table11[Type],$M6)/$N$11,4)</f>
        <v>3.3E-3</v>
      </c>
      <c r="L6" s="583" t="s">
        <v>6931</v>
      </c>
      <c r="M6" s="582" t="s">
        <v>6438</v>
      </c>
      <c r="P6" s="442" t="s">
        <v>6940</v>
      </c>
    </row>
    <row r="7" spans="1:19" x14ac:dyDescent="0.2">
      <c r="A7" s="590" t="s">
        <v>6932</v>
      </c>
      <c r="B7" s="447">
        <f>COUNTIFS('Full Crash Data'!F:F,$M7)</f>
        <v>8</v>
      </c>
      <c r="C7" s="609">
        <f>ROUND(B7/$B$11,4)</f>
        <v>2.5999999999999999E-2</v>
      </c>
      <c r="D7" s="607">
        <f>ROUND(SUMIFS(Table11[Total Crashes],Table11[Site Subtype],$B$1,Table11[Type],$M7)/$N$11,4)</f>
        <v>2.07E-2</v>
      </c>
      <c r="L7" s="584" t="s">
        <v>6932</v>
      </c>
      <c r="M7" s="582" t="s">
        <v>6439</v>
      </c>
      <c r="P7" s="442" t="s">
        <v>6941</v>
      </c>
    </row>
    <row r="8" spans="1:19" x14ac:dyDescent="0.2">
      <c r="A8" s="590" t="s">
        <v>6325</v>
      </c>
      <c r="B8" s="447">
        <f>COUNTIFS('Full Crash Data'!F:F,$M8)</f>
        <v>48</v>
      </c>
      <c r="C8" s="609">
        <f>ROUND(B8/$B$11,4)</f>
        <v>0.15579999999999999</v>
      </c>
      <c r="D8" s="607">
        <f>ROUND(SUMIFS(Table11[Total Crashes],Table11[Site Subtype],$B$1,Table11[Type],$M8)/$N$11,4)</f>
        <v>0.13039999999999999</v>
      </c>
      <c r="L8" s="584" t="s">
        <v>6325</v>
      </c>
      <c r="M8" s="582" t="s">
        <v>6440</v>
      </c>
      <c r="P8" s="442" t="s">
        <v>6942</v>
      </c>
    </row>
    <row r="9" spans="1:19" x14ac:dyDescent="0.2">
      <c r="A9" s="590" t="s">
        <v>6326</v>
      </c>
      <c r="B9" s="447">
        <f>COUNTIFS('Full Crash Data'!F:F,$M9)</f>
        <v>36</v>
      </c>
      <c r="C9" s="609">
        <f>ROUND(B9/$B$11,4)</f>
        <v>0.1169</v>
      </c>
      <c r="D9" s="607">
        <f>ROUND(SUMIFS(Table11[Total Crashes],Table11[Site Subtype],$B$1,Table11[Type],$M9)/$N$11,4)</f>
        <v>0.12640000000000001</v>
      </c>
      <c r="L9" s="584" t="s">
        <v>6326</v>
      </c>
      <c r="M9" s="582" t="s">
        <v>6441</v>
      </c>
      <c r="P9" s="442" t="s">
        <v>6943</v>
      </c>
    </row>
    <row r="10" spans="1:19" x14ac:dyDescent="0.2">
      <c r="A10" s="446" t="s">
        <v>6143</v>
      </c>
      <c r="B10" s="447">
        <f>COUNTIFS('Full Crash Data'!F:F,$M10)</f>
        <v>215</v>
      </c>
      <c r="C10" s="609">
        <f>ROUND(B10/$B$11,4)</f>
        <v>0.69810000000000005</v>
      </c>
      <c r="D10" s="607">
        <f>ROUND(SUMIFS(Table11[Total Crashes],Table11[Site Subtype],$B$1,Table11[Type],$M10)/$N$11,4)</f>
        <v>0.71919999999999995</v>
      </c>
      <c r="E10" s="477"/>
      <c r="L10" s="582" t="s">
        <v>6933</v>
      </c>
      <c r="M10" s="582" t="s">
        <v>6442</v>
      </c>
      <c r="P10" s="442" t="s">
        <v>6944</v>
      </c>
    </row>
    <row r="11" spans="1:19" x14ac:dyDescent="0.2">
      <c r="A11" s="445" t="s">
        <v>133</v>
      </c>
      <c r="B11" s="448">
        <f>SUM(B6:B10)</f>
        <v>308</v>
      </c>
      <c r="C11" s="598"/>
      <c r="D11" s="597"/>
      <c r="L11" s="585"/>
      <c r="N11" s="586">
        <f>SUMIFS(Table11[Total Crashes],Table11[Site Subtype],$B$1)</f>
        <v>322965</v>
      </c>
      <c r="P11" s="442" t="s">
        <v>6945</v>
      </c>
    </row>
    <row r="12" spans="1:19" x14ac:dyDescent="0.2">
      <c r="P12" s="442" t="s">
        <v>6946</v>
      </c>
    </row>
    <row r="13" spans="1:19" ht="19" x14ac:dyDescent="0.25">
      <c r="A13" s="663" t="s">
        <v>6144</v>
      </c>
      <c r="B13" s="663"/>
      <c r="C13" s="663"/>
      <c r="D13" s="663"/>
      <c r="E13" s="663"/>
      <c r="P13" s="442" t="s">
        <v>6947</v>
      </c>
    </row>
    <row r="14" spans="1:19" x14ac:dyDescent="0.2">
      <c r="A14" s="445"/>
      <c r="B14" s="664" t="s">
        <v>6140</v>
      </c>
      <c r="C14" s="665"/>
      <c r="D14" s="666" t="s">
        <v>6145</v>
      </c>
      <c r="E14" s="664"/>
      <c r="P14" s="442" t="s">
        <v>6948</v>
      </c>
    </row>
    <row r="15" spans="1:19" x14ac:dyDescent="0.2">
      <c r="A15" s="445" t="s">
        <v>176</v>
      </c>
      <c r="B15" s="444" t="s">
        <v>6138</v>
      </c>
      <c r="C15" s="608" t="s">
        <v>6139</v>
      </c>
      <c r="D15" s="606" t="str">
        <f>B15</f>
        <v>Site Average</v>
      </c>
      <c r="E15" s="444" t="str">
        <f>C15</f>
        <v>Statewide Average</v>
      </c>
      <c r="L15" s="582" t="s">
        <v>176</v>
      </c>
      <c r="M15" s="593" t="s">
        <v>6146</v>
      </c>
      <c r="P15" s="442" t="s">
        <v>6949</v>
      </c>
    </row>
    <row r="16" spans="1:19" x14ac:dyDescent="0.2">
      <c r="A16" s="446" t="s">
        <v>401</v>
      </c>
      <c r="B16" s="605">
        <f>ROUND(N16/SUM($N$16:$N$35),4)</f>
        <v>9.7000000000000003E-3</v>
      </c>
      <c r="C16" s="609">
        <f>ROUND(SUMIFS(Table12[TOTAL (%)],Table12[Site Subtype],$B$1,Table12[Type],$L16)/100,4)</f>
        <v>4.4000000000000003E-3</v>
      </c>
      <c r="D16" s="607">
        <f>ROUND(O16/SUM($O$16:$O$35),4)</f>
        <v>0</v>
      </c>
      <c r="E16" s="605">
        <f>ROUND(SUMIFS(Table12[FI (%)],Table12[Site Subtype],$B$1,Table12[Type],$L16)/100,4)</f>
        <v>3.8E-3</v>
      </c>
      <c r="L16" s="582" t="s">
        <v>401</v>
      </c>
      <c r="M16" s="582">
        <v>0</v>
      </c>
      <c r="N16" s="582">
        <f>COUNTIFS('Full Crash Data'!$G:$G,$A16)</f>
        <v>3</v>
      </c>
      <c r="O16" s="582">
        <f>N16-COUNTIFS('Full Crash Data'!G:G,$A16,'Full Crash Data'!F:F,"(5) PDO/No Injury")</f>
        <v>0</v>
      </c>
      <c r="P16" s="442" t="s">
        <v>6950</v>
      </c>
    </row>
    <row r="17" spans="1:16" x14ac:dyDescent="0.2">
      <c r="A17" s="446" t="s">
        <v>438</v>
      </c>
      <c r="B17" s="605">
        <f>ROUND(N17/SUM($N$16:$N$35),4)</f>
        <v>4.5499999999999999E-2</v>
      </c>
      <c r="C17" s="609">
        <f>ROUND(SUMIFS(Table12[TOTAL (%)],Table12[Site Subtype],$B$1,Table12[Type],$L17)/100,4)</f>
        <v>2.1600000000000001E-2</v>
      </c>
      <c r="D17" s="607">
        <f>ROUND(O17/SUM($O$16:$O$35),4)</f>
        <v>7.5300000000000006E-2</v>
      </c>
      <c r="E17" s="605">
        <f>ROUND(SUMIFS(Table12[FI (%)],Table12[Site Subtype],$B$1,Table12[Type],$L17)/100,4)</f>
        <v>4.3400000000000001E-2</v>
      </c>
      <c r="L17" s="588" t="s">
        <v>438</v>
      </c>
      <c r="M17" s="582">
        <v>1</v>
      </c>
      <c r="N17" s="582">
        <f>COUNTIFS('Full Crash Data'!$G:$G,$A17)</f>
        <v>14</v>
      </c>
      <c r="O17" s="582">
        <f>N17-COUNTIFS('Full Crash Data'!G:G,$A17,'Full Crash Data'!F:F,"(5) PDO/No Injury")</f>
        <v>7</v>
      </c>
      <c r="P17" s="442" t="s">
        <v>6951</v>
      </c>
    </row>
    <row r="18" spans="1:16" x14ac:dyDescent="0.2">
      <c r="A18" s="446" t="s">
        <v>390</v>
      </c>
      <c r="B18" s="605">
        <f t="shared" ref="B18:B35" si="0">ROUND(N18/SUM($N$16:$N$35),4)</f>
        <v>0.1948</v>
      </c>
      <c r="C18" s="609">
        <f>ROUND(SUMIFS(Table12[TOTAL (%)],Table12[Site Subtype],$B$1,Table12[Type],$L18)/100,4)</f>
        <v>0.28570000000000001</v>
      </c>
      <c r="D18" s="607">
        <f t="shared" ref="D18:D35" si="1">ROUND(O18/SUM($O$16:$O$35),4)</f>
        <v>0.17199999999999999</v>
      </c>
      <c r="E18" s="605">
        <f>ROUND(SUMIFS(Table12[FI (%)],Table12[Site Subtype],$B$1,Table12[Type],$L18)/100,4)</f>
        <v>0.25879999999999997</v>
      </c>
      <c r="L18" s="588" t="s">
        <v>390</v>
      </c>
      <c r="M18" s="582">
        <v>2</v>
      </c>
      <c r="N18" s="582">
        <f>COUNTIFS('Full Crash Data'!$G:$G,$A18)</f>
        <v>60</v>
      </c>
      <c r="O18" s="582">
        <f>N18-COUNTIFS('Full Crash Data'!G:G,$A18,'Full Crash Data'!F:F,"(5) PDO/No Injury")</f>
        <v>16</v>
      </c>
      <c r="P18" s="442" t="s">
        <v>6952</v>
      </c>
    </row>
    <row r="19" spans="1:16" x14ac:dyDescent="0.2">
      <c r="A19" s="446" t="s">
        <v>212</v>
      </c>
      <c r="B19" s="605">
        <f t="shared" si="0"/>
        <v>2.92E-2</v>
      </c>
      <c r="C19" s="609">
        <f>ROUND(SUMIFS(Table12[TOTAL (%)],Table12[Site Subtype],$B$1,Table12[Type],$L19)/100,4)</f>
        <v>2.8500000000000001E-2</v>
      </c>
      <c r="D19" s="607">
        <f t="shared" si="1"/>
        <v>0</v>
      </c>
      <c r="E19" s="605">
        <f>ROUND(SUMIFS(Table12[FI (%)],Table12[Site Subtype],$B$1,Table12[Type],$L19)/100,4)</f>
        <v>5.5999999999999999E-3</v>
      </c>
      <c r="L19" s="582" t="s">
        <v>212</v>
      </c>
      <c r="M19" s="582">
        <v>3</v>
      </c>
      <c r="N19" s="582">
        <f>COUNTIFS('Full Crash Data'!$G:$G,$A19)</f>
        <v>9</v>
      </c>
      <c r="O19" s="582">
        <f>N19-COUNTIFS('Full Crash Data'!G:G,$A19,'Full Crash Data'!F:F,"(5) PDO/No Injury")</f>
        <v>0</v>
      </c>
      <c r="P19" s="442" t="s">
        <v>6953</v>
      </c>
    </row>
    <row r="20" spans="1:16" x14ac:dyDescent="0.2">
      <c r="A20" s="446" t="s">
        <v>419</v>
      </c>
      <c r="B20" s="605">
        <f t="shared" si="0"/>
        <v>0</v>
      </c>
      <c r="C20" s="609">
        <f>ROUND(SUMIFS(Table12[TOTAL (%)],Table12[Site Subtype],$B$1,Table12[Type],$L20)/100,4)</f>
        <v>5.0000000000000001E-4</v>
      </c>
      <c r="D20" s="607">
        <f t="shared" si="1"/>
        <v>0</v>
      </c>
      <c r="E20" s="605">
        <f>ROUND(SUMIFS(Table12[FI (%)],Table12[Site Subtype],$B$1,Table12[Type],$L20)/100,4)</f>
        <v>2.9999999999999997E-4</v>
      </c>
      <c r="L20" s="582" t="s">
        <v>419</v>
      </c>
      <c r="M20" s="582">
        <v>4</v>
      </c>
      <c r="N20" s="582">
        <f>COUNTIFS('Full Crash Data'!$G:$G,$A20)</f>
        <v>0</v>
      </c>
      <c r="O20" s="582">
        <f>N20-COUNTIFS('Full Crash Data'!G:G,$A20,'Full Crash Data'!F:F,"(5) PDO/No Injury")</f>
        <v>0</v>
      </c>
      <c r="P20" s="442" t="s">
        <v>6954</v>
      </c>
    </row>
    <row r="21" spans="1:16" x14ac:dyDescent="0.2">
      <c r="A21" s="446" t="s">
        <v>402</v>
      </c>
      <c r="B21" s="605">
        <f t="shared" si="0"/>
        <v>0.15260000000000001</v>
      </c>
      <c r="C21" s="609">
        <f>ROUND(SUMIFS(Table12[TOTAL (%)],Table12[Site Subtype],$B$1,Table12[Type],$L21)/100,4)</f>
        <v>0.16539999999999999</v>
      </c>
      <c r="D21" s="607">
        <f t="shared" si="1"/>
        <v>9.6799999999999997E-2</v>
      </c>
      <c r="E21" s="605">
        <f>ROUND(SUMIFS(Table12[FI (%)],Table12[Site Subtype],$B$1,Table12[Type],$L21)/100,4)</f>
        <v>8.1299999999999997E-2</v>
      </c>
      <c r="L21" s="582" t="s">
        <v>402</v>
      </c>
      <c r="M21" s="582">
        <v>5</v>
      </c>
      <c r="N21" s="582">
        <f>COUNTIFS('Full Crash Data'!$G:$G,$A21)</f>
        <v>47</v>
      </c>
      <c r="O21" s="582">
        <f>N21-COUNTIFS('Full Crash Data'!G:G,$A21,'Full Crash Data'!F:F,"(5) PDO/No Injury")</f>
        <v>9</v>
      </c>
      <c r="P21" s="442" t="s">
        <v>6955</v>
      </c>
    </row>
    <row r="22" spans="1:16" x14ac:dyDescent="0.2">
      <c r="A22" s="446" t="s">
        <v>211</v>
      </c>
      <c r="B22" s="605">
        <f t="shared" si="0"/>
        <v>0.1981</v>
      </c>
      <c r="C22" s="609">
        <f>ROUND(SUMIFS(Table12[TOTAL (%)],Table12[Site Subtype],$B$1,Table12[Type],$L22)/100,4)</f>
        <v>0.19270000000000001</v>
      </c>
      <c r="D22" s="607">
        <f t="shared" si="1"/>
        <v>0.2258</v>
      </c>
      <c r="E22" s="605">
        <f>ROUND(SUMIFS(Table12[FI (%)],Table12[Site Subtype],$B$1,Table12[Type],$L22)/100,4)</f>
        <v>0.25440000000000002</v>
      </c>
      <c r="L22" s="582" t="s">
        <v>211</v>
      </c>
      <c r="M22" s="582">
        <v>6</v>
      </c>
      <c r="N22" s="582">
        <f>COUNTIFS('Full Crash Data'!$G:$G,$A22)</f>
        <v>61</v>
      </c>
      <c r="O22" s="582">
        <f>N22-COUNTIFS('Full Crash Data'!G:G,$A22,'Full Crash Data'!F:F,"(5) PDO/No Injury")</f>
        <v>21</v>
      </c>
      <c r="P22" s="442" t="s">
        <v>6956</v>
      </c>
    </row>
    <row r="23" spans="1:16" x14ac:dyDescent="0.2">
      <c r="A23" s="446" t="s">
        <v>210</v>
      </c>
      <c r="B23" s="605">
        <f t="shared" si="0"/>
        <v>3.5700000000000003E-2</v>
      </c>
      <c r="C23" s="609">
        <f>ROUND(SUMIFS(Table12[TOTAL (%)],Table12[Site Subtype],$B$1,Table12[Type],$L23)/100,4)</f>
        <v>4.2700000000000002E-2</v>
      </c>
      <c r="D23" s="607">
        <f t="shared" si="1"/>
        <v>0</v>
      </c>
      <c r="E23" s="605">
        <f>ROUND(SUMIFS(Table12[FI (%)],Table12[Site Subtype],$B$1,Table12[Type],$L23)/100,4)</f>
        <v>2.4199999999999999E-2</v>
      </c>
      <c r="L23" s="582" t="s">
        <v>210</v>
      </c>
      <c r="M23" s="582">
        <v>7</v>
      </c>
      <c r="N23" s="582">
        <f>COUNTIFS('Full Crash Data'!$G:$G,$A23)</f>
        <v>11</v>
      </c>
      <c r="O23" s="582">
        <f>N23-COUNTIFS('Full Crash Data'!G:G,$A23,'Full Crash Data'!F:F,"(5) PDO/No Injury")</f>
        <v>0</v>
      </c>
      <c r="P23" s="442" t="s">
        <v>6957</v>
      </c>
    </row>
    <row r="24" spans="1:16" x14ac:dyDescent="0.2">
      <c r="A24" s="446" t="s">
        <v>209</v>
      </c>
      <c r="B24" s="605">
        <f t="shared" si="0"/>
        <v>1.6199999999999999E-2</v>
      </c>
      <c r="C24" s="609">
        <f>ROUND(SUMIFS(Table12[TOTAL (%)],Table12[Site Subtype],$B$1,Table12[Type],$L24)/100,4)</f>
        <v>1.6E-2</v>
      </c>
      <c r="D24" s="607">
        <f t="shared" si="1"/>
        <v>4.2999999999999997E-2</v>
      </c>
      <c r="E24" s="605">
        <f>ROUND(SUMIFS(Table12[FI (%)],Table12[Site Subtype],$B$1,Table12[Type],$L24)/100,4)</f>
        <v>5.3900000000000003E-2</v>
      </c>
      <c r="L24" s="582" t="s">
        <v>209</v>
      </c>
      <c r="M24" s="582">
        <v>8</v>
      </c>
      <c r="N24" s="582">
        <f>COUNTIFS('Full Crash Data'!$G:$G,$A24)</f>
        <v>5</v>
      </c>
      <c r="O24" s="582">
        <f>N24-COUNTIFS('Full Crash Data'!G:G,$A24,'Full Crash Data'!F:F,"(5) PDO/No Injury")</f>
        <v>4</v>
      </c>
      <c r="P24" s="442" t="s">
        <v>6958</v>
      </c>
    </row>
    <row r="25" spans="1:16" x14ac:dyDescent="0.2">
      <c r="A25" s="446" t="s">
        <v>207</v>
      </c>
      <c r="B25" s="605">
        <f t="shared" si="0"/>
        <v>0</v>
      </c>
      <c r="C25" s="609">
        <f>ROUND(SUMIFS(Table12[TOTAL (%)],Table12[Site Subtype],$B$1,Table12[Type],$L25)/100,4)</f>
        <v>1.21E-2</v>
      </c>
      <c r="D25" s="607">
        <f t="shared" si="1"/>
        <v>0</v>
      </c>
      <c r="E25" s="605">
        <f>ROUND(SUMIFS(Table12[FI (%)],Table12[Site Subtype],$B$1,Table12[Type],$L25)/100,4)</f>
        <v>2.3E-3</v>
      </c>
      <c r="L25" s="582" t="s">
        <v>207</v>
      </c>
      <c r="M25" s="582">
        <v>9</v>
      </c>
      <c r="N25" s="582">
        <f>COUNTIFS('Full Crash Data'!$G:$G,$A25)</f>
        <v>0</v>
      </c>
      <c r="O25" s="582">
        <f>N25-COUNTIFS('Full Crash Data'!G:G,$A25,'Full Crash Data'!F:F,"(5) PDO/No Injury")</f>
        <v>0</v>
      </c>
      <c r="P25" s="442" t="s">
        <v>6959</v>
      </c>
    </row>
    <row r="26" spans="1:16" x14ac:dyDescent="0.2">
      <c r="A26" s="446" t="s">
        <v>206</v>
      </c>
      <c r="B26" s="605">
        <f t="shared" si="0"/>
        <v>0</v>
      </c>
      <c r="C26" s="609">
        <f>ROUND(SUMIFS(Table12[TOTAL (%)],Table12[Site Subtype],$B$1,Table12[Type],$L26)/100,4)</f>
        <v>2.0000000000000001E-4</v>
      </c>
      <c r="D26" s="607">
        <f t="shared" si="1"/>
        <v>0</v>
      </c>
      <c r="E26" s="605">
        <f>ROUND(SUMIFS(Table12[FI (%)],Table12[Site Subtype],$B$1,Table12[Type],$L26)/100,4)</f>
        <v>2.9999999999999997E-4</v>
      </c>
      <c r="L26" s="582" t="s">
        <v>206</v>
      </c>
      <c r="M26" s="582">
        <v>10</v>
      </c>
      <c r="N26" s="582">
        <f>COUNTIFS('Full Crash Data'!$G:$G,$A26)</f>
        <v>0</v>
      </c>
      <c r="O26" s="582">
        <f>N26-COUNTIFS('Full Crash Data'!G:G,$A26,'Full Crash Data'!F:F,"(5) PDO/No Injury")</f>
        <v>0</v>
      </c>
      <c r="P26" s="442" t="s">
        <v>6960</v>
      </c>
    </row>
    <row r="27" spans="1:16" x14ac:dyDescent="0.2">
      <c r="A27" s="446" t="s">
        <v>313</v>
      </c>
      <c r="B27" s="605">
        <f t="shared" si="0"/>
        <v>1.6199999999999999E-2</v>
      </c>
      <c r="C27" s="609">
        <f>ROUND(SUMIFS(Table12[TOTAL (%)],Table12[Site Subtype],$B$1,Table12[Type],$L27)/100,4)</f>
        <v>6.4999999999999997E-3</v>
      </c>
      <c r="D27" s="607">
        <f t="shared" si="1"/>
        <v>5.3800000000000001E-2</v>
      </c>
      <c r="E27" s="605">
        <f>ROUND(SUMIFS(Table12[FI (%)],Table12[Site Subtype],$B$1,Table12[Type],$L27)/100,4)</f>
        <v>1.95E-2</v>
      </c>
      <c r="L27" s="588" t="s">
        <v>313</v>
      </c>
      <c r="M27" s="582">
        <v>11</v>
      </c>
      <c r="N27" s="582">
        <f>COUNTIFS('Full Crash Data'!$G:$G,$A27)</f>
        <v>5</v>
      </c>
      <c r="O27" s="582">
        <f>N27-COUNTIFS('Full Crash Data'!G:G,$A27,'Full Crash Data'!F:F,"(5) PDO/No Injury")</f>
        <v>5</v>
      </c>
      <c r="P27" s="442" t="s">
        <v>6961</v>
      </c>
    </row>
    <row r="28" spans="1:16" x14ac:dyDescent="0.2">
      <c r="A28" s="446" t="s">
        <v>497</v>
      </c>
      <c r="B28" s="605">
        <f t="shared" si="0"/>
        <v>0</v>
      </c>
      <c r="C28" s="609">
        <f>ROUND(SUMIFS(Table12[TOTAL (%)],Table12[Site Subtype],$B$1,Table12[Type],$L28)/100,4)</f>
        <v>0</v>
      </c>
      <c r="D28" s="607">
        <f t="shared" si="1"/>
        <v>0</v>
      </c>
      <c r="E28" s="605">
        <f>ROUND(SUMIFS(Table12[FI (%)],Table12[Site Subtype],$B$1,Table12[Type],$L28)/100,4)</f>
        <v>0</v>
      </c>
      <c r="L28" s="582" t="s">
        <v>497</v>
      </c>
      <c r="M28" s="582">
        <v>12</v>
      </c>
      <c r="N28" s="582">
        <f>COUNTIFS('Full Crash Data'!$G:$G,$A28)</f>
        <v>0</v>
      </c>
      <c r="O28" s="582">
        <f>N28-COUNTIFS('Full Crash Data'!G:G,$A28,'Full Crash Data'!F:F,"(5) PDO/No Injury")</f>
        <v>0</v>
      </c>
      <c r="P28" s="442" t="s">
        <v>6962</v>
      </c>
    </row>
    <row r="29" spans="1:16" x14ac:dyDescent="0.2">
      <c r="A29" s="446" t="s">
        <v>416</v>
      </c>
      <c r="B29" s="605">
        <f t="shared" si="0"/>
        <v>8.77E-2</v>
      </c>
      <c r="C29" s="609">
        <f>ROUND(SUMIFS(Table12[TOTAL (%)],Table12[Site Subtype],$B$1,Table12[Type],$L29)/100,4)</f>
        <v>7.1599999999999997E-2</v>
      </c>
      <c r="D29" s="607">
        <f t="shared" si="1"/>
        <v>7.5300000000000006E-2</v>
      </c>
      <c r="E29" s="605">
        <f>ROUND(SUMIFS(Table12[FI (%)],Table12[Site Subtype],$B$1,Table12[Type],$L29)/100,4)</f>
        <v>8.3400000000000002E-2</v>
      </c>
      <c r="L29" s="582" t="s">
        <v>416</v>
      </c>
      <c r="M29" s="582">
        <v>13</v>
      </c>
      <c r="N29" s="582">
        <f>COUNTIFS('Full Crash Data'!$G:$G,$A29)</f>
        <v>27</v>
      </c>
      <c r="O29" s="582">
        <f>N29-COUNTIFS('Full Crash Data'!G:G,$A29,'Full Crash Data'!F:F,"(5) PDO/No Injury")</f>
        <v>7</v>
      </c>
      <c r="P29" s="442" t="s">
        <v>6963</v>
      </c>
    </row>
    <row r="30" spans="1:16" x14ac:dyDescent="0.2">
      <c r="A30" s="446" t="s">
        <v>449</v>
      </c>
      <c r="B30" s="605">
        <f t="shared" si="0"/>
        <v>3.2000000000000002E-3</v>
      </c>
      <c r="C30" s="609">
        <f>ROUND(SUMIFS(Table12[TOTAL (%)],Table12[Site Subtype],$B$1,Table12[Type],$L30)/100,4)</f>
        <v>1.9E-3</v>
      </c>
      <c r="D30" s="607">
        <f t="shared" si="1"/>
        <v>0</v>
      </c>
      <c r="E30" s="605">
        <f>ROUND(SUMIFS(Table12[FI (%)],Table12[Site Subtype],$B$1,Table12[Type],$L30)/100,4)</f>
        <v>1E-3</v>
      </c>
      <c r="L30" s="582" t="s">
        <v>449</v>
      </c>
      <c r="M30" s="582">
        <v>14</v>
      </c>
      <c r="N30" s="582">
        <f>COUNTIFS('Full Crash Data'!$G:$G,$A30)</f>
        <v>1</v>
      </c>
      <c r="O30" s="582">
        <f>N30-COUNTIFS('Full Crash Data'!G:G,$A30,'Full Crash Data'!F:F,"(5) PDO/No Injury")</f>
        <v>0</v>
      </c>
      <c r="P30" s="442" t="s">
        <v>6964</v>
      </c>
    </row>
    <row r="31" spans="1:16" x14ac:dyDescent="0.2">
      <c r="A31" s="446" t="s">
        <v>498</v>
      </c>
      <c r="B31" s="605">
        <f t="shared" si="0"/>
        <v>0</v>
      </c>
      <c r="C31" s="609">
        <f>ROUND(SUMIFS(Table12[TOTAL (%)],Table12[Site Subtype],$B$1,Table12[Type],$L31)/100,4)</f>
        <v>0</v>
      </c>
      <c r="D31" s="607">
        <f t="shared" si="1"/>
        <v>0</v>
      </c>
      <c r="E31" s="605">
        <f>ROUND(SUMIFS(Table12[FI (%)],Table12[Site Subtype],$B$1,Table12[Type],$L31)/100,4)</f>
        <v>0</v>
      </c>
      <c r="L31" s="582" t="s">
        <v>498</v>
      </c>
      <c r="M31" s="582">
        <v>15</v>
      </c>
      <c r="N31" s="582">
        <f>COUNTIFS('Full Crash Data'!$G:$G,$A31)</f>
        <v>0</v>
      </c>
      <c r="O31" s="582">
        <f>N31-COUNTIFS('Full Crash Data'!G:G,$A31,'Full Crash Data'!F:F,"(5) PDO/No Injury")</f>
        <v>0</v>
      </c>
      <c r="P31" s="442" t="s">
        <v>6965</v>
      </c>
    </row>
    <row r="32" spans="1:16" x14ac:dyDescent="0.2">
      <c r="A32" s="446" t="s">
        <v>202</v>
      </c>
      <c r="B32" s="605">
        <f t="shared" si="0"/>
        <v>0</v>
      </c>
      <c r="C32" s="609">
        <f>ROUND(SUMIFS(Table12[TOTAL (%)],Table12[Site Subtype],$B$1,Table12[Type],$L32)/100,4)</f>
        <v>1.5E-3</v>
      </c>
      <c r="D32" s="607">
        <f t="shared" si="1"/>
        <v>0</v>
      </c>
      <c r="E32" s="605">
        <f>ROUND(SUMIFS(Table12[FI (%)],Table12[Site Subtype],$B$1,Table12[Type],$L32)/100,4)</f>
        <v>3.7000000000000002E-3</v>
      </c>
      <c r="L32" s="582" t="s">
        <v>202</v>
      </c>
      <c r="M32" s="582">
        <v>16</v>
      </c>
      <c r="N32" s="582">
        <f>COUNTIFS('Full Crash Data'!$G:$G,$A32)</f>
        <v>0</v>
      </c>
      <c r="O32" s="582">
        <f>N32-COUNTIFS('Full Crash Data'!G:G,$A32,'Full Crash Data'!F:F,"(5) PDO/No Injury")</f>
        <v>0</v>
      </c>
      <c r="P32" s="442" t="s">
        <v>6966</v>
      </c>
    </row>
    <row r="33" spans="1:16" x14ac:dyDescent="0.2">
      <c r="A33" s="446" t="s">
        <v>409</v>
      </c>
      <c r="B33" s="605">
        <f t="shared" si="0"/>
        <v>9.7000000000000003E-3</v>
      </c>
      <c r="C33" s="609">
        <f>ROUND(SUMIFS(Table12[TOTAL (%)],Table12[Site Subtype],$B$1,Table12[Type],$L33)/100,4)</f>
        <v>5.8999999999999999E-3</v>
      </c>
      <c r="D33" s="607">
        <f t="shared" si="1"/>
        <v>1.0800000000000001E-2</v>
      </c>
      <c r="E33" s="605">
        <f>ROUND(SUMIFS(Table12[FI (%)],Table12[Site Subtype],$B$1,Table12[Type],$L33)/100,4)</f>
        <v>6.3E-3</v>
      </c>
      <c r="L33" s="582" t="s">
        <v>409</v>
      </c>
      <c r="M33" s="582">
        <v>17</v>
      </c>
      <c r="N33" s="582">
        <f>COUNTIFS('Full Crash Data'!$G:$G,$A33)</f>
        <v>3</v>
      </c>
      <c r="O33" s="582">
        <f>N33-COUNTIFS('Full Crash Data'!G:G,$A33,'Full Crash Data'!F:F,"(5) PDO/No Injury")</f>
        <v>1</v>
      </c>
      <c r="P33" s="442" t="s">
        <v>6967</v>
      </c>
    </row>
    <row r="34" spans="1:16" x14ac:dyDescent="0.2">
      <c r="A34" s="446" t="s">
        <v>230</v>
      </c>
      <c r="B34" s="605">
        <f t="shared" si="0"/>
        <v>0.1656</v>
      </c>
      <c r="C34" s="609">
        <f>ROUND(SUMIFS(Table12[TOTAL (%)],Table12[Site Subtype],$B$1,Table12[Type],$L34)/100,4)</f>
        <v>9.4700000000000006E-2</v>
      </c>
      <c r="D34" s="607">
        <f t="shared" si="1"/>
        <v>0.2258</v>
      </c>
      <c r="E34" s="605">
        <f>ROUND(SUMIFS(Table12[FI (%)],Table12[Site Subtype],$B$1,Table12[Type],$L34)/100,4)</f>
        <v>0.12640000000000001</v>
      </c>
      <c r="L34" s="582" t="s">
        <v>230</v>
      </c>
      <c r="M34" s="582">
        <v>18</v>
      </c>
      <c r="N34" s="582">
        <f>COUNTIFS('Full Crash Data'!$G:$G,$A34)</f>
        <v>51</v>
      </c>
      <c r="O34" s="582">
        <f>N34-COUNTIFS('Full Crash Data'!G:G,$A34,'Full Crash Data'!F:F,"(5) PDO/No Injury")</f>
        <v>21</v>
      </c>
      <c r="P34" s="442" t="s">
        <v>6968</v>
      </c>
    </row>
    <row r="35" spans="1:16" x14ac:dyDescent="0.2">
      <c r="A35" s="446" t="s">
        <v>860</v>
      </c>
      <c r="B35" s="605">
        <f t="shared" si="0"/>
        <v>3.5700000000000003E-2</v>
      </c>
      <c r="C35" s="609">
        <f>ROUND(SUMIFS(Table12[TOTAL (%)],Table12[Site Subtype],$B$1,Table12[Type],$L35)/100,4)</f>
        <v>4.8099999999999997E-2</v>
      </c>
      <c r="D35" s="607">
        <f t="shared" si="1"/>
        <v>2.1499999999999998E-2</v>
      </c>
      <c r="E35" s="605">
        <f>ROUND(SUMIFS(Table12[FI (%)],Table12[Site Subtype],$B$1,Table12[Type],$L35)/100,4)</f>
        <v>3.1300000000000001E-2</v>
      </c>
      <c r="L35" s="582" t="s">
        <v>860</v>
      </c>
      <c r="M35" s="582">
        <v>19</v>
      </c>
      <c r="N35" s="582">
        <f>COUNTIFS('Full Crash Data'!$G:$G,$A35)</f>
        <v>11</v>
      </c>
      <c r="O35" s="582">
        <f>N35-COUNTIFS('Full Crash Data'!G:G,$A35,'Full Crash Data'!F:F,"(5) PDO/No Injury")</f>
        <v>2</v>
      </c>
      <c r="P35" s="442" t="s">
        <v>6969</v>
      </c>
    </row>
    <row r="36" spans="1:16" x14ac:dyDescent="0.2">
      <c r="P36" s="442" t="s">
        <v>6970</v>
      </c>
    </row>
    <row r="37" spans="1:16" ht="19" x14ac:dyDescent="0.25">
      <c r="A37" s="663" t="s">
        <v>6147</v>
      </c>
      <c r="B37" s="663"/>
      <c r="C37" s="663"/>
      <c r="D37" s="663"/>
      <c r="E37" s="663"/>
      <c r="P37" s="442" t="s">
        <v>6971</v>
      </c>
    </row>
    <row r="38" spans="1:16" x14ac:dyDescent="0.2">
      <c r="A38" s="445"/>
      <c r="B38" s="664" t="s">
        <v>6140</v>
      </c>
      <c r="C38" s="665"/>
      <c r="D38" s="666" t="s">
        <v>6145</v>
      </c>
      <c r="E38" s="664"/>
      <c r="P38" s="442" t="s">
        <v>6972</v>
      </c>
    </row>
    <row r="39" spans="1:16" x14ac:dyDescent="0.2">
      <c r="A39" s="445" t="s">
        <v>6148</v>
      </c>
      <c r="B39" s="444" t="s">
        <v>6138</v>
      </c>
      <c r="C39" s="608" t="s">
        <v>6139</v>
      </c>
      <c r="D39" s="606" t="str">
        <f>B39</f>
        <v>Site Average</v>
      </c>
      <c r="E39" s="444" t="str">
        <f>C39</f>
        <v>Statewide Average</v>
      </c>
      <c r="P39" s="442" t="s">
        <v>6973</v>
      </c>
    </row>
    <row r="40" spans="1:16" x14ac:dyDescent="0.2">
      <c r="A40" s="446" t="s">
        <v>404</v>
      </c>
      <c r="B40" s="605">
        <f t="shared" ref="B40:B45" si="2">ROUND(N40/SUM($N$40:$N$45),4)</f>
        <v>0.66559999999999997</v>
      </c>
      <c r="C40" s="609">
        <f>ROUND(SUMIFS(Table13[TOTAL (%)],Table13[Site Subtype],$B$1,Table13[Type],$L40)/100,4)</f>
        <v>0.7</v>
      </c>
      <c r="D40" s="607">
        <f>ROUND(O40/SUM($O$40:$O$45),4)</f>
        <v>0.73119999999999996</v>
      </c>
      <c r="E40" s="605">
        <f>ROUND(SUMIFS(Table13[FI (%)],Table13[Site Subtype],$B$1,Table13[Type],$L40)/100,4)</f>
        <v>0.67889999999999995</v>
      </c>
      <c r="L40" s="582" t="s">
        <v>404</v>
      </c>
      <c r="M40" s="582">
        <v>1</v>
      </c>
      <c r="N40" s="582">
        <f>COUNTIFS('Full Crash Data'!AU:AU,$A40)</f>
        <v>205</v>
      </c>
      <c r="O40" s="587">
        <f>N40-COUNTIFS('Full Crash Data'!AU:AU,$A40,'Full Crash Data'!F:F,"(5) PDO/No Injury")</f>
        <v>68</v>
      </c>
      <c r="P40" s="442" t="s">
        <v>6974</v>
      </c>
    </row>
    <row r="41" spans="1:16" x14ac:dyDescent="0.2">
      <c r="A41" s="446" t="s">
        <v>6324</v>
      </c>
      <c r="B41" s="605">
        <f t="shared" si="2"/>
        <v>7.1400000000000005E-2</v>
      </c>
      <c r="C41" s="609">
        <f>ROUND(SUMIFS(Table13[TOTAL (%)],Table13[Site Subtype],$B$1,Table13[Type],$L41)/100,4)</f>
        <v>4.7399999999999998E-2</v>
      </c>
      <c r="D41" s="607">
        <f t="shared" ref="D41:D44" si="3">ROUND(O41/SUM($O$40:$O$45),4)</f>
        <v>4.2999999999999997E-2</v>
      </c>
      <c r="E41" s="605">
        <f>ROUND(SUMIFS(Table13[FI (%)],Table13[Site Subtype],$B$1,Table13[Type],$L41)/100,4)</f>
        <v>4.8000000000000001E-2</v>
      </c>
      <c r="L41" s="589" t="s">
        <v>6324</v>
      </c>
      <c r="M41" s="582">
        <v>2</v>
      </c>
      <c r="N41" s="582">
        <f>COUNTIFS('Full Crash Data'!AU:AU,$A41)</f>
        <v>22</v>
      </c>
      <c r="O41" s="587">
        <f>N41-COUNTIFS('Full Crash Data'!AU:AU,$A41,'Full Crash Data'!F:F,"(5) PDO/No Injury")</f>
        <v>4</v>
      </c>
      <c r="P41" s="442" t="s">
        <v>6975</v>
      </c>
    </row>
    <row r="42" spans="1:16" x14ac:dyDescent="0.2">
      <c r="A42" s="446" t="s">
        <v>505</v>
      </c>
      <c r="B42" s="605">
        <f t="shared" si="2"/>
        <v>0.24349999999999999</v>
      </c>
      <c r="C42" s="609">
        <f>ROUND(SUMIFS(Table13[TOTAL (%)],Table13[Site Subtype],$B$1,Table13[Type],$L42)/100,4)</f>
        <v>0.21790000000000001</v>
      </c>
      <c r="D42" s="607">
        <f t="shared" si="3"/>
        <v>0.21510000000000001</v>
      </c>
      <c r="E42" s="605">
        <f>ROUND(SUMIFS(Table13[FI (%)],Table13[Site Subtype],$B$1,Table13[Type],$L42)/100,4)</f>
        <v>0.2429</v>
      </c>
      <c r="L42" s="582" t="s">
        <v>505</v>
      </c>
      <c r="M42" s="582">
        <v>3</v>
      </c>
      <c r="N42" s="582">
        <f>COUNTIFS('Full Crash Data'!AU:AU,$A42)</f>
        <v>75</v>
      </c>
      <c r="O42" s="587">
        <f>N42-COUNTIFS('Full Crash Data'!AU:AU,$A42,'Full Crash Data'!F:F,"(5) PDO/No Injury")</f>
        <v>20</v>
      </c>
      <c r="P42" s="442" t="s">
        <v>6976</v>
      </c>
    </row>
    <row r="43" spans="1:16" x14ac:dyDescent="0.2">
      <c r="A43" s="446" t="s">
        <v>506</v>
      </c>
      <c r="B43" s="605">
        <f t="shared" si="2"/>
        <v>1.2999999999999999E-2</v>
      </c>
      <c r="C43" s="609">
        <f>ROUND(SUMIFS(Table13[TOTAL (%)],Table13[Site Subtype],$B$1,Table13[Type],$L43)/100,4)</f>
        <v>2.4400000000000002E-2</v>
      </c>
      <c r="D43" s="607">
        <f t="shared" si="3"/>
        <v>1.0800000000000001E-2</v>
      </c>
      <c r="E43" s="605">
        <f>ROUND(SUMIFS(Table13[FI (%)],Table13[Site Subtype],$B$1,Table13[Type],$L43)/100,4)</f>
        <v>2.4199999999999999E-2</v>
      </c>
      <c r="L43" s="582" t="s">
        <v>506</v>
      </c>
      <c r="M43" s="582">
        <v>4</v>
      </c>
      <c r="N43" s="582">
        <f>COUNTIFS('Full Crash Data'!AU:AU,$A43)</f>
        <v>4</v>
      </c>
      <c r="O43" s="587">
        <f>N43-COUNTIFS('Full Crash Data'!AU:AU,$A43,'Full Crash Data'!F:F,"(5) PDO/No Injury")</f>
        <v>1</v>
      </c>
      <c r="P43" s="442" t="s">
        <v>6977</v>
      </c>
    </row>
    <row r="44" spans="1:16" x14ac:dyDescent="0.2">
      <c r="A44" s="446" t="s">
        <v>507</v>
      </c>
      <c r="B44" s="605">
        <f t="shared" si="2"/>
        <v>3.2000000000000002E-3</v>
      </c>
      <c r="C44" s="609">
        <f>ROUND(SUMIFS(Table13[TOTAL (%)],Table13[Site Subtype],$B$1,Table13[Type],$L44)/100,4)</f>
        <v>4.4000000000000003E-3</v>
      </c>
      <c r="D44" s="607">
        <f t="shared" si="3"/>
        <v>0</v>
      </c>
      <c r="E44" s="605">
        <f>ROUND(SUMIFS(Table13[FI (%)],Table13[Site Subtype],$B$1,Table13[Type],$L44)/100,4)</f>
        <v>3.5999999999999999E-3</v>
      </c>
      <c r="L44" s="582" t="s">
        <v>507</v>
      </c>
      <c r="M44" s="582">
        <v>5</v>
      </c>
      <c r="N44" s="582">
        <f>COUNTIFS('Full Crash Data'!AU:AU,$A44)</f>
        <v>1</v>
      </c>
      <c r="O44" s="587">
        <f>N44-COUNTIFS('Full Crash Data'!AU:AU,$A44,'Full Crash Data'!F:F,"(5) PDO/No Injury")</f>
        <v>0</v>
      </c>
      <c r="P44" s="442" t="s">
        <v>6978</v>
      </c>
    </row>
    <row r="45" spans="1:16" x14ac:dyDescent="0.2">
      <c r="A45" s="590" t="s">
        <v>6151</v>
      </c>
      <c r="B45" s="605">
        <f t="shared" si="2"/>
        <v>3.2000000000000002E-3</v>
      </c>
      <c r="C45" s="609">
        <f>ROUND(SUMIFS(Table13[TOTAL (%)],Table13[Site Subtype],$B$1,Table13[Type],$L45)/100,4)</f>
        <v>5.8999999999999999E-3</v>
      </c>
      <c r="D45" s="607">
        <f>ROUND(O45/SUM($O$40:$O$45),4)</f>
        <v>0</v>
      </c>
      <c r="E45" s="605">
        <f>ROUND(SUMIFS(Table13[FI (%)],Table13[Site Subtype],$B$1,Table13[Type],$L45)/100,4)</f>
        <v>2.3E-3</v>
      </c>
      <c r="L45" s="592" t="s">
        <v>6151</v>
      </c>
      <c r="M45" s="582">
        <v>9</v>
      </c>
      <c r="N45" s="582">
        <f>COUNTIFS('Full Crash Data'!AU:AU,$A45)</f>
        <v>1</v>
      </c>
      <c r="O45" s="587">
        <f>N45-COUNTIFS('Full Crash Data'!AU:AU,$A45,'Full Crash Data'!F:F,"(5) PDO/No Injury")</f>
        <v>0</v>
      </c>
    </row>
    <row r="46" spans="1:16" x14ac:dyDescent="0.2">
      <c r="O46" s="587"/>
    </row>
    <row r="47" spans="1:16" ht="19" x14ac:dyDescent="0.25">
      <c r="A47" s="663" t="s">
        <v>6149</v>
      </c>
      <c r="B47" s="663"/>
      <c r="C47" s="663"/>
      <c r="D47" s="663"/>
      <c r="E47" s="663"/>
    </row>
    <row r="48" spans="1:16" x14ac:dyDescent="0.2">
      <c r="A48" s="445"/>
      <c r="B48" s="664" t="s">
        <v>6140</v>
      </c>
      <c r="C48" s="665"/>
      <c r="D48" s="666" t="s">
        <v>6145</v>
      </c>
      <c r="E48" s="664"/>
    </row>
    <row r="49" spans="1:15" x14ac:dyDescent="0.2">
      <c r="A49" s="445" t="s">
        <v>6150</v>
      </c>
      <c r="B49" s="444" t="s">
        <v>6138</v>
      </c>
      <c r="C49" s="608" t="s">
        <v>6139</v>
      </c>
      <c r="D49" s="606" t="str">
        <f>B49</f>
        <v>Site Average</v>
      </c>
      <c r="E49" s="444" t="str">
        <f>C49</f>
        <v>Statewide Average</v>
      </c>
    </row>
    <row r="50" spans="1:15" x14ac:dyDescent="0.2">
      <c r="A50" s="446" t="s">
        <v>500</v>
      </c>
      <c r="B50" s="605">
        <f t="shared" ref="B50:B57" si="4">ROUND(N50/SUM($N$50:$N$57),4)</f>
        <v>0.7792</v>
      </c>
      <c r="C50" s="609">
        <f>ROUND(SUMIFS(Table14[TOTAL (%)],Table14[Site Subtype],$B$1,Table14[Type],$A50)/100,4)</f>
        <v>0.77470000000000006</v>
      </c>
      <c r="D50" s="607">
        <f t="shared" ref="D50:D57" si="5">ROUND(O50/SUM($O$50:$O$57),4)</f>
        <v>0.8387</v>
      </c>
      <c r="E50" s="605">
        <f>ROUND(SUMIFS(Table14[FI (%)],Table14[Site Subtype],$B$1,Table14[Type],$A50)/100,4)</f>
        <v>0.78590000000000004</v>
      </c>
      <c r="L50" s="582" t="s">
        <v>500</v>
      </c>
      <c r="M50" s="582">
        <v>1</v>
      </c>
      <c r="N50" s="582">
        <f>COUNTIFS('Full Crash Data'!AT:AT,$A50)</f>
        <v>240</v>
      </c>
      <c r="O50" s="587">
        <f>N50-COUNTIFS('Full Crash Data'!AT:AT,$A50,'Full Crash Data'!F:F,"(5) PDO/No Injury")</f>
        <v>78</v>
      </c>
    </row>
    <row r="51" spans="1:15" x14ac:dyDescent="0.2">
      <c r="A51" s="446" t="s">
        <v>225</v>
      </c>
      <c r="B51" s="605">
        <f t="shared" si="4"/>
        <v>0.1883</v>
      </c>
      <c r="C51" s="609">
        <f>ROUND(SUMIFS(Table14[TOTAL (%)],Table14[Site Subtype],$B$1,Table14[Type],$A51)/100,4)</f>
        <v>0.18770000000000001</v>
      </c>
      <c r="D51" s="607">
        <f t="shared" si="5"/>
        <v>0.1613</v>
      </c>
      <c r="E51" s="605">
        <f>ROUND(SUMIFS(Table14[FI (%)],Table14[Site Subtype],$B$1,Table14[Type],$A51)/100,4)</f>
        <v>0.18640000000000001</v>
      </c>
      <c r="L51" s="582" t="s">
        <v>225</v>
      </c>
      <c r="M51" s="582">
        <v>2</v>
      </c>
      <c r="N51" s="582">
        <f>COUNTIFS('Full Crash Data'!AT:AT,$A51)</f>
        <v>58</v>
      </c>
      <c r="O51" s="587">
        <f>N51-COUNTIFS('Full Crash Data'!AT:AT,$A51,'Full Crash Data'!F:F,"(5) PDO/No Injury")</f>
        <v>15</v>
      </c>
    </row>
    <row r="52" spans="1:15" x14ac:dyDescent="0.2">
      <c r="A52" s="446" t="s">
        <v>430</v>
      </c>
      <c r="B52" s="605">
        <f t="shared" si="4"/>
        <v>1.95E-2</v>
      </c>
      <c r="C52" s="609">
        <f>ROUND(SUMIFS(Table14[TOTAL (%)],Table14[Site Subtype],$B$1,Table14[Type],$A52)/100,4)</f>
        <v>2.2200000000000001E-2</v>
      </c>
      <c r="D52" s="607">
        <f t="shared" si="5"/>
        <v>0</v>
      </c>
      <c r="E52" s="605">
        <f>ROUND(SUMIFS(Table14[FI (%)],Table14[Site Subtype],$B$1,Table14[Type],$A52)/100,4)</f>
        <v>1.6899999999999998E-2</v>
      </c>
      <c r="L52" s="582" t="s">
        <v>430</v>
      </c>
      <c r="M52" s="582">
        <v>3</v>
      </c>
      <c r="N52" s="582">
        <f>COUNTIFS('Full Crash Data'!AT:AT,$A52)</f>
        <v>6</v>
      </c>
      <c r="O52" s="587">
        <f>N52-COUNTIFS('Full Crash Data'!AT:AT,$A52,'Full Crash Data'!F:F,"(5) PDO/No Injury")</f>
        <v>0</v>
      </c>
    </row>
    <row r="53" spans="1:15" x14ac:dyDescent="0.2">
      <c r="A53" s="446" t="s">
        <v>501</v>
      </c>
      <c r="B53" s="605">
        <f t="shared" si="4"/>
        <v>3.2000000000000002E-3</v>
      </c>
      <c r="C53" s="609">
        <f>ROUND(SUMIFS(Table14[TOTAL (%)],Table14[Site Subtype],$B$1,Table14[Type],$A53)/100,4)</f>
        <v>6.7999999999999996E-3</v>
      </c>
      <c r="D53" s="607">
        <f t="shared" si="5"/>
        <v>0</v>
      </c>
      <c r="E53" s="605">
        <f>ROUND(SUMIFS(Table14[FI (%)],Table14[Site Subtype],$B$1,Table14[Type],$A53)/100,4)</f>
        <v>5.3E-3</v>
      </c>
      <c r="L53" s="582" t="s">
        <v>501</v>
      </c>
      <c r="M53" s="582">
        <v>4</v>
      </c>
      <c r="N53" s="582">
        <f>COUNTIFS('Full Crash Data'!AT:AT,$A53)</f>
        <v>1</v>
      </c>
      <c r="O53" s="587">
        <f>N53-COUNTIFS('Full Crash Data'!AT:AT,$A53,'Full Crash Data'!F:F,"(5) PDO/No Injury")</f>
        <v>0</v>
      </c>
    </row>
    <row r="54" spans="1:15" x14ac:dyDescent="0.2">
      <c r="A54" s="446" t="s">
        <v>502</v>
      </c>
      <c r="B54" s="605">
        <f t="shared" si="4"/>
        <v>0</v>
      </c>
      <c r="C54" s="609">
        <f>ROUND(SUMIFS(Table14[TOTAL (%)],Table14[Site Subtype],$B$1,Table14[Type],$A54)/100,4)</f>
        <v>2.0000000000000001E-4</v>
      </c>
      <c r="D54" s="607">
        <f t="shared" si="5"/>
        <v>0</v>
      </c>
      <c r="E54" s="605">
        <f>ROUND(SUMIFS(Table14[FI (%)],Table14[Site Subtype],$B$1,Table14[Type],$A54)/100,4)</f>
        <v>2.0000000000000001E-4</v>
      </c>
      <c r="L54" s="582" t="s">
        <v>502</v>
      </c>
      <c r="M54" s="582">
        <v>5</v>
      </c>
      <c r="N54" s="582">
        <f>COUNTIFS('Full Crash Data'!AT:AT,$A54)</f>
        <v>0</v>
      </c>
      <c r="O54" s="587">
        <f>N54-COUNTIFS('Full Crash Data'!AT:AT,$A54,'Full Crash Data'!F:F,"(5) PDO/No Injury")</f>
        <v>0</v>
      </c>
    </row>
    <row r="55" spans="1:15" x14ac:dyDescent="0.2">
      <c r="A55" s="446" t="s">
        <v>503</v>
      </c>
      <c r="B55" s="605">
        <f t="shared" si="4"/>
        <v>0</v>
      </c>
      <c r="C55" s="609">
        <f>ROUND(SUMIFS(Table14[TOTAL (%)],Table14[Site Subtype],$B$1,Table14[Type],$A55)/100,4)</f>
        <v>6.9999999999999999E-4</v>
      </c>
      <c r="D55" s="607">
        <f t="shared" si="5"/>
        <v>0</v>
      </c>
      <c r="E55" s="605">
        <f>ROUND(SUMIFS(Table14[FI (%)],Table14[Site Subtype],$B$1,Table14[Type],$A55)/100,4)</f>
        <v>6.9999999999999999E-4</v>
      </c>
      <c r="L55" s="589" t="s">
        <v>503</v>
      </c>
      <c r="M55" s="582">
        <v>6</v>
      </c>
      <c r="N55" s="582">
        <f>COUNTIFS('Full Crash Data'!AT:AT,$A55)</f>
        <v>0</v>
      </c>
      <c r="O55" s="587">
        <f>N55-COUNTIFS('Full Crash Data'!AT:AT,$A55,'Full Crash Data'!F:F,"(5) PDO/No Injury")</f>
        <v>0</v>
      </c>
    </row>
    <row r="56" spans="1:15" x14ac:dyDescent="0.2">
      <c r="A56" s="446" t="s">
        <v>504</v>
      </c>
      <c r="B56" s="605">
        <f t="shared" si="4"/>
        <v>0</v>
      </c>
      <c r="C56" s="609">
        <f>ROUND(SUMIFS(Table14[TOTAL (%)],Table14[Site Subtype],$B$1,Table14[Type],$A56)/100,4)</f>
        <v>1.1999999999999999E-3</v>
      </c>
      <c r="D56" s="607">
        <f t="shared" si="5"/>
        <v>0</v>
      </c>
      <c r="E56" s="605">
        <f>ROUND(SUMIFS(Table14[FI (%)],Table14[Site Subtype],$B$1,Table14[Type],$A56)/100,4)</f>
        <v>1.1000000000000001E-3</v>
      </c>
      <c r="L56" s="582" t="s">
        <v>504</v>
      </c>
      <c r="M56" s="582">
        <v>7</v>
      </c>
      <c r="N56" s="582">
        <f>COUNTIFS('Full Crash Data'!AT:AT,$A56)</f>
        <v>0</v>
      </c>
      <c r="O56" s="587">
        <f>N56-COUNTIFS('Full Crash Data'!AT:AT,$A56,'Full Crash Data'!F:F,"(5) PDO/No Injury")</f>
        <v>0</v>
      </c>
    </row>
    <row r="57" spans="1:15" x14ac:dyDescent="0.2">
      <c r="A57" s="596" t="s">
        <v>6151</v>
      </c>
      <c r="B57" s="605">
        <f t="shared" si="4"/>
        <v>9.7000000000000003E-3</v>
      </c>
      <c r="C57" s="609">
        <f>ROUND(SUMIFS(Table14[TOTAL (%)],Table14[Site Subtype],$B$1,Table14[Type],$A57)/100,4)</f>
        <v>6.4999999999999997E-3</v>
      </c>
      <c r="D57" s="607">
        <f t="shared" si="5"/>
        <v>0</v>
      </c>
      <c r="E57" s="605">
        <f>ROUND(SUMIFS(Table14[FI (%)],Table14[Site Subtype],$B$1,Table14[Type],$A57)/100,4)</f>
        <v>3.5000000000000001E-3</v>
      </c>
      <c r="L57" s="592" t="s">
        <v>6151</v>
      </c>
      <c r="M57" s="582">
        <v>9</v>
      </c>
      <c r="N57" s="582">
        <f>COUNTIFS('Full Crash Data'!AT:AT,$A57)-1</f>
        <v>3</v>
      </c>
      <c r="O57" s="587">
        <f>N57-COUNTIFS('Full Crash Data'!AT:AT,$A57,'Full Crash Data'!F:F,"(5) PDO/No Injury")</f>
        <v>0</v>
      </c>
    </row>
  </sheetData>
  <sortState xmlns:xlrd2="http://schemas.microsoft.com/office/spreadsheetml/2017/richdata2" ref="A50:O57">
    <sortCondition ref="J50:J57"/>
  </sortState>
  <mergeCells count="13">
    <mergeCell ref="A3:D3"/>
    <mergeCell ref="B1:F1"/>
    <mergeCell ref="A4:A5"/>
    <mergeCell ref="B4:C4"/>
    <mergeCell ref="A13:E13"/>
    <mergeCell ref="A47:E47"/>
    <mergeCell ref="B48:C48"/>
    <mergeCell ref="D48:E48"/>
    <mergeCell ref="B14:C14"/>
    <mergeCell ref="D14:E14"/>
    <mergeCell ref="A37:E37"/>
    <mergeCell ref="B38:C38"/>
    <mergeCell ref="D38:E38"/>
  </mergeCells>
  <conditionalFormatting sqref="C6:C10">
    <cfRule type="expression" dxfId="135" priority="7">
      <formula>C6&gt;D6</formula>
    </cfRule>
  </conditionalFormatting>
  <conditionalFormatting sqref="B16:B35">
    <cfRule type="expression" dxfId="134" priority="6">
      <formula>B16&gt;C16</formula>
    </cfRule>
  </conditionalFormatting>
  <conditionalFormatting sqref="D16:D35">
    <cfRule type="expression" dxfId="133" priority="5">
      <formula>D16&gt;E16</formula>
    </cfRule>
  </conditionalFormatting>
  <conditionalFormatting sqref="B40:B45">
    <cfRule type="expression" dxfId="132" priority="4">
      <formula>B40&gt;C40</formula>
    </cfRule>
  </conditionalFormatting>
  <conditionalFormatting sqref="D40:D45">
    <cfRule type="expression" dxfId="131" priority="3">
      <formula>D40&gt;E40</formula>
    </cfRule>
  </conditionalFormatting>
  <conditionalFormatting sqref="B50:B57">
    <cfRule type="expression" dxfId="130" priority="2">
      <formula>B50&gt;C50</formula>
    </cfRule>
  </conditionalFormatting>
  <conditionalFormatting sqref="D50:D57">
    <cfRule type="expression" dxfId="129" priority="1">
      <formula>D50&gt;E50</formula>
    </cfRule>
  </conditionalFormatting>
  <dataValidations count="1">
    <dataValidation type="list" allowBlank="1" showInputMessage="1" showErrorMessage="1" sqref="B1" xr:uid="{91F37DB0-02AB-462D-BC7A-4C153A058AA2}">
      <formula1>$P$1:$P$44</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16CD4-96DE-4570-9A81-B76EADFA6985}">
  <sheetPr codeName="Sheet36"/>
  <dimension ref="A4:EM21"/>
  <sheetViews>
    <sheetView workbookViewId="0">
      <selection activeCell="A20" sqref="A20"/>
    </sheetView>
  </sheetViews>
  <sheetFormatPr baseColWidth="10" defaultColWidth="9.1640625" defaultRowHeight="15" x14ac:dyDescent="0.2"/>
  <cols>
    <col min="1" max="1" width="16.5" style="481" bestFit="1" customWidth="1"/>
    <col min="2" max="2" width="10.1640625" style="481" bestFit="1" customWidth="1"/>
    <col min="3" max="3" width="26.83203125" style="481" bestFit="1" customWidth="1"/>
    <col min="4" max="4" width="13.5" style="481" bestFit="1" customWidth="1"/>
    <col min="5" max="5" width="24.83203125" style="481" bestFit="1" customWidth="1"/>
    <col min="6" max="6" width="18.1640625" style="481" bestFit="1" customWidth="1"/>
    <col min="7" max="7" width="13.5" style="481" bestFit="1" customWidth="1"/>
    <col min="8" max="8" width="16.5" style="481" bestFit="1" customWidth="1"/>
    <col min="9" max="9" width="27.1640625" style="481" bestFit="1" customWidth="1"/>
    <col min="10" max="10" width="16.5" style="481" bestFit="1" customWidth="1"/>
    <col min="11" max="11" width="18.33203125" style="481" bestFit="1" customWidth="1"/>
    <col min="12" max="12" width="21.6640625" style="481" bestFit="1" customWidth="1"/>
    <col min="13" max="13" width="10" style="481" bestFit="1" customWidth="1"/>
    <col min="14" max="14" width="23.6640625" style="481" bestFit="1" customWidth="1"/>
    <col min="15" max="15" width="20.5" style="481" bestFit="1" customWidth="1"/>
    <col min="16" max="16" width="22.6640625" style="481" bestFit="1" customWidth="1"/>
    <col min="17" max="17" width="14.5" style="481" bestFit="1" customWidth="1"/>
    <col min="18" max="18" width="30.5" style="481" bestFit="1" customWidth="1"/>
    <col min="19" max="19" width="28.5" style="481" bestFit="1" customWidth="1"/>
    <col min="20" max="20" width="28.33203125" style="481" bestFit="1" customWidth="1"/>
    <col min="21" max="21" width="23" style="481" bestFit="1" customWidth="1"/>
    <col min="22" max="22" width="28.5" style="481" bestFit="1" customWidth="1"/>
    <col min="23" max="23" width="23.1640625" style="481" bestFit="1" customWidth="1"/>
    <col min="24" max="24" width="26.6640625" style="481" bestFit="1" customWidth="1"/>
    <col min="25" max="25" width="24.83203125" style="481" bestFit="1" customWidth="1"/>
    <col min="26" max="26" width="24" style="481" bestFit="1" customWidth="1"/>
    <col min="27" max="27" width="12" style="481" bestFit="1" customWidth="1"/>
    <col min="28" max="28" width="28.5" style="481" bestFit="1" customWidth="1"/>
    <col min="29" max="29" width="17.5" style="481" bestFit="1" customWidth="1"/>
    <col min="30" max="30" width="11.5" style="481" bestFit="1" customWidth="1"/>
    <col min="31" max="31" width="27.6640625" style="481" bestFit="1" customWidth="1"/>
    <col min="32" max="32" width="8.1640625" style="481" bestFit="1" customWidth="1"/>
    <col min="33" max="33" width="22" style="481" bestFit="1" customWidth="1"/>
    <col min="34" max="34" width="17.6640625" style="481" bestFit="1" customWidth="1"/>
    <col min="35" max="35" width="26.6640625" style="481" bestFit="1" customWidth="1"/>
    <col min="36" max="36" width="14" style="481" bestFit="1" customWidth="1"/>
    <col min="37" max="37" width="15.83203125" style="481" bestFit="1" customWidth="1"/>
    <col min="38" max="38" width="29.1640625" style="481" bestFit="1" customWidth="1"/>
    <col min="39" max="39" width="29.83203125" style="481" bestFit="1" customWidth="1"/>
    <col min="40" max="40" width="14.83203125" style="481" bestFit="1" customWidth="1"/>
    <col min="41" max="41" width="13.83203125" style="481" bestFit="1" customWidth="1"/>
    <col min="42" max="42" width="16.6640625" style="481" bestFit="1" customWidth="1"/>
    <col min="43" max="43" width="17.5" style="481" bestFit="1" customWidth="1"/>
    <col min="44" max="44" width="26.83203125" style="481" bestFit="1" customWidth="1"/>
    <col min="45" max="45" width="25.6640625" style="481" bestFit="1" customWidth="1"/>
    <col min="46" max="46" width="30" style="481" bestFit="1" customWidth="1"/>
    <col min="47" max="47" width="19.83203125" style="481" bestFit="1" customWidth="1"/>
    <col min="48" max="48" width="29.5" style="481" bestFit="1" customWidth="1"/>
    <col min="49" max="49" width="28.6640625" style="481" bestFit="1" customWidth="1"/>
    <col min="50" max="50" width="19.6640625" style="481" bestFit="1" customWidth="1"/>
    <col min="51" max="52" width="16.5" style="481" bestFit="1" customWidth="1"/>
    <col min="53" max="53" width="24.5" style="481" bestFit="1" customWidth="1"/>
    <col min="54" max="54" width="23.6640625" style="481" bestFit="1" customWidth="1"/>
    <col min="55" max="55" width="16.6640625" style="481" bestFit="1" customWidth="1"/>
    <col min="56" max="56" width="25.6640625" style="481" bestFit="1" customWidth="1"/>
    <col min="57" max="57" width="26.33203125" style="481" bestFit="1" customWidth="1"/>
    <col min="58" max="58" width="23.1640625" style="481" bestFit="1" customWidth="1"/>
    <col min="59" max="59" width="32.5" style="481" bestFit="1" customWidth="1"/>
    <col min="60" max="60" width="31.33203125" style="481" bestFit="1" customWidth="1"/>
    <col min="61" max="61" width="23.83203125" style="481" bestFit="1" customWidth="1"/>
    <col min="62" max="62" width="30.1640625" style="481" bestFit="1" customWidth="1"/>
    <col min="63" max="63" width="31.1640625" style="481" bestFit="1" customWidth="1"/>
    <col min="64" max="64" width="22.1640625" style="481" bestFit="1" customWidth="1"/>
    <col min="65" max="65" width="27.5" style="481" bestFit="1" customWidth="1"/>
    <col min="66" max="66" width="25.33203125" style="481" bestFit="1" customWidth="1"/>
    <col min="67" max="67" width="28.33203125" style="481" bestFit="1" customWidth="1"/>
    <col min="68" max="68" width="20.5" style="481" bestFit="1" customWidth="1"/>
    <col min="69" max="69" width="28.5" style="481" bestFit="1" customWidth="1"/>
    <col min="70" max="70" width="24.5" style="481" bestFit="1" customWidth="1"/>
    <col min="71" max="71" width="20.5" style="481" bestFit="1" customWidth="1"/>
    <col min="72" max="72" width="20.83203125" style="481" bestFit="1" customWidth="1"/>
    <col min="73" max="73" width="25" style="481" bestFit="1" customWidth="1"/>
    <col min="74" max="74" width="28" style="481" bestFit="1" customWidth="1"/>
    <col min="75" max="75" width="20.1640625" style="481" bestFit="1" customWidth="1"/>
    <col min="76" max="76" width="28.1640625" style="481" bestFit="1" customWidth="1"/>
    <col min="77" max="77" width="26.33203125" style="481" bestFit="1" customWidth="1"/>
    <col min="78" max="78" width="27.1640625" style="481" bestFit="1" customWidth="1"/>
    <col min="79" max="79" width="26.5" style="481" bestFit="1" customWidth="1"/>
    <col min="80" max="80" width="17.83203125" style="481" bestFit="1" customWidth="1"/>
    <col min="81" max="81" width="19.6640625" style="481" bestFit="1" customWidth="1"/>
    <col min="82" max="82" width="24.33203125" style="481" bestFit="1" customWidth="1"/>
    <col min="83" max="83" width="21.1640625" style="481" bestFit="1" customWidth="1"/>
    <col min="84" max="84" width="12.83203125" style="481" bestFit="1" customWidth="1"/>
    <col min="85" max="85" width="24.83203125" style="481" bestFit="1" customWidth="1"/>
    <col min="86" max="86" width="22" style="481" bestFit="1" customWidth="1"/>
    <col min="87" max="87" width="25.83203125" style="481" bestFit="1" customWidth="1"/>
    <col min="88" max="88" width="20.33203125" style="481" bestFit="1" customWidth="1"/>
    <col min="89" max="89" width="22.83203125" style="481" bestFit="1" customWidth="1"/>
    <col min="90" max="90" width="34.83203125" style="481" bestFit="1" customWidth="1"/>
    <col min="91" max="91" width="32" style="481" bestFit="1" customWidth="1"/>
    <col min="92" max="92" width="29" style="481" bestFit="1" customWidth="1"/>
    <col min="93" max="95" width="53" style="481" bestFit="1" customWidth="1"/>
    <col min="96" max="98" width="24.83203125" style="481" bestFit="1" customWidth="1"/>
    <col min="99" max="99" width="31" style="481" bestFit="1" customWidth="1"/>
    <col min="100" max="100" width="12.83203125" style="481" bestFit="1" customWidth="1"/>
    <col min="101" max="101" width="15.33203125" style="481" bestFit="1" customWidth="1"/>
    <col min="102" max="102" width="70.83203125" style="481" bestFit="1" customWidth="1"/>
    <col min="103" max="103" width="19.6640625" style="481" bestFit="1" customWidth="1"/>
    <col min="104" max="104" width="24.33203125" style="481" bestFit="1" customWidth="1"/>
    <col min="105" max="105" width="21.1640625" style="481" bestFit="1" customWidth="1"/>
    <col min="106" max="106" width="12.83203125" style="481" bestFit="1" customWidth="1"/>
    <col min="107" max="107" width="24.83203125" style="481" bestFit="1" customWidth="1"/>
    <col min="108" max="108" width="22" style="481" bestFit="1" customWidth="1"/>
    <col min="109" max="109" width="25.83203125" style="481" bestFit="1" customWidth="1"/>
    <col min="110" max="110" width="20.33203125" style="481" bestFit="1" customWidth="1"/>
    <col min="111" max="111" width="22.83203125" style="481" bestFit="1" customWidth="1"/>
    <col min="112" max="112" width="34.83203125" style="481" bestFit="1" customWidth="1"/>
    <col min="113" max="113" width="26.5" style="481" bestFit="1" customWidth="1"/>
    <col min="114" max="114" width="66.6640625" style="481" bestFit="1" customWidth="1"/>
    <col min="115" max="115" width="53" style="481" bestFit="1" customWidth="1"/>
    <col min="116" max="116" width="24.83203125" style="481" bestFit="1" customWidth="1"/>
    <col min="117" max="117" width="53" style="481" bestFit="1" customWidth="1"/>
    <col min="118" max="119" width="24.83203125" style="481" bestFit="1" customWidth="1"/>
    <col min="120" max="120" width="31" style="481" bestFit="1" customWidth="1"/>
    <col min="121" max="121" width="12.83203125" style="481" bestFit="1" customWidth="1"/>
    <col min="122" max="122" width="15.33203125" style="481" bestFit="1" customWidth="1"/>
    <col min="123" max="123" width="40.5" style="481" bestFit="1" customWidth="1"/>
    <col min="124" max="124" width="19.6640625" style="481" bestFit="1" customWidth="1"/>
    <col min="125" max="125" width="24.83203125" style="481" bestFit="1" customWidth="1"/>
    <col min="126" max="126" width="22" style="481" bestFit="1" customWidth="1"/>
    <col min="127" max="127" width="25.83203125" style="481" bestFit="1" customWidth="1"/>
    <col min="128" max="128" width="34.83203125" style="481" bestFit="1" customWidth="1"/>
    <col min="129" max="129" width="26.5" style="481" bestFit="1" customWidth="1"/>
    <col min="130" max="130" width="53" style="481" bestFit="1" customWidth="1"/>
    <col min="131" max="135" width="24.83203125" style="481" bestFit="1" customWidth="1"/>
    <col min="136" max="137" width="36.1640625" style="481" bestFit="1" customWidth="1"/>
    <col min="138" max="138" width="16.6640625" style="481" bestFit="1" customWidth="1"/>
    <col min="139" max="139" width="12.5" style="481" bestFit="1" customWidth="1"/>
    <col min="140" max="140" width="16" style="481" bestFit="1" customWidth="1"/>
    <col min="141" max="141" width="16.5" style="481" bestFit="1" customWidth="1"/>
    <col min="142" max="142" width="55" style="481" bestFit="1" customWidth="1"/>
    <col min="143" max="143" width="19" style="481" bestFit="1" customWidth="1"/>
    <col min="144" max="144" width="20.83203125" style="481" bestFit="1" customWidth="1"/>
    <col min="145" max="145" width="39.6640625" style="481" bestFit="1" customWidth="1"/>
    <col min="146" max="146" width="11.5" style="481" bestFit="1" customWidth="1"/>
    <col min="147" max="147" width="16.6640625" style="481" bestFit="1" customWidth="1"/>
    <col min="148" max="16384" width="9.1640625" style="481"/>
  </cols>
  <sheetData>
    <row r="4" spans="1:5" x14ac:dyDescent="0.2">
      <c r="A4" s="481" t="s">
        <v>6472</v>
      </c>
    </row>
    <row r="5" spans="1:5" x14ac:dyDescent="0.2">
      <c r="A5" s="481" t="s">
        <v>6473</v>
      </c>
      <c r="B5" s="481" t="s">
        <v>6474</v>
      </c>
    </row>
    <row r="6" spans="1:5" x14ac:dyDescent="0.2">
      <c r="A6" s="481" t="s">
        <v>275</v>
      </c>
      <c r="B6" s="482" t="s">
        <v>6435</v>
      </c>
      <c r="D6" s="481" t="s">
        <v>6475</v>
      </c>
      <c r="E6" s="487" t="s">
        <v>6434</v>
      </c>
    </row>
    <row r="7" spans="1:5" x14ac:dyDescent="0.2">
      <c r="A7" s="481" t="s">
        <v>6476</v>
      </c>
      <c r="B7" s="484">
        <v>5</v>
      </c>
      <c r="D7" s="481" t="s">
        <v>6432</v>
      </c>
      <c r="E7" s="481" t="s">
        <v>6477</v>
      </c>
    </row>
    <row r="8" spans="1:5" x14ac:dyDescent="0.2">
      <c r="A8" s="481" t="s">
        <v>6478</v>
      </c>
      <c r="B8" s="484">
        <v>10</v>
      </c>
      <c r="D8" s="481" t="s">
        <v>262</v>
      </c>
      <c r="E8" s="481" t="s">
        <v>6479</v>
      </c>
    </row>
    <row r="9" spans="1:5" x14ac:dyDescent="0.2">
      <c r="A9" s="481" t="s">
        <v>6480</v>
      </c>
      <c r="B9" s="485">
        <v>2015</v>
      </c>
      <c r="D9" s="481" t="s">
        <v>6434</v>
      </c>
      <c r="E9" s="481" t="str">
        <f>E7 &amp; E8</f>
        <v xml:space="preserve"> AND CRASH_TYPE_CD NOT IN (9)  AND ODPS_WORK_ZONE_IND = 'N' </v>
      </c>
    </row>
    <row r="10" spans="1:5" x14ac:dyDescent="0.2">
      <c r="A10" s="481" t="s">
        <v>6481</v>
      </c>
      <c r="B10" s="485">
        <v>2019</v>
      </c>
    </row>
    <row r="11" spans="1:5" x14ac:dyDescent="0.2">
      <c r="A11" s="481" t="s">
        <v>6482</v>
      </c>
      <c r="B11" s="481" t="s">
        <v>6432</v>
      </c>
    </row>
    <row r="12" spans="1:5" x14ac:dyDescent="0.2">
      <c r="A12" s="481" t="s">
        <v>6483</v>
      </c>
      <c r="B12" s="481" t="str">
        <f>IFERROR(VLOOKUP($B$11,$D$7:$E$9,2,FALSE), "")</f>
        <v xml:space="preserve"> AND CRASH_TYPE_CD NOT IN (9) </v>
      </c>
    </row>
    <row r="20" spans="1:143" x14ac:dyDescent="0.2">
      <c r="A20" s="481" t="s">
        <v>316</v>
      </c>
      <c r="B20" s="481" t="s">
        <v>329</v>
      </c>
      <c r="C20" s="481" t="s">
        <v>350</v>
      </c>
      <c r="D20" s="481" t="s">
        <v>6484</v>
      </c>
      <c r="E20" s="481" t="s">
        <v>320</v>
      </c>
      <c r="F20" s="481" t="s">
        <v>321</v>
      </c>
      <c r="G20" s="481" t="s">
        <v>65</v>
      </c>
      <c r="H20" s="481" t="s">
        <v>328</v>
      </c>
      <c r="I20" s="481" t="s">
        <v>869</v>
      </c>
      <c r="J20" s="481" t="s">
        <v>275</v>
      </c>
      <c r="K20" s="481" t="s">
        <v>317</v>
      </c>
      <c r="L20" s="481" t="s">
        <v>919</v>
      </c>
      <c r="M20" s="481" t="s">
        <v>6485</v>
      </c>
      <c r="N20" s="481" t="s">
        <v>6486</v>
      </c>
      <c r="O20" s="481" t="s">
        <v>318</v>
      </c>
      <c r="P20" s="481" t="s">
        <v>319</v>
      </c>
      <c r="Q20" s="481" t="s">
        <v>863</v>
      </c>
      <c r="R20" s="481" t="s">
        <v>878</v>
      </c>
      <c r="S20" s="481" t="s">
        <v>6487</v>
      </c>
      <c r="T20" s="481" t="s">
        <v>864</v>
      </c>
      <c r="U20" s="481" t="s">
        <v>322</v>
      </c>
      <c r="V20" s="481" t="s">
        <v>323</v>
      </c>
      <c r="W20" s="481" t="s">
        <v>324</v>
      </c>
      <c r="X20" s="481" t="s">
        <v>865</v>
      </c>
      <c r="Y20" s="481" t="s">
        <v>866</v>
      </c>
      <c r="Z20" s="481" t="s">
        <v>867</v>
      </c>
      <c r="AA20" s="481" t="s">
        <v>862</v>
      </c>
      <c r="AB20" s="481" t="s">
        <v>6488</v>
      </c>
      <c r="AC20" s="481" t="s">
        <v>870</v>
      </c>
      <c r="AD20" s="481" t="s">
        <v>928</v>
      </c>
      <c r="AE20" s="481" t="s">
        <v>326</v>
      </c>
      <c r="AF20" s="481" t="s">
        <v>871</v>
      </c>
      <c r="AG20" s="481" t="s">
        <v>872</v>
      </c>
      <c r="AH20" s="481" t="s">
        <v>873</v>
      </c>
      <c r="AI20" s="481" t="s">
        <v>874</v>
      </c>
      <c r="AJ20" s="481" t="s">
        <v>875</v>
      </c>
      <c r="AK20" s="481" t="s">
        <v>876</v>
      </c>
      <c r="AL20" s="481" t="s">
        <v>327</v>
      </c>
      <c r="AM20" s="481" t="s">
        <v>877</v>
      </c>
      <c r="AN20" s="481" t="s">
        <v>6154</v>
      </c>
      <c r="AO20" s="481" t="s">
        <v>282</v>
      </c>
      <c r="AP20" s="481" t="s">
        <v>6156</v>
      </c>
      <c r="AQ20" s="481" t="s">
        <v>330</v>
      </c>
      <c r="AR20" s="481" t="s">
        <v>331</v>
      </c>
      <c r="AS20" s="481" t="s">
        <v>332</v>
      </c>
      <c r="AT20" s="481" t="s">
        <v>334</v>
      </c>
      <c r="AU20" s="481" t="s">
        <v>335</v>
      </c>
      <c r="AV20" s="481" t="s">
        <v>868</v>
      </c>
      <c r="AW20" s="481" t="s">
        <v>325</v>
      </c>
      <c r="AX20" s="481" t="s">
        <v>336</v>
      </c>
      <c r="AY20" s="481" t="s">
        <v>6489</v>
      </c>
      <c r="AZ20" s="481" t="s">
        <v>337</v>
      </c>
      <c r="BA20" s="481" t="s">
        <v>338</v>
      </c>
      <c r="BB20" s="481" t="s">
        <v>339</v>
      </c>
      <c r="BC20" s="481" t="s">
        <v>340</v>
      </c>
      <c r="BD20" s="481" t="s">
        <v>880</v>
      </c>
      <c r="BE20" s="481" t="s">
        <v>881</v>
      </c>
      <c r="BF20" s="481" t="s">
        <v>341</v>
      </c>
      <c r="BG20" s="481" t="s">
        <v>342</v>
      </c>
      <c r="BH20" s="481" t="s">
        <v>343</v>
      </c>
      <c r="BI20" s="481" t="s">
        <v>882</v>
      </c>
      <c r="BJ20" s="481" t="s">
        <v>883</v>
      </c>
      <c r="BK20" s="481" t="s">
        <v>6159</v>
      </c>
      <c r="BL20" s="481" t="s">
        <v>884</v>
      </c>
      <c r="BM20" s="481" t="s">
        <v>344</v>
      </c>
      <c r="BN20" s="481" t="s">
        <v>885</v>
      </c>
      <c r="BO20" s="481" t="s">
        <v>345</v>
      </c>
      <c r="BP20" s="481" t="s">
        <v>886</v>
      </c>
      <c r="BQ20" s="481" t="s">
        <v>887</v>
      </c>
      <c r="BR20" s="481" t="s">
        <v>346</v>
      </c>
      <c r="BS20" s="481" t="s">
        <v>888</v>
      </c>
      <c r="BT20" s="481" t="s">
        <v>347</v>
      </c>
      <c r="BU20" s="481" t="s">
        <v>889</v>
      </c>
      <c r="BV20" s="481" t="s">
        <v>348</v>
      </c>
      <c r="BW20" s="481" t="s">
        <v>890</v>
      </c>
      <c r="BX20" s="481" t="s">
        <v>891</v>
      </c>
      <c r="BY20" s="481" t="s">
        <v>892</v>
      </c>
      <c r="BZ20" s="481" t="s">
        <v>893</v>
      </c>
      <c r="CA20" s="481" t="s">
        <v>6115</v>
      </c>
      <c r="CB20" s="481" t="s">
        <v>894</v>
      </c>
      <c r="CC20" s="481" t="s">
        <v>351</v>
      </c>
      <c r="CD20" s="481" t="s">
        <v>352</v>
      </c>
      <c r="CE20" s="481" t="s">
        <v>353</v>
      </c>
      <c r="CF20" s="481" t="s">
        <v>895</v>
      </c>
      <c r="CG20" s="481" t="s">
        <v>354</v>
      </c>
      <c r="CH20" s="481" t="s">
        <v>355</v>
      </c>
      <c r="CI20" s="481" t="s">
        <v>356</v>
      </c>
      <c r="CJ20" s="481" t="s">
        <v>896</v>
      </c>
      <c r="CK20" s="481" t="s">
        <v>897</v>
      </c>
      <c r="CL20" s="481" t="s">
        <v>357</v>
      </c>
      <c r="CM20" s="481" t="s">
        <v>358</v>
      </c>
      <c r="CN20" s="481" t="s">
        <v>898</v>
      </c>
      <c r="CO20" s="481" t="s">
        <v>360</v>
      </c>
      <c r="CP20" s="481" t="s">
        <v>361</v>
      </c>
      <c r="CQ20" s="481" t="s">
        <v>362</v>
      </c>
      <c r="CR20" s="481" t="s">
        <v>363</v>
      </c>
      <c r="CS20" s="481" t="s">
        <v>364</v>
      </c>
      <c r="CT20" s="481" t="s">
        <v>365</v>
      </c>
      <c r="CU20" s="481" t="s">
        <v>366</v>
      </c>
      <c r="CV20" s="481" t="s">
        <v>367</v>
      </c>
      <c r="CW20" s="481" t="s">
        <v>368</v>
      </c>
      <c r="CX20" s="481" t="s">
        <v>370</v>
      </c>
      <c r="CY20" s="481" t="s">
        <v>372</v>
      </c>
      <c r="CZ20" s="481" t="s">
        <v>373</v>
      </c>
      <c r="DA20" s="481" t="s">
        <v>374</v>
      </c>
      <c r="DB20" s="481" t="s">
        <v>899</v>
      </c>
      <c r="DC20" s="481" t="s">
        <v>375</v>
      </c>
      <c r="DD20" s="481" t="s">
        <v>376</v>
      </c>
      <c r="DE20" s="481" t="s">
        <v>377</v>
      </c>
      <c r="DF20" s="481" t="s">
        <v>900</v>
      </c>
      <c r="DG20" s="481" t="s">
        <v>901</v>
      </c>
      <c r="DH20" s="481" t="s">
        <v>378</v>
      </c>
      <c r="DI20" s="481" t="s">
        <v>379</v>
      </c>
      <c r="DJ20" s="481" t="s">
        <v>380</v>
      </c>
      <c r="DK20" s="481" t="s">
        <v>381</v>
      </c>
      <c r="DL20" s="481" t="s">
        <v>382</v>
      </c>
      <c r="DM20" s="481" t="s">
        <v>383</v>
      </c>
      <c r="DN20" s="481" t="s">
        <v>384</v>
      </c>
      <c r="DO20" s="481" t="s">
        <v>385</v>
      </c>
      <c r="DP20" s="481" t="s">
        <v>386</v>
      </c>
      <c r="DQ20" s="481" t="s">
        <v>387</v>
      </c>
      <c r="DR20" s="481" t="s">
        <v>388</v>
      </c>
      <c r="DS20" s="481" t="s">
        <v>389</v>
      </c>
      <c r="DT20" s="481" t="s">
        <v>902</v>
      </c>
      <c r="DU20" s="481" t="s">
        <v>903</v>
      </c>
      <c r="DV20" s="481" t="s">
        <v>904</v>
      </c>
      <c r="DW20" s="481" t="s">
        <v>905</v>
      </c>
      <c r="DX20" s="481" t="s">
        <v>906</v>
      </c>
      <c r="DY20" s="481" t="s">
        <v>907</v>
      </c>
      <c r="DZ20" s="481" t="s">
        <v>908</v>
      </c>
      <c r="EA20" s="481" t="s">
        <v>909</v>
      </c>
      <c r="EB20" s="481" t="s">
        <v>910</v>
      </c>
      <c r="EC20" s="481" t="s">
        <v>911</v>
      </c>
      <c r="ED20" s="481" t="s">
        <v>912</v>
      </c>
      <c r="EE20" s="481" t="s">
        <v>913</v>
      </c>
      <c r="EF20" s="481" t="s">
        <v>914</v>
      </c>
      <c r="EG20" s="481" t="s">
        <v>915</v>
      </c>
      <c r="EH20" s="481" t="s">
        <v>916</v>
      </c>
      <c r="EI20" s="481" t="s">
        <v>917</v>
      </c>
      <c r="EJ20" s="481" t="s">
        <v>918</v>
      </c>
      <c r="EK20" s="481" t="s">
        <v>6490</v>
      </c>
      <c r="EL20" s="481" t="s">
        <v>861</v>
      </c>
      <c r="EM20" s="481" t="s">
        <v>1102</v>
      </c>
    </row>
    <row r="21" spans="1:143" x14ac:dyDescent="0.2">
      <c r="A21" s="481">
        <v>20194231263</v>
      </c>
      <c r="B21" s="481">
        <v>2019</v>
      </c>
      <c r="C21" s="481" t="s">
        <v>6507</v>
      </c>
      <c r="D21" s="481" t="s">
        <v>6415</v>
      </c>
      <c r="E21" s="481" t="s">
        <v>6441</v>
      </c>
      <c r="F21" s="481" t="s">
        <v>390</v>
      </c>
      <c r="G21" s="481">
        <v>6</v>
      </c>
      <c r="H21" s="481" t="s">
        <v>6429</v>
      </c>
      <c r="I21" s="481" t="s">
        <v>477</v>
      </c>
      <c r="J21" s="481" t="s">
        <v>6436</v>
      </c>
      <c r="K21" s="481" t="s">
        <v>6508</v>
      </c>
      <c r="L21" s="481" t="s">
        <v>6509</v>
      </c>
      <c r="M21" s="481" t="s">
        <v>6491</v>
      </c>
      <c r="N21" s="481" t="s">
        <v>6505</v>
      </c>
      <c r="O21" s="481">
        <v>39.952002999999998</v>
      </c>
      <c r="P21" s="481">
        <v>-83.135304000000005</v>
      </c>
      <c r="Q21" s="481" t="s">
        <v>6492</v>
      </c>
      <c r="R21" s="481" t="s">
        <v>1105</v>
      </c>
      <c r="S21" s="481">
        <v>3</v>
      </c>
      <c r="T21" s="481">
        <v>0</v>
      </c>
      <c r="U21" s="481">
        <v>0</v>
      </c>
      <c r="V21" s="481">
        <v>0</v>
      </c>
      <c r="W21" s="481">
        <v>2</v>
      </c>
      <c r="X21" s="481">
        <v>1</v>
      </c>
      <c r="Y21" s="481">
        <v>0</v>
      </c>
      <c r="Z21" s="481">
        <v>2</v>
      </c>
      <c r="AA21" s="481" t="s">
        <v>260</v>
      </c>
      <c r="AB21" s="481" t="s">
        <v>6431</v>
      </c>
      <c r="AC21" s="481" t="s">
        <v>515</v>
      </c>
      <c r="AD21" s="481" t="s">
        <v>6493</v>
      </c>
      <c r="AE21" s="481" t="s">
        <v>1041</v>
      </c>
      <c r="AF21" s="481" t="s">
        <v>6415</v>
      </c>
      <c r="AG21" s="481" t="s">
        <v>393</v>
      </c>
      <c r="AH21" s="481">
        <v>4</v>
      </c>
      <c r="AI21" s="481">
        <v>3</v>
      </c>
      <c r="AJ21" s="481" t="s">
        <v>393</v>
      </c>
      <c r="AK21" s="481" t="s">
        <v>393</v>
      </c>
      <c r="AL21" s="481" t="s">
        <v>740</v>
      </c>
      <c r="AM21" s="481" t="s">
        <v>1188</v>
      </c>
      <c r="AN21" s="486">
        <v>43675.598611111112</v>
      </c>
      <c r="AO21" s="481" t="s">
        <v>6500</v>
      </c>
      <c r="AP21" s="481">
        <v>14</v>
      </c>
      <c r="AQ21" s="481" t="s">
        <v>6444</v>
      </c>
      <c r="AR21" s="481" t="s">
        <v>403</v>
      </c>
      <c r="AS21" s="481" t="s">
        <v>500</v>
      </c>
      <c r="AT21" s="481" t="s">
        <v>404</v>
      </c>
      <c r="AU21" s="481" t="s">
        <v>508</v>
      </c>
      <c r="AV21" s="481" t="s">
        <v>393</v>
      </c>
      <c r="AW21" s="481" t="s">
        <v>740</v>
      </c>
      <c r="AX21" s="481" t="s">
        <v>393</v>
      </c>
      <c r="AY21" s="481" t="s">
        <v>393</v>
      </c>
      <c r="AZ21" s="481" t="s">
        <v>393</v>
      </c>
      <c r="BA21" s="481" t="s">
        <v>393</v>
      </c>
      <c r="BB21" s="481" t="s">
        <v>393</v>
      </c>
      <c r="BC21" s="481" t="s">
        <v>393</v>
      </c>
      <c r="BD21" s="481" t="s">
        <v>740</v>
      </c>
      <c r="BE21" s="481" t="s">
        <v>393</v>
      </c>
      <c r="BF21" s="481" t="s">
        <v>393</v>
      </c>
      <c r="BG21" s="481" t="s">
        <v>394</v>
      </c>
      <c r="BH21" s="481" t="s">
        <v>394</v>
      </c>
      <c r="BI21" s="481" t="s">
        <v>393</v>
      </c>
      <c r="BJ21" s="481" t="s">
        <v>1105</v>
      </c>
      <c r="BK21" s="481" t="s">
        <v>6415</v>
      </c>
      <c r="BL21" s="481" t="s">
        <v>6415</v>
      </c>
      <c r="BM21" s="481" t="s">
        <v>6415</v>
      </c>
      <c r="BN21" s="481" t="s">
        <v>6415</v>
      </c>
      <c r="BO21" s="481" t="s">
        <v>6431</v>
      </c>
      <c r="BP21" s="481" t="s">
        <v>6494</v>
      </c>
      <c r="BQ21" s="481" t="s">
        <v>1101</v>
      </c>
      <c r="BR21" s="481" t="s">
        <v>6415</v>
      </c>
      <c r="BS21" s="481" t="s">
        <v>6506</v>
      </c>
      <c r="BT21" s="481" t="s">
        <v>6428</v>
      </c>
      <c r="BU21" s="481" t="s">
        <v>6415</v>
      </c>
      <c r="BV21" s="481" t="s">
        <v>6415</v>
      </c>
      <c r="BW21" s="481" t="s">
        <v>6415</v>
      </c>
      <c r="BX21" s="481" t="s">
        <v>6415</v>
      </c>
      <c r="BY21" s="481" t="s">
        <v>6415</v>
      </c>
      <c r="BZ21" s="481" t="s">
        <v>6415</v>
      </c>
      <c r="CA21" s="481" t="s">
        <v>221</v>
      </c>
      <c r="CB21" s="481" t="s">
        <v>740</v>
      </c>
      <c r="CC21" s="481">
        <v>1</v>
      </c>
      <c r="CD21" s="481" t="s">
        <v>406</v>
      </c>
      <c r="CE21" s="481" t="s">
        <v>405</v>
      </c>
      <c r="CF21" s="481" t="s">
        <v>924</v>
      </c>
      <c r="CG21" s="481" t="s">
        <v>6498</v>
      </c>
      <c r="CH21" s="481" t="s">
        <v>6306</v>
      </c>
      <c r="CI21" s="481" t="s">
        <v>398</v>
      </c>
      <c r="CJ21" s="481" t="s">
        <v>6497</v>
      </c>
      <c r="CK21" s="481" t="s">
        <v>6495</v>
      </c>
      <c r="CL21" s="481" t="s">
        <v>415</v>
      </c>
      <c r="CM21" s="481" t="s">
        <v>6512</v>
      </c>
      <c r="CN21" s="481" t="s">
        <v>1096</v>
      </c>
      <c r="CO21" s="481" t="s">
        <v>400</v>
      </c>
      <c r="CP21" s="481" t="s">
        <v>6415</v>
      </c>
      <c r="CQ21" s="481" t="s">
        <v>6415</v>
      </c>
      <c r="CR21" s="481" t="s">
        <v>6415</v>
      </c>
      <c r="CS21" s="481" t="s">
        <v>6415</v>
      </c>
      <c r="CT21" s="481" t="s">
        <v>6415</v>
      </c>
      <c r="CU21" s="481" t="s">
        <v>6496</v>
      </c>
      <c r="CV21" s="481" t="s">
        <v>6503</v>
      </c>
      <c r="CW21" s="481" t="s">
        <v>1068</v>
      </c>
      <c r="CX21" s="481" t="s">
        <v>6341</v>
      </c>
      <c r="CY21" s="481" t="s">
        <v>515</v>
      </c>
      <c r="CZ21" s="481" t="s">
        <v>406</v>
      </c>
      <c r="DA21" s="481" t="s">
        <v>405</v>
      </c>
      <c r="DB21" s="481" t="s">
        <v>924</v>
      </c>
      <c r="DC21" s="481" t="s">
        <v>6498</v>
      </c>
      <c r="DD21" s="481" t="s">
        <v>6501</v>
      </c>
      <c r="DE21" s="481" t="s">
        <v>398</v>
      </c>
      <c r="DF21" s="481" t="s">
        <v>6499</v>
      </c>
      <c r="DG21" s="481" t="s">
        <v>6495</v>
      </c>
      <c r="DH21" s="481" t="s">
        <v>415</v>
      </c>
      <c r="DI21" s="481" t="s">
        <v>398</v>
      </c>
      <c r="DJ21" s="481" t="s">
        <v>400</v>
      </c>
      <c r="DK21" s="481" t="s">
        <v>6415</v>
      </c>
      <c r="DL21" s="481" t="s">
        <v>6415</v>
      </c>
      <c r="DM21" s="481" t="s">
        <v>6415</v>
      </c>
      <c r="DN21" s="481" t="s">
        <v>6415</v>
      </c>
      <c r="DO21" s="481" t="s">
        <v>6415</v>
      </c>
      <c r="DP21" s="481" t="s">
        <v>6496</v>
      </c>
      <c r="DQ21" s="481" t="s">
        <v>6502</v>
      </c>
      <c r="DR21" s="481" t="s">
        <v>1068</v>
      </c>
      <c r="DS21" s="481" t="s">
        <v>6341</v>
      </c>
      <c r="DT21" s="481" t="s">
        <v>6415</v>
      </c>
      <c r="DU21" s="481" t="s">
        <v>6415</v>
      </c>
      <c r="DV21" s="481" t="s">
        <v>6415</v>
      </c>
      <c r="DW21" s="481" t="s">
        <v>6415</v>
      </c>
      <c r="DX21" s="481" t="s">
        <v>6415</v>
      </c>
      <c r="DY21" s="481" t="s">
        <v>6415</v>
      </c>
      <c r="DZ21" s="481" t="s">
        <v>6415</v>
      </c>
      <c r="EA21" s="481" t="s">
        <v>6415</v>
      </c>
      <c r="EB21" s="481" t="s">
        <v>6415</v>
      </c>
      <c r="EC21" s="481" t="s">
        <v>6415</v>
      </c>
      <c r="ED21" s="481" t="s">
        <v>6415</v>
      </c>
      <c r="EE21" s="481" t="s">
        <v>6415</v>
      </c>
      <c r="EF21" s="481" t="s">
        <v>6415</v>
      </c>
      <c r="EG21" s="481" t="s">
        <v>6415</v>
      </c>
      <c r="EH21" s="481" t="s">
        <v>6415</v>
      </c>
      <c r="EI21" s="481" t="s">
        <v>6415</v>
      </c>
      <c r="EJ21" s="481" t="s">
        <v>6504</v>
      </c>
      <c r="EK21" s="481" t="s">
        <v>6430</v>
      </c>
      <c r="EL21" s="481" t="s">
        <v>6510</v>
      </c>
      <c r="EM21" s="481" t="s">
        <v>6415</v>
      </c>
    </row>
  </sheetData>
  <pageMargins left="0.7" right="0.7" top="0.75" bottom="0.75" header="0.3" footer="0.3"/>
  <tableParts count="2">
    <tablePart r:id="rId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B400-A42A-4AF5-B700-694A112DD593}">
  <dimension ref="A1:V886"/>
  <sheetViews>
    <sheetView zoomScaleNormal="100" workbookViewId="0">
      <selection activeCell="A4" sqref="A4"/>
    </sheetView>
  </sheetViews>
  <sheetFormatPr baseColWidth="10" defaultColWidth="8.83203125" defaultRowHeight="15" x14ac:dyDescent="0.2"/>
  <cols>
    <col min="1" max="1" width="7.1640625" style="600" customWidth="1"/>
    <col min="2" max="2" width="77.83203125" style="600" bestFit="1" customWidth="1"/>
    <col min="3" max="3" width="24.6640625" style="600" bestFit="1" customWidth="1"/>
    <col min="4" max="4" width="14.5" style="600" bestFit="1" customWidth="1"/>
    <col min="5" max="6" width="3" style="600" customWidth="1"/>
    <col min="7" max="7" width="77.83203125" style="600" bestFit="1" customWidth="1"/>
    <col min="8" max="8" width="28" style="600" customWidth="1"/>
    <col min="9" max="9" width="11.83203125" style="600" bestFit="1" customWidth="1"/>
    <col min="10" max="10" width="8" style="600" bestFit="1" customWidth="1"/>
    <col min="11" max="12" width="3" style="600" customWidth="1"/>
    <col min="13" max="13" width="77.83203125" style="600" bestFit="1" customWidth="1"/>
    <col min="14" max="14" width="29.33203125" style="600" bestFit="1" customWidth="1"/>
    <col min="15" max="15" width="11.83203125" style="600" bestFit="1" customWidth="1"/>
    <col min="16" max="16" width="8" style="600" bestFit="1" customWidth="1"/>
    <col min="17" max="18" width="3" style="600" customWidth="1"/>
    <col min="19" max="19" width="77.83203125" style="600" bestFit="1" customWidth="1"/>
    <col min="20" max="20" width="24.5" style="600" bestFit="1" customWidth="1"/>
    <col min="21" max="21" width="11.83203125" style="600" bestFit="1" customWidth="1"/>
    <col min="22" max="22" width="8" style="600" bestFit="1" customWidth="1"/>
    <col min="23" max="16384" width="8.83203125" style="600"/>
  </cols>
  <sheetData>
    <row r="1" spans="1:22" x14ac:dyDescent="0.2">
      <c r="A1" s="599" t="s">
        <v>6979</v>
      </c>
    </row>
    <row r="2" spans="1:22" x14ac:dyDescent="0.2">
      <c r="A2" s="599" t="s">
        <v>6980</v>
      </c>
    </row>
    <row r="3" spans="1:22" x14ac:dyDescent="0.2">
      <c r="A3" s="601" t="s">
        <v>6981</v>
      </c>
    </row>
    <row r="4" spans="1:22" x14ac:dyDescent="0.2">
      <c r="A4" s="604" t="s">
        <v>6982</v>
      </c>
    </row>
    <row r="5" spans="1:22" x14ac:dyDescent="0.2">
      <c r="B5" s="671" t="s">
        <v>496</v>
      </c>
      <c r="C5" s="671"/>
      <c r="D5" s="671"/>
      <c r="G5" s="672" t="s">
        <v>176</v>
      </c>
      <c r="H5" s="672"/>
      <c r="I5" s="672"/>
      <c r="J5" s="672"/>
      <c r="M5" s="673" t="s">
        <v>6928</v>
      </c>
      <c r="N5" s="673"/>
      <c r="O5" s="673"/>
      <c r="P5" s="673"/>
      <c r="S5" s="674" t="s">
        <v>6929</v>
      </c>
      <c r="T5" s="674"/>
      <c r="U5" s="674"/>
      <c r="V5" s="674"/>
    </row>
    <row r="6" spans="1:22" x14ac:dyDescent="0.2">
      <c r="B6" s="600" t="s">
        <v>6925</v>
      </c>
      <c r="C6" s="600" t="s">
        <v>6141</v>
      </c>
      <c r="D6" s="600" t="s">
        <v>175</v>
      </c>
      <c r="G6" s="600" t="s">
        <v>6925</v>
      </c>
      <c r="H6" s="600" t="s">
        <v>6141</v>
      </c>
      <c r="I6" s="600" t="s">
        <v>6926</v>
      </c>
      <c r="J6" s="600" t="s">
        <v>6927</v>
      </c>
      <c r="M6" s="600" t="s">
        <v>6925</v>
      </c>
      <c r="N6" s="600" t="s">
        <v>6141</v>
      </c>
      <c r="O6" s="600" t="s">
        <v>6926</v>
      </c>
      <c r="P6" s="600" t="s">
        <v>6927</v>
      </c>
      <c r="S6" s="600" t="s">
        <v>6925</v>
      </c>
      <c r="T6" s="600" t="s">
        <v>6141</v>
      </c>
      <c r="U6" s="600" t="s">
        <v>6926</v>
      </c>
      <c r="V6" s="600" t="s">
        <v>6927</v>
      </c>
    </row>
    <row r="7" spans="1:22" x14ac:dyDescent="0.2">
      <c r="B7" s="600" t="s">
        <v>6935</v>
      </c>
      <c r="C7" s="600" t="s">
        <v>6438</v>
      </c>
      <c r="D7" s="602">
        <v>11</v>
      </c>
      <c r="G7" s="600" t="s">
        <v>6935</v>
      </c>
      <c r="H7" s="600" t="s">
        <v>401</v>
      </c>
      <c r="I7" s="603">
        <v>1.62</v>
      </c>
      <c r="J7" s="603">
        <v>0.41</v>
      </c>
      <c r="M7" s="600" t="s">
        <v>6935</v>
      </c>
      <c r="N7" s="600" t="s">
        <v>404</v>
      </c>
      <c r="O7" s="603">
        <v>55.25</v>
      </c>
      <c r="P7" s="603">
        <v>59.92</v>
      </c>
      <c r="S7" s="600" t="s">
        <v>6935</v>
      </c>
      <c r="T7" s="600" t="s">
        <v>500</v>
      </c>
      <c r="U7" s="603">
        <v>70.489999999999995</v>
      </c>
      <c r="V7" s="603">
        <v>68.180000000000007</v>
      </c>
    </row>
    <row r="8" spans="1:22" x14ac:dyDescent="0.2">
      <c r="B8" s="600" t="s">
        <v>6935</v>
      </c>
      <c r="C8" s="600" t="s">
        <v>6439</v>
      </c>
      <c r="D8" s="602">
        <v>53</v>
      </c>
      <c r="G8" s="600" t="s">
        <v>6935</v>
      </c>
      <c r="H8" s="600" t="s">
        <v>438</v>
      </c>
      <c r="I8" s="603">
        <v>0.96</v>
      </c>
      <c r="J8" s="603">
        <v>2.0699999999999998</v>
      </c>
      <c r="M8" s="600" t="s">
        <v>6935</v>
      </c>
      <c r="N8" s="600" t="s">
        <v>6324</v>
      </c>
      <c r="O8" s="603">
        <v>5.47</v>
      </c>
      <c r="P8" s="603">
        <v>3.51</v>
      </c>
      <c r="S8" s="600" t="s">
        <v>6935</v>
      </c>
      <c r="T8" s="600" t="s">
        <v>225</v>
      </c>
      <c r="U8" s="603">
        <v>21.1</v>
      </c>
      <c r="V8" s="603">
        <v>24.59</v>
      </c>
    </row>
    <row r="9" spans="1:22" x14ac:dyDescent="0.2">
      <c r="B9" s="600" t="s">
        <v>6935</v>
      </c>
      <c r="C9" s="600" t="s">
        <v>6440</v>
      </c>
      <c r="D9" s="602">
        <v>255</v>
      </c>
      <c r="G9" s="600" t="s">
        <v>6935</v>
      </c>
      <c r="H9" s="600" t="s">
        <v>390</v>
      </c>
      <c r="I9" s="603">
        <v>14.1</v>
      </c>
      <c r="J9" s="603">
        <v>24.79</v>
      </c>
      <c r="M9" s="600" t="s">
        <v>6935</v>
      </c>
      <c r="N9" s="600" t="s">
        <v>505</v>
      </c>
      <c r="O9" s="603">
        <v>9.76</v>
      </c>
      <c r="P9" s="603">
        <v>9.92</v>
      </c>
      <c r="S9" s="600" t="s">
        <v>6935</v>
      </c>
      <c r="T9" s="600" t="s">
        <v>430</v>
      </c>
      <c r="U9" s="603">
        <v>4.9000000000000004</v>
      </c>
      <c r="V9" s="603">
        <v>4.13</v>
      </c>
    </row>
    <row r="10" spans="1:22" x14ac:dyDescent="0.2">
      <c r="B10" s="600" t="s">
        <v>6935</v>
      </c>
      <c r="C10" s="600" t="s">
        <v>6441</v>
      </c>
      <c r="D10" s="602">
        <v>165</v>
      </c>
      <c r="G10" s="600" t="s">
        <v>6935</v>
      </c>
      <c r="H10" s="600" t="s">
        <v>212</v>
      </c>
      <c r="I10" s="603">
        <v>1.71</v>
      </c>
      <c r="J10" s="603">
        <v>0.62</v>
      </c>
      <c r="M10" s="600" t="s">
        <v>6935</v>
      </c>
      <c r="N10" s="600" t="s">
        <v>506</v>
      </c>
      <c r="O10" s="603">
        <v>28.94</v>
      </c>
      <c r="P10" s="603">
        <v>26.45</v>
      </c>
      <c r="S10" s="600" t="s">
        <v>6935</v>
      </c>
      <c r="T10" s="600" t="s">
        <v>501</v>
      </c>
      <c r="U10" s="603">
        <v>2.58</v>
      </c>
      <c r="V10" s="603">
        <v>2.27</v>
      </c>
    </row>
    <row r="11" spans="1:22" x14ac:dyDescent="0.2">
      <c r="B11" s="600" t="s">
        <v>6935</v>
      </c>
      <c r="C11" s="600" t="s">
        <v>6442</v>
      </c>
      <c r="D11" s="602">
        <v>1800</v>
      </c>
      <c r="G11" s="600" t="s">
        <v>6935</v>
      </c>
      <c r="H11" s="600" t="s">
        <v>419</v>
      </c>
      <c r="I11" s="603">
        <v>0</v>
      </c>
      <c r="J11" s="603">
        <v>0</v>
      </c>
      <c r="M11" s="600" t="s">
        <v>6935</v>
      </c>
      <c r="N11" s="600" t="s">
        <v>507</v>
      </c>
      <c r="O11" s="603">
        <v>0.39</v>
      </c>
      <c r="P11" s="603">
        <v>0.21</v>
      </c>
      <c r="S11" s="600" t="s">
        <v>6935</v>
      </c>
      <c r="T11" s="600" t="s">
        <v>502</v>
      </c>
      <c r="U11" s="603">
        <v>0</v>
      </c>
      <c r="V11" s="603">
        <v>0</v>
      </c>
    </row>
    <row r="12" spans="1:22" x14ac:dyDescent="0.2">
      <c r="B12" s="600" t="s">
        <v>6936</v>
      </c>
      <c r="C12" s="600" t="s">
        <v>6438</v>
      </c>
      <c r="D12" s="602">
        <v>10</v>
      </c>
      <c r="G12" s="600" t="s">
        <v>6935</v>
      </c>
      <c r="H12" s="600" t="s">
        <v>402</v>
      </c>
      <c r="I12" s="603">
        <v>21.02</v>
      </c>
      <c r="J12" s="603">
        <v>15.29</v>
      </c>
      <c r="M12" s="600" t="s">
        <v>6935</v>
      </c>
      <c r="N12" s="600" t="s">
        <v>6151</v>
      </c>
      <c r="O12" s="603">
        <v>0.18</v>
      </c>
      <c r="P12" s="603">
        <v>0</v>
      </c>
      <c r="S12" s="600" t="s">
        <v>6935</v>
      </c>
      <c r="T12" s="600" t="s">
        <v>503</v>
      </c>
      <c r="U12" s="603">
        <v>0.09</v>
      </c>
      <c r="V12" s="603">
        <v>0</v>
      </c>
    </row>
    <row r="13" spans="1:22" x14ac:dyDescent="0.2">
      <c r="B13" s="600" t="s">
        <v>6936</v>
      </c>
      <c r="C13" s="600" t="s">
        <v>6439</v>
      </c>
      <c r="D13" s="602">
        <v>22</v>
      </c>
      <c r="G13" s="600" t="s">
        <v>6935</v>
      </c>
      <c r="H13" s="600" t="s">
        <v>211</v>
      </c>
      <c r="I13" s="603">
        <v>2.67</v>
      </c>
      <c r="J13" s="603">
        <v>5.79</v>
      </c>
      <c r="M13" s="600" t="s">
        <v>6936</v>
      </c>
      <c r="N13" s="600" t="s">
        <v>404</v>
      </c>
      <c r="O13" s="603">
        <v>67.64</v>
      </c>
      <c r="P13" s="603">
        <v>71.88</v>
      </c>
      <c r="S13" s="600" t="s">
        <v>6935</v>
      </c>
      <c r="T13" s="600" t="s">
        <v>504</v>
      </c>
      <c r="U13" s="603">
        <v>0.56999999999999995</v>
      </c>
      <c r="V13" s="603">
        <v>0.62</v>
      </c>
    </row>
    <row r="14" spans="1:22" x14ac:dyDescent="0.2">
      <c r="B14" s="600" t="s">
        <v>6936</v>
      </c>
      <c r="C14" s="600" t="s">
        <v>6440</v>
      </c>
      <c r="D14" s="602">
        <v>221</v>
      </c>
      <c r="G14" s="600" t="s">
        <v>6935</v>
      </c>
      <c r="H14" s="600" t="s">
        <v>210</v>
      </c>
      <c r="I14" s="603">
        <v>1.0900000000000001</v>
      </c>
      <c r="J14" s="603">
        <v>0.62</v>
      </c>
      <c r="M14" s="600" t="s">
        <v>6936</v>
      </c>
      <c r="N14" s="600" t="s">
        <v>6324</v>
      </c>
      <c r="O14" s="603">
        <v>5.49</v>
      </c>
      <c r="P14" s="603">
        <v>3.98</v>
      </c>
      <c r="S14" s="600" t="s">
        <v>6935</v>
      </c>
      <c r="T14" s="600" t="s">
        <v>6151</v>
      </c>
      <c r="U14" s="603">
        <v>0.26</v>
      </c>
      <c r="V14" s="603">
        <v>0.21</v>
      </c>
    </row>
    <row r="15" spans="1:22" x14ac:dyDescent="0.2">
      <c r="B15" s="600" t="s">
        <v>6936</v>
      </c>
      <c r="C15" s="600" t="s">
        <v>6441</v>
      </c>
      <c r="D15" s="602">
        <v>99</v>
      </c>
      <c r="G15" s="600" t="s">
        <v>6935</v>
      </c>
      <c r="H15" s="600" t="s">
        <v>209</v>
      </c>
      <c r="I15" s="603">
        <v>0.09</v>
      </c>
      <c r="J15" s="603">
        <v>0.41</v>
      </c>
      <c r="M15" s="600" t="s">
        <v>6936</v>
      </c>
      <c r="N15" s="600" t="s">
        <v>505</v>
      </c>
      <c r="O15" s="603">
        <v>9.4600000000000009</v>
      </c>
      <c r="P15" s="603">
        <v>6.82</v>
      </c>
      <c r="S15" s="600" t="s">
        <v>6936</v>
      </c>
      <c r="T15" s="600" t="s">
        <v>500</v>
      </c>
      <c r="U15" s="603">
        <v>77.58</v>
      </c>
      <c r="V15" s="603">
        <v>82.95</v>
      </c>
    </row>
    <row r="16" spans="1:22" x14ac:dyDescent="0.2">
      <c r="B16" s="600" t="s">
        <v>6936</v>
      </c>
      <c r="C16" s="600" t="s">
        <v>6442</v>
      </c>
      <c r="D16" s="602">
        <v>705</v>
      </c>
      <c r="G16" s="600" t="s">
        <v>6935</v>
      </c>
      <c r="H16" s="600" t="s">
        <v>207</v>
      </c>
      <c r="I16" s="603">
        <v>19.920000000000002</v>
      </c>
      <c r="J16" s="603">
        <v>6.4</v>
      </c>
      <c r="M16" s="600" t="s">
        <v>6936</v>
      </c>
      <c r="N16" s="600" t="s">
        <v>506</v>
      </c>
      <c r="O16" s="603">
        <v>16.75</v>
      </c>
      <c r="P16" s="603">
        <v>16.760000000000002</v>
      </c>
      <c r="S16" s="600" t="s">
        <v>6936</v>
      </c>
      <c r="T16" s="600" t="s">
        <v>225</v>
      </c>
      <c r="U16" s="603">
        <v>18.07</v>
      </c>
      <c r="V16" s="603">
        <v>14.2</v>
      </c>
    </row>
    <row r="17" spans="2:22" x14ac:dyDescent="0.2">
      <c r="B17" s="600" t="s">
        <v>6937</v>
      </c>
      <c r="C17" s="600" t="s">
        <v>6438</v>
      </c>
      <c r="D17" s="602">
        <v>1</v>
      </c>
      <c r="G17" s="600" t="s">
        <v>6935</v>
      </c>
      <c r="H17" s="600" t="s">
        <v>206</v>
      </c>
      <c r="I17" s="603">
        <v>0</v>
      </c>
      <c r="J17" s="603">
        <v>0</v>
      </c>
      <c r="M17" s="600" t="s">
        <v>6936</v>
      </c>
      <c r="N17" s="600" t="s">
        <v>507</v>
      </c>
      <c r="O17" s="603">
        <v>0.56999999999999995</v>
      </c>
      <c r="P17" s="603">
        <v>0.28000000000000003</v>
      </c>
      <c r="S17" s="600" t="s">
        <v>6936</v>
      </c>
      <c r="T17" s="600" t="s">
        <v>430</v>
      </c>
      <c r="U17" s="603">
        <v>2.27</v>
      </c>
      <c r="V17" s="603">
        <v>0.85</v>
      </c>
    </row>
    <row r="18" spans="2:22" x14ac:dyDescent="0.2">
      <c r="B18" s="600" t="s">
        <v>6937</v>
      </c>
      <c r="C18" s="600" t="s">
        <v>6439</v>
      </c>
      <c r="D18" s="602">
        <v>11</v>
      </c>
      <c r="G18" s="600" t="s">
        <v>6935</v>
      </c>
      <c r="H18" s="600" t="s">
        <v>313</v>
      </c>
      <c r="I18" s="603">
        <v>0.13</v>
      </c>
      <c r="J18" s="603">
        <v>0.41</v>
      </c>
      <c r="M18" s="600" t="s">
        <v>6936</v>
      </c>
      <c r="N18" s="600" t="s">
        <v>6151</v>
      </c>
      <c r="O18" s="603">
        <v>0.09</v>
      </c>
      <c r="P18" s="603">
        <v>0.28000000000000003</v>
      </c>
      <c r="S18" s="600" t="s">
        <v>6936</v>
      </c>
      <c r="T18" s="600" t="s">
        <v>501</v>
      </c>
      <c r="U18" s="603">
        <v>1.51</v>
      </c>
      <c r="V18" s="603">
        <v>1.1399999999999999</v>
      </c>
    </row>
    <row r="19" spans="2:22" x14ac:dyDescent="0.2">
      <c r="B19" s="600" t="s">
        <v>6937</v>
      </c>
      <c r="C19" s="600" t="s">
        <v>6440</v>
      </c>
      <c r="D19" s="602">
        <v>37</v>
      </c>
      <c r="G19" s="600" t="s">
        <v>6935</v>
      </c>
      <c r="H19" s="600" t="s">
        <v>497</v>
      </c>
      <c r="I19" s="603">
        <v>0</v>
      </c>
      <c r="J19" s="603">
        <v>0</v>
      </c>
      <c r="M19" s="600" t="s">
        <v>6937</v>
      </c>
      <c r="N19" s="600" t="s">
        <v>404</v>
      </c>
      <c r="O19" s="603">
        <v>57.69</v>
      </c>
      <c r="P19" s="603">
        <v>57.14</v>
      </c>
      <c r="S19" s="600" t="s">
        <v>6936</v>
      </c>
      <c r="T19" s="600" t="s">
        <v>502</v>
      </c>
      <c r="U19" s="603">
        <v>0.09</v>
      </c>
      <c r="V19" s="603">
        <v>0.28000000000000003</v>
      </c>
    </row>
    <row r="20" spans="2:22" x14ac:dyDescent="0.2">
      <c r="B20" s="600" t="s">
        <v>6937</v>
      </c>
      <c r="C20" s="600" t="s">
        <v>6441</v>
      </c>
      <c r="D20" s="602">
        <v>14</v>
      </c>
      <c r="G20" s="600" t="s">
        <v>6935</v>
      </c>
      <c r="H20" s="600" t="s">
        <v>416</v>
      </c>
      <c r="I20" s="603">
        <v>27.63</v>
      </c>
      <c r="J20" s="603">
        <v>34.92</v>
      </c>
      <c r="M20" s="600" t="s">
        <v>6937</v>
      </c>
      <c r="N20" s="600" t="s">
        <v>6324</v>
      </c>
      <c r="O20" s="603">
        <v>4.2300000000000004</v>
      </c>
      <c r="P20" s="603">
        <v>4.76</v>
      </c>
      <c r="S20" s="600" t="s">
        <v>6936</v>
      </c>
      <c r="T20" s="600" t="s">
        <v>503</v>
      </c>
      <c r="U20" s="603">
        <v>0</v>
      </c>
      <c r="V20" s="603">
        <v>0</v>
      </c>
    </row>
    <row r="21" spans="2:22" x14ac:dyDescent="0.2">
      <c r="B21" s="600" t="s">
        <v>6937</v>
      </c>
      <c r="C21" s="600" t="s">
        <v>6442</v>
      </c>
      <c r="D21" s="602">
        <v>197</v>
      </c>
      <c r="G21" s="600" t="s">
        <v>6935</v>
      </c>
      <c r="H21" s="600" t="s">
        <v>449</v>
      </c>
      <c r="I21" s="603">
        <v>2.5</v>
      </c>
      <c r="J21" s="603">
        <v>0.41</v>
      </c>
      <c r="M21" s="600" t="s">
        <v>6937</v>
      </c>
      <c r="N21" s="600" t="s">
        <v>505</v>
      </c>
      <c r="O21" s="603">
        <v>10.38</v>
      </c>
      <c r="P21" s="603">
        <v>7.94</v>
      </c>
      <c r="S21" s="600" t="s">
        <v>6936</v>
      </c>
      <c r="T21" s="600" t="s">
        <v>504</v>
      </c>
      <c r="U21" s="603">
        <v>0.28000000000000003</v>
      </c>
      <c r="V21" s="603">
        <v>0</v>
      </c>
    </row>
    <row r="22" spans="2:22" x14ac:dyDescent="0.2">
      <c r="B22" s="600" t="s">
        <v>6938</v>
      </c>
      <c r="C22" s="600" t="s">
        <v>6438</v>
      </c>
      <c r="D22" s="602">
        <v>9</v>
      </c>
      <c r="G22" s="600" t="s">
        <v>6935</v>
      </c>
      <c r="H22" s="600" t="s">
        <v>498</v>
      </c>
      <c r="I22" s="603">
        <v>0</v>
      </c>
      <c r="J22" s="603">
        <v>0</v>
      </c>
      <c r="M22" s="600" t="s">
        <v>6937</v>
      </c>
      <c r="N22" s="600" t="s">
        <v>506</v>
      </c>
      <c r="O22" s="603">
        <v>26.15</v>
      </c>
      <c r="P22" s="603">
        <v>30.16</v>
      </c>
      <c r="S22" s="600" t="s">
        <v>6936</v>
      </c>
      <c r="T22" s="600" t="s">
        <v>6151</v>
      </c>
      <c r="U22" s="603">
        <v>0.19</v>
      </c>
      <c r="V22" s="603">
        <v>0.56999999999999995</v>
      </c>
    </row>
    <row r="23" spans="2:22" x14ac:dyDescent="0.2">
      <c r="B23" s="600" t="s">
        <v>6938</v>
      </c>
      <c r="C23" s="600" t="s">
        <v>6439</v>
      </c>
      <c r="D23" s="602">
        <v>37</v>
      </c>
      <c r="G23" s="600" t="s">
        <v>6935</v>
      </c>
      <c r="H23" s="600" t="s">
        <v>202</v>
      </c>
      <c r="I23" s="603">
        <v>1.18</v>
      </c>
      <c r="J23" s="603">
        <v>4.13</v>
      </c>
      <c r="M23" s="600" t="s">
        <v>6937</v>
      </c>
      <c r="N23" s="600" t="s">
        <v>507</v>
      </c>
      <c r="O23" s="603">
        <v>0</v>
      </c>
      <c r="P23" s="603">
        <v>0</v>
      </c>
      <c r="S23" s="600" t="s">
        <v>6937</v>
      </c>
      <c r="T23" s="600" t="s">
        <v>500</v>
      </c>
      <c r="U23" s="603">
        <v>71.92</v>
      </c>
      <c r="V23" s="603">
        <v>76.19</v>
      </c>
    </row>
    <row r="24" spans="2:22" x14ac:dyDescent="0.2">
      <c r="B24" s="600" t="s">
        <v>6938</v>
      </c>
      <c r="C24" s="600" t="s">
        <v>6440</v>
      </c>
      <c r="D24" s="602">
        <v>255</v>
      </c>
      <c r="G24" s="600" t="s">
        <v>6935</v>
      </c>
      <c r="H24" s="600" t="s">
        <v>409</v>
      </c>
      <c r="I24" s="603">
        <v>3.28</v>
      </c>
      <c r="J24" s="603">
        <v>1.03</v>
      </c>
      <c r="M24" s="600" t="s">
        <v>6937</v>
      </c>
      <c r="N24" s="600" t="s">
        <v>6151</v>
      </c>
      <c r="O24" s="603">
        <v>1.54</v>
      </c>
      <c r="P24" s="603">
        <v>0</v>
      </c>
      <c r="S24" s="600" t="s">
        <v>6937</v>
      </c>
      <c r="T24" s="600" t="s">
        <v>225</v>
      </c>
      <c r="U24" s="603">
        <v>18.46</v>
      </c>
      <c r="V24" s="603">
        <v>20.63</v>
      </c>
    </row>
    <row r="25" spans="2:22" x14ac:dyDescent="0.2">
      <c r="B25" s="600" t="s">
        <v>6938</v>
      </c>
      <c r="C25" s="600" t="s">
        <v>6441</v>
      </c>
      <c r="D25" s="602">
        <v>154</v>
      </c>
      <c r="G25" s="600" t="s">
        <v>6935</v>
      </c>
      <c r="H25" s="600" t="s">
        <v>230</v>
      </c>
      <c r="I25" s="603">
        <v>1.0900000000000001</v>
      </c>
      <c r="J25" s="603">
        <v>1.86</v>
      </c>
      <c r="M25" s="600" t="s">
        <v>6938</v>
      </c>
      <c r="N25" s="600" t="s">
        <v>404</v>
      </c>
      <c r="O25" s="603">
        <v>65.239999999999995</v>
      </c>
      <c r="P25" s="603">
        <v>70.77</v>
      </c>
      <c r="S25" s="600" t="s">
        <v>6937</v>
      </c>
      <c r="T25" s="600" t="s">
        <v>430</v>
      </c>
      <c r="U25" s="603">
        <v>4.2300000000000004</v>
      </c>
      <c r="V25" s="603">
        <v>1.59</v>
      </c>
    </row>
    <row r="26" spans="2:22" x14ac:dyDescent="0.2">
      <c r="B26" s="600" t="s">
        <v>6938</v>
      </c>
      <c r="C26" s="600" t="s">
        <v>6442</v>
      </c>
      <c r="D26" s="602">
        <v>1665</v>
      </c>
      <c r="G26" s="600" t="s">
        <v>6935</v>
      </c>
      <c r="H26" s="600" t="s">
        <v>860</v>
      </c>
      <c r="I26" s="603">
        <v>1.01</v>
      </c>
      <c r="J26" s="603">
        <v>0.83</v>
      </c>
      <c r="M26" s="600" t="s">
        <v>6938</v>
      </c>
      <c r="N26" s="600" t="s">
        <v>6324</v>
      </c>
      <c r="O26" s="603">
        <v>5.38</v>
      </c>
      <c r="P26" s="603">
        <v>4.4000000000000004</v>
      </c>
      <c r="S26" s="600" t="s">
        <v>6937</v>
      </c>
      <c r="T26" s="600" t="s">
        <v>501</v>
      </c>
      <c r="U26" s="603">
        <v>4.2300000000000004</v>
      </c>
      <c r="V26" s="603">
        <v>1.59</v>
      </c>
    </row>
    <row r="27" spans="2:22" x14ac:dyDescent="0.2">
      <c r="B27" s="600" t="s">
        <v>6939</v>
      </c>
      <c r="C27" s="600" t="s">
        <v>6438</v>
      </c>
      <c r="D27" s="602">
        <v>0</v>
      </c>
      <c r="G27" s="600" t="s">
        <v>6936</v>
      </c>
      <c r="H27" s="600" t="s">
        <v>401</v>
      </c>
      <c r="I27" s="603">
        <v>0.38</v>
      </c>
      <c r="J27" s="603">
        <v>0</v>
      </c>
      <c r="M27" s="600" t="s">
        <v>6938</v>
      </c>
      <c r="N27" s="600" t="s">
        <v>505</v>
      </c>
      <c r="O27" s="603">
        <v>8.49</v>
      </c>
      <c r="P27" s="603">
        <v>7.03</v>
      </c>
      <c r="S27" s="600" t="s">
        <v>6937</v>
      </c>
      <c r="T27" s="600" t="s">
        <v>502</v>
      </c>
      <c r="U27" s="603">
        <v>0</v>
      </c>
      <c r="V27" s="603">
        <v>0</v>
      </c>
    </row>
    <row r="28" spans="2:22" x14ac:dyDescent="0.2">
      <c r="B28" s="600" t="s">
        <v>6939</v>
      </c>
      <c r="C28" s="600" t="s">
        <v>6439</v>
      </c>
      <c r="D28" s="602">
        <v>12</v>
      </c>
      <c r="G28" s="600" t="s">
        <v>6936</v>
      </c>
      <c r="H28" s="600" t="s">
        <v>438</v>
      </c>
      <c r="I28" s="603">
        <v>1.1399999999999999</v>
      </c>
      <c r="J28" s="603">
        <v>1.42</v>
      </c>
      <c r="M28" s="600" t="s">
        <v>6938</v>
      </c>
      <c r="N28" s="600" t="s">
        <v>506</v>
      </c>
      <c r="O28" s="603">
        <v>19.760000000000002</v>
      </c>
      <c r="P28" s="603">
        <v>17.14</v>
      </c>
      <c r="S28" s="600" t="s">
        <v>6937</v>
      </c>
      <c r="T28" s="600" t="s">
        <v>503</v>
      </c>
      <c r="U28" s="603">
        <v>0.38</v>
      </c>
      <c r="V28" s="603">
        <v>0</v>
      </c>
    </row>
    <row r="29" spans="2:22" x14ac:dyDescent="0.2">
      <c r="B29" s="600" t="s">
        <v>6939</v>
      </c>
      <c r="C29" s="600" t="s">
        <v>6440</v>
      </c>
      <c r="D29" s="602">
        <v>45</v>
      </c>
      <c r="G29" s="600" t="s">
        <v>6936</v>
      </c>
      <c r="H29" s="600" t="s">
        <v>390</v>
      </c>
      <c r="I29" s="603">
        <v>12.96</v>
      </c>
      <c r="J29" s="603">
        <v>11.08</v>
      </c>
      <c r="M29" s="600" t="s">
        <v>6938</v>
      </c>
      <c r="N29" s="600" t="s">
        <v>507</v>
      </c>
      <c r="O29" s="603">
        <v>0.38</v>
      </c>
      <c r="P29" s="603">
        <v>0.66</v>
      </c>
      <c r="S29" s="600" t="s">
        <v>6937</v>
      </c>
      <c r="T29" s="600" t="s">
        <v>504</v>
      </c>
      <c r="U29" s="603">
        <v>0</v>
      </c>
      <c r="V29" s="603">
        <v>0</v>
      </c>
    </row>
    <row r="30" spans="2:22" x14ac:dyDescent="0.2">
      <c r="B30" s="600" t="s">
        <v>6939</v>
      </c>
      <c r="C30" s="600" t="s">
        <v>6441</v>
      </c>
      <c r="D30" s="602">
        <v>21</v>
      </c>
      <c r="G30" s="600" t="s">
        <v>6936</v>
      </c>
      <c r="H30" s="600" t="s">
        <v>212</v>
      </c>
      <c r="I30" s="603">
        <v>2.27</v>
      </c>
      <c r="J30" s="603">
        <v>0</v>
      </c>
      <c r="M30" s="600" t="s">
        <v>6938</v>
      </c>
      <c r="N30" s="600" t="s">
        <v>6151</v>
      </c>
      <c r="O30" s="603">
        <v>0.75</v>
      </c>
      <c r="P30" s="603">
        <v>0</v>
      </c>
      <c r="S30" s="600" t="s">
        <v>6937</v>
      </c>
      <c r="T30" s="600" t="s">
        <v>6151</v>
      </c>
      <c r="U30" s="603">
        <v>0.77</v>
      </c>
      <c r="V30" s="603">
        <v>0</v>
      </c>
    </row>
    <row r="31" spans="2:22" x14ac:dyDescent="0.2">
      <c r="B31" s="600" t="s">
        <v>6939</v>
      </c>
      <c r="C31" s="600" t="s">
        <v>6442</v>
      </c>
      <c r="D31" s="602">
        <v>146</v>
      </c>
      <c r="G31" s="600" t="s">
        <v>6936</v>
      </c>
      <c r="H31" s="600" t="s">
        <v>419</v>
      </c>
      <c r="I31" s="603">
        <v>0.09</v>
      </c>
      <c r="J31" s="603">
        <v>0</v>
      </c>
      <c r="M31" s="600" t="s">
        <v>6939</v>
      </c>
      <c r="N31" s="600" t="s">
        <v>404</v>
      </c>
      <c r="O31" s="603">
        <v>75.89</v>
      </c>
      <c r="P31" s="603">
        <v>79.489999999999995</v>
      </c>
      <c r="S31" s="600" t="s">
        <v>6938</v>
      </c>
      <c r="T31" s="600" t="s">
        <v>500</v>
      </c>
      <c r="U31" s="603">
        <v>77.36</v>
      </c>
      <c r="V31" s="603">
        <v>79.34</v>
      </c>
    </row>
    <row r="32" spans="2:22" x14ac:dyDescent="0.2">
      <c r="B32" s="600" t="s">
        <v>6940</v>
      </c>
      <c r="C32" s="600" t="s">
        <v>6438</v>
      </c>
      <c r="D32" s="602">
        <v>308</v>
      </c>
      <c r="G32" s="600" t="s">
        <v>6936</v>
      </c>
      <c r="H32" s="600" t="s">
        <v>402</v>
      </c>
      <c r="I32" s="603">
        <v>10.88</v>
      </c>
      <c r="J32" s="603">
        <v>10.23</v>
      </c>
      <c r="M32" s="600" t="s">
        <v>6939</v>
      </c>
      <c r="N32" s="600" t="s">
        <v>6324</v>
      </c>
      <c r="O32" s="603">
        <v>5.36</v>
      </c>
      <c r="P32" s="603">
        <v>1.28</v>
      </c>
      <c r="S32" s="600" t="s">
        <v>6938</v>
      </c>
      <c r="T32" s="600" t="s">
        <v>225</v>
      </c>
      <c r="U32" s="603">
        <v>16.23</v>
      </c>
      <c r="V32" s="603">
        <v>16.7</v>
      </c>
    </row>
    <row r="33" spans="2:22" x14ac:dyDescent="0.2">
      <c r="B33" s="600" t="s">
        <v>6940</v>
      </c>
      <c r="C33" s="600" t="s">
        <v>6439</v>
      </c>
      <c r="D33" s="602">
        <v>1434</v>
      </c>
      <c r="G33" s="600" t="s">
        <v>6936</v>
      </c>
      <c r="H33" s="600" t="s">
        <v>211</v>
      </c>
      <c r="I33" s="603">
        <v>28.95</v>
      </c>
      <c r="J33" s="603">
        <v>44.32</v>
      </c>
      <c r="M33" s="600" t="s">
        <v>6939</v>
      </c>
      <c r="N33" s="600" t="s">
        <v>505</v>
      </c>
      <c r="O33" s="603">
        <v>6.25</v>
      </c>
      <c r="P33" s="603">
        <v>5.13</v>
      </c>
      <c r="S33" s="600" t="s">
        <v>6938</v>
      </c>
      <c r="T33" s="600" t="s">
        <v>430</v>
      </c>
      <c r="U33" s="603">
        <v>3.96</v>
      </c>
      <c r="V33" s="603">
        <v>2.42</v>
      </c>
    </row>
    <row r="34" spans="2:22" x14ac:dyDescent="0.2">
      <c r="B34" s="600" t="s">
        <v>6940</v>
      </c>
      <c r="C34" s="600" t="s">
        <v>6440</v>
      </c>
      <c r="D34" s="602">
        <v>5945</v>
      </c>
      <c r="G34" s="600" t="s">
        <v>6936</v>
      </c>
      <c r="H34" s="600" t="s">
        <v>210</v>
      </c>
      <c r="I34" s="603">
        <v>1.04</v>
      </c>
      <c r="J34" s="603">
        <v>0.56999999999999995</v>
      </c>
      <c r="M34" s="600" t="s">
        <v>6939</v>
      </c>
      <c r="N34" s="600" t="s">
        <v>506</v>
      </c>
      <c r="O34" s="603">
        <v>10.71</v>
      </c>
      <c r="P34" s="603">
        <v>11.54</v>
      </c>
      <c r="S34" s="600" t="s">
        <v>6938</v>
      </c>
      <c r="T34" s="600" t="s">
        <v>501</v>
      </c>
      <c r="U34" s="603">
        <v>1.65</v>
      </c>
      <c r="V34" s="603">
        <v>1.54</v>
      </c>
    </row>
    <row r="35" spans="2:22" x14ac:dyDescent="0.2">
      <c r="B35" s="600" t="s">
        <v>6940</v>
      </c>
      <c r="C35" s="600" t="s">
        <v>6441</v>
      </c>
      <c r="D35" s="602">
        <v>2789</v>
      </c>
      <c r="G35" s="600" t="s">
        <v>6936</v>
      </c>
      <c r="H35" s="600" t="s">
        <v>209</v>
      </c>
      <c r="I35" s="603">
        <v>0</v>
      </c>
      <c r="J35" s="603">
        <v>0</v>
      </c>
      <c r="M35" s="600" t="s">
        <v>6939</v>
      </c>
      <c r="N35" s="600" t="s">
        <v>507</v>
      </c>
      <c r="O35" s="603">
        <v>1.79</v>
      </c>
      <c r="P35" s="603">
        <v>2.56</v>
      </c>
      <c r="S35" s="600" t="s">
        <v>6938</v>
      </c>
      <c r="T35" s="600" t="s">
        <v>502</v>
      </c>
      <c r="U35" s="603">
        <v>0</v>
      </c>
      <c r="V35" s="603">
        <v>0</v>
      </c>
    </row>
    <row r="36" spans="2:22" x14ac:dyDescent="0.2">
      <c r="B36" s="600" t="s">
        <v>6940</v>
      </c>
      <c r="C36" s="600" t="s">
        <v>6442</v>
      </c>
      <c r="D36" s="602">
        <v>28584</v>
      </c>
      <c r="G36" s="600" t="s">
        <v>6936</v>
      </c>
      <c r="H36" s="600" t="s">
        <v>207</v>
      </c>
      <c r="I36" s="603">
        <v>8.8000000000000007</v>
      </c>
      <c r="J36" s="603">
        <v>1.7</v>
      </c>
      <c r="M36" s="600" t="s">
        <v>6939</v>
      </c>
      <c r="N36" s="600" t="s">
        <v>6151</v>
      </c>
      <c r="O36" s="603">
        <v>0</v>
      </c>
      <c r="P36" s="603">
        <v>0</v>
      </c>
      <c r="S36" s="600" t="s">
        <v>6938</v>
      </c>
      <c r="T36" s="600" t="s">
        <v>503</v>
      </c>
      <c r="U36" s="603">
        <v>0</v>
      </c>
      <c r="V36" s="603">
        <v>0</v>
      </c>
    </row>
    <row r="37" spans="2:22" x14ac:dyDescent="0.2">
      <c r="B37" s="600" t="s">
        <v>6941</v>
      </c>
      <c r="C37" s="600" t="s">
        <v>6438</v>
      </c>
      <c r="D37" s="602">
        <v>354</v>
      </c>
      <c r="G37" s="600" t="s">
        <v>6936</v>
      </c>
      <c r="H37" s="600" t="s">
        <v>206</v>
      </c>
      <c r="I37" s="603">
        <v>0</v>
      </c>
      <c r="J37" s="603">
        <v>0</v>
      </c>
      <c r="M37" s="600" t="s">
        <v>6940</v>
      </c>
      <c r="N37" s="600" t="s">
        <v>404</v>
      </c>
      <c r="O37" s="603">
        <v>56.61</v>
      </c>
      <c r="P37" s="603">
        <v>64.8</v>
      </c>
      <c r="S37" s="600" t="s">
        <v>6938</v>
      </c>
      <c r="T37" s="600" t="s">
        <v>504</v>
      </c>
      <c r="U37" s="603">
        <v>0.14000000000000001</v>
      </c>
      <c r="V37" s="603">
        <v>0</v>
      </c>
    </row>
    <row r="38" spans="2:22" x14ac:dyDescent="0.2">
      <c r="B38" s="600" t="s">
        <v>6941</v>
      </c>
      <c r="C38" s="600" t="s">
        <v>6439</v>
      </c>
      <c r="D38" s="602">
        <v>1602</v>
      </c>
      <c r="G38" s="600" t="s">
        <v>6936</v>
      </c>
      <c r="H38" s="600" t="s">
        <v>313</v>
      </c>
      <c r="I38" s="603">
        <v>0.19</v>
      </c>
      <c r="J38" s="603">
        <v>0.56999999999999995</v>
      </c>
      <c r="M38" s="600" t="s">
        <v>6940</v>
      </c>
      <c r="N38" s="600" t="s">
        <v>6324</v>
      </c>
      <c r="O38" s="603">
        <v>6.41</v>
      </c>
      <c r="P38" s="603">
        <v>5.32</v>
      </c>
      <c r="S38" s="600" t="s">
        <v>6938</v>
      </c>
      <c r="T38" s="600" t="s">
        <v>6151</v>
      </c>
      <c r="U38" s="603">
        <v>0.66</v>
      </c>
      <c r="V38" s="603">
        <v>0</v>
      </c>
    </row>
    <row r="39" spans="2:22" x14ac:dyDescent="0.2">
      <c r="B39" s="600" t="s">
        <v>6941</v>
      </c>
      <c r="C39" s="600" t="s">
        <v>6440</v>
      </c>
      <c r="D39" s="602">
        <v>6305</v>
      </c>
      <c r="G39" s="600" t="s">
        <v>6936</v>
      </c>
      <c r="H39" s="600" t="s">
        <v>497</v>
      </c>
      <c r="I39" s="603">
        <v>0</v>
      </c>
      <c r="J39" s="603">
        <v>0</v>
      </c>
      <c r="M39" s="600" t="s">
        <v>6940</v>
      </c>
      <c r="N39" s="600" t="s">
        <v>505</v>
      </c>
      <c r="O39" s="603">
        <v>4.8</v>
      </c>
      <c r="P39" s="603">
        <v>4</v>
      </c>
      <c r="S39" s="600" t="s">
        <v>6939</v>
      </c>
      <c r="T39" s="600" t="s">
        <v>500</v>
      </c>
      <c r="U39" s="603">
        <v>82.59</v>
      </c>
      <c r="V39" s="603">
        <v>83.33</v>
      </c>
    </row>
    <row r="40" spans="2:22" x14ac:dyDescent="0.2">
      <c r="B40" s="600" t="s">
        <v>6941</v>
      </c>
      <c r="C40" s="600" t="s">
        <v>6441</v>
      </c>
      <c r="D40" s="602">
        <v>2552</v>
      </c>
      <c r="G40" s="600" t="s">
        <v>6936</v>
      </c>
      <c r="H40" s="600" t="s">
        <v>416</v>
      </c>
      <c r="I40" s="603">
        <v>19.02</v>
      </c>
      <c r="J40" s="603">
        <v>12.5</v>
      </c>
      <c r="M40" s="600" t="s">
        <v>6940</v>
      </c>
      <c r="N40" s="600" t="s">
        <v>506</v>
      </c>
      <c r="O40" s="603">
        <v>31.28</v>
      </c>
      <c r="P40" s="603">
        <v>25.56</v>
      </c>
      <c r="S40" s="600" t="s">
        <v>6939</v>
      </c>
      <c r="T40" s="600" t="s">
        <v>225</v>
      </c>
      <c r="U40" s="603">
        <v>13.84</v>
      </c>
      <c r="V40" s="603">
        <v>12.82</v>
      </c>
    </row>
    <row r="41" spans="2:22" x14ac:dyDescent="0.2">
      <c r="B41" s="600" t="s">
        <v>6941</v>
      </c>
      <c r="C41" s="600" t="s">
        <v>6442</v>
      </c>
      <c r="D41" s="602">
        <v>17876</v>
      </c>
      <c r="G41" s="600" t="s">
        <v>6936</v>
      </c>
      <c r="H41" s="600" t="s">
        <v>449</v>
      </c>
      <c r="I41" s="603">
        <v>0.66</v>
      </c>
      <c r="J41" s="603">
        <v>0.28000000000000003</v>
      </c>
      <c r="M41" s="600" t="s">
        <v>6940</v>
      </c>
      <c r="N41" s="600" t="s">
        <v>507</v>
      </c>
      <c r="O41" s="603">
        <v>0.45</v>
      </c>
      <c r="P41" s="603">
        <v>0.23</v>
      </c>
      <c r="S41" s="600" t="s">
        <v>6939</v>
      </c>
      <c r="T41" s="600" t="s">
        <v>430</v>
      </c>
      <c r="U41" s="603">
        <v>2.23</v>
      </c>
      <c r="V41" s="603">
        <v>2.56</v>
      </c>
    </row>
    <row r="42" spans="2:22" x14ac:dyDescent="0.2">
      <c r="B42" s="600" t="s">
        <v>6942</v>
      </c>
      <c r="C42" s="600" t="s">
        <v>6438</v>
      </c>
      <c r="D42" s="602">
        <v>2</v>
      </c>
      <c r="G42" s="600" t="s">
        <v>6936</v>
      </c>
      <c r="H42" s="600" t="s">
        <v>498</v>
      </c>
      <c r="I42" s="603">
        <v>0</v>
      </c>
      <c r="J42" s="603">
        <v>0</v>
      </c>
      <c r="M42" s="600" t="s">
        <v>6940</v>
      </c>
      <c r="N42" s="600" t="s">
        <v>6151</v>
      </c>
      <c r="O42" s="603">
        <v>0.46</v>
      </c>
      <c r="P42" s="603">
        <v>0.1</v>
      </c>
      <c r="S42" s="600" t="s">
        <v>6939</v>
      </c>
      <c r="T42" s="600" t="s">
        <v>501</v>
      </c>
      <c r="U42" s="603">
        <v>0.45</v>
      </c>
      <c r="V42" s="603">
        <v>0</v>
      </c>
    </row>
    <row r="43" spans="2:22" x14ac:dyDescent="0.2">
      <c r="B43" s="600" t="s">
        <v>6942</v>
      </c>
      <c r="C43" s="600" t="s">
        <v>6439</v>
      </c>
      <c r="D43" s="602">
        <v>14</v>
      </c>
      <c r="G43" s="600" t="s">
        <v>6936</v>
      </c>
      <c r="H43" s="600" t="s">
        <v>202</v>
      </c>
      <c r="I43" s="603">
        <v>1.1399999999999999</v>
      </c>
      <c r="J43" s="603">
        <v>2.56</v>
      </c>
      <c r="M43" s="600" t="s">
        <v>6941</v>
      </c>
      <c r="N43" s="600" t="s">
        <v>404</v>
      </c>
      <c r="O43" s="603">
        <v>67.97</v>
      </c>
      <c r="P43" s="603">
        <v>77.180000000000007</v>
      </c>
      <c r="S43" s="600" t="s">
        <v>6939</v>
      </c>
      <c r="T43" s="600" t="s">
        <v>502</v>
      </c>
      <c r="U43" s="603">
        <v>0</v>
      </c>
      <c r="V43" s="603">
        <v>0</v>
      </c>
    </row>
    <row r="44" spans="2:22" x14ac:dyDescent="0.2">
      <c r="B44" s="600" t="s">
        <v>6942</v>
      </c>
      <c r="C44" s="600" t="s">
        <v>6440</v>
      </c>
      <c r="D44" s="602">
        <v>64</v>
      </c>
      <c r="G44" s="600" t="s">
        <v>6936</v>
      </c>
      <c r="H44" s="600" t="s">
        <v>409</v>
      </c>
      <c r="I44" s="603">
        <v>1.7</v>
      </c>
      <c r="J44" s="603">
        <v>0.85</v>
      </c>
      <c r="M44" s="600" t="s">
        <v>6941</v>
      </c>
      <c r="N44" s="600" t="s">
        <v>6324</v>
      </c>
      <c r="O44" s="603">
        <v>6.04</v>
      </c>
      <c r="P44" s="603">
        <v>4.96</v>
      </c>
      <c r="S44" s="600" t="s">
        <v>6939</v>
      </c>
      <c r="T44" s="600" t="s">
        <v>503</v>
      </c>
      <c r="U44" s="603">
        <v>0</v>
      </c>
      <c r="V44" s="603">
        <v>0</v>
      </c>
    </row>
    <row r="45" spans="2:22" x14ac:dyDescent="0.2">
      <c r="B45" s="600" t="s">
        <v>6942</v>
      </c>
      <c r="C45" s="600" t="s">
        <v>6441</v>
      </c>
      <c r="D45" s="602">
        <v>44</v>
      </c>
      <c r="G45" s="600" t="s">
        <v>6936</v>
      </c>
      <c r="H45" s="600" t="s">
        <v>230</v>
      </c>
      <c r="I45" s="603">
        <v>5.3</v>
      </c>
      <c r="J45" s="603">
        <v>10.23</v>
      </c>
      <c r="M45" s="600" t="s">
        <v>6941</v>
      </c>
      <c r="N45" s="600" t="s">
        <v>505</v>
      </c>
      <c r="O45" s="603">
        <v>3.55</v>
      </c>
      <c r="P45" s="603">
        <v>2.63</v>
      </c>
      <c r="S45" s="600" t="s">
        <v>6939</v>
      </c>
      <c r="T45" s="600" t="s">
        <v>504</v>
      </c>
      <c r="U45" s="603">
        <v>0.45</v>
      </c>
      <c r="V45" s="603">
        <v>1.28</v>
      </c>
    </row>
    <row r="46" spans="2:22" x14ac:dyDescent="0.2">
      <c r="B46" s="600" t="s">
        <v>6942</v>
      </c>
      <c r="C46" s="600" t="s">
        <v>6442</v>
      </c>
      <c r="D46" s="602">
        <v>398</v>
      </c>
      <c r="G46" s="600" t="s">
        <v>6936</v>
      </c>
      <c r="H46" s="600" t="s">
        <v>860</v>
      </c>
      <c r="I46" s="603">
        <v>5.49</v>
      </c>
      <c r="J46" s="603">
        <v>3.69</v>
      </c>
      <c r="M46" s="600" t="s">
        <v>6941</v>
      </c>
      <c r="N46" s="600" t="s">
        <v>506</v>
      </c>
      <c r="O46" s="603">
        <v>21.76</v>
      </c>
      <c r="P46" s="603">
        <v>15.06</v>
      </c>
      <c r="S46" s="600" t="s">
        <v>6939</v>
      </c>
      <c r="T46" s="600" t="s">
        <v>6151</v>
      </c>
      <c r="U46" s="603">
        <v>0.45</v>
      </c>
      <c r="V46" s="603">
        <v>0</v>
      </c>
    </row>
    <row r="47" spans="2:22" x14ac:dyDescent="0.2">
      <c r="B47" s="600" t="s">
        <v>6943</v>
      </c>
      <c r="C47" s="600" t="s">
        <v>6438</v>
      </c>
      <c r="D47" s="602">
        <v>19</v>
      </c>
      <c r="G47" s="600" t="s">
        <v>6937</v>
      </c>
      <c r="H47" s="600" t="s">
        <v>401</v>
      </c>
      <c r="I47" s="603">
        <v>0.77</v>
      </c>
      <c r="J47" s="603">
        <v>1.59</v>
      </c>
      <c r="M47" s="600" t="s">
        <v>6941</v>
      </c>
      <c r="N47" s="600" t="s">
        <v>507</v>
      </c>
      <c r="O47" s="603">
        <v>0.31</v>
      </c>
      <c r="P47" s="603">
        <v>0.17</v>
      </c>
      <c r="S47" s="600" t="s">
        <v>6940</v>
      </c>
      <c r="T47" s="600" t="s">
        <v>500</v>
      </c>
      <c r="U47" s="603">
        <v>75.02</v>
      </c>
      <c r="V47" s="603">
        <v>73.83</v>
      </c>
    </row>
    <row r="48" spans="2:22" x14ac:dyDescent="0.2">
      <c r="B48" s="600" t="s">
        <v>6943</v>
      </c>
      <c r="C48" s="600" t="s">
        <v>6439</v>
      </c>
      <c r="D48" s="602">
        <v>145</v>
      </c>
      <c r="G48" s="600" t="s">
        <v>6937</v>
      </c>
      <c r="H48" s="600" t="s">
        <v>438</v>
      </c>
      <c r="I48" s="603">
        <v>1.54</v>
      </c>
      <c r="J48" s="603">
        <v>3.17</v>
      </c>
      <c r="M48" s="600" t="s">
        <v>6941</v>
      </c>
      <c r="N48" s="600" t="s">
        <v>6151</v>
      </c>
      <c r="O48" s="603">
        <v>0.37</v>
      </c>
      <c r="P48" s="603">
        <v>0.02</v>
      </c>
      <c r="S48" s="600" t="s">
        <v>6940</v>
      </c>
      <c r="T48" s="600" t="s">
        <v>225</v>
      </c>
      <c r="U48" s="603">
        <v>17.760000000000002</v>
      </c>
      <c r="V48" s="603">
        <v>17.989999999999998</v>
      </c>
    </row>
    <row r="49" spans="2:22" x14ac:dyDescent="0.2">
      <c r="B49" s="600" t="s">
        <v>6943</v>
      </c>
      <c r="C49" s="600" t="s">
        <v>6440</v>
      </c>
      <c r="D49" s="602">
        <v>822</v>
      </c>
      <c r="G49" s="600" t="s">
        <v>6937</v>
      </c>
      <c r="H49" s="600" t="s">
        <v>390</v>
      </c>
      <c r="I49" s="603">
        <v>11.92</v>
      </c>
      <c r="J49" s="603">
        <v>6.35</v>
      </c>
      <c r="M49" s="600" t="s">
        <v>6942</v>
      </c>
      <c r="N49" s="600" t="s">
        <v>404</v>
      </c>
      <c r="O49" s="603">
        <v>73.95</v>
      </c>
      <c r="P49" s="603">
        <v>71.77</v>
      </c>
      <c r="S49" s="600" t="s">
        <v>6940</v>
      </c>
      <c r="T49" s="600" t="s">
        <v>430</v>
      </c>
      <c r="U49" s="603">
        <v>4.41</v>
      </c>
      <c r="V49" s="603">
        <v>5.07</v>
      </c>
    </row>
    <row r="50" spans="2:22" x14ac:dyDescent="0.2">
      <c r="B50" s="600" t="s">
        <v>6943</v>
      </c>
      <c r="C50" s="600" t="s">
        <v>6441</v>
      </c>
      <c r="D50" s="602">
        <v>505</v>
      </c>
      <c r="G50" s="600" t="s">
        <v>6937</v>
      </c>
      <c r="H50" s="600" t="s">
        <v>212</v>
      </c>
      <c r="I50" s="603">
        <v>8.85</v>
      </c>
      <c r="J50" s="603">
        <v>0</v>
      </c>
      <c r="M50" s="600" t="s">
        <v>6942</v>
      </c>
      <c r="N50" s="600" t="s">
        <v>6324</v>
      </c>
      <c r="O50" s="603">
        <v>6.32</v>
      </c>
      <c r="P50" s="603">
        <v>8.06</v>
      </c>
      <c r="S50" s="600" t="s">
        <v>6940</v>
      </c>
      <c r="T50" s="600" t="s">
        <v>501</v>
      </c>
      <c r="U50" s="603">
        <v>1.9</v>
      </c>
      <c r="V50" s="603">
        <v>2.09</v>
      </c>
    </row>
    <row r="51" spans="2:22" x14ac:dyDescent="0.2">
      <c r="B51" s="600" t="s">
        <v>6943</v>
      </c>
      <c r="C51" s="600" t="s">
        <v>6442</v>
      </c>
      <c r="D51" s="602">
        <v>4053</v>
      </c>
      <c r="G51" s="600" t="s">
        <v>6937</v>
      </c>
      <c r="H51" s="600" t="s">
        <v>419</v>
      </c>
      <c r="I51" s="603">
        <v>0.38</v>
      </c>
      <c r="J51" s="603">
        <v>0</v>
      </c>
      <c r="M51" s="600" t="s">
        <v>6942</v>
      </c>
      <c r="N51" s="600" t="s">
        <v>505</v>
      </c>
      <c r="O51" s="603">
        <v>10.92</v>
      </c>
      <c r="P51" s="603">
        <v>12.9</v>
      </c>
      <c r="S51" s="600" t="s">
        <v>6940</v>
      </c>
      <c r="T51" s="600" t="s">
        <v>502</v>
      </c>
      <c r="U51" s="603">
        <v>0.21</v>
      </c>
      <c r="V51" s="603">
        <v>0.19</v>
      </c>
    </row>
    <row r="52" spans="2:22" x14ac:dyDescent="0.2">
      <c r="B52" s="600" t="s">
        <v>6944</v>
      </c>
      <c r="C52" s="600" t="s">
        <v>6438</v>
      </c>
      <c r="D52" s="602">
        <v>2</v>
      </c>
      <c r="G52" s="600" t="s">
        <v>6937</v>
      </c>
      <c r="H52" s="600" t="s">
        <v>402</v>
      </c>
      <c r="I52" s="603">
        <v>3.85</v>
      </c>
      <c r="J52" s="603">
        <v>0</v>
      </c>
      <c r="M52" s="600" t="s">
        <v>6942</v>
      </c>
      <c r="N52" s="600" t="s">
        <v>506</v>
      </c>
      <c r="O52" s="603">
        <v>8.24</v>
      </c>
      <c r="P52" s="603">
        <v>6.45</v>
      </c>
      <c r="S52" s="600" t="s">
        <v>6940</v>
      </c>
      <c r="T52" s="600" t="s">
        <v>503</v>
      </c>
      <c r="U52" s="603">
        <v>0.06</v>
      </c>
      <c r="V52" s="603">
        <v>7.0000000000000007E-2</v>
      </c>
    </row>
    <row r="53" spans="2:22" x14ac:dyDescent="0.2">
      <c r="B53" s="600" t="s">
        <v>6944</v>
      </c>
      <c r="C53" s="600" t="s">
        <v>6439</v>
      </c>
      <c r="D53" s="602">
        <v>4</v>
      </c>
      <c r="G53" s="600" t="s">
        <v>6937</v>
      </c>
      <c r="H53" s="600" t="s">
        <v>211</v>
      </c>
      <c r="I53" s="603">
        <v>13.85</v>
      </c>
      <c r="J53" s="603">
        <v>19.05</v>
      </c>
      <c r="M53" s="600" t="s">
        <v>6942</v>
      </c>
      <c r="N53" s="600" t="s">
        <v>507</v>
      </c>
      <c r="O53" s="603">
        <v>0.56999999999999995</v>
      </c>
      <c r="P53" s="603">
        <v>0.81</v>
      </c>
      <c r="S53" s="600" t="s">
        <v>6940</v>
      </c>
      <c r="T53" s="600" t="s">
        <v>504</v>
      </c>
      <c r="U53" s="603">
        <v>0.26</v>
      </c>
      <c r="V53" s="603">
        <v>0.26</v>
      </c>
    </row>
    <row r="54" spans="2:22" x14ac:dyDescent="0.2">
      <c r="B54" s="600" t="s">
        <v>6944</v>
      </c>
      <c r="C54" s="600" t="s">
        <v>6440</v>
      </c>
      <c r="D54" s="602">
        <v>24</v>
      </c>
      <c r="G54" s="600" t="s">
        <v>6937</v>
      </c>
      <c r="H54" s="600" t="s">
        <v>210</v>
      </c>
      <c r="I54" s="603">
        <v>3.85</v>
      </c>
      <c r="J54" s="603">
        <v>1.59</v>
      </c>
      <c r="M54" s="600" t="s">
        <v>6942</v>
      </c>
      <c r="N54" s="600" t="s">
        <v>6151</v>
      </c>
      <c r="O54" s="603">
        <v>0</v>
      </c>
      <c r="P54" s="603">
        <v>0</v>
      </c>
      <c r="S54" s="600" t="s">
        <v>6940</v>
      </c>
      <c r="T54" s="600" t="s">
        <v>6151</v>
      </c>
      <c r="U54" s="603">
        <v>0.38</v>
      </c>
      <c r="V54" s="603">
        <v>0.49</v>
      </c>
    </row>
    <row r="55" spans="2:22" x14ac:dyDescent="0.2">
      <c r="B55" s="600" t="s">
        <v>6944</v>
      </c>
      <c r="C55" s="600" t="s">
        <v>6441</v>
      </c>
      <c r="D55" s="602">
        <v>17</v>
      </c>
      <c r="G55" s="600" t="s">
        <v>6937</v>
      </c>
      <c r="H55" s="600" t="s">
        <v>209</v>
      </c>
      <c r="I55" s="603">
        <v>0.77</v>
      </c>
      <c r="J55" s="603">
        <v>3.17</v>
      </c>
      <c r="M55" s="600" t="s">
        <v>6943</v>
      </c>
      <c r="N55" s="600" t="s">
        <v>404</v>
      </c>
      <c r="O55" s="603">
        <v>73.069999999999993</v>
      </c>
      <c r="P55" s="603">
        <v>71.900000000000006</v>
      </c>
      <c r="S55" s="600" t="s">
        <v>6941</v>
      </c>
      <c r="T55" s="600" t="s">
        <v>500</v>
      </c>
      <c r="U55" s="603">
        <v>80.010000000000005</v>
      </c>
      <c r="V55" s="603">
        <v>82.47</v>
      </c>
    </row>
    <row r="56" spans="2:22" x14ac:dyDescent="0.2">
      <c r="B56" s="600" t="s">
        <v>6944</v>
      </c>
      <c r="C56" s="600" t="s">
        <v>6442</v>
      </c>
      <c r="D56" s="602">
        <v>87</v>
      </c>
      <c r="G56" s="600" t="s">
        <v>6937</v>
      </c>
      <c r="H56" s="600" t="s">
        <v>207</v>
      </c>
      <c r="I56" s="603">
        <v>6.54</v>
      </c>
      <c r="J56" s="603">
        <v>3.17</v>
      </c>
      <c r="M56" s="600" t="s">
        <v>6943</v>
      </c>
      <c r="N56" s="600" t="s">
        <v>6324</v>
      </c>
      <c r="O56" s="603">
        <v>5.83</v>
      </c>
      <c r="P56" s="603">
        <v>5.37</v>
      </c>
      <c r="S56" s="600" t="s">
        <v>6941</v>
      </c>
      <c r="T56" s="600" t="s">
        <v>225</v>
      </c>
      <c r="U56" s="603">
        <v>15.15</v>
      </c>
      <c r="V56" s="603">
        <v>14.62</v>
      </c>
    </row>
    <row r="57" spans="2:22" x14ac:dyDescent="0.2">
      <c r="B57" s="600" t="s">
        <v>6945</v>
      </c>
      <c r="C57" s="600" t="s">
        <v>6438</v>
      </c>
      <c r="D57" s="602">
        <v>126</v>
      </c>
      <c r="G57" s="600" t="s">
        <v>6937</v>
      </c>
      <c r="H57" s="600" t="s">
        <v>206</v>
      </c>
      <c r="I57" s="603">
        <v>0</v>
      </c>
      <c r="J57" s="603">
        <v>0</v>
      </c>
      <c r="M57" s="600" t="s">
        <v>6943</v>
      </c>
      <c r="N57" s="600" t="s">
        <v>505</v>
      </c>
      <c r="O57" s="603">
        <v>12.07</v>
      </c>
      <c r="P57" s="603">
        <v>12.34</v>
      </c>
      <c r="S57" s="600" t="s">
        <v>6941</v>
      </c>
      <c r="T57" s="600" t="s">
        <v>430</v>
      </c>
      <c r="U57" s="603">
        <v>3.02</v>
      </c>
      <c r="V57" s="603">
        <v>1.81</v>
      </c>
    </row>
    <row r="58" spans="2:22" x14ac:dyDescent="0.2">
      <c r="B58" s="600" t="s">
        <v>6945</v>
      </c>
      <c r="C58" s="600" t="s">
        <v>6439</v>
      </c>
      <c r="D58" s="602">
        <v>609</v>
      </c>
      <c r="G58" s="600" t="s">
        <v>6937</v>
      </c>
      <c r="H58" s="600" t="s">
        <v>313</v>
      </c>
      <c r="I58" s="603">
        <v>0</v>
      </c>
      <c r="J58" s="603">
        <v>0</v>
      </c>
      <c r="M58" s="600" t="s">
        <v>6943</v>
      </c>
      <c r="N58" s="600" t="s">
        <v>506</v>
      </c>
      <c r="O58" s="603">
        <v>8.5500000000000007</v>
      </c>
      <c r="P58" s="603">
        <v>10.06</v>
      </c>
      <c r="S58" s="600" t="s">
        <v>6941</v>
      </c>
      <c r="T58" s="600" t="s">
        <v>501</v>
      </c>
      <c r="U58" s="603">
        <v>1.29</v>
      </c>
      <c r="V58" s="603">
        <v>0.84</v>
      </c>
    </row>
    <row r="59" spans="2:22" x14ac:dyDescent="0.2">
      <c r="B59" s="600" t="s">
        <v>6945</v>
      </c>
      <c r="C59" s="600" t="s">
        <v>6440</v>
      </c>
      <c r="D59" s="602">
        <v>3810</v>
      </c>
      <c r="G59" s="600" t="s">
        <v>6937</v>
      </c>
      <c r="H59" s="600" t="s">
        <v>497</v>
      </c>
      <c r="I59" s="603">
        <v>0</v>
      </c>
      <c r="J59" s="603">
        <v>0</v>
      </c>
      <c r="M59" s="600" t="s">
        <v>6943</v>
      </c>
      <c r="N59" s="600" t="s">
        <v>507</v>
      </c>
      <c r="O59" s="603">
        <v>0.22</v>
      </c>
      <c r="P59" s="603">
        <v>0.27</v>
      </c>
      <c r="S59" s="600" t="s">
        <v>6941</v>
      </c>
      <c r="T59" s="600" t="s">
        <v>502</v>
      </c>
      <c r="U59" s="603">
        <v>0.06</v>
      </c>
      <c r="V59" s="603">
        <v>0.06</v>
      </c>
    </row>
    <row r="60" spans="2:22" x14ac:dyDescent="0.2">
      <c r="B60" s="600" t="s">
        <v>6945</v>
      </c>
      <c r="C60" s="600" t="s">
        <v>6441</v>
      </c>
      <c r="D60" s="602">
        <v>3381</v>
      </c>
      <c r="G60" s="600" t="s">
        <v>6937</v>
      </c>
      <c r="H60" s="600" t="s">
        <v>416</v>
      </c>
      <c r="I60" s="603">
        <v>38.46</v>
      </c>
      <c r="J60" s="603">
        <v>49.21</v>
      </c>
      <c r="M60" s="600" t="s">
        <v>6943</v>
      </c>
      <c r="N60" s="600" t="s">
        <v>6151</v>
      </c>
      <c r="O60" s="603">
        <v>0.27</v>
      </c>
      <c r="P60" s="603">
        <v>7.0000000000000007E-2</v>
      </c>
      <c r="S60" s="600" t="s">
        <v>6941</v>
      </c>
      <c r="T60" s="600" t="s">
        <v>503</v>
      </c>
      <c r="U60" s="603">
        <v>0.04</v>
      </c>
      <c r="V60" s="603">
        <v>0.02</v>
      </c>
    </row>
    <row r="61" spans="2:22" x14ac:dyDescent="0.2">
      <c r="B61" s="600" t="s">
        <v>6945</v>
      </c>
      <c r="C61" s="600" t="s">
        <v>6442</v>
      </c>
      <c r="D61" s="602">
        <v>21874</v>
      </c>
      <c r="G61" s="600" t="s">
        <v>6937</v>
      </c>
      <c r="H61" s="600" t="s">
        <v>449</v>
      </c>
      <c r="I61" s="603">
        <v>0.38</v>
      </c>
      <c r="J61" s="603">
        <v>0</v>
      </c>
      <c r="M61" s="600" t="s">
        <v>6944</v>
      </c>
      <c r="N61" s="600" t="s">
        <v>404</v>
      </c>
      <c r="O61" s="603">
        <v>58.96</v>
      </c>
      <c r="P61" s="603">
        <v>72.34</v>
      </c>
      <c r="S61" s="600" t="s">
        <v>6941</v>
      </c>
      <c r="T61" s="600" t="s">
        <v>504</v>
      </c>
      <c r="U61" s="603">
        <v>0.17</v>
      </c>
      <c r="V61" s="603">
        <v>0.13</v>
      </c>
    </row>
    <row r="62" spans="2:22" x14ac:dyDescent="0.2">
      <c r="B62" s="600" t="s">
        <v>6946</v>
      </c>
      <c r="C62" s="600" t="s">
        <v>6438</v>
      </c>
      <c r="D62" s="602">
        <v>90</v>
      </c>
      <c r="G62" s="600" t="s">
        <v>6937</v>
      </c>
      <c r="H62" s="600" t="s">
        <v>498</v>
      </c>
      <c r="I62" s="603">
        <v>0</v>
      </c>
      <c r="J62" s="603">
        <v>0</v>
      </c>
      <c r="M62" s="600" t="s">
        <v>6944</v>
      </c>
      <c r="N62" s="600" t="s">
        <v>6324</v>
      </c>
      <c r="O62" s="603">
        <v>4.4800000000000004</v>
      </c>
      <c r="P62" s="603">
        <v>0</v>
      </c>
      <c r="S62" s="600" t="s">
        <v>6941</v>
      </c>
      <c r="T62" s="600" t="s">
        <v>6151</v>
      </c>
      <c r="U62" s="603">
        <v>0.26</v>
      </c>
      <c r="V62" s="603">
        <v>0.05</v>
      </c>
    </row>
    <row r="63" spans="2:22" x14ac:dyDescent="0.2">
      <c r="B63" s="600" t="s">
        <v>6946</v>
      </c>
      <c r="C63" s="600" t="s">
        <v>6439</v>
      </c>
      <c r="D63" s="602">
        <v>427</v>
      </c>
      <c r="G63" s="600" t="s">
        <v>6937</v>
      </c>
      <c r="H63" s="600" t="s">
        <v>202</v>
      </c>
      <c r="I63" s="603">
        <v>1.92</v>
      </c>
      <c r="J63" s="603">
        <v>7.94</v>
      </c>
      <c r="M63" s="600" t="s">
        <v>6944</v>
      </c>
      <c r="N63" s="600" t="s">
        <v>505</v>
      </c>
      <c r="O63" s="603">
        <v>6.72</v>
      </c>
      <c r="P63" s="603">
        <v>6.38</v>
      </c>
      <c r="S63" s="600" t="s">
        <v>6942</v>
      </c>
      <c r="T63" s="600" t="s">
        <v>500</v>
      </c>
      <c r="U63" s="603">
        <v>74.33</v>
      </c>
      <c r="V63" s="603">
        <v>78.23</v>
      </c>
    </row>
    <row r="64" spans="2:22" x14ac:dyDescent="0.2">
      <c r="B64" s="600" t="s">
        <v>6946</v>
      </c>
      <c r="C64" s="600" t="s">
        <v>6440</v>
      </c>
      <c r="D64" s="602">
        <v>3178</v>
      </c>
      <c r="G64" s="600" t="s">
        <v>6937</v>
      </c>
      <c r="H64" s="600" t="s">
        <v>409</v>
      </c>
      <c r="I64" s="603">
        <v>2.34</v>
      </c>
      <c r="J64" s="603">
        <v>1.59</v>
      </c>
      <c r="M64" s="600" t="s">
        <v>6944</v>
      </c>
      <c r="N64" s="600" t="s">
        <v>506</v>
      </c>
      <c r="O64" s="603">
        <v>28.36</v>
      </c>
      <c r="P64" s="603">
        <v>21.28</v>
      </c>
      <c r="S64" s="600" t="s">
        <v>6942</v>
      </c>
      <c r="T64" s="600" t="s">
        <v>225</v>
      </c>
      <c r="U64" s="603">
        <v>21.26</v>
      </c>
      <c r="V64" s="603">
        <v>19.350000000000001</v>
      </c>
    </row>
    <row r="65" spans="2:22" x14ac:dyDescent="0.2">
      <c r="B65" s="600" t="s">
        <v>6946</v>
      </c>
      <c r="C65" s="600" t="s">
        <v>6441</v>
      </c>
      <c r="D65" s="602">
        <v>3156</v>
      </c>
      <c r="G65" s="600" t="s">
        <v>6937</v>
      </c>
      <c r="H65" s="600" t="s">
        <v>230</v>
      </c>
      <c r="I65" s="603">
        <v>1.54</v>
      </c>
      <c r="J65" s="603">
        <v>0</v>
      </c>
      <c r="M65" s="600" t="s">
        <v>6944</v>
      </c>
      <c r="N65" s="600" t="s">
        <v>507</v>
      </c>
      <c r="O65" s="603">
        <v>0.75</v>
      </c>
      <c r="P65" s="603">
        <v>0</v>
      </c>
      <c r="S65" s="600" t="s">
        <v>6942</v>
      </c>
      <c r="T65" s="600" t="s">
        <v>430</v>
      </c>
      <c r="U65" s="603">
        <v>2.87</v>
      </c>
      <c r="V65" s="603">
        <v>0.81</v>
      </c>
    </row>
    <row r="66" spans="2:22" x14ac:dyDescent="0.2">
      <c r="B66" s="600" t="s">
        <v>6946</v>
      </c>
      <c r="C66" s="600" t="s">
        <v>6442</v>
      </c>
      <c r="D66" s="602">
        <v>18120</v>
      </c>
      <c r="G66" s="600" t="s">
        <v>6937</v>
      </c>
      <c r="H66" s="600" t="s">
        <v>860</v>
      </c>
      <c r="I66" s="603">
        <v>3.08</v>
      </c>
      <c r="J66" s="603">
        <v>3.17</v>
      </c>
      <c r="M66" s="600" t="s">
        <v>6944</v>
      </c>
      <c r="N66" s="600" t="s">
        <v>6151</v>
      </c>
      <c r="O66" s="603">
        <v>0.75</v>
      </c>
      <c r="P66" s="603">
        <v>0</v>
      </c>
      <c r="S66" s="600" t="s">
        <v>6942</v>
      </c>
      <c r="T66" s="600" t="s">
        <v>501</v>
      </c>
      <c r="U66" s="603">
        <v>1.34</v>
      </c>
      <c r="V66" s="603">
        <v>1.61</v>
      </c>
    </row>
    <row r="67" spans="2:22" x14ac:dyDescent="0.2">
      <c r="B67" s="600" t="s">
        <v>6947</v>
      </c>
      <c r="C67" s="600" t="s">
        <v>6438</v>
      </c>
      <c r="D67" s="602">
        <v>2</v>
      </c>
      <c r="G67" s="600" t="s">
        <v>6938</v>
      </c>
      <c r="H67" s="600" t="s">
        <v>401</v>
      </c>
      <c r="I67" s="603">
        <v>0.56999999999999995</v>
      </c>
      <c r="J67" s="603">
        <v>0.44</v>
      </c>
      <c r="M67" s="600" t="s">
        <v>6945</v>
      </c>
      <c r="N67" s="600" t="s">
        <v>404</v>
      </c>
      <c r="O67" s="603">
        <v>65.44</v>
      </c>
      <c r="P67" s="603">
        <v>64</v>
      </c>
      <c r="S67" s="600" t="s">
        <v>6942</v>
      </c>
      <c r="T67" s="600" t="s">
        <v>502</v>
      </c>
      <c r="U67" s="603">
        <v>0</v>
      </c>
      <c r="V67" s="603">
        <v>0</v>
      </c>
    </row>
    <row r="68" spans="2:22" x14ac:dyDescent="0.2">
      <c r="B68" s="600" t="s">
        <v>6947</v>
      </c>
      <c r="C68" s="600" t="s">
        <v>6439</v>
      </c>
      <c r="D68" s="602">
        <v>20</v>
      </c>
      <c r="G68" s="600" t="s">
        <v>6938</v>
      </c>
      <c r="H68" s="600" t="s">
        <v>438</v>
      </c>
      <c r="I68" s="603">
        <v>1.23</v>
      </c>
      <c r="J68" s="603">
        <v>1.98</v>
      </c>
      <c r="M68" s="600" t="s">
        <v>6945</v>
      </c>
      <c r="N68" s="600" t="s">
        <v>6324</v>
      </c>
      <c r="O68" s="603">
        <v>5.71</v>
      </c>
      <c r="P68" s="603">
        <v>5.08</v>
      </c>
      <c r="S68" s="600" t="s">
        <v>6942</v>
      </c>
      <c r="T68" s="600" t="s">
        <v>503</v>
      </c>
      <c r="U68" s="603">
        <v>0</v>
      </c>
      <c r="V68" s="603">
        <v>0</v>
      </c>
    </row>
    <row r="69" spans="2:22" x14ac:dyDescent="0.2">
      <c r="B69" s="600" t="s">
        <v>6947</v>
      </c>
      <c r="C69" s="600" t="s">
        <v>6440</v>
      </c>
      <c r="D69" s="602">
        <v>119</v>
      </c>
      <c r="G69" s="600" t="s">
        <v>6938</v>
      </c>
      <c r="H69" s="600" t="s">
        <v>390</v>
      </c>
      <c r="I69" s="603">
        <v>9.9499999999999993</v>
      </c>
      <c r="J69" s="603">
        <v>11.21</v>
      </c>
      <c r="M69" s="600" t="s">
        <v>6945</v>
      </c>
      <c r="N69" s="600" t="s">
        <v>505</v>
      </c>
      <c r="O69" s="603">
        <v>21.65</v>
      </c>
      <c r="P69" s="603">
        <v>24.39</v>
      </c>
      <c r="S69" s="600" t="s">
        <v>6942</v>
      </c>
      <c r="T69" s="600" t="s">
        <v>504</v>
      </c>
      <c r="U69" s="603">
        <v>0</v>
      </c>
      <c r="V69" s="603">
        <v>0</v>
      </c>
    </row>
    <row r="70" spans="2:22" x14ac:dyDescent="0.2">
      <c r="B70" s="600" t="s">
        <v>6947</v>
      </c>
      <c r="C70" s="600" t="s">
        <v>6441</v>
      </c>
      <c r="D70" s="602">
        <v>126</v>
      </c>
      <c r="G70" s="600" t="s">
        <v>6938</v>
      </c>
      <c r="H70" s="600" t="s">
        <v>212</v>
      </c>
      <c r="I70" s="603">
        <v>7.64</v>
      </c>
      <c r="J70" s="603">
        <v>0.44</v>
      </c>
      <c r="M70" s="600" t="s">
        <v>6945</v>
      </c>
      <c r="N70" s="600" t="s">
        <v>506</v>
      </c>
      <c r="O70" s="603">
        <v>6.39</v>
      </c>
      <c r="P70" s="603">
        <v>6.03</v>
      </c>
      <c r="S70" s="600" t="s">
        <v>6942</v>
      </c>
      <c r="T70" s="600" t="s">
        <v>6151</v>
      </c>
      <c r="U70" s="603">
        <v>0.19</v>
      </c>
      <c r="V70" s="603">
        <v>0</v>
      </c>
    </row>
    <row r="71" spans="2:22" x14ac:dyDescent="0.2">
      <c r="B71" s="600" t="s">
        <v>6947</v>
      </c>
      <c r="C71" s="600" t="s">
        <v>6442</v>
      </c>
      <c r="D71" s="602">
        <v>740</v>
      </c>
      <c r="G71" s="600" t="s">
        <v>6938</v>
      </c>
      <c r="H71" s="600" t="s">
        <v>419</v>
      </c>
      <c r="I71" s="603">
        <v>0.09</v>
      </c>
      <c r="J71" s="603">
        <v>0</v>
      </c>
      <c r="M71" s="600" t="s">
        <v>6945</v>
      </c>
      <c r="N71" s="600" t="s">
        <v>507</v>
      </c>
      <c r="O71" s="603">
        <v>0.4</v>
      </c>
      <c r="P71" s="603">
        <v>0.32</v>
      </c>
      <c r="S71" s="600" t="s">
        <v>6943</v>
      </c>
      <c r="T71" s="600" t="s">
        <v>500</v>
      </c>
      <c r="U71" s="603">
        <v>78.41</v>
      </c>
      <c r="V71" s="603">
        <v>78.87</v>
      </c>
    </row>
    <row r="72" spans="2:22" x14ac:dyDescent="0.2">
      <c r="B72" s="600" t="s">
        <v>6948</v>
      </c>
      <c r="C72" s="600" t="s">
        <v>6438</v>
      </c>
      <c r="D72" s="602">
        <v>54</v>
      </c>
      <c r="G72" s="600" t="s">
        <v>6938</v>
      </c>
      <c r="H72" s="600" t="s">
        <v>402</v>
      </c>
      <c r="I72" s="603">
        <v>4.95</v>
      </c>
      <c r="J72" s="603">
        <v>4.62</v>
      </c>
      <c r="M72" s="600" t="s">
        <v>6945</v>
      </c>
      <c r="N72" s="600" t="s">
        <v>6151</v>
      </c>
      <c r="O72" s="603">
        <v>0.42</v>
      </c>
      <c r="P72" s="603">
        <v>0.18</v>
      </c>
      <c r="S72" s="600" t="s">
        <v>6943</v>
      </c>
      <c r="T72" s="600" t="s">
        <v>225</v>
      </c>
      <c r="U72" s="603">
        <v>17.46</v>
      </c>
      <c r="V72" s="603">
        <v>18.510000000000002</v>
      </c>
    </row>
    <row r="73" spans="2:22" x14ac:dyDescent="0.2">
      <c r="B73" s="600" t="s">
        <v>6948</v>
      </c>
      <c r="C73" s="600" t="s">
        <v>6439</v>
      </c>
      <c r="D73" s="602">
        <v>328</v>
      </c>
      <c r="G73" s="600" t="s">
        <v>6938</v>
      </c>
      <c r="H73" s="600" t="s">
        <v>211</v>
      </c>
      <c r="I73" s="603">
        <v>36.93</v>
      </c>
      <c r="J73" s="603">
        <v>52.97</v>
      </c>
      <c r="M73" s="600" t="s">
        <v>6946</v>
      </c>
      <c r="N73" s="600" t="s">
        <v>404</v>
      </c>
      <c r="O73" s="603">
        <v>70.05</v>
      </c>
      <c r="P73" s="603">
        <v>68.87</v>
      </c>
      <c r="S73" s="600" t="s">
        <v>6943</v>
      </c>
      <c r="T73" s="600" t="s">
        <v>430</v>
      </c>
      <c r="U73" s="603">
        <v>2.63</v>
      </c>
      <c r="V73" s="603">
        <v>1.88</v>
      </c>
    </row>
    <row r="74" spans="2:22" x14ac:dyDescent="0.2">
      <c r="B74" s="600" t="s">
        <v>6948</v>
      </c>
      <c r="C74" s="600" t="s">
        <v>6440</v>
      </c>
      <c r="D74" s="602">
        <v>2594</v>
      </c>
      <c r="G74" s="600" t="s">
        <v>6938</v>
      </c>
      <c r="H74" s="600" t="s">
        <v>210</v>
      </c>
      <c r="I74" s="603">
        <v>4.58</v>
      </c>
      <c r="J74" s="603">
        <v>1.1000000000000001</v>
      </c>
      <c r="M74" s="600" t="s">
        <v>6946</v>
      </c>
      <c r="N74" s="600" t="s">
        <v>6324</v>
      </c>
      <c r="O74" s="603">
        <v>4.97</v>
      </c>
      <c r="P74" s="603">
        <v>5.24</v>
      </c>
      <c r="S74" s="600" t="s">
        <v>6943</v>
      </c>
      <c r="T74" s="600" t="s">
        <v>501</v>
      </c>
      <c r="U74" s="603">
        <v>0.9</v>
      </c>
      <c r="V74" s="603">
        <v>0.34</v>
      </c>
    </row>
    <row r="75" spans="2:22" x14ac:dyDescent="0.2">
      <c r="B75" s="600" t="s">
        <v>6948</v>
      </c>
      <c r="C75" s="600" t="s">
        <v>6441</v>
      </c>
      <c r="D75" s="602">
        <v>2506</v>
      </c>
      <c r="G75" s="600" t="s">
        <v>6938</v>
      </c>
      <c r="H75" s="600" t="s">
        <v>209</v>
      </c>
      <c r="I75" s="603">
        <v>0.52</v>
      </c>
      <c r="J75" s="603">
        <v>2.42</v>
      </c>
      <c r="M75" s="600" t="s">
        <v>6946</v>
      </c>
      <c r="N75" s="600" t="s">
        <v>505</v>
      </c>
      <c r="O75" s="603">
        <v>20.66</v>
      </c>
      <c r="P75" s="603">
        <v>21.97</v>
      </c>
      <c r="S75" s="600" t="s">
        <v>6943</v>
      </c>
      <c r="T75" s="600" t="s">
        <v>502</v>
      </c>
      <c r="U75" s="603">
        <v>0.05</v>
      </c>
      <c r="V75" s="603">
        <v>7.0000000000000007E-2</v>
      </c>
    </row>
    <row r="76" spans="2:22" x14ac:dyDescent="0.2">
      <c r="B76" s="600" t="s">
        <v>6948</v>
      </c>
      <c r="C76" s="600" t="s">
        <v>6442</v>
      </c>
      <c r="D76" s="602">
        <v>14093</v>
      </c>
      <c r="G76" s="600" t="s">
        <v>6938</v>
      </c>
      <c r="H76" s="600" t="s">
        <v>207</v>
      </c>
      <c r="I76" s="603">
        <v>7.74</v>
      </c>
      <c r="J76" s="603">
        <v>1.54</v>
      </c>
      <c r="M76" s="600" t="s">
        <v>6946</v>
      </c>
      <c r="N76" s="600" t="s">
        <v>506</v>
      </c>
      <c r="O76" s="603">
        <v>3.16</v>
      </c>
      <c r="P76" s="603">
        <v>3.23</v>
      </c>
      <c r="S76" s="600" t="s">
        <v>6943</v>
      </c>
      <c r="T76" s="600" t="s">
        <v>503</v>
      </c>
      <c r="U76" s="603">
        <v>0.14000000000000001</v>
      </c>
      <c r="V76" s="603">
        <v>0.13</v>
      </c>
    </row>
    <row r="77" spans="2:22" x14ac:dyDescent="0.2">
      <c r="B77" s="600" t="s">
        <v>6949</v>
      </c>
      <c r="C77" s="600" t="s">
        <v>6438</v>
      </c>
      <c r="D77" s="602">
        <v>7</v>
      </c>
      <c r="G77" s="600" t="s">
        <v>6938</v>
      </c>
      <c r="H77" s="600" t="s">
        <v>206</v>
      </c>
      <c r="I77" s="603">
        <v>0.05</v>
      </c>
      <c r="J77" s="603">
        <v>0</v>
      </c>
      <c r="M77" s="600" t="s">
        <v>6946</v>
      </c>
      <c r="N77" s="600" t="s">
        <v>507</v>
      </c>
      <c r="O77" s="603">
        <v>0.45</v>
      </c>
      <c r="P77" s="603">
        <v>0.36</v>
      </c>
      <c r="S77" s="600" t="s">
        <v>6943</v>
      </c>
      <c r="T77" s="600" t="s">
        <v>504</v>
      </c>
      <c r="U77" s="603">
        <v>0.2</v>
      </c>
      <c r="V77" s="603">
        <v>0.13</v>
      </c>
    </row>
    <row r="78" spans="2:22" x14ac:dyDescent="0.2">
      <c r="B78" s="600" t="s">
        <v>6949</v>
      </c>
      <c r="C78" s="600" t="s">
        <v>6439</v>
      </c>
      <c r="D78" s="602">
        <v>29</v>
      </c>
      <c r="G78" s="600" t="s">
        <v>6938</v>
      </c>
      <c r="H78" s="600" t="s">
        <v>313</v>
      </c>
      <c r="I78" s="603">
        <v>0.28000000000000003</v>
      </c>
      <c r="J78" s="603">
        <v>0.88</v>
      </c>
      <c r="M78" s="600" t="s">
        <v>6946</v>
      </c>
      <c r="N78" s="600" t="s">
        <v>6151</v>
      </c>
      <c r="O78" s="603">
        <v>0.72</v>
      </c>
      <c r="P78" s="603">
        <v>0.34</v>
      </c>
      <c r="S78" s="600" t="s">
        <v>6943</v>
      </c>
      <c r="T78" s="600" t="s">
        <v>6151</v>
      </c>
      <c r="U78" s="603">
        <v>0.2</v>
      </c>
      <c r="V78" s="603">
        <v>7.0000000000000007E-2</v>
      </c>
    </row>
    <row r="79" spans="2:22" x14ac:dyDescent="0.2">
      <c r="B79" s="600" t="s">
        <v>6949</v>
      </c>
      <c r="C79" s="600" t="s">
        <v>6440</v>
      </c>
      <c r="D79" s="602">
        <v>172</v>
      </c>
      <c r="G79" s="600" t="s">
        <v>6938</v>
      </c>
      <c r="H79" s="600" t="s">
        <v>497</v>
      </c>
      <c r="I79" s="603">
        <v>0</v>
      </c>
      <c r="J79" s="603">
        <v>0</v>
      </c>
      <c r="M79" s="600" t="s">
        <v>6947</v>
      </c>
      <c r="N79" s="600" t="s">
        <v>404</v>
      </c>
      <c r="O79" s="603">
        <v>70.209999999999994</v>
      </c>
      <c r="P79" s="603">
        <v>68.16</v>
      </c>
      <c r="S79" s="600" t="s">
        <v>6944</v>
      </c>
      <c r="T79" s="600" t="s">
        <v>500</v>
      </c>
      <c r="U79" s="603">
        <v>76.87</v>
      </c>
      <c r="V79" s="603">
        <v>87.23</v>
      </c>
    </row>
    <row r="80" spans="2:22" x14ac:dyDescent="0.2">
      <c r="B80" s="600" t="s">
        <v>6949</v>
      </c>
      <c r="C80" s="600" t="s">
        <v>6441</v>
      </c>
      <c r="D80" s="602">
        <v>161</v>
      </c>
      <c r="G80" s="600" t="s">
        <v>6938</v>
      </c>
      <c r="H80" s="600" t="s">
        <v>416</v>
      </c>
      <c r="I80" s="603">
        <v>16.84</v>
      </c>
      <c r="J80" s="603">
        <v>15.82</v>
      </c>
      <c r="M80" s="600" t="s">
        <v>6947</v>
      </c>
      <c r="N80" s="600" t="s">
        <v>6324</v>
      </c>
      <c r="O80" s="603">
        <v>6.06</v>
      </c>
      <c r="P80" s="603">
        <v>7.49</v>
      </c>
      <c r="S80" s="600" t="s">
        <v>6944</v>
      </c>
      <c r="T80" s="600" t="s">
        <v>225</v>
      </c>
      <c r="U80" s="603">
        <v>15.67</v>
      </c>
      <c r="V80" s="603">
        <v>12.77</v>
      </c>
    </row>
    <row r="81" spans="2:22" x14ac:dyDescent="0.2">
      <c r="B81" s="600" t="s">
        <v>6949</v>
      </c>
      <c r="C81" s="600" t="s">
        <v>6442</v>
      </c>
      <c r="D81" s="602">
        <v>1815</v>
      </c>
      <c r="G81" s="600" t="s">
        <v>6938</v>
      </c>
      <c r="H81" s="600" t="s">
        <v>449</v>
      </c>
      <c r="I81" s="603">
        <v>0.38</v>
      </c>
      <c r="J81" s="603">
        <v>0.22</v>
      </c>
      <c r="M81" s="600" t="s">
        <v>6947</v>
      </c>
      <c r="N81" s="600" t="s">
        <v>505</v>
      </c>
      <c r="O81" s="603">
        <v>19.86</v>
      </c>
      <c r="P81" s="603">
        <v>22.1</v>
      </c>
      <c r="S81" s="600" t="s">
        <v>6944</v>
      </c>
      <c r="T81" s="600" t="s">
        <v>430</v>
      </c>
      <c r="U81" s="603">
        <v>3.73</v>
      </c>
      <c r="V81" s="603">
        <v>0</v>
      </c>
    </row>
    <row r="82" spans="2:22" x14ac:dyDescent="0.2">
      <c r="B82" s="600" t="s">
        <v>6950</v>
      </c>
      <c r="C82" s="600" t="s">
        <v>6438</v>
      </c>
      <c r="D82" s="602">
        <v>19</v>
      </c>
      <c r="G82" s="600" t="s">
        <v>6938</v>
      </c>
      <c r="H82" s="600" t="s">
        <v>498</v>
      </c>
      <c r="I82" s="603">
        <v>0</v>
      </c>
      <c r="J82" s="603">
        <v>0</v>
      </c>
      <c r="M82" s="600" t="s">
        <v>6947</v>
      </c>
      <c r="N82" s="600" t="s">
        <v>506</v>
      </c>
      <c r="O82" s="603">
        <v>3.18</v>
      </c>
      <c r="P82" s="603">
        <v>1.5</v>
      </c>
      <c r="S82" s="600" t="s">
        <v>6944</v>
      </c>
      <c r="T82" s="600" t="s">
        <v>501</v>
      </c>
      <c r="U82" s="603">
        <v>2.2400000000000002</v>
      </c>
      <c r="V82" s="603">
        <v>0</v>
      </c>
    </row>
    <row r="83" spans="2:22" x14ac:dyDescent="0.2">
      <c r="B83" s="600" t="s">
        <v>6950</v>
      </c>
      <c r="C83" s="600" t="s">
        <v>6439</v>
      </c>
      <c r="D83" s="602">
        <v>187</v>
      </c>
      <c r="G83" s="600" t="s">
        <v>6938</v>
      </c>
      <c r="H83" s="600" t="s">
        <v>202</v>
      </c>
      <c r="I83" s="603">
        <v>0.71</v>
      </c>
      <c r="J83" s="603">
        <v>1.98</v>
      </c>
      <c r="M83" s="600" t="s">
        <v>6947</v>
      </c>
      <c r="N83" s="600" t="s">
        <v>507</v>
      </c>
      <c r="O83" s="603">
        <v>0.5</v>
      </c>
      <c r="P83" s="603">
        <v>0.75</v>
      </c>
      <c r="S83" s="600" t="s">
        <v>6944</v>
      </c>
      <c r="T83" s="600" t="s">
        <v>502</v>
      </c>
      <c r="U83" s="603">
        <v>0</v>
      </c>
      <c r="V83" s="603">
        <v>0</v>
      </c>
    </row>
    <row r="84" spans="2:22" x14ac:dyDescent="0.2">
      <c r="B84" s="600" t="s">
        <v>6950</v>
      </c>
      <c r="C84" s="600" t="s">
        <v>6440</v>
      </c>
      <c r="D84" s="602">
        <v>1297</v>
      </c>
      <c r="G84" s="600" t="s">
        <v>6938</v>
      </c>
      <c r="H84" s="600" t="s">
        <v>409</v>
      </c>
      <c r="I84" s="603">
        <v>1.7</v>
      </c>
      <c r="J84" s="603">
        <v>1.76</v>
      </c>
      <c r="M84" s="600" t="s">
        <v>6947</v>
      </c>
      <c r="N84" s="600" t="s">
        <v>6151</v>
      </c>
      <c r="O84" s="603">
        <v>0.2</v>
      </c>
      <c r="P84" s="603">
        <v>0</v>
      </c>
      <c r="S84" s="600" t="s">
        <v>6944</v>
      </c>
      <c r="T84" s="600" t="s">
        <v>503</v>
      </c>
      <c r="U84" s="603">
        <v>0</v>
      </c>
      <c r="V84" s="603">
        <v>0</v>
      </c>
    </row>
    <row r="85" spans="2:22" x14ac:dyDescent="0.2">
      <c r="B85" s="600" t="s">
        <v>6950</v>
      </c>
      <c r="C85" s="600" t="s">
        <v>6441</v>
      </c>
      <c r="D85" s="602">
        <v>1204</v>
      </c>
      <c r="G85" s="600" t="s">
        <v>6938</v>
      </c>
      <c r="H85" s="600" t="s">
        <v>230</v>
      </c>
      <c r="I85" s="603">
        <v>2.97</v>
      </c>
      <c r="J85" s="603">
        <v>1.54</v>
      </c>
      <c r="M85" s="600" t="s">
        <v>6948</v>
      </c>
      <c r="N85" s="600" t="s">
        <v>404</v>
      </c>
      <c r="O85" s="603">
        <v>70.11</v>
      </c>
      <c r="P85" s="603">
        <v>67.790000000000006</v>
      </c>
      <c r="S85" s="600" t="s">
        <v>6944</v>
      </c>
      <c r="T85" s="600" t="s">
        <v>504</v>
      </c>
      <c r="U85" s="603">
        <v>0.75</v>
      </c>
      <c r="V85" s="603">
        <v>0</v>
      </c>
    </row>
    <row r="86" spans="2:22" x14ac:dyDescent="0.2">
      <c r="B86" s="600" t="s">
        <v>6950</v>
      </c>
      <c r="C86" s="600" t="s">
        <v>6442</v>
      </c>
      <c r="D86" s="602">
        <v>11496</v>
      </c>
      <c r="G86" s="600" t="s">
        <v>6938</v>
      </c>
      <c r="H86" s="600" t="s">
        <v>860</v>
      </c>
      <c r="I86" s="603">
        <v>2.88</v>
      </c>
      <c r="J86" s="603">
        <v>1.1000000000000001</v>
      </c>
      <c r="M86" s="600" t="s">
        <v>6948</v>
      </c>
      <c r="N86" s="600" t="s">
        <v>6324</v>
      </c>
      <c r="O86" s="603">
        <v>5.1100000000000003</v>
      </c>
      <c r="P86" s="603">
        <v>5.27</v>
      </c>
      <c r="S86" s="600" t="s">
        <v>6944</v>
      </c>
      <c r="T86" s="600" t="s">
        <v>6151</v>
      </c>
      <c r="U86" s="603">
        <v>0.75</v>
      </c>
      <c r="V86" s="603">
        <v>0</v>
      </c>
    </row>
    <row r="87" spans="2:22" x14ac:dyDescent="0.2">
      <c r="B87" s="600" t="s">
        <v>6951</v>
      </c>
      <c r="C87" s="600" t="s">
        <v>6438</v>
      </c>
      <c r="D87" s="602">
        <v>9</v>
      </c>
      <c r="G87" s="600" t="s">
        <v>6939</v>
      </c>
      <c r="H87" s="600" t="s">
        <v>401</v>
      </c>
      <c r="I87" s="603">
        <v>0.89</v>
      </c>
      <c r="J87" s="603">
        <v>0</v>
      </c>
      <c r="M87" s="600" t="s">
        <v>6948</v>
      </c>
      <c r="N87" s="600" t="s">
        <v>505</v>
      </c>
      <c r="O87" s="603">
        <v>22.26</v>
      </c>
      <c r="P87" s="603">
        <v>24.39</v>
      </c>
      <c r="S87" s="600" t="s">
        <v>6945</v>
      </c>
      <c r="T87" s="600" t="s">
        <v>500</v>
      </c>
      <c r="U87" s="603">
        <v>72.28</v>
      </c>
      <c r="V87" s="603">
        <v>72.72</v>
      </c>
    </row>
    <row r="88" spans="2:22" x14ac:dyDescent="0.2">
      <c r="B88" s="600" t="s">
        <v>6951</v>
      </c>
      <c r="C88" s="600" t="s">
        <v>6439</v>
      </c>
      <c r="D88" s="602">
        <v>60</v>
      </c>
      <c r="G88" s="600" t="s">
        <v>6939</v>
      </c>
      <c r="H88" s="600" t="s">
        <v>438</v>
      </c>
      <c r="I88" s="603">
        <v>2.68</v>
      </c>
      <c r="J88" s="603">
        <v>5.13</v>
      </c>
      <c r="M88" s="600" t="s">
        <v>6948</v>
      </c>
      <c r="N88" s="600" t="s">
        <v>506</v>
      </c>
      <c r="O88" s="603">
        <v>1.72</v>
      </c>
      <c r="P88" s="603">
        <v>1.9</v>
      </c>
      <c r="S88" s="600" t="s">
        <v>6945</v>
      </c>
      <c r="T88" s="600" t="s">
        <v>225</v>
      </c>
      <c r="U88" s="603">
        <v>22.1</v>
      </c>
      <c r="V88" s="603">
        <v>22.46</v>
      </c>
    </row>
    <row r="89" spans="2:22" x14ac:dyDescent="0.2">
      <c r="B89" s="600" t="s">
        <v>6951</v>
      </c>
      <c r="C89" s="600" t="s">
        <v>6440</v>
      </c>
      <c r="D89" s="602">
        <v>401</v>
      </c>
      <c r="G89" s="600" t="s">
        <v>6939</v>
      </c>
      <c r="H89" s="600" t="s">
        <v>390</v>
      </c>
      <c r="I89" s="603">
        <v>8.0399999999999991</v>
      </c>
      <c r="J89" s="603">
        <v>7.69</v>
      </c>
      <c r="M89" s="600" t="s">
        <v>6948</v>
      </c>
      <c r="N89" s="600" t="s">
        <v>507</v>
      </c>
      <c r="O89" s="603">
        <v>0.43</v>
      </c>
      <c r="P89" s="603">
        <v>0.42</v>
      </c>
      <c r="S89" s="600" t="s">
        <v>6945</v>
      </c>
      <c r="T89" s="600" t="s">
        <v>430</v>
      </c>
      <c r="U89" s="603">
        <v>3.22</v>
      </c>
      <c r="V89" s="603">
        <v>2.7</v>
      </c>
    </row>
    <row r="90" spans="2:22" x14ac:dyDescent="0.2">
      <c r="B90" s="600" t="s">
        <v>6951</v>
      </c>
      <c r="C90" s="600" t="s">
        <v>6441</v>
      </c>
      <c r="D90" s="602">
        <v>507</v>
      </c>
      <c r="G90" s="600" t="s">
        <v>6939</v>
      </c>
      <c r="H90" s="600" t="s">
        <v>212</v>
      </c>
      <c r="I90" s="603">
        <v>4.0199999999999996</v>
      </c>
      <c r="J90" s="603">
        <v>0</v>
      </c>
      <c r="M90" s="600" t="s">
        <v>6948</v>
      </c>
      <c r="N90" s="600" t="s">
        <v>6151</v>
      </c>
      <c r="O90" s="603">
        <v>0.37</v>
      </c>
      <c r="P90" s="603">
        <v>0.24</v>
      </c>
      <c r="S90" s="600" t="s">
        <v>6945</v>
      </c>
      <c r="T90" s="600" t="s">
        <v>501</v>
      </c>
      <c r="U90" s="603">
        <v>1.52</v>
      </c>
      <c r="V90" s="603">
        <v>1.55</v>
      </c>
    </row>
    <row r="91" spans="2:22" x14ac:dyDescent="0.2">
      <c r="B91" s="600" t="s">
        <v>6951</v>
      </c>
      <c r="C91" s="600" t="s">
        <v>6442</v>
      </c>
      <c r="D91" s="602">
        <v>2842</v>
      </c>
      <c r="G91" s="600" t="s">
        <v>6939</v>
      </c>
      <c r="H91" s="600" t="s">
        <v>419</v>
      </c>
      <c r="I91" s="603">
        <v>0</v>
      </c>
      <c r="J91" s="603">
        <v>0</v>
      </c>
      <c r="M91" s="600" t="s">
        <v>6949</v>
      </c>
      <c r="N91" s="600" t="s">
        <v>404</v>
      </c>
      <c r="O91" s="603">
        <v>63.42</v>
      </c>
      <c r="P91" s="603">
        <v>65.040000000000006</v>
      </c>
      <c r="S91" s="600" t="s">
        <v>6945</v>
      </c>
      <c r="T91" s="600" t="s">
        <v>502</v>
      </c>
      <c r="U91" s="603">
        <v>0.02</v>
      </c>
      <c r="V91" s="603">
        <v>0.01</v>
      </c>
    </row>
    <row r="92" spans="2:22" x14ac:dyDescent="0.2">
      <c r="B92" s="600" t="s">
        <v>6952</v>
      </c>
      <c r="C92" s="600" t="s">
        <v>6438</v>
      </c>
      <c r="D92" s="602">
        <v>857</v>
      </c>
      <c r="G92" s="600" t="s">
        <v>6939</v>
      </c>
      <c r="H92" s="600" t="s">
        <v>402</v>
      </c>
      <c r="I92" s="603">
        <v>7.59</v>
      </c>
      <c r="J92" s="603">
        <v>7.69</v>
      </c>
      <c r="M92" s="600" t="s">
        <v>6949</v>
      </c>
      <c r="N92" s="600" t="s">
        <v>6324</v>
      </c>
      <c r="O92" s="603">
        <v>4.8099999999999996</v>
      </c>
      <c r="P92" s="603">
        <v>2.98</v>
      </c>
      <c r="S92" s="600" t="s">
        <v>6945</v>
      </c>
      <c r="T92" s="600" t="s">
        <v>503</v>
      </c>
      <c r="U92" s="603">
        <v>0.18</v>
      </c>
      <c r="V92" s="603">
        <v>0.23</v>
      </c>
    </row>
    <row r="93" spans="2:22" x14ac:dyDescent="0.2">
      <c r="B93" s="600" t="s">
        <v>6952</v>
      </c>
      <c r="C93" s="600" t="s">
        <v>6439</v>
      </c>
      <c r="D93" s="602">
        <v>5038</v>
      </c>
      <c r="G93" s="600" t="s">
        <v>6939</v>
      </c>
      <c r="H93" s="600" t="s">
        <v>211</v>
      </c>
      <c r="I93" s="603">
        <v>41.07</v>
      </c>
      <c r="J93" s="603">
        <v>48.72</v>
      </c>
      <c r="M93" s="600" t="s">
        <v>6949</v>
      </c>
      <c r="N93" s="600" t="s">
        <v>505</v>
      </c>
      <c r="O93" s="603">
        <v>18.32</v>
      </c>
      <c r="P93" s="603">
        <v>18.97</v>
      </c>
      <c r="S93" s="600" t="s">
        <v>6945</v>
      </c>
      <c r="T93" s="600" t="s">
        <v>504</v>
      </c>
      <c r="U93" s="603">
        <v>0.22</v>
      </c>
      <c r="V93" s="603">
        <v>0.16</v>
      </c>
    </row>
    <row r="94" spans="2:22" x14ac:dyDescent="0.2">
      <c r="B94" s="600" t="s">
        <v>6952</v>
      </c>
      <c r="C94" s="600" t="s">
        <v>6440</v>
      </c>
      <c r="D94" s="602">
        <v>28274</v>
      </c>
      <c r="G94" s="600" t="s">
        <v>6939</v>
      </c>
      <c r="H94" s="600" t="s">
        <v>210</v>
      </c>
      <c r="I94" s="603">
        <v>0.89</v>
      </c>
      <c r="J94" s="603">
        <v>1.28</v>
      </c>
      <c r="M94" s="600" t="s">
        <v>6949</v>
      </c>
      <c r="N94" s="600" t="s">
        <v>506</v>
      </c>
      <c r="O94" s="603">
        <v>10.81</v>
      </c>
      <c r="P94" s="603">
        <v>11.11</v>
      </c>
      <c r="S94" s="600" t="s">
        <v>6945</v>
      </c>
      <c r="T94" s="600" t="s">
        <v>6151</v>
      </c>
      <c r="U94" s="603">
        <v>0.46</v>
      </c>
      <c r="V94" s="603">
        <v>0.16</v>
      </c>
    </row>
    <row r="95" spans="2:22" x14ac:dyDescent="0.2">
      <c r="B95" s="600" t="s">
        <v>6952</v>
      </c>
      <c r="C95" s="600" t="s">
        <v>6441</v>
      </c>
      <c r="D95" s="602">
        <v>24839</v>
      </c>
      <c r="G95" s="600" t="s">
        <v>6939</v>
      </c>
      <c r="H95" s="600" t="s">
        <v>209</v>
      </c>
      <c r="I95" s="603">
        <v>0.89</v>
      </c>
      <c r="J95" s="603">
        <v>2.56</v>
      </c>
      <c r="M95" s="600" t="s">
        <v>6949</v>
      </c>
      <c r="N95" s="600" t="s">
        <v>507</v>
      </c>
      <c r="O95" s="603">
        <v>1.05</v>
      </c>
      <c r="P95" s="603">
        <v>1.63</v>
      </c>
      <c r="S95" s="600" t="s">
        <v>6946</v>
      </c>
      <c r="T95" s="600" t="s">
        <v>500</v>
      </c>
      <c r="U95" s="603">
        <v>76.31</v>
      </c>
      <c r="V95" s="603">
        <v>77.55</v>
      </c>
    </row>
    <row r="96" spans="2:22" x14ac:dyDescent="0.2">
      <c r="B96" s="600" t="s">
        <v>6952</v>
      </c>
      <c r="C96" s="600" t="s">
        <v>6442</v>
      </c>
      <c r="D96" s="602">
        <v>173260</v>
      </c>
      <c r="G96" s="600" t="s">
        <v>6939</v>
      </c>
      <c r="H96" s="600" t="s">
        <v>207</v>
      </c>
      <c r="I96" s="603">
        <v>4.91</v>
      </c>
      <c r="J96" s="603">
        <v>1.28</v>
      </c>
      <c r="M96" s="600" t="s">
        <v>6949</v>
      </c>
      <c r="N96" s="600" t="s">
        <v>6151</v>
      </c>
      <c r="O96" s="603">
        <v>1.6</v>
      </c>
      <c r="P96" s="603">
        <v>0.27</v>
      </c>
      <c r="S96" s="600" t="s">
        <v>6946</v>
      </c>
      <c r="T96" s="600" t="s">
        <v>225</v>
      </c>
      <c r="U96" s="603">
        <v>19.53</v>
      </c>
      <c r="V96" s="603">
        <v>19.87</v>
      </c>
    </row>
    <row r="97" spans="2:22" x14ac:dyDescent="0.2">
      <c r="B97" s="600" t="s">
        <v>6953</v>
      </c>
      <c r="C97" s="600" t="s">
        <v>6438</v>
      </c>
      <c r="D97" s="602">
        <v>320</v>
      </c>
      <c r="G97" s="600" t="s">
        <v>6939</v>
      </c>
      <c r="H97" s="600" t="s">
        <v>206</v>
      </c>
      <c r="I97" s="603">
        <v>0</v>
      </c>
      <c r="J97" s="603">
        <v>0</v>
      </c>
      <c r="M97" s="600" t="s">
        <v>6950</v>
      </c>
      <c r="N97" s="600" t="s">
        <v>404</v>
      </c>
      <c r="O97" s="603">
        <v>64.010000000000005</v>
      </c>
      <c r="P97" s="603">
        <v>66.31</v>
      </c>
      <c r="S97" s="600" t="s">
        <v>6946</v>
      </c>
      <c r="T97" s="600" t="s">
        <v>430</v>
      </c>
      <c r="U97" s="603">
        <v>2.29</v>
      </c>
      <c r="V97" s="603">
        <v>1.42</v>
      </c>
    </row>
    <row r="98" spans="2:22" x14ac:dyDescent="0.2">
      <c r="B98" s="600" t="s">
        <v>6953</v>
      </c>
      <c r="C98" s="600" t="s">
        <v>6439</v>
      </c>
      <c r="D98" s="602">
        <v>2386</v>
      </c>
      <c r="G98" s="600" t="s">
        <v>6939</v>
      </c>
      <c r="H98" s="600" t="s">
        <v>313</v>
      </c>
      <c r="I98" s="603">
        <v>0</v>
      </c>
      <c r="J98" s="603">
        <v>0</v>
      </c>
      <c r="M98" s="600" t="s">
        <v>6950</v>
      </c>
      <c r="N98" s="600" t="s">
        <v>6324</v>
      </c>
      <c r="O98" s="603">
        <v>5.0199999999999996</v>
      </c>
      <c r="P98" s="603">
        <v>5.0199999999999996</v>
      </c>
      <c r="S98" s="600" t="s">
        <v>6946</v>
      </c>
      <c r="T98" s="600" t="s">
        <v>501</v>
      </c>
      <c r="U98" s="603">
        <v>0.76</v>
      </c>
      <c r="V98" s="603">
        <v>0.57999999999999996</v>
      </c>
    </row>
    <row r="99" spans="2:22" x14ac:dyDescent="0.2">
      <c r="B99" s="600" t="s">
        <v>6953</v>
      </c>
      <c r="C99" s="600" t="s">
        <v>6440</v>
      </c>
      <c r="D99" s="602">
        <v>14830</v>
      </c>
      <c r="G99" s="600" t="s">
        <v>6939</v>
      </c>
      <c r="H99" s="600" t="s">
        <v>497</v>
      </c>
      <c r="I99" s="603">
        <v>0</v>
      </c>
      <c r="J99" s="603">
        <v>0</v>
      </c>
      <c r="M99" s="600" t="s">
        <v>6950</v>
      </c>
      <c r="N99" s="600" t="s">
        <v>505</v>
      </c>
      <c r="O99" s="603">
        <v>19.57</v>
      </c>
      <c r="P99" s="603">
        <v>19.02</v>
      </c>
      <c r="S99" s="600" t="s">
        <v>6946</v>
      </c>
      <c r="T99" s="600" t="s">
        <v>502</v>
      </c>
      <c r="U99" s="603">
        <v>0.04</v>
      </c>
      <c r="V99" s="603">
        <v>7.0000000000000007E-2</v>
      </c>
    </row>
    <row r="100" spans="2:22" x14ac:dyDescent="0.2">
      <c r="B100" s="600" t="s">
        <v>6953</v>
      </c>
      <c r="C100" s="600" t="s">
        <v>6441</v>
      </c>
      <c r="D100" s="602">
        <v>12727</v>
      </c>
      <c r="G100" s="600" t="s">
        <v>6939</v>
      </c>
      <c r="H100" s="600" t="s">
        <v>416</v>
      </c>
      <c r="I100" s="603">
        <v>14.29</v>
      </c>
      <c r="J100" s="603">
        <v>10.26</v>
      </c>
      <c r="M100" s="600" t="s">
        <v>6950</v>
      </c>
      <c r="N100" s="600" t="s">
        <v>506</v>
      </c>
      <c r="O100" s="603">
        <v>8.4</v>
      </c>
      <c r="P100" s="603">
        <v>8.64</v>
      </c>
      <c r="S100" s="600" t="s">
        <v>6946</v>
      </c>
      <c r="T100" s="600" t="s">
        <v>503</v>
      </c>
      <c r="U100" s="603">
        <v>0.11</v>
      </c>
      <c r="V100" s="603">
        <v>7.0000000000000007E-2</v>
      </c>
    </row>
    <row r="101" spans="2:22" x14ac:dyDescent="0.2">
      <c r="B101" s="600" t="s">
        <v>6953</v>
      </c>
      <c r="C101" s="600" t="s">
        <v>6442</v>
      </c>
      <c r="D101" s="602">
        <v>76089</v>
      </c>
      <c r="G101" s="600" t="s">
        <v>6939</v>
      </c>
      <c r="H101" s="600" t="s">
        <v>449</v>
      </c>
      <c r="I101" s="603">
        <v>1.34</v>
      </c>
      <c r="J101" s="603">
        <v>0</v>
      </c>
      <c r="M101" s="600" t="s">
        <v>6950</v>
      </c>
      <c r="N101" s="600" t="s">
        <v>507</v>
      </c>
      <c r="O101" s="603">
        <v>0.96</v>
      </c>
      <c r="P101" s="603">
        <v>0.78</v>
      </c>
      <c r="S101" s="600" t="s">
        <v>6946</v>
      </c>
      <c r="T101" s="600" t="s">
        <v>504</v>
      </c>
      <c r="U101" s="603">
        <v>0.16</v>
      </c>
      <c r="V101" s="603">
        <v>0.18</v>
      </c>
    </row>
    <row r="102" spans="2:22" x14ac:dyDescent="0.2">
      <c r="B102" s="600" t="s">
        <v>6954</v>
      </c>
      <c r="C102" s="600" t="s">
        <v>6438</v>
      </c>
      <c r="D102" s="602">
        <v>97</v>
      </c>
      <c r="G102" s="600" t="s">
        <v>6939</v>
      </c>
      <c r="H102" s="600" t="s">
        <v>498</v>
      </c>
      <c r="I102" s="603">
        <v>0</v>
      </c>
      <c r="J102" s="603">
        <v>0</v>
      </c>
      <c r="M102" s="600" t="s">
        <v>6950</v>
      </c>
      <c r="N102" s="600" t="s">
        <v>6151</v>
      </c>
      <c r="O102" s="603">
        <v>2.0299999999999998</v>
      </c>
      <c r="P102" s="603">
        <v>0.22</v>
      </c>
      <c r="S102" s="600" t="s">
        <v>6946</v>
      </c>
      <c r="T102" s="600" t="s">
        <v>6151</v>
      </c>
      <c r="U102" s="603">
        <v>0.79</v>
      </c>
      <c r="V102" s="603">
        <v>0.26</v>
      </c>
    </row>
    <row r="103" spans="2:22" x14ac:dyDescent="0.2">
      <c r="B103" s="600" t="s">
        <v>6954</v>
      </c>
      <c r="C103" s="600" t="s">
        <v>6439</v>
      </c>
      <c r="D103" s="602">
        <v>705</v>
      </c>
      <c r="G103" s="600" t="s">
        <v>6939</v>
      </c>
      <c r="H103" s="600" t="s">
        <v>202</v>
      </c>
      <c r="I103" s="603">
        <v>0.89</v>
      </c>
      <c r="J103" s="603">
        <v>2.56</v>
      </c>
      <c r="M103" s="600" t="s">
        <v>6951</v>
      </c>
      <c r="N103" s="600" t="s">
        <v>404</v>
      </c>
      <c r="O103" s="603">
        <v>68.87</v>
      </c>
      <c r="P103" s="603">
        <v>65.2</v>
      </c>
      <c r="S103" s="600" t="s">
        <v>6947</v>
      </c>
      <c r="T103" s="600" t="s">
        <v>500</v>
      </c>
      <c r="U103" s="603">
        <v>73.680000000000007</v>
      </c>
      <c r="V103" s="603">
        <v>78.650000000000006</v>
      </c>
    </row>
    <row r="104" spans="2:22" x14ac:dyDescent="0.2">
      <c r="B104" s="600" t="s">
        <v>6954</v>
      </c>
      <c r="C104" s="600" t="s">
        <v>6440</v>
      </c>
      <c r="D104" s="602">
        <v>5234</v>
      </c>
      <c r="G104" s="600" t="s">
        <v>6939</v>
      </c>
      <c r="H104" s="600" t="s">
        <v>409</v>
      </c>
      <c r="I104" s="603">
        <v>0.89</v>
      </c>
      <c r="J104" s="603">
        <v>0</v>
      </c>
      <c r="M104" s="600" t="s">
        <v>6951</v>
      </c>
      <c r="N104" s="600" t="s">
        <v>6324</v>
      </c>
      <c r="O104" s="603">
        <v>4.43</v>
      </c>
      <c r="P104" s="603">
        <v>4.2</v>
      </c>
      <c r="S104" s="600" t="s">
        <v>6947</v>
      </c>
      <c r="T104" s="600" t="s">
        <v>225</v>
      </c>
      <c r="U104" s="603">
        <v>22.34</v>
      </c>
      <c r="V104" s="603">
        <v>19.850000000000001</v>
      </c>
    </row>
    <row r="105" spans="2:22" x14ac:dyDescent="0.2">
      <c r="B105" s="600" t="s">
        <v>6954</v>
      </c>
      <c r="C105" s="600" t="s">
        <v>6441</v>
      </c>
      <c r="D105" s="602">
        <v>4769</v>
      </c>
      <c r="G105" s="600" t="s">
        <v>6939</v>
      </c>
      <c r="H105" s="600" t="s">
        <v>230</v>
      </c>
      <c r="I105" s="603">
        <v>6.7</v>
      </c>
      <c r="J105" s="603">
        <v>7.69</v>
      </c>
      <c r="M105" s="600" t="s">
        <v>6951</v>
      </c>
      <c r="N105" s="600" t="s">
        <v>505</v>
      </c>
      <c r="O105" s="603">
        <v>23.88</v>
      </c>
      <c r="P105" s="603">
        <v>27.94</v>
      </c>
      <c r="S105" s="600" t="s">
        <v>6947</v>
      </c>
      <c r="T105" s="600" t="s">
        <v>430</v>
      </c>
      <c r="U105" s="603">
        <v>2.48</v>
      </c>
      <c r="V105" s="603">
        <v>1.1200000000000001</v>
      </c>
    </row>
    <row r="106" spans="2:22" x14ac:dyDescent="0.2">
      <c r="B106" s="600" t="s">
        <v>6954</v>
      </c>
      <c r="C106" s="600" t="s">
        <v>6442</v>
      </c>
      <c r="D106" s="602">
        <v>29832</v>
      </c>
      <c r="G106" s="600" t="s">
        <v>6939</v>
      </c>
      <c r="H106" s="600" t="s">
        <v>860</v>
      </c>
      <c r="I106" s="603">
        <v>4.91</v>
      </c>
      <c r="J106" s="603">
        <v>5.13</v>
      </c>
      <c r="M106" s="600" t="s">
        <v>6951</v>
      </c>
      <c r="N106" s="600" t="s">
        <v>506</v>
      </c>
      <c r="O106" s="603">
        <v>1.54</v>
      </c>
      <c r="P106" s="603">
        <v>1.43</v>
      </c>
      <c r="S106" s="600" t="s">
        <v>6947</v>
      </c>
      <c r="T106" s="600" t="s">
        <v>501</v>
      </c>
      <c r="U106" s="603">
        <v>1.19</v>
      </c>
      <c r="V106" s="603">
        <v>0.37</v>
      </c>
    </row>
    <row r="107" spans="2:22" x14ac:dyDescent="0.2">
      <c r="B107" s="600" t="s">
        <v>6955</v>
      </c>
      <c r="C107" s="600" t="s">
        <v>6438</v>
      </c>
      <c r="D107" s="602">
        <v>309</v>
      </c>
      <c r="G107" s="600" t="s">
        <v>6940</v>
      </c>
      <c r="H107" s="600" t="s">
        <v>401</v>
      </c>
      <c r="I107" s="603">
        <v>0.55000000000000004</v>
      </c>
      <c r="J107" s="603">
        <v>0.64</v>
      </c>
      <c r="M107" s="600" t="s">
        <v>6951</v>
      </c>
      <c r="N107" s="600" t="s">
        <v>507</v>
      </c>
      <c r="O107" s="603">
        <v>0.68</v>
      </c>
      <c r="P107" s="603">
        <v>0.61</v>
      </c>
      <c r="S107" s="600" t="s">
        <v>6947</v>
      </c>
      <c r="T107" s="600" t="s">
        <v>502</v>
      </c>
      <c r="U107" s="603">
        <v>0</v>
      </c>
      <c r="V107" s="603">
        <v>0</v>
      </c>
    </row>
    <row r="108" spans="2:22" x14ac:dyDescent="0.2">
      <c r="B108" s="600" t="s">
        <v>6955</v>
      </c>
      <c r="C108" s="600" t="s">
        <v>6439</v>
      </c>
      <c r="D108" s="602">
        <v>2722</v>
      </c>
      <c r="G108" s="600" t="s">
        <v>6940</v>
      </c>
      <c r="H108" s="600" t="s">
        <v>438</v>
      </c>
      <c r="I108" s="603">
        <v>2.25</v>
      </c>
      <c r="J108" s="603">
        <v>1.43</v>
      </c>
      <c r="M108" s="600" t="s">
        <v>6951</v>
      </c>
      <c r="N108" s="600" t="s">
        <v>6151</v>
      </c>
      <c r="O108" s="603">
        <v>0.6</v>
      </c>
      <c r="P108" s="603">
        <v>0.61</v>
      </c>
      <c r="S108" s="600" t="s">
        <v>6947</v>
      </c>
      <c r="T108" s="600" t="s">
        <v>503</v>
      </c>
      <c r="U108" s="603">
        <v>0</v>
      </c>
      <c r="V108" s="603">
        <v>0</v>
      </c>
    </row>
    <row r="109" spans="2:22" x14ac:dyDescent="0.2">
      <c r="B109" s="600" t="s">
        <v>6955</v>
      </c>
      <c r="C109" s="600" t="s">
        <v>6440</v>
      </c>
      <c r="D109" s="602">
        <v>20595</v>
      </c>
      <c r="G109" s="600" t="s">
        <v>6940</v>
      </c>
      <c r="H109" s="600" t="s">
        <v>390</v>
      </c>
      <c r="I109" s="603">
        <v>12.72</v>
      </c>
      <c r="J109" s="603">
        <v>11.53</v>
      </c>
      <c r="M109" s="600" t="s">
        <v>6952</v>
      </c>
      <c r="N109" s="600" t="s">
        <v>404</v>
      </c>
      <c r="O109" s="603">
        <v>66.03</v>
      </c>
      <c r="P109" s="603">
        <v>66.34</v>
      </c>
      <c r="S109" s="600" t="s">
        <v>6947</v>
      </c>
      <c r="T109" s="600" t="s">
        <v>504</v>
      </c>
      <c r="U109" s="603">
        <v>0.1</v>
      </c>
      <c r="V109" s="603">
        <v>0</v>
      </c>
    </row>
    <row r="110" spans="2:22" x14ac:dyDescent="0.2">
      <c r="B110" s="600" t="s">
        <v>6955</v>
      </c>
      <c r="C110" s="600" t="s">
        <v>6441</v>
      </c>
      <c r="D110" s="602">
        <v>19853</v>
      </c>
      <c r="G110" s="600" t="s">
        <v>6940</v>
      </c>
      <c r="H110" s="600" t="s">
        <v>212</v>
      </c>
      <c r="I110" s="603">
        <v>3.47</v>
      </c>
      <c r="J110" s="603">
        <v>4.5599999999999996</v>
      </c>
      <c r="M110" s="600" t="s">
        <v>6952</v>
      </c>
      <c r="N110" s="600" t="s">
        <v>6324</v>
      </c>
      <c r="O110" s="603">
        <v>4.91</v>
      </c>
      <c r="P110" s="603">
        <v>4.87</v>
      </c>
      <c r="S110" s="600" t="s">
        <v>6947</v>
      </c>
      <c r="T110" s="600" t="s">
        <v>6151</v>
      </c>
      <c r="U110" s="603">
        <v>0.2</v>
      </c>
      <c r="V110" s="603">
        <v>0</v>
      </c>
    </row>
    <row r="111" spans="2:22" x14ac:dyDescent="0.2">
      <c r="B111" s="600" t="s">
        <v>6955</v>
      </c>
      <c r="C111" s="600" t="s">
        <v>6442</v>
      </c>
      <c r="D111" s="602">
        <v>116375</v>
      </c>
      <c r="G111" s="600" t="s">
        <v>6940</v>
      </c>
      <c r="H111" s="600" t="s">
        <v>419</v>
      </c>
      <c r="I111" s="603">
        <v>0.11</v>
      </c>
      <c r="J111" s="603">
        <v>0.12</v>
      </c>
      <c r="M111" s="600" t="s">
        <v>6952</v>
      </c>
      <c r="N111" s="600" t="s">
        <v>505</v>
      </c>
      <c r="O111" s="603">
        <v>20.309999999999999</v>
      </c>
      <c r="P111" s="603">
        <v>21.97</v>
      </c>
      <c r="S111" s="600" t="s">
        <v>6948</v>
      </c>
      <c r="T111" s="600" t="s">
        <v>500</v>
      </c>
      <c r="U111" s="603">
        <v>77.2</v>
      </c>
      <c r="V111" s="603">
        <v>78.58</v>
      </c>
    </row>
    <row r="112" spans="2:22" x14ac:dyDescent="0.2">
      <c r="B112" s="600" t="s">
        <v>6956</v>
      </c>
      <c r="C112" s="600" t="s">
        <v>6438</v>
      </c>
      <c r="D112" s="602">
        <v>5</v>
      </c>
      <c r="G112" s="600" t="s">
        <v>6940</v>
      </c>
      <c r="H112" s="600" t="s">
        <v>402</v>
      </c>
      <c r="I112" s="603">
        <v>4.9800000000000004</v>
      </c>
      <c r="J112" s="603">
        <v>5.26</v>
      </c>
      <c r="M112" s="600" t="s">
        <v>6952</v>
      </c>
      <c r="N112" s="600" t="s">
        <v>506</v>
      </c>
      <c r="O112" s="603">
        <v>6.73</v>
      </c>
      <c r="P112" s="603">
        <v>6.14</v>
      </c>
      <c r="S112" s="600" t="s">
        <v>6948</v>
      </c>
      <c r="T112" s="600" t="s">
        <v>225</v>
      </c>
      <c r="U112" s="603">
        <v>19.59</v>
      </c>
      <c r="V112" s="603">
        <v>18.989999999999998</v>
      </c>
    </row>
    <row r="113" spans="2:22" x14ac:dyDescent="0.2">
      <c r="B113" s="600" t="s">
        <v>6956</v>
      </c>
      <c r="C113" s="600" t="s">
        <v>6439</v>
      </c>
      <c r="D113" s="602">
        <v>49</v>
      </c>
      <c r="G113" s="600" t="s">
        <v>6940</v>
      </c>
      <c r="H113" s="600" t="s">
        <v>211</v>
      </c>
      <c r="I113" s="603">
        <v>9.26</v>
      </c>
      <c r="J113" s="603">
        <v>7.8</v>
      </c>
      <c r="M113" s="600" t="s">
        <v>6952</v>
      </c>
      <c r="N113" s="600" t="s">
        <v>507</v>
      </c>
      <c r="O113" s="603">
        <v>0.73</v>
      </c>
      <c r="P113" s="603">
        <v>0.45</v>
      </c>
      <c r="S113" s="600" t="s">
        <v>6948</v>
      </c>
      <c r="T113" s="600" t="s">
        <v>430</v>
      </c>
      <c r="U113" s="603">
        <v>1.96</v>
      </c>
      <c r="V113" s="603">
        <v>1.5</v>
      </c>
    </row>
    <row r="114" spans="2:22" x14ac:dyDescent="0.2">
      <c r="B114" s="600" t="s">
        <v>6956</v>
      </c>
      <c r="C114" s="600" t="s">
        <v>6440</v>
      </c>
      <c r="D114" s="602">
        <v>191</v>
      </c>
      <c r="G114" s="600" t="s">
        <v>6940</v>
      </c>
      <c r="H114" s="600" t="s">
        <v>210</v>
      </c>
      <c r="I114" s="603">
        <v>2.19</v>
      </c>
      <c r="J114" s="603">
        <v>2.4500000000000002</v>
      </c>
      <c r="M114" s="600" t="s">
        <v>6952</v>
      </c>
      <c r="N114" s="600" t="s">
        <v>6151</v>
      </c>
      <c r="O114" s="603">
        <v>1.28</v>
      </c>
      <c r="P114" s="603">
        <v>0.23</v>
      </c>
      <c r="S114" s="600" t="s">
        <v>6948</v>
      </c>
      <c r="T114" s="600" t="s">
        <v>501</v>
      </c>
      <c r="U114" s="603">
        <v>0.51</v>
      </c>
      <c r="V114" s="603">
        <v>0.35</v>
      </c>
    </row>
    <row r="115" spans="2:22" x14ac:dyDescent="0.2">
      <c r="B115" s="600" t="s">
        <v>6956</v>
      </c>
      <c r="C115" s="600" t="s">
        <v>6441</v>
      </c>
      <c r="D115" s="602">
        <v>175</v>
      </c>
      <c r="G115" s="600" t="s">
        <v>6940</v>
      </c>
      <c r="H115" s="600" t="s">
        <v>209</v>
      </c>
      <c r="I115" s="603">
        <v>0.32</v>
      </c>
      <c r="J115" s="603">
        <v>0.02</v>
      </c>
      <c r="M115" s="600" t="s">
        <v>6953</v>
      </c>
      <c r="N115" s="600" t="s">
        <v>404</v>
      </c>
      <c r="O115" s="603">
        <v>67</v>
      </c>
      <c r="P115" s="603">
        <v>68.89</v>
      </c>
      <c r="S115" s="600" t="s">
        <v>6948</v>
      </c>
      <c r="T115" s="600" t="s">
        <v>502</v>
      </c>
      <c r="U115" s="603">
        <v>0.02</v>
      </c>
      <c r="V115" s="603">
        <v>0.02</v>
      </c>
    </row>
    <row r="116" spans="2:22" x14ac:dyDescent="0.2">
      <c r="B116" s="600" t="s">
        <v>6956</v>
      </c>
      <c r="C116" s="600" t="s">
        <v>6442</v>
      </c>
      <c r="D116" s="602">
        <v>1960</v>
      </c>
      <c r="G116" s="600" t="s">
        <v>6940</v>
      </c>
      <c r="H116" s="600" t="s">
        <v>207</v>
      </c>
      <c r="I116" s="603">
        <v>17.940000000000001</v>
      </c>
      <c r="J116" s="603">
        <v>23.32</v>
      </c>
      <c r="M116" s="600" t="s">
        <v>6953</v>
      </c>
      <c r="N116" s="600" t="s">
        <v>6324</v>
      </c>
      <c r="O116" s="603">
        <v>4.8</v>
      </c>
      <c r="P116" s="603">
        <v>4.83</v>
      </c>
      <c r="S116" s="600" t="s">
        <v>6948</v>
      </c>
      <c r="T116" s="600" t="s">
        <v>503</v>
      </c>
      <c r="U116" s="603">
        <v>0.08</v>
      </c>
      <c r="V116" s="603">
        <v>7.0000000000000007E-2</v>
      </c>
    </row>
    <row r="117" spans="2:22" x14ac:dyDescent="0.2">
      <c r="B117" s="600" t="s">
        <v>6957</v>
      </c>
      <c r="C117" s="600" t="s">
        <v>6438</v>
      </c>
      <c r="D117" s="602">
        <v>2</v>
      </c>
      <c r="G117" s="600" t="s">
        <v>6940</v>
      </c>
      <c r="H117" s="600" t="s">
        <v>206</v>
      </c>
      <c r="I117" s="603">
        <v>0.05</v>
      </c>
      <c r="J117" s="603">
        <v>0.05</v>
      </c>
      <c r="M117" s="600" t="s">
        <v>6953</v>
      </c>
      <c r="N117" s="600" t="s">
        <v>505</v>
      </c>
      <c r="O117" s="603">
        <v>20.77</v>
      </c>
      <c r="P117" s="603">
        <v>20.97</v>
      </c>
      <c r="S117" s="600" t="s">
        <v>6948</v>
      </c>
      <c r="T117" s="600" t="s">
        <v>504</v>
      </c>
      <c r="U117" s="603">
        <v>0.09</v>
      </c>
      <c r="V117" s="603">
        <v>7.0000000000000007E-2</v>
      </c>
    </row>
    <row r="118" spans="2:22" x14ac:dyDescent="0.2">
      <c r="B118" s="600" t="s">
        <v>6957</v>
      </c>
      <c r="C118" s="600" t="s">
        <v>6439</v>
      </c>
      <c r="D118" s="602">
        <v>15</v>
      </c>
      <c r="G118" s="600" t="s">
        <v>6940</v>
      </c>
      <c r="H118" s="600" t="s">
        <v>313</v>
      </c>
      <c r="I118" s="603">
        <v>0.27</v>
      </c>
      <c r="J118" s="603">
        <v>0.05</v>
      </c>
      <c r="M118" s="600" t="s">
        <v>6953</v>
      </c>
      <c r="N118" s="600" t="s">
        <v>506</v>
      </c>
      <c r="O118" s="603">
        <v>5.1100000000000003</v>
      </c>
      <c r="P118" s="603">
        <v>4.49</v>
      </c>
      <c r="S118" s="600" t="s">
        <v>6948</v>
      </c>
      <c r="T118" s="600" t="s">
        <v>6151</v>
      </c>
      <c r="U118" s="603">
        <v>0.56000000000000005</v>
      </c>
      <c r="V118" s="603">
        <v>0.42</v>
      </c>
    </row>
    <row r="119" spans="2:22" x14ac:dyDescent="0.2">
      <c r="B119" s="600" t="s">
        <v>6957</v>
      </c>
      <c r="C119" s="600" t="s">
        <v>6440</v>
      </c>
      <c r="D119" s="602">
        <v>81</v>
      </c>
      <c r="G119" s="600" t="s">
        <v>6940</v>
      </c>
      <c r="H119" s="600" t="s">
        <v>497</v>
      </c>
      <c r="I119" s="603">
        <v>0.01</v>
      </c>
      <c r="J119" s="603">
        <v>0.01</v>
      </c>
      <c r="M119" s="600" t="s">
        <v>6953</v>
      </c>
      <c r="N119" s="600" t="s">
        <v>507</v>
      </c>
      <c r="O119" s="603">
        <v>0.83</v>
      </c>
      <c r="P119" s="603">
        <v>0.53</v>
      </c>
      <c r="S119" s="600" t="s">
        <v>6949</v>
      </c>
      <c r="T119" s="600" t="s">
        <v>500</v>
      </c>
      <c r="U119" s="603">
        <v>76.099999999999994</v>
      </c>
      <c r="V119" s="603">
        <v>80.760000000000005</v>
      </c>
    </row>
    <row r="120" spans="2:22" x14ac:dyDescent="0.2">
      <c r="B120" s="600" t="s">
        <v>6957</v>
      </c>
      <c r="C120" s="600" t="s">
        <v>6441</v>
      </c>
      <c r="D120" s="602">
        <v>74</v>
      </c>
      <c r="G120" s="600" t="s">
        <v>6940</v>
      </c>
      <c r="H120" s="600" t="s">
        <v>416</v>
      </c>
      <c r="I120" s="603">
        <v>33.200000000000003</v>
      </c>
      <c r="J120" s="603">
        <v>31.58</v>
      </c>
      <c r="M120" s="600" t="s">
        <v>6953</v>
      </c>
      <c r="N120" s="600" t="s">
        <v>6151</v>
      </c>
      <c r="O120" s="603">
        <v>1.49</v>
      </c>
      <c r="P120" s="603">
        <v>0.28999999999999998</v>
      </c>
      <c r="S120" s="600" t="s">
        <v>6949</v>
      </c>
      <c r="T120" s="600" t="s">
        <v>225</v>
      </c>
      <c r="U120" s="603">
        <v>18.09</v>
      </c>
      <c r="V120" s="603">
        <v>15.99</v>
      </c>
    </row>
    <row r="121" spans="2:22" x14ac:dyDescent="0.2">
      <c r="B121" s="600" t="s">
        <v>6957</v>
      </c>
      <c r="C121" s="600" t="s">
        <v>6442</v>
      </c>
      <c r="D121" s="602">
        <v>647</v>
      </c>
      <c r="G121" s="600" t="s">
        <v>6940</v>
      </c>
      <c r="H121" s="600" t="s">
        <v>449</v>
      </c>
      <c r="I121" s="603">
        <v>0.48</v>
      </c>
      <c r="J121" s="603">
        <v>0.57999999999999996</v>
      </c>
      <c r="M121" s="600" t="s">
        <v>6954</v>
      </c>
      <c r="N121" s="600" t="s">
        <v>404</v>
      </c>
      <c r="O121" s="603">
        <v>72.38</v>
      </c>
      <c r="P121" s="603">
        <v>70.349999999999994</v>
      </c>
      <c r="S121" s="600" t="s">
        <v>6949</v>
      </c>
      <c r="T121" s="600" t="s">
        <v>430</v>
      </c>
      <c r="U121" s="603">
        <v>3.02</v>
      </c>
      <c r="V121" s="603">
        <v>2.17</v>
      </c>
    </row>
    <row r="122" spans="2:22" x14ac:dyDescent="0.2">
      <c r="B122" s="600" t="s">
        <v>6958</v>
      </c>
      <c r="C122" s="600" t="s">
        <v>6438</v>
      </c>
      <c r="D122" s="602">
        <v>4</v>
      </c>
      <c r="G122" s="600" t="s">
        <v>6940</v>
      </c>
      <c r="H122" s="600" t="s">
        <v>498</v>
      </c>
      <c r="I122" s="603">
        <v>0</v>
      </c>
      <c r="J122" s="603">
        <v>0</v>
      </c>
      <c r="M122" s="600" t="s">
        <v>6954</v>
      </c>
      <c r="N122" s="600" t="s">
        <v>6324</v>
      </c>
      <c r="O122" s="603">
        <v>4.6100000000000003</v>
      </c>
      <c r="P122" s="603">
        <v>4.71</v>
      </c>
      <c r="S122" s="600" t="s">
        <v>6949</v>
      </c>
      <c r="T122" s="600" t="s">
        <v>501</v>
      </c>
      <c r="U122" s="603">
        <v>1.28</v>
      </c>
      <c r="V122" s="603">
        <v>0.27</v>
      </c>
    </row>
    <row r="123" spans="2:22" x14ac:dyDescent="0.2">
      <c r="B123" s="600" t="s">
        <v>6958</v>
      </c>
      <c r="C123" s="600" t="s">
        <v>6439</v>
      </c>
      <c r="D123" s="602">
        <v>4</v>
      </c>
      <c r="G123" s="600" t="s">
        <v>6940</v>
      </c>
      <c r="H123" s="600" t="s">
        <v>202</v>
      </c>
      <c r="I123" s="603">
        <v>2.31</v>
      </c>
      <c r="J123" s="603">
        <v>1.17</v>
      </c>
      <c r="M123" s="600" t="s">
        <v>6954</v>
      </c>
      <c r="N123" s="600" t="s">
        <v>505</v>
      </c>
      <c r="O123" s="603">
        <v>19.489999999999998</v>
      </c>
      <c r="P123" s="603">
        <v>21.3</v>
      </c>
      <c r="S123" s="600" t="s">
        <v>6949</v>
      </c>
      <c r="T123" s="600" t="s">
        <v>502</v>
      </c>
      <c r="U123" s="603">
        <v>0</v>
      </c>
      <c r="V123" s="603">
        <v>0</v>
      </c>
    </row>
    <row r="124" spans="2:22" x14ac:dyDescent="0.2">
      <c r="B124" s="600" t="s">
        <v>6958</v>
      </c>
      <c r="C124" s="600" t="s">
        <v>6440</v>
      </c>
      <c r="D124" s="602">
        <v>57</v>
      </c>
      <c r="G124" s="600" t="s">
        <v>6940</v>
      </c>
      <c r="H124" s="600" t="s">
        <v>409</v>
      </c>
      <c r="I124" s="603">
        <v>2.56</v>
      </c>
      <c r="J124" s="603">
        <v>2.4500000000000002</v>
      </c>
      <c r="M124" s="600" t="s">
        <v>6954</v>
      </c>
      <c r="N124" s="600" t="s">
        <v>506</v>
      </c>
      <c r="O124" s="603">
        <v>2.71</v>
      </c>
      <c r="P124" s="603">
        <v>3.06</v>
      </c>
      <c r="S124" s="600" t="s">
        <v>6949</v>
      </c>
      <c r="T124" s="600" t="s">
        <v>503</v>
      </c>
      <c r="U124" s="603">
        <v>0.23</v>
      </c>
      <c r="V124" s="603">
        <v>0</v>
      </c>
    </row>
    <row r="125" spans="2:22" x14ac:dyDescent="0.2">
      <c r="B125" s="600" t="s">
        <v>6958</v>
      </c>
      <c r="C125" s="600" t="s">
        <v>6441</v>
      </c>
      <c r="D125" s="602">
        <v>65</v>
      </c>
      <c r="G125" s="600" t="s">
        <v>6940</v>
      </c>
      <c r="H125" s="600" t="s">
        <v>230</v>
      </c>
      <c r="I125" s="603">
        <v>5.48</v>
      </c>
      <c r="J125" s="603">
        <v>4.8099999999999996</v>
      </c>
      <c r="M125" s="600" t="s">
        <v>6954</v>
      </c>
      <c r="N125" s="600" t="s">
        <v>507</v>
      </c>
      <c r="O125" s="603">
        <v>0.44</v>
      </c>
      <c r="P125" s="603">
        <v>0.39</v>
      </c>
      <c r="S125" s="600" t="s">
        <v>6949</v>
      </c>
      <c r="T125" s="600" t="s">
        <v>504</v>
      </c>
      <c r="U125" s="603">
        <v>0.09</v>
      </c>
      <c r="V125" s="603">
        <v>0.27</v>
      </c>
    </row>
    <row r="126" spans="2:22" x14ac:dyDescent="0.2">
      <c r="B126" s="600" t="s">
        <v>6958</v>
      </c>
      <c r="C126" s="600" t="s">
        <v>6442</v>
      </c>
      <c r="D126" s="602">
        <v>588</v>
      </c>
      <c r="G126" s="600" t="s">
        <v>6940</v>
      </c>
      <c r="H126" s="600" t="s">
        <v>860</v>
      </c>
      <c r="I126" s="603">
        <v>2.17</v>
      </c>
      <c r="J126" s="603">
        <v>2.19</v>
      </c>
      <c r="M126" s="600" t="s">
        <v>6954</v>
      </c>
      <c r="N126" s="600" t="s">
        <v>6151</v>
      </c>
      <c r="O126" s="603">
        <v>0.36</v>
      </c>
      <c r="P126" s="603">
        <v>0.19</v>
      </c>
      <c r="S126" s="600" t="s">
        <v>6949</v>
      </c>
      <c r="T126" s="600" t="s">
        <v>6151</v>
      </c>
      <c r="U126" s="603">
        <v>1.19</v>
      </c>
      <c r="V126" s="603">
        <v>0.54</v>
      </c>
    </row>
    <row r="127" spans="2:22" x14ac:dyDescent="0.2">
      <c r="B127" s="600" t="s">
        <v>6959</v>
      </c>
      <c r="C127" s="600" t="s">
        <v>6438</v>
      </c>
      <c r="D127" s="602">
        <v>46</v>
      </c>
      <c r="G127" s="600" t="s">
        <v>6941</v>
      </c>
      <c r="H127" s="600" t="s">
        <v>401</v>
      </c>
      <c r="I127" s="603">
        <v>0.39</v>
      </c>
      <c r="J127" s="603">
        <v>0.14000000000000001</v>
      </c>
      <c r="M127" s="600" t="s">
        <v>6955</v>
      </c>
      <c r="N127" s="600" t="s">
        <v>404</v>
      </c>
      <c r="O127" s="603">
        <v>71.69</v>
      </c>
      <c r="P127" s="603">
        <v>68.78</v>
      </c>
      <c r="S127" s="600" t="s">
        <v>6950</v>
      </c>
      <c r="T127" s="600" t="s">
        <v>500</v>
      </c>
      <c r="U127" s="603">
        <v>78.540000000000006</v>
      </c>
      <c r="V127" s="603">
        <v>82.08</v>
      </c>
    </row>
    <row r="128" spans="2:22" x14ac:dyDescent="0.2">
      <c r="B128" s="600" t="s">
        <v>6959</v>
      </c>
      <c r="C128" s="600" t="s">
        <v>6439</v>
      </c>
      <c r="D128" s="602">
        <v>120</v>
      </c>
      <c r="G128" s="600" t="s">
        <v>6941</v>
      </c>
      <c r="H128" s="600" t="s">
        <v>438</v>
      </c>
      <c r="I128" s="603">
        <v>1.6</v>
      </c>
      <c r="J128" s="603">
        <v>2.0299999999999998</v>
      </c>
      <c r="M128" s="600" t="s">
        <v>6955</v>
      </c>
      <c r="N128" s="600" t="s">
        <v>6324</v>
      </c>
      <c r="O128" s="603">
        <v>4.99</v>
      </c>
      <c r="P128" s="603">
        <v>4.95</v>
      </c>
      <c r="S128" s="600" t="s">
        <v>6950</v>
      </c>
      <c r="T128" s="600" t="s">
        <v>225</v>
      </c>
      <c r="U128" s="603">
        <v>16.16</v>
      </c>
      <c r="V128" s="603">
        <v>15.88</v>
      </c>
    </row>
    <row r="129" spans="2:22" x14ac:dyDescent="0.2">
      <c r="B129" s="600" t="s">
        <v>6959</v>
      </c>
      <c r="C129" s="600" t="s">
        <v>6440</v>
      </c>
      <c r="D129" s="602">
        <v>738</v>
      </c>
      <c r="G129" s="600" t="s">
        <v>6941</v>
      </c>
      <c r="H129" s="600" t="s">
        <v>390</v>
      </c>
      <c r="I129" s="603">
        <v>8.66</v>
      </c>
      <c r="J129" s="603">
        <v>7.59</v>
      </c>
      <c r="M129" s="600" t="s">
        <v>6955</v>
      </c>
      <c r="N129" s="600" t="s">
        <v>505</v>
      </c>
      <c r="O129" s="603">
        <v>20.420000000000002</v>
      </c>
      <c r="P129" s="603">
        <v>23.42</v>
      </c>
      <c r="S129" s="600" t="s">
        <v>6950</v>
      </c>
      <c r="T129" s="600" t="s">
        <v>430</v>
      </c>
      <c r="U129" s="603">
        <v>2.65</v>
      </c>
      <c r="V129" s="603">
        <v>1.26</v>
      </c>
    </row>
    <row r="130" spans="2:22" x14ac:dyDescent="0.2">
      <c r="B130" s="600" t="s">
        <v>6959</v>
      </c>
      <c r="C130" s="600" t="s">
        <v>6441</v>
      </c>
      <c r="D130" s="602">
        <v>370</v>
      </c>
      <c r="G130" s="600" t="s">
        <v>6941</v>
      </c>
      <c r="H130" s="600" t="s">
        <v>212</v>
      </c>
      <c r="I130" s="603">
        <v>3.11</v>
      </c>
      <c r="J130" s="603">
        <v>0.37</v>
      </c>
      <c r="M130" s="600" t="s">
        <v>6955</v>
      </c>
      <c r="N130" s="600" t="s">
        <v>506</v>
      </c>
      <c r="O130" s="603">
        <v>2.1800000000000002</v>
      </c>
      <c r="P130" s="603">
        <v>2.35</v>
      </c>
      <c r="S130" s="600" t="s">
        <v>6950</v>
      </c>
      <c r="T130" s="600" t="s">
        <v>501</v>
      </c>
      <c r="U130" s="603">
        <v>1</v>
      </c>
      <c r="V130" s="603">
        <v>0.48</v>
      </c>
    </row>
    <row r="131" spans="2:22" x14ac:dyDescent="0.2">
      <c r="B131" s="600" t="s">
        <v>6959</v>
      </c>
      <c r="C131" s="600" t="s">
        <v>6442</v>
      </c>
      <c r="D131" s="602">
        <v>4796</v>
      </c>
      <c r="G131" s="600" t="s">
        <v>6941</v>
      </c>
      <c r="H131" s="600" t="s">
        <v>419</v>
      </c>
      <c r="I131" s="603">
        <v>7.0000000000000007E-2</v>
      </c>
      <c r="J131" s="603">
        <v>0.02</v>
      </c>
      <c r="M131" s="600" t="s">
        <v>6955</v>
      </c>
      <c r="N131" s="600" t="s">
        <v>507</v>
      </c>
      <c r="O131" s="603">
        <v>0.37</v>
      </c>
      <c r="P131" s="603">
        <v>0.33</v>
      </c>
      <c r="S131" s="600" t="s">
        <v>6950</v>
      </c>
      <c r="T131" s="600" t="s">
        <v>502</v>
      </c>
      <c r="U131" s="603">
        <v>0.02</v>
      </c>
      <c r="V131" s="603">
        <v>0.04</v>
      </c>
    </row>
    <row r="132" spans="2:22" x14ac:dyDescent="0.2">
      <c r="B132" s="600" t="s">
        <v>6960</v>
      </c>
      <c r="C132" s="600" t="s">
        <v>6438</v>
      </c>
      <c r="D132" s="602">
        <v>7</v>
      </c>
      <c r="G132" s="600" t="s">
        <v>6941</v>
      </c>
      <c r="H132" s="600" t="s">
        <v>402</v>
      </c>
      <c r="I132" s="603">
        <v>7.24</v>
      </c>
      <c r="J132" s="603">
        <v>6.71</v>
      </c>
      <c r="M132" s="600" t="s">
        <v>6955</v>
      </c>
      <c r="N132" s="600" t="s">
        <v>6151</v>
      </c>
      <c r="O132" s="603">
        <v>0.35</v>
      </c>
      <c r="P132" s="603">
        <v>0.16</v>
      </c>
      <c r="S132" s="600" t="s">
        <v>6950</v>
      </c>
      <c r="T132" s="600" t="s">
        <v>503</v>
      </c>
      <c r="U132" s="603">
        <v>0.06</v>
      </c>
      <c r="V132" s="603">
        <v>7.0000000000000007E-2</v>
      </c>
    </row>
    <row r="133" spans="2:22" x14ac:dyDescent="0.2">
      <c r="B133" s="600" t="s">
        <v>6960</v>
      </c>
      <c r="C133" s="600" t="s">
        <v>6439</v>
      </c>
      <c r="D133" s="602">
        <v>11</v>
      </c>
      <c r="G133" s="600" t="s">
        <v>6941</v>
      </c>
      <c r="H133" s="600" t="s">
        <v>211</v>
      </c>
      <c r="I133" s="603">
        <v>39.6</v>
      </c>
      <c r="J133" s="603">
        <v>59.84</v>
      </c>
      <c r="M133" s="600" t="s">
        <v>6956</v>
      </c>
      <c r="N133" s="600" t="s">
        <v>404</v>
      </c>
      <c r="O133" s="603">
        <v>58.4</v>
      </c>
      <c r="P133" s="603">
        <v>64.52</v>
      </c>
      <c r="S133" s="600" t="s">
        <v>6950</v>
      </c>
      <c r="T133" s="600" t="s">
        <v>504</v>
      </c>
      <c r="U133" s="603">
        <v>0.08</v>
      </c>
      <c r="V133" s="603">
        <v>0</v>
      </c>
    </row>
    <row r="134" spans="2:22" x14ac:dyDescent="0.2">
      <c r="B134" s="600" t="s">
        <v>6960</v>
      </c>
      <c r="C134" s="600" t="s">
        <v>6440</v>
      </c>
      <c r="D134" s="602">
        <v>96</v>
      </c>
      <c r="G134" s="600" t="s">
        <v>6941</v>
      </c>
      <c r="H134" s="600" t="s">
        <v>210</v>
      </c>
      <c r="I134" s="603">
        <v>1.88</v>
      </c>
      <c r="J134" s="603">
        <v>0.75</v>
      </c>
      <c r="M134" s="600" t="s">
        <v>6956</v>
      </c>
      <c r="N134" s="600" t="s">
        <v>6324</v>
      </c>
      <c r="O134" s="603">
        <v>5.46</v>
      </c>
      <c r="P134" s="603">
        <v>5</v>
      </c>
      <c r="S134" s="600" t="s">
        <v>6950</v>
      </c>
      <c r="T134" s="600" t="s">
        <v>6151</v>
      </c>
      <c r="U134" s="603">
        <v>1.49</v>
      </c>
      <c r="V134" s="603">
        <v>0.18</v>
      </c>
    </row>
    <row r="135" spans="2:22" x14ac:dyDescent="0.2">
      <c r="B135" s="600" t="s">
        <v>6960</v>
      </c>
      <c r="C135" s="600" t="s">
        <v>6441</v>
      </c>
      <c r="D135" s="602">
        <v>65</v>
      </c>
      <c r="G135" s="600" t="s">
        <v>6941</v>
      </c>
      <c r="H135" s="600" t="s">
        <v>209</v>
      </c>
      <c r="I135" s="603">
        <v>0.32</v>
      </c>
      <c r="J135" s="603">
        <v>0.83</v>
      </c>
      <c r="M135" s="600" t="s">
        <v>6956</v>
      </c>
      <c r="N135" s="600" t="s">
        <v>505</v>
      </c>
      <c r="O135" s="603">
        <v>23.32</v>
      </c>
      <c r="P135" s="603">
        <v>24.05</v>
      </c>
      <c r="S135" s="600" t="s">
        <v>6951</v>
      </c>
      <c r="T135" s="600" t="s">
        <v>500</v>
      </c>
      <c r="U135" s="603">
        <v>76.040000000000006</v>
      </c>
      <c r="V135" s="603">
        <v>77.89</v>
      </c>
    </row>
    <row r="136" spans="2:22" x14ac:dyDescent="0.2">
      <c r="B136" s="600" t="s">
        <v>6960</v>
      </c>
      <c r="C136" s="600" t="s">
        <v>6442</v>
      </c>
      <c r="D136" s="602">
        <v>660</v>
      </c>
      <c r="G136" s="600" t="s">
        <v>6941</v>
      </c>
      <c r="H136" s="600" t="s">
        <v>207</v>
      </c>
      <c r="I136" s="603">
        <v>12.69</v>
      </c>
      <c r="J136" s="603">
        <v>1.29</v>
      </c>
      <c r="M136" s="600" t="s">
        <v>6956</v>
      </c>
      <c r="N136" s="600" t="s">
        <v>506</v>
      </c>
      <c r="O136" s="603">
        <v>8.07</v>
      </c>
      <c r="P136" s="603">
        <v>5</v>
      </c>
      <c r="S136" s="600" t="s">
        <v>6951</v>
      </c>
      <c r="T136" s="600" t="s">
        <v>225</v>
      </c>
      <c r="U136" s="603">
        <v>19.09</v>
      </c>
      <c r="V136" s="603">
        <v>18.32</v>
      </c>
    </row>
    <row r="137" spans="2:22" x14ac:dyDescent="0.2">
      <c r="B137" s="600" t="s">
        <v>6961</v>
      </c>
      <c r="C137" s="600" t="s">
        <v>6438</v>
      </c>
      <c r="D137" s="602">
        <v>33</v>
      </c>
      <c r="G137" s="600" t="s">
        <v>6941</v>
      </c>
      <c r="H137" s="600" t="s">
        <v>206</v>
      </c>
      <c r="I137" s="603">
        <v>0.02</v>
      </c>
      <c r="J137" s="603">
        <v>0.01</v>
      </c>
      <c r="M137" s="600" t="s">
        <v>6956</v>
      </c>
      <c r="N137" s="600" t="s">
        <v>507</v>
      </c>
      <c r="O137" s="603">
        <v>1.68</v>
      </c>
      <c r="P137" s="603">
        <v>1.43</v>
      </c>
      <c r="S137" s="600" t="s">
        <v>6951</v>
      </c>
      <c r="T137" s="600" t="s">
        <v>430</v>
      </c>
      <c r="U137" s="603">
        <v>2.96</v>
      </c>
      <c r="V137" s="603">
        <v>2.35</v>
      </c>
    </row>
    <row r="138" spans="2:22" x14ac:dyDescent="0.2">
      <c r="B138" s="600" t="s">
        <v>6961</v>
      </c>
      <c r="C138" s="600" t="s">
        <v>6439</v>
      </c>
      <c r="D138" s="602">
        <v>96</v>
      </c>
      <c r="G138" s="600" t="s">
        <v>6941</v>
      </c>
      <c r="H138" s="600" t="s">
        <v>313</v>
      </c>
      <c r="I138" s="603">
        <v>0.3</v>
      </c>
      <c r="J138" s="603">
        <v>0.67</v>
      </c>
      <c r="M138" s="600" t="s">
        <v>6956</v>
      </c>
      <c r="N138" s="600" t="s">
        <v>6151</v>
      </c>
      <c r="O138" s="603">
        <v>3.07</v>
      </c>
      <c r="P138" s="603">
        <v>0</v>
      </c>
      <c r="S138" s="600" t="s">
        <v>6951</v>
      </c>
      <c r="T138" s="600" t="s">
        <v>501</v>
      </c>
      <c r="U138" s="603">
        <v>0.76</v>
      </c>
      <c r="V138" s="603">
        <v>0.41</v>
      </c>
    </row>
    <row r="139" spans="2:22" x14ac:dyDescent="0.2">
      <c r="B139" s="600" t="s">
        <v>6961</v>
      </c>
      <c r="C139" s="600" t="s">
        <v>6440</v>
      </c>
      <c r="D139" s="602">
        <v>750</v>
      </c>
      <c r="G139" s="600" t="s">
        <v>6941</v>
      </c>
      <c r="H139" s="600" t="s">
        <v>497</v>
      </c>
      <c r="I139" s="603">
        <v>0</v>
      </c>
      <c r="J139" s="603">
        <v>0</v>
      </c>
      <c r="M139" s="600" t="s">
        <v>6957</v>
      </c>
      <c r="N139" s="600" t="s">
        <v>404</v>
      </c>
      <c r="O139" s="603">
        <v>59.95</v>
      </c>
      <c r="P139" s="603">
        <v>67.44</v>
      </c>
      <c r="S139" s="600" t="s">
        <v>6951</v>
      </c>
      <c r="T139" s="600" t="s">
        <v>502</v>
      </c>
      <c r="U139" s="603">
        <v>0.05</v>
      </c>
      <c r="V139" s="603">
        <v>0.2</v>
      </c>
    </row>
    <row r="140" spans="2:22" x14ac:dyDescent="0.2">
      <c r="B140" s="600" t="s">
        <v>6961</v>
      </c>
      <c r="C140" s="600" t="s">
        <v>6441</v>
      </c>
      <c r="D140" s="602">
        <v>404</v>
      </c>
      <c r="G140" s="600" t="s">
        <v>6941</v>
      </c>
      <c r="H140" s="600" t="s">
        <v>416</v>
      </c>
      <c r="I140" s="603">
        <v>15</v>
      </c>
      <c r="J140" s="603">
        <v>11.14</v>
      </c>
      <c r="M140" s="600" t="s">
        <v>6957</v>
      </c>
      <c r="N140" s="600" t="s">
        <v>6324</v>
      </c>
      <c r="O140" s="603">
        <v>7.81</v>
      </c>
      <c r="P140" s="603">
        <v>6.98</v>
      </c>
      <c r="S140" s="600" t="s">
        <v>6951</v>
      </c>
      <c r="T140" s="600" t="s">
        <v>503</v>
      </c>
      <c r="U140" s="603">
        <v>0</v>
      </c>
      <c r="V140" s="603">
        <v>0</v>
      </c>
    </row>
    <row r="141" spans="2:22" x14ac:dyDescent="0.2">
      <c r="B141" s="600" t="s">
        <v>6961</v>
      </c>
      <c r="C141" s="600" t="s">
        <v>6442</v>
      </c>
      <c r="D141" s="602">
        <v>4549</v>
      </c>
      <c r="G141" s="600" t="s">
        <v>6941</v>
      </c>
      <c r="H141" s="600" t="s">
        <v>449</v>
      </c>
      <c r="I141" s="603">
        <v>0.39</v>
      </c>
      <c r="J141" s="603">
        <v>7.0000000000000007E-2</v>
      </c>
      <c r="M141" s="600" t="s">
        <v>6957</v>
      </c>
      <c r="N141" s="600" t="s">
        <v>505</v>
      </c>
      <c r="O141" s="603">
        <v>18.8</v>
      </c>
      <c r="P141" s="603">
        <v>16.86</v>
      </c>
      <c r="S141" s="600" t="s">
        <v>6951</v>
      </c>
      <c r="T141" s="600" t="s">
        <v>504</v>
      </c>
      <c r="U141" s="603">
        <v>0.18</v>
      </c>
      <c r="V141" s="603">
        <v>0.2</v>
      </c>
    </row>
    <row r="142" spans="2:22" x14ac:dyDescent="0.2">
      <c r="B142" s="600" t="s">
        <v>6962</v>
      </c>
      <c r="C142" s="600" t="s">
        <v>6438</v>
      </c>
      <c r="D142" s="602">
        <v>3</v>
      </c>
      <c r="G142" s="600" t="s">
        <v>6941</v>
      </c>
      <c r="H142" s="600" t="s">
        <v>498</v>
      </c>
      <c r="I142" s="603">
        <v>0</v>
      </c>
      <c r="J142" s="603">
        <v>0</v>
      </c>
      <c r="M142" s="600" t="s">
        <v>6957</v>
      </c>
      <c r="N142" s="600" t="s">
        <v>506</v>
      </c>
      <c r="O142" s="603">
        <v>6.72</v>
      </c>
      <c r="P142" s="603">
        <v>6.98</v>
      </c>
      <c r="S142" s="600" t="s">
        <v>6951</v>
      </c>
      <c r="T142" s="600" t="s">
        <v>6151</v>
      </c>
      <c r="U142" s="603">
        <v>0.92</v>
      </c>
      <c r="V142" s="603">
        <v>0.61</v>
      </c>
    </row>
    <row r="143" spans="2:22" x14ac:dyDescent="0.2">
      <c r="B143" s="600" t="s">
        <v>6962</v>
      </c>
      <c r="C143" s="600" t="s">
        <v>6439</v>
      </c>
      <c r="D143" s="602">
        <v>19</v>
      </c>
      <c r="G143" s="600" t="s">
        <v>6941</v>
      </c>
      <c r="H143" s="600" t="s">
        <v>202</v>
      </c>
      <c r="I143" s="603">
        <v>1.03</v>
      </c>
      <c r="J143" s="603">
        <v>1.69</v>
      </c>
      <c r="M143" s="600" t="s">
        <v>6957</v>
      </c>
      <c r="N143" s="600" t="s">
        <v>507</v>
      </c>
      <c r="O143" s="603">
        <v>3.66</v>
      </c>
      <c r="P143" s="603">
        <v>1.74</v>
      </c>
      <c r="S143" s="600" t="s">
        <v>6952</v>
      </c>
      <c r="T143" s="600" t="s">
        <v>500</v>
      </c>
      <c r="U143" s="603">
        <v>76.58</v>
      </c>
      <c r="V143" s="603">
        <v>78.44</v>
      </c>
    </row>
    <row r="144" spans="2:22" x14ac:dyDescent="0.2">
      <c r="B144" s="600" t="s">
        <v>6962</v>
      </c>
      <c r="C144" s="600" t="s">
        <v>6440</v>
      </c>
      <c r="D144" s="602">
        <v>99</v>
      </c>
      <c r="G144" s="600" t="s">
        <v>6941</v>
      </c>
      <c r="H144" s="600" t="s">
        <v>409</v>
      </c>
      <c r="I144" s="603">
        <v>1.32</v>
      </c>
      <c r="J144" s="603">
        <v>0.63</v>
      </c>
      <c r="M144" s="600" t="s">
        <v>6957</v>
      </c>
      <c r="N144" s="600" t="s">
        <v>6151</v>
      </c>
      <c r="O144" s="603">
        <v>3.05</v>
      </c>
      <c r="P144" s="603">
        <v>0</v>
      </c>
      <c r="S144" s="600" t="s">
        <v>6952</v>
      </c>
      <c r="T144" s="600" t="s">
        <v>225</v>
      </c>
      <c r="U144" s="603">
        <v>18.07</v>
      </c>
      <c r="V144" s="603">
        <v>18.27</v>
      </c>
    </row>
    <row r="145" spans="2:22" x14ac:dyDescent="0.2">
      <c r="B145" s="600" t="s">
        <v>6962</v>
      </c>
      <c r="C145" s="600" t="s">
        <v>6441</v>
      </c>
      <c r="D145" s="602">
        <v>55</v>
      </c>
      <c r="G145" s="600" t="s">
        <v>6941</v>
      </c>
      <c r="H145" s="600" t="s">
        <v>230</v>
      </c>
      <c r="I145" s="603">
        <v>4.21</v>
      </c>
      <c r="J145" s="603">
        <v>4.58</v>
      </c>
      <c r="M145" s="600" t="s">
        <v>6958</v>
      </c>
      <c r="N145" s="600" t="s">
        <v>404</v>
      </c>
      <c r="O145" s="603">
        <v>60.58</v>
      </c>
      <c r="P145" s="603">
        <v>56.15</v>
      </c>
      <c r="S145" s="600" t="s">
        <v>6952</v>
      </c>
      <c r="T145" s="600" t="s">
        <v>430</v>
      </c>
      <c r="U145" s="603">
        <v>2.97</v>
      </c>
      <c r="V145" s="603">
        <v>1.96</v>
      </c>
    </row>
    <row r="146" spans="2:22" x14ac:dyDescent="0.2">
      <c r="B146" s="600" t="s">
        <v>6962</v>
      </c>
      <c r="C146" s="600" t="s">
        <v>6442</v>
      </c>
      <c r="D146" s="602">
        <v>649</v>
      </c>
      <c r="G146" s="600" t="s">
        <v>6941</v>
      </c>
      <c r="H146" s="600" t="s">
        <v>860</v>
      </c>
      <c r="I146" s="603">
        <v>2.1800000000000002</v>
      </c>
      <c r="J146" s="603">
        <v>1.64</v>
      </c>
      <c r="M146" s="600" t="s">
        <v>6958</v>
      </c>
      <c r="N146" s="600" t="s">
        <v>6324</v>
      </c>
      <c r="O146" s="603">
        <v>6.69</v>
      </c>
      <c r="P146" s="603">
        <v>8.4600000000000009</v>
      </c>
      <c r="S146" s="600" t="s">
        <v>6952</v>
      </c>
      <c r="T146" s="600" t="s">
        <v>501</v>
      </c>
      <c r="U146" s="603">
        <v>1.05</v>
      </c>
      <c r="V146" s="603">
        <v>0.78</v>
      </c>
    </row>
    <row r="147" spans="2:22" x14ac:dyDescent="0.2">
      <c r="B147" s="600" t="s">
        <v>6963</v>
      </c>
      <c r="C147" s="600" t="s">
        <v>6438</v>
      </c>
      <c r="D147" s="602">
        <v>30</v>
      </c>
      <c r="G147" s="600" t="s">
        <v>6942</v>
      </c>
      <c r="H147" s="600" t="s">
        <v>401</v>
      </c>
      <c r="I147" s="603">
        <v>0.77</v>
      </c>
      <c r="J147" s="603">
        <v>0</v>
      </c>
      <c r="M147" s="600" t="s">
        <v>6958</v>
      </c>
      <c r="N147" s="600" t="s">
        <v>505</v>
      </c>
      <c r="O147" s="603">
        <v>25.49</v>
      </c>
      <c r="P147" s="603">
        <v>27.69</v>
      </c>
      <c r="S147" s="600" t="s">
        <v>6952</v>
      </c>
      <c r="T147" s="600" t="s">
        <v>502</v>
      </c>
      <c r="U147" s="603">
        <v>0.05</v>
      </c>
      <c r="V147" s="603">
        <v>0.06</v>
      </c>
    </row>
    <row r="148" spans="2:22" x14ac:dyDescent="0.2">
      <c r="B148" s="600" t="s">
        <v>6963</v>
      </c>
      <c r="C148" s="600" t="s">
        <v>6439</v>
      </c>
      <c r="D148" s="602">
        <v>117</v>
      </c>
      <c r="G148" s="600" t="s">
        <v>6942</v>
      </c>
      <c r="H148" s="600" t="s">
        <v>438</v>
      </c>
      <c r="I148" s="603">
        <v>4.0199999999999996</v>
      </c>
      <c r="J148" s="603">
        <v>8.8699999999999992</v>
      </c>
      <c r="M148" s="600" t="s">
        <v>6958</v>
      </c>
      <c r="N148" s="600" t="s">
        <v>506</v>
      </c>
      <c r="O148" s="603">
        <v>5.29</v>
      </c>
      <c r="P148" s="603">
        <v>6.92</v>
      </c>
      <c r="S148" s="600" t="s">
        <v>6952</v>
      </c>
      <c r="T148" s="600" t="s">
        <v>503</v>
      </c>
      <c r="U148" s="603">
        <v>7.0000000000000007E-2</v>
      </c>
      <c r="V148" s="603">
        <v>7.0000000000000007E-2</v>
      </c>
    </row>
    <row r="149" spans="2:22" x14ac:dyDescent="0.2">
      <c r="B149" s="600" t="s">
        <v>6963</v>
      </c>
      <c r="C149" s="600" t="s">
        <v>6440</v>
      </c>
      <c r="D149" s="602">
        <v>576</v>
      </c>
      <c r="G149" s="600" t="s">
        <v>6942</v>
      </c>
      <c r="H149" s="600" t="s">
        <v>390</v>
      </c>
      <c r="I149" s="603">
        <v>41.19</v>
      </c>
      <c r="J149" s="603">
        <v>37.9</v>
      </c>
      <c r="M149" s="600" t="s">
        <v>6958</v>
      </c>
      <c r="N149" s="600" t="s">
        <v>507</v>
      </c>
      <c r="O149" s="603">
        <v>1.1100000000000001</v>
      </c>
      <c r="P149" s="603">
        <v>0.77</v>
      </c>
      <c r="S149" s="600" t="s">
        <v>6952</v>
      </c>
      <c r="T149" s="600" t="s">
        <v>504</v>
      </c>
      <c r="U149" s="603">
        <v>0.14000000000000001</v>
      </c>
      <c r="V149" s="603">
        <v>0.13</v>
      </c>
    </row>
    <row r="150" spans="2:22" x14ac:dyDescent="0.2">
      <c r="B150" s="600" t="s">
        <v>6963</v>
      </c>
      <c r="C150" s="600" t="s">
        <v>6441</v>
      </c>
      <c r="D150" s="602">
        <v>290</v>
      </c>
      <c r="G150" s="600" t="s">
        <v>6942</v>
      </c>
      <c r="H150" s="600" t="s">
        <v>212</v>
      </c>
      <c r="I150" s="603">
        <v>6.51</v>
      </c>
      <c r="J150" s="603">
        <v>3.23</v>
      </c>
      <c r="M150" s="600" t="s">
        <v>6958</v>
      </c>
      <c r="N150" s="600" t="s">
        <v>6151</v>
      </c>
      <c r="O150" s="603">
        <v>0.84</v>
      </c>
      <c r="P150" s="603">
        <v>0</v>
      </c>
      <c r="S150" s="600" t="s">
        <v>6952</v>
      </c>
      <c r="T150" s="600" t="s">
        <v>6151</v>
      </c>
      <c r="U150" s="603">
        <v>1.07</v>
      </c>
      <c r="V150" s="603">
        <v>0.28999999999999998</v>
      </c>
    </row>
    <row r="151" spans="2:22" x14ac:dyDescent="0.2">
      <c r="B151" s="600" t="s">
        <v>6963</v>
      </c>
      <c r="C151" s="600" t="s">
        <v>6442</v>
      </c>
      <c r="D151" s="602">
        <v>4001</v>
      </c>
      <c r="G151" s="600" t="s">
        <v>6942</v>
      </c>
      <c r="H151" s="600" t="s">
        <v>419</v>
      </c>
      <c r="I151" s="603">
        <v>0</v>
      </c>
      <c r="J151" s="603">
        <v>0</v>
      </c>
      <c r="M151" s="600" t="s">
        <v>6959</v>
      </c>
      <c r="N151" s="600" t="s">
        <v>404</v>
      </c>
      <c r="O151" s="603">
        <v>53.06</v>
      </c>
      <c r="P151" s="603">
        <v>57.22</v>
      </c>
      <c r="S151" s="600" t="s">
        <v>6953</v>
      </c>
      <c r="T151" s="600" t="s">
        <v>500</v>
      </c>
      <c r="U151" s="603">
        <v>78.069999999999993</v>
      </c>
      <c r="V151" s="603">
        <v>79.7</v>
      </c>
    </row>
    <row r="152" spans="2:22" x14ac:dyDescent="0.2">
      <c r="B152" s="600" t="s">
        <v>6964</v>
      </c>
      <c r="C152" s="600" t="s">
        <v>6438</v>
      </c>
      <c r="D152" s="602">
        <v>1781</v>
      </c>
      <c r="G152" s="600" t="s">
        <v>6942</v>
      </c>
      <c r="H152" s="600" t="s">
        <v>402</v>
      </c>
      <c r="I152" s="603">
        <v>8.43</v>
      </c>
      <c r="J152" s="603">
        <v>5.65</v>
      </c>
      <c r="M152" s="600" t="s">
        <v>6959</v>
      </c>
      <c r="N152" s="600" t="s">
        <v>6324</v>
      </c>
      <c r="O152" s="603">
        <v>5.07</v>
      </c>
      <c r="P152" s="603">
        <v>5.0199999999999996</v>
      </c>
      <c r="S152" s="600" t="s">
        <v>6953</v>
      </c>
      <c r="T152" s="600" t="s">
        <v>225</v>
      </c>
      <c r="U152" s="603">
        <v>17.05</v>
      </c>
      <c r="V152" s="603">
        <v>17.5</v>
      </c>
    </row>
    <row r="153" spans="2:22" x14ac:dyDescent="0.2">
      <c r="B153" s="600" t="s">
        <v>6964</v>
      </c>
      <c r="C153" s="600" t="s">
        <v>6439</v>
      </c>
      <c r="D153" s="602">
        <v>7705</v>
      </c>
      <c r="G153" s="600" t="s">
        <v>6942</v>
      </c>
      <c r="H153" s="600" t="s">
        <v>211</v>
      </c>
      <c r="I153" s="603">
        <v>10.73</v>
      </c>
      <c r="J153" s="603">
        <v>12.1</v>
      </c>
      <c r="M153" s="600" t="s">
        <v>6959</v>
      </c>
      <c r="N153" s="600" t="s">
        <v>505</v>
      </c>
      <c r="O153" s="603">
        <v>3.77</v>
      </c>
      <c r="P153" s="603">
        <v>2.83</v>
      </c>
      <c r="S153" s="600" t="s">
        <v>6953</v>
      </c>
      <c r="T153" s="600" t="s">
        <v>430</v>
      </c>
      <c r="U153" s="603">
        <v>2.6</v>
      </c>
      <c r="V153" s="603">
        <v>1.68</v>
      </c>
    </row>
    <row r="154" spans="2:22" x14ac:dyDescent="0.2">
      <c r="B154" s="600" t="s">
        <v>6964</v>
      </c>
      <c r="C154" s="600" t="s">
        <v>6440</v>
      </c>
      <c r="D154" s="602">
        <v>28723</v>
      </c>
      <c r="G154" s="600" t="s">
        <v>6942</v>
      </c>
      <c r="H154" s="600" t="s">
        <v>210</v>
      </c>
      <c r="I154" s="603">
        <v>0.96</v>
      </c>
      <c r="J154" s="603">
        <v>0</v>
      </c>
      <c r="M154" s="600" t="s">
        <v>6959</v>
      </c>
      <c r="N154" s="600" t="s">
        <v>506</v>
      </c>
      <c r="O154" s="603">
        <v>37.79</v>
      </c>
      <c r="P154" s="603">
        <v>34.85</v>
      </c>
      <c r="S154" s="600" t="s">
        <v>6953</v>
      </c>
      <c r="T154" s="600" t="s">
        <v>501</v>
      </c>
      <c r="U154" s="603">
        <v>0.83</v>
      </c>
      <c r="V154" s="603">
        <v>0.56999999999999995</v>
      </c>
    </row>
    <row r="155" spans="2:22" x14ac:dyDescent="0.2">
      <c r="B155" s="600" t="s">
        <v>6964</v>
      </c>
      <c r="C155" s="600" t="s">
        <v>6441</v>
      </c>
      <c r="D155" s="602">
        <v>12407</v>
      </c>
      <c r="G155" s="600" t="s">
        <v>6942</v>
      </c>
      <c r="H155" s="600" t="s">
        <v>209</v>
      </c>
      <c r="I155" s="603">
        <v>0.96</v>
      </c>
      <c r="J155" s="603">
        <v>4.03</v>
      </c>
      <c r="M155" s="600" t="s">
        <v>6959</v>
      </c>
      <c r="N155" s="600" t="s">
        <v>507</v>
      </c>
      <c r="O155" s="603">
        <v>0.21</v>
      </c>
      <c r="P155" s="603">
        <v>0.08</v>
      </c>
      <c r="S155" s="600" t="s">
        <v>6953</v>
      </c>
      <c r="T155" s="600" t="s">
        <v>502</v>
      </c>
      <c r="U155" s="603">
        <v>0.04</v>
      </c>
      <c r="V155" s="603">
        <v>0.03</v>
      </c>
    </row>
    <row r="156" spans="2:22" x14ac:dyDescent="0.2">
      <c r="B156" s="600" t="s">
        <v>6964</v>
      </c>
      <c r="C156" s="600" t="s">
        <v>6442</v>
      </c>
      <c r="D156" s="602">
        <v>131306</v>
      </c>
      <c r="G156" s="600" t="s">
        <v>6942</v>
      </c>
      <c r="H156" s="600" t="s">
        <v>207</v>
      </c>
      <c r="I156" s="603">
        <v>4.79</v>
      </c>
      <c r="J156" s="603">
        <v>0</v>
      </c>
      <c r="M156" s="600" t="s">
        <v>6959</v>
      </c>
      <c r="N156" s="600" t="s">
        <v>6151</v>
      </c>
      <c r="O156" s="603">
        <v>0.08</v>
      </c>
      <c r="P156" s="603">
        <v>0</v>
      </c>
      <c r="S156" s="600" t="s">
        <v>6953</v>
      </c>
      <c r="T156" s="600" t="s">
        <v>503</v>
      </c>
      <c r="U156" s="603">
        <v>0.06</v>
      </c>
      <c r="V156" s="603">
        <v>0.04</v>
      </c>
    </row>
    <row r="157" spans="2:22" x14ac:dyDescent="0.2">
      <c r="B157" s="600" t="s">
        <v>6965</v>
      </c>
      <c r="C157" s="600" t="s">
        <v>6438</v>
      </c>
      <c r="D157" s="602">
        <v>81</v>
      </c>
      <c r="G157" s="600" t="s">
        <v>6942</v>
      </c>
      <c r="H157" s="600" t="s">
        <v>206</v>
      </c>
      <c r="I157" s="603">
        <v>0</v>
      </c>
      <c r="J157" s="603">
        <v>0</v>
      </c>
      <c r="M157" s="600" t="s">
        <v>6960</v>
      </c>
      <c r="N157" s="600" t="s">
        <v>404</v>
      </c>
      <c r="O157" s="603">
        <v>59.48</v>
      </c>
      <c r="P157" s="603">
        <v>64.8</v>
      </c>
      <c r="S157" s="600" t="s">
        <v>6953</v>
      </c>
      <c r="T157" s="600" t="s">
        <v>504</v>
      </c>
      <c r="U157" s="603">
        <v>0.1</v>
      </c>
      <c r="V157" s="603">
        <v>0.09</v>
      </c>
    </row>
    <row r="158" spans="2:22" x14ac:dyDescent="0.2">
      <c r="B158" s="600" t="s">
        <v>6965</v>
      </c>
      <c r="C158" s="600" t="s">
        <v>6439</v>
      </c>
      <c r="D158" s="602">
        <v>330</v>
      </c>
      <c r="G158" s="600" t="s">
        <v>6942</v>
      </c>
      <c r="H158" s="600" t="s">
        <v>313</v>
      </c>
      <c r="I158" s="603">
        <v>0.38</v>
      </c>
      <c r="J158" s="603">
        <v>1.61</v>
      </c>
      <c r="M158" s="600" t="s">
        <v>6960</v>
      </c>
      <c r="N158" s="600" t="s">
        <v>6324</v>
      </c>
      <c r="O158" s="603">
        <v>4.8899999999999997</v>
      </c>
      <c r="P158" s="603">
        <v>5.59</v>
      </c>
      <c r="S158" s="600" t="s">
        <v>6953</v>
      </c>
      <c r="T158" s="600" t="s">
        <v>6151</v>
      </c>
      <c r="U158" s="603">
        <v>1.25</v>
      </c>
      <c r="V158" s="603">
        <v>0.39</v>
      </c>
    </row>
    <row r="159" spans="2:22" x14ac:dyDescent="0.2">
      <c r="B159" s="600" t="s">
        <v>6965</v>
      </c>
      <c r="C159" s="600" t="s">
        <v>6440</v>
      </c>
      <c r="D159" s="602">
        <v>1452</v>
      </c>
      <c r="G159" s="600" t="s">
        <v>6942</v>
      </c>
      <c r="H159" s="600" t="s">
        <v>497</v>
      </c>
      <c r="I159" s="603">
        <v>0</v>
      </c>
      <c r="J159" s="603">
        <v>0</v>
      </c>
      <c r="M159" s="600" t="s">
        <v>6960</v>
      </c>
      <c r="N159" s="600" t="s">
        <v>505</v>
      </c>
      <c r="O159" s="603">
        <v>8.4600000000000009</v>
      </c>
      <c r="P159" s="603">
        <v>6.7</v>
      </c>
      <c r="S159" s="600" t="s">
        <v>6954</v>
      </c>
      <c r="T159" s="600" t="s">
        <v>500</v>
      </c>
      <c r="U159" s="603">
        <v>77.03</v>
      </c>
      <c r="V159" s="603">
        <v>78.709999999999994</v>
      </c>
    </row>
    <row r="160" spans="2:22" x14ac:dyDescent="0.2">
      <c r="B160" s="600" t="s">
        <v>6965</v>
      </c>
      <c r="C160" s="600" t="s">
        <v>6441</v>
      </c>
      <c r="D160" s="602">
        <v>677</v>
      </c>
      <c r="G160" s="600" t="s">
        <v>6942</v>
      </c>
      <c r="H160" s="600" t="s">
        <v>416</v>
      </c>
      <c r="I160" s="603">
        <v>7.66</v>
      </c>
      <c r="J160" s="603">
        <v>11.29</v>
      </c>
      <c r="M160" s="600" t="s">
        <v>6960</v>
      </c>
      <c r="N160" s="600" t="s">
        <v>506</v>
      </c>
      <c r="O160" s="603">
        <v>26.94</v>
      </c>
      <c r="P160" s="603">
        <v>21.79</v>
      </c>
      <c r="S160" s="600" t="s">
        <v>6954</v>
      </c>
      <c r="T160" s="600" t="s">
        <v>225</v>
      </c>
      <c r="U160" s="603">
        <v>19.47</v>
      </c>
      <c r="V160" s="603">
        <v>19.07</v>
      </c>
    </row>
    <row r="161" spans="2:22" x14ac:dyDescent="0.2">
      <c r="B161" s="600" t="s">
        <v>6965</v>
      </c>
      <c r="C161" s="600" t="s">
        <v>6442</v>
      </c>
      <c r="D161" s="602">
        <v>7540</v>
      </c>
      <c r="G161" s="600" t="s">
        <v>6942</v>
      </c>
      <c r="H161" s="600" t="s">
        <v>449</v>
      </c>
      <c r="I161" s="603">
        <v>0.19</v>
      </c>
      <c r="J161" s="603">
        <v>0</v>
      </c>
      <c r="M161" s="600" t="s">
        <v>6960</v>
      </c>
      <c r="N161" s="600" t="s">
        <v>507</v>
      </c>
      <c r="O161" s="603">
        <v>0.24</v>
      </c>
      <c r="P161" s="603">
        <v>1.1200000000000001</v>
      </c>
      <c r="S161" s="600" t="s">
        <v>6954</v>
      </c>
      <c r="T161" s="600" t="s">
        <v>430</v>
      </c>
      <c r="U161" s="603">
        <v>2.19</v>
      </c>
      <c r="V161" s="603">
        <v>1.3</v>
      </c>
    </row>
    <row r="162" spans="2:22" x14ac:dyDescent="0.2">
      <c r="B162" s="600" t="s">
        <v>6966</v>
      </c>
      <c r="C162" s="600" t="s">
        <v>6438</v>
      </c>
      <c r="D162" s="602">
        <v>27</v>
      </c>
      <c r="G162" s="600" t="s">
        <v>6942</v>
      </c>
      <c r="H162" s="600" t="s">
        <v>498</v>
      </c>
      <c r="I162" s="603">
        <v>0</v>
      </c>
      <c r="J162" s="603">
        <v>0</v>
      </c>
      <c r="M162" s="600" t="s">
        <v>6960</v>
      </c>
      <c r="N162" s="600" t="s">
        <v>6151</v>
      </c>
      <c r="O162" s="603">
        <v>0</v>
      </c>
      <c r="P162" s="603">
        <v>0</v>
      </c>
      <c r="S162" s="600" t="s">
        <v>6954</v>
      </c>
      <c r="T162" s="600" t="s">
        <v>501</v>
      </c>
      <c r="U162" s="603">
        <v>0.74</v>
      </c>
      <c r="V162" s="603">
        <v>0.54</v>
      </c>
    </row>
    <row r="163" spans="2:22" x14ac:dyDescent="0.2">
      <c r="B163" s="600" t="s">
        <v>6966</v>
      </c>
      <c r="C163" s="600" t="s">
        <v>6439</v>
      </c>
      <c r="D163" s="602">
        <v>114</v>
      </c>
      <c r="G163" s="600" t="s">
        <v>6942</v>
      </c>
      <c r="H163" s="600" t="s">
        <v>202</v>
      </c>
      <c r="I163" s="603">
        <v>0.56999999999999995</v>
      </c>
      <c r="J163" s="603">
        <v>2.42</v>
      </c>
      <c r="M163" s="600" t="s">
        <v>6961</v>
      </c>
      <c r="N163" s="600" t="s">
        <v>404</v>
      </c>
      <c r="O163" s="603">
        <v>55.25</v>
      </c>
      <c r="P163" s="603">
        <v>58.38</v>
      </c>
      <c r="S163" s="600" t="s">
        <v>6954</v>
      </c>
      <c r="T163" s="600" t="s">
        <v>502</v>
      </c>
      <c r="U163" s="603">
        <v>0.01</v>
      </c>
      <c r="V163" s="603">
        <v>0.02</v>
      </c>
    </row>
    <row r="164" spans="2:22" x14ac:dyDescent="0.2">
      <c r="B164" s="600" t="s">
        <v>6966</v>
      </c>
      <c r="C164" s="600" t="s">
        <v>6440</v>
      </c>
      <c r="D164" s="602">
        <v>602</v>
      </c>
      <c r="G164" s="600" t="s">
        <v>6942</v>
      </c>
      <c r="H164" s="600" t="s">
        <v>409</v>
      </c>
      <c r="I164" s="603">
        <v>1.1499999999999999</v>
      </c>
      <c r="J164" s="603">
        <v>0</v>
      </c>
      <c r="M164" s="600" t="s">
        <v>6961</v>
      </c>
      <c r="N164" s="600" t="s">
        <v>6324</v>
      </c>
      <c r="O164" s="603">
        <v>5.04</v>
      </c>
      <c r="P164" s="603">
        <v>5.07</v>
      </c>
      <c r="S164" s="600" t="s">
        <v>6954</v>
      </c>
      <c r="T164" s="600" t="s">
        <v>503</v>
      </c>
      <c r="U164" s="603">
        <v>0.04</v>
      </c>
      <c r="V164" s="603">
        <v>0.04</v>
      </c>
    </row>
    <row r="165" spans="2:22" x14ac:dyDescent="0.2">
      <c r="B165" s="600" t="s">
        <v>6966</v>
      </c>
      <c r="C165" s="600" t="s">
        <v>6441</v>
      </c>
      <c r="D165" s="602">
        <v>367</v>
      </c>
      <c r="G165" s="600" t="s">
        <v>6942</v>
      </c>
      <c r="H165" s="600" t="s">
        <v>230</v>
      </c>
      <c r="I165" s="603">
        <v>7.09</v>
      </c>
      <c r="J165" s="603">
        <v>9.68</v>
      </c>
      <c r="M165" s="600" t="s">
        <v>6961</v>
      </c>
      <c r="N165" s="600" t="s">
        <v>505</v>
      </c>
      <c r="O165" s="603">
        <v>3.53</v>
      </c>
      <c r="P165" s="603">
        <v>2.34</v>
      </c>
      <c r="S165" s="600" t="s">
        <v>6954</v>
      </c>
      <c r="T165" s="600" t="s">
        <v>504</v>
      </c>
      <c r="U165" s="603">
        <v>0.09</v>
      </c>
      <c r="V165" s="603">
        <v>0.05</v>
      </c>
    </row>
    <row r="166" spans="2:22" x14ac:dyDescent="0.2">
      <c r="B166" s="600" t="s">
        <v>6966</v>
      </c>
      <c r="C166" s="600" t="s">
        <v>6442</v>
      </c>
      <c r="D166" s="602">
        <v>3360</v>
      </c>
      <c r="G166" s="600" t="s">
        <v>6942</v>
      </c>
      <c r="H166" s="600" t="s">
        <v>860</v>
      </c>
      <c r="I166" s="603">
        <v>4.5999999999999996</v>
      </c>
      <c r="J166" s="603">
        <v>3.23</v>
      </c>
      <c r="M166" s="600" t="s">
        <v>6961</v>
      </c>
      <c r="N166" s="600" t="s">
        <v>506</v>
      </c>
      <c r="O166" s="603">
        <v>35.92</v>
      </c>
      <c r="P166" s="603">
        <v>34.14</v>
      </c>
      <c r="S166" s="600" t="s">
        <v>6954</v>
      </c>
      <c r="T166" s="600" t="s">
        <v>6151</v>
      </c>
      <c r="U166" s="603">
        <v>0.44</v>
      </c>
      <c r="V166" s="603">
        <v>0.28000000000000003</v>
      </c>
    </row>
    <row r="167" spans="2:22" x14ac:dyDescent="0.2">
      <c r="B167" s="600" t="s">
        <v>6967</v>
      </c>
      <c r="C167" s="600" t="s">
        <v>6438</v>
      </c>
      <c r="D167" s="602">
        <v>15</v>
      </c>
      <c r="G167" s="600" t="s">
        <v>6943</v>
      </c>
      <c r="H167" s="600" t="s">
        <v>401</v>
      </c>
      <c r="I167" s="603">
        <v>0.36</v>
      </c>
      <c r="J167" s="603">
        <v>0.13</v>
      </c>
      <c r="M167" s="600" t="s">
        <v>6961</v>
      </c>
      <c r="N167" s="600" t="s">
        <v>507</v>
      </c>
      <c r="O167" s="603">
        <v>0.15</v>
      </c>
      <c r="P167" s="603">
        <v>0.08</v>
      </c>
      <c r="S167" s="600" t="s">
        <v>6955</v>
      </c>
      <c r="T167" s="600" t="s">
        <v>500</v>
      </c>
      <c r="U167" s="603">
        <v>77.62</v>
      </c>
      <c r="V167" s="603">
        <v>78.73</v>
      </c>
    </row>
    <row r="168" spans="2:22" x14ac:dyDescent="0.2">
      <c r="B168" s="600" t="s">
        <v>6967</v>
      </c>
      <c r="C168" s="600" t="s">
        <v>6439</v>
      </c>
      <c r="D168" s="602">
        <v>83</v>
      </c>
      <c r="G168" s="600" t="s">
        <v>6943</v>
      </c>
      <c r="H168" s="600" t="s">
        <v>438</v>
      </c>
      <c r="I168" s="603">
        <v>3.19</v>
      </c>
      <c r="J168" s="603">
        <v>6.91</v>
      </c>
      <c r="M168" s="600" t="s">
        <v>6961</v>
      </c>
      <c r="N168" s="600" t="s">
        <v>6151</v>
      </c>
      <c r="O168" s="603">
        <v>0.1</v>
      </c>
      <c r="P168" s="603">
        <v>0</v>
      </c>
      <c r="S168" s="600" t="s">
        <v>6955</v>
      </c>
      <c r="T168" s="600" t="s">
        <v>225</v>
      </c>
      <c r="U168" s="603">
        <v>18.920000000000002</v>
      </c>
      <c r="V168" s="603">
        <v>18.78</v>
      </c>
    </row>
    <row r="169" spans="2:22" x14ac:dyDescent="0.2">
      <c r="B169" s="600" t="s">
        <v>6967</v>
      </c>
      <c r="C169" s="600" t="s">
        <v>6440</v>
      </c>
      <c r="D169" s="602">
        <v>250</v>
      </c>
      <c r="G169" s="600" t="s">
        <v>6943</v>
      </c>
      <c r="H169" s="600" t="s">
        <v>390</v>
      </c>
      <c r="I169" s="603">
        <v>32.68</v>
      </c>
      <c r="J169" s="603">
        <v>28.24</v>
      </c>
      <c r="M169" s="600" t="s">
        <v>6962</v>
      </c>
      <c r="N169" s="600" t="s">
        <v>404</v>
      </c>
      <c r="O169" s="603">
        <v>59.52</v>
      </c>
      <c r="P169" s="603">
        <v>56.82</v>
      </c>
      <c r="S169" s="600" t="s">
        <v>6955</v>
      </c>
      <c r="T169" s="600" t="s">
        <v>430</v>
      </c>
      <c r="U169" s="603">
        <v>2.2000000000000002</v>
      </c>
      <c r="V169" s="603">
        <v>1.58</v>
      </c>
    </row>
    <row r="170" spans="2:22" x14ac:dyDescent="0.2">
      <c r="B170" s="600" t="s">
        <v>6967</v>
      </c>
      <c r="C170" s="600" t="s">
        <v>6441</v>
      </c>
      <c r="D170" s="602">
        <v>115</v>
      </c>
      <c r="G170" s="600" t="s">
        <v>6943</v>
      </c>
      <c r="H170" s="600" t="s">
        <v>212</v>
      </c>
      <c r="I170" s="603">
        <v>6.8</v>
      </c>
      <c r="J170" s="603">
        <v>0.34</v>
      </c>
      <c r="M170" s="600" t="s">
        <v>6962</v>
      </c>
      <c r="N170" s="600" t="s">
        <v>6324</v>
      </c>
      <c r="O170" s="603">
        <v>4.12</v>
      </c>
      <c r="P170" s="603">
        <v>2.27</v>
      </c>
      <c r="S170" s="600" t="s">
        <v>6955</v>
      </c>
      <c r="T170" s="600" t="s">
        <v>501</v>
      </c>
      <c r="U170" s="603">
        <v>0.61</v>
      </c>
      <c r="V170" s="603">
        <v>0.44</v>
      </c>
    </row>
    <row r="171" spans="2:22" x14ac:dyDescent="0.2">
      <c r="B171" s="600" t="s">
        <v>6967</v>
      </c>
      <c r="C171" s="600" t="s">
        <v>6442</v>
      </c>
      <c r="D171" s="602">
        <v>1304</v>
      </c>
      <c r="G171" s="600" t="s">
        <v>6943</v>
      </c>
      <c r="H171" s="600" t="s">
        <v>419</v>
      </c>
      <c r="I171" s="603">
        <v>0.09</v>
      </c>
      <c r="J171" s="603">
        <v>7.0000000000000007E-2</v>
      </c>
      <c r="M171" s="600" t="s">
        <v>6962</v>
      </c>
      <c r="N171" s="600" t="s">
        <v>505</v>
      </c>
      <c r="O171" s="603">
        <v>13.33</v>
      </c>
      <c r="P171" s="603">
        <v>14.77</v>
      </c>
      <c r="S171" s="600" t="s">
        <v>6955</v>
      </c>
      <c r="T171" s="600" t="s">
        <v>502</v>
      </c>
      <c r="U171" s="603">
        <v>0.02</v>
      </c>
      <c r="V171" s="603">
        <v>0.01</v>
      </c>
    </row>
    <row r="172" spans="2:22" x14ac:dyDescent="0.2">
      <c r="B172" s="600" t="s">
        <v>6968</v>
      </c>
      <c r="C172" s="600" t="s">
        <v>6438</v>
      </c>
      <c r="D172" s="602">
        <v>38</v>
      </c>
      <c r="G172" s="600" t="s">
        <v>6943</v>
      </c>
      <c r="H172" s="600" t="s">
        <v>402</v>
      </c>
      <c r="I172" s="603">
        <v>7.27</v>
      </c>
      <c r="J172" s="603">
        <v>2.88</v>
      </c>
      <c r="M172" s="600" t="s">
        <v>6962</v>
      </c>
      <c r="N172" s="600" t="s">
        <v>506</v>
      </c>
      <c r="O172" s="603">
        <v>22.42</v>
      </c>
      <c r="P172" s="603">
        <v>25.57</v>
      </c>
      <c r="S172" s="600" t="s">
        <v>6955</v>
      </c>
      <c r="T172" s="600" t="s">
        <v>503</v>
      </c>
      <c r="U172" s="603">
        <v>0.06</v>
      </c>
      <c r="V172" s="603">
        <v>0.06</v>
      </c>
    </row>
    <row r="173" spans="2:22" x14ac:dyDescent="0.2">
      <c r="B173" s="600" t="s">
        <v>6968</v>
      </c>
      <c r="C173" s="600" t="s">
        <v>6439</v>
      </c>
      <c r="D173" s="602">
        <v>139</v>
      </c>
      <c r="G173" s="600" t="s">
        <v>6943</v>
      </c>
      <c r="H173" s="600" t="s">
        <v>211</v>
      </c>
      <c r="I173" s="603">
        <v>19.34</v>
      </c>
      <c r="J173" s="603">
        <v>30.58</v>
      </c>
      <c r="M173" s="600" t="s">
        <v>6962</v>
      </c>
      <c r="N173" s="600" t="s">
        <v>507</v>
      </c>
      <c r="O173" s="603">
        <v>0.48</v>
      </c>
      <c r="P173" s="603">
        <v>0.56999999999999995</v>
      </c>
      <c r="S173" s="600" t="s">
        <v>6955</v>
      </c>
      <c r="T173" s="600" t="s">
        <v>504</v>
      </c>
      <c r="U173" s="603">
        <v>0.11</v>
      </c>
      <c r="V173" s="603">
        <v>0.12</v>
      </c>
    </row>
    <row r="174" spans="2:22" x14ac:dyDescent="0.2">
      <c r="B174" s="600" t="s">
        <v>6968</v>
      </c>
      <c r="C174" s="600" t="s">
        <v>6440</v>
      </c>
      <c r="D174" s="602">
        <v>858</v>
      </c>
      <c r="G174" s="600" t="s">
        <v>6943</v>
      </c>
      <c r="H174" s="600" t="s">
        <v>210</v>
      </c>
      <c r="I174" s="603">
        <v>2.62</v>
      </c>
      <c r="J174" s="603">
        <v>1.27</v>
      </c>
      <c r="M174" s="600" t="s">
        <v>6962</v>
      </c>
      <c r="N174" s="600" t="s">
        <v>6151</v>
      </c>
      <c r="O174" s="603">
        <v>0.12</v>
      </c>
      <c r="P174" s="603">
        <v>0</v>
      </c>
      <c r="S174" s="600" t="s">
        <v>6955</v>
      </c>
      <c r="T174" s="600" t="s">
        <v>6151</v>
      </c>
      <c r="U174" s="603">
        <v>0.46</v>
      </c>
      <c r="V174" s="603">
        <v>0.26</v>
      </c>
    </row>
    <row r="175" spans="2:22" x14ac:dyDescent="0.2">
      <c r="B175" s="600" t="s">
        <v>6968</v>
      </c>
      <c r="C175" s="600" t="s">
        <v>6441</v>
      </c>
      <c r="D175" s="602">
        <v>662</v>
      </c>
      <c r="G175" s="600" t="s">
        <v>6943</v>
      </c>
      <c r="H175" s="600" t="s">
        <v>209</v>
      </c>
      <c r="I175" s="603">
        <v>0.69</v>
      </c>
      <c r="J175" s="603">
        <v>2.2799999999999998</v>
      </c>
      <c r="M175" s="600" t="s">
        <v>6963</v>
      </c>
      <c r="N175" s="600" t="s">
        <v>404</v>
      </c>
      <c r="O175" s="603">
        <v>45.75</v>
      </c>
      <c r="P175" s="603">
        <v>53.7</v>
      </c>
      <c r="S175" s="600" t="s">
        <v>6956</v>
      </c>
      <c r="T175" s="600" t="s">
        <v>500</v>
      </c>
      <c r="U175" s="603">
        <v>77.099999999999994</v>
      </c>
      <c r="V175" s="603">
        <v>75.709999999999994</v>
      </c>
    </row>
    <row r="176" spans="2:22" x14ac:dyDescent="0.2">
      <c r="B176" s="600" t="s">
        <v>6968</v>
      </c>
      <c r="C176" s="600" t="s">
        <v>6442</v>
      </c>
      <c r="D176" s="602">
        <v>5720</v>
      </c>
      <c r="G176" s="600" t="s">
        <v>6943</v>
      </c>
      <c r="H176" s="600" t="s">
        <v>207</v>
      </c>
      <c r="I176" s="603">
        <v>2.4700000000000002</v>
      </c>
      <c r="J176" s="603">
        <v>0.2</v>
      </c>
      <c r="M176" s="600" t="s">
        <v>6963</v>
      </c>
      <c r="N176" s="600" t="s">
        <v>6324</v>
      </c>
      <c r="O176" s="603">
        <v>6.86</v>
      </c>
      <c r="P176" s="603">
        <v>5.43</v>
      </c>
      <c r="S176" s="600" t="s">
        <v>6956</v>
      </c>
      <c r="T176" s="600" t="s">
        <v>225</v>
      </c>
      <c r="U176" s="603">
        <v>16.260000000000002</v>
      </c>
      <c r="V176" s="603">
        <v>20.71</v>
      </c>
    </row>
    <row r="177" spans="2:22" x14ac:dyDescent="0.2">
      <c r="B177" s="600" t="s">
        <v>6969</v>
      </c>
      <c r="C177" s="600" t="s">
        <v>6438</v>
      </c>
      <c r="D177" s="602">
        <v>11</v>
      </c>
      <c r="G177" s="600" t="s">
        <v>6943</v>
      </c>
      <c r="H177" s="600" t="s">
        <v>206</v>
      </c>
      <c r="I177" s="603">
        <v>0</v>
      </c>
      <c r="J177" s="603">
        <v>0</v>
      </c>
      <c r="M177" s="600" t="s">
        <v>6963</v>
      </c>
      <c r="N177" s="600" t="s">
        <v>505</v>
      </c>
      <c r="O177" s="603">
        <v>5.21</v>
      </c>
      <c r="P177" s="603">
        <v>4.84</v>
      </c>
      <c r="S177" s="600" t="s">
        <v>6956</v>
      </c>
      <c r="T177" s="600" t="s">
        <v>430</v>
      </c>
      <c r="U177" s="603">
        <v>2.44</v>
      </c>
      <c r="V177" s="603">
        <v>1.43</v>
      </c>
    </row>
    <row r="178" spans="2:22" x14ac:dyDescent="0.2">
      <c r="B178" s="600" t="s">
        <v>6969</v>
      </c>
      <c r="C178" s="600" t="s">
        <v>6439</v>
      </c>
      <c r="D178" s="602">
        <v>72</v>
      </c>
      <c r="G178" s="600" t="s">
        <v>6943</v>
      </c>
      <c r="H178" s="600" t="s">
        <v>313</v>
      </c>
      <c r="I178" s="603">
        <v>0.23</v>
      </c>
      <c r="J178" s="603">
        <v>0.67</v>
      </c>
      <c r="M178" s="600" t="s">
        <v>6963</v>
      </c>
      <c r="N178" s="600" t="s">
        <v>506</v>
      </c>
      <c r="O178" s="603">
        <v>41.7</v>
      </c>
      <c r="P178" s="603">
        <v>35.74</v>
      </c>
      <c r="S178" s="600" t="s">
        <v>6956</v>
      </c>
      <c r="T178" s="600" t="s">
        <v>501</v>
      </c>
      <c r="U178" s="603">
        <v>1.68</v>
      </c>
      <c r="V178" s="603">
        <v>1.43</v>
      </c>
    </row>
    <row r="179" spans="2:22" x14ac:dyDescent="0.2">
      <c r="B179" s="600" t="s">
        <v>6969</v>
      </c>
      <c r="C179" s="600" t="s">
        <v>6440</v>
      </c>
      <c r="D179" s="602">
        <v>571</v>
      </c>
      <c r="G179" s="600" t="s">
        <v>6943</v>
      </c>
      <c r="H179" s="600" t="s">
        <v>497</v>
      </c>
      <c r="I179" s="603">
        <v>0</v>
      </c>
      <c r="J179" s="603">
        <v>0</v>
      </c>
      <c r="M179" s="600" t="s">
        <v>6963</v>
      </c>
      <c r="N179" s="600" t="s">
        <v>507</v>
      </c>
      <c r="O179" s="603">
        <v>0.32</v>
      </c>
      <c r="P179" s="603">
        <v>0.2</v>
      </c>
      <c r="S179" s="600" t="s">
        <v>6956</v>
      </c>
      <c r="T179" s="600" t="s">
        <v>502</v>
      </c>
      <c r="U179" s="603">
        <v>0</v>
      </c>
      <c r="V179" s="603">
        <v>0</v>
      </c>
    </row>
    <row r="180" spans="2:22" x14ac:dyDescent="0.2">
      <c r="B180" s="600" t="s">
        <v>6969</v>
      </c>
      <c r="C180" s="600" t="s">
        <v>6441</v>
      </c>
      <c r="D180" s="602">
        <v>479</v>
      </c>
      <c r="G180" s="600" t="s">
        <v>6943</v>
      </c>
      <c r="H180" s="600" t="s">
        <v>416</v>
      </c>
      <c r="I180" s="603">
        <v>6.94</v>
      </c>
      <c r="J180" s="603">
        <v>4.96</v>
      </c>
      <c r="M180" s="600" t="s">
        <v>6963</v>
      </c>
      <c r="N180" s="600" t="s">
        <v>6151</v>
      </c>
      <c r="O180" s="603">
        <v>0.16</v>
      </c>
      <c r="P180" s="603">
        <v>0.1</v>
      </c>
      <c r="S180" s="600" t="s">
        <v>6956</v>
      </c>
      <c r="T180" s="600" t="s">
        <v>503</v>
      </c>
      <c r="U180" s="603">
        <v>0</v>
      </c>
      <c r="V180" s="603">
        <v>0</v>
      </c>
    </row>
    <row r="181" spans="2:22" x14ac:dyDescent="0.2">
      <c r="B181" s="600" t="s">
        <v>6969</v>
      </c>
      <c r="C181" s="600" t="s">
        <v>6442</v>
      </c>
      <c r="D181" s="602">
        <v>3423</v>
      </c>
      <c r="G181" s="600" t="s">
        <v>6943</v>
      </c>
      <c r="H181" s="600" t="s">
        <v>449</v>
      </c>
      <c r="I181" s="603">
        <v>0.34</v>
      </c>
      <c r="J181" s="603">
        <v>0.13</v>
      </c>
      <c r="M181" s="600" t="s">
        <v>6964</v>
      </c>
      <c r="N181" s="600" t="s">
        <v>404</v>
      </c>
      <c r="O181" s="603">
        <v>52.98</v>
      </c>
      <c r="P181" s="603">
        <v>64.55</v>
      </c>
      <c r="S181" s="600" t="s">
        <v>6956</v>
      </c>
      <c r="T181" s="600" t="s">
        <v>504</v>
      </c>
      <c r="U181" s="603">
        <v>0.08</v>
      </c>
      <c r="V181" s="603">
        <v>0</v>
      </c>
    </row>
    <row r="182" spans="2:22" x14ac:dyDescent="0.2">
      <c r="B182" s="600" t="s">
        <v>6970</v>
      </c>
      <c r="C182" s="600" t="s">
        <v>6438</v>
      </c>
      <c r="D182" s="602">
        <v>49</v>
      </c>
      <c r="G182" s="600" t="s">
        <v>6943</v>
      </c>
      <c r="H182" s="600" t="s">
        <v>498</v>
      </c>
      <c r="I182" s="603">
        <v>0</v>
      </c>
      <c r="J182" s="603">
        <v>0</v>
      </c>
      <c r="M182" s="600" t="s">
        <v>6964</v>
      </c>
      <c r="N182" s="600" t="s">
        <v>6324</v>
      </c>
      <c r="O182" s="603">
        <v>7.26</v>
      </c>
      <c r="P182" s="603">
        <v>5.45</v>
      </c>
      <c r="S182" s="600" t="s">
        <v>6956</v>
      </c>
      <c r="T182" s="600" t="s">
        <v>6151</v>
      </c>
      <c r="U182" s="603">
        <v>2.44</v>
      </c>
      <c r="V182" s="603">
        <v>0.71</v>
      </c>
    </row>
    <row r="183" spans="2:22" x14ac:dyDescent="0.2">
      <c r="B183" s="600" t="s">
        <v>6970</v>
      </c>
      <c r="C183" s="600" t="s">
        <v>6439</v>
      </c>
      <c r="D183" s="602">
        <v>313</v>
      </c>
      <c r="G183" s="600" t="s">
        <v>6943</v>
      </c>
      <c r="H183" s="600" t="s">
        <v>202</v>
      </c>
      <c r="I183" s="603">
        <v>0.52</v>
      </c>
      <c r="J183" s="603">
        <v>1.1399999999999999</v>
      </c>
      <c r="M183" s="600" t="s">
        <v>6964</v>
      </c>
      <c r="N183" s="600" t="s">
        <v>505</v>
      </c>
      <c r="O183" s="603">
        <v>2.88</v>
      </c>
      <c r="P183" s="603">
        <v>2.41</v>
      </c>
      <c r="S183" s="600" t="s">
        <v>6957</v>
      </c>
      <c r="T183" s="600" t="s">
        <v>500</v>
      </c>
      <c r="U183" s="603">
        <v>79.73</v>
      </c>
      <c r="V183" s="603">
        <v>85.47</v>
      </c>
    </row>
    <row r="184" spans="2:22" x14ac:dyDescent="0.2">
      <c r="B184" s="600" t="s">
        <v>6970</v>
      </c>
      <c r="C184" s="600" t="s">
        <v>6440</v>
      </c>
      <c r="D184" s="602">
        <v>2118</v>
      </c>
      <c r="G184" s="600" t="s">
        <v>6943</v>
      </c>
      <c r="H184" s="600" t="s">
        <v>409</v>
      </c>
      <c r="I184" s="603">
        <v>0.99</v>
      </c>
      <c r="J184" s="603">
        <v>0.67</v>
      </c>
      <c r="M184" s="600" t="s">
        <v>6964</v>
      </c>
      <c r="N184" s="600" t="s">
        <v>506</v>
      </c>
      <c r="O184" s="603">
        <v>36.19</v>
      </c>
      <c r="P184" s="603">
        <v>27.26</v>
      </c>
      <c r="S184" s="600" t="s">
        <v>6957</v>
      </c>
      <c r="T184" s="600" t="s">
        <v>225</v>
      </c>
      <c r="U184" s="603">
        <v>12.7</v>
      </c>
      <c r="V184" s="603">
        <v>11.63</v>
      </c>
    </row>
    <row r="185" spans="2:22" x14ac:dyDescent="0.2">
      <c r="B185" s="600" t="s">
        <v>6970</v>
      </c>
      <c r="C185" s="600" t="s">
        <v>6441</v>
      </c>
      <c r="D185" s="602">
        <v>1445</v>
      </c>
      <c r="G185" s="600" t="s">
        <v>6943</v>
      </c>
      <c r="H185" s="600" t="s">
        <v>230</v>
      </c>
      <c r="I185" s="603">
        <v>10.95</v>
      </c>
      <c r="J185" s="603">
        <v>16.57</v>
      </c>
      <c r="M185" s="600" t="s">
        <v>6964</v>
      </c>
      <c r="N185" s="600" t="s">
        <v>507</v>
      </c>
      <c r="O185" s="603">
        <v>0.33</v>
      </c>
      <c r="P185" s="603">
        <v>0.22</v>
      </c>
      <c r="S185" s="600" t="s">
        <v>6957</v>
      </c>
      <c r="T185" s="600" t="s">
        <v>430</v>
      </c>
      <c r="U185" s="603">
        <v>3.3</v>
      </c>
      <c r="V185" s="603">
        <v>0.57999999999999996</v>
      </c>
    </row>
    <row r="186" spans="2:22" x14ac:dyDescent="0.2">
      <c r="B186" s="600" t="s">
        <v>6970</v>
      </c>
      <c r="C186" s="600" t="s">
        <v>6442</v>
      </c>
      <c r="D186" s="602">
        <v>11451</v>
      </c>
      <c r="G186" s="600" t="s">
        <v>6943</v>
      </c>
      <c r="H186" s="600" t="s">
        <v>860</v>
      </c>
      <c r="I186" s="603">
        <v>4.51</v>
      </c>
      <c r="J186" s="603">
        <v>2.95</v>
      </c>
      <c r="M186" s="600" t="s">
        <v>6964</v>
      </c>
      <c r="N186" s="600" t="s">
        <v>6151</v>
      </c>
      <c r="O186" s="603">
        <v>0.36</v>
      </c>
      <c r="P186" s="603">
        <v>0.11</v>
      </c>
      <c r="S186" s="600" t="s">
        <v>6957</v>
      </c>
      <c r="T186" s="600" t="s">
        <v>501</v>
      </c>
      <c r="U186" s="603">
        <v>1.22</v>
      </c>
      <c r="V186" s="603">
        <v>2.33</v>
      </c>
    </row>
    <row r="187" spans="2:22" x14ac:dyDescent="0.2">
      <c r="B187" s="600" t="s">
        <v>6971</v>
      </c>
      <c r="C187" s="600" t="s">
        <v>6438</v>
      </c>
      <c r="D187" s="602">
        <v>69</v>
      </c>
      <c r="G187" s="600" t="s">
        <v>6944</v>
      </c>
      <c r="H187" s="600" t="s">
        <v>401</v>
      </c>
      <c r="I187" s="603">
        <v>0.75</v>
      </c>
      <c r="J187" s="603">
        <v>0</v>
      </c>
      <c r="M187" s="600" t="s">
        <v>6965</v>
      </c>
      <c r="N187" s="600" t="s">
        <v>404</v>
      </c>
      <c r="O187" s="603">
        <v>50.06</v>
      </c>
      <c r="P187" s="603">
        <v>62.64</v>
      </c>
      <c r="S187" s="600" t="s">
        <v>6957</v>
      </c>
      <c r="T187" s="600" t="s">
        <v>502</v>
      </c>
      <c r="U187" s="603">
        <v>0.37</v>
      </c>
      <c r="V187" s="603">
        <v>0</v>
      </c>
    </row>
    <row r="188" spans="2:22" x14ac:dyDescent="0.2">
      <c r="B188" s="600" t="s">
        <v>6971</v>
      </c>
      <c r="C188" s="600" t="s">
        <v>6439</v>
      </c>
      <c r="D188" s="602">
        <v>289</v>
      </c>
      <c r="G188" s="600" t="s">
        <v>6944</v>
      </c>
      <c r="H188" s="600" t="s">
        <v>438</v>
      </c>
      <c r="I188" s="603">
        <v>1.49</v>
      </c>
      <c r="J188" s="603">
        <v>2.13</v>
      </c>
      <c r="M188" s="600" t="s">
        <v>6965</v>
      </c>
      <c r="N188" s="600" t="s">
        <v>6324</v>
      </c>
      <c r="O188" s="603">
        <v>6.72</v>
      </c>
      <c r="P188" s="603">
        <v>4.84</v>
      </c>
      <c r="S188" s="600" t="s">
        <v>6957</v>
      </c>
      <c r="T188" s="600" t="s">
        <v>503</v>
      </c>
      <c r="U188" s="603">
        <v>0</v>
      </c>
      <c r="V188" s="603">
        <v>0</v>
      </c>
    </row>
    <row r="189" spans="2:22" x14ac:dyDescent="0.2">
      <c r="B189" s="600" t="s">
        <v>6971</v>
      </c>
      <c r="C189" s="600" t="s">
        <v>6440</v>
      </c>
      <c r="D189" s="602">
        <v>1906</v>
      </c>
      <c r="G189" s="600" t="s">
        <v>6944</v>
      </c>
      <c r="H189" s="600" t="s">
        <v>390</v>
      </c>
      <c r="I189" s="603">
        <v>14.93</v>
      </c>
      <c r="J189" s="603">
        <v>17.02</v>
      </c>
      <c r="M189" s="600" t="s">
        <v>6965</v>
      </c>
      <c r="N189" s="600" t="s">
        <v>505</v>
      </c>
      <c r="O189" s="603">
        <v>4.3499999999999996</v>
      </c>
      <c r="P189" s="603">
        <v>4.33</v>
      </c>
      <c r="S189" s="600" t="s">
        <v>6957</v>
      </c>
      <c r="T189" s="600" t="s">
        <v>504</v>
      </c>
      <c r="U189" s="603">
        <v>0</v>
      </c>
      <c r="V189" s="603">
        <v>0</v>
      </c>
    </row>
    <row r="190" spans="2:22" x14ac:dyDescent="0.2">
      <c r="B190" s="600" t="s">
        <v>6971</v>
      </c>
      <c r="C190" s="600" t="s">
        <v>6441</v>
      </c>
      <c r="D190" s="602">
        <v>1408</v>
      </c>
      <c r="G190" s="600" t="s">
        <v>6944</v>
      </c>
      <c r="H190" s="600" t="s">
        <v>212</v>
      </c>
      <c r="I190" s="603">
        <v>5.22</v>
      </c>
      <c r="J190" s="603">
        <v>2.13</v>
      </c>
      <c r="M190" s="600" t="s">
        <v>6965</v>
      </c>
      <c r="N190" s="600" t="s">
        <v>506</v>
      </c>
      <c r="O190" s="603">
        <v>38.32</v>
      </c>
      <c r="P190" s="603">
        <v>27.87</v>
      </c>
      <c r="S190" s="600" t="s">
        <v>6957</v>
      </c>
      <c r="T190" s="600" t="s">
        <v>6151</v>
      </c>
      <c r="U190" s="603">
        <v>2.69</v>
      </c>
      <c r="V190" s="603">
        <v>0</v>
      </c>
    </row>
    <row r="191" spans="2:22" x14ac:dyDescent="0.2">
      <c r="B191" s="600" t="s">
        <v>6971</v>
      </c>
      <c r="C191" s="600" t="s">
        <v>6442</v>
      </c>
      <c r="D191" s="602">
        <v>9632</v>
      </c>
      <c r="G191" s="600" t="s">
        <v>6944</v>
      </c>
      <c r="H191" s="600" t="s">
        <v>419</v>
      </c>
      <c r="I191" s="603">
        <v>0</v>
      </c>
      <c r="J191" s="603">
        <v>0</v>
      </c>
      <c r="M191" s="600" t="s">
        <v>6965</v>
      </c>
      <c r="N191" s="600" t="s">
        <v>507</v>
      </c>
      <c r="O191" s="603">
        <v>0.43</v>
      </c>
      <c r="P191" s="603">
        <v>0.24</v>
      </c>
      <c r="S191" s="600" t="s">
        <v>6958</v>
      </c>
      <c r="T191" s="600" t="s">
        <v>500</v>
      </c>
      <c r="U191" s="603">
        <v>73.540000000000006</v>
      </c>
      <c r="V191" s="603">
        <v>80</v>
      </c>
    </row>
    <row r="192" spans="2:22" x14ac:dyDescent="0.2">
      <c r="B192" s="600" t="s">
        <v>6972</v>
      </c>
      <c r="C192" s="600" t="s">
        <v>6438</v>
      </c>
      <c r="D192" s="602">
        <v>48</v>
      </c>
      <c r="G192" s="600" t="s">
        <v>6944</v>
      </c>
      <c r="H192" s="600" t="s">
        <v>402</v>
      </c>
      <c r="I192" s="603">
        <v>8.9600000000000009</v>
      </c>
      <c r="J192" s="603">
        <v>12.77</v>
      </c>
      <c r="M192" s="600" t="s">
        <v>6965</v>
      </c>
      <c r="N192" s="600" t="s">
        <v>6151</v>
      </c>
      <c r="O192" s="603">
        <v>0.13</v>
      </c>
      <c r="P192" s="603">
        <v>0.08</v>
      </c>
      <c r="S192" s="600" t="s">
        <v>6958</v>
      </c>
      <c r="T192" s="600" t="s">
        <v>225</v>
      </c>
      <c r="U192" s="603">
        <v>20.89</v>
      </c>
      <c r="V192" s="603">
        <v>15.38</v>
      </c>
    </row>
    <row r="193" spans="2:22" x14ac:dyDescent="0.2">
      <c r="B193" s="600" t="s">
        <v>6972</v>
      </c>
      <c r="C193" s="600" t="s">
        <v>6439</v>
      </c>
      <c r="D193" s="602">
        <v>192</v>
      </c>
      <c r="G193" s="600" t="s">
        <v>6944</v>
      </c>
      <c r="H193" s="600" t="s">
        <v>211</v>
      </c>
      <c r="I193" s="603">
        <v>11.94</v>
      </c>
      <c r="J193" s="603">
        <v>17.02</v>
      </c>
      <c r="M193" s="600" t="s">
        <v>6966</v>
      </c>
      <c r="N193" s="600" t="s">
        <v>404</v>
      </c>
      <c r="O193" s="603">
        <v>64.180000000000007</v>
      </c>
      <c r="P193" s="603">
        <v>68.92</v>
      </c>
      <c r="S193" s="600" t="s">
        <v>6958</v>
      </c>
      <c r="T193" s="600" t="s">
        <v>430</v>
      </c>
      <c r="U193" s="603">
        <v>3.76</v>
      </c>
      <c r="V193" s="603">
        <v>1.54</v>
      </c>
    </row>
    <row r="194" spans="2:22" x14ac:dyDescent="0.2">
      <c r="B194" s="600" t="s">
        <v>6972</v>
      </c>
      <c r="C194" s="600" t="s">
        <v>6440</v>
      </c>
      <c r="D194" s="602">
        <v>1235</v>
      </c>
      <c r="G194" s="600" t="s">
        <v>6944</v>
      </c>
      <c r="H194" s="600" t="s">
        <v>210</v>
      </c>
      <c r="I194" s="603">
        <v>0.75</v>
      </c>
      <c r="J194" s="603">
        <v>0</v>
      </c>
      <c r="M194" s="600" t="s">
        <v>6966</v>
      </c>
      <c r="N194" s="600" t="s">
        <v>6324</v>
      </c>
      <c r="O194" s="603">
        <v>5.95</v>
      </c>
      <c r="P194" s="603">
        <v>5.14</v>
      </c>
      <c r="S194" s="600" t="s">
        <v>6958</v>
      </c>
      <c r="T194" s="600" t="s">
        <v>501</v>
      </c>
      <c r="U194" s="603">
        <v>1.25</v>
      </c>
      <c r="V194" s="603">
        <v>2.31</v>
      </c>
    </row>
    <row r="195" spans="2:22" x14ac:dyDescent="0.2">
      <c r="B195" s="600" t="s">
        <v>6972</v>
      </c>
      <c r="C195" s="600" t="s">
        <v>6441</v>
      </c>
      <c r="D195" s="602">
        <v>1115</v>
      </c>
      <c r="G195" s="600" t="s">
        <v>6944</v>
      </c>
      <c r="H195" s="600" t="s">
        <v>209</v>
      </c>
      <c r="I195" s="603">
        <v>0</v>
      </c>
      <c r="J195" s="603">
        <v>0</v>
      </c>
      <c r="M195" s="600" t="s">
        <v>6966</v>
      </c>
      <c r="N195" s="600" t="s">
        <v>505</v>
      </c>
      <c r="O195" s="603">
        <v>10.98</v>
      </c>
      <c r="P195" s="603">
        <v>10.18</v>
      </c>
      <c r="S195" s="600" t="s">
        <v>6958</v>
      </c>
      <c r="T195" s="600" t="s">
        <v>502</v>
      </c>
      <c r="U195" s="603">
        <v>0</v>
      </c>
      <c r="V195" s="603">
        <v>0</v>
      </c>
    </row>
    <row r="196" spans="2:22" x14ac:dyDescent="0.2">
      <c r="B196" s="600" t="s">
        <v>6972</v>
      </c>
      <c r="C196" s="600" t="s">
        <v>6442</v>
      </c>
      <c r="D196" s="602">
        <v>6107</v>
      </c>
      <c r="G196" s="600" t="s">
        <v>6944</v>
      </c>
      <c r="H196" s="600" t="s">
        <v>207</v>
      </c>
      <c r="I196" s="603">
        <v>5.97</v>
      </c>
      <c r="J196" s="603">
        <v>0</v>
      </c>
      <c r="M196" s="600" t="s">
        <v>6966</v>
      </c>
      <c r="N196" s="600" t="s">
        <v>506</v>
      </c>
      <c r="O196" s="603">
        <v>18.05</v>
      </c>
      <c r="P196" s="603">
        <v>15.68</v>
      </c>
      <c r="S196" s="600" t="s">
        <v>6958</v>
      </c>
      <c r="T196" s="600" t="s">
        <v>503</v>
      </c>
      <c r="U196" s="603">
        <v>0</v>
      </c>
      <c r="V196" s="603">
        <v>0</v>
      </c>
    </row>
    <row r="197" spans="2:22" x14ac:dyDescent="0.2">
      <c r="B197" s="600" t="s">
        <v>6973</v>
      </c>
      <c r="C197" s="600" t="s">
        <v>6438</v>
      </c>
      <c r="D197" s="602">
        <v>36</v>
      </c>
      <c r="G197" s="600" t="s">
        <v>6944</v>
      </c>
      <c r="H197" s="600" t="s">
        <v>206</v>
      </c>
      <c r="I197" s="603">
        <v>0</v>
      </c>
      <c r="J197" s="603">
        <v>0</v>
      </c>
      <c r="M197" s="600" t="s">
        <v>6966</v>
      </c>
      <c r="N197" s="600" t="s">
        <v>507</v>
      </c>
      <c r="O197" s="603">
        <v>0.49</v>
      </c>
      <c r="P197" s="603">
        <v>0</v>
      </c>
      <c r="S197" s="600" t="s">
        <v>6958</v>
      </c>
      <c r="T197" s="600" t="s">
        <v>504</v>
      </c>
      <c r="U197" s="603">
        <v>0.14000000000000001</v>
      </c>
      <c r="V197" s="603">
        <v>0.77</v>
      </c>
    </row>
    <row r="198" spans="2:22" x14ac:dyDescent="0.2">
      <c r="B198" s="600" t="s">
        <v>6973</v>
      </c>
      <c r="C198" s="600" t="s">
        <v>6439</v>
      </c>
      <c r="D198" s="602">
        <v>213</v>
      </c>
      <c r="G198" s="600" t="s">
        <v>6944</v>
      </c>
      <c r="H198" s="600" t="s">
        <v>313</v>
      </c>
      <c r="I198" s="603">
        <v>0</v>
      </c>
      <c r="J198" s="603">
        <v>0</v>
      </c>
      <c r="M198" s="600" t="s">
        <v>6966</v>
      </c>
      <c r="N198" s="600" t="s">
        <v>6151</v>
      </c>
      <c r="O198" s="603">
        <v>0.34</v>
      </c>
      <c r="P198" s="603">
        <v>0.09</v>
      </c>
      <c r="S198" s="600" t="s">
        <v>6958</v>
      </c>
      <c r="T198" s="600" t="s">
        <v>6151</v>
      </c>
      <c r="U198" s="603">
        <v>0.42</v>
      </c>
      <c r="V198" s="603">
        <v>0</v>
      </c>
    </row>
    <row r="199" spans="2:22" x14ac:dyDescent="0.2">
      <c r="B199" s="600" t="s">
        <v>6973</v>
      </c>
      <c r="C199" s="600" t="s">
        <v>6440</v>
      </c>
      <c r="D199" s="602">
        <v>1408</v>
      </c>
      <c r="G199" s="600" t="s">
        <v>6944</v>
      </c>
      <c r="H199" s="600" t="s">
        <v>497</v>
      </c>
      <c r="I199" s="603">
        <v>0</v>
      </c>
      <c r="J199" s="603">
        <v>0</v>
      </c>
      <c r="M199" s="600" t="s">
        <v>6967</v>
      </c>
      <c r="N199" s="600" t="s">
        <v>404</v>
      </c>
      <c r="O199" s="603">
        <v>55.07</v>
      </c>
      <c r="P199" s="603">
        <v>59.4</v>
      </c>
      <c r="S199" s="600" t="s">
        <v>6959</v>
      </c>
      <c r="T199" s="600" t="s">
        <v>500</v>
      </c>
      <c r="U199" s="603">
        <v>71.98</v>
      </c>
      <c r="V199" s="603">
        <v>70.64</v>
      </c>
    </row>
    <row r="200" spans="2:22" x14ac:dyDescent="0.2">
      <c r="B200" s="600" t="s">
        <v>6973</v>
      </c>
      <c r="C200" s="600" t="s">
        <v>6441</v>
      </c>
      <c r="D200" s="602">
        <v>1261</v>
      </c>
      <c r="G200" s="600" t="s">
        <v>6944</v>
      </c>
      <c r="H200" s="600" t="s">
        <v>416</v>
      </c>
      <c r="I200" s="603">
        <v>41.04</v>
      </c>
      <c r="J200" s="603">
        <v>38.299999999999997</v>
      </c>
      <c r="M200" s="600" t="s">
        <v>6967</v>
      </c>
      <c r="N200" s="600" t="s">
        <v>6324</v>
      </c>
      <c r="O200" s="603">
        <v>5.21</v>
      </c>
      <c r="P200" s="603">
        <v>5.83</v>
      </c>
      <c r="S200" s="600" t="s">
        <v>6959</v>
      </c>
      <c r="T200" s="600" t="s">
        <v>225</v>
      </c>
      <c r="U200" s="603">
        <v>18.88</v>
      </c>
      <c r="V200" s="603">
        <v>21.04</v>
      </c>
    </row>
    <row r="201" spans="2:22" x14ac:dyDescent="0.2">
      <c r="B201" s="600" t="s">
        <v>6973</v>
      </c>
      <c r="C201" s="600" t="s">
        <v>6442</v>
      </c>
      <c r="D201" s="602">
        <v>6649</v>
      </c>
      <c r="G201" s="600" t="s">
        <v>6944</v>
      </c>
      <c r="H201" s="600" t="s">
        <v>449</v>
      </c>
      <c r="I201" s="603">
        <v>0</v>
      </c>
      <c r="J201" s="603">
        <v>0</v>
      </c>
      <c r="M201" s="600" t="s">
        <v>6967</v>
      </c>
      <c r="N201" s="600" t="s">
        <v>505</v>
      </c>
      <c r="O201" s="603">
        <v>1.36</v>
      </c>
      <c r="P201" s="603">
        <v>0.86</v>
      </c>
      <c r="S201" s="600" t="s">
        <v>6959</v>
      </c>
      <c r="T201" s="600" t="s">
        <v>430</v>
      </c>
      <c r="U201" s="603">
        <v>6</v>
      </c>
      <c r="V201" s="603">
        <v>5.34</v>
      </c>
    </row>
    <row r="202" spans="2:22" x14ac:dyDescent="0.2">
      <c r="B202" s="600" t="s">
        <v>6974</v>
      </c>
      <c r="C202" s="600" t="s">
        <v>6438</v>
      </c>
      <c r="D202" s="602">
        <v>123</v>
      </c>
      <c r="G202" s="600" t="s">
        <v>6944</v>
      </c>
      <c r="H202" s="600" t="s">
        <v>498</v>
      </c>
      <c r="I202" s="603">
        <v>0</v>
      </c>
      <c r="J202" s="603">
        <v>0</v>
      </c>
      <c r="M202" s="600" t="s">
        <v>6967</v>
      </c>
      <c r="N202" s="600" t="s">
        <v>506</v>
      </c>
      <c r="O202" s="603">
        <v>37.24</v>
      </c>
      <c r="P202" s="603">
        <v>33.479999999999997</v>
      </c>
      <c r="S202" s="600" t="s">
        <v>6959</v>
      </c>
      <c r="T202" s="600" t="s">
        <v>501</v>
      </c>
      <c r="U202" s="603">
        <v>2.37</v>
      </c>
      <c r="V202" s="603">
        <v>2.2000000000000002</v>
      </c>
    </row>
    <row r="203" spans="2:22" x14ac:dyDescent="0.2">
      <c r="B203" s="600" t="s">
        <v>6974</v>
      </c>
      <c r="C203" s="600" t="s">
        <v>6439</v>
      </c>
      <c r="D203" s="602">
        <v>694</v>
      </c>
      <c r="G203" s="600" t="s">
        <v>6944</v>
      </c>
      <c r="H203" s="600" t="s">
        <v>202</v>
      </c>
      <c r="I203" s="603">
        <v>5.22</v>
      </c>
      <c r="J203" s="603">
        <v>6.38</v>
      </c>
      <c r="M203" s="600" t="s">
        <v>6967</v>
      </c>
      <c r="N203" s="600" t="s">
        <v>507</v>
      </c>
      <c r="O203" s="603">
        <v>0.4</v>
      </c>
      <c r="P203" s="603">
        <v>0</v>
      </c>
      <c r="S203" s="600" t="s">
        <v>6959</v>
      </c>
      <c r="T203" s="600" t="s">
        <v>502</v>
      </c>
      <c r="U203" s="603">
        <v>0.02</v>
      </c>
      <c r="V203" s="603">
        <v>0</v>
      </c>
    </row>
    <row r="204" spans="2:22" x14ac:dyDescent="0.2">
      <c r="B204" s="600" t="s">
        <v>6974</v>
      </c>
      <c r="C204" s="600" t="s">
        <v>6440</v>
      </c>
      <c r="D204" s="602">
        <v>4045</v>
      </c>
      <c r="G204" s="600" t="s">
        <v>6944</v>
      </c>
      <c r="H204" s="600" t="s">
        <v>409</v>
      </c>
      <c r="I204" s="603">
        <v>0.75</v>
      </c>
      <c r="J204" s="603">
        <v>0</v>
      </c>
      <c r="M204" s="600" t="s">
        <v>6967</v>
      </c>
      <c r="N204" s="600" t="s">
        <v>6151</v>
      </c>
      <c r="O204" s="603">
        <v>0.74</v>
      </c>
      <c r="P204" s="603">
        <v>0.43</v>
      </c>
      <c r="S204" s="600" t="s">
        <v>6959</v>
      </c>
      <c r="T204" s="600" t="s">
        <v>503</v>
      </c>
      <c r="U204" s="603">
        <v>0.05</v>
      </c>
      <c r="V204" s="603">
        <v>0</v>
      </c>
    </row>
    <row r="205" spans="2:22" x14ac:dyDescent="0.2">
      <c r="B205" s="600" t="s">
        <v>6974</v>
      </c>
      <c r="C205" s="600" t="s">
        <v>6441</v>
      </c>
      <c r="D205" s="602">
        <v>3060</v>
      </c>
      <c r="G205" s="600" t="s">
        <v>6944</v>
      </c>
      <c r="H205" s="600" t="s">
        <v>230</v>
      </c>
      <c r="I205" s="603">
        <v>2.2400000000000002</v>
      </c>
      <c r="J205" s="603">
        <v>4.26</v>
      </c>
      <c r="M205" s="600" t="s">
        <v>6968</v>
      </c>
      <c r="N205" s="600" t="s">
        <v>404</v>
      </c>
      <c r="O205" s="603">
        <v>58.78</v>
      </c>
      <c r="P205" s="603">
        <v>60.58</v>
      </c>
      <c r="S205" s="600" t="s">
        <v>6959</v>
      </c>
      <c r="T205" s="600" t="s">
        <v>504</v>
      </c>
      <c r="U205" s="603">
        <v>0.56000000000000005</v>
      </c>
      <c r="V205" s="603">
        <v>0.63</v>
      </c>
    </row>
    <row r="206" spans="2:22" x14ac:dyDescent="0.2">
      <c r="B206" s="600" t="s">
        <v>6974</v>
      </c>
      <c r="C206" s="600" t="s">
        <v>6442</v>
      </c>
      <c r="D206" s="602">
        <v>23220</v>
      </c>
      <c r="G206" s="600" t="s">
        <v>6944</v>
      </c>
      <c r="H206" s="600" t="s">
        <v>860</v>
      </c>
      <c r="I206" s="603">
        <v>0.75</v>
      </c>
      <c r="J206" s="603">
        <v>0</v>
      </c>
      <c r="M206" s="600" t="s">
        <v>6968</v>
      </c>
      <c r="N206" s="600" t="s">
        <v>6324</v>
      </c>
      <c r="O206" s="603">
        <v>5.86</v>
      </c>
      <c r="P206" s="603">
        <v>5.24</v>
      </c>
      <c r="S206" s="600" t="s">
        <v>6959</v>
      </c>
      <c r="T206" s="600" t="s">
        <v>6151</v>
      </c>
      <c r="U206" s="603">
        <v>0.15</v>
      </c>
      <c r="V206" s="603">
        <v>0.16</v>
      </c>
    </row>
    <row r="207" spans="2:22" x14ac:dyDescent="0.2">
      <c r="B207" s="600" t="s">
        <v>6975</v>
      </c>
      <c r="C207" s="600" t="s">
        <v>6438</v>
      </c>
      <c r="D207" s="602">
        <v>205</v>
      </c>
      <c r="G207" s="600" t="s">
        <v>6945</v>
      </c>
      <c r="H207" s="600" t="s">
        <v>401</v>
      </c>
      <c r="I207" s="603">
        <v>0.73</v>
      </c>
      <c r="J207" s="603">
        <v>0.42</v>
      </c>
      <c r="M207" s="600" t="s">
        <v>6968</v>
      </c>
      <c r="N207" s="600" t="s">
        <v>505</v>
      </c>
      <c r="O207" s="603">
        <v>13.62</v>
      </c>
      <c r="P207" s="603">
        <v>15.44</v>
      </c>
      <c r="S207" s="600" t="s">
        <v>6960</v>
      </c>
      <c r="T207" s="600" t="s">
        <v>500</v>
      </c>
      <c r="U207" s="603">
        <v>67.7</v>
      </c>
      <c r="V207" s="603">
        <v>69.27</v>
      </c>
    </row>
    <row r="208" spans="2:22" x14ac:dyDescent="0.2">
      <c r="B208" s="600" t="s">
        <v>6975</v>
      </c>
      <c r="C208" s="600" t="s">
        <v>6439</v>
      </c>
      <c r="D208" s="602">
        <v>906</v>
      </c>
      <c r="G208" s="600" t="s">
        <v>6945</v>
      </c>
      <c r="H208" s="600" t="s">
        <v>438</v>
      </c>
      <c r="I208" s="603">
        <v>0.92</v>
      </c>
      <c r="J208" s="603">
        <v>1.67</v>
      </c>
      <c r="M208" s="600" t="s">
        <v>6968</v>
      </c>
      <c r="N208" s="600" t="s">
        <v>506</v>
      </c>
      <c r="O208" s="603">
        <v>21.18</v>
      </c>
      <c r="P208" s="603">
        <v>18.149999999999999</v>
      </c>
      <c r="S208" s="600" t="s">
        <v>6960</v>
      </c>
      <c r="T208" s="600" t="s">
        <v>225</v>
      </c>
      <c r="U208" s="603">
        <v>22.05</v>
      </c>
      <c r="V208" s="603">
        <v>22.35</v>
      </c>
    </row>
    <row r="209" spans="2:22" x14ac:dyDescent="0.2">
      <c r="B209" s="600" t="s">
        <v>6975</v>
      </c>
      <c r="C209" s="600" t="s">
        <v>6440</v>
      </c>
      <c r="D209" s="602">
        <v>5774</v>
      </c>
      <c r="G209" s="600" t="s">
        <v>6945</v>
      </c>
      <c r="H209" s="600" t="s">
        <v>390</v>
      </c>
      <c r="I209" s="603">
        <v>30.18</v>
      </c>
      <c r="J209" s="603">
        <v>33.35</v>
      </c>
      <c r="M209" s="600" t="s">
        <v>6968</v>
      </c>
      <c r="N209" s="600" t="s">
        <v>507</v>
      </c>
      <c r="O209" s="603">
        <v>0.39</v>
      </c>
      <c r="P209" s="603">
        <v>0.41</v>
      </c>
      <c r="S209" s="600" t="s">
        <v>6960</v>
      </c>
      <c r="T209" s="600" t="s">
        <v>430</v>
      </c>
      <c r="U209" s="603">
        <v>6.56</v>
      </c>
      <c r="V209" s="603">
        <v>5.03</v>
      </c>
    </row>
    <row r="210" spans="2:22" x14ac:dyDescent="0.2">
      <c r="B210" s="600" t="s">
        <v>6975</v>
      </c>
      <c r="C210" s="600" t="s">
        <v>6441</v>
      </c>
      <c r="D210" s="602">
        <v>5098</v>
      </c>
      <c r="G210" s="600" t="s">
        <v>6945</v>
      </c>
      <c r="H210" s="600" t="s">
        <v>212</v>
      </c>
      <c r="I210" s="603">
        <v>1.31</v>
      </c>
      <c r="J210" s="603">
        <v>0.3</v>
      </c>
      <c r="M210" s="600" t="s">
        <v>6968</v>
      </c>
      <c r="N210" s="600" t="s">
        <v>6151</v>
      </c>
      <c r="O210" s="603">
        <v>0.16</v>
      </c>
      <c r="P210" s="603">
        <v>0.18</v>
      </c>
      <c r="S210" s="600" t="s">
        <v>6960</v>
      </c>
      <c r="T210" s="600" t="s">
        <v>501</v>
      </c>
      <c r="U210" s="603">
        <v>2.98</v>
      </c>
      <c r="V210" s="603">
        <v>3.35</v>
      </c>
    </row>
    <row r="211" spans="2:22" x14ac:dyDescent="0.2">
      <c r="B211" s="600" t="s">
        <v>6975</v>
      </c>
      <c r="C211" s="600" t="s">
        <v>6442</v>
      </c>
      <c r="D211" s="602">
        <v>36173</v>
      </c>
      <c r="G211" s="600" t="s">
        <v>6945</v>
      </c>
      <c r="H211" s="600" t="s">
        <v>419</v>
      </c>
      <c r="I211" s="603">
        <v>0.01</v>
      </c>
      <c r="J211" s="603">
        <v>0.01</v>
      </c>
      <c r="M211" s="600" t="s">
        <v>6969</v>
      </c>
      <c r="N211" s="600" t="s">
        <v>404</v>
      </c>
      <c r="O211" s="603">
        <v>63.32</v>
      </c>
      <c r="P211" s="603">
        <v>62.67</v>
      </c>
      <c r="S211" s="600" t="s">
        <v>6960</v>
      </c>
      <c r="T211" s="600" t="s">
        <v>502</v>
      </c>
      <c r="U211" s="603">
        <v>0</v>
      </c>
      <c r="V211" s="603">
        <v>0</v>
      </c>
    </row>
    <row r="212" spans="2:22" x14ac:dyDescent="0.2">
      <c r="B212" s="600" t="s">
        <v>6976</v>
      </c>
      <c r="C212" s="600" t="s">
        <v>6438</v>
      </c>
      <c r="D212" s="602">
        <v>1638</v>
      </c>
      <c r="G212" s="600" t="s">
        <v>6945</v>
      </c>
      <c r="H212" s="600" t="s">
        <v>402</v>
      </c>
      <c r="I212" s="603">
        <v>28.53</v>
      </c>
      <c r="J212" s="603">
        <v>20.63</v>
      </c>
      <c r="M212" s="600" t="s">
        <v>6969</v>
      </c>
      <c r="N212" s="600" t="s">
        <v>6324</v>
      </c>
      <c r="O212" s="603">
        <v>5.75</v>
      </c>
      <c r="P212" s="603">
        <v>5.74</v>
      </c>
      <c r="S212" s="600" t="s">
        <v>6960</v>
      </c>
      <c r="T212" s="600" t="s">
        <v>503</v>
      </c>
      <c r="U212" s="603">
        <v>0</v>
      </c>
      <c r="V212" s="603">
        <v>0</v>
      </c>
    </row>
    <row r="213" spans="2:22" x14ac:dyDescent="0.2">
      <c r="B213" s="600" t="s">
        <v>6976</v>
      </c>
      <c r="C213" s="600" t="s">
        <v>6439</v>
      </c>
      <c r="D213" s="602">
        <v>9966</v>
      </c>
      <c r="G213" s="600" t="s">
        <v>6945</v>
      </c>
      <c r="H213" s="600" t="s">
        <v>211</v>
      </c>
      <c r="I213" s="603">
        <v>5.61</v>
      </c>
      <c r="J213" s="603">
        <v>7.54</v>
      </c>
      <c r="M213" s="600" t="s">
        <v>6969</v>
      </c>
      <c r="N213" s="600" t="s">
        <v>505</v>
      </c>
      <c r="O213" s="603">
        <v>21.66</v>
      </c>
      <c r="P213" s="603">
        <v>22.68</v>
      </c>
      <c r="S213" s="600" t="s">
        <v>6960</v>
      </c>
      <c r="T213" s="600" t="s">
        <v>504</v>
      </c>
      <c r="U213" s="603">
        <v>0.36</v>
      </c>
      <c r="V213" s="603">
        <v>0</v>
      </c>
    </row>
    <row r="214" spans="2:22" x14ac:dyDescent="0.2">
      <c r="B214" s="600" t="s">
        <v>6976</v>
      </c>
      <c r="C214" s="600" t="s">
        <v>6440</v>
      </c>
      <c r="D214" s="602">
        <v>56296</v>
      </c>
      <c r="G214" s="600" t="s">
        <v>6945</v>
      </c>
      <c r="H214" s="600" t="s">
        <v>210</v>
      </c>
      <c r="I214" s="603">
        <v>1.69</v>
      </c>
      <c r="J214" s="603">
        <v>1.39</v>
      </c>
      <c r="M214" s="600" t="s">
        <v>6969</v>
      </c>
      <c r="N214" s="600" t="s">
        <v>506</v>
      </c>
      <c r="O214" s="603">
        <v>8.3000000000000007</v>
      </c>
      <c r="P214" s="603">
        <v>8.0299999999999994</v>
      </c>
      <c r="S214" s="600" t="s">
        <v>6960</v>
      </c>
      <c r="T214" s="600" t="s">
        <v>6151</v>
      </c>
      <c r="U214" s="603">
        <v>0.36</v>
      </c>
      <c r="V214" s="603">
        <v>0</v>
      </c>
    </row>
    <row r="215" spans="2:22" x14ac:dyDescent="0.2">
      <c r="B215" s="600" t="s">
        <v>6976</v>
      </c>
      <c r="C215" s="600" t="s">
        <v>6441</v>
      </c>
      <c r="D215" s="602">
        <v>45655</v>
      </c>
      <c r="G215" s="600" t="s">
        <v>6945</v>
      </c>
      <c r="H215" s="600" t="s">
        <v>209</v>
      </c>
      <c r="I215" s="603">
        <v>0.51</v>
      </c>
      <c r="J215" s="603">
        <v>1.85</v>
      </c>
      <c r="M215" s="600" t="s">
        <v>6969</v>
      </c>
      <c r="N215" s="600" t="s">
        <v>507</v>
      </c>
      <c r="O215" s="603">
        <v>0.68</v>
      </c>
      <c r="P215" s="603">
        <v>0.71</v>
      </c>
      <c r="S215" s="600" t="s">
        <v>6961</v>
      </c>
      <c r="T215" s="600" t="s">
        <v>500</v>
      </c>
      <c r="U215" s="603">
        <v>64.760000000000005</v>
      </c>
      <c r="V215" s="603">
        <v>59.7</v>
      </c>
    </row>
    <row r="216" spans="2:22" x14ac:dyDescent="0.2">
      <c r="B216" s="600" t="s">
        <v>6976</v>
      </c>
      <c r="C216" s="600" t="s">
        <v>6442</v>
      </c>
      <c r="D216" s="602">
        <v>353765</v>
      </c>
      <c r="G216" s="600" t="s">
        <v>6945</v>
      </c>
      <c r="H216" s="600" t="s">
        <v>207</v>
      </c>
      <c r="I216" s="603">
        <v>3.72</v>
      </c>
      <c r="J216" s="603">
        <v>1.24</v>
      </c>
      <c r="M216" s="600" t="s">
        <v>6969</v>
      </c>
      <c r="N216" s="600" t="s">
        <v>6151</v>
      </c>
      <c r="O216" s="603">
        <v>0.28999999999999998</v>
      </c>
      <c r="P216" s="603">
        <v>0.18</v>
      </c>
      <c r="S216" s="600" t="s">
        <v>6961</v>
      </c>
      <c r="T216" s="600" t="s">
        <v>225</v>
      </c>
      <c r="U216" s="603">
        <v>25.41</v>
      </c>
      <c r="V216" s="603">
        <v>31.02</v>
      </c>
    </row>
    <row r="217" spans="2:22" x14ac:dyDescent="0.2">
      <c r="B217" s="600" t="s">
        <v>6977</v>
      </c>
      <c r="C217" s="600" t="s">
        <v>6438</v>
      </c>
      <c r="D217" s="602">
        <v>300</v>
      </c>
      <c r="G217" s="600" t="s">
        <v>6945</v>
      </c>
      <c r="H217" s="600" t="s">
        <v>206</v>
      </c>
      <c r="I217" s="603">
        <v>0</v>
      </c>
      <c r="J217" s="603">
        <v>0</v>
      </c>
      <c r="M217" s="600" t="s">
        <v>6970</v>
      </c>
      <c r="N217" s="600" t="s">
        <v>404</v>
      </c>
      <c r="O217" s="603">
        <v>62.73</v>
      </c>
      <c r="P217" s="603">
        <v>60.84</v>
      </c>
      <c r="S217" s="600" t="s">
        <v>6961</v>
      </c>
      <c r="T217" s="600" t="s">
        <v>430</v>
      </c>
      <c r="U217" s="603">
        <v>6.52</v>
      </c>
      <c r="V217" s="603">
        <v>5.46</v>
      </c>
    </row>
    <row r="218" spans="2:22" x14ac:dyDescent="0.2">
      <c r="B218" s="600" t="s">
        <v>6977</v>
      </c>
      <c r="C218" s="600" t="s">
        <v>6439</v>
      </c>
      <c r="D218" s="602">
        <v>1701</v>
      </c>
      <c r="G218" s="600" t="s">
        <v>6945</v>
      </c>
      <c r="H218" s="600" t="s">
        <v>313</v>
      </c>
      <c r="I218" s="603">
        <v>0.2</v>
      </c>
      <c r="J218" s="603">
        <v>0.64</v>
      </c>
      <c r="M218" s="600" t="s">
        <v>6970</v>
      </c>
      <c r="N218" s="600" t="s">
        <v>6324</v>
      </c>
      <c r="O218" s="603">
        <v>5.81</v>
      </c>
      <c r="P218" s="603">
        <v>5.76</v>
      </c>
      <c r="S218" s="600" t="s">
        <v>6961</v>
      </c>
      <c r="T218" s="600" t="s">
        <v>501</v>
      </c>
      <c r="U218" s="603">
        <v>2.04</v>
      </c>
      <c r="V218" s="603">
        <v>2.1800000000000002</v>
      </c>
    </row>
    <row r="219" spans="2:22" x14ac:dyDescent="0.2">
      <c r="B219" s="600" t="s">
        <v>6977</v>
      </c>
      <c r="C219" s="600" t="s">
        <v>6440</v>
      </c>
      <c r="D219" s="602">
        <v>11070</v>
      </c>
      <c r="G219" s="600" t="s">
        <v>6945</v>
      </c>
      <c r="H219" s="600" t="s">
        <v>497</v>
      </c>
      <c r="I219" s="603">
        <v>0</v>
      </c>
      <c r="J219" s="603">
        <v>0</v>
      </c>
      <c r="M219" s="600" t="s">
        <v>6970</v>
      </c>
      <c r="N219" s="600" t="s">
        <v>505</v>
      </c>
      <c r="O219" s="603">
        <v>16.86</v>
      </c>
      <c r="P219" s="603">
        <v>20.05</v>
      </c>
      <c r="S219" s="600" t="s">
        <v>6961</v>
      </c>
      <c r="T219" s="600" t="s">
        <v>502</v>
      </c>
      <c r="U219" s="603">
        <v>0</v>
      </c>
      <c r="V219" s="603">
        <v>0</v>
      </c>
    </row>
    <row r="220" spans="2:22" x14ac:dyDescent="0.2">
      <c r="B220" s="600" t="s">
        <v>6977</v>
      </c>
      <c r="C220" s="600" t="s">
        <v>6441</v>
      </c>
      <c r="D220" s="602">
        <v>9734</v>
      </c>
      <c r="G220" s="600" t="s">
        <v>6945</v>
      </c>
      <c r="H220" s="600" t="s">
        <v>416</v>
      </c>
      <c r="I220" s="603">
        <v>18.46</v>
      </c>
      <c r="J220" s="603">
        <v>22.28</v>
      </c>
      <c r="M220" s="600" t="s">
        <v>6970</v>
      </c>
      <c r="N220" s="600" t="s">
        <v>506</v>
      </c>
      <c r="O220" s="603">
        <v>14.15</v>
      </c>
      <c r="P220" s="603">
        <v>13.1</v>
      </c>
      <c r="S220" s="600" t="s">
        <v>6961</v>
      </c>
      <c r="T220" s="600" t="s">
        <v>503</v>
      </c>
      <c r="U220" s="603">
        <v>0.12</v>
      </c>
      <c r="V220" s="603">
        <v>0.23</v>
      </c>
    </row>
    <row r="221" spans="2:22" x14ac:dyDescent="0.2">
      <c r="B221" s="600" t="s">
        <v>6977</v>
      </c>
      <c r="C221" s="600" t="s">
        <v>6442</v>
      </c>
      <c r="D221" s="602">
        <v>61814</v>
      </c>
      <c r="G221" s="600" t="s">
        <v>6945</v>
      </c>
      <c r="H221" s="600" t="s">
        <v>449</v>
      </c>
      <c r="I221" s="603">
        <v>0.93</v>
      </c>
      <c r="J221" s="603">
        <v>0.13</v>
      </c>
      <c r="M221" s="600" t="s">
        <v>6970</v>
      </c>
      <c r="N221" s="600" t="s">
        <v>507</v>
      </c>
      <c r="O221" s="603">
        <v>0.28999999999999998</v>
      </c>
      <c r="P221" s="603">
        <v>0.23</v>
      </c>
      <c r="S221" s="600" t="s">
        <v>6961</v>
      </c>
      <c r="T221" s="600" t="s">
        <v>504</v>
      </c>
      <c r="U221" s="603">
        <v>1.1000000000000001</v>
      </c>
      <c r="V221" s="603">
        <v>1.33</v>
      </c>
    </row>
    <row r="222" spans="2:22" x14ac:dyDescent="0.2">
      <c r="B222" s="600" t="s">
        <v>6978</v>
      </c>
      <c r="C222" s="600" t="s">
        <v>6438</v>
      </c>
      <c r="D222" s="602">
        <v>1053</v>
      </c>
      <c r="G222" s="600" t="s">
        <v>6945</v>
      </c>
      <c r="H222" s="600" t="s">
        <v>498</v>
      </c>
      <c r="I222" s="603">
        <v>0</v>
      </c>
      <c r="J222" s="603">
        <v>0</v>
      </c>
      <c r="M222" s="600" t="s">
        <v>6970</v>
      </c>
      <c r="N222" s="600" t="s">
        <v>6151</v>
      </c>
      <c r="O222" s="603">
        <v>0.15</v>
      </c>
      <c r="P222" s="603">
        <v>0.03</v>
      </c>
      <c r="S222" s="600" t="s">
        <v>6961</v>
      </c>
      <c r="T222" s="600" t="s">
        <v>6151</v>
      </c>
      <c r="U222" s="603">
        <v>0.05</v>
      </c>
      <c r="V222" s="603">
        <v>0.08</v>
      </c>
    </row>
    <row r="223" spans="2:22" x14ac:dyDescent="0.2">
      <c r="B223" s="600" t="s">
        <v>6978</v>
      </c>
      <c r="C223" s="600" t="s">
        <v>6439</v>
      </c>
      <c r="D223" s="602">
        <v>6671</v>
      </c>
      <c r="G223" s="600" t="s">
        <v>6945</v>
      </c>
      <c r="H223" s="600" t="s">
        <v>202</v>
      </c>
      <c r="I223" s="603">
        <v>0.7</v>
      </c>
      <c r="J223" s="603">
        <v>1.51</v>
      </c>
      <c r="M223" s="600" t="s">
        <v>6971</v>
      </c>
      <c r="N223" s="600" t="s">
        <v>404</v>
      </c>
      <c r="O223" s="603">
        <v>63.69</v>
      </c>
      <c r="P223" s="603">
        <v>60.51</v>
      </c>
      <c r="S223" s="600" t="s">
        <v>6962</v>
      </c>
      <c r="T223" s="600" t="s">
        <v>500</v>
      </c>
      <c r="U223" s="603">
        <v>69.33</v>
      </c>
      <c r="V223" s="603">
        <v>68.75</v>
      </c>
    </row>
    <row r="224" spans="2:22" x14ac:dyDescent="0.2">
      <c r="B224" s="600" t="s">
        <v>6978</v>
      </c>
      <c r="C224" s="600" t="s">
        <v>6440</v>
      </c>
      <c r="D224" s="602">
        <v>42119</v>
      </c>
      <c r="G224" s="600" t="s">
        <v>6945</v>
      </c>
      <c r="H224" s="600" t="s">
        <v>409</v>
      </c>
      <c r="I224" s="603">
        <v>1.53</v>
      </c>
      <c r="J224" s="603">
        <v>1.3</v>
      </c>
      <c r="M224" s="600" t="s">
        <v>6971</v>
      </c>
      <c r="N224" s="600" t="s">
        <v>6324</v>
      </c>
      <c r="O224" s="603">
        <v>5.69</v>
      </c>
      <c r="P224" s="603">
        <v>5.45</v>
      </c>
      <c r="S224" s="600" t="s">
        <v>6962</v>
      </c>
      <c r="T224" s="600" t="s">
        <v>225</v>
      </c>
      <c r="U224" s="603">
        <v>20.73</v>
      </c>
      <c r="V224" s="603">
        <v>23.3</v>
      </c>
    </row>
    <row r="225" spans="2:22" x14ac:dyDescent="0.2">
      <c r="B225" s="600" t="s">
        <v>6978</v>
      </c>
      <c r="C225" s="600" t="s">
        <v>6441</v>
      </c>
      <c r="D225" s="602">
        <v>40834</v>
      </c>
      <c r="G225" s="600" t="s">
        <v>6945</v>
      </c>
      <c r="H225" s="600" t="s">
        <v>230</v>
      </c>
      <c r="I225" s="603">
        <v>2.87</v>
      </c>
      <c r="J225" s="603">
        <v>4.13</v>
      </c>
      <c r="M225" s="600" t="s">
        <v>6971</v>
      </c>
      <c r="N225" s="600" t="s">
        <v>505</v>
      </c>
      <c r="O225" s="603">
        <v>25.05</v>
      </c>
      <c r="P225" s="603">
        <v>28.84</v>
      </c>
      <c r="S225" s="600" t="s">
        <v>6962</v>
      </c>
      <c r="T225" s="600" t="s">
        <v>430</v>
      </c>
      <c r="U225" s="603">
        <v>5.7</v>
      </c>
      <c r="V225" s="603">
        <v>4.55</v>
      </c>
    </row>
    <row r="226" spans="2:22" x14ac:dyDescent="0.2">
      <c r="B226" s="600" t="s">
        <v>6978</v>
      </c>
      <c r="C226" s="600" t="s">
        <v>6442</v>
      </c>
      <c r="D226" s="602">
        <v>232288</v>
      </c>
      <c r="G226" s="600" t="s">
        <v>6945</v>
      </c>
      <c r="H226" s="600" t="s">
        <v>860</v>
      </c>
      <c r="I226" s="603">
        <v>2.12</v>
      </c>
      <c r="J226" s="603">
        <v>1.61</v>
      </c>
      <c r="M226" s="600" t="s">
        <v>6971</v>
      </c>
      <c r="N226" s="600" t="s">
        <v>506</v>
      </c>
      <c r="O226" s="603">
        <v>4.9000000000000004</v>
      </c>
      <c r="P226" s="603">
        <v>4.9000000000000004</v>
      </c>
      <c r="S226" s="600" t="s">
        <v>6962</v>
      </c>
      <c r="T226" s="600" t="s">
        <v>501</v>
      </c>
      <c r="U226" s="603">
        <v>3.39</v>
      </c>
      <c r="V226" s="603">
        <v>2.27</v>
      </c>
    </row>
    <row r="227" spans="2:22" x14ac:dyDescent="0.2">
      <c r="G227" s="600" t="s">
        <v>6946</v>
      </c>
      <c r="H227" s="600" t="s">
        <v>401</v>
      </c>
      <c r="I227" s="603">
        <v>0.53</v>
      </c>
      <c r="J227" s="603">
        <v>0.41</v>
      </c>
      <c r="M227" s="600" t="s">
        <v>6971</v>
      </c>
      <c r="N227" s="600" t="s">
        <v>507</v>
      </c>
      <c r="O227" s="603">
        <v>0.38</v>
      </c>
      <c r="P227" s="603">
        <v>0.22</v>
      </c>
      <c r="S227" s="600" t="s">
        <v>6962</v>
      </c>
      <c r="T227" s="600" t="s">
        <v>502</v>
      </c>
      <c r="U227" s="603">
        <v>0</v>
      </c>
      <c r="V227" s="603">
        <v>0</v>
      </c>
    </row>
    <row r="228" spans="2:22" x14ac:dyDescent="0.2">
      <c r="G228" s="600" t="s">
        <v>6946</v>
      </c>
      <c r="H228" s="600" t="s">
        <v>438</v>
      </c>
      <c r="I228" s="603">
        <v>1.43</v>
      </c>
      <c r="J228" s="603">
        <v>2.76</v>
      </c>
      <c r="M228" s="600" t="s">
        <v>6971</v>
      </c>
      <c r="N228" s="600" t="s">
        <v>6151</v>
      </c>
      <c r="O228" s="603">
        <v>0.28999999999999998</v>
      </c>
      <c r="P228" s="603">
        <v>0.08</v>
      </c>
      <c r="S228" s="600" t="s">
        <v>6962</v>
      </c>
      <c r="T228" s="600" t="s">
        <v>503</v>
      </c>
      <c r="U228" s="603">
        <v>0</v>
      </c>
      <c r="V228" s="603">
        <v>0</v>
      </c>
    </row>
    <row r="229" spans="2:22" x14ac:dyDescent="0.2">
      <c r="G229" s="600" t="s">
        <v>6946</v>
      </c>
      <c r="H229" s="600" t="s">
        <v>390</v>
      </c>
      <c r="I229" s="603">
        <v>28.38</v>
      </c>
      <c r="J229" s="603">
        <v>26.32</v>
      </c>
      <c r="M229" s="600" t="s">
        <v>6972</v>
      </c>
      <c r="N229" s="600" t="s">
        <v>404</v>
      </c>
      <c r="O229" s="603">
        <v>63.24</v>
      </c>
      <c r="P229" s="603">
        <v>60.77</v>
      </c>
      <c r="S229" s="600" t="s">
        <v>6962</v>
      </c>
      <c r="T229" s="600" t="s">
        <v>504</v>
      </c>
      <c r="U229" s="603">
        <v>0.61</v>
      </c>
      <c r="V229" s="603">
        <v>0.56999999999999995</v>
      </c>
    </row>
    <row r="230" spans="2:22" x14ac:dyDescent="0.2">
      <c r="G230" s="600" t="s">
        <v>6946</v>
      </c>
      <c r="H230" s="600" t="s">
        <v>212</v>
      </c>
      <c r="I230" s="603">
        <v>2.14</v>
      </c>
      <c r="J230" s="603">
        <v>0.51</v>
      </c>
      <c r="M230" s="600" t="s">
        <v>6972</v>
      </c>
      <c r="N230" s="600" t="s">
        <v>6324</v>
      </c>
      <c r="O230" s="603">
        <v>6</v>
      </c>
      <c r="P230" s="603">
        <v>5.6</v>
      </c>
      <c r="S230" s="600" t="s">
        <v>6962</v>
      </c>
      <c r="T230" s="600" t="s">
        <v>6151</v>
      </c>
      <c r="U230" s="603">
        <v>0.24</v>
      </c>
      <c r="V230" s="603">
        <v>0.56999999999999995</v>
      </c>
    </row>
    <row r="231" spans="2:22" x14ac:dyDescent="0.2">
      <c r="G231" s="600" t="s">
        <v>6946</v>
      </c>
      <c r="H231" s="600" t="s">
        <v>419</v>
      </c>
      <c r="I231" s="603">
        <v>0.04</v>
      </c>
      <c r="J231" s="603">
        <v>0.04</v>
      </c>
      <c r="M231" s="600" t="s">
        <v>6972</v>
      </c>
      <c r="N231" s="600" t="s">
        <v>505</v>
      </c>
      <c r="O231" s="603">
        <v>23.77</v>
      </c>
      <c r="P231" s="603">
        <v>26.87</v>
      </c>
      <c r="S231" s="600" t="s">
        <v>6963</v>
      </c>
      <c r="T231" s="600" t="s">
        <v>500</v>
      </c>
      <c r="U231" s="603">
        <v>72.599999999999994</v>
      </c>
      <c r="V231" s="603">
        <v>71.27</v>
      </c>
    </row>
    <row r="232" spans="2:22" x14ac:dyDescent="0.2">
      <c r="G232" s="600" t="s">
        <v>6946</v>
      </c>
      <c r="H232" s="600" t="s">
        <v>402</v>
      </c>
      <c r="I232" s="603">
        <v>16.899999999999999</v>
      </c>
      <c r="J232" s="603">
        <v>8.19</v>
      </c>
      <c r="M232" s="600" t="s">
        <v>6972</v>
      </c>
      <c r="N232" s="600" t="s">
        <v>506</v>
      </c>
      <c r="O232" s="603">
        <v>6.31</v>
      </c>
      <c r="P232" s="603">
        <v>6.33</v>
      </c>
      <c r="S232" s="600" t="s">
        <v>6963</v>
      </c>
      <c r="T232" s="600" t="s">
        <v>225</v>
      </c>
      <c r="U232" s="603">
        <v>17.77</v>
      </c>
      <c r="V232" s="603">
        <v>18.36</v>
      </c>
    </row>
    <row r="233" spans="2:22" x14ac:dyDescent="0.2">
      <c r="G233" s="600" t="s">
        <v>6946</v>
      </c>
      <c r="H233" s="600" t="s">
        <v>211</v>
      </c>
      <c r="I233" s="603">
        <v>20.36</v>
      </c>
      <c r="J233" s="603">
        <v>28.4</v>
      </c>
      <c r="M233" s="600" t="s">
        <v>6972</v>
      </c>
      <c r="N233" s="600" t="s">
        <v>507</v>
      </c>
      <c r="O233" s="603">
        <v>0.44</v>
      </c>
      <c r="P233" s="603">
        <v>0.35</v>
      </c>
      <c r="S233" s="600" t="s">
        <v>6963</v>
      </c>
      <c r="T233" s="600" t="s">
        <v>430</v>
      </c>
      <c r="U233" s="603">
        <v>5.15</v>
      </c>
      <c r="V233" s="603">
        <v>5.82</v>
      </c>
    </row>
    <row r="234" spans="2:22" x14ac:dyDescent="0.2">
      <c r="G234" s="600" t="s">
        <v>6946</v>
      </c>
      <c r="H234" s="600" t="s">
        <v>210</v>
      </c>
      <c r="I234" s="603">
        <v>2.34</v>
      </c>
      <c r="J234" s="603">
        <v>1.36</v>
      </c>
      <c r="M234" s="600" t="s">
        <v>6972</v>
      </c>
      <c r="N234" s="600" t="s">
        <v>6151</v>
      </c>
      <c r="O234" s="603">
        <v>0.24</v>
      </c>
      <c r="P234" s="603">
        <v>0.08</v>
      </c>
      <c r="S234" s="600" t="s">
        <v>6963</v>
      </c>
      <c r="T234" s="600" t="s">
        <v>501</v>
      </c>
      <c r="U234" s="603">
        <v>3.31</v>
      </c>
      <c r="V234" s="603">
        <v>3.55</v>
      </c>
    </row>
    <row r="235" spans="2:22" x14ac:dyDescent="0.2">
      <c r="G235" s="600" t="s">
        <v>6946</v>
      </c>
      <c r="H235" s="600" t="s">
        <v>209</v>
      </c>
      <c r="I235" s="603">
        <v>0.97</v>
      </c>
      <c r="J235" s="603">
        <v>3.31</v>
      </c>
      <c r="M235" s="600" t="s">
        <v>6973</v>
      </c>
      <c r="N235" s="600" t="s">
        <v>404</v>
      </c>
      <c r="O235" s="603">
        <v>64.86</v>
      </c>
      <c r="P235" s="603">
        <v>63.74</v>
      </c>
      <c r="S235" s="600" t="s">
        <v>6963</v>
      </c>
      <c r="T235" s="600" t="s">
        <v>502</v>
      </c>
      <c r="U235" s="603">
        <v>0</v>
      </c>
      <c r="V235" s="603">
        <v>0</v>
      </c>
    </row>
    <row r="236" spans="2:22" x14ac:dyDescent="0.2">
      <c r="G236" s="600" t="s">
        <v>6946</v>
      </c>
      <c r="H236" s="600" t="s">
        <v>207</v>
      </c>
      <c r="I236" s="603">
        <v>1.21</v>
      </c>
      <c r="J236" s="603">
        <v>0.31</v>
      </c>
      <c r="M236" s="600" t="s">
        <v>6973</v>
      </c>
      <c r="N236" s="600" t="s">
        <v>6324</v>
      </c>
      <c r="O236" s="603">
        <v>5.91</v>
      </c>
      <c r="P236" s="603">
        <v>6.13</v>
      </c>
      <c r="S236" s="600" t="s">
        <v>6963</v>
      </c>
      <c r="T236" s="600" t="s">
        <v>503</v>
      </c>
      <c r="U236" s="603">
        <v>0.06</v>
      </c>
      <c r="V236" s="603">
        <v>0.1</v>
      </c>
    </row>
    <row r="237" spans="2:22" x14ac:dyDescent="0.2">
      <c r="G237" s="600" t="s">
        <v>6946</v>
      </c>
      <c r="H237" s="600" t="s">
        <v>206</v>
      </c>
      <c r="I237" s="603">
        <v>0.01</v>
      </c>
      <c r="J237" s="603">
        <v>0.01</v>
      </c>
      <c r="M237" s="600" t="s">
        <v>6973</v>
      </c>
      <c r="N237" s="600" t="s">
        <v>505</v>
      </c>
      <c r="O237" s="603">
        <v>26.01</v>
      </c>
      <c r="P237" s="603">
        <v>27.07</v>
      </c>
      <c r="S237" s="600" t="s">
        <v>6963</v>
      </c>
      <c r="T237" s="600" t="s">
        <v>504</v>
      </c>
      <c r="U237" s="603">
        <v>0.98</v>
      </c>
      <c r="V237" s="603">
        <v>0.79</v>
      </c>
    </row>
    <row r="238" spans="2:22" x14ac:dyDescent="0.2">
      <c r="G238" s="600" t="s">
        <v>6946</v>
      </c>
      <c r="H238" s="600" t="s">
        <v>313</v>
      </c>
      <c r="I238" s="603">
        <v>0.6</v>
      </c>
      <c r="J238" s="603">
        <v>1.87</v>
      </c>
      <c r="M238" s="600" t="s">
        <v>6973</v>
      </c>
      <c r="N238" s="600" t="s">
        <v>506</v>
      </c>
      <c r="O238" s="603">
        <v>2.5299999999999998</v>
      </c>
      <c r="P238" s="603">
        <v>2.54</v>
      </c>
      <c r="S238" s="600" t="s">
        <v>6963</v>
      </c>
      <c r="T238" s="600" t="s">
        <v>6151</v>
      </c>
      <c r="U238" s="603">
        <v>0.14000000000000001</v>
      </c>
      <c r="V238" s="603">
        <v>0.1</v>
      </c>
    </row>
    <row r="239" spans="2:22" x14ac:dyDescent="0.2">
      <c r="G239" s="600" t="s">
        <v>6946</v>
      </c>
      <c r="H239" s="600" t="s">
        <v>497</v>
      </c>
      <c r="I239" s="603">
        <v>0</v>
      </c>
      <c r="J239" s="603">
        <v>0</v>
      </c>
      <c r="M239" s="600" t="s">
        <v>6973</v>
      </c>
      <c r="N239" s="600" t="s">
        <v>507</v>
      </c>
      <c r="O239" s="603">
        <v>0.38</v>
      </c>
      <c r="P239" s="603">
        <v>0.24</v>
      </c>
      <c r="S239" s="600" t="s">
        <v>6964</v>
      </c>
      <c r="T239" s="600" t="s">
        <v>500</v>
      </c>
      <c r="U239" s="603">
        <v>75.81</v>
      </c>
      <c r="V239" s="603">
        <v>77.849999999999994</v>
      </c>
    </row>
    <row r="240" spans="2:22" x14ac:dyDescent="0.2">
      <c r="G240" s="600" t="s">
        <v>6946</v>
      </c>
      <c r="H240" s="600" t="s">
        <v>416</v>
      </c>
      <c r="I240" s="603">
        <v>9.84</v>
      </c>
      <c r="J240" s="603">
        <v>9.5299999999999994</v>
      </c>
      <c r="M240" s="600" t="s">
        <v>6973</v>
      </c>
      <c r="N240" s="600" t="s">
        <v>6151</v>
      </c>
      <c r="O240" s="603">
        <v>0.32</v>
      </c>
      <c r="P240" s="603">
        <v>0.27</v>
      </c>
      <c r="S240" s="600" t="s">
        <v>6964</v>
      </c>
      <c r="T240" s="600" t="s">
        <v>225</v>
      </c>
      <c r="U240" s="603">
        <v>17.059999999999999</v>
      </c>
      <c r="V240" s="603">
        <v>16.86</v>
      </c>
    </row>
    <row r="241" spans="7:22" x14ac:dyDescent="0.2">
      <c r="G241" s="600" t="s">
        <v>6946</v>
      </c>
      <c r="H241" s="600" t="s">
        <v>449</v>
      </c>
      <c r="I241" s="603">
        <v>0.24</v>
      </c>
      <c r="J241" s="603">
        <v>0.12</v>
      </c>
      <c r="M241" s="600" t="s">
        <v>6974</v>
      </c>
      <c r="N241" s="600" t="s">
        <v>404</v>
      </c>
      <c r="O241" s="603">
        <v>59.38</v>
      </c>
      <c r="P241" s="603">
        <v>61.64</v>
      </c>
      <c r="S241" s="600" t="s">
        <v>6964</v>
      </c>
      <c r="T241" s="600" t="s">
        <v>430</v>
      </c>
      <c r="U241" s="603">
        <v>4.29</v>
      </c>
      <c r="V241" s="603">
        <v>2.99</v>
      </c>
    </row>
    <row r="242" spans="7:22" x14ac:dyDescent="0.2">
      <c r="G242" s="600" t="s">
        <v>6946</v>
      </c>
      <c r="H242" s="600" t="s">
        <v>498</v>
      </c>
      <c r="I242" s="603">
        <v>0</v>
      </c>
      <c r="J242" s="603">
        <v>0</v>
      </c>
      <c r="M242" s="600" t="s">
        <v>6974</v>
      </c>
      <c r="N242" s="600" t="s">
        <v>6324</v>
      </c>
      <c r="O242" s="603">
        <v>6.51</v>
      </c>
      <c r="P242" s="603">
        <v>5.49</v>
      </c>
      <c r="S242" s="600" t="s">
        <v>6964</v>
      </c>
      <c r="T242" s="600" t="s">
        <v>501</v>
      </c>
      <c r="U242" s="603">
        <v>1.95</v>
      </c>
      <c r="V242" s="603">
        <v>1.65</v>
      </c>
    </row>
    <row r="243" spans="7:22" x14ac:dyDescent="0.2">
      <c r="G243" s="600" t="s">
        <v>6946</v>
      </c>
      <c r="H243" s="600" t="s">
        <v>202</v>
      </c>
      <c r="I243" s="603">
        <v>0.27</v>
      </c>
      <c r="J243" s="603">
        <v>0.6</v>
      </c>
      <c r="M243" s="600" t="s">
        <v>6974</v>
      </c>
      <c r="N243" s="600" t="s">
        <v>505</v>
      </c>
      <c r="O243" s="603">
        <v>16.079999999999998</v>
      </c>
      <c r="P243" s="603">
        <v>18.64</v>
      </c>
      <c r="S243" s="600" t="s">
        <v>6964</v>
      </c>
      <c r="T243" s="600" t="s">
        <v>502</v>
      </c>
      <c r="U243" s="603">
        <v>0.15</v>
      </c>
      <c r="V243" s="603">
        <v>0.2</v>
      </c>
    </row>
    <row r="244" spans="7:22" x14ac:dyDescent="0.2">
      <c r="G244" s="600" t="s">
        <v>6946</v>
      </c>
      <c r="H244" s="600" t="s">
        <v>409</v>
      </c>
      <c r="I244" s="603">
        <v>0.86</v>
      </c>
      <c r="J244" s="603">
        <v>0.9</v>
      </c>
      <c r="M244" s="600" t="s">
        <v>6974</v>
      </c>
      <c r="N244" s="600" t="s">
        <v>506</v>
      </c>
      <c r="O244" s="603">
        <v>17.52</v>
      </c>
      <c r="P244" s="603">
        <v>13.86</v>
      </c>
      <c r="S244" s="600" t="s">
        <v>6964</v>
      </c>
      <c r="T244" s="600" t="s">
        <v>503</v>
      </c>
      <c r="U244" s="603">
        <v>0.09</v>
      </c>
      <c r="V244" s="603">
        <v>0.05</v>
      </c>
    </row>
    <row r="245" spans="7:22" x14ac:dyDescent="0.2">
      <c r="G245" s="600" t="s">
        <v>6946</v>
      </c>
      <c r="H245" s="600" t="s">
        <v>230</v>
      </c>
      <c r="I245" s="603">
        <v>8.74</v>
      </c>
      <c r="J245" s="603">
        <v>12.44</v>
      </c>
      <c r="M245" s="600" t="s">
        <v>6974</v>
      </c>
      <c r="N245" s="600" t="s">
        <v>507</v>
      </c>
      <c r="O245" s="603">
        <v>0.33</v>
      </c>
      <c r="P245" s="603">
        <v>0.21</v>
      </c>
      <c r="S245" s="600" t="s">
        <v>6964</v>
      </c>
      <c r="T245" s="600" t="s">
        <v>504</v>
      </c>
      <c r="U245" s="603">
        <v>0.34</v>
      </c>
      <c r="V245" s="603">
        <v>0.33</v>
      </c>
    </row>
    <row r="246" spans="7:22" x14ac:dyDescent="0.2">
      <c r="G246" s="600" t="s">
        <v>6946</v>
      </c>
      <c r="H246" s="600" t="s">
        <v>860</v>
      </c>
      <c r="I246" s="603">
        <v>5.13</v>
      </c>
      <c r="J246" s="603">
        <v>2.92</v>
      </c>
      <c r="M246" s="600" t="s">
        <v>6974</v>
      </c>
      <c r="N246" s="600" t="s">
        <v>6151</v>
      </c>
      <c r="O246" s="603">
        <v>0.18</v>
      </c>
      <c r="P246" s="603">
        <v>0.15</v>
      </c>
      <c r="S246" s="600" t="s">
        <v>6964</v>
      </c>
      <c r="T246" s="600" t="s">
        <v>6151</v>
      </c>
      <c r="U246" s="603">
        <v>0.28999999999999998</v>
      </c>
      <c r="V246" s="603">
        <v>0.08</v>
      </c>
    </row>
    <row r="247" spans="7:22" x14ac:dyDescent="0.2">
      <c r="G247" s="600" t="s">
        <v>6947</v>
      </c>
      <c r="H247" s="600" t="s">
        <v>401</v>
      </c>
      <c r="I247" s="603">
        <v>0</v>
      </c>
      <c r="J247" s="603">
        <v>0</v>
      </c>
      <c r="M247" s="600" t="s">
        <v>6975</v>
      </c>
      <c r="N247" s="600" t="s">
        <v>404</v>
      </c>
      <c r="O247" s="603">
        <v>63.55</v>
      </c>
      <c r="P247" s="603">
        <v>61.38</v>
      </c>
      <c r="S247" s="600" t="s">
        <v>6965</v>
      </c>
      <c r="T247" s="600" t="s">
        <v>500</v>
      </c>
      <c r="U247" s="603">
        <v>77.11</v>
      </c>
      <c r="V247" s="603">
        <v>77.239999999999995</v>
      </c>
    </row>
    <row r="248" spans="7:22" x14ac:dyDescent="0.2">
      <c r="G248" s="600" t="s">
        <v>6947</v>
      </c>
      <c r="H248" s="600" t="s">
        <v>438</v>
      </c>
      <c r="I248" s="603">
        <v>1.39</v>
      </c>
      <c r="J248" s="603">
        <v>3.37</v>
      </c>
      <c r="M248" s="600" t="s">
        <v>6975</v>
      </c>
      <c r="N248" s="600" t="s">
        <v>6324</v>
      </c>
      <c r="O248" s="603">
        <v>5.85</v>
      </c>
      <c r="P248" s="603">
        <v>5.7</v>
      </c>
      <c r="S248" s="600" t="s">
        <v>6965</v>
      </c>
      <c r="T248" s="600" t="s">
        <v>225</v>
      </c>
      <c r="U248" s="603">
        <v>17.28</v>
      </c>
      <c r="V248" s="603">
        <v>17.95</v>
      </c>
    </row>
    <row r="249" spans="7:22" x14ac:dyDescent="0.2">
      <c r="G249" s="600" t="s">
        <v>6947</v>
      </c>
      <c r="H249" s="600" t="s">
        <v>390</v>
      </c>
      <c r="I249" s="603">
        <v>40.42</v>
      </c>
      <c r="J249" s="603">
        <v>37.450000000000003</v>
      </c>
      <c r="M249" s="600" t="s">
        <v>6975</v>
      </c>
      <c r="N249" s="600" t="s">
        <v>505</v>
      </c>
      <c r="O249" s="603">
        <v>20.5</v>
      </c>
      <c r="P249" s="603">
        <v>24.2</v>
      </c>
      <c r="S249" s="600" t="s">
        <v>6965</v>
      </c>
      <c r="T249" s="600" t="s">
        <v>430</v>
      </c>
      <c r="U249" s="603">
        <v>3.45</v>
      </c>
      <c r="V249" s="603">
        <v>2.56</v>
      </c>
    </row>
    <row r="250" spans="7:22" x14ac:dyDescent="0.2">
      <c r="G250" s="600" t="s">
        <v>6947</v>
      </c>
      <c r="H250" s="600" t="s">
        <v>212</v>
      </c>
      <c r="I250" s="603">
        <v>1.69</v>
      </c>
      <c r="J250" s="603">
        <v>0.37</v>
      </c>
      <c r="M250" s="600" t="s">
        <v>6975</v>
      </c>
      <c r="N250" s="600" t="s">
        <v>506</v>
      </c>
      <c r="O250" s="603">
        <v>9.52</v>
      </c>
      <c r="P250" s="603">
        <v>8.2100000000000009</v>
      </c>
      <c r="S250" s="600" t="s">
        <v>6965</v>
      </c>
      <c r="T250" s="600" t="s">
        <v>501</v>
      </c>
      <c r="U250" s="603">
        <v>1.59</v>
      </c>
      <c r="V250" s="603">
        <v>1.73</v>
      </c>
    </row>
    <row r="251" spans="7:22" x14ac:dyDescent="0.2">
      <c r="G251" s="600" t="s">
        <v>6947</v>
      </c>
      <c r="H251" s="600" t="s">
        <v>419</v>
      </c>
      <c r="I251" s="603">
        <v>0</v>
      </c>
      <c r="J251" s="603">
        <v>0</v>
      </c>
      <c r="M251" s="600" t="s">
        <v>6975</v>
      </c>
      <c r="N251" s="600" t="s">
        <v>507</v>
      </c>
      <c r="O251" s="603">
        <v>0.35</v>
      </c>
      <c r="P251" s="603">
        <v>0.34</v>
      </c>
      <c r="S251" s="600" t="s">
        <v>6965</v>
      </c>
      <c r="T251" s="600" t="s">
        <v>502</v>
      </c>
      <c r="U251" s="603">
        <v>0</v>
      </c>
      <c r="V251" s="603">
        <v>0</v>
      </c>
    </row>
    <row r="252" spans="7:22" x14ac:dyDescent="0.2">
      <c r="G252" s="600" t="s">
        <v>6947</v>
      </c>
      <c r="H252" s="600" t="s">
        <v>402</v>
      </c>
      <c r="I252" s="603">
        <v>16.48</v>
      </c>
      <c r="J252" s="603">
        <v>5.99</v>
      </c>
      <c r="M252" s="600" t="s">
        <v>6975</v>
      </c>
      <c r="N252" s="600" t="s">
        <v>6151</v>
      </c>
      <c r="O252" s="603">
        <v>0.24</v>
      </c>
      <c r="P252" s="603">
        <v>0.17</v>
      </c>
      <c r="S252" s="600" t="s">
        <v>6965</v>
      </c>
      <c r="T252" s="600" t="s">
        <v>503</v>
      </c>
      <c r="U252" s="603">
        <v>7.0000000000000007E-2</v>
      </c>
      <c r="V252" s="603">
        <v>0</v>
      </c>
    </row>
    <row r="253" spans="7:22" x14ac:dyDescent="0.2">
      <c r="G253" s="600" t="s">
        <v>6947</v>
      </c>
      <c r="H253" s="600" t="s">
        <v>211</v>
      </c>
      <c r="I253" s="603">
        <v>11.32</v>
      </c>
      <c r="J253" s="603">
        <v>16.850000000000001</v>
      </c>
      <c r="M253" s="600" t="s">
        <v>6976</v>
      </c>
      <c r="N253" s="600" t="s">
        <v>404</v>
      </c>
      <c r="O253" s="603">
        <v>64.510000000000005</v>
      </c>
      <c r="P253" s="603">
        <v>66.89</v>
      </c>
      <c r="S253" s="600" t="s">
        <v>6965</v>
      </c>
      <c r="T253" s="600" t="s">
        <v>504</v>
      </c>
      <c r="U253" s="603">
        <v>0.39</v>
      </c>
      <c r="V253" s="603">
        <v>0.43</v>
      </c>
    </row>
    <row r="254" spans="7:22" x14ac:dyDescent="0.2">
      <c r="G254" s="600" t="s">
        <v>6947</v>
      </c>
      <c r="H254" s="600" t="s">
        <v>210</v>
      </c>
      <c r="I254" s="603">
        <v>0.6</v>
      </c>
      <c r="J254" s="603">
        <v>0.37</v>
      </c>
      <c r="M254" s="600" t="s">
        <v>6976</v>
      </c>
      <c r="N254" s="600" t="s">
        <v>6324</v>
      </c>
      <c r="O254" s="603">
        <v>5.3</v>
      </c>
      <c r="P254" s="603">
        <v>5.01</v>
      </c>
      <c r="S254" s="600" t="s">
        <v>6965</v>
      </c>
      <c r="T254" s="600" t="s">
        <v>6151</v>
      </c>
      <c r="U254" s="603">
        <v>0.11</v>
      </c>
      <c r="V254" s="603">
        <v>0.08</v>
      </c>
    </row>
    <row r="255" spans="7:22" x14ac:dyDescent="0.2">
      <c r="G255" s="600" t="s">
        <v>6947</v>
      </c>
      <c r="H255" s="600" t="s">
        <v>209</v>
      </c>
      <c r="I255" s="603">
        <v>0.5</v>
      </c>
      <c r="J255" s="603">
        <v>1.5</v>
      </c>
      <c r="M255" s="600" t="s">
        <v>6976</v>
      </c>
      <c r="N255" s="600" t="s">
        <v>505</v>
      </c>
      <c r="O255" s="603">
        <v>17.190000000000001</v>
      </c>
      <c r="P255" s="603">
        <v>17.39</v>
      </c>
      <c r="S255" s="600" t="s">
        <v>6966</v>
      </c>
      <c r="T255" s="600" t="s">
        <v>500</v>
      </c>
      <c r="U255" s="603">
        <v>80.02</v>
      </c>
      <c r="V255" s="603">
        <v>81.89</v>
      </c>
    </row>
    <row r="256" spans="7:22" x14ac:dyDescent="0.2">
      <c r="G256" s="600" t="s">
        <v>6947</v>
      </c>
      <c r="H256" s="600" t="s">
        <v>207</v>
      </c>
      <c r="I256" s="603">
        <v>1.29</v>
      </c>
      <c r="J256" s="603">
        <v>0.37</v>
      </c>
      <c r="M256" s="600" t="s">
        <v>6976</v>
      </c>
      <c r="N256" s="600" t="s">
        <v>506</v>
      </c>
      <c r="O256" s="603">
        <v>10.81</v>
      </c>
      <c r="P256" s="603">
        <v>9.99</v>
      </c>
      <c r="S256" s="600" t="s">
        <v>6966</v>
      </c>
      <c r="T256" s="600" t="s">
        <v>225</v>
      </c>
      <c r="U256" s="603">
        <v>15.91</v>
      </c>
      <c r="V256" s="603">
        <v>15.95</v>
      </c>
    </row>
    <row r="257" spans="7:22" x14ac:dyDescent="0.2">
      <c r="G257" s="600" t="s">
        <v>6947</v>
      </c>
      <c r="H257" s="600" t="s">
        <v>206</v>
      </c>
      <c r="I257" s="603">
        <v>0</v>
      </c>
      <c r="J257" s="603">
        <v>0</v>
      </c>
      <c r="M257" s="600" t="s">
        <v>6976</v>
      </c>
      <c r="N257" s="600" t="s">
        <v>507</v>
      </c>
      <c r="O257" s="603">
        <v>0.78</v>
      </c>
      <c r="P257" s="603">
        <v>0.51</v>
      </c>
      <c r="S257" s="600" t="s">
        <v>6966</v>
      </c>
      <c r="T257" s="600" t="s">
        <v>430</v>
      </c>
      <c r="U257" s="603">
        <v>2.62</v>
      </c>
      <c r="V257" s="603">
        <v>1.53</v>
      </c>
    </row>
    <row r="258" spans="7:22" x14ac:dyDescent="0.2">
      <c r="G258" s="600" t="s">
        <v>6947</v>
      </c>
      <c r="H258" s="600" t="s">
        <v>313</v>
      </c>
      <c r="I258" s="603">
        <v>0.5</v>
      </c>
      <c r="J258" s="603">
        <v>1.5</v>
      </c>
      <c r="M258" s="600" t="s">
        <v>6976</v>
      </c>
      <c r="N258" s="600" t="s">
        <v>6151</v>
      </c>
      <c r="O258" s="603">
        <v>1.42</v>
      </c>
      <c r="P258" s="603">
        <v>0.21</v>
      </c>
      <c r="S258" s="600" t="s">
        <v>6966</v>
      </c>
      <c r="T258" s="600" t="s">
        <v>501</v>
      </c>
      <c r="U258" s="603">
        <v>0.78</v>
      </c>
      <c r="V258" s="603">
        <v>0.18</v>
      </c>
    </row>
    <row r="259" spans="7:22" x14ac:dyDescent="0.2">
      <c r="G259" s="600" t="s">
        <v>6947</v>
      </c>
      <c r="H259" s="600" t="s">
        <v>497</v>
      </c>
      <c r="I259" s="603">
        <v>0</v>
      </c>
      <c r="J259" s="603">
        <v>0</v>
      </c>
      <c r="M259" s="600" t="s">
        <v>6977</v>
      </c>
      <c r="N259" s="600" t="s">
        <v>404</v>
      </c>
      <c r="O259" s="603">
        <v>67.84</v>
      </c>
      <c r="P259" s="603">
        <v>67.25</v>
      </c>
      <c r="S259" s="600" t="s">
        <v>6966</v>
      </c>
      <c r="T259" s="600" t="s">
        <v>502</v>
      </c>
      <c r="U259" s="603">
        <v>0.02</v>
      </c>
      <c r="V259" s="603">
        <v>0</v>
      </c>
    </row>
    <row r="260" spans="7:22" x14ac:dyDescent="0.2">
      <c r="G260" s="600" t="s">
        <v>6947</v>
      </c>
      <c r="H260" s="600" t="s">
        <v>416</v>
      </c>
      <c r="I260" s="603">
        <v>8.64</v>
      </c>
      <c r="J260" s="603">
        <v>8.61</v>
      </c>
      <c r="M260" s="600" t="s">
        <v>6977</v>
      </c>
      <c r="N260" s="600" t="s">
        <v>6324</v>
      </c>
      <c r="O260" s="603">
        <v>5.35</v>
      </c>
      <c r="P260" s="603">
        <v>5.38</v>
      </c>
      <c r="S260" s="600" t="s">
        <v>6966</v>
      </c>
      <c r="T260" s="600" t="s">
        <v>503</v>
      </c>
      <c r="U260" s="603">
        <v>7.0000000000000007E-2</v>
      </c>
      <c r="V260" s="603">
        <v>0.09</v>
      </c>
    </row>
    <row r="261" spans="7:22" x14ac:dyDescent="0.2">
      <c r="G261" s="600" t="s">
        <v>6947</v>
      </c>
      <c r="H261" s="600" t="s">
        <v>449</v>
      </c>
      <c r="I261" s="603">
        <v>0.3</v>
      </c>
      <c r="J261" s="603">
        <v>0</v>
      </c>
      <c r="M261" s="600" t="s">
        <v>6977</v>
      </c>
      <c r="N261" s="600" t="s">
        <v>505</v>
      </c>
      <c r="O261" s="603">
        <v>19.21</v>
      </c>
      <c r="P261" s="603">
        <v>20.98</v>
      </c>
      <c r="S261" s="600" t="s">
        <v>6966</v>
      </c>
      <c r="T261" s="600" t="s">
        <v>504</v>
      </c>
      <c r="U261" s="603">
        <v>0.27</v>
      </c>
      <c r="V261" s="603">
        <v>0.27</v>
      </c>
    </row>
    <row r="262" spans="7:22" x14ac:dyDescent="0.2">
      <c r="G262" s="600" t="s">
        <v>6947</v>
      </c>
      <c r="H262" s="600" t="s">
        <v>498</v>
      </c>
      <c r="I262" s="603">
        <v>0</v>
      </c>
      <c r="J262" s="603">
        <v>0</v>
      </c>
      <c r="M262" s="600" t="s">
        <v>6977</v>
      </c>
      <c r="N262" s="600" t="s">
        <v>506</v>
      </c>
      <c r="O262" s="603">
        <v>6.7</v>
      </c>
      <c r="P262" s="603">
        <v>5.87</v>
      </c>
      <c r="S262" s="600" t="s">
        <v>6966</v>
      </c>
      <c r="T262" s="600" t="s">
        <v>6151</v>
      </c>
      <c r="U262" s="603">
        <v>0.31</v>
      </c>
      <c r="V262" s="603">
        <v>0.09</v>
      </c>
    </row>
    <row r="263" spans="7:22" x14ac:dyDescent="0.2">
      <c r="G263" s="600" t="s">
        <v>6947</v>
      </c>
      <c r="H263" s="600" t="s">
        <v>202</v>
      </c>
      <c r="I263" s="603">
        <v>0</v>
      </c>
      <c r="J263" s="603">
        <v>0</v>
      </c>
      <c r="M263" s="600" t="s">
        <v>6977</v>
      </c>
      <c r="N263" s="600" t="s">
        <v>507</v>
      </c>
      <c r="O263" s="603">
        <v>0.46</v>
      </c>
      <c r="P263" s="603">
        <v>0.37</v>
      </c>
      <c r="S263" s="600" t="s">
        <v>6967</v>
      </c>
      <c r="T263" s="600" t="s">
        <v>500</v>
      </c>
      <c r="U263" s="603">
        <v>73.400000000000006</v>
      </c>
      <c r="V263" s="603">
        <v>80.349999999999994</v>
      </c>
    </row>
    <row r="264" spans="7:22" x14ac:dyDescent="0.2">
      <c r="G264" s="600" t="s">
        <v>6947</v>
      </c>
      <c r="H264" s="600" t="s">
        <v>409</v>
      </c>
      <c r="I264" s="603">
        <v>0.7</v>
      </c>
      <c r="J264" s="603">
        <v>1.1200000000000001</v>
      </c>
      <c r="M264" s="600" t="s">
        <v>6977</v>
      </c>
      <c r="N264" s="600" t="s">
        <v>6151</v>
      </c>
      <c r="O264" s="603">
        <v>0.43</v>
      </c>
      <c r="P264" s="603">
        <v>0.16</v>
      </c>
      <c r="S264" s="600" t="s">
        <v>6967</v>
      </c>
      <c r="T264" s="600" t="s">
        <v>225</v>
      </c>
      <c r="U264" s="603">
        <v>15.05</v>
      </c>
      <c r="V264" s="603">
        <v>13.61</v>
      </c>
    </row>
    <row r="265" spans="7:22" x14ac:dyDescent="0.2">
      <c r="G265" s="600" t="s">
        <v>6947</v>
      </c>
      <c r="H265" s="600" t="s">
        <v>230</v>
      </c>
      <c r="I265" s="603">
        <v>9.83</v>
      </c>
      <c r="J265" s="603">
        <v>19.48</v>
      </c>
      <c r="M265" s="600" t="s">
        <v>6978</v>
      </c>
      <c r="N265" s="600" t="s">
        <v>404</v>
      </c>
      <c r="O265" s="603">
        <v>70</v>
      </c>
      <c r="P265" s="603">
        <v>67.89</v>
      </c>
      <c r="S265" s="600" t="s">
        <v>6967</v>
      </c>
      <c r="T265" s="600" t="s">
        <v>430</v>
      </c>
      <c r="U265" s="603">
        <v>4.41</v>
      </c>
      <c r="V265" s="603">
        <v>1.51</v>
      </c>
    </row>
    <row r="266" spans="7:22" x14ac:dyDescent="0.2">
      <c r="G266" s="600" t="s">
        <v>6947</v>
      </c>
      <c r="H266" s="600" t="s">
        <v>860</v>
      </c>
      <c r="I266" s="603">
        <v>6.36</v>
      </c>
      <c r="J266" s="603">
        <v>3</v>
      </c>
      <c r="M266" s="600" t="s">
        <v>6978</v>
      </c>
      <c r="N266" s="600" t="s">
        <v>6324</v>
      </c>
      <c r="O266" s="603">
        <v>4.74</v>
      </c>
      <c r="P266" s="603">
        <v>4.8</v>
      </c>
      <c r="S266" s="600" t="s">
        <v>6967</v>
      </c>
      <c r="T266" s="600" t="s">
        <v>501</v>
      </c>
      <c r="U266" s="603">
        <v>4.41</v>
      </c>
      <c r="V266" s="603">
        <v>3.02</v>
      </c>
    </row>
    <row r="267" spans="7:22" x14ac:dyDescent="0.2">
      <c r="G267" s="600" t="s">
        <v>6948</v>
      </c>
      <c r="H267" s="600" t="s">
        <v>401</v>
      </c>
      <c r="I267" s="603">
        <v>0.32</v>
      </c>
      <c r="J267" s="603">
        <v>0.2</v>
      </c>
      <c r="M267" s="600" t="s">
        <v>6978</v>
      </c>
      <c r="N267" s="600" t="s">
        <v>505</v>
      </c>
      <c r="O267" s="603">
        <v>21.79</v>
      </c>
      <c r="P267" s="603">
        <v>24.29</v>
      </c>
      <c r="S267" s="600" t="s">
        <v>6967</v>
      </c>
      <c r="T267" s="600" t="s">
        <v>502</v>
      </c>
      <c r="U267" s="603">
        <v>2.04</v>
      </c>
      <c r="V267" s="603">
        <v>1.3</v>
      </c>
    </row>
    <row r="268" spans="7:22" x14ac:dyDescent="0.2">
      <c r="G268" s="600" t="s">
        <v>6948</v>
      </c>
      <c r="H268" s="600" t="s">
        <v>438</v>
      </c>
      <c r="I268" s="603">
        <v>2.08</v>
      </c>
      <c r="J268" s="603">
        <v>4.05</v>
      </c>
      <c r="M268" s="600" t="s">
        <v>6978</v>
      </c>
      <c r="N268" s="600" t="s">
        <v>506</v>
      </c>
      <c r="O268" s="603">
        <v>2.44</v>
      </c>
      <c r="P268" s="603">
        <v>2.42</v>
      </c>
      <c r="S268" s="600" t="s">
        <v>6967</v>
      </c>
      <c r="T268" s="600" t="s">
        <v>503</v>
      </c>
      <c r="U268" s="603">
        <v>0.11</v>
      </c>
      <c r="V268" s="603">
        <v>0</v>
      </c>
    </row>
    <row r="269" spans="7:22" x14ac:dyDescent="0.2">
      <c r="G269" s="600" t="s">
        <v>6948</v>
      </c>
      <c r="H269" s="600" t="s">
        <v>390</v>
      </c>
      <c r="I269" s="603">
        <v>34.700000000000003</v>
      </c>
      <c r="J269" s="603">
        <v>28.75</v>
      </c>
      <c r="M269" s="600" t="s">
        <v>6978</v>
      </c>
      <c r="N269" s="600" t="s">
        <v>507</v>
      </c>
      <c r="O269" s="603">
        <v>0.44</v>
      </c>
      <c r="P269" s="603">
        <v>0.36</v>
      </c>
      <c r="S269" s="600" t="s">
        <v>6967</v>
      </c>
      <c r="T269" s="600" t="s">
        <v>504</v>
      </c>
      <c r="U269" s="603">
        <v>0.17</v>
      </c>
      <c r="V269" s="603">
        <v>0.22</v>
      </c>
    </row>
    <row r="270" spans="7:22" x14ac:dyDescent="0.2">
      <c r="G270" s="600" t="s">
        <v>6948</v>
      </c>
      <c r="H270" s="600" t="s">
        <v>212</v>
      </c>
      <c r="I270" s="603">
        <v>1.98</v>
      </c>
      <c r="J270" s="603">
        <v>0.42</v>
      </c>
      <c r="M270" s="600" t="s">
        <v>6978</v>
      </c>
      <c r="N270" s="600" t="s">
        <v>6151</v>
      </c>
      <c r="O270" s="603">
        <v>0.59</v>
      </c>
      <c r="P270" s="603">
        <v>0.23</v>
      </c>
      <c r="S270" s="600" t="s">
        <v>6967</v>
      </c>
      <c r="T270" s="600" t="s">
        <v>6151</v>
      </c>
      <c r="U270" s="603">
        <v>0.4</v>
      </c>
      <c r="V270" s="603">
        <v>0</v>
      </c>
    </row>
    <row r="271" spans="7:22" x14ac:dyDescent="0.2">
      <c r="G271" s="600" t="s">
        <v>6948</v>
      </c>
      <c r="H271" s="600" t="s">
        <v>419</v>
      </c>
      <c r="I271" s="603">
        <v>0.04</v>
      </c>
      <c r="J271" s="603">
        <v>0.05</v>
      </c>
      <c r="S271" s="600" t="s">
        <v>6968</v>
      </c>
      <c r="T271" s="600" t="s">
        <v>500</v>
      </c>
      <c r="U271" s="603">
        <v>68.069999999999993</v>
      </c>
      <c r="V271" s="603">
        <v>65.94</v>
      </c>
    </row>
    <row r="272" spans="7:22" x14ac:dyDescent="0.2">
      <c r="G272" s="600" t="s">
        <v>6948</v>
      </c>
      <c r="H272" s="600" t="s">
        <v>402</v>
      </c>
      <c r="I272" s="603">
        <v>16.43</v>
      </c>
      <c r="J272" s="603">
        <v>7.79</v>
      </c>
      <c r="S272" s="600" t="s">
        <v>6968</v>
      </c>
      <c r="T272" s="600" t="s">
        <v>225</v>
      </c>
      <c r="U272" s="603">
        <v>23.22</v>
      </c>
      <c r="V272" s="603">
        <v>26.4</v>
      </c>
    </row>
    <row r="273" spans="7:22" x14ac:dyDescent="0.2">
      <c r="G273" s="600" t="s">
        <v>6948</v>
      </c>
      <c r="H273" s="600" t="s">
        <v>211</v>
      </c>
      <c r="I273" s="603">
        <v>17.34</v>
      </c>
      <c r="J273" s="603">
        <v>25.34</v>
      </c>
      <c r="S273" s="600" t="s">
        <v>6968</v>
      </c>
      <c r="T273" s="600" t="s">
        <v>430</v>
      </c>
      <c r="U273" s="603">
        <v>5.31</v>
      </c>
      <c r="V273" s="603">
        <v>4.07</v>
      </c>
    </row>
    <row r="274" spans="7:22" x14ac:dyDescent="0.2">
      <c r="G274" s="600" t="s">
        <v>6948</v>
      </c>
      <c r="H274" s="600" t="s">
        <v>210</v>
      </c>
      <c r="I274" s="603">
        <v>1.19</v>
      </c>
      <c r="J274" s="603">
        <v>0.57999999999999996</v>
      </c>
      <c r="S274" s="600" t="s">
        <v>6968</v>
      </c>
      <c r="T274" s="600" t="s">
        <v>501</v>
      </c>
      <c r="U274" s="603">
        <v>2.74</v>
      </c>
      <c r="V274" s="603">
        <v>2.95</v>
      </c>
    </row>
    <row r="275" spans="7:22" x14ac:dyDescent="0.2">
      <c r="G275" s="600" t="s">
        <v>6948</v>
      </c>
      <c r="H275" s="600" t="s">
        <v>209</v>
      </c>
      <c r="I275" s="603">
        <v>1.2</v>
      </c>
      <c r="J275" s="603">
        <v>3.99</v>
      </c>
      <c r="S275" s="600" t="s">
        <v>6968</v>
      </c>
      <c r="T275" s="600" t="s">
        <v>502</v>
      </c>
      <c r="U275" s="603">
        <v>0.01</v>
      </c>
      <c r="V275" s="603">
        <v>0.06</v>
      </c>
    </row>
    <row r="276" spans="7:22" x14ac:dyDescent="0.2">
      <c r="G276" s="600" t="s">
        <v>6948</v>
      </c>
      <c r="H276" s="600" t="s">
        <v>207</v>
      </c>
      <c r="I276" s="603">
        <v>0.39</v>
      </c>
      <c r="J276" s="603">
        <v>0.11</v>
      </c>
      <c r="S276" s="600" t="s">
        <v>6968</v>
      </c>
      <c r="T276" s="600" t="s">
        <v>503</v>
      </c>
      <c r="U276" s="603">
        <v>0.13</v>
      </c>
      <c r="V276" s="603">
        <v>0.06</v>
      </c>
    </row>
    <row r="277" spans="7:22" x14ac:dyDescent="0.2">
      <c r="G277" s="600" t="s">
        <v>6948</v>
      </c>
      <c r="H277" s="600" t="s">
        <v>206</v>
      </c>
      <c r="I277" s="603">
        <v>0</v>
      </c>
      <c r="J277" s="603">
        <v>0</v>
      </c>
      <c r="S277" s="600" t="s">
        <v>6968</v>
      </c>
      <c r="T277" s="600" t="s">
        <v>504</v>
      </c>
      <c r="U277" s="603">
        <v>0.31</v>
      </c>
      <c r="V277" s="603">
        <v>0.28999999999999998</v>
      </c>
    </row>
    <row r="278" spans="7:22" x14ac:dyDescent="0.2">
      <c r="G278" s="600" t="s">
        <v>6948</v>
      </c>
      <c r="H278" s="600" t="s">
        <v>313</v>
      </c>
      <c r="I278" s="603">
        <v>0.6</v>
      </c>
      <c r="J278" s="603">
        <v>1.84</v>
      </c>
      <c r="S278" s="600" t="s">
        <v>6968</v>
      </c>
      <c r="T278" s="600" t="s">
        <v>6151</v>
      </c>
      <c r="U278" s="603">
        <v>0.2</v>
      </c>
      <c r="V278" s="603">
        <v>0.24</v>
      </c>
    </row>
    <row r="279" spans="7:22" x14ac:dyDescent="0.2">
      <c r="G279" s="600" t="s">
        <v>6948</v>
      </c>
      <c r="H279" s="600" t="s">
        <v>497</v>
      </c>
      <c r="I279" s="603">
        <v>0</v>
      </c>
      <c r="J279" s="603">
        <v>0</v>
      </c>
      <c r="S279" s="600" t="s">
        <v>6969</v>
      </c>
      <c r="T279" s="600" t="s">
        <v>500</v>
      </c>
      <c r="U279" s="603">
        <v>68.11</v>
      </c>
      <c r="V279" s="603">
        <v>66.81</v>
      </c>
    </row>
    <row r="280" spans="7:22" x14ac:dyDescent="0.2">
      <c r="G280" s="600" t="s">
        <v>6948</v>
      </c>
      <c r="H280" s="600" t="s">
        <v>416</v>
      </c>
      <c r="I280" s="603">
        <v>5.31</v>
      </c>
      <c r="J280" s="603">
        <v>5.73</v>
      </c>
      <c r="S280" s="600" t="s">
        <v>6969</v>
      </c>
      <c r="T280" s="600" t="s">
        <v>225</v>
      </c>
      <c r="U280" s="603">
        <v>23.49</v>
      </c>
      <c r="V280" s="603">
        <v>25.51</v>
      </c>
    </row>
    <row r="281" spans="7:22" x14ac:dyDescent="0.2">
      <c r="G281" s="600" t="s">
        <v>6948</v>
      </c>
      <c r="H281" s="600" t="s">
        <v>449</v>
      </c>
      <c r="I281" s="603">
        <v>7.0000000000000007E-2</v>
      </c>
      <c r="J281" s="603">
        <v>0.02</v>
      </c>
      <c r="S281" s="600" t="s">
        <v>6969</v>
      </c>
      <c r="T281" s="600" t="s">
        <v>430</v>
      </c>
      <c r="U281" s="603">
        <v>4.8899999999999997</v>
      </c>
      <c r="V281" s="603">
        <v>4.24</v>
      </c>
    </row>
    <row r="282" spans="7:22" x14ac:dyDescent="0.2">
      <c r="G282" s="600" t="s">
        <v>6948</v>
      </c>
      <c r="H282" s="600" t="s">
        <v>498</v>
      </c>
      <c r="I282" s="603">
        <v>0</v>
      </c>
      <c r="J282" s="603">
        <v>0</v>
      </c>
      <c r="S282" s="600" t="s">
        <v>6969</v>
      </c>
      <c r="T282" s="600" t="s">
        <v>501</v>
      </c>
      <c r="U282" s="603">
        <v>2.48</v>
      </c>
      <c r="V282" s="603">
        <v>2.21</v>
      </c>
    </row>
    <row r="283" spans="7:22" x14ac:dyDescent="0.2">
      <c r="G283" s="600" t="s">
        <v>6948</v>
      </c>
      <c r="H283" s="600" t="s">
        <v>202</v>
      </c>
      <c r="I283" s="603">
        <v>0.12</v>
      </c>
      <c r="J283" s="603">
        <v>0.31</v>
      </c>
      <c r="S283" s="600" t="s">
        <v>6969</v>
      </c>
      <c r="T283" s="600" t="s">
        <v>502</v>
      </c>
      <c r="U283" s="603">
        <v>0.04</v>
      </c>
      <c r="V283" s="603">
        <v>0.09</v>
      </c>
    </row>
    <row r="284" spans="7:22" x14ac:dyDescent="0.2">
      <c r="G284" s="600" t="s">
        <v>6948</v>
      </c>
      <c r="H284" s="600" t="s">
        <v>409</v>
      </c>
      <c r="I284" s="603">
        <v>0.55000000000000004</v>
      </c>
      <c r="J284" s="603">
        <v>0.47</v>
      </c>
      <c r="S284" s="600" t="s">
        <v>6969</v>
      </c>
      <c r="T284" s="600" t="s">
        <v>503</v>
      </c>
      <c r="U284" s="603">
        <v>0.35</v>
      </c>
      <c r="V284" s="603">
        <v>0.71</v>
      </c>
    </row>
    <row r="285" spans="7:22" x14ac:dyDescent="0.2">
      <c r="G285" s="600" t="s">
        <v>6948</v>
      </c>
      <c r="H285" s="600" t="s">
        <v>230</v>
      </c>
      <c r="I285" s="603">
        <v>12</v>
      </c>
      <c r="J285" s="603">
        <v>17.329999999999998</v>
      </c>
      <c r="S285" s="600" t="s">
        <v>6969</v>
      </c>
      <c r="T285" s="600" t="s">
        <v>504</v>
      </c>
      <c r="U285" s="603">
        <v>0.37</v>
      </c>
      <c r="V285" s="603">
        <v>0.26</v>
      </c>
    </row>
    <row r="286" spans="7:22" x14ac:dyDescent="0.2">
      <c r="G286" s="600" t="s">
        <v>6948</v>
      </c>
      <c r="H286" s="600" t="s">
        <v>860</v>
      </c>
      <c r="I286" s="603">
        <v>5.69</v>
      </c>
      <c r="J286" s="603">
        <v>3.01</v>
      </c>
      <c r="S286" s="600" t="s">
        <v>6969</v>
      </c>
      <c r="T286" s="600" t="s">
        <v>6151</v>
      </c>
      <c r="U286" s="603">
        <v>0.26</v>
      </c>
      <c r="V286" s="603">
        <v>0.18</v>
      </c>
    </row>
    <row r="287" spans="7:22" x14ac:dyDescent="0.2">
      <c r="G287" s="600" t="s">
        <v>6949</v>
      </c>
      <c r="H287" s="600" t="s">
        <v>401</v>
      </c>
      <c r="I287" s="603">
        <v>0.41</v>
      </c>
      <c r="J287" s="603">
        <v>0.81</v>
      </c>
      <c r="S287" s="600" t="s">
        <v>6970</v>
      </c>
      <c r="T287" s="600" t="s">
        <v>500</v>
      </c>
      <c r="U287" s="603">
        <v>70.650000000000006</v>
      </c>
      <c r="V287" s="603">
        <v>69.430000000000007</v>
      </c>
    </row>
    <row r="288" spans="7:22" x14ac:dyDescent="0.2">
      <c r="G288" s="600" t="s">
        <v>6949</v>
      </c>
      <c r="H288" s="600" t="s">
        <v>438</v>
      </c>
      <c r="I288" s="603">
        <v>1.47</v>
      </c>
      <c r="J288" s="603">
        <v>1.9</v>
      </c>
      <c r="S288" s="600" t="s">
        <v>6970</v>
      </c>
      <c r="T288" s="600" t="s">
        <v>225</v>
      </c>
      <c r="U288" s="603">
        <v>23.04</v>
      </c>
      <c r="V288" s="603">
        <v>25.1</v>
      </c>
    </row>
    <row r="289" spans="7:22" x14ac:dyDescent="0.2">
      <c r="G289" s="600" t="s">
        <v>6949</v>
      </c>
      <c r="H289" s="600" t="s">
        <v>390</v>
      </c>
      <c r="I289" s="603">
        <v>14.79</v>
      </c>
      <c r="J289" s="603">
        <v>16.8</v>
      </c>
      <c r="S289" s="600" t="s">
        <v>6970</v>
      </c>
      <c r="T289" s="600" t="s">
        <v>430</v>
      </c>
      <c r="U289" s="603">
        <v>4.0199999999999996</v>
      </c>
      <c r="V289" s="603">
        <v>3.13</v>
      </c>
    </row>
    <row r="290" spans="7:22" x14ac:dyDescent="0.2">
      <c r="G290" s="600" t="s">
        <v>6949</v>
      </c>
      <c r="H290" s="600" t="s">
        <v>212</v>
      </c>
      <c r="I290" s="603">
        <v>11.03</v>
      </c>
      <c r="J290" s="603">
        <v>2.17</v>
      </c>
      <c r="S290" s="600" t="s">
        <v>6970</v>
      </c>
      <c r="T290" s="600" t="s">
        <v>501</v>
      </c>
      <c r="U290" s="603">
        <v>1.31</v>
      </c>
      <c r="V290" s="603">
        <v>1.4</v>
      </c>
    </row>
    <row r="291" spans="7:22" x14ac:dyDescent="0.2">
      <c r="G291" s="600" t="s">
        <v>6949</v>
      </c>
      <c r="H291" s="600" t="s">
        <v>419</v>
      </c>
      <c r="I291" s="603">
        <v>0.09</v>
      </c>
      <c r="J291" s="603">
        <v>0.27</v>
      </c>
      <c r="S291" s="600" t="s">
        <v>6970</v>
      </c>
      <c r="T291" s="600" t="s">
        <v>502</v>
      </c>
      <c r="U291" s="603">
        <v>0.01</v>
      </c>
      <c r="V291" s="603">
        <v>0.03</v>
      </c>
    </row>
    <row r="292" spans="7:22" x14ac:dyDescent="0.2">
      <c r="G292" s="600" t="s">
        <v>6949</v>
      </c>
      <c r="H292" s="600" t="s">
        <v>402</v>
      </c>
      <c r="I292" s="603">
        <v>9.43</v>
      </c>
      <c r="J292" s="603">
        <v>5.69</v>
      </c>
      <c r="S292" s="600" t="s">
        <v>6970</v>
      </c>
      <c r="T292" s="600" t="s">
        <v>503</v>
      </c>
      <c r="U292" s="603">
        <v>0.23</v>
      </c>
      <c r="V292" s="603">
        <v>0.36</v>
      </c>
    </row>
    <row r="293" spans="7:22" x14ac:dyDescent="0.2">
      <c r="G293" s="600" t="s">
        <v>6949</v>
      </c>
      <c r="H293" s="600" t="s">
        <v>211</v>
      </c>
      <c r="I293" s="603">
        <v>15.66</v>
      </c>
      <c r="J293" s="603">
        <v>18.43</v>
      </c>
      <c r="S293" s="600" t="s">
        <v>6970</v>
      </c>
      <c r="T293" s="600" t="s">
        <v>504</v>
      </c>
      <c r="U293" s="603">
        <v>0.56999999999999995</v>
      </c>
      <c r="V293" s="603">
        <v>0.51</v>
      </c>
    </row>
    <row r="294" spans="7:22" x14ac:dyDescent="0.2">
      <c r="G294" s="600" t="s">
        <v>6949</v>
      </c>
      <c r="H294" s="600" t="s">
        <v>210</v>
      </c>
      <c r="I294" s="603">
        <v>14.38</v>
      </c>
      <c r="J294" s="603">
        <v>11.38</v>
      </c>
      <c r="S294" s="600" t="s">
        <v>6970</v>
      </c>
      <c r="T294" s="600" t="s">
        <v>6151</v>
      </c>
      <c r="U294" s="603">
        <v>0.16</v>
      </c>
      <c r="V294" s="603">
        <v>0.05</v>
      </c>
    </row>
    <row r="295" spans="7:22" x14ac:dyDescent="0.2">
      <c r="G295" s="600" t="s">
        <v>6949</v>
      </c>
      <c r="H295" s="600" t="s">
        <v>209</v>
      </c>
      <c r="I295" s="603">
        <v>1.1399999999999999</v>
      </c>
      <c r="J295" s="603">
        <v>6.5</v>
      </c>
      <c r="S295" s="600" t="s">
        <v>6971</v>
      </c>
      <c r="T295" s="600" t="s">
        <v>500</v>
      </c>
      <c r="U295" s="603">
        <v>70.319999999999993</v>
      </c>
      <c r="V295" s="603">
        <v>69.42</v>
      </c>
    </row>
    <row r="296" spans="7:22" x14ac:dyDescent="0.2">
      <c r="G296" s="600" t="s">
        <v>6949</v>
      </c>
      <c r="H296" s="600" t="s">
        <v>207</v>
      </c>
      <c r="I296" s="603">
        <v>1.51</v>
      </c>
      <c r="J296" s="603">
        <v>0.54</v>
      </c>
      <c r="S296" s="600" t="s">
        <v>6971</v>
      </c>
      <c r="T296" s="600" t="s">
        <v>225</v>
      </c>
      <c r="U296" s="603">
        <v>23.66</v>
      </c>
      <c r="V296" s="603">
        <v>25.16</v>
      </c>
    </row>
    <row r="297" spans="7:22" x14ac:dyDescent="0.2">
      <c r="G297" s="600" t="s">
        <v>6949</v>
      </c>
      <c r="H297" s="600" t="s">
        <v>206</v>
      </c>
      <c r="I297" s="603">
        <v>0</v>
      </c>
      <c r="J297" s="603">
        <v>0</v>
      </c>
      <c r="S297" s="600" t="s">
        <v>6971</v>
      </c>
      <c r="T297" s="600" t="s">
        <v>430</v>
      </c>
      <c r="U297" s="603">
        <v>3.63</v>
      </c>
      <c r="V297" s="603">
        <v>3.02</v>
      </c>
    </row>
    <row r="298" spans="7:22" x14ac:dyDescent="0.2">
      <c r="G298" s="600" t="s">
        <v>6949</v>
      </c>
      <c r="H298" s="600" t="s">
        <v>313</v>
      </c>
      <c r="I298" s="603">
        <v>0.73</v>
      </c>
      <c r="J298" s="603">
        <v>4.07</v>
      </c>
      <c r="S298" s="600" t="s">
        <v>6971</v>
      </c>
      <c r="T298" s="600" t="s">
        <v>501</v>
      </c>
      <c r="U298" s="603">
        <v>1.64</v>
      </c>
      <c r="V298" s="603">
        <v>1.8</v>
      </c>
    </row>
    <row r="299" spans="7:22" x14ac:dyDescent="0.2">
      <c r="G299" s="600" t="s">
        <v>6949</v>
      </c>
      <c r="H299" s="600" t="s">
        <v>497</v>
      </c>
      <c r="I299" s="603">
        <v>0</v>
      </c>
      <c r="J299" s="603">
        <v>0</v>
      </c>
      <c r="S299" s="600" t="s">
        <v>6971</v>
      </c>
      <c r="T299" s="600" t="s">
        <v>502</v>
      </c>
      <c r="U299" s="603">
        <v>0.02</v>
      </c>
      <c r="V299" s="603">
        <v>0.05</v>
      </c>
    </row>
    <row r="300" spans="7:22" x14ac:dyDescent="0.2">
      <c r="G300" s="600" t="s">
        <v>6949</v>
      </c>
      <c r="H300" s="600" t="s">
        <v>416</v>
      </c>
      <c r="I300" s="603">
        <v>18.68</v>
      </c>
      <c r="J300" s="603">
        <v>22.22</v>
      </c>
      <c r="S300" s="600" t="s">
        <v>6971</v>
      </c>
      <c r="T300" s="600" t="s">
        <v>503</v>
      </c>
      <c r="U300" s="603">
        <v>0.2</v>
      </c>
      <c r="V300" s="603">
        <v>0.16</v>
      </c>
    </row>
    <row r="301" spans="7:22" x14ac:dyDescent="0.2">
      <c r="G301" s="600" t="s">
        <v>6949</v>
      </c>
      <c r="H301" s="600" t="s">
        <v>449</v>
      </c>
      <c r="I301" s="603">
        <v>0.37</v>
      </c>
      <c r="J301" s="603">
        <v>0</v>
      </c>
      <c r="S301" s="600" t="s">
        <v>6971</v>
      </c>
      <c r="T301" s="600" t="s">
        <v>504</v>
      </c>
      <c r="U301" s="603">
        <v>0.22</v>
      </c>
      <c r="V301" s="603">
        <v>0.16</v>
      </c>
    </row>
    <row r="302" spans="7:22" x14ac:dyDescent="0.2">
      <c r="G302" s="600" t="s">
        <v>6949</v>
      </c>
      <c r="H302" s="600" t="s">
        <v>498</v>
      </c>
      <c r="I302" s="603">
        <v>0</v>
      </c>
      <c r="J302" s="603">
        <v>0</v>
      </c>
      <c r="S302" s="600" t="s">
        <v>6971</v>
      </c>
      <c r="T302" s="600" t="s">
        <v>6151</v>
      </c>
      <c r="U302" s="603">
        <v>0.31</v>
      </c>
      <c r="V302" s="603">
        <v>0.22</v>
      </c>
    </row>
    <row r="303" spans="7:22" x14ac:dyDescent="0.2">
      <c r="G303" s="600" t="s">
        <v>6949</v>
      </c>
      <c r="H303" s="600" t="s">
        <v>202</v>
      </c>
      <c r="I303" s="603">
        <v>0.37</v>
      </c>
      <c r="J303" s="603">
        <v>1.63</v>
      </c>
      <c r="S303" s="600" t="s">
        <v>6972</v>
      </c>
      <c r="T303" s="600" t="s">
        <v>500</v>
      </c>
      <c r="U303" s="603">
        <v>70.31</v>
      </c>
      <c r="V303" s="603">
        <v>70.540000000000006</v>
      </c>
    </row>
    <row r="304" spans="7:22" x14ac:dyDescent="0.2">
      <c r="G304" s="600" t="s">
        <v>6949</v>
      </c>
      <c r="H304" s="600" t="s">
        <v>409</v>
      </c>
      <c r="I304" s="603">
        <v>1.97</v>
      </c>
      <c r="J304" s="603">
        <v>1.63</v>
      </c>
      <c r="S304" s="600" t="s">
        <v>6972</v>
      </c>
      <c r="T304" s="600" t="s">
        <v>225</v>
      </c>
      <c r="U304" s="603">
        <v>22.49</v>
      </c>
      <c r="V304" s="603">
        <v>23.09</v>
      </c>
    </row>
    <row r="305" spans="7:22" x14ac:dyDescent="0.2">
      <c r="G305" s="600" t="s">
        <v>6949</v>
      </c>
      <c r="H305" s="600" t="s">
        <v>230</v>
      </c>
      <c r="I305" s="603">
        <v>3.34</v>
      </c>
      <c r="J305" s="603">
        <v>2.98</v>
      </c>
      <c r="S305" s="600" t="s">
        <v>6972</v>
      </c>
      <c r="T305" s="600" t="s">
        <v>430</v>
      </c>
      <c r="U305" s="603">
        <v>4.54</v>
      </c>
      <c r="V305" s="603">
        <v>3.98</v>
      </c>
    </row>
    <row r="306" spans="7:22" x14ac:dyDescent="0.2">
      <c r="G306" s="600" t="s">
        <v>6949</v>
      </c>
      <c r="H306" s="600" t="s">
        <v>860</v>
      </c>
      <c r="I306" s="603">
        <v>4.62</v>
      </c>
      <c r="J306" s="603">
        <v>2.98</v>
      </c>
      <c r="S306" s="600" t="s">
        <v>6972</v>
      </c>
      <c r="T306" s="600" t="s">
        <v>501</v>
      </c>
      <c r="U306" s="603">
        <v>1.61</v>
      </c>
      <c r="V306" s="603">
        <v>1.43</v>
      </c>
    </row>
    <row r="307" spans="7:22" x14ac:dyDescent="0.2">
      <c r="G307" s="600" t="s">
        <v>6950</v>
      </c>
      <c r="H307" s="600" t="s">
        <v>401</v>
      </c>
      <c r="I307" s="603">
        <v>0.46</v>
      </c>
      <c r="J307" s="603">
        <v>0.41</v>
      </c>
      <c r="S307" s="600" t="s">
        <v>6972</v>
      </c>
      <c r="T307" s="600" t="s">
        <v>502</v>
      </c>
      <c r="U307" s="603">
        <v>0.01</v>
      </c>
      <c r="V307" s="603">
        <v>0</v>
      </c>
    </row>
    <row r="308" spans="7:22" x14ac:dyDescent="0.2">
      <c r="G308" s="600" t="s">
        <v>6950</v>
      </c>
      <c r="H308" s="600" t="s">
        <v>438</v>
      </c>
      <c r="I308" s="603">
        <v>1.1399999999999999</v>
      </c>
      <c r="J308" s="603">
        <v>1.99</v>
      </c>
      <c r="S308" s="600" t="s">
        <v>6972</v>
      </c>
      <c r="T308" s="600" t="s">
        <v>503</v>
      </c>
      <c r="U308" s="603">
        <v>0.32</v>
      </c>
      <c r="V308" s="603">
        <v>0.42</v>
      </c>
    </row>
    <row r="309" spans="7:22" x14ac:dyDescent="0.2">
      <c r="G309" s="600" t="s">
        <v>6950</v>
      </c>
      <c r="H309" s="600" t="s">
        <v>390</v>
      </c>
      <c r="I309" s="603">
        <v>9.49</v>
      </c>
      <c r="J309" s="603">
        <v>11.67</v>
      </c>
      <c r="S309" s="600" t="s">
        <v>6972</v>
      </c>
      <c r="T309" s="600" t="s">
        <v>504</v>
      </c>
      <c r="U309" s="603">
        <v>0.4</v>
      </c>
      <c r="V309" s="603">
        <v>0.39</v>
      </c>
    </row>
    <row r="310" spans="7:22" x14ac:dyDescent="0.2">
      <c r="G310" s="600" t="s">
        <v>6950</v>
      </c>
      <c r="H310" s="600" t="s">
        <v>212</v>
      </c>
      <c r="I310" s="603">
        <v>8.39</v>
      </c>
      <c r="J310" s="603">
        <v>1.22</v>
      </c>
      <c r="S310" s="600" t="s">
        <v>6972</v>
      </c>
      <c r="T310" s="600" t="s">
        <v>6151</v>
      </c>
      <c r="U310" s="603">
        <v>0.31</v>
      </c>
      <c r="V310" s="603">
        <v>0.15</v>
      </c>
    </row>
    <row r="311" spans="7:22" x14ac:dyDescent="0.2">
      <c r="G311" s="600" t="s">
        <v>6950</v>
      </c>
      <c r="H311" s="600" t="s">
        <v>419</v>
      </c>
      <c r="I311" s="603">
        <v>7.0000000000000007E-2</v>
      </c>
      <c r="J311" s="603">
        <v>0.11</v>
      </c>
      <c r="S311" s="600" t="s">
        <v>6973</v>
      </c>
      <c r="T311" s="600" t="s">
        <v>500</v>
      </c>
      <c r="U311" s="603">
        <v>67.3</v>
      </c>
      <c r="V311" s="603">
        <v>67.75</v>
      </c>
    </row>
    <row r="312" spans="7:22" x14ac:dyDescent="0.2">
      <c r="G312" s="600" t="s">
        <v>6950</v>
      </c>
      <c r="H312" s="600" t="s">
        <v>402</v>
      </c>
      <c r="I312" s="603">
        <v>8.7200000000000006</v>
      </c>
      <c r="J312" s="603">
        <v>4.0599999999999996</v>
      </c>
      <c r="S312" s="600" t="s">
        <v>6973</v>
      </c>
      <c r="T312" s="600" t="s">
        <v>225</v>
      </c>
      <c r="U312" s="603">
        <v>24.26</v>
      </c>
      <c r="V312" s="603">
        <v>24.57</v>
      </c>
    </row>
    <row r="313" spans="7:22" x14ac:dyDescent="0.2">
      <c r="G313" s="600" t="s">
        <v>6950</v>
      </c>
      <c r="H313" s="600" t="s">
        <v>211</v>
      </c>
      <c r="I313" s="603">
        <v>35.700000000000003</v>
      </c>
      <c r="J313" s="603">
        <v>45.92</v>
      </c>
      <c r="S313" s="600" t="s">
        <v>6973</v>
      </c>
      <c r="T313" s="600" t="s">
        <v>430</v>
      </c>
      <c r="U313" s="603">
        <v>5.12</v>
      </c>
      <c r="V313" s="603">
        <v>4.01</v>
      </c>
    </row>
    <row r="314" spans="7:22" x14ac:dyDescent="0.2">
      <c r="G314" s="600" t="s">
        <v>6950</v>
      </c>
      <c r="H314" s="600" t="s">
        <v>210</v>
      </c>
      <c r="I314" s="603">
        <v>16.89</v>
      </c>
      <c r="J314" s="603">
        <v>7.79</v>
      </c>
      <c r="S314" s="600" t="s">
        <v>6973</v>
      </c>
      <c r="T314" s="600" t="s">
        <v>501</v>
      </c>
      <c r="U314" s="603">
        <v>2.0099999999999998</v>
      </c>
      <c r="V314" s="603">
        <v>2.12</v>
      </c>
    </row>
    <row r="315" spans="7:22" x14ac:dyDescent="0.2">
      <c r="G315" s="600" t="s">
        <v>6950</v>
      </c>
      <c r="H315" s="600" t="s">
        <v>209</v>
      </c>
      <c r="I315" s="603">
        <v>1.46</v>
      </c>
      <c r="J315" s="603">
        <v>7.17</v>
      </c>
      <c r="S315" s="600" t="s">
        <v>6973</v>
      </c>
      <c r="T315" s="600" t="s">
        <v>502</v>
      </c>
      <c r="U315" s="603">
        <v>0</v>
      </c>
      <c r="V315" s="603">
        <v>0</v>
      </c>
    </row>
    <row r="316" spans="7:22" x14ac:dyDescent="0.2">
      <c r="G316" s="600" t="s">
        <v>6950</v>
      </c>
      <c r="H316" s="600" t="s">
        <v>207</v>
      </c>
      <c r="I316" s="603">
        <v>0.89</v>
      </c>
      <c r="J316" s="603">
        <v>0.18</v>
      </c>
      <c r="S316" s="600" t="s">
        <v>6973</v>
      </c>
      <c r="T316" s="600" t="s">
        <v>503</v>
      </c>
      <c r="U316" s="603">
        <v>0.32</v>
      </c>
      <c r="V316" s="603">
        <v>0.48</v>
      </c>
    </row>
    <row r="317" spans="7:22" x14ac:dyDescent="0.2">
      <c r="G317" s="600" t="s">
        <v>6950</v>
      </c>
      <c r="H317" s="600" t="s">
        <v>206</v>
      </c>
      <c r="I317" s="603">
        <v>0.01</v>
      </c>
      <c r="J317" s="603">
        <v>0.04</v>
      </c>
      <c r="S317" s="600" t="s">
        <v>6973</v>
      </c>
      <c r="T317" s="600" t="s">
        <v>504</v>
      </c>
      <c r="U317" s="603">
        <v>0.52</v>
      </c>
      <c r="V317" s="603">
        <v>0.69</v>
      </c>
    </row>
    <row r="318" spans="7:22" x14ac:dyDescent="0.2">
      <c r="G318" s="600" t="s">
        <v>6950</v>
      </c>
      <c r="H318" s="600" t="s">
        <v>313</v>
      </c>
      <c r="I318" s="603">
        <v>0.77</v>
      </c>
      <c r="J318" s="603">
        <v>3.29</v>
      </c>
      <c r="S318" s="600" t="s">
        <v>6973</v>
      </c>
      <c r="T318" s="600" t="s">
        <v>6151</v>
      </c>
      <c r="U318" s="603">
        <v>0.46</v>
      </c>
      <c r="V318" s="603">
        <v>0.38</v>
      </c>
    </row>
    <row r="319" spans="7:22" x14ac:dyDescent="0.2">
      <c r="G319" s="600" t="s">
        <v>6950</v>
      </c>
      <c r="H319" s="600" t="s">
        <v>497</v>
      </c>
      <c r="I319" s="603">
        <v>0</v>
      </c>
      <c r="J319" s="603">
        <v>0</v>
      </c>
      <c r="S319" s="600" t="s">
        <v>6974</v>
      </c>
      <c r="T319" s="600" t="s">
        <v>500</v>
      </c>
      <c r="U319" s="603">
        <v>70.42</v>
      </c>
      <c r="V319" s="603">
        <v>69.260000000000005</v>
      </c>
    </row>
    <row r="320" spans="7:22" x14ac:dyDescent="0.2">
      <c r="G320" s="600" t="s">
        <v>6950</v>
      </c>
      <c r="H320" s="600" t="s">
        <v>416</v>
      </c>
      <c r="I320" s="603">
        <v>9.34</v>
      </c>
      <c r="J320" s="603">
        <v>10.45</v>
      </c>
      <c r="S320" s="600" t="s">
        <v>6974</v>
      </c>
      <c r="T320" s="600" t="s">
        <v>225</v>
      </c>
      <c r="U320" s="603">
        <v>21.36</v>
      </c>
      <c r="V320" s="603">
        <v>23.52</v>
      </c>
    </row>
    <row r="321" spans="7:22" x14ac:dyDescent="0.2">
      <c r="G321" s="600" t="s">
        <v>6950</v>
      </c>
      <c r="H321" s="600" t="s">
        <v>449</v>
      </c>
      <c r="I321" s="603">
        <v>0.25</v>
      </c>
      <c r="J321" s="603">
        <v>0.15</v>
      </c>
      <c r="S321" s="600" t="s">
        <v>6974</v>
      </c>
      <c r="T321" s="600" t="s">
        <v>430</v>
      </c>
      <c r="U321" s="603">
        <v>4.57</v>
      </c>
      <c r="V321" s="603">
        <v>3.47</v>
      </c>
    </row>
    <row r="322" spans="7:22" x14ac:dyDescent="0.2">
      <c r="G322" s="600" t="s">
        <v>6950</v>
      </c>
      <c r="H322" s="600" t="s">
        <v>498</v>
      </c>
      <c r="I322" s="603">
        <v>0</v>
      </c>
      <c r="J322" s="603">
        <v>0</v>
      </c>
      <c r="S322" s="600" t="s">
        <v>6974</v>
      </c>
      <c r="T322" s="600" t="s">
        <v>501</v>
      </c>
      <c r="U322" s="603">
        <v>2.66</v>
      </c>
      <c r="V322" s="603">
        <v>2.74</v>
      </c>
    </row>
    <row r="323" spans="7:22" x14ac:dyDescent="0.2">
      <c r="G323" s="600" t="s">
        <v>6950</v>
      </c>
      <c r="H323" s="600" t="s">
        <v>202</v>
      </c>
      <c r="I323" s="603">
        <v>0.27</v>
      </c>
      <c r="J323" s="603">
        <v>0.81</v>
      </c>
      <c r="S323" s="600" t="s">
        <v>6974</v>
      </c>
      <c r="T323" s="600" t="s">
        <v>502</v>
      </c>
      <c r="U323" s="603">
        <v>0.02</v>
      </c>
      <c r="V323" s="603">
        <v>0.03</v>
      </c>
    </row>
    <row r="324" spans="7:22" x14ac:dyDescent="0.2">
      <c r="G324" s="600" t="s">
        <v>6950</v>
      </c>
      <c r="H324" s="600" t="s">
        <v>409</v>
      </c>
      <c r="I324" s="603">
        <v>0.96</v>
      </c>
      <c r="J324" s="603">
        <v>1.26</v>
      </c>
      <c r="S324" s="600" t="s">
        <v>6974</v>
      </c>
      <c r="T324" s="600" t="s">
        <v>503</v>
      </c>
      <c r="U324" s="603">
        <v>0.17</v>
      </c>
      <c r="V324" s="603">
        <v>0.3</v>
      </c>
    </row>
    <row r="325" spans="7:22" x14ac:dyDescent="0.2">
      <c r="G325" s="600" t="s">
        <v>6950</v>
      </c>
      <c r="H325" s="600" t="s">
        <v>230</v>
      </c>
      <c r="I325" s="603">
        <v>2.2999999999999998</v>
      </c>
      <c r="J325" s="603">
        <v>1.81</v>
      </c>
      <c r="S325" s="600" t="s">
        <v>6974</v>
      </c>
      <c r="T325" s="600" t="s">
        <v>504</v>
      </c>
      <c r="U325" s="603">
        <v>0.54</v>
      </c>
      <c r="V325" s="603">
        <v>0.54</v>
      </c>
    </row>
    <row r="326" spans="7:22" x14ac:dyDescent="0.2">
      <c r="G326" s="600" t="s">
        <v>6950</v>
      </c>
      <c r="H326" s="600" t="s">
        <v>860</v>
      </c>
      <c r="I326" s="603">
        <v>2.89</v>
      </c>
      <c r="J326" s="603">
        <v>1.66</v>
      </c>
      <c r="S326" s="600" t="s">
        <v>6974</v>
      </c>
      <c r="T326" s="600" t="s">
        <v>6151</v>
      </c>
      <c r="U326" s="603">
        <v>0.25</v>
      </c>
      <c r="V326" s="603">
        <v>0.14000000000000001</v>
      </c>
    </row>
    <row r="327" spans="7:22" x14ac:dyDescent="0.2">
      <c r="G327" s="600" t="s">
        <v>6951</v>
      </c>
      <c r="H327" s="600" t="s">
        <v>401</v>
      </c>
      <c r="I327" s="603">
        <v>0.65</v>
      </c>
      <c r="J327" s="603">
        <v>0.72</v>
      </c>
      <c r="S327" s="600" t="s">
        <v>6975</v>
      </c>
      <c r="T327" s="600" t="s">
        <v>500</v>
      </c>
      <c r="U327" s="603">
        <v>69.510000000000005</v>
      </c>
      <c r="V327" s="603">
        <v>69.14</v>
      </c>
    </row>
    <row r="328" spans="7:22" x14ac:dyDescent="0.2">
      <c r="G328" s="600" t="s">
        <v>6951</v>
      </c>
      <c r="H328" s="600" t="s">
        <v>438</v>
      </c>
      <c r="I328" s="603">
        <v>2.2999999999999998</v>
      </c>
      <c r="J328" s="603">
        <v>4.2</v>
      </c>
      <c r="S328" s="600" t="s">
        <v>6975</v>
      </c>
      <c r="T328" s="600" t="s">
        <v>225</v>
      </c>
      <c r="U328" s="603">
        <v>23.47</v>
      </c>
      <c r="V328" s="603">
        <v>24.74</v>
      </c>
    </row>
    <row r="329" spans="7:22" x14ac:dyDescent="0.2">
      <c r="G329" s="600" t="s">
        <v>6951</v>
      </c>
      <c r="H329" s="600" t="s">
        <v>390</v>
      </c>
      <c r="I329" s="603">
        <v>32.68</v>
      </c>
      <c r="J329" s="603">
        <v>28.05</v>
      </c>
      <c r="S329" s="600" t="s">
        <v>6975</v>
      </c>
      <c r="T329" s="600" t="s">
        <v>430</v>
      </c>
      <c r="U329" s="603">
        <v>4.33</v>
      </c>
      <c r="V329" s="603">
        <v>3.73</v>
      </c>
    </row>
    <row r="330" spans="7:22" x14ac:dyDescent="0.2">
      <c r="G330" s="600" t="s">
        <v>6951</v>
      </c>
      <c r="H330" s="600" t="s">
        <v>212</v>
      </c>
      <c r="I330" s="603">
        <v>2.88</v>
      </c>
      <c r="J330" s="603">
        <v>1.1299999999999999</v>
      </c>
      <c r="S330" s="600" t="s">
        <v>6975</v>
      </c>
      <c r="T330" s="600" t="s">
        <v>501</v>
      </c>
      <c r="U330" s="603">
        <v>1.75</v>
      </c>
      <c r="V330" s="603">
        <v>1.57</v>
      </c>
    </row>
    <row r="331" spans="7:22" x14ac:dyDescent="0.2">
      <c r="G331" s="600" t="s">
        <v>6951</v>
      </c>
      <c r="H331" s="600" t="s">
        <v>419</v>
      </c>
      <c r="I331" s="603">
        <v>0.05</v>
      </c>
      <c r="J331" s="603">
        <v>0</v>
      </c>
      <c r="S331" s="600" t="s">
        <v>6975</v>
      </c>
      <c r="T331" s="600" t="s">
        <v>502</v>
      </c>
      <c r="U331" s="603">
        <v>0.01</v>
      </c>
      <c r="V331" s="603">
        <v>0.01</v>
      </c>
    </row>
    <row r="332" spans="7:22" x14ac:dyDescent="0.2">
      <c r="G332" s="600" t="s">
        <v>6951</v>
      </c>
      <c r="H332" s="600" t="s">
        <v>402</v>
      </c>
      <c r="I332" s="603">
        <v>16.52</v>
      </c>
      <c r="J332" s="603">
        <v>8.8000000000000007</v>
      </c>
      <c r="S332" s="600" t="s">
        <v>6975</v>
      </c>
      <c r="T332" s="600" t="s">
        <v>503</v>
      </c>
      <c r="U332" s="603">
        <v>0.2</v>
      </c>
      <c r="V332" s="603">
        <v>0.19</v>
      </c>
    </row>
    <row r="333" spans="7:22" x14ac:dyDescent="0.2">
      <c r="G333" s="600" t="s">
        <v>6951</v>
      </c>
      <c r="H333" s="600" t="s">
        <v>211</v>
      </c>
      <c r="I333" s="603">
        <v>19.11</v>
      </c>
      <c r="J333" s="603">
        <v>26.31</v>
      </c>
      <c r="S333" s="600" t="s">
        <v>6975</v>
      </c>
      <c r="T333" s="600" t="s">
        <v>504</v>
      </c>
      <c r="U333" s="603">
        <v>0.42</v>
      </c>
      <c r="V333" s="603">
        <v>0.46</v>
      </c>
    </row>
    <row r="334" spans="7:22" x14ac:dyDescent="0.2">
      <c r="G334" s="600" t="s">
        <v>6951</v>
      </c>
      <c r="H334" s="600" t="s">
        <v>210</v>
      </c>
      <c r="I334" s="603">
        <v>2.23</v>
      </c>
      <c r="J334" s="603">
        <v>1.1299999999999999</v>
      </c>
      <c r="S334" s="600" t="s">
        <v>6975</v>
      </c>
      <c r="T334" s="600" t="s">
        <v>6151</v>
      </c>
      <c r="U334" s="603">
        <v>0.33</v>
      </c>
      <c r="V334" s="603">
        <v>0.17</v>
      </c>
    </row>
    <row r="335" spans="7:22" x14ac:dyDescent="0.2">
      <c r="G335" s="600" t="s">
        <v>6951</v>
      </c>
      <c r="H335" s="600" t="s">
        <v>209</v>
      </c>
      <c r="I335" s="603">
        <v>1.26</v>
      </c>
      <c r="J335" s="603">
        <v>4.4000000000000004</v>
      </c>
      <c r="S335" s="600" t="s">
        <v>6976</v>
      </c>
      <c r="T335" s="600" t="s">
        <v>500</v>
      </c>
      <c r="U335" s="603">
        <v>76.38</v>
      </c>
      <c r="V335" s="603">
        <v>78.38</v>
      </c>
    </row>
    <row r="336" spans="7:22" x14ac:dyDescent="0.2">
      <c r="G336" s="600" t="s">
        <v>6951</v>
      </c>
      <c r="H336" s="600" t="s">
        <v>207</v>
      </c>
      <c r="I336" s="603">
        <v>0.63</v>
      </c>
      <c r="J336" s="603">
        <v>0</v>
      </c>
      <c r="S336" s="600" t="s">
        <v>6976</v>
      </c>
      <c r="T336" s="600" t="s">
        <v>225</v>
      </c>
      <c r="U336" s="603">
        <v>17.87</v>
      </c>
      <c r="V336" s="603">
        <v>18.170000000000002</v>
      </c>
    </row>
    <row r="337" spans="7:22" x14ac:dyDescent="0.2">
      <c r="G337" s="600" t="s">
        <v>6951</v>
      </c>
      <c r="H337" s="600" t="s">
        <v>206</v>
      </c>
      <c r="I337" s="603">
        <v>0.03</v>
      </c>
      <c r="J337" s="603">
        <v>0</v>
      </c>
      <c r="S337" s="600" t="s">
        <v>6976</v>
      </c>
      <c r="T337" s="600" t="s">
        <v>430</v>
      </c>
      <c r="U337" s="603">
        <v>3.22</v>
      </c>
      <c r="V337" s="603">
        <v>2.09</v>
      </c>
    </row>
    <row r="338" spans="7:22" x14ac:dyDescent="0.2">
      <c r="G338" s="600" t="s">
        <v>6951</v>
      </c>
      <c r="H338" s="600" t="s">
        <v>313</v>
      </c>
      <c r="I338" s="603">
        <v>0.5</v>
      </c>
      <c r="J338" s="603">
        <v>1.43</v>
      </c>
      <c r="S338" s="600" t="s">
        <v>6976</v>
      </c>
      <c r="T338" s="600" t="s">
        <v>501</v>
      </c>
      <c r="U338" s="603">
        <v>1.1599999999999999</v>
      </c>
      <c r="V338" s="603">
        <v>0.9</v>
      </c>
    </row>
    <row r="339" spans="7:22" x14ac:dyDescent="0.2">
      <c r="G339" s="600" t="s">
        <v>6951</v>
      </c>
      <c r="H339" s="600" t="s">
        <v>497</v>
      </c>
      <c r="I339" s="603">
        <v>0</v>
      </c>
      <c r="J339" s="603">
        <v>0</v>
      </c>
      <c r="S339" s="600" t="s">
        <v>6976</v>
      </c>
      <c r="T339" s="600" t="s">
        <v>502</v>
      </c>
      <c r="U339" s="603">
        <v>0.05</v>
      </c>
      <c r="V339" s="603">
        <v>7.0000000000000007E-2</v>
      </c>
    </row>
    <row r="340" spans="7:22" x14ac:dyDescent="0.2">
      <c r="G340" s="600" t="s">
        <v>6951</v>
      </c>
      <c r="H340" s="600" t="s">
        <v>416</v>
      </c>
      <c r="I340" s="603">
        <v>6.6</v>
      </c>
      <c r="J340" s="603">
        <v>7.78</v>
      </c>
      <c r="S340" s="600" t="s">
        <v>6976</v>
      </c>
      <c r="T340" s="600" t="s">
        <v>503</v>
      </c>
      <c r="U340" s="603">
        <v>7.0000000000000007E-2</v>
      </c>
      <c r="V340" s="603">
        <v>0.05</v>
      </c>
    </row>
    <row r="341" spans="7:22" x14ac:dyDescent="0.2">
      <c r="G341" s="600" t="s">
        <v>6951</v>
      </c>
      <c r="H341" s="600" t="s">
        <v>449</v>
      </c>
      <c r="I341" s="603">
        <v>0.13</v>
      </c>
      <c r="J341" s="603">
        <v>0</v>
      </c>
      <c r="S341" s="600" t="s">
        <v>6976</v>
      </c>
      <c r="T341" s="600" t="s">
        <v>504</v>
      </c>
      <c r="U341" s="603">
        <v>0.15</v>
      </c>
      <c r="V341" s="603">
        <v>0.13</v>
      </c>
    </row>
    <row r="342" spans="7:22" x14ac:dyDescent="0.2">
      <c r="G342" s="600" t="s">
        <v>6951</v>
      </c>
      <c r="H342" s="600" t="s">
        <v>498</v>
      </c>
      <c r="I342" s="603">
        <v>0</v>
      </c>
      <c r="J342" s="603">
        <v>0</v>
      </c>
      <c r="S342" s="600" t="s">
        <v>6976</v>
      </c>
      <c r="T342" s="600" t="s">
        <v>6151</v>
      </c>
      <c r="U342" s="603">
        <v>1.1000000000000001</v>
      </c>
      <c r="V342" s="603">
        <v>0.22</v>
      </c>
    </row>
    <row r="343" spans="7:22" x14ac:dyDescent="0.2">
      <c r="G343" s="600" t="s">
        <v>6951</v>
      </c>
      <c r="H343" s="600" t="s">
        <v>202</v>
      </c>
      <c r="I343" s="603">
        <v>0.16</v>
      </c>
      <c r="J343" s="603">
        <v>0.51</v>
      </c>
      <c r="S343" s="600" t="s">
        <v>6977</v>
      </c>
      <c r="T343" s="600" t="s">
        <v>500</v>
      </c>
      <c r="U343" s="603">
        <v>76.23</v>
      </c>
      <c r="V343" s="603">
        <v>77.91</v>
      </c>
    </row>
    <row r="344" spans="7:22" x14ac:dyDescent="0.2">
      <c r="G344" s="600" t="s">
        <v>6951</v>
      </c>
      <c r="H344" s="600" t="s">
        <v>409</v>
      </c>
      <c r="I344" s="603">
        <v>0.42</v>
      </c>
      <c r="J344" s="603">
        <v>0.31</v>
      </c>
      <c r="S344" s="600" t="s">
        <v>6977</v>
      </c>
      <c r="T344" s="600" t="s">
        <v>225</v>
      </c>
      <c r="U344" s="603">
        <v>19.850000000000001</v>
      </c>
      <c r="V344" s="603">
        <v>19.27</v>
      </c>
    </row>
    <row r="345" spans="7:22" x14ac:dyDescent="0.2">
      <c r="G345" s="600" t="s">
        <v>6951</v>
      </c>
      <c r="H345" s="600" t="s">
        <v>230</v>
      </c>
      <c r="I345" s="603">
        <v>9.32</v>
      </c>
      <c r="J345" s="603">
        <v>11.46</v>
      </c>
      <c r="S345" s="600" t="s">
        <v>6977</v>
      </c>
      <c r="T345" s="600" t="s">
        <v>430</v>
      </c>
      <c r="U345" s="603">
        <v>2.31</v>
      </c>
      <c r="V345" s="603">
        <v>1.64</v>
      </c>
    </row>
    <row r="346" spans="7:22" x14ac:dyDescent="0.2">
      <c r="G346" s="600" t="s">
        <v>6951</v>
      </c>
      <c r="H346" s="600" t="s">
        <v>860</v>
      </c>
      <c r="I346" s="603">
        <v>4.53</v>
      </c>
      <c r="J346" s="603">
        <v>3.79</v>
      </c>
      <c r="S346" s="600" t="s">
        <v>6977</v>
      </c>
      <c r="T346" s="600" t="s">
        <v>501</v>
      </c>
      <c r="U346" s="603">
        <v>0.9</v>
      </c>
      <c r="V346" s="603">
        <v>0.77</v>
      </c>
    </row>
    <row r="347" spans="7:22" x14ac:dyDescent="0.2">
      <c r="G347" s="600" t="s">
        <v>6952</v>
      </c>
      <c r="H347" s="600" t="s">
        <v>401</v>
      </c>
      <c r="I347" s="603">
        <v>0.55000000000000004</v>
      </c>
      <c r="J347" s="603">
        <v>0.46</v>
      </c>
      <c r="S347" s="600" t="s">
        <v>6977</v>
      </c>
      <c r="T347" s="600" t="s">
        <v>502</v>
      </c>
      <c r="U347" s="603">
        <v>0.02</v>
      </c>
      <c r="V347" s="603">
        <v>0.04</v>
      </c>
    </row>
    <row r="348" spans="7:22" x14ac:dyDescent="0.2">
      <c r="G348" s="600" t="s">
        <v>6952</v>
      </c>
      <c r="H348" s="600" t="s">
        <v>438</v>
      </c>
      <c r="I348" s="603">
        <v>2.2999999999999998</v>
      </c>
      <c r="J348" s="603">
        <v>4.75</v>
      </c>
      <c r="S348" s="600" t="s">
        <v>6977</v>
      </c>
      <c r="T348" s="600" t="s">
        <v>503</v>
      </c>
      <c r="U348" s="603">
        <v>0.06</v>
      </c>
      <c r="V348" s="603">
        <v>0.05</v>
      </c>
    </row>
    <row r="349" spans="7:22" x14ac:dyDescent="0.2">
      <c r="G349" s="600" t="s">
        <v>6952</v>
      </c>
      <c r="H349" s="600" t="s">
        <v>390</v>
      </c>
      <c r="I349" s="603">
        <v>22.78</v>
      </c>
      <c r="J349" s="603">
        <v>23.94</v>
      </c>
      <c r="S349" s="600" t="s">
        <v>6977</v>
      </c>
      <c r="T349" s="600" t="s">
        <v>504</v>
      </c>
      <c r="U349" s="603">
        <v>0.12</v>
      </c>
      <c r="V349" s="603">
        <v>0.11</v>
      </c>
    </row>
    <row r="350" spans="7:22" x14ac:dyDescent="0.2">
      <c r="G350" s="600" t="s">
        <v>6952</v>
      </c>
      <c r="H350" s="600" t="s">
        <v>212</v>
      </c>
      <c r="I350" s="603">
        <v>5.86</v>
      </c>
      <c r="J350" s="603">
        <v>1.1100000000000001</v>
      </c>
      <c r="S350" s="600" t="s">
        <v>6977</v>
      </c>
      <c r="T350" s="600" t="s">
        <v>6151</v>
      </c>
      <c r="U350" s="603">
        <v>0.51</v>
      </c>
      <c r="V350" s="603">
        <v>0.21</v>
      </c>
    </row>
    <row r="351" spans="7:22" x14ac:dyDescent="0.2">
      <c r="G351" s="600" t="s">
        <v>6952</v>
      </c>
      <c r="H351" s="600" t="s">
        <v>419</v>
      </c>
      <c r="I351" s="603">
        <v>7.0000000000000007E-2</v>
      </c>
      <c r="J351" s="603">
        <v>0.03</v>
      </c>
      <c r="S351" s="600" t="s">
        <v>6978</v>
      </c>
      <c r="T351" s="600" t="s">
        <v>500</v>
      </c>
      <c r="U351" s="603">
        <v>77.47</v>
      </c>
      <c r="V351" s="603">
        <v>78.59</v>
      </c>
    </row>
    <row r="352" spans="7:22" x14ac:dyDescent="0.2">
      <c r="G352" s="600" t="s">
        <v>6952</v>
      </c>
      <c r="H352" s="600" t="s">
        <v>402</v>
      </c>
      <c r="I352" s="603">
        <v>12.89</v>
      </c>
      <c r="J352" s="603">
        <v>7.23</v>
      </c>
      <c r="S352" s="600" t="s">
        <v>6978</v>
      </c>
      <c r="T352" s="600" t="s">
        <v>225</v>
      </c>
      <c r="U352" s="603">
        <v>18.77</v>
      </c>
      <c r="V352" s="603">
        <v>18.64</v>
      </c>
    </row>
    <row r="353" spans="7:22" x14ac:dyDescent="0.2">
      <c r="G353" s="600" t="s">
        <v>6952</v>
      </c>
      <c r="H353" s="600" t="s">
        <v>211</v>
      </c>
      <c r="I353" s="603">
        <v>15.09</v>
      </c>
      <c r="J353" s="603">
        <v>19.329999999999998</v>
      </c>
      <c r="S353" s="600" t="s">
        <v>6978</v>
      </c>
      <c r="T353" s="600" t="s">
        <v>430</v>
      </c>
      <c r="U353" s="603">
        <v>2.2200000000000002</v>
      </c>
      <c r="V353" s="603">
        <v>1.69</v>
      </c>
    </row>
    <row r="354" spans="7:22" x14ac:dyDescent="0.2">
      <c r="G354" s="600" t="s">
        <v>6952</v>
      </c>
      <c r="H354" s="600" t="s">
        <v>210</v>
      </c>
      <c r="I354" s="603">
        <v>8.92</v>
      </c>
      <c r="J354" s="603">
        <v>4.42</v>
      </c>
      <c r="S354" s="600" t="s">
        <v>6978</v>
      </c>
      <c r="T354" s="600" t="s">
        <v>501</v>
      </c>
      <c r="U354" s="603">
        <v>0.68</v>
      </c>
      <c r="V354" s="603">
        <v>0.53</v>
      </c>
    </row>
    <row r="355" spans="7:22" x14ac:dyDescent="0.2">
      <c r="G355" s="600" t="s">
        <v>6952</v>
      </c>
      <c r="H355" s="600" t="s">
        <v>209</v>
      </c>
      <c r="I355" s="603">
        <v>1.43</v>
      </c>
      <c r="J355" s="603">
        <v>5.31</v>
      </c>
      <c r="S355" s="600" t="s">
        <v>6978</v>
      </c>
      <c r="T355" s="600" t="s">
        <v>502</v>
      </c>
      <c r="U355" s="603">
        <v>0.02</v>
      </c>
      <c r="V355" s="603">
        <v>0.02</v>
      </c>
    </row>
    <row r="356" spans="7:22" x14ac:dyDescent="0.2">
      <c r="G356" s="600" t="s">
        <v>6952</v>
      </c>
      <c r="H356" s="600" t="s">
        <v>207</v>
      </c>
      <c r="I356" s="603">
        <v>2.84</v>
      </c>
      <c r="J356" s="603">
        <v>0.53</v>
      </c>
      <c r="S356" s="600" t="s">
        <v>6978</v>
      </c>
      <c r="T356" s="600" t="s">
        <v>503</v>
      </c>
      <c r="U356" s="603">
        <v>7.0000000000000007E-2</v>
      </c>
      <c r="V356" s="603">
        <v>7.0000000000000007E-2</v>
      </c>
    </row>
    <row r="357" spans="7:22" x14ac:dyDescent="0.2">
      <c r="G357" s="600" t="s">
        <v>6952</v>
      </c>
      <c r="H357" s="600" t="s">
        <v>206</v>
      </c>
      <c r="I357" s="603">
        <v>0.03</v>
      </c>
      <c r="J357" s="603">
        <v>0.04</v>
      </c>
      <c r="S357" s="600" t="s">
        <v>6978</v>
      </c>
      <c r="T357" s="600" t="s">
        <v>504</v>
      </c>
      <c r="U357" s="603">
        <v>0.12</v>
      </c>
      <c r="V357" s="603">
        <v>0.11</v>
      </c>
    </row>
    <row r="358" spans="7:22" x14ac:dyDescent="0.2">
      <c r="G358" s="600" t="s">
        <v>6952</v>
      </c>
      <c r="H358" s="600" t="s">
        <v>313</v>
      </c>
      <c r="I358" s="603">
        <v>0.68</v>
      </c>
      <c r="J358" s="603">
        <v>2.31</v>
      </c>
      <c r="S358" s="600" t="s">
        <v>6978</v>
      </c>
      <c r="T358" s="600" t="s">
        <v>6151</v>
      </c>
      <c r="U358" s="603">
        <v>0.65</v>
      </c>
      <c r="V358" s="603">
        <v>0.35</v>
      </c>
    </row>
    <row r="359" spans="7:22" x14ac:dyDescent="0.2">
      <c r="G359" s="600" t="s">
        <v>6952</v>
      </c>
      <c r="H359" s="600" t="s">
        <v>497</v>
      </c>
      <c r="I359" s="603">
        <v>0</v>
      </c>
      <c r="J359" s="603">
        <v>0</v>
      </c>
    </row>
    <row r="360" spans="7:22" x14ac:dyDescent="0.2">
      <c r="G360" s="600" t="s">
        <v>6952</v>
      </c>
      <c r="H360" s="600" t="s">
        <v>416</v>
      </c>
      <c r="I360" s="603">
        <v>14.14</v>
      </c>
      <c r="J360" s="603">
        <v>15.9</v>
      </c>
    </row>
    <row r="361" spans="7:22" x14ac:dyDescent="0.2">
      <c r="G361" s="600" t="s">
        <v>6952</v>
      </c>
      <c r="H361" s="600" t="s">
        <v>449</v>
      </c>
      <c r="I361" s="603">
        <v>0.31</v>
      </c>
      <c r="J361" s="603">
        <v>0.17</v>
      </c>
    </row>
    <row r="362" spans="7:22" x14ac:dyDescent="0.2">
      <c r="G362" s="600" t="s">
        <v>6952</v>
      </c>
      <c r="H362" s="600" t="s">
        <v>498</v>
      </c>
      <c r="I362" s="603">
        <v>0</v>
      </c>
      <c r="J362" s="603">
        <v>0</v>
      </c>
    </row>
    <row r="363" spans="7:22" x14ac:dyDescent="0.2">
      <c r="G363" s="600" t="s">
        <v>6952</v>
      </c>
      <c r="H363" s="600" t="s">
        <v>202</v>
      </c>
      <c r="I363" s="603">
        <v>0.33</v>
      </c>
      <c r="J363" s="603">
        <v>0.91</v>
      </c>
    </row>
    <row r="364" spans="7:22" x14ac:dyDescent="0.2">
      <c r="G364" s="600" t="s">
        <v>6952</v>
      </c>
      <c r="H364" s="600" t="s">
        <v>409</v>
      </c>
      <c r="I364" s="603">
        <v>1.1499999999999999</v>
      </c>
      <c r="J364" s="603">
        <v>1.24</v>
      </c>
    </row>
    <row r="365" spans="7:22" x14ac:dyDescent="0.2">
      <c r="G365" s="600" t="s">
        <v>6952</v>
      </c>
      <c r="H365" s="600" t="s">
        <v>230</v>
      </c>
      <c r="I365" s="603">
        <v>6.61</v>
      </c>
      <c r="J365" s="603">
        <v>9.1300000000000008</v>
      </c>
    </row>
    <row r="366" spans="7:22" x14ac:dyDescent="0.2">
      <c r="G366" s="600" t="s">
        <v>6952</v>
      </c>
      <c r="H366" s="600" t="s">
        <v>860</v>
      </c>
      <c r="I366" s="603">
        <v>4.0199999999999996</v>
      </c>
      <c r="J366" s="603">
        <v>3.19</v>
      </c>
    </row>
    <row r="367" spans="7:22" x14ac:dyDescent="0.2">
      <c r="G367" s="600" t="s">
        <v>6953</v>
      </c>
      <c r="H367" s="600" t="s">
        <v>401</v>
      </c>
      <c r="I367" s="603">
        <v>0.54</v>
      </c>
      <c r="J367" s="603">
        <v>0.44</v>
      </c>
    </row>
    <row r="368" spans="7:22" x14ac:dyDescent="0.2">
      <c r="G368" s="600" t="s">
        <v>6953</v>
      </c>
      <c r="H368" s="600" t="s">
        <v>438</v>
      </c>
      <c r="I368" s="603">
        <v>1.79</v>
      </c>
      <c r="J368" s="603">
        <v>3.08</v>
      </c>
    </row>
    <row r="369" spans="7:10" x14ac:dyDescent="0.2">
      <c r="G369" s="600" t="s">
        <v>6953</v>
      </c>
      <c r="H369" s="600" t="s">
        <v>390</v>
      </c>
      <c r="I369" s="603">
        <v>15.83</v>
      </c>
      <c r="J369" s="603">
        <v>14.64</v>
      </c>
    </row>
    <row r="370" spans="7:10" x14ac:dyDescent="0.2">
      <c r="G370" s="600" t="s">
        <v>6953</v>
      </c>
      <c r="H370" s="600" t="s">
        <v>212</v>
      </c>
      <c r="I370" s="603">
        <v>5.76</v>
      </c>
      <c r="J370" s="603">
        <v>0.78</v>
      </c>
    </row>
    <row r="371" spans="7:10" x14ac:dyDescent="0.2">
      <c r="G371" s="600" t="s">
        <v>6953</v>
      </c>
      <c r="H371" s="600" t="s">
        <v>419</v>
      </c>
      <c r="I371" s="603">
        <v>0.06</v>
      </c>
      <c r="J371" s="603">
        <v>0.06</v>
      </c>
    </row>
    <row r="372" spans="7:10" x14ac:dyDescent="0.2">
      <c r="G372" s="600" t="s">
        <v>6953</v>
      </c>
      <c r="H372" s="600" t="s">
        <v>402</v>
      </c>
      <c r="I372" s="603">
        <v>11.55</v>
      </c>
      <c r="J372" s="603">
        <v>6</v>
      </c>
    </row>
    <row r="373" spans="7:10" x14ac:dyDescent="0.2">
      <c r="G373" s="600" t="s">
        <v>6953</v>
      </c>
      <c r="H373" s="600" t="s">
        <v>211</v>
      </c>
      <c r="I373" s="603">
        <v>30.17</v>
      </c>
      <c r="J373" s="603">
        <v>42.47</v>
      </c>
    </row>
    <row r="374" spans="7:10" x14ac:dyDescent="0.2">
      <c r="G374" s="600" t="s">
        <v>6953</v>
      </c>
      <c r="H374" s="600" t="s">
        <v>210</v>
      </c>
      <c r="I374" s="603">
        <v>11.34</v>
      </c>
      <c r="J374" s="603">
        <v>4.72</v>
      </c>
    </row>
    <row r="375" spans="7:10" x14ac:dyDescent="0.2">
      <c r="G375" s="600" t="s">
        <v>6953</v>
      </c>
      <c r="H375" s="600" t="s">
        <v>209</v>
      </c>
      <c r="I375" s="603">
        <v>1.42</v>
      </c>
      <c r="J375" s="603">
        <v>4.71</v>
      </c>
    </row>
    <row r="376" spans="7:10" x14ac:dyDescent="0.2">
      <c r="G376" s="600" t="s">
        <v>6953</v>
      </c>
      <c r="H376" s="600" t="s">
        <v>207</v>
      </c>
      <c r="I376" s="603">
        <v>1.25</v>
      </c>
      <c r="J376" s="603">
        <v>0.22</v>
      </c>
    </row>
    <row r="377" spans="7:10" x14ac:dyDescent="0.2">
      <c r="G377" s="600" t="s">
        <v>6953</v>
      </c>
      <c r="H377" s="600" t="s">
        <v>206</v>
      </c>
      <c r="I377" s="603">
        <v>0.01</v>
      </c>
      <c r="J377" s="603">
        <v>0.01</v>
      </c>
    </row>
    <row r="378" spans="7:10" x14ac:dyDescent="0.2">
      <c r="G378" s="600" t="s">
        <v>6953</v>
      </c>
      <c r="H378" s="600" t="s">
        <v>313</v>
      </c>
      <c r="I378" s="603">
        <v>0.94</v>
      </c>
      <c r="J378" s="603">
        <v>2.81</v>
      </c>
    </row>
    <row r="379" spans="7:10" x14ac:dyDescent="0.2">
      <c r="G379" s="600" t="s">
        <v>6953</v>
      </c>
      <c r="H379" s="600" t="s">
        <v>497</v>
      </c>
      <c r="I379" s="603">
        <v>0</v>
      </c>
      <c r="J379" s="603">
        <v>0</v>
      </c>
    </row>
    <row r="380" spans="7:10" x14ac:dyDescent="0.2">
      <c r="G380" s="600" t="s">
        <v>6953</v>
      </c>
      <c r="H380" s="600" t="s">
        <v>416</v>
      </c>
      <c r="I380" s="603">
        <v>9.19</v>
      </c>
      <c r="J380" s="603">
        <v>8.9600000000000009</v>
      </c>
    </row>
    <row r="381" spans="7:10" x14ac:dyDescent="0.2">
      <c r="G381" s="600" t="s">
        <v>6953</v>
      </c>
      <c r="H381" s="600" t="s">
        <v>449</v>
      </c>
      <c r="I381" s="603">
        <v>0.22</v>
      </c>
      <c r="J381" s="603">
        <v>0.06</v>
      </c>
    </row>
    <row r="382" spans="7:10" x14ac:dyDescent="0.2">
      <c r="G382" s="600" t="s">
        <v>6953</v>
      </c>
      <c r="H382" s="600" t="s">
        <v>498</v>
      </c>
      <c r="I382" s="603">
        <v>0</v>
      </c>
      <c r="J382" s="603">
        <v>0</v>
      </c>
    </row>
    <row r="383" spans="7:10" x14ac:dyDescent="0.2">
      <c r="G383" s="600" t="s">
        <v>6953</v>
      </c>
      <c r="H383" s="600" t="s">
        <v>202</v>
      </c>
      <c r="I383" s="603">
        <v>0.21</v>
      </c>
      <c r="J383" s="603">
        <v>0.45</v>
      </c>
    </row>
    <row r="384" spans="7:10" x14ac:dyDescent="0.2">
      <c r="G384" s="600" t="s">
        <v>6953</v>
      </c>
      <c r="H384" s="600" t="s">
        <v>409</v>
      </c>
      <c r="I384" s="603">
        <v>0.82</v>
      </c>
      <c r="J384" s="603">
        <v>0.72</v>
      </c>
    </row>
    <row r="385" spans="7:10" x14ac:dyDescent="0.2">
      <c r="G385" s="600" t="s">
        <v>6953</v>
      </c>
      <c r="H385" s="600" t="s">
        <v>230</v>
      </c>
      <c r="I385" s="603">
        <v>5.64</v>
      </c>
      <c r="J385" s="603">
        <v>7.33</v>
      </c>
    </row>
    <row r="386" spans="7:10" x14ac:dyDescent="0.2">
      <c r="G386" s="600" t="s">
        <v>6953</v>
      </c>
      <c r="H386" s="600" t="s">
        <v>860</v>
      </c>
      <c r="I386" s="603">
        <v>3.27</v>
      </c>
      <c r="J386" s="603">
        <v>2.54</v>
      </c>
    </row>
    <row r="387" spans="7:10" x14ac:dyDescent="0.2">
      <c r="G387" s="600" t="s">
        <v>6954</v>
      </c>
      <c r="H387" s="600" t="s">
        <v>401</v>
      </c>
      <c r="I387" s="603">
        <v>0.38</v>
      </c>
      <c r="J387" s="603">
        <v>0.34</v>
      </c>
    </row>
    <row r="388" spans="7:10" x14ac:dyDescent="0.2">
      <c r="G388" s="600" t="s">
        <v>6954</v>
      </c>
      <c r="H388" s="600" t="s">
        <v>438</v>
      </c>
      <c r="I388" s="603">
        <v>2.11</v>
      </c>
      <c r="J388" s="603">
        <v>4.28</v>
      </c>
    </row>
    <row r="389" spans="7:10" x14ac:dyDescent="0.2">
      <c r="G389" s="600" t="s">
        <v>6954</v>
      </c>
      <c r="H389" s="600" t="s">
        <v>390</v>
      </c>
      <c r="I389" s="603">
        <v>36.450000000000003</v>
      </c>
      <c r="J389" s="603">
        <v>32.549999999999997</v>
      </c>
    </row>
    <row r="390" spans="7:10" x14ac:dyDescent="0.2">
      <c r="G390" s="600" t="s">
        <v>6954</v>
      </c>
      <c r="H390" s="600" t="s">
        <v>212</v>
      </c>
      <c r="I390" s="603">
        <v>2.71</v>
      </c>
      <c r="J390" s="603">
        <v>0.49</v>
      </c>
    </row>
    <row r="391" spans="7:10" x14ac:dyDescent="0.2">
      <c r="G391" s="600" t="s">
        <v>6954</v>
      </c>
      <c r="H391" s="600" t="s">
        <v>419</v>
      </c>
      <c r="I391" s="603">
        <v>0.05</v>
      </c>
      <c r="J391" s="603">
        <v>0.04</v>
      </c>
    </row>
    <row r="392" spans="7:10" x14ac:dyDescent="0.2">
      <c r="G392" s="600" t="s">
        <v>6954</v>
      </c>
      <c r="H392" s="600" t="s">
        <v>402</v>
      </c>
      <c r="I392" s="603">
        <v>14.16</v>
      </c>
      <c r="J392" s="603">
        <v>6.66</v>
      </c>
    </row>
    <row r="393" spans="7:10" x14ac:dyDescent="0.2">
      <c r="G393" s="600" t="s">
        <v>6954</v>
      </c>
      <c r="H393" s="600" t="s">
        <v>211</v>
      </c>
      <c r="I393" s="603">
        <v>15.47</v>
      </c>
      <c r="J393" s="603">
        <v>20.079999999999998</v>
      </c>
    </row>
    <row r="394" spans="7:10" x14ac:dyDescent="0.2">
      <c r="G394" s="600" t="s">
        <v>6954</v>
      </c>
      <c r="H394" s="600" t="s">
        <v>210</v>
      </c>
      <c r="I394" s="603">
        <v>1.92</v>
      </c>
      <c r="J394" s="603">
        <v>1.1100000000000001</v>
      </c>
    </row>
    <row r="395" spans="7:10" x14ac:dyDescent="0.2">
      <c r="G395" s="600" t="s">
        <v>6954</v>
      </c>
      <c r="H395" s="600" t="s">
        <v>209</v>
      </c>
      <c r="I395" s="603">
        <v>1.47</v>
      </c>
      <c r="J395" s="603">
        <v>5.18</v>
      </c>
    </row>
    <row r="396" spans="7:10" x14ac:dyDescent="0.2">
      <c r="G396" s="600" t="s">
        <v>6954</v>
      </c>
      <c r="H396" s="600" t="s">
        <v>207</v>
      </c>
      <c r="I396" s="603">
        <v>0.85</v>
      </c>
      <c r="J396" s="603">
        <v>0.17</v>
      </c>
    </row>
    <row r="397" spans="7:10" x14ac:dyDescent="0.2">
      <c r="G397" s="600" t="s">
        <v>6954</v>
      </c>
      <c r="H397" s="600" t="s">
        <v>206</v>
      </c>
      <c r="I397" s="603">
        <v>0.02</v>
      </c>
      <c r="J397" s="603">
        <v>0.03</v>
      </c>
    </row>
    <row r="398" spans="7:10" x14ac:dyDescent="0.2">
      <c r="G398" s="600" t="s">
        <v>6954</v>
      </c>
      <c r="H398" s="600" t="s">
        <v>313</v>
      </c>
      <c r="I398" s="603">
        <v>0.68</v>
      </c>
      <c r="J398" s="603">
        <v>2.1</v>
      </c>
    </row>
    <row r="399" spans="7:10" x14ac:dyDescent="0.2">
      <c r="G399" s="600" t="s">
        <v>6954</v>
      </c>
      <c r="H399" s="600" t="s">
        <v>497</v>
      </c>
      <c r="I399" s="603">
        <v>0</v>
      </c>
      <c r="J399" s="603">
        <v>0</v>
      </c>
    </row>
    <row r="400" spans="7:10" x14ac:dyDescent="0.2">
      <c r="G400" s="600" t="s">
        <v>6954</v>
      </c>
      <c r="H400" s="600" t="s">
        <v>416</v>
      </c>
      <c r="I400" s="603">
        <v>7.17</v>
      </c>
      <c r="J400" s="603">
        <v>8.36</v>
      </c>
    </row>
    <row r="401" spans="7:10" x14ac:dyDescent="0.2">
      <c r="G401" s="600" t="s">
        <v>6954</v>
      </c>
      <c r="H401" s="600" t="s">
        <v>449</v>
      </c>
      <c r="I401" s="603">
        <v>0.17</v>
      </c>
      <c r="J401" s="603">
        <v>0.09</v>
      </c>
    </row>
    <row r="402" spans="7:10" x14ac:dyDescent="0.2">
      <c r="G402" s="600" t="s">
        <v>6954</v>
      </c>
      <c r="H402" s="600" t="s">
        <v>498</v>
      </c>
      <c r="I402" s="603">
        <v>0</v>
      </c>
      <c r="J402" s="603">
        <v>0</v>
      </c>
    </row>
    <row r="403" spans="7:10" x14ac:dyDescent="0.2">
      <c r="G403" s="600" t="s">
        <v>6954</v>
      </c>
      <c r="H403" s="600" t="s">
        <v>202</v>
      </c>
      <c r="I403" s="603">
        <v>0.15</v>
      </c>
      <c r="J403" s="603">
        <v>0.36</v>
      </c>
    </row>
    <row r="404" spans="7:10" x14ac:dyDescent="0.2">
      <c r="G404" s="600" t="s">
        <v>6954</v>
      </c>
      <c r="H404" s="600" t="s">
        <v>409</v>
      </c>
      <c r="I404" s="603">
        <v>0.7</v>
      </c>
      <c r="J404" s="603">
        <v>0.83</v>
      </c>
    </row>
    <row r="405" spans="7:10" x14ac:dyDescent="0.2">
      <c r="G405" s="600" t="s">
        <v>6954</v>
      </c>
      <c r="H405" s="600" t="s">
        <v>230</v>
      </c>
      <c r="I405" s="603">
        <v>10.050000000000001</v>
      </c>
      <c r="J405" s="603">
        <v>14.03</v>
      </c>
    </row>
    <row r="406" spans="7:10" x14ac:dyDescent="0.2">
      <c r="G406" s="600" t="s">
        <v>6954</v>
      </c>
      <c r="H406" s="600" t="s">
        <v>860</v>
      </c>
      <c r="I406" s="603">
        <v>5.47</v>
      </c>
      <c r="J406" s="603">
        <v>3.29</v>
      </c>
    </row>
    <row r="407" spans="7:10" x14ac:dyDescent="0.2">
      <c r="G407" s="600" t="s">
        <v>6955</v>
      </c>
      <c r="H407" s="600" t="s">
        <v>401</v>
      </c>
      <c r="I407" s="603">
        <v>0.36</v>
      </c>
      <c r="J407" s="603">
        <v>0.28000000000000003</v>
      </c>
    </row>
    <row r="408" spans="7:10" x14ac:dyDescent="0.2">
      <c r="G408" s="600" t="s">
        <v>6955</v>
      </c>
      <c r="H408" s="600" t="s">
        <v>438</v>
      </c>
      <c r="I408" s="603">
        <v>2.17</v>
      </c>
      <c r="J408" s="603">
        <v>4.25</v>
      </c>
    </row>
    <row r="409" spans="7:10" x14ac:dyDescent="0.2">
      <c r="G409" s="600" t="s">
        <v>6955</v>
      </c>
      <c r="H409" s="600" t="s">
        <v>390</v>
      </c>
      <c r="I409" s="603">
        <v>32.770000000000003</v>
      </c>
      <c r="J409" s="603">
        <v>26.21</v>
      </c>
    </row>
    <row r="410" spans="7:10" x14ac:dyDescent="0.2">
      <c r="G410" s="600" t="s">
        <v>6955</v>
      </c>
      <c r="H410" s="600" t="s">
        <v>212</v>
      </c>
      <c r="I410" s="603">
        <v>2.91</v>
      </c>
      <c r="J410" s="603">
        <v>0.4</v>
      </c>
    </row>
    <row r="411" spans="7:10" x14ac:dyDescent="0.2">
      <c r="G411" s="600" t="s">
        <v>6955</v>
      </c>
      <c r="H411" s="600" t="s">
        <v>419</v>
      </c>
      <c r="I411" s="603">
        <v>0.04</v>
      </c>
      <c r="J411" s="603">
        <v>0.02</v>
      </c>
    </row>
    <row r="412" spans="7:10" x14ac:dyDescent="0.2">
      <c r="G412" s="600" t="s">
        <v>6955</v>
      </c>
      <c r="H412" s="600" t="s">
        <v>402</v>
      </c>
      <c r="I412" s="603">
        <v>13.93</v>
      </c>
      <c r="J412" s="603">
        <v>6.7</v>
      </c>
    </row>
    <row r="413" spans="7:10" x14ac:dyDescent="0.2">
      <c r="G413" s="600" t="s">
        <v>6955</v>
      </c>
      <c r="H413" s="600" t="s">
        <v>211</v>
      </c>
      <c r="I413" s="603">
        <v>21.64</v>
      </c>
      <c r="J413" s="603">
        <v>30.74</v>
      </c>
    </row>
    <row r="414" spans="7:10" x14ac:dyDescent="0.2">
      <c r="G414" s="600" t="s">
        <v>6955</v>
      </c>
      <c r="H414" s="600" t="s">
        <v>210</v>
      </c>
      <c r="I414" s="603">
        <v>2.0299999999999998</v>
      </c>
      <c r="J414" s="603">
        <v>0.98</v>
      </c>
    </row>
    <row r="415" spans="7:10" x14ac:dyDescent="0.2">
      <c r="G415" s="600" t="s">
        <v>6955</v>
      </c>
      <c r="H415" s="600" t="s">
        <v>209</v>
      </c>
      <c r="I415" s="603">
        <v>1.51</v>
      </c>
      <c r="J415" s="603">
        <v>5.21</v>
      </c>
    </row>
    <row r="416" spans="7:10" x14ac:dyDescent="0.2">
      <c r="G416" s="600" t="s">
        <v>6955</v>
      </c>
      <c r="H416" s="600" t="s">
        <v>207</v>
      </c>
      <c r="I416" s="603">
        <v>0.56000000000000005</v>
      </c>
      <c r="J416" s="603">
        <v>0.1</v>
      </c>
    </row>
    <row r="417" spans="7:10" x14ac:dyDescent="0.2">
      <c r="G417" s="600" t="s">
        <v>6955</v>
      </c>
      <c r="H417" s="600" t="s">
        <v>206</v>
      </c>
      <c r="I417" s="603">
        <v>0.02</v>
      </c>
      <c r="J417" s="603">
        <v>0.03</v>
      </c>
    </row>
    <row r="418" spans="7:10" x14ac:dyDescent="0.2">
      <c r="G418" s="600" t="s">
        <v>6955</v>
      </c>
      <c r="H418" s="600" t="s">
        <v>313</v>
      </c>
      <c r="I418" s="603">
        <v>0.6</v>
      </c>
      <c r="J418" s="603">
        <v>1.74</v>
      </c>
    </row>
    <row r="419" spans="7:10" x14ac:dyDescent="0.2">
      <c r="G419" s="600" t="s">
        <v>6955</v>
      </c>
      <c r="H419" s="600" t="s">
        <v>497</v>
      </c>
      <c r="I419" s="603">
        <v>0</v>
      </c>
      <c r="J419" s="603">
        <v>0</v>
      </c>
    </row>
    <row r="420" spans="7:10" x14ac:dyDescent="0.2">
      <c r="G420" s="600" t="s">
        <v>6955</v>
      </c>
      <c r="H420" s="600" t="s">
        <v>416</v>
      </c>
      <c r="I420" s="603">
        <v>4.74</v>
      </c>
      <c r="J420" s="603">
        <v>4.7699999999999996</v>
      </c>
    </row>
    <row r="421" spans="7:10" x14ac:dyDescent="0.2">
      <c r="G421" s="600" t="s">
        <v>6955</v>
      </c>
      <c r="H421" s="600" t="s">
        <v>449</v>
      </c>
      <c r="I421" s="603">
        <v>0.14000000000000001</v>
      </c>
      <c r="J421" s="603">
        <v>7.0000000000000007E-2</v>
      </c>
    </row>
    <row r="422" spans="7:10" x14ac:dyDescent="0.2">
      <c r="G422" s="600" t="s">
        <v>6955</v>
      </c>
      <c r="H422" s="600" t="s">
        <v>498</v>
      </c>
      <c r="I422" s="603">
        <v>0</v>
      </c>
      <c r="J422" s="603">
        <v>0</v>
      </c>
    </row>
    <row r="423" spans="7:10" x14ac:dyDescent="0.2">
      <c r="G423" s="600" t="s">
        <v>6955</v>
      </c>
      <c r="H423" s="600" t="s">
        <v>202</v>
      </c>
      <c r="I423" s="603">
        <v>0.14000000000000001</v>
      </c>
      <c r="J423" s="603">
        <v>0.36</v>
      </c>
    </row>
    <row r="424" spans="7:10" x14ac:dyDescent="0.2">
      <c r="G424" s="600" t="s">
        <v>6955</v>
      </c>
      <c r="H424" s="600" t="s">
        <v>409</v>
      </c>
      <c r="I424" s="603">
        <v>0.46</v>
      </c>
      <c r="J424" s="603">
        <v>0.44</v>
      </c>
    </row>
    <row r="425" spans="7:10" x14ac:dyDescent="0.2">
      <c r="G425" s="600" t="s">
        <v>6955</v>
      </c>
      <c r="H425" s="600" t="s">
        <v>230</v>
      </c>
      <c r="I425" s="603">
        <v>10.91</v>
      </c>
      <c r="J425" s="603">
        <v>14.92</v>
      </c>
    </row>
    <row r="426" spans="7:10" x14ac:dyDescent="0.2">
      <c r="G426" s="600" t="s">
        <v>6955</v>
      </c>
      <c r="H426" s="600" t="s">
        <v>860</v>
      </c>
      <c r="I426" s="603">
        <v>5.09</v>
      </c>
      <c r="J426" s="603">
        <v>2.79</v>
      </c>
    </row>
    <row r="427" spans="7:10" x14ac:dyDescent="0.2">
      <c r="G427" s="600" t="s">
        <v>6956</v>
      </c>
      <c r="H427" s="600" t="s">
        <v>401</v>
      </c>
      <c r="I427" s="603">
        <v>0.42</v>
      </c>
      <c r="J427" s="603">
        <v>0.48</v>
      </c>
    </row>
    <row r="428" spans="7:10" x14ac:dyDescent="0.2">
      <c r="G428" s="600" t="s">
        <v>6956</v>
      </c>
      <c r="H428" s="600" t="s">
        <v>438</v>
      </c>
      <c r="I428" s="603">
        <v>1.76</v>
      </c>
      <c r="J428" s="603">
        <v>3.81</v>
      </c>
    </row>
    <row r="429" spans="7:10" x14ac:dyDescent="0.2">
      <c r="G429" s="600" t="s">
        <v>6956</v>
      </c>
      <c r="H429" s="600" t="s">
        <v>390</v>
      </c>
      <c r="I429" s="603">
        <v>16.260000000000002</v>
      </c>
      <c r="J429" s="603">
        <v>20</v>
      </c>
    </row>
    <row r="430" spans="7:10" x14ac:dyDescent="0.2">
      <c r="G430" s="600" t="s">
        <v>6956</v>
      </c>
      <c r="H430" s="600" t="s">
        <v>212</v>
      </c>
      <c r="I430" s="603">
        <v>11.39</v>
      </c>
      <c r="J430" s="603">
        <v>0</v>
      </c>
    </row>
    <row r="431" spans="7:10" x14ac:dyDescent="0.2">
      <c r="G431" s="600" t="s">
        <v>6956</v>
      </c>
      <c r="H431" s="600" t="s">
        <v>419</v>
      </c>
      <c r="I431" s="603">
        <v>0</v>
      </c>
      <c r="J431" s="603">
        <v>0</v>
      </c>
    </row>
    <row r="432" spans="7:10" x14ac:dyDescent="0.2">
      <c r="G432" s="600" t="s">
        <v>6956</v>
      </c>
      <c r="H432" s="600" t="s">
        <v>402</v>
      </c>
      <c r="I432" s="603">
        <v>11.39</v>
      </c>
      <c r="J432" s="603">
        <v>5.95</v>
      </c>
    </row>
    <row r="433" spans="7:10" x14ac:dyDescent="0.2">
      <c r="G433" s="600" t="s">
        <v>6956</v>
      </c>
      <c r="H433" s="600" t="s">
        <v>211</v>
      </c>
      <c r="I433" s="603">
        <v>7.06</v>
      </c>
      <c r="J433" s="603">
        <v>12.38</v>
      </c>
    </row>
    <row r="434" spans="7:10" x14ac:dyDescent="0.2">
      <c r="G434" s="600" t="s">
        <v>6956</v>
      </c>
      <c r="H434" s="600" t="s">
        <v>210</v>
      </c>
      <c r="I434" s="603">
        <v>24.5</v>
      </c>
      <c r="J434" s="603">
        <v>14.29</v>
      </c>
    </row>
    <row r="435" spans="7:10" x14ac:dyDescent="0.2">
      <c r="G435" s="600" t="s">
        <v>6956</v>
      </c>
      <c r="H435" s="600" t="s">
        <v>209</v>
      </c>
      <c r="I435" s="603">
        <v>1.22</v>
      </c>
      <c r="J435" s="603">
        <v>6.67</v>
      </c>
    </row>
    <row r="436" spans="7:10" x14ac:dyDescent="0.2">
      <c r="G436" s="600" t="s">
        <v>6956</v>
      </c>
      <c r="H436" s="600" t="s">
        <v>207</v>
      </c>
      <c r="I436" s="603">
        <v>1.1299999999999999</v>
      </c>
      <c r="J436" s="603">
        <v>0.24</v>
      </c>
    </row>
    <row r="437" spans="7:10" x14ac:dyDescent="0.2">
      <c r="G437" s="600" t="s">
        <v>6956</v>
      </c>
      <c r="H437" s="600" t="s">
        <v>206</v>
      </c>
      <c r="I437" s="603">
        <v>0.04</v>
      </c>
      <c r="J437" s="603">
        <v>0</v>
      </c>
    </row>
    <row r="438" spans="7:10" x14ac:dyDescent="0.2">
      <c r="G438" s="600" t="s">
        <v>6956</v>
      </c>
      <c r="H438" s="600" t="s">
        <v>313</v>
      </c>
      <c r="I438" s="603">
        <v>0.38</v>
      </c>
      <c r="J438" s="603">
        <v>1.67</v>
      </c>
    </row>
    <row r="439" spans="7:10" x14ac:dyDescent="0.2">
      <c r="G439" s="600" t="s">
        <v>6956</v>
      </c>
      <c r="H439" s="600" t="s">
        <v>497</v>
      </c>
      <c r="I439" s="603">
        <v>0</v>
      </c>
      <c r="J439" s="603">
        <v>0</v>
      </c>
    </row>
    <row r="440" spans="7:10" x14ac:dyDescent="0.2">
      <c r="G440" s="600" t="s">
        <v>6956</v>
      </c>
      <c r="H440" s="600" t="s">
        <v>416</v>
      </c>
      <c r="I440" s="603">
        <v>15.63</v>
      </c>
      <c r="J440" s="603">
        <v>20.71</v>
      </c>
    </row>
    <row r="441" spans="7:10" x14ac:dyDescent="0.2">
      <c r="G441" s="600" t="s">
        <v>6956</v>
      </c>
      <c r="H441" s="600" t="s">
        <v>449</v>
      </c>
      <c r="I441" s="603">
        <v>0.21</v>
      </c>
      <c r="J441" s="603">
        <v>0.24</v>
      </c>
    </row>
    <row r="442" spans="7:10" x14ac:dyDescent="0.2">
      <c r="G442" s="600" t="s">
        <v>6956</v>
      </c>
      <c r="H442" s="600" t="s">
        <v>498</v>
      </c>
      <c r="I442" s="603">
        <v>0</v>
      </c>
      <c r="J442" s="603">
        <v>0</v>
      </c>
    </row>
    <row r="443" spans="7:10" x14ac:dyDescent="0.2">
      <c r="G443" s="600" t="s">
        <v>6956</v>
      </c>
      <c r="H443" s="600" t="s">
        <v>202</v>
      </c>
      <c r="I443" s="603">
        <v>0.59</v>
      </c>
      <c r="J443" s="603">
        <v>1.9</v>
      </c>
    </row>
    <row r="444" spans="7:10" x14ac:dyDescent="0.2">
      <c r="G444" s="600" t="s">
        <v>6956</v>
      </c>
      <c r="H444" s="600" t="s">
        <v>409</v>
      </c>
      <c r="I444" s="603">
        <v>1.39</v>
      </c>
      <c r="J444" s="603">
        <v>1.43</v>
      </c>
    </row>
    <row r="445" spans="7:10" x14ac:dyDescent="0.2">
      <c r="G445" s="600" t="s">
        <v>6956</v>
      </c>
      <c r="H445" s="600" t="s">
        <v>230</v>
      </c>
      <c r="I445" s="603">
        <v>4.45</v>
      </c>
      <c r="J445" s="603">
        <v>6.67</v>
      </c>
    </row>
    <row r="446" spans="7:10" x14ac:dyDescent="0.2">
      <c r="G446" s="600" t="s">
        <v>6956</v>
      </c>
      <c r="H446" s="600" t="s">
        <v>860</v>
      </c>
      <c r="I446" s="603">
        <v>2.1800000000000002</v>
      </c>
      <c r="J446" s="603">
        <v>3.57</v>
      </c>
    </row>
    <row r="447" spans="7:10" x14ac:dyDescent="0.2">
      <c r="G447" s="600" t="s">
        <v>6957</v>
      </c>
      <c r="H447" s="600" t="s">
        <v>401</v>
      </c>
      <c r="I447" s="603">
        <v>0.98</v>
      </c>
      <c r="J447" s="603">
        <v>0</v>
      </c>
    </row>
    <row r="448" spans="7:10" x14ac:dyDescent="0.2">
      <c r="G448" s="600" t="s">
        <v>6957</v>
      </c>
      <c r="H448" s="600" t="s">
        <v>438</v>
      </c>
      <c r="I448" s="603">
        <v>1.22</v>
      </c>
      <c r="J448" s="603">
        <v>2.33</v>
      </c>
    </row>
    <row r="449" spans="7:10" x14ac:dyDescent="0.2">
      <c r="G449" s="600" t="s">
        <v>6957</v>
      </c>
      <c r="H449" s="600" t="s">
        <v>390</v>
      </c>
      <c r="I449" s="603">
        <v>6.35</v>
      </c>
      <c r="J449" s="603">
        <v>6.98</v>
      </c>
    </row>
    <row r="450" spans="7:10" x14ac:dyDescent="0.2">
      <c r="G450" s="600" t="s">
        <v>6957</v>
      </c>
      <c r="H450" s="600" t="s">
        <v>212</v>
      </c>
      <c r="I450" s="603">
        <v>11.48</v>
      </c>
      <c r="J450" s="603">
        <v>2.33</v>
      </c>
    </row>
    <row r="451" spans="7:10" x14ac:dyDescent="0.2">
      <c r="G451" s="600" t="s">
        <v>6957</v>
      </c>
      <c r="H451" s="600" t="s">
        <v>419</v>
      </c>
      <c r="I451" s="603">
        <v>0</v>
      </c>
      <c r="J451" s="603">
        <v>0</v>
      </c>
    </row>
    <row r="452" spans="7:10" x14ac:dyDescent="0.2">
      <c r="G452" s="600" t="s">
        <v>6957</v>
      </c>
      <c r="H452" s="600" t="s">
        <v>402</v>
      </c>
      <c r="I452" s="603">
        <v>9.89</v>
      </c>
      <c r="J452" s="603">
        <v>3.49</v>
      </c>
    </row>
    <row r="453" spans="7:10" x14ac:dyDescent="0.2">
      <c r="G453" s="600" t="s">
        <v>6957</v>
      </c>
      <c r="H453" s="600" t="s">
        <v>211</v>
      </c>
      <c r="I453" s="603">
        <v>27.72</v>
      </c>
      <c r="J453" s="603">
        <v>50.58</v>
      </c>
    </row>
    <row r="454" spans="7:10" x14ac:dyDescent="0.2">
      <c r="G454" s="600" t="s">
        <v>6957</v>
      </c>
      <c r="H454" s="600" t="s">
        <v>210</v>
      </c>
      <c r="I454" s="603">
        <v>26.98</v>
      </c>
      <c r="J454" s="603">
        <v>8.7200000000000006</v>
      </c>
    </row>
    <row r="455" spans="7:10" x14ac:dyDescent="0.2">
      <c r="G455" s="600" t="s">
        <v>6957</v>
      </c>
      <c r="H455" s="600" t="s">
        <v>209</v>
      </c>
      <c r="I455" s="603">
        <v>0.98</v>
      </c>
      <c r="J455" s="603">
        <v>4.6500000000000004</v>
      </c>
    </row>
    <row r="456" spans="7:10" x14ac:dyDescent="0.2">
      <c r="G456" s="600" t="s">
        <v>6957</v>
      </c>
      <c r="H456" s="600" t="s">
        <v>207</v>
      </c>
      <c r="I456" s="603">
        <v>0.37</v>
      </c>
      <c r="J456" s="603">
        <v>0.57999999999999996</v>
      </c>
    </row>
    <row r="457" spans="7:10" x14ac:dyDescent="0.2">
      <c r="G457" s="600" t="s">
        <v>6957</v>
      </c>
      <c r="H457" s="600" t="s">
        <v>206</v>
      </c>
      <c r="I457" s="603">
        <v>0.12</v>
      </c>
      <c r="J457" s="603">
        <v>0</v>
      </c>
    </row>
    <row r="458" spans="7:10" x14ac:dyDescent="0.2">
      <c r="G458" s="600" t="s">
        <v>6957</v>
      </c>
      <c r="H458" s="600" t="s">
        <v>313</v>
      </c>
      <c r="I458" s="603">
        <v>1.47</v>
      </c>
      <c r="J458" s="603">
        <v>5.81</v>
      </c>
    </row>
    <row r="459" spans="7:10" x14ac:dyDescent="0.2">
      <c r="G459" s="600" t="s">
        <v>6957</v>
      </c>
      <c r="H459" s="600" t="s">
        <v>497</v>
      </c>
      <c r="I459" s="603">
        <v>0</v>
      </c>
      <c r="J459" s="603">
        <v>0</v>
      </c>
    </row>
    <row r="460" spans="7:10" x14ac:dyDescent="0.2">
      <c r="G460" s="600" t="s">
        <v>6957</v>
      </c>
      <c r="H460" s="600" t="s">
        <v>416</v>
      </c>
      <c r="I460" s="603">
        <v>8.06</v>
      </c>
      <c r="J460" s="603">
        <v>8.7200000000000006</v>
      </c>
    </row>
    <row r="461" spans="7:10" x14ac:dyDescent="0.2">
      <c r="G461" s="600" t="s">
        <v>6957</v>
      </c>
      <c r="H461" s="600" t="s">
        <v>449</v>
      </c>
      <c r="I461" s="603">
        <v>0.24</v>
      </c>
      <c r="J461" s="603">
        <v>1.1599999999999999</v>
      </c>
    </row>
    <row r="462" spans="7:10" x14ac:dyDescent="0.2">
      <c r="G462" s="600" t="s">
        <v>6957</v>
      </c>
      <c r="H462" s="600" t="s">
        <v>498</v>
      </c>
      <c r="I462" s="603">
        <v>0</v>
      </c>
      <c r="J462" s="603">
        <v>0</v>
      </c>
    </row>
    <row r="463" spans="7:10" x14ac:dyDescent="0.2">
      <c r="G463" s="600" t="s">
        <v>6957</v>
      </c>
      <c r="H463" s="600" t="s">
        <v>202</v>
      </c>
      <c r="I463" s="603">
        <v>0.24</v>
      </c>
      <c r="J463" s="603">
        <v>1.1599999999999999</v>
      </c>
    </row>
    <row r="464" spans="7:10" x14ac:dyDescent="0.2">
      <c r="G464" s="600" t="s">
        <v>6957</v>
      </c>
      <c r="H464" s="600" t="s">
        <v>409</v>
      </c>
      <c r="I464" s="603">
        <v>0.61</v>
      </c>
      <c r="J464" s="603">
        <v>0</v>
      </c>
    </row>
    <row r="465" spans="7:10" x14ac:dyDescent="0.2">
      <c r="G465" s="600" t="s">
        <v>6957</v>
      </c>
      <c r="H465" s="600" t="s">
        <v>230</v>
      </c>
      <c r="I465" s="603">
        <v>0.85</v>
      </c>
      <c r="J465" s="603">
        <v>1.1599999999999999</v>
      </c>
    </row>
    <row r="466" spans="7:10" x14ac:dyDescent="0.2">
      <c r="G466" s="600" t="s">
        <v>6957</v>
      </c>
      <c r="H466" s="600" t="s">
        <v>860</v>
      </c>
      <c r="I466" s="603">
        <v>2.44</v>
      </c>
      <c r="J466" s="603">
        <v>2.33</v>
      </c>
    </row>
    <row r="467" spans="7:10" x14ac:dyDescent="0.2">
      <c r="G467" s="600" t="s">
        <v>6958</v>
      </c>
      <c r="H467" s="600" t="s">
        <v>401</v>
      </c>
      <c r="I467" s="603">
        <v>0.42</v>
      </c>
      <c r="J467" s="603">
        <v>0</v>
      </c>
    </row>
    <row r="468" spans="7:10" x14ac:dyDescent="0.2">
      <c r="G468" s="600" t="s">
        <v>6958</v>
      </c>
      <c r="H468" s="600" t="s">
        <v>438</v>
      </c>
      <c r="I468" s="603">
        <v>0.84</v>
      </c>
      <c r="J468" s="603">
        <v>3.08</v>
      </c>
    </row>
    <row r="469" spans="7:10" x14ac:dyDescent="0.2">
      <c r="G469" s="600" t="s">
        <v>6958</v>
      </c>
      <c r="H469" s="600" t="s">
        <v>390</v>
      </c>
      <c r="I469" s="603">
        <v>16.43</v>
      </c>
      <c r="J469" s="603">
        <v>17.690000000000001</v>
      </c>
    </row>
    <row r="470" spans="7:10" x14ac:dyDescent="0.2">
      <c r="G470" s="600" t="s">
        <v>6958</v>
      </c>
      <c r="H470" s="600" t="s">
        <v>212</v>
      </c>
      <c r="I470" s="603">
        <v>2.65</v>
      </c>
      <c r="J470" s="603">
        <v>2.31</v>
      </c>
    </row>
    <row r="471" spans="7:10" x14ac:dyDescent="0.2">
      <c r="G471" s="600" t="s">
        <v>6958</v>
      </c>
      <c r="H471" s="600" t="s">
        <v>419</v>
      </c>
      <c r="I471" s="603">
        <v>0.14000000000000001</v>
      </c>
      <c r="J471" s="603">
        <v>0</v>
      </c>
    </row>
    <row r="472" spans="7:10" x14ac:dyDescent="0.2">
      <c r="G472" s="600" t="s">
        <v>6958</v>
      </c>
      <c r="H472" s="600" t="s">
        <v>402</v>
      </c>
      <c r="I472" s="603">
        <v>11.56</v>
      </c>
      <c r="J472" s="603">
        <v>5.38</v>
      </c>
    </row>
    <row r="473" spans="7:10" x14ac:dyDescent="0.2">
      <c r="G473" s="600" t="s">
        <v>6958</v>
      </c>
      <c r="H473" s="600" t="s">
        <v>211</v>
      </c>
      <c r="I473" s="603">
        <v>25.91</v>
      </c>
      <c r="J473" s="603">
        <v>24.62</v>
      </c>
    </row>
    <row r="474" spans="7:10" x14ac:dyDescent="0.2">
      <c r="G474" s="600" t="s">
        <v>6958</v>
      </c>
      <c r="H474" s="600" t="s">
        <v>210</v>
      </c>
      <c r="I474" s="603">
        <v>4.74</v>
      </c>
      <c r="J474" s="603">
        <v>3.08</v>
      </c>
    </row>
    <row r="475" spans="7:10" x14ac:dyDescent="0.2">
      <c r="G475" s="600" t="s">
        <v>6958</v>
      </c>
      <c r="H475" s="600" t="s">
        <v>209</v>
      </c>
      <c r="I475" s="603">
        <v>0</v>
      </c>
      <c r="J475" s="603">
        <v>0</v>
      </c>
    </row>
    <row r="476" spans="7:10" x14ac:dyDescent="0.2">
      <c r="G476" s="600" t="s">
        <v>6958</v>
      </c>
      <c r="H476" s="600" t="s">
        <v>207</v>
      </c>
      <c r="I476" s="603">
        <v>1.95</v>
      </c>
      <c r="J476" s="603">
        <v>0.77</v>
      </c>
    </row>
    <row r="477" spans="7:10" x14ac:dyDescent="0.2">
      <c r="G477" s="600" t="s">
        <v>6958</v>
      </c>
      <c r="H477" s="600" t="s">
        <v>206</v>
      </c>
      <c r="I477" s="603">
        <v>0</v>
      </c>
      <c r="J477" s="603">
        <v>0</v>
      </c>
    </row>
    <row r="478" spans="7:10" x14ac:dyDescent="0.2">
      <c r="G478" s="600" t="s">
        <v>6958</v>
      </c>
      <c r="H478" s="600" t="s">
        <v>313</v>
      </c>
      <c r="I478" s="603">
        <v>0.84</v>
      </c>
      <c r="J478" s="603">
        <v>4.62</v>
      </c>
    </row>
    <row r="479" spans="7:10" x14ac:dyDescent="0.2">
      <c r="G479" s="600" t="s">
        <v>6958</v>
      </c>
      <c r="H479" s="600" t="s">
        <v>497</v>
      </c>
      <c r="I479" s="603">
        <v>0</v>
      </c>
      <c r="J479" s="603">
        <v>0</v>
      </c>
    </row>
    <row r="480" spans="7:10" x14ac:dyDescent="0.2">
      <c r="G480" s="600" t="s">
        <v>6958</v>
      </c>
      <c r="H480" s="600" t="s">
        <v>416</v>
      </c>
      <c r="I480" s="603">
        <v>21.87</v>
      </c>
      <c r="J480" s="603">
        <v>24.62</v>
      </c>
    </row>
    <row r="481" spans="7:10" x14ac:dyDescent="0.2">
      <c r="G481" s="600" t="s">
        <v>6958</v>
      </c>
      <c r="H481" s="600" t="s">
        <v>449</v>
      </c>
      <c r="I481" s="603">
        <v>0</v>
      </c>
      <c r="J481" s="603">
        <v>0</v>
      </c>
    </row>
    <row r="482" spans="7:10" x14ac:dyDescent="0.2">
      <c r="G482" s="600" t="s">
        <v>6958</v>
      </c>
      <c r="H482" s="600" t="s">
        <v>498</v>
      </c>
      <c r="I482" s="603">
        <v>0</v>
      </c>
      <c r="J482" s="603">
        <v>0</v>
      </c>
    </row>
    <row r="483" spans="7:10" x14ac:dyDescent="0.2">
      <c r="G483" s="600" t="s">
        <v>6958</v>
      </c>
      <c r="H483" s="600" t="s">
        <v>202</v>
      </c>
      <c r="I483" s="603">
        <v>0.42</v>
      </c>
      <c r="J483" s="603">
        <v>2.31</v>
      </c>
    </row>
    <row r="484" spans="7:10" x14ac:dyDescent="0.2">
      <c r="G484" s="600" t="s">
        <v>6958</v>
      </c>
      <c r="H484" s="600" t="s">
        <v>409</v>
      </c>
      <c r="I484" s="603">
        <v>1.39</v>
      </c>
      <c r="J484" s="603">
        <v>3.08</v>
      </c>
    </row>
    <row r="485" spans="7:10" x14ac:dyDescent="0.2">
      <c r="G485" s="600" t="s">
        <v>6958</v>
      </c>
      <c r="H485" s="600" t="s">
        <v>230</v>
      </c>
      <c r="I485" s="603">
        <v>1.67</v>
      </c>
      <c r="J485" s="603">
        <v>3.08</v>
      </c>
    </row>
    <row r="486" spans="7:10" x14ac:dyDescent="0.2">
      <c r="G486" s="600" t="s">
        <v>6958</v>
      </c>
      <c r="H486" s="600" t="s">
        <v>860</v>
      </c>
      <c r="I486" s="603">
        <v>9.19</v>
      </c>
      <c r="J486" s="603">
        <v>5.38</v>
      </c>
    </row>
    <row r="487" spans="7:10" x14ac:dyDescent="0.2">
      <c r="G487" s="600" t="s">
        <v>6959</v>
      </c>
      <c r="H487" s="600" t="s">
        <v>401</v>
      </c>
      <c r="I487" s="603">
        <v>2.09</v>
      </c>
      <c r="J487" s="603">
        <v>0.39</v>
      </c>
    </row>
    <row r="488" spans="7:10" x14ac:dyDescent="0.2">
      <c r="G488" s="600" t="s">
        <v>6959</v>
      </c>
      <c r="H488" s="600" t="s">
        <v>438</v>
      </c>
      <c r="I488" s="603">
        <v>0.63</v>
      </c>
      <c r="J488" s="603">
        <v>1.02</v>
      </c>
    </row>
    <row r="489" spans="7:10" x14ac:dyDescent="0.2">
      <c r="G489" s="600" t="s">
        <v>6959</v>
      </c>
      <c r="H489" s="600" t="s">
        <v>390</v>
      </c>
      <c r="I489" s="603">
        <v>12.97</v>
      </c>
      <c r="J489" s="603">
        <v>26.14</v>
      </c>
    </row>
    <row r="490" spans="7:10" x14ac:dyDescent="0.2">
      <c r="G490" s="600" t="s">
        <v>6959</v>
      </c>
      <c r="H490" s="600" t="s">
        <v>212</v>
      </c>
      <c r="I490" s="603">
        <v>1.61</v>
      </c>
      <c r="J490" s="603">
        <v>0.39</v>
      </c>
    </row>
    <row r="491" spans="7:10" x14ac:dyDescent="0.2">
      <c r="G491" s="600" t="s">
        <v>6959</v>
      </c>
      <c r="H491" s="600" t="s">
        <v>419</v>
      </c>
      <c r="I491" s="603">
        <v>0</v>
      </c>
      <c r="J491" s="603">
        <v>0</v>
      </c>
    </row>
    <row r="492" spans="7:10" x14ac:dyDescent="0.2">
      <c r="G492" s="600" t="s">
        <v>6959</v>
      </c>
      <c r="H492" s="600" t="s">
        <v>402</v>
      </c>
      <c r="I492" s="603">
        <v>23.46</v>
      </c>
      <c r="J492" s="603">
        <v>17.190000000000001</v>
      </c>
    </row>
    <row r="493" spans="7:10" x14ac:dyDescent="0.2">
      <c r="G493" s="600" t="s">
        <v>6959</v>
      </c>
      <c r="H493" s="600" t="s">
        <v>211</v>
      </c>
      <c r="I493" s="603">
        <v>0.44</v>
      </c>
      <c r="J493" s="603">
        <v>1.18</v>
      </c>
    </row>
    <row r="494" spans="7:10" x14ac:dyDescent="0.2">
      <c r="G494" s="600" t="s">
        <v>6959</v>
      </c>
      <c r="H494" s="600" t="s">
        <v>210</v>
      </c>
      <c r="I494" s="603">
        <v>1.57</v>
      </c>
      <c r="J494" s="603">
        <v>1.88</v>
      </c>
    </row>
    <row r="495" spans="7:10" x14ac:dyDescent="0.2">
      <c r="G495" s="600" t="s">
        <v>6959</v>
      </c>
      <c r="H495" s="600" t="s">
        <v>209</v>
      </c>
      <c r="I495" s="603">
        <v>0.13</v>
      </c>
      <c r="J495" s="603">
        <v>0.63</v>
      </c>
    </row>
    <row r="496" spans="7:10" x14ac:dyDescent="0.2">
      <c r="G496" s="600" t="s">
        <v>6959</v>
      </c>
      <c r="H496" s="600" t="s">
        <v>207</v>
      </c>
      <c r="I496" s="603">
        <v>22.06</v>
      </c>
      <c r="J496" s="603">
        <v>9.42</v>
      </c>
    </row>
    <row r="497" spans="7:10" x14ac:dyDescent="0.2">
      <c r="G497" s="600" t="s">
        <v>6959</v>
      </c>
      <c r="H497" s="600" t="s">
        <v>206</v>
      </c>
      <c r="I497" s="603">
        <v>0.02</v>
      </c>
      <c r="J497" s="603">
        <v>0.08</v>
      </c>
    </row>
    <row r="498" spans="7:10" x14ac:dyDescent="0.2">
      <c r="G498" s="600" t="s">
        <v>6959</v>
      </c>
      <c r="H498" s="600" t="s">
        <v>313</v>
      </c>
      <c r="I498" s="603">
        <v>0</v>
      </c>
      <c r="J498" s="603">
        <v>0</v>
      </c>
    </row>
    <row r="499" spans="7:10" x14ac:dyDescent="0.2">
      <c r="G499" s="600" t="s">
        <v>6959</v>
      </c>
      <c r="H499" s="600" t="s">
        <v>497</v>
      </c>
      <c r="I499" s="603">
        <v>0</v>
      </c>
      <c r="J499" s="603">
        <v>0</v>
      </c>
    </row>
    <row r="500" spans="7:10" x14ac:dyDescent="0.2">
      <c r="G500" s="600" t="s">
        <v>6959</v>
      </c>
      <c r="H500" s="600" t="s">
        <v>416</v>
      </c>
      <c r="I500" s="603">
        <v>26.06</v>
      </c>
      <c r="J500" s="603">
        <v>34.619999999999997</v>
      </c>
    </row>
    <row r="501" spans="7:10" x14ac:dyDescent="0.2">
      <c r="G501" s="600" t="s">
        <v>6959</v>
      </c>
      <c r="H501" s="600" t="s">
        <v>449</v>
      </c>
      <c r="I501" s="603">
        <v>2.7</v>
      </c>
      <c r="J501" s="603">
        <v>0.55000000000000004</v>
      </c>
    </row>
    <row r="502" spans="7:10" x14ac:dyDescent="0.2">
      <c r="G502" s="600" t="s">
        <v>6959</v>
      </c>
      <c r="H502" s="600" t="s">
        <v>498</v>
      </c>
      <c r="I502" s="603">
        <v>0</v>
      </c>
      <c r="J502" s="603">
        <v>0</v>
      </c>
    </row>
    <row r="503" spans="7:10" x14ac:dyDescent="0.2">
      <c r="G503" s="600" t="s">
        <v>6959</v>
      </c>
      <c r="H503" s="600" t="s">
        <v>202</v>
      </c>
      <c r="I503" s="603">
        <v>1.58</v>
      </c>
      <c r="J503" s="603">
        <v>5.0199999999999996</v>
      </c>
    </row>
    <row r="504" spans="7:10" x14ac:dyDescent="0.2">
      <c r="G504" s="600" t="s">
        <v>6959</v>
      </c>
      <c r="H504" s="600" t="s">
        <v>409</v>
      </c>
      <c r="I504" s="603">
        <v>4.4800000000000004</v>
      </c>
      <c r="J504" s="603">
        <v>1.18</v>
      </c>
    </row>
    <row r="505" spans="7:10" x14ac:dyDescent="0.2">
      <c r="G505" s="600" t="s">
        <v>6959</v>
      </c>
      <c r="H505" s="600" t="s">
        <v>230</v>
      </c>
      <c r="I505" s="603">
        <v>0.08</v>
      </c>
      <c r="J505" s="603">
        <v>0.24</v>
      </c>
    </row>
    <row r="506" spans="7:10" x14ac:dyDescent="0.2">
      <c r="G506" s="600" t="s">
        <v>6959</v>
      </c>
      <c r="H506" s="600" t="s">
        <v>860</v>
      </c>
      <c r="I506" s="603">
        <v>0.12</v>
      </c>
      <c r="J506" s="603">
        <v>0.08</v>
      </c>
    </row>
    <row r="507" spans="7:10" x14ac:dyDescent="0.2">
      <c r="G507" s="600" t="s">
        <v>6960</v>
      </c>
      <c r="H507" s="600" t="s">
        <v>401</v>
      </c>
      <c r="I507" s="603">
        <v>0.83</v>
      </c>
      <c r="J507" s="603">
        <v>0</v>
      </c>
    </row>
    <row r="508" spans="7:10" x14ac:dyDescent="0.2">
      <c r="G508" s="600" t="s">
        <v>6960</v>
      </c>
      <c r="H508" s="600" t="s">
        <v>438</v>
      </c>
      <c r="I508" s="603">
        <v>0.83</v>
      </c>
      <c r="J508" s="603">
        <v>1.68</v>
      </c>
    </row>
    <row r="509" spans="7:10" x14ac:dyDescent="0.2">
      <c r="G509" s="600" t="s">
        <v>6960</v>
      </c>
      <c r="H509" s="600" t="s">
        <v>390</v>
      </c>
      <c r="I509" s="603">
        <v>17.52</v>
      </c>
      <c r="J509" s="603">
        <v>27.93</v>
      </c>
    </row>
    <row r="510" spans="7:10" x14ac:dyDescent="0.2">
      <c r="G510" s="600" t="s">
        <v>6960</v>
      </c>
      <c r="H510" s="600" t="s">
        <v>212</v>
      </c>
      <c r="I510" s="603">
        <v>1.43</v>
      </c>
      <c r="J510" s="603">
        <v>0.56000000000000005</v>
      </c>
    </row>
    <row r="511" spans="7:10" x14ac:dyDescent="0.2">
      <c r="G511" s="600" t="s">
        <v>6960</v>
      </c>
      <c r="H511" s="600" t="s">
        <v>419</v>
      </c>
      <c r="I511" s="603">
        <v>0</v>
      </c>
      <c r="J511" s="603">
        <v>0</v>
      </c>
    </row>
    <row r="512" spans="7:10" x14ac:dyDescent="0.2">
      <c r="G512" s="600" t="s">
        <v>6960</v>
      </c>
      <c r="H512" s="600" t="s">
        <v>402</v>
      </c>
      <c r="I512" s="603">
        <v>24.79</v>
      </c>
      <c r="J512" s="603">
        <v>21.23</v>
      </c>
    </row>
    <row r="513" spans="7:10" x14ac:dyDescent="0.2">
      <c r="G513" s="600" t="s">
        <v>6960</v>
      </c>
      <c r="H513" s="600" t="s">
        <v>211</v>
      </c>
      <c r="I513" s="603">
        <v>0.83</v>
      </c>
      <c r="J513" s="603">
        <v>1.68</v>
      </c>
    </row>
    <row r="514" spans="7:10" x14ac:dyDescent="0.2">
      <c r="G514" s="600" t="s">
        <v>6960</v>
      </c>
      <c r="H514" s="600" t="s">
        <v>210</v>
      </c>
      <c r="I514" s="603">
        <v>0.83</v>
      </c>
      <c r="J514" s="603">
        <v>0.56000000000000005</v>
      </c>
    </row>
    <row r="515" spans="7:10" x14ac:dyDescent="0.2">
      <c r="G515" s="600" t="s">
        <v>6960</v>
      </c>
      <c r="H515" s="600" t="s">
        <v>209</v>
      </c>
      <c r="I515" s="603">
        <v>0.48</v>
      </c>
      <c r="J515" s="603">
        <v>2.23</v>
      </c>
    </row>
    <row r="516" spans="7:10" x14ac:dyDescent="0.2">
      <c r="G516" s="600" t="s">
        <v>6960</v>
      </c>
      <c r="H516" s="600" t="s">
        <v>207</v>
      </c>
      <c r="I516" s="603">
        <v>15.49</v>
      </c>
      <c r="J516" s="603">
        <v>5.03</v>
      </c>
    </row>
    <row r="517" spans="7:10" x14ac:dyDescent="0.2">
      <c r="G517" s="600" t="s">
        <v>6960</v>
      </c>
      <c r="H517" s="600" t="s">
        <v>206</v>
      </c>
      <c r="I517" s="603">
        <v>0</v>
      </c>
      <c r="J517" s="603">
        <v>0</v>
      </c>
    </row>
    <row r="518" spans="7:10" x14ac:dyDescent="0.2">
      <c r="G518" s="600" t="s">
        <v>6960</v>
      </c>
      <c r="H518" s="600" t="s">
        <v>313</v>
      </c>
      <c r="I518" s="603">
        <v>0</v>
      </c>
      <c r="J518" s="603">
        <v>0</v>
      </c>
    </row>
    <row r="519" spans="7:10" x14ac:dyDescent="0.2">
      <c r="G519" s="600" t="s">
        <v>6960</v>
      </c>
      <c r="H519" s="600" t="s">
        <v>497</v>
      </c>
      <c r="I519" s="603">
        <v>0</v>
      </c>
      <c r="J519" s="603">
        <v>0</v>
      </c>
    </row>
    <row r="520" spans="7:10" x14ac:dyDescent="0.2">
      <c r="G520" s="600" t="s">
        <v>6960</v>
      </c>
      <c r="H520" s="600" t="s">
        <v>416</v>
      </c>
      <c r="I520" s="603">
        <v>28.25</v>
      </c>
      <c r="J520" s="603">
        <v>32.4</v>
      </c>
    </row>
    <row r="521" spans="7:10" x14ac:dyDescent="0.2">
      <c r="G521" s="600" t="s">
        <v>6960</v>
      </c>
      <c r="H521" s="600" t="s">
        <v>449</v>
      </c>
      <c r="I521" s="603">
        <v>1.91</v>
      </c>
      <c r="J521" s="603">
        <v>0</v>
      </c>
    </row>
    <row r="522" spans="7:10" x14ac:dyDescent="0.2">
      <c r="G522" s="600" t="s">
        <v>6960</v>
      </c>
      <c r="H522" s="600" t="s">
        <v>498</v>
      </c>
      <c r="I522" s="603">
        <v>0</v>
      </c>
      <c r="J522" s="603">
        <v>0</v>
      </c>
    </row>
    <row r="523" spans="7:10" x14ac:dyDescent="0.2">
      <c r="G523" s="600" t="s">
        <v>6960</v>
      </c>
      <c r="H523" s="600" t="s">
        <v>202</v>
      </c>
      <c r="I523" s="603">
        <v>1.55</v>
      </c>
      <c r="J523" s="603">
        <v>4.47</v>
      </c>
    </row>
    <row r="524" spans="7:10" x14ac:dyDescent="0.2">
      <c r="G524" s="600" t="s">
        <v>6960</v>
      </c>
      <c r="H524" s="600" t="s">
        <v>409</v>
      </c>
      <c r="I524" s="603">
        <v>4.17</v>
      </c>
      <c r="J524" s="603">
        <v>0.56000000000000005</v>
      </c>
    </row>
    <row r="525" spans="7:10" x14ac:dyDescent="0.2">
      <c r="G525" s="600" t="s">
        <v>6960</v>
      </c>
      <c r="H525" s="600" t="s">
        <v>230</v>
      </c>
      <c r="I525" s="603">
        <v>0.36</v>
      </c>
      <c r="J525" s="603">
        <v>1.68</v>
      </c>
    </row>
    <row r="526" spans="7:10" x14ac:dyDescent="0.2">
      <c r="G526" s="600" t="s">
        <v>6960</v>
      </c>
      <c r="H526" s="600" t="s">
        <v>860</v>
      </c>
      <c r="I526" s="603">
        <v>0.72</v>
      </c>
      <c r="J526" s="603">
        <v>0</v>
      </c>
    </row>
    <row r="527" spans="7:10" x14ac:dyDescent="0.2">
      <c r="G527" s="600" t="s">
        <v>6961</v>
      </c>
      <c r="H527" s="600" t="s">
        <v>401</v>
      </c>
      <c r="I527" s="603">
        <v>2.61</v>
      </c>
      <c r="J527" s="603">
        <v>0.39</v>
      </c>
    </row>
    <row r="528" spans="7:10" x14ac:dyDescent="0.2">
      <c r="G528" s="600" t="s">
        <v>6961</v>
      </c>
      <c r="H528" s="600" t="s">
        <v>438</v>
      </c>
      <c r="I528" s="603">
        <v>0.55000000000000004</v>
      </c>
      <c r="J528" s="603">
        <v>0.86</v>
      </c>
    </row>
    <row r="529" spans="7:10" x14ac:dyDescent="0.2">
      <c r="G529" s="600" t="s">
        <v>6961</v>
      </c>
      <c r="H529" s="600" t="s">
        <v>390</v>
      </c>
      <c r="I529" s="603">
        <v>10.61</v>
      </c>
      <c r="J529" s="603">
        <v>22.6</v>
      </c>
    </row>
    <row r="530" spans="7:10" x14ac:dyDescent="0.2">
      <c r="G530" s="600" t="s">
        <v>6961</v>
      </c>
      <c r="H530" s="600" t="s">
        <v>212</v>
      </c>
      <c r="I530" s="603">
        <v>1.05</v>
      </c>
      <c r="J530" s="603">
        <v>0.16</v>
      </c>
    </row>
    <row r="531" spans="7:10" x14ac:dyDescent="0.2">
      <c r="G531" s="600" t="s">
        <v>6961</v>
      </c>
      <c r="H531" s="600" t="s">
        <v>419</v>
      </c>
      <c r="I531" s="603">
        <v>0</v>
      </c>
      <c r="J531" s="603">
        <v>0</v>
      </c>
    </row>
    <row r="532" spans="7:10" x14ac:dyDescent="0.2">
      <c r="G532" s="600" t="s">
        <v>6961</v>
      </c>
      <c r="H532" s="600" t="s">
        <v>402</v>
      </c>
      <c r="I532" s="603">
        <v>28.17</v>
      </c>
      <c r="J532" s="603">
        <v>24.86</v>
      </c>
    </row>
    <row r="533" spans="7:10" x14ac:dyDescent="0.2">
      <c r="G533" s="600" t="s">
        <v>6961</v>
      </c>
      <c r="H533" s="600" t="s">
        <v>211</v>
      </c>
      <c r="I533" s="603">
        <v>0.38</v>
      </c>
      <c r="J533" s="603">
        <v>1.0900000000000001</v>
      </c>
    </row>
    <row r="534" spans="7:10" x14ac:dyDescent="0.2">
      <c r="G534" s="600" t="s">
        <v>6961</v>
      </c>
      <c r="H534" s="600" t="s">
        <v>210</v>
      </c>
      <c r="I534" s="603">
        <v>2.13</v>
      </c>
      <c r="J534" s="603">
        <v>1.64</v>
      </c>
    </row>
    <row r="535" spans="7:10" x14ac:dyDescent="0.2">
      <c r="G535" s="600" t="s">
        <v>6961</v>
      </c>
      <c r="H535" s="600" t="s">
        <v>209</v>
      </c>
      <c r="I535" s="603">
        <v>0.24</v>
      </c>
      <c r="J535" s="603">
        <v>1.01</v>
      </c>
    </row>
    <row r="536" spans="7:10" x14ac:dyDescent="0.2">
      <c r="G536" s="600" t="s">
        <v>6961</v>
      </c>
      <c r="H536" s="600" t="s">
        <v>207</v>
      </c>
      <c r="I536" s="603">
        <v>12.17</v>
      </c>
      <c r="J536" s="603">
        <v>5.22</v>
      </c>
    </row>
    <row r="537" spans="7:10" x14ac:dyDescent="0.2">
      <c r="G537" s="600" t="s">
        <v>6961</v>
      </c>
      <c r="H537" s="600" t="s">
        <v>206</v>
      </c>
      <c r="I537" s="603">
        <v>0</v>
      </c>
      <c r="J537" s="603">
        <v>0</v>
      </c>
    </row>
    <row r="538" spans="7:10" x14ac:dyDescent="0.2">
      <c r="G538" s="600" t="s">
        <v>6961</v>
      </c>
      <c r="H538" s="600" t="s">
        <v>313</v>
      </c>
      <c r="I538" s="603">
        <v>0.02</v>
      </c>
      <c r="J538" s="603">
        <v>0</v>
      </c>
    </row>
    <row r="539" spans="7:10" x14ac:dyDescent="0.2">
      <c r="G539" s="600" t="s">
        <v>6961</v>
      </c>
      <c r="H539" s="600" t="s">
        <v>497</v>
      </c>
      <c r="I539" s="603">
        <v>0</v>
      </c>
      <c r="J539" s="603">
        <v>0</v>
      </c>
    </row>
    <row r="540" spans="7:10" x14ac:dyDescent="0.2">
      <c r="G540" s="600" t="s">
        <v>6961</v>
      </c>
      <c r="H540" s="600" t="s">
        <v>416</v>
      </c>
      <c r="I540" s="603">
        <v>32.44</v>
      </c>
      <c r="J540" s="603">
        <v>38.43</v>
      </c>
    </row>
    <row r="541" spans="7:10" x14ac:dyDescent="0.2">
      <c r="G541" s="600" t="s">
        <v>6961</v>
      </c>
      <c r="H541" s="600" t="s">
        <v>449</v>
      </c>
      <c r="I541" s="603">
        <v>4.3899999999999997</v>
      </c>
      <c r="J541" s="603">
        <v>0.78</v>
      </c>
    </row>
    <row r="542" spans="7:10" x14ac:dyDescent="0.2">
      <c r="G542" s="600" t="s">
        <v>6961</v>
      </c>
      <c r="H542" s="600" t="s">
        <v>498</v>
      </c>
      <c r="I542" s="603">
        <v>0</v>
      </c>
      <c r="J542" s="603">
        <v>0</v>
      </c>
    </row>
    <row r="543" spans="7:10" x14ac:dyDescent="0.2">
      <c r="G543" s="600" t="s">
        <v>6961</v>
      </c>
      <c r="H543" s="600" t="s">
        <v>202</v>
      </c>
      <c r="I543" s="603">
        <v>0.74</v>
      </c>
      <c r="J543" s="603">
        <v>1.87</v>
      </c>
    </row>
    <row r="544" spans="7:10" x14ac:dyDescent="0.2">
      <c r="G544" s="600" t="s">
        <v>6961</v>
      </c>
      <c r="H544" s="600" t="s">
        <v>409</v>
      </c>
      <c r="I544" s="603">
        <v>4.32</v>
      </c>
      <c r="J544" s="603">
        <v>0.62</v>
      </c>
    </row>
    <row r="545" spans="7:10" x14ac:dyDescent="0.2">
      <c r="G545" s="600" t="s">
        <v>6961</v>
      </c>
      <c r="H545" s="600" t="s">
        <v>230</v>
      </c>
      <c r="I545" s="603">
        <v>0.09</v>
      </c>
      <c r="J545" s="603">
        <v>0.23</v>
      </c>
    </row>
    <row r="546" spans="7:10" x14ac:dyDescent="0.2">
      <c r="G546" s="600" t="s">
        <v>6961</v>
      </c>
      <c r="H546" s="600" t="s">
        <v>860</v>
      </c>
      <c r="I546" s="603">
        <v>0.1</v>
      </c>
      <c r="J546" s="603">
        <v>0.23</v>
      </c>
    </row>
    <row r="547" spans="7:10" x14ac:dyDescent="0.2">
      <c r="G547" s="600" t="s">
        <v>6962</v>
      </c>
      <c r="H547" s="600" t="s">
        <v>401</v>
      </c>
      <c r="I547" s="603">
        <v>2.1800000000000002</v>
      </c>
      <c r="J547" s="603">
        <v>0</v>
      </c>
    </row>
    <row r="548" spans="7:10" x14ac:dyDescent="0.2">
      <c r="G548" s="600" t="s">
        <v>6962</v>
      </c>
      <c r="H548" s="600" t="s">
        <v>438</v>
      </c>
      <c r="I548" s="603">
        <v>0.48</v>
      </c>
      <c r="J548" s="603">
        <v>1.1399999999999999</v>
      </c>
    </row>
    <row r="549" spans="7:10" x14ac:dyDescent="0.2">
      <c r="G549" s="600" t="s">
        <v>6962</v>
      </c>
      <c r="H549" s="600" t="s">
        <v>390</v>
      </c>
      <c r="I549" s="603">
        <v>16</v>
      </c>
      <c r="J549" s="603">
        <v>35.229999999999997</v>
      </c>
    </row>
    <row r="550" spans="7:10" x14ac:dyDescent="0.2">
      <c r="G550" s="600" t="s">
        <v>6962</v>
      </c>
      <c r="H550" s="600" t="s">
        <v>212</v>
      </c>
      <c r="I550" s="603">
        <v>3.52</v>
      </c>
      <c r="J550" s="603">
        <v>1.1399999999999999</v>
      </c>
    </row>
    <row r="551" spans="7:10" x14ac:dyDescent="0.2">
      <c r="G551" s="600" t="s">
        <v>6962</v>
      </c>
      <c r="H551" s="600" t="s">
        <v>419</v>
      </c>
      <c r="I551" s="603">
        <v>0</v>
      </c>
      <c r="J551" s="603">
        <v>0</v>
      </c>
    </row>
    <row r="552" spans="7:10" x14ac:dyDescent="0.2">
      <c r="G552" s="600" t="s">
        <v>6962</v>
      </c>
      <c r="H552" s="600" t="s">
        <v>402</v>
      </c>
      <c r="I552" s="603">
        <v>29.94</v>
      </c>
      <c r="J552" s="603">
        <v>21.59</v>
      </c>
    </row>
    <row r="553" spans="7:10" x14ac:dyDescent="0.2">
      <c r="G553" s="600" t="s">
        <v>6962</v>
      </c>
      <c r="H553" s="600" t="s">
        <v>211</v>
      </c>
      <c r="I553" s="603">
        <v>0.24</v>
      </c>
      <c r="J553" s="603">
        <v>0.56999999999999995</v>
      </c>
    </row>
    <row r="554" spans="7:10" x14ac:dyDescent="0.2">
      <c r="G554" s="600" t="s">
        <v>6962</v>
      </c>
      <c r="H554" s="600" t="s">
        <v>210</v>
      </c>
      <c r="I554" s="603">
        <v>0.73</v>
      </c>
      <c r="J554" s="603">
        <v>0.56999999999999995</v>
      </c>
    </row>
    <row r="555" spans="7:10" x14ac:dyDescent="0.2">
      <c r="G555" s="600" t="s">
        <v>6962</v>
      </c>
      <c r="H555" s="600" t="s">
        <v>209</v>
      </c>
      <c r="I555" s="603">
        <v>0</v>
      </c>
      <c r="J555" s="603">
        <v>0</v>
      </c>
    </row>
    <row r="556" spans="7:10" x14ac:dyDescent="0.2">
      <c r="G556" s="600" t="s">
        <v>6962</v>
      </c>
      <c r="H556" s="600" t="s">
        <v>207</v>
      </c>
      <c r="I556" s="603">
        <v>8.73</v>
      </c>
      <c r="J556" s="603">
        <v>4.55</v>
      </c>
    </row>
    <row r="557" spans="7:10" x14ac:dyDescent="0.2">
      <c r="G557" s="600" t="s">
        <v>6962</v>
      </c>
      <c r="H557" s="600" t="s">
        <v>206</v>
      </c>
      <c r="I557" s="603">
        <v>0</v>
      </c>
      <c r="J557" s="603">
        <v>0</v>
      </c>
    </row>
    <row r="558" spans="7:10" x14ac:dyDescent="0.2">
      <c r="G558" s="600" t="s">
        <v>6962</v>
      </c>
      <c r="H558" s="600" t="s">
        <v>313</v>
      </c>
      <c r="I558" s="603">
        <v>0</v>
      </c>
      <c r="J558" s="603">
        <v>0</v>
      </c>
    </row>
    <row r="559" spans="7:10" x14ac:dyDescent="0.2">
      <c r="G559" s="600" t="s">
        <v>6962</v>
      </c>
      <c r="H559" s="600" t="s">
        <v>497</v>
      </c>
      <c r="I559" s="603">
        <v>0</v>
      </c>
      <c r="J559" s="603">
        <v>0</v>
      </c>
    </row>
    <row r="560" spans="7:10" x14ac:dyDescent="0.2">
      <c r="G560" s="600" t="s">
        <v>6962</v>
      </c>
      <c r="H560" s="600" t="s">
        <v>416</v>
      </c>
      <c r="I560" s="603">
        <v>26.91</v>
      </c>
      <c r="J560" s="603">
        <v>27.27</v>
      </c>
    </row>
    <row r="561" spans="7:10" x14ac:dyDescent="0.2">
      <c r="G561" s="600" t="s">
        <v>6962</v>
      </c>
      <c r="H561" s="600" t="s">
        <v>449</v>
      </c>
      <c r="I561" s="603">
        <v>3.88</v>
      </c>
      <c r="J561" s="603">
        <v>0</v>
      </c>
    </row>
    <row r="562" spans="7:10" x14ac:dyDescent="0.2">
      <c r="G562" s="600" t="s">
        <v>6962</v>
      </c>
      <c r="H562" s="600" t="s">
        <v>498</v>
      </c>
      <c r="I562" s="603">
        <v>0</v>
      </c>
      <c r="J562" s="603">
        <v>0</v>
      </c>
    </row>
    <row r="563" spans="7:10" x14ac:dyDescent="0.2">
      <c r="G563" s="600" t="s">
        <v>6962</v>
      </c>
      <c r="H563" s="600" t="s">
        <v>202</v>
      </c>
      <c r="I563" s="603">
        <v>1.21</v>
      </c>
      <c r="J563" s="603">
        <v>3.98</v>
      </c>
    </row>
    <row r="564" spans="7:10" x14ac:dyDescent="0.2">
      <c r="G564" s="600" t="s">
        <v>6962</v>
      </c>
      <c r="H564" s="600" t="s">
        <v>409</v>
      </c>
      <c r="I564" s="603">
        <v>4.3600000000000003</v>
      </c>
      <c r="J564" s="603">
        <v>1.1399999999999999</v>
      </c>
    </row>
    <row r="565" spans="7:10" x14ac:dyDescent="0.2">
      <c r="G565" s="600" t="s">
        <v>6962</v>
      </c>
      <c r="H565" s="600" t="s">
        <v>230</v>
      </c>
      <c r="I565" s="603">
        <v>0.48</v>
      </c>
      <c r="J565" s="603">
        <v>0.56999999999999995</v>
      </c>
    </row>
    <row r="566" spans="7:10" x14ac:dyDescent="0.2">
      <c r="G566" s="600" t="s">
        <v>6962</v>
      </c>
      <c r="H566" s="600" t="s">
        <v>860</v>
      </c>
      <c r="I566" s="603">
        <v>1.33</v>
      </c>
      <c r="J566" s="603">
        <v>2.27</v>
      </c>
    </row>
    <row r="567" spans="7:10" x14ac:dyDescent="0.2">
      <c r="G567" s="600" t="s">
        <v>6963</v>
      </c>
      <c r="H567" s="600" t="s">
        <v>401</v>
      </c>
      <c r="I567" s="603">
        <v>1.5</v>
      </c>
      <c r="J567" s="603">
        <v>0.2</v>
      </c>
    </row>
    <row r="568" spans="7:10" x14ac:dyDescent="0.2">
      <c r="G568" s="600" t="s">
        <v>6963</v>
      </c>
      <c r="H568" s="600" t="s">
        <v>438</v>
      </c>
      <c r="I568" s="603">
        <v>0.78</v>
      </c>
      <c r="J568" s="603">
        <v>1.97</v>
      </c>
    </row>
    <row r="569" spans="7:10" x14ac:dyDescent="0.2">
      <c r="G569" s="600" t="s">
        <v>6963</v>
      </c>
      <c r="H569" s="600" t="s">
        <v>390</v>
      </c>
      <c r="I569" s="603">
        <v>8.32</v>
      </c>
      <c r="J569" s="603">
        <v>18.66</v>
      </c>
    </row>
    <row r="570" spans="7:10" x14ac:dyDescent="0.2">
      <c r="G570" s="600" t="s">
        <v>6963</v>
      </c>
      <c r="H570" s="600" t="s">
        <v>212</v>
      </c>
      <c r="I570" s="603">
        <v>0.52</v>
      </c>
      <c r="J570" s="603">
        <v>0.2</v>
      </c>
    </row>
    <row r="571" spans="7:10" x14ac:dyDescent="0.2">
      <c r="G571" s="600" t="s">
        <v>6963</v>
      </c>
      <c r="H571" s="600" t="s">
        <v>419</v>
      </c>
      <c r="I571" s="603">
        <v>0</v>
      </c>
      <c r="J571" s="603">
        <v>0</v>
      </c>
    </row>
    <row r="572" spans="7:10" x14ac:dyDescent="0.2">
      <c r="G572" s="600" t="s">
        <v>6963</v>
      </c>
      <c r="H572" s="600" t="s">
        <v>402</v>
      </c>
      <c r="I572" s="603">
        <v>14.96</v>
      </c>
      <c r="J572" s="603">
        <v>13.43</v>
      </c>
    </row>
    <row r="573" spans="7:10" x14ac:dyDescent="0.2">
      <c r="G573" s="600" t="s">
        <v>6963</v>
      </c>
      <c r="H573" s="600" t="s">
        <v>211</v>
      </c>
      <c r="I573" s="603">
        <v>1.85</v>
      </c>
      <c r="J573" s="603">
        <v>6.42</v>
      </c>
    </row>
    <row r="574" spans="7:10" x14ac:dyDescent="0.2">
      <c r="G574" s="600" t="s">
        <v>6963</v>
      </c>
      <c r="H574" s="600" t="s">
        <v>210</v>
      </c>
      <c r="I574" s="603">
        <v>0.56000000000000005</v>
      </c>
      <c r="J574" s="603">
        <v>0.89</v>
      </c>
    </row>
    <row r="575" spans="7:10" x14ac:dyDescent="0.2">
      <c r="G575" s="600" t="s">
        <v>6963</v>
      </c>
      <c r="H575" s="600" t="s">
        <v>209</v>
      </c>
      <c r="I575" s="603">
        <v>0.12</v>
      </c>
      <c r="J575" s="603">
        <v>0.59</v>
      </c>
    </row>
    <row r="576" spans="7:10" x14ac:dyDescent="0.2">
      <c r="G576" s="600" t="s">
        <v>6963</v>
      </c>
      <c r="H576" s="600" t="s">
        <v>207</v>
      </c>
      <c r="I576" s="603">
        <v>39.07</v>
      </c>
      <c r="J576" s="603">
        <v>16.68</v>
      </c>
    </row>
    <row r="577" spans="7:10" x14ac:dyDescent="0.2">
      <c r="G577" s="600" t="s">
        <v>6963</v>
      </c>
      <c r="H577" s="600" t="s">
        <v>206</v>
      </c>
      <c r="I577" s="603">
        <v>0</v>
      </c>
      <c r="J577" s="603">
        <v>0</v>
      </c>
    </row>
    <row r="578" spans="7:10" x14ac:dyDescent="0.2">
      <c r="G578" s="600" t="s">
        <v>6963</v>
      </c>
      <c r="H578" s="600" t="s">
        <v>313</v>
      </c>
      <c r="I578" s="603">
        <v>0</v>
      </c>
      <c r="J578" s="603">
        <v>0</v>
      </c>
    </row>
    <row r="579" spans="7:10" x14ac:dyDescent="0.2">
      <c r="G579" s="600" t="s">
        <v>6963</v>
      </c>
      <c r="H579" s="600" t="s">
        <v>497</v>
      </c>
      <c r="I579" s="603">
        <v>0</v>
      </c>
      <c r="J579" s="603">
        <v>0</v>
      </c>
    </row>
    <row r="580" spans="7:10" x14ac:dyDescent="0.2">
      <c r="G580" s="600" t="s">
        <v>6963</v>
      </c>
      <c r="H580" s="600" t="s">
        <v>416</v>
      </c>
      <c r="I580" s="603">
        <v>23.63</v>
      </c>
      <c r="J580" s="603">
        <v>31.98</v>
      </c>
    </row>
    <row r="581" spans="7:10" x14ac:dyDescent="0.2">
      <c r="G581" s="600" t="s">
        <v>6963</v>
      </c>
      <c r="H581" s="600" t="s">
        <v>449</v>
      </c>
      <c r="I581" s="603">
        <v>2.27</v>
      </c>
      <c r="J581" s="603">
        <v>0.39</v>
      </c>
    </row>
    <row r="582" spans="7:10" x14ac:dyDescent="0.2">
      <c r="G582" s="600" t="s">
        <v>6963</v>
      </c>
      <c r="H582" s="600" t="s">
        <v>498</v>
      </c>
      <c r="I582" s="603">
        <v>0</v>
      </c>
      <c r="J582" s="603">
        <v>0</v>
      </c>
    </row>
    <row r="583" spans="7:10" x14ac:dyDescent="0.2">
      <c r="G583" s="600" t="s">
        <v>6963</v>
      </c>
      <c r="H583" s="600" t="s">
        <v>202</v>
      </c>
      <c r="I583" s="603">
        <v>2.09</v>
      </c>
      <c r="J583" s="603">
        <v>6.61</v>
      </c>
    </row>
    <row r="584" spans="7:10" x14ac:dyDescent="0.2">
      <c r="G584" s="600" t="s">
        <v>6963</v>
      </c>
      <c r="H584" s="600" t="s">
        <v>409</v>
      </c>
      <c r="I584" s="603">
        <v>3.75</v>
      </c>
      <c r="J584" s="603">
        <v>0.3</v>
      </c>
    </row>
    <row r="585" spans="7:10" x14ac:dyDescent="0.2">
      <c r="G585" s="600" t="s">
        <v>6963</v>
      </c>
      <c r="H585" s="600" t="s">
        <v>230</v>
      </c>
      <c r="I585" s="603">
        <v>0.36</v>
      </c>
      <c r="J585" s="603">
        <v>1.18</v>
      </c>
    </row>
    <row r="586" spans="7:10" x14ac:dyDescent="0.2">
      <c r="G586" s="600" t="s">
        <v>6963</v>
      </c>
      <c r="H586" s="600" t="s">
        <v>860</v>
      </c>
      <c r="I586" s="603">
        <v>0.22</v>
      </c>
      <c r="J586" s="603">
        <v>0.49</v>
      </c>
    </row>
    <row r="587" spans="7:10" x14ac:dyDescent="0.2">
      <c r="G587" s="600" t="s">
        <v>6964</v>
      </c>
      <c r="H587" s="600" t="s">
        <v>401</v>
      </c>
      <c r="I587" s="603">
        <v>0.47</v>
      </c>
      <c r="J587" s="603">
        <v>0.21</v>
      </c>
    </row>
    <row r="588" spans="7:10" x14ac:dyDescent="0.2">
      <c r="G588" s="600" t="s">
        <v>6964</v>
      </c>
      <c r="H588" s="600" t="s">
        <v>438</v>
      </c>
      <c r="I588" s="603">
        <v>2.29</v>
      </c>
      <c r="J588" s="603">
        <v>4.46</v>
      </c>
    </row>
    <row r="589" spans="7:10" x14ac:dyDescent="0.2">
      <c r="G589" s="600" t="s">
        <v>6964</v>
      </c>
      <c r="H589" s="600" t="s">
        <v>390</v>
      </c>
      <c r="I589" s="603">
        <v>8.7200000000000006</v>
      </c>
      <c r="J589" s="603">
        <v>10.95</v>
      </c>
    </row>
    <row r="590" spans="7:10" x14ac:dyDescent="0.2">
      <c r="G590" s="600" t="s">
        <v>6964</v>
      </c>
      <c r="H590" s="600" t="s">
        <v>212</v>
      </c>
      <c r="I590" s="603">
        <v>2.4</v>
      </c>
      <c r="J590" s="603">
        <v>0.56000000000000005</v>
      </c>
    </row>
    <row r="591" spans="7:10" x14ac:dyDescent="0.2">
      <c r="G591" s="600" t="s">
        <v>6964</v>
      </c>
      <c r="H591" s="600" t="s">
        <v>419</v>
      </c>
      <c r="I591" s="603">
        <v>0.09</v>
      </c>
      <c r="J591" s="603">
        <v>0.05</v>
      </c>
    </row>
    <row r="592" spans="7:10" x14ac:dyDescent="0.2">
      <c r="G592" s="600" t="s">
        <v>6964</v>
      </c>
      <c r="H592" s="600" t="s">
        <v>402</v>
      </c>
      <c r="I592" s="603">
        <v>4.4400000000000004</v>
      </c>
      <c r="J592" s="603">
        <v>4.32</v>
      </c>
    </row>
    <row r="593" spans="7:10" x14ac:dyDescent="0.2">
      <c r="G593" s="600" t="s">
        <v>6964</v>
      </c>
      <c r="H593" s="600" t="s">
        <v>211</v>
      </c>
      <c r="I593" s="603">
        <v>10.19</v>
      </c>
      <c r="J593" s="603">
        <v>18.100000000000001</v>
      </c>
    </row>
    <row r="594" spans="7:10" x14ac:dyDescent="0.2">
      <c r="G594" s="600" t="s">
        <v>6964</v>
      </c>
      <c r="H594" s="600" t="s">
        <v>210</v>
      </c>
      <c r="I594" s="603">
        <v>1.53</v>
      </c>
      <c r="J594" s="603">
        <v>1.26</v>
      </c>
    </row>
    <row r="595" spans="7:10" x14ac:dyDescent="0.2">
      <c r="G595" s="600" t="s">
        <v>6964</v>
      </c>
      <c r="H595" s="600" t="s">
        <v>209</v>
      </c>
      <c r="I595" s="603">
        <v>0.32</v>
      </c>
      <c r="J595" s="603">
        <v>1.07</v>
      </c>
    </row>
    <row r="596" spans="7:10" x14ac:dyDescent="0.2">
      <c r="G596" s="600" t="s">
        <v>6964</v>
      </c>
      <c r="H596" s="600" t="s">
        <v>207</v>
      </c>
      <c r="I596" s="603">
        <v>26.25</v>
      </c>
      <c r="J596" s="603">
        <v>4.72</v>
      </c>
    </row>
    <row r="597" spans="7:10" x14ac:dyDescent="0.2">
      <c r="G597" s="600" t="s">
        <v>6964</v>
      </c>
      <c r="H597" s="600" t="s">
        <v>206</v>
      </c>
      <c r="I597" s="603">
        <v>0.04</v>
      </c>
      <c r="J597" s="603">
        <v>0.06</v>
      </c>
    </row>
    <row r="598" spans="7:10" x14ac:dyDescent="0.2">
      <c r="G598" s="600" t="s">
        <v>6964</v>
      </c>
      <c r="H598" s="600" t="s">
        <v>313</v>
      </c>
      <c r="I598" s="603">
        <v>0.19</v>
      </c>
      <c r="J598" s="603">
        <v>0.59</v>
      </c>
    </row>
    <row r="599" spans="7:10" x14ac:dyDescent="0.2">
      <c r="G599" s="600" t="s">
        <v>6964</v>
      </c>
      <c r="H599" s="600" t="s">
        <v>497</v>
      </c>
      <c r="I599" s="603">
        <v>0</v>
      </c>
      <c r="J599" s="603">
        <v>0</v>
      </c>
    </row>
    <row r="600" spans="7:10" x14ac:dyDescent="0.2">
      <c r="G600" s="600" t="s">
        <v>6964</v>
      </c>
      <c r="H600" s="600" t="s">
        <v>416</v>
      </c>
      <c r="I600" s="603">
        <v>32.51</v>
      </c>
      <c r="J600" s="603">
        <v>40.11</v>
      </c>
    </row>
    <row r="601" spans="7:10" x14ac:dyDescent="0.2">
      <c r="G601" s="600" t="s">
        <v>6964</v>
      </c>
      <c r="H601" s="600" t="s">
        <v>449</v>
      </c>
      <c r="I601" s="603">
        <v>0.47</v>
      </c>
      <c r="J601" s="603">
        <v>0.18</v>
      </c>
    </row>
    <row r="602" spans="7:10" x14ac:dyDescent="0.2">
      <c r="G602" s="600" t="s">
        <v>6964</v>
      </c>
      <c r="H602" s="600" t="s">
        <v>498</v>
      </c>
      <c r="I602" s="603">
        <v>0</v>
      </c>
      <c r="J602" s="603">
        <v>0</v>
      </c>
    </row>
    <row r="603" spans="7:10" x14ac:dyDescent="0.2">
      <c r="G603" s="600" t="s">
        <v>6964</v>
      </c>
      <c r="H603" s="600" t="s">
        <v>202</v>
      </c>
      <c r="I603" s="603">
        <v>2.36</v>
      </c>
      <c r="J603" s="603">
        <v>5.54</v>
      </c>
    </row>
    <row r="604" spans="7:10" x14ac:dyDescent="0.2">
      <c r="G604" s="600" t="s">
        <v>6964</v>
      </c>
      <c r="H604" s="600" t="s">
        <v>409</v>
      </c>
      <c r="I604" s="603">
        <v>1.89</v>
      </c>
      <c r="J604" s="603">
        <v>1.29</v>
      </c>
    </row>
    <row r="605" spans="7:10" x14ac:dyDescent="0.2">
      <c r="G605" s="600" t="s">
        <v>6964</v>
      </c>
      <c r="H605" s="600" t="s">
        <v>230</v>
      </c>
      <c r="I605" s="603">
        <v>4.55</v>
      </c>
      <c r="J605" s="603">
        <v>5.35</v>
      </c>
    </row>
    <row r="606" spans="7:10" x14ac:dyDescent="0.2">
      <c r="G606" s="600" t="s">
        <v>6964</v>
      </c>
      <c r="H606" s="600" t="s">
        <v>860</v>
      </c>
      <c r="I606" s="603">
        <v>1.28</v>
      </c>
      <c r="J606" s="603">
        <v>1.18</v>
      </c>
    </row>
    <row r="607" spans="7:10" x14ac:dyDescent="0.2">
      <c r="G607" s="600" t="s">
        <v>6965</v>
      </c>
      <c r="H607" s="600" t="s">
        <v>401</v>
      </c>
      <c r="I607" s="603">
        <v>1.02</v>
      </c>
      <c r="J607" s="603">
        <v>0.2</v>
      </c>
    </row>
    <row r="608" spans="7:10" x14ac:dyDescent="0.2">
      <c r="G608" s="600" t="s">
        <v>6965</v>
      </c>
      <c r="H608" s="600" t="s">
        <v>438</v>
      </c>
      <c r="I608" s="603">
        <v>0.85</v>
      </c>
      <c r="J608" s="603">
        <v>1.5</v>
      </c>
    </row>
    <row r="609" spans="7:10" x14ac:dyDescent="0.2">
      <c r="G609" s="600" t="s">
        <v>6965</v>
      </c>
      <c r="H609" s="600" t="s">
        <v>390</v>
      </c>
      <c r="I609" s="603">
        <v>13.22</v>
      </c>
      <c r="J609" s="603">
        <v>19.45</v>
      </c>
    </row>
    <row r="610" spans="7:10" x14ac:dyDescent="0.2">
      <c r="G610" s="600" t="s">
        <v>6965</v>
      </c>
      <c r="H610" s="600" t="s">
        <v>212</v>
      </c>
      <c r="I610" s="603">
        <v>0.69</v>
      </c>
      <c r="J610" s="603">
        <v>0.28000000000000003</v>
      </c>
    </row>
    <row r="611" spans="7:10" x14ac:dyDescent="0.2">
      <c r="G611" s="600" t="s">
        <v>6965</v>
      </c>
      <c r="H611" s="600" t="s">
        <v>419</v>
      </c>
      <c r="I611" s="603">
        <v>0.04</v>
      </c>
      <c r="J611" s="603">
        <v>0</v>
      </c>
    </row>
    <row r="612" spans="7:10" x14ac:dyDescent="0.2">
      <c r="G612" s="600" t="s">
        <v>6965</v>
      </c>
      <c r="H612" s="600" t="s">
        <v>402</v>
      </c>
      <c r="I612" s="603">
        <v>12.1</v>
      </c>
      <c r="J612" s="603">
        <v>9.76</v>
      </c>
    </row>
    <row r="613" spans="7:10" x14ac:dyDescent="0.2">
      <c r="G613" s="600" t="s">
        <v>6965</v>
      </c>
      <c r="H613" s="600" t="s">
        <v>211</v>
      </c>
      <c r="I613" s="603">
        <v>10.42</v>
      </c>
      <c r="J613" s="603">
        <v>23.98</v>
      </c>
    </row>
    <row r="614" spans="7:10" x14ac:dyDescent="0.2">
      <c r="G614" s="600" t="s">
        <v>6965</v>
      </c>
      <c r="H614" s="600" t="s">
        <v>210</v>
      </c>
      <c r="I614" s="603">
        <v>0.66</v>
      </c>
      <c r="J614" s="603">
        <v>0.75</v>
      </c>
    </row>
    <row r="615" spans="7:10" x14ac:dyDescent="0.2">
      <c r="G615" s="600" t="s">
        <v>6965</v>
      </c>
      <c r="H615" s="600" t="s">
        <v>209</v>
      </c>
      <c r="I615" s="603">
        <v>0.19</v>
      </c>
      <c r="J615" s="603">
        <v>0.71</v>
      </c>
    </row>
    <row r="616" spans="7:10" x14ac:dyDescent="0.2">
      <c r="G616" s="600" t="s">
        <v>6965</v>
      </c>
      <c r="H616" s="600" t="s">
        <v>207</v>
      </c>
      <c r="I616" s="603">
        <v>33.53</v>
      </c>
      <c r="J616" s="603">
        <v>9.5299999999999994</v>
      </c>
    </row>
    <row r="617" spans="7:10" x14ac:dyDescent="0.2">
      <c r="G617" s="600" t="s">
        <v>6965</v>
      </c>
      <c r="H617" s="600" t="s">
        <v>206</v>
      </c>
      <c r="I617" s="603">
        <v>0</v>
      </c>
      <c r="J617" s="603">
        <v>0</v>
      </c>
    </row>
    <row r="618" spans="7:10" x14ac:dyDescent="0.2">
      <c r="G618" s="600" t="s">
        <v>6965</v>
      </c>
      <c r="H618" s="600" t="s">
        <v>313</v>
      </c>
      <c r="I618" s="603">
        <v>0.05</v>
      </c>
      <c r="J618" s="603">
        <v>0.2</v>
      </c>
    </row>
    <row r="619" spans="7:10" x14ac:dyDescent="0.2">
      <c r="G619" s="600" t="s">
        <v>6965</v>
      </c>
      <c r="H619" s="600" t="s">
        <v>497</v>
      </c>
      <c r="I619" s="603">
        <v>0.01</v>
      </c>
      <c r="J619" s="603">
        <v>0</v>
      </c>
    </row>
    <row r="620" spans="7:10" x14ac:dyDescent="0.2">
      <c r="G620" s="600" t="s">
        <v>6965</v>
      </c>
      <c r="H620" s="600" t="s">
        <v>416</v>
      </c>
      <c r="I620" s="603">
        <v>17.239999999999998</v>
      </c>
      <c r="J620" s="603">
        <v>20.94</v>
      </c>
    </row>
    <row r="621" spans="7:10" x14ac:dyDescent="0.2">
      <c r="G621" s="600" t="s">
        <v>6965</v>
      </c>
      <c r="H621" s="600" t="s">
        <v>449</v>
      </c>
      <c r="I621" s="603">
        <v>1.08</v>
      </c>
      <c r="J621" s="603">
        <v>0.2</v>
      </c>
    </row>
    <row r="622" spans="7:10" x14ac:dyDescent="0.2">
      <c r="G622" s="600" t="s">
        <v>6965</v>
      </c>
      <c r="H622" s="600" t="s">
        <v>498</v>
      </c>
      <c r="I622" s="603">
        <v>0</v>
      </c>
      <c r="J622" s="603">
        <v>0</v>
      </c>
    </row>
    <row r="623" spans="7:10" x14ac:dyDescent="0.2">
      <c r="G623" s="600" t="s">
        <v>6965</v>
      </c>
      <c r="H623" s="600" t="s">
        <v>202</v>
      </c>
      <c r="I623" s="603">
        <v>1.27</v>
      </c>
      <c r="J623" s="603">
        <v>3.19</v>
      </c>
    </row>
    <row r="624" spans="7:10" x14ac:dyDescent="0.2">
      <c r="G624" s="600" t="s">
        <v>6965</v>
      </c>
      <c r="H624" s="600" t="s">
        <v>409</v>
      </c>
      <c r="I624" s="603">
        <v>2.68</v>
      </c>
      <c r="J624" s="603">
        <v>1.1000000000000001</v>
      </c>
    </row>
    <row r="625" spans="7:10" x14ac:dyDescent="0.2">
      <c r="G625" s="600" t="s">
        <v>6965</v>
      </c>
      <c r="H625" s="600" t="s">
        <v>230</v>
      </c>
      <c r="I625" s="603">
        <v>3.41</v>
      </c>
      <c r="J625" s="603">
        <v>6.69</v>
      </c>
    </row>
    <row r="626" spans="7:10" x14ac:dyDescent="0.2">
      <c r="G626" s="600" t="s">
        <v>6965</v>
      </c>
      <c r="H626" s="600" t="s">
        <v>860</v>
      </c>
      <c r="I626" s="603">
        <v>1.52</v>
      </c>
      <c r="J626" s="603">
        <v>1.54</v>
      </c>
    </row>
    <row r="627" spans="7:10" x14ac:dyDescent="0.2">
      <c r="G627" s="600" t="s">
        <v>6966</v>
      </c>
      <c r="H627" s="600" t="s">
        <v>401</v>
      </c>
      <c r="I627" s="603">
        <v>0.51</v>
      </c>
      <c r="J627" s="603">
        <v>0</v>
      </c>
    </row>
    <row r="628" spans="7:10" x14ac:dyDescent="0.2">
      <c r="G628" s="600" t="s">
        <v>6966</v>
      </c>
      <c r="H628" s="600" t="s">
        <v>438</v>
      </c>
      <c r="I628" s="603">
        <v>1.9</v>
      </c>
      <c r="J628" s="603">
        <v>3.87</v>
      </c>
    </row>
    <row r="629" spans="7:10" x14ac:dyDescent="0.2">
      <c r="G629" s="600" t="s">
        <v>6966</v>
      </c>
      <c r="H629" s="600" t="s">
        <v>390</v>
      </c>
      <c r="I629" s="603">
        <v>21.07</v>
      </c>
      <c r="J629" s="603">
        <v>24.23</v>
      </c>
    </row>
    <row r="630" spans="7:10" x14ac:dyDescent="0.2">
      <c r="G630" s="600" t="s">
        <v>6966</v>
      </c>
      <c r="H630" s="600" t="s">
        <v>212</v>
      </c>
      <c r="I630" s="603">
        <v>5.01</v>
      </c>
      <c r="J630" s="603">
        <v>0.27</v>
      </c>
    </row>
    <row r="631" spans="7:10" x14ac:dyDescent="0.2">
      <c r="G631" s="600" t="s">
        <v>6966</v>
      </c>
      <c r="H631" s="600" t="s">
        <v>419</v>
      </c>
      <c r="I631" s="603">
        <v>0.02</v>
      </c>
      <c r="J631" s="603">
        <v>0</v>
      </c>
    </row>
    <row r="632" spans="7:10" x14ac:dyDescent="0.2">
      <c r="G632" s="600" t="s">
        <v>6966</v>
      </c>
      <c r="H632" s="600" t="s">
        <v>402</v>
      </c>
      <c r="I632" s="603">
        <v>11.25</v>
      </c>
      <c r="J632" s="603">
        <v>6.22</v>
      </c>
    </row>
    <row r="633" spans="7:10" x14ac:dyDescent="0.2">
      <c r="G633" s="600" t="s">
        <v>6966</v>
      </c>
      <c r="H633" s="600" t="s">
        <v>211</v>
      </c>
      <c r="I633" s="603">
        <v>15.28</v>
      </c>
      <c r="J633" s="603">
        <v>23.42</v>
      </c>
    </row>
    <row r="634" spans="7:10" x14ac:dyDescent="0.2">
      <c r="G634" s="600" t="s">
        <v>6966</v>
      </c>
      <c r="H634" s="600" t="s">
        <v>210</v>
      </c>
      <c r="I634" s="603">
        <v>4.7</v>
      </c>
      <c r="J634" s="603">
        <v>3.33</v>
      </c>
    </row>
    <row r="635" spans="7:10" x14ac:dyDescent="0.2">
      <c r="G635" s="600" t="s">
        <v>6966</v>
      </c>
      <c r="H635" s="600" t="s">
        <v>209</v>
      </c>
      <c r="I635" s="603">
        <v>1.01</v>
      </c>
      <c r="J635" s="603">
        <v>3.78</v>
      </c>
    </row>
    <row r="636" spans="7:10" x14ac:dyDescent="0.2">
      <c r="G636" s="600" t="s">
        <v>6966</v>
      </c>
      <c r="H636" s="600" t="s">
        <v>207</v>
      </c>
      <c r="I636" s="603">
        <v>14.5</v>
      </c>
      <c r="J636" s="603">
        <v>2.97</v>
      </c>
    </row>
    <row r="637" spans="7:10" x14ac:dyDescent="0.2">
      <c r="G637" s="600" t="s">
        <v>6966</v>
      </c>
      <c r="H637" s="600" t="s">
        <v>206</v>
      </c>
      <c r="I637" s="603">
        <v>0.04</v>
      </c>
      <c r="J637" s="603">
        <v>0</v>
      </c>
    </row>
    <row r="638" spans="7:10" x14ac:dyDescent="0.2">
      <c r="G638" s="600" t="s">
        <v>6966</v>
      </c>
      <c r="H638" s="600" t="s">
        <v>313</v>
      </c>
      <c r="I638" s="603">
        <v>0.4</v>
      </c>
      <c r="J638" s="603">
        <v>1.26</v>
      </c>
    </row>
    <row r="639" spans="7:10" x14ac:dyDescent="0.2">
      <c r="G639" s="600" t="s">
        <v>6966</v>
      </c>
      <c r="H639" s="600" t="s">
        <v>497</v>
      </c>
      <c r="I639" s="603">
        <v>0</v>
      </c>
      <c r="J639" s="603">
        <v>0</v>
      </c>
    </row>
    <row r="640" spans="7:10" x14ac:dyDescent="0.2">
      <c r="G640" s="600" t="s">
        <v>6966</v>
      </c>
      <c r="H640" s="600" t="s">
        <v>416</v>
      </c>
      <c r="I640" s="603">
        <v>12.01</v>
      </c>
      <c r="J640" s="603">
        <v>13.78</v>
      </c>
    </row>
    <row r="641" spans="7:10" x14ac:dyDescent="0.2">
      <c r="G641" s="600" t="s">
        <v>6966</v>
      </c>
      <c r="H641" s="600" t="s">
        <v>449</v>
      </c>
      <c r="I641" s="603">
        <v>0.51</v>
      </c>
      <c r="J641" s="603">
        <v>0</v>
      </c>
    </row>
    <row r="642" spans="7:10" x14ac:dyDescent="0.2">
      <c r="G642" s="600" t="s">
        <v>6966</v>
      </c>
      <c r="H642" s="600" t="s">
        <v>498</v>
      </c>
      <c r="I642" s="603">
        <v>0</v>
      </c>
      <c r="J642" s="603">
        <v>0</v>
      </c>
    </row>
    <row r="643" spans="7:10" x14ac:dyDescent="0.2">
      <c r="G643" s="600" t="s">
        <v>6966</v>
      </c>
      <c r="H643" s="600" t="s">
        <v>202</v>
      </c>
      <c r="I643" s="603">
        <v>0.6</v>
      </c>
      <c r="J643" s="603">
        <v>1.53</v>
      </c>
    </row>
    <row r="644" spans="7:10" x14ac:dyDescent="0.2">
      <c r="G644" s="600" t="s">
        <v>6966</v>
      </c>
      <c r="H644" s="600" t="s">
        <v>409</v>
      </c>
      <c r="I644" s="603">
        <v>1.1399999999999999</v>
      </c>
      <c r="J644" s="603">
        <v>0.81</v>
      </c>
    </row>
    <row r="645" spans="7:10" x14ac:dyDescent="0.2">
      <c r="G645" s="600" t="s">
        <v>6966</v>
      </c>
      <c r="H645" s="600" t="s">
        <v>230</v>
      </c>
      <c r="I645" s="603">
        <v>6.87</v>
      </c>
      <c r="J645" s="603">
        <v>11.8</v>
      </c>
    </row>
    <row r="646" spans="7:10" x14ac:dyDescent="0.2">
      <c r="G646" s="600" t="s">
        <v>6966</v>
      </c>
      <c r="H646" s="600" t="s">
        <v>860</v>
      </c>
      <c r="I646" s="603">
        <v>3.15</v>
      </c>
      <c r="J646" s="603">
        <v>2.7</v>
      </c>
    </row>
    <row r="647" spans="7:10" x14ac:dyDescent="0.2">
      <c r="G647" s="600" t="s">
        <v>6967</v>
      </c>
      <c r="H647" s="600" t="s">
        <v>401</v>
      </c>
      <c r="I647" s="603">
        <v>0.79</v>
      </c>
      <c r="J647" s="603">
        <v>0.65</v>
      </c>
    </row>
    <row r="648" spans="7:10" x14ac:dyDescent="0.2">
      <c r="G648" s="600" t="s">
        <v>6967</v>
      </c>
      <c r="H648" s="600" t="s">
        <v>438</v>
      </c>
      <c r="I648" s="603">
        <v>3.17</v>
      </c>
      <c r="J648" s="603">
        <v>5.4</v>
      </c>
    </row>
    <row r="649" spans="7:10" x14ac:dyDescent="0.2">
      <c r="G649" s="600" t="s">
        <v>6967</v>
      </c>
      <c r="H649" s="600" t="s">
        <v>390</v>
      </c>
      <c r="I649" s="603">
        <v>1.92</v>
      </c>
      <c r="J649" s="603">
        <v>1.73</v>
      </c>
    </row>
    <row r="650" spans="7:10" x14ac:dyDescent="0.2">
      <c r="G650" s="600" t="s">
        <v>6967</v>
      </c>
      <c r="H650" s="600" t="s">
        <v>212</v>
      </c>
      <c r="I650" s="603">
        <v>5.55</v>
      </c>
      <c r="J650" s="603">
        <v>1.94</v>
      </c>
    </row>
    <row r="651" spans="7:10" x14ac:dyDescent="0.2">
      <c r="G651" s="600" t="s">
        <v>6967</v>
      </c>
      <c r="H651" s="600" t="s">
        <v>419</v>
      </c>
      <c r="I651" s="603">
        <v>0.06</v>
      </c>
      <c r="J651" s="603">
        <v>0</v>
      </c>
    </row>
    <row r="652" spans="7:10" x14ac:dyDescent="0.2">
      <c r="G652" s="600" t="s">
        <v>6967</v>
      </c>
      <c r="H652" s="600" t="s">
        <v>402</v>
      </c>
      <c r="I652" s="603">
        <v>2.72</v>
      </c>
      <c r="J652" s="603">
        <v>1.3</v>
      </c>
    </row>
    <row r="653" spans="7:10" x14ac:dyDescent="0.2">
      <c r="G653" s="600" t="s">
        <v>6967</v>
      </c>
      <c r="H653" s="600" t="s">
        <v>211</v>
      </c>
      <c r="I653" s="603">
        <v>5.94</v>
      </c>
      <c r="J653" s="603">
        <v>6.91</v>
      </c>
    </row>
    <row r="654" spans="7:10" x14ac:dyDescent="0.2">
      <c r="G654" s="600" t="s">
        <v>6967</v>
      </c>
      <c r="H654" s="600" t="s">
        <v>210</v>
      </c>
      <c r="I654" s="603">
        <v>1.47</v>
      </c>
      <c r="J654" s="603">
        <v>1.3</v>
      </c>
    </row>
    <row r="655" spans="7:10" x14ac:dyDescent="0.2">
      <c r="G655" s="600" t="s">
        <v>6967</v>
      </c>
      <c r="H655" s="600" t="s">
        <v>209</v>
      </c>
      <c r="I655" s="603">
        <v>0.11</v>
      </c>
      <c r="J655" s="603">
        <v>0.43</v>
      </c>
    </row>
    <row r="656" spans="7:10" x14ac:dyDescent="0.2">
      <c r="G656" s="600" t="s">
        <v>6967</v>
      </c>
      <c r="H656" s="600" t="s">
        <v>207</v>
      </c>
      <c r="I656" s="603">
        <v>15.62</v>
      </c>
      <c r="J656" s="603">
        <v>3.67</v>
      </c>
    </row>
    <row r="657" spans="7:10" x14ac:dyDescent="0.2">
      <c r="G657" s="600" t="s">
        <v>6967</v>
      </c>
      <c r="H657" s="600" t="s">
        <v>206</v>
      </c>
      <c r="I657" s="603">
        <v>0.11</v>
      </c>
      <c r="J657" s="603">
        <v>0.22</v>
      </c>
    </row>
    <row r="658" spans="7:10" x14ac:dyDescent="0.2">
      <c r="G658" s="600" t="s">
        <v>6967</v>
      </c>
      <c r="H658" s="600" t="s">
        <v>313</v>
      </c>
      <c r="I658" s="603">
        <v>0.17</v>
      </c>
      <c r="J658" s="603">
        <v>0.65</v>
      </c>
    </row>
    <row r="659" spans="7:10" x14ac:dyDescent="0.2">
      <c r="G659" s="600" t="s">
        <v>6967</v>
      </c>
      <c r="H659" s="600" t="s">
        <v>497</v>
      </c>
      <c r="I659" s="603">
        <v>0</v>
      </c>
      <c r="J659" s="603">
        <v>0</v>
      </c>
    </row>
    <row r="660" spans="7:10" x14ac:dyDescent="0.2">
      <c r="G660" s="600" t="s">
        <v>6967</v>
      </c>
      <c r="H660" s="600" t="s">
        <v>416</v>
      </c>
      <c r="I660" s="603">
        <v>45.9</v>
      </c>
      <c r="J660" s="603">
        <v>53.56</v>
      </c>
    </row>
    <row r="661" spans="7:10" x14ac:dyDescent="0.2">
      <c r="G661" s="600" t="s">
        <v>6967</v>
      </c>
      <c r="H661" s="600" t="s">
        <v>449</v>
      </c>
      <c r="I661" s="603">
        <v>0.56999999999999995</v>
      </c>
      <c r="J661" s="603">
        <v>0.22</v>
      </c>
    </row>
    <row r="662" spans="7:10" x14ac:dyDescent="0.2">
      <c r="G662" s="600" t="s">
        <v>6967</v>
      </c>
      <c r="H662" s="600" t="s">
        <v>498</v>
      </c>
      <c r="I662" s="603">
        <v>0</v>
      </c>
      <c r="J662" s="603">
        <v>0</v>
      </c>
    </row>
    <row r="663" spans="7:10" x14ac:dyDescent="0.2">
      <c r="G663" s="600" t="s">
        <v>6967</v>
      </c>
      <c r="H663" s="600" t="s">
        <v>202</v>
      </c>
      <c r="I663" s="603">
        <v>5.77</v>
      </c>
      <c r="J663" s="603">
        <v>14.04</v>
      </c>
    </row>
    <row r="664" spans="7:10" x14ac:dyDescent="0.2">
      <c r="G664" s="600" t="s">
        <v>6967</v>
      </c>
      <c r="H664" s="600" t="s">
        <v>409</v>
      </c>
      <c r="I664" s="603">
        <v>2.4300000000000002</v>
      </c>
      <c r="J664" s="603">
        <v>1.94</v>
      </c>
    </row>
    <row r="665" spans="7:10" x14ac:dyDescent="0.2">
      <c r="G665" s="600" t="s">
        <v>6967</v>
      </c>
      <c r="H665" s="600" t="s">
        <v>230</v>
      </c>
      <c r="I665" s="603">
        <v>6.45</v>
      </c>
      <c r="J665" s="603">
        <v>4.75</v>
      </c>
    </row>
    <row r="666" spans="7:10" x14ac:dyDescent="0.2">
      <c r="G666" s="600" t="s">
        <v>6967</v>
      </c>
      <c r="H666" s="600" t="s">
        <v>860</v>
      </c>
      <c r="I666" s="603">
        <v>1.25</v>
      </c>
      <c r="J666" s="603">
        <v>1.3</v>
      </c>
    </row>
    <row r="667" spans="7:10" x14ac:dyDescent="0.2">
      <c r="G667" s="600" t="s">
        <v>6968</v>
      </c>
      <c r="H667" s="600" t="s">
        <v>401</v>
      </c>
      <c r="I667" s="603">
        <v>1.1599999999999999</v>
      </c>
      <c r="J667" s="603">
        <v>0.24</v>
      </c>
    </row>
    <row r="668" spans="7:10" x14ac:dyDescent="0.2">
      <c r="G668" s="600" t="s">
        <v>6968</v>
      </c>
      <c r="H668" s="600" t="s">
        <v>438</v>
      </c>
      <c r="I668" s="603">
        <v>0.62</v>
      </c>
      <c r="J668" s="603">
        <v>1.24</v>
      </c>
    </row>
    <row r="669" spans="7:10" x14ac:dyDescent="0.2">
      <c r="G669" s="600" t="s">
        <v>6968</v>
      </c>
      <c r="H669" s="600" t="s">
        <v>390</v>
      </c>
      <c r="I669" s="603">
        <v>21.3</v>
      </c>
      <c r="J669" s="603">
        <v>30.82</v>
      </c>
    </row>
    <row r="670" spans="7:10" x14ac:dyDescent="0.2">
      <c r="G670" s="600" t="s">
        <v>6968</v>
      </c>
      <c r="H670" s="600" t="s">
        <v>212</v>
      </c>
      <c r="I670" s="603">
        <v>0.43</v>
      </c>
      <c r="J670" s="603">
        <v>0</v>
      </c>
    </row>
    <row r="671" spans="7:10" x14ac:dyDescent="0.2">
      <c r="G671" s="600" t="s">
        <v>6968</v>
      </c>
      <c r="H671" s="600" t="s">
        <v>419</v>
      </c>
      <c r="I671" s="603">
        <v>0</v>
      </c>
      <c r="J671" s="603">
        <v>0</v>
      </c>
    </row>
    <row r="672" spans="7:10" x14ac:dyDescent="0.2">
      <c r="G672" s="600" t="s">
        <v>6968</v>
      </c>
      <c r="H672" s="600" t="s">
        <v>402</v>
      </c>
      <c r="I672" s="603">
        <v>27.73</v>
      </c>
      <c r="J672" s="603">
        <v>19.739999999999998</v>
      </c>
    </row>
    <row r="673" spans="7:10" x14ac:dyDescent="0.2">
      <c r="G673" s="600" t="s">
        <v>6968</v>
      </c>
      <c r="H673" s="600" t="s">
        <v>211</v>
      </c>
      <c r="I673" s="603">
        <v>0.62</v>
      </c>
      <c r="J673" s="603">
        <v>1.47</v>
      </c>
    </row>
    <row r="674" spans="7:10" x14ac:dyDescent="0.2">
      <c r="G674" s="600" t="s">
        <v>6968</v>
      </c>
      <c r="H674" s="600" t="s">
        <v>210</v>
      </c>
      <c r="I674" s="603">
        <v>1.1599999999999999</v>
      </c>
      <c r="J674" s="603">
        <v>1.77</v>
      </c>
    </row>
    <row r="675" spans="7:10" x14ac:dyDescent="0.2">
      <c r="G675" s="600" t="s">
        <v>6968</v>
      </c>
      <c r="H675" s="600" t="s">
        <v>209</v>
      </c>
      <c r="I675" s="603">
        <v>0.27</v>
      </c>
      <c r="J675" s="603">
        <v>1.1200000000000001</v>
      </c>
    </row>
    <row r="676" spans="7:10" x14ac:dyDescent="0.2">
      <c r="G676" s="600" t="s">
        <v>6968</v>
      </c>
      <c r="H676" s="600" t="s">
        <v>207</v>
      </c>
      <c r="I676" s="603">
        <v>13.01</v>
      </c>
      <c r="J676" s="603">
        <v>4.95</v>
      </c>
    </row>
    <row r="677" spans="7:10" x14ac:dyDescent="0.2">
      <c r="G677" s="600" t="s">
        <v>6968</v>
      </c>
      <c r="H677" s="600" t="s">
        <v>206</v>
      </c>
      <c r="I677" s="603">
        <v>0</v>
      </c>
      <c r="J677" s="603">
        <v>0</v>
      </c>
    </row>
    <row r="678" spans="7:10" x14ac:dyDescent="0.2">
      <c r="G678" s="600" t="s">
        <v>6968</v>
      </c>
      <c r="H678" s="600" t="s">
        <v>313</v>
      </c>
      <c r="I678" s="603">
        <v>0</v>
      </c>
      <c r="J678" s="603">
        <v>0</v>
      </c>
    </row>
    <row r="679" spans="7:10" x14ac:dyDescent="0.2">
      <c r="G679" s="600" t="s">
        <v>6968</v>
      </c>
      <c r="H679" s="600" t="s">
        <v>497</v>
      </c>
      <c r="I679" s="603">
        <v>0</v>
      </c>
      <c r="J679" s="603">
        <v>0</v>
      </c>
    </row>
    <row r="680" spans="7:10" x14ac:dyDescent="0.2">
      <c r="G680" s="600" t="s">
        <v>6968</v>
      </c>
      <c r="H680" s="600" t="s">
        <v>416</v>
      </c>
      <c r="I680" s="603">
        <v>26.55</v>
      </c>
      <c r="J680" s="603">
        <v>32.229999999999997</v>
      </c>
    </row>
    <row r="681" spans="7:10" x14ac:dyDescent="0.2">
      <c r="G681" s="600" t="s">
        <v>6968</v>
      </c>
      <c r="H681" s="600" t="s">
        <v>449</v>
      </c>
      <c r="I681" s="603">
        <v>2.36</v>
      </c>
      <c r="J681" s="603">
        <v>0.59</v>
      </c>
    </row>
    <row r="682" spans="7:10" x14ac:dyDescent="0.2">
      <c r="G682" s="600" t="s">
        <v>6968</v>
      </c>
      <c r="H682" s="600" t="s">
        <v>498</v>
      </c>
      <c r="I682" s="603">
        <v>0</v>
      </c>
      <c r="J682" s="603">
        <v>0</v>
      </c>
    </row>
    <row r="683" spans="7:10" x14ac:dyDescent="0.2">
      <c r="G683" s="600" t="s">
        <v>6968</v>
      </c>
      <c r="H683" s="600" t="s">
        <v>202</v>
      </c>
      <c r="I683" s="603">
        <v>1.1499999999999999</v>
      </c>
      <c r="J683" s="603">
        <v>3.59</v>
      </c>
    </row>
    <row r="684" spans="7:10" x14ac:dyDescent="0.2">
      <c r="G684" s="600" t="s">
        <v>6968</v>
      </c>
      <c r="H684" s="600" t="s">
        <v>409</v>
      </c>
      <c r="I684" s="603">
        <v>3.06</v>
      </c>
      <c r="J684" s="603">
        <v>1.77</v>
      </c>
    </row>
    <row r="685" spans="7:10" x14ac:dyDescent="0.2">
      <c r="G685" s="600" t="s">
        <v>6968</v>
      </c>
      <c r="H685" s="600" t="s">
        <v>230</v>
      </c>
      <c r="I685" s="603">
        <v>0.34</v>
      </c>
      <c r="J685" s="603">
        <v>0.12</v>
      </c>
    </row>
    <row r="686" spans="7:10" x14ac:dyDescent="0.2">
      <c r="G686" s="600" t="s">
        <v>6968</v>
      </c>
      <c r="H686" s="600" t="s">
        <v>860</v>
      </c>
      <c r="I686" s="603">
        <v>0.24</v>
      </c>
      <c r="J686" s="603">
        <v>0.35</v>
      </c>
    </row>
    <row r="687" spans="7:10" x14ac:dyDescent="0.2">
      <c r="G687" s="600" t="s">
        <v>6969</v>
      </c>
      <c r="H687" s="600" t="s">
        <v>401</v>
      </c>
      <c r="I687" s="603">
        <v>0.94</v>
      </c>
      <c r="J687" s="603">
        <v>0.53</v>
      </c>
    </row>
    <row r="688" spans="7:10" x14ac:dyDescent="0.2">
      <c r="G688" s="600" t="s">
        <v>6969</v>
      </c>
      <c r="H688" s="600" t="s">
        <v>438</v>
      </c>
      <c r="I688" s="603">
        <v>0.68</v>
      </c>
      <c r="J688" s="603">
        <v>1.06</v>
      </c>
    </row>
    <row r="689" spans="7:10" x14ac:dyDescent="0.2">
      <c r="G689" s="600" t="s">
        <v>6969</v>
      </c>
      <c r="H689" s="600" t="s">
        <v>390</v>
      </c>
      <c r="I689" s="603">
        <v>26.89</v>
      </c>
      <c r="J689" s="603">
        <v>33.1</v>
      </c>
    </row>
    <row r="690" spans="7:10" x14ac:dyDescent="0.2">
      <c r="G690" s="600" t="s">
        <v>6969</v>
      </c>
      <c r="H690" s="600" t="s">
        <v>212</v>
      </c>
      <c r="I690" s="603">
        <v>0.66</v>
      </c>
      <c r="J690" s="603">
        <v>0.26</v>
      </c>
    </row>
    <row r="691" spans="7:10" x14ac:dyDescent="0.2">
      <c r="G691" s="600" t="s">
        <v>6969</v>
      </c>
      <c r="H691" s="600" t="s">
        <v>419</v>
      </c>
      <c r="I691" s="603">
        <v>0</v>
      </c>
      <c r="J691" s="603">
        <v>0</v>
      </c>
    </row>
    <row r="692" spans="7:10" x14ac:dyDescent="0.2">
      <c r="G692" s="600" t="s">
        <v>6969</v>
      </c>
      <c r="H692" s="600" t="s">
        <v>402</v>
      </c>
      <c r="I692" s="603">
        <v>30.86</v>
      </c>
      <c r="J692" s="603">
        <v>23.65</v>
      </c>
    </row>
    <row r="693" spans="7:10" x14ac:dyDescent="0.2">
      <c r="G693" s="600" t="s">
        <v>6969</v>
      </c>
      <c r="H693" s="600" t="s">
        <v>211</v>
      </c>
      <c r="I693" s="603">
        <v>1.01</v>
      </c>
      <c r="J693" s="603">
        <v>1.59</v>
      </c>
    </row>
    <row r="694" spans="7:10" x14ac:dyDescent="0.2">
      <c r="G694" s="600" t="s">
        <v>6969</v>
      </c>
      <c r="H694" s="600" t="s">
        <v>210</v>
      </c>
      <c r="I694" s="603">
        <v>0.7</v>
      </c>
      <c r="J694" s="603">
        <v>1.41</v>
      </c>
    </row>
    <row r="695" spans="7:10" x14ac:dyDescent="0.2">
      <c r="G695" s="600" t="s">
        <v>6969</v>
      </c>
      <c r="H695" s="600" t="s">
        <v>209</v>
      </c>
      <c r="I695" s="603">
        <v>0.11</v>
      </c>
      <c r="J695" s="603">
        <v>0.44</v>
      </c>
    </row>
    <row r="696" spans="7:10" x14ac:dyDescent="0.2">
      <c r="G696" s="600" t="s">
        <v>6969</v>
      </c>
      <c r="H696" s="600" t="s">
        <v>207</v>
      </c>
      <c r="I696" s="603">
        <v>6.19</v>
      </c>
      <c r="J696" s="603">
        <v>2.4700000000000002</v>
      </c>
    </row>
    <row r="697" spans="7:10" x14ac:dyDescent="0.2">
      <c r="G697" s="600" t="s">
        <v>6969</v>
      </c>
      <c r="H697" s="600" t="s">
        <v>206</v>
      </c>
      <c r="I697" s="603">
        <v>0</v>
      </c>
      <c r="J697" s="603">
        <v>0</v>
      </c>
    </row>
    <row r="698" spans="7:10" x14ac:dyDescent="0.2">
      <c r="G698" s="600" t="s">
        <v>6969</v>
      </c>
      <c r="H698" s="600" t="s">
        <v>313</v>
      </c>
      <c r="I698" s="603">
        <v>0</v>
      </c>
      <c r="J698" s="603">
        <v>0</v>
      </c>
    </row>
    <row r="699" spans="7:10" x14ac:dyDescent="0.2">
      <c r="G699" s="600" t="s">
        <v>6969</v>
      </c>
      <c r="H699" s="600" t="s">
        <v>497</v>
      </c>
      <c r="I699" s="603">
        <v>0</v>
      </c>
      <c r="J699" s="603">
        <v>0</v>
      </c>
    </row>
    <row r="700" spans="7:10" x14ac:dyDescent="0.2">
      <c r="G700" s="600" t="s">
        <v>6969</v>
      </c>
      <c r="H700" s="600" t="s">
        <v>416</v>
      </c>
      <c r="I700" s="603">
        <v>25.86</v>
      </c>
      <c r="J700" s="603">
        <v>28.24</v>
      </c>
    </row>
    <row r="701" spans="7:10" x14ac:dyDescent="0.2">
      <c r="G701" s="600" t="s">
        <v>6969</v>
      </c>
      <c r="H701" s="600" t="s">
        <v>449</v>
      </c>
      <c r="I701" s="603">
        <v>1.49</v>
      </c>
      <c r="J701" s="603">
        <v>0.62</v>
      </c>
    </row>
    <row r="702" spans="7:10" x14ac:dyDescent="0.2">
      <c r="G702" s="600" t="s">
        <v>6969</v>
      </c>
      <c r="H702" s="600" t="s">
        <v>498</v>
      </c>
      <c r="I702" s="603">
        <v>0</v>
      </c>
      <c r="J702" s="603">
        <v>0</v>
      </c>
    </row>
    <row r="703" spans="7:10" x14ac:dyDescent="0.2">
      <c r="G703" s="600" t="s">
        <v>6969</v>
      </c>
      <c r="H703" s="600" t="s">
        <v>202</v>
      </c>
      <c r="I703" s="603">
        <v>1.34</v>
      </c>
      <c r="J703" s="603">
        <v>3.88</v>
      </c>
    </row>
    <row r="704" spans="7:10" x14ac:dyDescent="0.2">
      <c r="G704" s="600" t="s">
        <v>6969</v>
      </c>
      <c r="H704" s="600" t="s">
        <v>409</v>
      </c>
      <c r="I704" s="603">
        <v>2.02</v>
      </c>
      <c r="J704" s="603">
        <v>1.5</v>
      </c>
    </row>
    <row r="705" spans="7:10" x14ac:dyDescent="0.2">
      <c r="G705" s="600" t="s">
        <v>6969</v>
      </c>
      <c r="H705" s="600" t="s">
        <v>230</v>
      </c>
      <c r="I705" s="603">
        <v>0.79</v>
      </c>
      <c r="J705" s="603">
        <v>0.97</v>
      </c>
    </row>
    <row r="706" spans="7:10" x14ac:dyDescent="0.2">
      <c r="G706" s="600" t="s">
        <v>6969</v>
      </c>
      <c r="H706" s="600" t="s">
        <v>860</v>
      </c>
      <c r="I706" s="603">
        <v>0.46</v>
      </c>
      <c r="J706" s="603">
        <v>0.26</v>
      </c>
    </row>
    <row r="707" spans="7:10" x14ac:dyDescent="0.2">
      <c r="G707" s="600" t="s">
        <v>6970</v>
      </c>
      <c r="H707" s="600" t="s">
        <v>401</v>
      </c>
      <c r="I707" s="603">
        <v>1.27</v>
      </c>
      <c r="J707" s="603">
        <v>0.31</v>
      </c>
    </row>
    <row r="708" spans="7:10" x14ac:dyDescent="0.2">
      <c r="G708" s="600" t="s">
        <v>6970</v>
      </c>
      <c r="H708" s="600" t="s">
        <v>438</v>
      </c>
      <c r="I708" s="603">
        <v>0.48</v>
      </c>
      <c r="J708" s="603">
        <v>0.87</v>
      </c>
    </row>
    <row r="709" spans="7:10" x14ac:dyDescent="0.2">
      <c r="G709" s="600" t="s">
        <v>6970</v>
      </c>
      <c r="H709" s="600" t="s">
        <v>390</v>
      </c>
      <c r="I709" s="603">
        <v>26.09</v>
      </c>
      <c r="J709" s="603">
        <v>34.96</v>
      </c>
    </row>
    <row r="710" spans="7:10" x14ac:dyDescent="0.2">
      <c r="G710" s="600" t="s">
        <v>6970</v>
      </c>
      <c r="H710" s="600" t="s">
        <v>212</v>
      </c>
      <c r="I710" s="603">
        <v>0.67</v>
      </c>
      <c r="J710" s="603">
        <v>0.2</v>
      </c>
    </row>
    <row r="711" spans="7:10" x14ac:dyDescent="0.2">
      <c r="G711" s="600" t="s">
        <v>6970</v>
      </c>
      <c r="H711" s="600" t="s">
        <v>419</v>
      </c>
      <c r="I711" s="603">
        <v>0</v>
      </c>
      <c r="J711" s="603">
        <v>0</v>
      </c>
    </row>
    <row r="712" spans="7:10" x14ac:dyDescent="0.2">
      <c r="G712" s="600" t="s">
        <v>6970</v>
      </c>
      <c r="H712" s="600" t="s">
        <v>402</v>
      </c>
      <c r="I712" s="603">
        <v>34.24</v>
      </c>
      <c r="J712" s="603">
        <v>26.42</v>
      </c>
    </row>
    <row r="713" spans="7:10" x14ac:dyDescent="0.2">
      <c r="G713" s="600" t="s">
        <v>6970</v>
      </c>
      <c r="H713" s="600" t="s">
        <v>211</v>
      </c>
      <c r="I713" s="603">
        <v>0.53</v>
      </c>
      <c r="J713" s="603">
        <v>0.76</v>
      </c>
    </row>
    <row r="714" spans="7:10" x14ac:dyDescent="0.2">
      <c r="G714" s="600" t="s">
        <v>6970</v>
      </c>
      <c r="H714" s="600" t="s">
        <v>210</v>
      </c>
      <c r="I714" s="603">
        <v>1.27</v>
      </c>
      <c r="J714" s="603">
        <v>1.58</v>
      </c>
    </row>
    <row r="715" spans="7:10" x14ac:dyDescent="0.2">
      <c r="G715" s="600" t="s">
        <v>6970</v>
      </c>
      <c r="H715" s="600" t="s">
        <v>209</v>
      </c>
      <c r="I715" s="603">
        <v>0.21</v>
      </c>
      <c r="J715" s="603">
        <v>0.79</v>
      </c>
    </row>
    <row r="716" spans="7:10" x14ac:dyDescent="0.2">
      <c r="G716" s="600" t="s">
        <v>6970</v>
      </c>
      <c r="H716" s="600" t="s">
        <v>207</v>
      </c>
      <c r="I716" s="603">
        <v>5.76</v>
      </c>
      <c r="J716" s="603">
        <v>2.14</v>
      </c>
    </row>
    <row r="717" spans="7:10" x14ac:dyDescent="0.2">
      <c r="G717" s="600" t="s">
        <v>6970</v>
      </c>
      <c r="H717" s="600" t="s">
        <v>206</v>
      </c>
      <c r="I717" s="603">
        <v>0</v>
      </c>
      <c r="J717" s="603">
        <v>0</v>
      </c>
    </row>
    <row r="718" spans="7:10" x14ac:dyDescent="0.2">
      <c r="G718" s="600" t="s">
        <v>6970</v>
      </c>
      <c r="H718" s="600" t="s">
        <v>313</v>
      </c>
      <c r="I718" s="603">
        <v>0.01</v>
      </c>
      <c r="J718" s="603">
        <v>0</v>
      </c>
    </row>
    <row r="719" spans="7:10" x14ac:dyDescent="0.2">
      <c r="G719" s="600" t="s">
        <v>6970</v>
      </c>
      <c r="H719" s="600" t="s">
        <v>497</v>
      </c>
      <c r="I719" s="603">
        <v>0</v>
      </c>
      <c r="J719" s="603">
        <v>0</v>
      </c>
    </row>
    <row r="720" spans="7:10" x14ac:dyDescent="0.2">
      <c r="G720" s="600" t="s">
        <v>6970</v>
      </c>
      <c r="H720" s="600" t="s">
        <v>416</v>
      </c>
      <c r="I720" s="603">
        <v>23.69</v>
      </c>
      <c r="J720" s="603">
        <v>27.9</v>
      </c>
    </row>
    <row r="721" spans="7:10" x14ac:dyDescent="0.2">
      <c r="G721" s="600" t="s">
        <v>6970</v>
      </c>
      <c r="H721" s="600" t="s">
        <v>449</v>
      </c>
      <c r="I721" s="603">
        <v>2.23</v>
      </c>
      <c r="J721" s="603">
        <v>0.31</v>
      </c>
    </row>
    <row r="722" spans="7:10" x14ac:dyDescent="0.2">
      <c r="G722" s="600" t="s">
        <v>6970</v>
      </c>
      <c r="H722" s="600" t="s">
        <v>498</v>
      </c>
      <c r="I722" s="603">
        <v>0</v>
      </c>
      <c r="J722" s="603">
        <v>0</v>
      </c>
    </row>
    <row r="723" spans="7:10" x14ac:dyDescent="0.2">
      <c r="G723" s="600" t="s">
        <v>6970</v>
      </c>
      <c r="H723" s="600" t="s">
        <v>202</v>
      </c>
      <c r="I723" s="603">
        <v>0.65</v>
      </c>
      <c r="J723" s="603">
        <v>1.66</v>
      </c>
    </row>
    <row r="724" spans="7:10" x14ac:dyDescent="0.2">
      <c r="G724" s="600" t="s">
        <v>6970</v>
      </c>
      <c r="H724" s="600" t="s">
        <v>409</v>
      </c>
      <c r="I724" s="603">
        <v>2.27</v>
      </c>
      <c r="J724" s="603">
        <v>1.4</v>
      </c>
    </row>
    <row r="725" spans="7:10" x14ac:dyDescent="0.2">
      <c r="G725" s="600" t="s">
        <v>6970</v>
      </c>
      <c r="H725" s="600" t="s">
        <v>230</v>
      </c>
      <c r="I725" s="603">
        <v>0.3</v>
      </c>
      <c r="J725" s="603">
        <v>0.33</v>
      </c>
    </row>
    <row r="726" spans="7:10" x14ac:dyDescent="0.2">
      <c r="G726" s="600" t="s">
        <v>6970</v>
      </c>
      <c r="H726" s="600" t="s">
        <v>860</v>
      </c>
      <c r="I726" s="603">
        <v>0.33</v>
      </c>
      <c r="J726" s="603">
        <v>0.38</v>
      </c>
    </row>
    <row r="727" spans="7:10" x14ac:dyDescent="0.2">
      <c r="G727" s="600" t="s">
        <v>6971</v>
      </c>
      <c r="H727" s="600" t="s">
        <v>401</v>
      </c>
      <c r="I727" s="603">
        <v>0.89</v>
      </c>
      <c r="J727" s="603">
        <v>0.52</v>
      </c>
    </row>
    <row r="728" spans="7:10" x14ac:dyDescent="0.2">
      <c r="G728" s="600" t="s">
        <v>6971</v>
      </c>
      <c r="H728" s="600" t="s">
        <v>438</v>
      </c>
      <c r="I728" s="603">
        <v>0.6</v>
      </c>
      <c r="J728" s="603">
        <v>1.23</v>
      </c>
    </row>
    <row r="729" spans="7:10" x14ac:dyDescent="0.2">
      <c r="G729" s="600" t="s">
        <v>6971</v>
      </c>
      <c r="H729" s="600" t="s">
        <v>390</v>
      </c>
      <c r="I729" s="603">
        <v>31.37</v>
      </c>
      <c r="J729" s="603">
        <v>35.65</v>
      </c>
    </row>
    <row r="730" spans="7:10" x14ac:dyDescent="0.2">
      <c r="G730" s="600" t="s">
        <v>6971</v>
      </c>
      <c r="H730" s="600" t="s">
        <v>212</v>
      </c>
      <c r="I730" s="603">
        <v>0.56000000000000005</v>
      </c>
      <c r="J730" s="603">
        <v>0.19</v>
      </c>
    </row>
    <row r="731" spans="7:10" x14ac:dyDescent="0.2">
      <c r="G731" s="600" t="s">
        <v>6971</v>
      </c>
      <c r="H731" s="600" t="s">
        <v>419</v>
      </c>
      <c r="I731" s="603">
        <v>0.02</v>
      </c>
      <c r="J731" s="603">
        <v>0</v>
      </c>
    </row>
    <row r="732" spans="7:10" x14ac:dyDescent="0.2">
      <c r="G732" s="600" t="s">
        <v>6971</v>
      </c>
      <c r="H732" s="600" t="s">
        <v>402</v>
      </c>
      <c r="I732" s="603">
        <v>34.35</v>
      </c>
      <c r="J732" s="603">
        <v>25.57</v>
      </c>
    </row>
    <row r="733" spans="7:10" x14ac:dyDescent="0.2">
      <c r="G733" s="600" t="s">
        <v>6971</v>
      </c>
      <c r="H733" s="600" t="s">
        <v>211</v>
      </c>
      <c r="I733" s="603">
        <v>1.01</v>
      </c>
      <c r="J733" s="603">
        <v>1.74</v>
      </c>
    </row>
    <row r="734" spans="7:10" x14ac:dyDescent="0.2">
      <c r="G734" s="600" t="s">
        <v>6971</v>
      </c>
      <c r="H734" s="600" t="s">
        <v>210</v>
      </c>
      <c r="I734" s="603">
        <v>0.85</v>
      </c>
      <c r="J734" s="603">
        <v>1.36</v>
      </c>
    </row>
    <row r="735" spans="7:10" x14ac:dyDescent="0.2">
      <c r="G735" s="600" t="s">
        <v>6971</v>
      </c>
      <c r="H735" s="600" t="s">
        <v>209</v>
      </c>
      <c r="I735" s="603">
        <v>0.34</v>
      </c>
      <c r="J735" s="603">
        <v>1.23</v>
      </c>
    </row>
    <row r="736" spans="7:10" x14ac:dyDescent="0.2">
      <c r="G736" s="600" t="s">
        <v>6971</v>
      </c>
      <c r="H736" s="600" t="s">
        <v>207</v>
      </c>
      <c r="I736" s="603">
        <v>2.74</v>
      </c>
      <c r="J736" s="603">
        <v>0.6</v>
      </c>
    </row>
    <row r="737" spans="7:10" x14ac:dyDescent="0.2">
      <c r="G737" s="600" t="s">
        <v>6971</v>
      </c>
      <c r="H737" s="600" t="s">
        <v>206</v>
      </c>
      <c r="I737" s="603">
        <v>0</v>
      </c>
      <c r="J737" s="603">
        <v>0</v>
      </c>
    </row>
    <row r="738" spans="7:10" x14ac:dyDescent="0.2">
      <c r="G738" s="600" t="s">
        <v>6971</v>
      </c>
      <c r="H738" s="600" t="s">
        <v>313</v>
      </c>
      <c r="I738" s="603">
        <v>0.02</v>
      </c>
      <c r="J738" s="603">
        <v>0.08</v>
      </c>
    </row>
    <row r="739" spans="7:10" x14ac:dyDescent="0.2">
      <c r="G739" s="600" t="s">
        <v>6971</v>
      </c>
      <c r="H739" s="600" t="s">
        <v>497</v>
      </c>
      <c r="I739" s="603">
        <v>0</v>
      </c>
      <c r="J739" s="603">
        <v>0</v>
      </c>
    </row>
    <row r="740" spans="7:10" x14ac:dyDescent="0.2">
      <c r="G740" s="600" t="s">
        <v>6971</v>
      </c>
      <c r="H740" s="600" t="s">
        <v>416</v>
      </c>
      <c r="I740" s="603">
        <v>21.97</v>
      </c>
      <c r="J740" s="603">
        <v>27.04</v>
      </c>
    </row>
    <row r="741" spans="7:10" x14ac:dyDescent="0.2">
      <c r="G741" s="600" t="s">
        <v>6971</v>
      </c>
      <c r="H741" s="600" t="s">
        <v>449</v>
      </c>
      <c r="I741" s="603">
        <v>1.53</v>
      </c>
      <c r="J741" s="603">
        <v>0.46</v>
      </c>
    </row>
    <row r="742" spans="7:10" x14ac:dyDescent="0.2">
      <c r="G742" s="600" t="s">
        <v>6971</v>
      </c>
      <c r="H742" s="600" t="s">
        <v>498</v>
      </c>
      <c r="I742" s="603">
        <v>0</v>
      </c>
      <c r="J742" s="603">
        <v>0</v>
      </c>
    </row>
    <row r="743" spans="7:10" x14ac:dyDescent="0.2">
      <c r="G743" s="600" t="s">
        <v>6971</v>
      </c>
      <c r="H743" s="600" t="s">
        <v>202</v>
      </c>
      <c r="I743" s="603">
        <v>0.68</v>
      </c>
      <c r="J743" s="603">
        <v>1.58</v>
      </c>
    </row>
    <row r="744" spans="7:10" x14ac:dyDescent="0.2">
      <c r="G744" s="600" t="s">
        <v>6971</v>
      </c>
      <c r="H744" s="600" t="s">
        <v>409</v>
      </c>
      <c r="I744" s="603">
        <v>1.77</v>
      </c>
      <c r="J744" s="603">
        <v>1.44</v>
      </c>
    </row>
    <row r="745" spans="7:10" x14ac:dyDescent="0.2">
      <c r="G745" s="600" t="s">
        <v>6971</v>
      </c>
      <c r="H745" s="600" t="s">
        <v>230</v>
      </c>
      <c r="I745" s="603">
        <v>0.6</v>
      </c>
      <c r="J745" s="603">
        <v>0.65</v>
      </c>
    </row>
    <row r="746" spans="7:10" x14ac:dyDescent="0.2">
      <c r="G746" s="600" t="s">
        <v>6971</v>
      </c>
      <c r="H746" s="600" t="s">
        <v>860</v>
      </c>
      <c r="I746" s="603">
        <v>0.7</v>
      </c>
      <c r="J746" s="603">
        <v>0.65</v>
      </c>
    </row>
    <row r="747" spans="7:10" x14ac:dyDescent="0.2">
      <c r="G747" s="600" t="s">
        <v>6972</v>
      </c>
      <c r="H747" s="600" t="s">
        <v>401</v>
      </c>
      <c r="I747" s="603">
        <v>0.62</v>
      </c>
      <c r="J747" s="603">
        <v>0.19</v>
      </c>
    </row>
    <row r="748" spans="7:10" x14ac:dyDescent="0.2">
      <c r="G748" s="600" t="s">
        <v>6972</v>
      </c>
      <c r="H748" s="600" t="s">
        <v>438</v>
      </c>
      <c r="I748" s="603">
        <v>0.6</v>
      </c>
      <c r="J748" s="603">
        <v>0.97</v>
      </c>
    </row>
    <row r="749" spans="7:10" x14ac:dyDescent="0.2">
      <c r="G749" s="600" t="s">
        <v>6972</v>
      </c>
      <c r="H749" s="600" t="s">
        <v>390</v>
      </c>
      <c r="I749" s="603">
        <v>32.450000000000003</v>
      </c>
      <c r="J749" s="603">
        <v>36.83</v>
      </c>
    </row>
    <row r="750" spans="7:10" x14ac:dyDescent="0.2">
      <c r="G750" s="600" t="s">
        <v>6972</v>
      </c>
      <c r="H750" s="600" t="s">
        <v>212</v>
      </c>
      <c r="I750" s="603">
        <v>0.34</v>
      </c>
      <c r="J750" s="603">
        <v>0.04</v>
      </c>
    </row>
    <row r="751" spans="7:10" x14ac:dyDescent="0.2">
      <c r="G751" s="600" t="s">
        <v>6972</v>
      </c>
      <c r="H751" s="600" t="s">
        <v>419</v>
      </c>
      <c r="I751" s="603">
        <v>0</v>
      </c>
      <c r="J751" s="603">
        <v>0</v>
      </c>
    </row>
    <row r="752" spans="7:10" x14ac:dyDescent="0.2">
      <c r="G752" s="600" t="s">
        <v>6972</v>
      </c>
      <c r="H752" s="600" t="s">
        <v>402</v>
      </c>
      <c r="I752" s="603">
        <v>36.4</v>
      </c>
      <c r="J752" s="603">
        <v>27.99</v>
      </c>
    </row>
    <row r="753" spans="7:10" x14ac:dyDescent="0.2">
      <c r="G753" s="600" t="s">
        <v>6972</v>
      </c>
      <c r="H753" s="600" t="s">
        <v>211</v>
      </c>
      <c r="I753" s="603">
        <v>0.28000000000000003</v>
      </c>
      <c r="J753" s="603">
        <v>0.54</v>
      </c>
    </row>
    <row r="754" spans="7:10" x14ac:dyDescent="0.2">
      <c r="G754" s="600" t="s">
        <v>6972</v>
      </c>
      <c r="H754" s="600" t="s">
        <v>210</v>
      </c>
      <c r="I754" s="603">
        <v>1.1399999999999999</v>
      </c>
      <c r="J754" s="603">
        <v>1.97</v>
      </c>
    </row>
    <row r="755" spans="7:10" x14ac:dyDescent="0.2">
      <c r="G755" s="600" t="s">
        <v>6972</v>
      </c>
      <c r="H755" s="600" t="s">
        <v>209</v>
      </c>
      <c r="I755" s="603">
        <v>0.16</v>
      </c>
      <c r="J755" s="603">
        <v>0.5</v>
      </c>
    </row>
    <row r="756" spans="7:10" x14ac:dyDescent="0.2">
      <c r="G756" s="600" t="s">
        <v>6972</v>
      </c>
      <c r="H756" s="600" t="s">
        <v>207</v>
      </c>
      <c r="I756" s="603">
        <v>2.16</v>
      </c>
      <c r="J756" s="603">
        <v>1.08</v>
      </c>
    </row>
    <row r="757" spans="7:10" x14ac:dyDescent="0.2">
      <c r="G757" s="600" t="s">
        <v>6972</v>
      </c>
      <c r="H757" s="600" t="s">
        <v>206</v>
      </c>
      <c r="I757" s="603">
        <v>0.01</v>
      </c>
      <c r="J757" s="603">
        <v>0.04</v>
      </c>
    </row>
    <row r="758" spans="7:10" x14ac:dyDescent="0.2">
      <c r="G758" s="600" t="s">
        <v>6972</v>
      </c>
      <c r="H758" s="600" t="s">
        <v>313</v>
      </c>
      <c r="I758" s="603">
        <v>0.02</v>
      </c>
      <c r="J758" s="603">
        <v>0.04</v>
      </c>
    </row>
    <row r="759" spans="7:10" x14ac:dyDescent="0.2">
      <c r="G759" s="600" t="s">
        <v>6972</v>
      </c>
      <c r="H759" s="600" t="s">
        <v>497</v>
      </c>
      <c r="I759" s="603">
        <v>0</v>
      </c>
      <c r="J759" s="603">
        <v>0</v>
      </c>
    </row>
    <row r="760" spans="7:10" x14ac:dyDescent="0.2">
      <c r="G760" s="600" t="s">
        <v>6972</v>
      </c>
      <c r="H760" s="600" t="s">
        <v>416</v>
      </c>
      <c r="I760" s="603">
        <v>21.49</v>
      </c>
      <c r="J760" s="603">
        <v>25.95</v>
      </c>
    </row>
    <row r="761" spans="7:10" x14ac:dyDescent="0.2">
      <c r="G761" s="600" t="s">
        <v>6972</v>
      </c>
      <c r="H761" s="600" t="s">
        <v>449</v>
      </c>
      <c r="I761" s="603">
        <v>1.82</v>
      </c>
      <c r="J761" s="603">
        <v>0.39</v>
      </c>
    </row>
    <row r="762" spans="7:10" x14ac:dyDescent="0.2">
      <c r="G762" s="600" t="s">
        <v>6972</v>
      </c>
      <c r="H762" s="600" t="s">
        <v>498</v>
      </c>
      <c r="I762" s="603">
        <v>0</v>
      </c>
      <c r="J762" s="603">
        <v>0</v>
      </c>
    </row>
    <row r="763" spans="7:10" x14ac:dyDescent="0.2">
      <c r="G763" s="600" t="s">
        <v>6972</v>
      </c>
      <c r="H763" s="600" t="s">
        <v>202</v>
      </c>
      <c r="I763" s="603">
        <v>0.69</v>
      </c>
      <c r="J763" s="603">
        <v>1.93</v>
      </c>
    </row>
    <row r="764" spans="7:10" x14ac:dyDescent="0.2">
      <c r="G764" s="600" t="s">
        <v>6972</v>
      </c>
      <c r="H764" s="600" t="s">
        <v>409</v>
      </c>
      <c r="I764" s="603">
        <v>1.39</v>
      </c>
      <c r="J764" s="603">
        <v>1.04</v>
      </c>
    </row>
    <row r="765" spans="7:10" x14ac:dyDescent="0.2">
      <c r="G765" s="600" t="s">
        <v>6972</v>
      </c>
      <c r="H765" s="600" t="s">
        <v>230</v>
      </c>
      <c r="I765" s="603">
        <v>0.22</v>
      </c>
      <c r="J765" s="603">
        <v>0.35</v>
      </c>
    </row>
    <row r="766" spans="7:10" x14ac:dyDescent="0.2">
      <c r="G766" s="600" t="s">
        <v>6972</v>
      </c>
      <c r="H766" s="600" t="s">
        <v>860</v>
      </c>
      <c r="I766" s="603">
        <v>0.21</v>
      </c>
      <c r="J766" s="603">
        <v>0.15</v>
      </c>
    </row>
    <row r="767" spans="7:10" x14ac:dyDescent="0.2">
      <c r="G767" s="600" t="s">
        <v>6973</v>
      </c>
      <c r="H767" s="600" t="s">
        <v>401</v>
      </c>
      <c r="I767" s="603">
        <v>0.62</v>
      </c>
      <c r="J767" s="603">
        <v>0.17</v>
      </c>
    </row>
    <row r="768" spans="7:10" x14ac:dyDescent="0.2">
      <c r="G768" s="600" t="s">
        <v>6973</v>
      </c>
      <c r="H768" s="600" t="s">
        <v>438</v>
      </c>
      <c r="I768" s="603">
        <v>0.52</v>
      </c>
      <c r="J768" s="603">
        <v>0.79</v>
      </c>
    </row>
    <row r="769" spans="7:10" x14ac:dyDescent="0.2">
      <c r="G769" s="600" t="s">
        <v>6973</v>
      </c>
      <c r="H769" s="600" t="s">
        <v>390</v>
      </c>
      <c r="I769" s="603">
        <v>32.82</v>
      </c>
      <c r="J769" s="603">
        <v>38.01</v>
      </c>
    </row>
    <row r="770" spans="7:10" x14ac:dyDescent="0.2">
      <c r="G770" s="600" t="s">
        <v>6973</v>
      </c>
      <c r="H770" s="600" t="s">
        <v>212</v>
      </c>
      <c r="I770" s="603">
        <v>0.48</v>
      </c>
      <c r="J770" s="603">
        <v>0.1</v>
      </c>
    </row>
    <row r="771" spans="7:10" x14ac:dyDescent="0.2">
      <c r="G771" s="600" t="s">
        <v>6973</v>
      </c>
      <c r="H771" s="600" t="s">
        <v>419</v>
      </c>
      <c r="I771" s="603">
        <v>0</v>
      </c>
      <c r="J771" s="603">
        <v>0</v>
      </c>
    </row>
    <row r="772" spans="7:10" x14ac:dyDescent="0.2">
      <c r="G772" s="600" t="s">
        <v>6973</v>
      </c>
      <c r="H772" s="600" t="s">
        <v>402</v>
      </c>
      <c r="I772" s="603">
        <v>34.799999999999997</v>
      </c>
      <c r="J772" s="603">
        <v>27.42</v>
      </c>
    </row>
    <row r="773" spans="7:10" x14ac:dyDescent="0.2">
      <c r="G773" s="600" t="s">
        <v>6973</v>
      </c>
      <c r="H773" s="600" t="s">
        <v>211</v>
      </c>
      <c r="I773" s="603">
        <v>0.62</v>
      </c>
      <c r="J773" s="603">
        <v>0.93</v>
      </c>
    </row>
    <row r="774" spans="7:10" x14ac:dyDescent="0.2">
      <c r="G774" s="600" t="s">
        <v>6973</v>
      </c>
      <c r="H774" s="600" t="s">
        <v>210</v>
      </c>
      <c r="I774" s="603">
        <v>0.99</v>
      </c>
      <c r="J774" s="603">
        <v>1.23</v>
      </c>
    </row>
    <row r="775" spans="7:10" x14ac:dyDescent="0.2">
      <c r="G775" s="600" t="s">
        <v>6973</v>
      </c>
      <c r="H775" s="600" t="s">
        <v>209</v>
      </c>
      <c r="I775" s="603">
        <v>0.21</v>
      </c>
      <c r="J775" s="603">
        <v>0.65</v>
      </c>
    </row>
    <row r="776" spans="7:10" x14ac:dyDescent="0.2">
      <c r="G776" s="600" t="s">
        <v>6973</v>
      </c>
      <c r="H776" s="600" t="s">
        <v>207</v>
      </c>
      <c r="I776" s="603">
        <v>1.97</v>
      </c>
      <c r="J776" s="603">
        <v>0.82</v>
      </c>
    </row>
    <row r="777" spans="7:10" x14ac:dyDescent="0.2">
      <c r="G777" s="600" t="s">
        <v>6973</v>
      </c>
      <c r="H777" s="600" t="s">
        <v>206</v>
      </c>
      <c r="I777" s="603">
        <v>0</v>
      </c>
      <c r="J777" s="603">
        <v>0</v>
      </c>
    </row>
    <row r="778" spans="7:10" x14ac:dyDescent="0.2">
      <c r="G778" s="600" t="s">
        <v>6973</v>
      </c>
      <c r="H778" s="600" t="s">
        <v>313</v>
      </c>
      <c r="I778" s="603">
        <v>0.05</v>
      </c>
      <c r="J778" s="603">
        <v>0.17</v>
      </c>
    </row>
    <row r="779" spans="7:10" x14ac:dyDescent="0.2">
      <c r="G779" s="600" t="s">
        <v>6973</v>
      </c>
      <c r="H779" s="600" t="s">
        <v>497</v>
      </c>
      <c r="I779" s="603">
        <v>0</v>
      </c>
      <c r="J779" s="603">
        <v>0</v>
      </c>
    </row>
    <row r="780" spans="7:10" x14ac:dyDescent="0.2">
      <c r="G780" s="600" t="s">
        <v>6973</v>
      </c>
      <c r="H780" s="600" t="s">
        <v>416</v>
      </c>
      <c r="I780" s="603">
        <v>21.96</v>
      </c>
      <c r="J780" s="603">
        <v>25.19</v>
      </c>
    </row>
    <row r="781" spans="7:10" x14ac:dyDescent="0.2">
      <c r="G781" s="600" t="s">
        <v>6973</v>
      </c>
      <c r="H781" s="600" t="s">
        <v>449</v>
      </c>
      <c r="I781" s="603">
        <v>1.18</v>
      </c>
      <c r="J781" s="603">
        <v>0.31</v>
      </c>
    </row>
    <row r="782" spans="7:10" x14ac:dyDescent="0.2">
      <c r="G782" s="600" t="s">
        <v>6973</v>
      </c>
      <c r="H782" s="600" t="s">
        <v>498</v>
      </c>
      <c r="I782" s="603">
        <v>0</v>
      </c>
      <c r="J782" s="603">
        <v>0</v>
      </c>
    </row>
    <row r="783" spans="7:10" x14ac:dyDescent="0.2">
      <c r="G783" s="600" t="s">
        <v>6973</v>
      </c>
      <c r="H783" s="600" t="s">
        <v>202</v>
      </c>
      <c r="I783" s="603">
        <v>0.96</v>
      </c>
      <c r="J783" s="603">
        <v>2.02</v>
      </c>
    </row>
    <row r="784" spans="7:10" x14ac:dyDescent="0.2">
      <c r="G784" s="600" t="s">
        <v>6973</v>
      </c>
      <c r="H784" s="600" t="s">
        <v>409</v>
      </c>
      <c r="I784" s="603">
        <v>1.75</v>
      </c>
      <c r="J784" s="603">
        <v>1.27</v>
      </c>
    </row>
    <row r="785" spans="7:10" x14ac:dyDescent="0.2">
      <c r="G785" s="600" t="s">
        <v>6973</v>
      </c>
      <c r="H785" s="600" t="s">
        <v>230</v>
      </c>
      <c r="I785" s="603">
        <v>0.44</v>
      </c>
      <c r="J785" s="603">
        <v>0.34</v>
      </c>
    </row>
    <row r="786" spans="7:10" x14ac:dyDescent="0.2">
      <c r="G786" s="600" t="s">
        <v>6973</v>
      </c>
      <c r="H786" s="600" t="s">
        <v>860</v>
      </c>
      <c r="I786" s="603">
        <v>0.64</v>
      </c>
      <c r="J786" s="603">
        <v>0.57999999999999996</v>
      </c>
    </row>
    <row r="787" spans="7:10" x14ac:dyDescent="0.2">
      <c r="G787" s="600" t="s">
        <v>6974</v>
      </c>
      <c r="H787" s="600" t="s">
        <v>401</v>
      </c>
      <c r="I787" s="603">
        <v>1.1000000000000001</v>
      </c>
      <c r="J787" s="603">
        <v>0.42</v>
      </c>
    </row>
    <row r="788" spans="7:10" x14ac:dyDescent="0.2">
      <c r="G788" s="600" t="s">
        <v>6974</v>
      </c>
      <c r="H788" s="600" t="s">
        <v>438</v>
      </c>
      <c r="I788" s="603">
        <v>0.74</v>
      </c>
      <c r="J788" s="603">
        <v>1.49</v>
      </c>
    </row>
    <row r="789" spans="7:10" x14ac:dyDescent="0.2">
      <c r="G789" s="600" t="s">
        <v>6974</v>
      </c>
      <c r="H789" s="600" t="s">
        <v>390</v>
      </c>
      <c r="I789" s="603">
        <v>25</v>
      </c>
      <c r="J789" s="603">
        <v>31.7</v>
      </c>
    </row>
    <row r="790" spans="7:10" x14ac:dyDescent="0.2">
      <c r="G790" s="600" t="s">
        <v>6974</v>
      </c>
      <c r="H790" s="600" t="s">
        <v>212</v>
      </c>
      <c r="I790" s="603">
        <v>0.36</v>
      </c>
      <c r="J790" s="603">
        <v>0.09</v>
      </c>
    </row>
    <row r="791" spans="7:10" x14ac:dyDescent="0.2">
      <c r="G791" s="600" t="s">
        <v>6974</v>
      </c>
      <c r="H791" s="600" t="s">
        <v>419</v>
      </c>
      <c r="I791" s="603">
        <v>0.02</v>
      </c>
      <c r="J791" s="603">
        <v>0.04</v>
      </c>
    </row>
    <row r="792" spans="7:10" x14ac:dyDescent="0.2">
      <c r="G792" s="600" t="s">
        <v>6974</v>
      </c>
      <c r="H792" s="600" t="s">
        <v>402</v>
      </c>
      <c r="I792" s="603">
        <v>22.68</v>
      </c>
      <c r="J792" s="603">
        <v>16.23</v>
      </c>
    </row>
    <row r="793" spans="7:10" x14ac:dyDescent="0.2">
      <c r="G793" s="600" t="s">
        <v>6974</v>
      </c>
      <c r="H793" s="600" t="s">
        <v>211</v>
      </c>
      <c r="I793" s="603">
        <v>2.02</v>
      </c>
      <c r="J793" s="603">
        <v>3.57</v>
      </c>
    </row>
    <row r="794" spans="7:10" x14ac:dyDescent="0.2">
      <c r="G794" s="600" t="s">
        <v>6974</v>
      </c>
      <c r="H794" s="600" t="s">
        <v>210</v>
      </c>
      <c r="I794" s="603">
        <v>0.75</v>
      </c>
      <c r="J794" s="603">
        <v>1.04</v>
      </c>
    </row>
    <row r="795" spans="7:10" x14ac:dyDescent="0.2">
      <c r="G795" s="600" t="s">
        <v>6974</v>
      </c>
      <c r="H795" s="600" t="s">
        <v>209</v>
      </c>
      <c r="I795" s="603">
        <v>0.17</v>
      </c>
      <c r="J795" s="603">
        <v>0.64</v>
      </c>
    </row>
    <row r="796" spans="7:10" x14ac:dyDescent="0.2">
      <c r="G796" s="600" t="s">
        <v>6974</v>
      </c>
      <c r="H796" s="600" t="s">
        <v>207</v>
      </c>
      <c r="I796" s="603">
        <v>15.1</v>
      </c>
      <c r="J796" s="603">
        <v>4.82</v>
      </c>
    </row>
    <row r="797" spans="7:10" x14ac:dyDescent="0.2">
      <c r="G797" s="600" t="s">
        <v>6974</v>
      </c>
      <c r="H797" s="600" t="s">
        <v>206</v>
      </c>
      <c r="I797" s="603">
        <v>0</v>
      </c>
      <c r="J797" s="603">
        <v>0</v>
      </c>
    </row>
    <row r="798" spans="7:10" x14ac:dyDescent="0.2">
      <c r="G798" s="600" t="s">
        <v>6974</v>
      </c>
      <c r="H798" s="600" t="s">
        <v>313</v>
      </c>
      <c r="I798" s="603">
        <v>0.03</v>
      </c>
      <c r="J798" s="603">
        <v>0.1</v>
      </c>
    </row>
    <row r="799" spans="7:10" x14ac:dyDescent="0.2">
      <c r="G799" s="600" t="s">
        <v>6974</v>
      </c>
      <c r="H799" s="600" t="s">
        <v>497</v>
      </c>
      <c r="I799" s="603">
        <v>0</v>
      </c>
      <c r="J799" s="603">
        <v>0</v>
      </c>
    </row>
    <row r="800" spans="7:10" x14ac:dyDescent="0.2">
      <c r="G800" s="600" t="s">
        <v>6974</v>
      </c>
      <c r="H800" s="600" t="s">
        <v>416</v>
      </c>
      <c r="I800" s="603">
        <v>24.98</v>
      </c>
      <c r="J800" s="603">
        <v>32.159999999999997</v>
      </c>
    </row>
    <row r="801" spans="7:10" x14ac:dyDescent="0.2">
      <c r="G801" s="600" t="s">
        <v>6974</v>
      </c>
      <c r="H801" s="600" t="s">
        <v>449</v>
      </c>
      <c r="I801" s="603">
        <v>1.7</v>
      </c>
      <c r="J801" s="603">
        <v>0.32</v>
      </c>
    </row>
    <row r="802" spans="7:10" x14ac:dyDescent="0.2">
      <c r="G802" s="600" t="s">
        <v>6974</v>
      </c>
      <c r="H802" s="600" t="s">
        <v>498</v>
      </c>
      <c r="I802" s="603">
        <v>0</v>
      </c>
      <c r="J802" s="603">
        <v>0</v>
      </c>
    </row>
    <row r="803" spans="7:10" x14ac:dyDescent="0.2">
      <c r="G803" s="600" t="s">
        <v>6974</v>
      </c>
      <c r="H803" s="600" t="s">
        <v>202</v>
      </c>
      <c r="I803" s="603">
        <v>1.17</v>
      </c>
      <c r="J803" s="603">
        <v>3.16</v>
      </c>
    </row>
    <row r="804" spans="7:10" x14ac:dyDescent="0.2">
      <c r="G804" s="600" t="s">
        <v>6974</v>
      </c>
      <c r="H804" s="600" t="s">
        <v>409</v>
      </c>
      <c r="I804" s="603">
        <v>2.4500000000000002</v>
      </c>
      <c r="J804" s="603">
        <v>1.74</v>
      </c>
    </row>
    <row r="805" spans="7:10" x14ac:dyDescent="0.2">
      <c r="G805" s="600" t="s">
        <v>6974</v>
      </c>
      <c r="H805" s="600" t="s">
        <v>230</v>
      </c>
      <c r="I805" s="603">
        <v>1.02</v>
      </c>
      <c r="J805" s="603">
        <v>1.69</v>
      </c>
    </row>
    <row r="806" spans="7:10" x14ac:dyDescent="0.2">
      <c r="G806" s="600" t="s">
        <v>6974</v>
      </c>
      <c r="H806" s="600" t="s">
        <v>860</v>
      </c>
      <c r="I806" s="603">
        <v>0.71</v>
      </c>
      <c r="J806" s="603">
        <v>0.8</v>
      </c>
    </row>
    <row r="807" spans="7:10" x14ac:dyDescent="0.2">
      <c r="G807" s="600" t="s">
        <v>6975</v>
      </c>
      <c r="H807" s="600" t="s">
        <v>401</v>
      </c>
      <c r="I807" s="603">
        <v>1.19</v>
      </c>
      <c r="J807" s="603">
        <v>0.44</v>
      </c>
    </row>
    <row r="808" spans="7:10" x14ac:dyDescent="0.2">
      <c r="G808" s="600" t="s">
        <v>6975</v>
      </c>
      <c r="H808" s="600" t="s">
        <v>438</v>
      </c>
      <c r="I808" s="603">
        <v>0.56000000000000005</v>
      </c>
      <c r="J808" s="603">
        <v>0.87</v>
      </c>
    </row>
    <row r="809" spans="7:10" x14ac:dyDescent="0.2">
      <c r="G809" s="600" t="s">
        <v>6975</v>
      </c>
      <c r="H809" s="600" t="s">
        <v>390</v>
      </c>
      <c r="I809" s="603">
        <v>28.46</v>
      </c>
      <c r="J809" s="603">
        <v>34.4</v>
      </c>
    </row>
    <row r="810" spans="7:10" x14ac:dyDescent="0.2">
      <c r="G810" s="600" t="s">
        <v>6975</v>
      </c>
      <c r="H810" s="600" t="s">
        <v>212</v>
      </c>
      <c r="I810" s="603">
        <v>0.57999999999999996</v>
      </c>
      <c r="J810" s="603">
        <v>0.11</v>
      </c>
    </row>
    <row r="811" spans="7:10" x14ac:dyDescent="0.2">
      <c r="G811" s="600" t="s">
        <v>6975</v>
      </c>
      <c r="H811" s="600" t="s">
        <v>419</v>
      </c>
      <c r="I811" s="603">
        <v>0.01</v>
      </c>
      <c r="J811" s="603">
        <v>0</v>
      </c>
    </row>
    <row r="812" spans="7:10" x14ac:dyDescent="0.2">
      <c r="G812" s="600" t="s">
        <v>6975</v>
      </c>
      <c r="H812" s="600" t="s">
        <v>402</v>
      </c>
      <c r="I812" s="603">
        <v>33.92</v>
      </c>
      <c r="J812" s="603">
        <v>26.41</v>
      </c>
    </row>
    <row r="813" spans="7:10" x14ac:dyDescent="0.2">
      <c r="G813" s="600" t="s">
        <v>6975</v>
      </c>
      <c r="H813" s="600" t="s">
        <v>211</v>
      </c>
      <c r="I813" s="603">
        <v>0.75</v>
      </c>
      <c r="J813" s="603">
        <v>1.18</v>
      </c>
    </row>
    <row r="814" spans="7:10" x14ac:dyDescent="0.2">
      <c r="G814" s="600" t="s">
        <v>6975</v>
      </c>
      <c r="H814" s="600" t="s">
        <v>210</v>
      </c>
      <c r="I814" s="603">
        <v>1.01</v>
      </c>
      <c r="J814" s="603">
        <v>1.44</v>
      </c>
    </row>
    <row r="815" spans="7:10" x14ac:dyDescent="0.2">
      <c r="G815" s="600" t="s">
        <v>6975</v>
      </c>
      <c r="H815" s="600" t="s">
        <v>209</v>
      </c>
      <c r="I815" s="603">
        <v>0.22</v>
      </c>
      <c r="J815" s="603">
        <v>0.86</v>
      </c>
    </row>
    <row r="816" spans="7:10" x14ac:dyDescent="0.2">
      <c r="G816" s="600" t="s">
        <v>6975</v>
      </c>
      <c r="H816" s="600" t="s">
        <v>207</v>
      </c>
      <c r="I816" s="603">
        <v>5.07</v>
      </c>
      <c r="J816" s="603">
        <v>1.97</v>
      </c>
    </row>
    <row r="817" spans="7:10" x14ac:dyDescent="0.2">
      <c r="G817" s="600" t="s">
        <v>6975</v>
      </c>
      <c r="H817" s="600" t="s">
        <v>206</v>
      </c>
      <c r="I817" s="603">
        <v>0</v>
      </c>
      <c r="J817" s="603">
        <v>0.01</v>
      </c>
    </row>
    <row r="818" spans="7:10" x14ac:dyDescent="0.2">
      <c r="G818" s="600" t="s">
        <v>6975</v>
      </c>
      <c r="H818" s="600" t="s">
        <v>313</v>
      </c>
      <c r="I818" s="603">
        <v>0.01</v>
      </c>
      <c r="J818" s="603">
        <v>0.05</v>
      </c>
    </row>
    <row r="819" spans="7:10" x14ac:dyDescent="0.2">
      <c r="G819" s="600" t="s">
        <v>6975</v>
      </c>
      <c r="H819" s="600" t="s">
        <v>497</v>
      </c>
      <c r="I819" s="603">
        <v>0</v>
      </c>
      <c r="J819" s="603">
        <v>0</v>
      </c>
    </row>
    <row r="820" spans="7:10" x14ac:dyDescent="0.2">
      <c r="G820" s="600" t="s">
        <v>6975</v>
      </c>
      <c r="H820" s="600" t="s">
        <v>416</v>
      </c>
      <c r="I820" s="603">
        <v>22.29</v>
      </c>
      <c r="J820" s="603">
        <v>27.23</v>
      </c>
    </row>
    <row r="821" spans="7:10" x14ac:dyDescent="0.2">
      <c r="G821" s="600" t="s">
        <v>6975</v>
      </c>
      <c r="H821" s="600" t="s">
        <v>449</v>
      </c>
      <c r="I821" s="603">
        <v>2.14</v>
      </c>
      <c r="J821" s="603">
        <v>0.4</v>
      </c>
    </row>
    <row r="822" spans="7:10" x14ac:dyDescent="0.2">
      <c r="G822" s="600" t="s">
        <v>6975</v>
      </c>
      <c r="H822" s="600" t="s">
        <v>498</v>
      </c>
      <c r="I822" s="603">
        <v>0</v>
      </c>
      <c r="J822" s="603">
        <v>0</v>
      </c>
    </row>
    <row r="823" spans="7:10" x14ac:dyDescent="0.2">
      <c r="G823" s="600" t="s">
        <v>6975</v>
      </c>
      <c r="H823" s="600" t="s">
        <v>202</v>
      </c>
      <c r="I823" s="603">
        <v>0.93</v>
      </c>
      <c r="J823" s="603">
        <v>2.4</v>
      </c>
    </row>
    <row r="824" spans="7:10" x14ac:dyDescent="0.2">
      <c r="G824" s="600" t="s">
        <v>6975</v>
      </c>
      <c r="H824" s="600" t="s">
        <v>409</v>
      </c>
      <c r="I824" s="603">
        <v>2.06</v>
      </c>
      <c r="J824" s="603">
        <v>1.39</v>
      </c>
    </row>
    <row r="825" spans="7:10" x14ac:dyDescent="0.2">
      <c r="G825" s="600" t="s">
        <v>6975</v>
      </c>
      <c r="H825" s="600" t="s">
        <v>230</v>
      </c>
      <c r="I825" s="603">
        <v>0.33</v>
      </c>
      <c r="J825" s="603">
        <v>0.36</v>
      </c>
    </row>
    <row r="826" spans="7:10" x14ac:dyDescent="0.2">
      <c r="G826" s="600" t="s">
        <v>6975</v>
      </c>
      <c r="H826" s="600" t="s">
        <v>860</v>
      </c>
      <c r="I826" s="603">
        <v>0.46</v>
      </c>
      <c r="J826" s="603">
        <v>0.48</v>
      </c>
    </row>
    <row r="827" spans="7:10" x14ac:dyDescent="0.2">
      <c r="G827" s="600" t="s">
        <v>6976</v>
      </c>
      <c r="H827" s="600" t="s">
        <v>401</v>
      </c>
      <c r="I827" s="603">
        <v>0.51</v>
      </c>
      <c r="J827" s="603">
        <v>0.37</v>
      </c>
    </row>
    <row r="828" spans="7:10" x14ac:dyDescent="0.2">
      <c r="G828" s="600" t="s">
        <v>6976</v>
      </c>
      <c r="H828" s="600" t="s">
        <v>438</v>
      </c>
      <c r="I828" s="603">
        <v>2.17</v>
      </c>
      <c r="J828" s="603">
        <v>4.46</v>
      </c>
    </row>
    <row r="829" spans="7:10" x14ac:dyDescent="0.2">
      <c r="G829" s="600" t="s">
        <v>6976</v>
      </c>
      <c r="H829" s="600" t="s">
        <v>390</v>
      </c>
      <c r="I829" s="603">
        <v>20.12</v>
      </c>
      <c r="J829" s="603">
        <v>20.37</v>
      </c>
    </row>
    <row r="830" spans="7:10" x14ac:dyDescent="0.2">
      <c r="G830" s="600" t="s">
        <v>6976</v>
      </c>
      <c r="H830" s="600" t="s">
        <v>212</v>
      </c>
      <c r="I830" s="603">
        <v>6.89</v>
      </c>
      <c r="J830" s="603">
        <v>1.23</v>
      </c>
    </row>
    <row r="831" spans="7:10" x14ac:dyDescent="0.2">
      <c r="G831" s="600" t="s">
        <v>6976</v>
      </c>
      <c r="H831" s="600" t="s">
        <v>419</v>
      </c>
      <c r="I831" s="603">
        <v>0.08</v>
      </c>
      <c r="J831" s="603">
        <v>0.05</v>
      </c>
    </row>
    <row r="832" spans="7:10" x14ac:dyDescent="0.2">
      <c r="G832" s="600" t="s">
        <v>6976</v>
      </c>
      <c r="H832" s="600" t="s">
        <v>402</v>
      </c>
      <c r="I832" s="603">
        <v>9.49</v>
      </c>
      <c r="J832" s="603">
        <v>5.33</v>
      </c>
    </row>
    <row r="833" spans="7:10" x14ac:dyDescent="0.2">
      <c r="G833" s="600" t="s">
        <v>6976</v>
      </c>
      <c r="H833" s="600" t="s">
        <v>211</v>
      </c>
      <c r="I833" s="603">
        <v>17.39</v>
      </c>
      <c r="J833" s="603">
        <v>24.87</v>
      </c>
    </row>
    <row r="834" spans="7:10" x14ac:dyDescent="0.2">
      <c r="G834" s="600" t="s">
        <v>6976</v>
      </c>
      <c r="H834" s="600" t="s">
        <v>210</v>
      </c>
      <c r="I834" s="603">
        <v>9.68</v>
      </c>
      <c r="J834" s="603">
        <v>4.5199999999999996</v>
      </c>
    </row>
    <row r="835" spans="7:10" x14ac:dyDescent="0.2">
      <c r="G835" s="600" t="s">
        <v>6976</v>
      </c>
      <c r="H835" s="600" t="s">
        <v>209</v>
      </c>
      <c r="I835" s="603">
        <v>1.1200000000000001</v>
      </c>
      <c r="J835" s="603">
        <v>4.3499999999999996</v>
      </c>
    </row>
    <row r="836" spans="7:10" x14ac:dyDescent="0.2">
      <c r="G836" s="600" t="s">
        <v>6976</v>
      </c>
      <c r="H836" s="600" t="s">
        <v>207</v>
      </c>
      <c r="I836" s="603">
        <v>5.26</v>
      </c>
      <c r="J836" s="603">
        <v>1.03</v>
      </c>
    </row>
    <row r="837" spans="7:10" x14ac:dyDescent="0.2">
      <c r="G837" s="600" t="s">
        <v>6976</v>
      </c>
      <c r="H837" s="600" t="s">
        <v>206</v>
      </c>
      <c r="I837" s="603">
        <v>0.03</v>
      </c>
      <c r="J837" s="603">
        <v>0.04</v>
      </c>
    </row>
    <row r="838" spans="7:10" x14ac:dyDescent="0.2">
      <c r="G838" s="600" t="s">
        <v>6976</v>
      </c>
      <c r="H838" s="600" t="s">
        <v>313</v>
      </c>
      <c r="I838" s="603">
        <v>0.65</v>
      </c>
      <c r="J838" s="603">
        <v>2.27</v>
      </c>
    </row>
    <row r="839" spans="7:10" x14ac:dyDescent="0.2">
      <c r="G839" s="600" t="s">
        <v>6976</v>
      </c>
      <c r="H839" s="600" t="s">
        <v>497</v>
      </c>
      <c r="I839" s="603">
        <v>0</v>
      </c>
      <c r="J839" s="603">
        <v>0</v>
      </c>
    </row>
    <row r="840" spans="7:10" x14ac:dyDescent="0.2">
      <c r="G840" s="600" t="s">
        <v>6976</v>
      </c>
      <c r="H840" s="600" t="s">
        <v>416</v>
      </c>
      <c r="I840" s="603">
        <v>15.54</v>
      </c>
      <c r="J840" s="603">
        <v>18.14</v>
      </c>
    </row>
    <row r="841" spans="7:10" x14ac:dyDescent="0.2">
      <c r="G841" s="600" t="s">
        <v>6976</v>
      </c>
      <c r="H841" s="600" t="s">
        <v>449</v>
      </c>
      <c r="I841" s="603">
        <v>0.33</v>
      </c>
      <c r="J841" s="603">
        <v>0.17</v>
      </c>
    </row>
    <row r="842" spans="7:10" x14ac:dyDescent="0.2">
      <c r="G842" s="600" t="s">
        <v>6976</v>
      </c>
      <c r="H842" s="600" t="s">
        <v>498</v>
      </c>
      <c r="I842" s="603">
        <v>0</v>
      </c>
      <c r="J842" s="603">
        <v>0</v>
      </c>
    </row>
    <row r="843" spans="7:10" x14ac:dyDescent="0.2">
      <c r="G843" s="600" t="s">
        <v>6976</v>
      </c>
      <c r="H843" s="600" t="s">
        <v>202</v>
      </c>
      <c r="I843" s="603">
        <v>0.46</v>
      </c>
      <c r="J843" s="603">
        <v>1.23</v>
      </c>
    </row>
    <row r="844" spans="7:10" x14ac:dyDescent="0.2">
      <c r="G844" s="600" t="s">
        <v>6976</v>
      </c>
      <c r="H844" s="600" t="s">
        <v>409</v>
      </c>
      <c r="I844" s="603">
        <v>1.28</v>
      </c>
      <c r="J844" s="603">
        <v>1.31</v>
      </c>
    </row>
    <row r="845" spans="7:10" x14ac:dyDescent="0.2">
      <c r="G845" s="600" t="s">
        <v>6976</v>
      </c>
      <c r="H845" s="600" t="s">
        <v>230</v>
      </c>
      <c r="I845" s="603">
        <v>5.78</v>
      </c>
      <c r="J845" s="603">
        <v>7.88</v>
      </c>
    </row>
    <row r="846" spans="7:10" x14ac:dyDescent="0.2">
      <c r="G846" s="600" t="s">
        <v>6976</v>
      </c>
      <c r="H846" s="600" t="s">
        <v>860</v>
      </c>
      <c r="I846" s="603">
        <v>3.24</v>
      </c>
      <c r="J846" s="603">
        <v>2.38</v>
      </c>
    </row>
    <row r="847" spans="7:10" x14ac:dyDescent="0.2">
      <c r="G847" s="600" t="s">
        <v>6977</v>
      </c>
      <c r="H847" s="600" t="s">
        <v>401</v>
      </c>
      <c r="I847" s="603">
        <v>0.56000000000000005</v>
      </c>
      <c r="J847" s="603">
        <v>0.35</v>
      </c>
    </row>
    <row r="848" spans="7:10" x14ac:dyDescent="0.2">
      <c r="G848" s="600" t="s">
        <v>6977</v>
      </c>
      <c r="H848" s="600" t="s">
        <v>438</v>
      </c>
      <c r="I848" s="603">
        <v>1.41</v>
      </c>
      <c r="J848" s="603">
        <v>2.92</v>
      </c>
    </row>
    <row r="849" spans="7:10" x14ac:dyDescent="0.2">
      <c r="G849" s="600" t="s">
        <v>6977</v>
      </c>
      <c r="H849" s="600" t="s">
        <v>390</v>
      </c>
      <c r="I849" s="603">
        <v>32.21</v>
      </c>
      <c r="J849" s="603">
        <v>30.42</v>
      </c>
    </row>
    <row r="850" spans="7:10" x14ac:dyDescent="0.2">
      <c r="G850" s="600" t="s">
        <v>6977</v>
      </c>
      <c r="H850" s="600" t="s">
        <v>212</v>
      </c>
      <c r="I850" s="603">
        <v>1.75</v>
      </c>
      <c r="J850" s="603">
        <v>0.39</v>
      </c>
    </row>
    <row r="851" spans="7:10" x14ac:dyDescent="0.2">
      <c r="G851" s="600" t="s">
        <v>6977</v>
      </c>
      <c r="H851" s="600" t="s">
        <v>419</v>
      </c>
      <c r="I851" s="603">
        <v>0.03</v>
      </c>
      <c r="J851" s="603">
        <v>0.02</v>
      </c>
    </row>
    <row r="852" spans="7:10" x14ac:dyDescent="0.2">
      <c r="G852" s="600" t="s">
        <v>6977</v>
      </c>
      <c r="H852" s="600" t="s">
        <v>402</v>
      </c>
      <c r="I852" s="603">
        <v>17.12</v>
      </c>
      <c r="J852" s="603">
        <v>8.85</v>
      </c>
    </row>
    <row r="853" spans="7:10" x14ac:dyDescent="0.2">
      <c r="G853" s="600" t="s">
        <v>6977</v>
      </c>
      <c r="H853" s="600" t="s">
        <v>211</v>
      </c>
      <c r="I853" s="603">
        <v>14.8</v>
      </c>
      <c r="J853" s="603">
        <v>22.1</v>
      </c>
    </row>
    <row r="854" spans="7:10" x14ac:dyDescent="0.2">
      <c r="G854" s="600" t="s">
        <v>6977</v>
      </c>
      <c r="H854" s="600" t="s">
        <v>210</v>
      </c>
      <c r="I854" s="603">
        <v>1.77</v>
      </c>
      <c r="J854" s="603">
        <v>1</v>
      </c>
    </row>
    <row r="855" spans="7:10" x14ac:dyDescent="0.2">
      <c r="G855" s="600" t="s">
        <v>6977</v>
      </c>
      <c r="H855" s="600" t="s">
        <v>209</v>
      </c>
      <c r="I855" s="603">
        <v>0.82</v>
      </c>
      <c r="J855" s="603">
        <v>2.87</v>
      </c>
    </row>
    <row r="856" spans="7:10" x14ac:dyDescent="0.2">
      <c r="G856" s="600" t="s">
        <v>6977</v>
      </c>
      <c r="H856" s="600" t="s">
        <v>207</v>
      </c>
      <c r="I856" s="603">
        <v>4.08</v>
      </c>
      <c r="J856" s="603">
        <v>0.9</v>
      </c>
    </row>
    <row r="857" spans="7:10" x14ac:dyDescent="0.2">
      <c r="G857" s="600" t="s">
        <v>6977</v>
      </c>
      <c r="H857" s="600" t="s">
        <v>206</v>
      </c>
      <c r="I857" s="603">
        <v>0</v>
      </c>
      <c r="J857" s="603">
        <v>0</v>
      </c>
    </row>
    <row r="858" spans="7:10" x14ac:dyDescent="0.2">
      <c r="G858" s="600" t="s">
        <v>6977</v>
      </c>
      <c r="H858" s="600" t="s">
        <v>313</v>
      </c>
      <c r="I858" s="603">
        <v>0.43</v>
      </c>
      <c r="J858" s="603">
        <v>1.34</v>
      </c>
    </row>
    <row r="859" spans="7:10" x14ac:dyDescent="0.2">
      <c r="G859" s="600" t="s">
        <v>6977</v>
      </c>
      <c r="H859" s="600" t="s">
        <v>497</v>
      </c>
      <c r="I859" s="603">
        <v>0</v>
      </c>
      <c r="J859" s="603">
        <v>0</v>
      </c>
    </row>
    <row r="860" spans="7:10" x14ac:dyDescent="0.2">
      <c r="G860" s="600" t="s">
        <v>6977</v>
      </c>
      <c r="H860" s="600" t="s">
        <v>416</v>
      </c>
      <c r="I860" s="603">
        <v>10.39</v>
      </c>
      <c r="J860" s="603">
        <v>11.25</v>
      </c>
    </row>
    <row r="861" spans="7:10" x14ac:dyDescent="0.2">
      <c r="G861" s="600" t="s">
        <v>6977</v>
      </c>
      <c r="H861" s="600" t="s">
        <v>449</v>
      </c>
      <c r="I861" s="603">
        <v>0.3</v>
      </c>
      <c r="J861" s="603">
        <v>0.12</v>
      </c>
    </row>
    <row r="862" spans="7:10" x14ac:dyDescent="0.2">
      <c r="G862" s="600" t="s">
        <v>6977</v>
      </c>
      <c r="H862" s="600" t="s">
        <v>498</v>
      </c>
      <c r="I862" s="603">
        <v>0</v>
      </c>
      <c r="J862" s="603">
        <v>0</v>
      </c>
    </row>
    <row r="863" spans="7:10" x14ac:dyDescent="0.2">
      <c r="G863" s="600" t="s">
        <v>6977</v>
      </c>
      <c r="H863" s="600" t="s">
        <v>202</v>
      </c>
      <c r="I863" s="603">
        <v>0.41</v>
      </c>
      <c r="J863" s="603">
        <v>1</v>
      </c>
    </row>
    <row r="864" spans="7:10" x14ac:dyDescent="0.2">
      <c r="G864" s="600" t="s">
        <v>6977</v>
      </c>
      <c r="H864" s="600" t="s">
        <v>409</v>
      </c>
      <c r="I864" s="603">
        <v>1.01</v>
      </c>
      <c r="J864" s="603">
        <v>0.86</v>
      </c>
    </row>
    <row r="865" spans="7:10" x14ac:dyDescent="0.2">
      <c r="G865" s="600" t="s">
        <v>6977</v>
      </c>
      <c r="H865" s="600" t="s">
        <v>230</v>
      </c>
      <c r="I865" s="603">
        <v>8.51</v>
      </c>
      <c r="J865" s="603">
        <v>12.94</v>
      </c>
    </row>
    <row r="866" spans="7:10" x14ac:dyDescent="0.2">
      <c r="G866" s="600" t="s">
        <v>6977</v>
      </c>
      <c r="H866" s="600" t="s">
        <v>860</v>
      </c>
      <c r="I866" s="603">
        <v>4.3899999999999997</v>
      </c>
      <c r="J866" s="603">
        <v>2.66</v>
      </c>
    </row>
    <row r="867" spans="7:10" x14ac:dyDescent="0.2">
      <c r="G867" s="600" t="s">
        <v>6978</v>
      </c>
      <c r="H867" s="600" t="s">
        <v>401</v>
      </c>
      <c r="I867" s="603">
        <v>0.44</v>
      </c>
      <c r="J867" s="603">
        <v>0.38</v>
      </c>
    </row>
    <row r="868" spans="7:10" x14ac:dyDescent="0.2">
      <c r="G868" s="600" t="s">
        <v>6978</v>
      </c>
      <c r="H868" s="600" t="s">
        <v>438</v>
      </c>
      <c r="I868" s="603">
        <v>2.16</v>
      </c>
      <c r="J868" s="603">
        <v>4.34</v>
      </c>
    </row>
    <row r="869" spans="7:10" x14ac:dyDescent="0.2">
      <c r="G869" s="600" t="s">
        <v>6978</v>
      </c>
      <c r="H869" s="600" t="s">
        <v>390</v>
      </c>
      <c r="I869" s="603">
        <v>28.57</v>
      </c>
      <c r="J869" s="603">
        <v>25.88</v>
      </c>
    </row>
    <row r="870" spans="7:10" x14ac:dyDescent="0.2">
      <c r="G870" s="600" t="s">
        <v>6978</v>
      </c>
      <c r="H870" s="600" t="s">
        <v>212</v>
      </c>
      <c r="I870" s="603">
        <v>2.85</v>
      </c>
      <c r="J870" s="603">
        <v>0.56000000000000005</v>
      </c>
    </row>
    <row r="871" spans="7:10" x14ac:dyDescent="0.2">
      <c r="G871" s="600" t="s">
        <v>6978</v>
      </c>
      <c r="H871" s="600" t="s">
        <v>419</v>
      </c>
      <c r="I871" s="603">
        <v>0.05</v>
      </c>
      <c r="J871" s="603">
        <v>0.03</v>
      </c>
    </row>
    <row r="872" spans="7:10" x14ac:dyDescent="0.2">
      <c r="G872" s="600" t="s">
        <v>6978</v>
      </c>
      <c r="H872" s="600" t="s">
        <v>402</v>
      </c>
      <c r="I872" s="603">
        <v>16.54</v>
      </c>
      <c r="J872" s="603">
        <v>8.1300000000000008</v>
      </c>
    </row>
    <row r="873" spans="7:10" x14ac:dyDescent="0.2">
      <c r="G873" s="600" t="s">
        <v>6978</v>
      </c>
      <c r="H873" s="600" t="s">
        <v>211</v>
      </c>
      <c r="I873" s="603">
        <v>19.27</v>
      </c>
      <c r="J873" s="603">
        <v>25.44</v>
      </c>
    </row>
    <row r="874" spans="7:10" x14ac:dyDescent="0.2">
      <c r="G874" s="600" t="s">
        <v>6978</v>
      </c>
      <c r="H874" s="600" t="s">
        <v>210</v>
      </c>
      <c r="I874" s="603">
        <v>4.2699999999999996</v>
      </c>
      <c r="J874" s="603">
        <v>2.42</v>
      </c>
    </row>
    <row r="875" spans="7:10" x14ac:dyDescent="0.2">
      <c r="G875" s="600" t="s">
        <v>6978</v>
      </c>
      <c r="H875" s="600" t="s">
        <v>209</v>
      </c>
      <c r="I875" s="603">
        <v>1.6</v>
      </c>
      <c r="J875" s="603">
        <v>5.39</v>
      </c>
    </row>
    <row r="876" spans="7:10" x14ac:dyDescent="0.2">
      <c r="G876" s="600" t="s">
        <v>6978</v>
      </c>
      <c r="H876" s="600" t="s">
        <v>207</v>
      </c>
      <c r="I876" s="603">
        <v>1.21</v>
      </c>
      <c r="J876" s="603">
        <v>0.23</v>
      </c>
    </row>
    <row r="877" spans="7:10" x14ac:dyDescent="0.2">
      <c r="G877" s="600" t="s">
        <v>6978</v>
      </c>
      <c r="H877" s="600" t="s">
        <v>206</v>
      </c>
      <c r="I877" s="603">
        <v>0.02</v>
      </c>
      <c r="J877" s="603">
        <v>0.03</v>
      </c>
    </row>
    <row r="878" spans="7:10" x14ac:dyDescent="0.2">
      <c r="G878" s="600" t="s">
        <v>6978</v>
      </c>
      <c r="H878" s="600" t="s">
        <v>313</v>
      </c>
      <c r="I878" s="603">
        <v>0.65</v>
      </c>
      <c r="J878" s="603">
        <v>1.95</v>
      </c>
    </row>
    <row r="879" spans="7:10" x14ac:dyDescent="0.2">
      <c r="G879" s="600" t="s">
        <v>6978</v>
      </c>
      <c r="H879" s="600" t="s">
        <v>497</v>
      </c>
      <c r="I879" s="603">
        <v>0</v>
      </c>
      <c r="J879" s="603">
        <v>0</v>
      </c>
    </row>
    <row r="880" spans="7:10" x14ac:dyDescent="0.2">
      <c r="G880" s="600" t="s">
        <v>6978</v>
      </c>
      <c r="H880" s="600" t="s">
        <v>416</v>
      </c>
      <c r="I880" s="603">
        <v>7.16</v>
      </c>
      <c r="J880" s="603">
        <v>8.34</v>
      </c>
    </row>
    <row r="881" spans="7:10" x14ac:dyDescent="0.2">
      <c r="G881" s="600" t="s">
        <v>6978</v>
      </c>
      <c r="H881" s="600" t="s">
        <v>449</v>
      </c>
      <c r="I881" s="603">
        <v>0.19</v>
      </c>
      <c r="J881" s="603">
        <v>0.1</v>
      </c>
    </row>
    <row r="882" spans="7:10" x14ac:dyDescent="0.2">
      <c r="G882" s="600" t="s">
        <v>6978</v>
      </c>
      <c r="H882" s="600" t="s">
        <v>498</v>
      </c>
      <c r="I882" s="603">
        <v>0</v>
      </c>
      <c r="J882" s="603">
        <v>0</v>
      </c>
    </row>
    <row r="883" spans="7:10" x14ac:dyDescent="0.2">
      <c r="G883" s="600" t="s">
        <v>6978</v>
      </c>
      <c r="H883" s="600" t="s">
        <v>202</v>
      </c>
      <c r="I883" s="603">
        <v>0.15</v>
      </c>
      <c r="J883" s="603">
        <v>0.37</v>
      </c>
    </row>
    <row r="884" spans="7:10" x14ac:dyDescent="0.2">
      <c r="G884" s="600" t="s">
        <v>6978</v>
      </c>
      <c r="H884" s="600" t="s">
        <v>409</v>
      </c>
      <c r="I884" s="603">
        <v>0.59</v>
      </c>
      <c r="J884" s="603">
        <v>0.63</v>
      </c>
    </row>
    <row r="885" spans="7:10" x14ac:dyDescent="0.2">
      <c r="G885" s="600" t="s">
        <v>6978</v>
      </c>
      <c r="H885" s="600" t="s">
        <v>230</v>
      </c>
      <c r="I885" s="603">
        <v>9.4700000000000006</v>
      </c>
      <c r="J885" s="603">
        <v>12.64</v>
      </c>
    </row>
    <row r="886" spans="7:10" x14ac:dyDescent="0.2">
      <c r="G886" s="600" t="s">
        <v>6978</v>
      </c>
      <c r="H886" s="600" t="s">
        <v>860</v>
      </c>
      <c r="I886" s="603">
        <v>4.8099999999999996</v>
      </c>
      <c r="J886" s="603">
        <v>3.13</v>
      </c>
    </row>
  </sheetData>
  <mergeCells count="4">
    <mergeCell ref="B5:D5"/>
    <mergeCell ref="G5:J5"/>
    <mergeCell ref="M5:P5"/>
    <mergeCell ref="S5:V5"/>
  </mergeCells>
  <pageMargins left="0.7" right="0.7" top="0.75" bottom="0.75" header="0.3" footer="0.3"/>
  <tableParts count="4">
    <tablePart r:id="rId1"/>
    <tablePart r:id="rId2"/>
    <tablePart r:id="rId3"/>
    <tablePart r:id="rId4"/>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FFC000"/>
    <pageSetUpPr fitToPage="1"/>
  </sheetPr>
  <dimension ref="A1:BG37"/>
  <sheetViews>
    <sheetView showGridLines="0" view="pageBreakPreview" zoomScale="115" zoomScaleNormal="110" zoomScaleSheetLayoutView="115" workbookViewId="0">
      <selection activeCell="D3" sqref="D3:E3"/>
    </sheetView>
  </sheetViews>
  <sheetFormatPr baseColWidth="10" defaultColWidth="8.83203125" defaultRowHeight="13" x14ac:dyDescent="0.15"/>
  <cols>
    <col min="1" max="17" width="14.6640625" customWidth="1"/>
    <col min="23" max="23" width="23" bestFit="1" customWidth="1"/>
    <col min="25" max="25" width="11.33203125" bestFit="1" customWidth="1"/>
  </cols>
  <sheetData>
    <row r="1" spans="1:59" ht="18" x14ac:dyDescent="0.2">
      <c r="A1" s="580" t="str">
        <f>'Crash Analysis'!B1</f>
        <v>Type 'Heading' Here</v>
      </c>
    </row>
    <row r="2" spans="1:59" ht="16" x14ac:dyDescent="0.2">
      <c r="B2" s="394" t="s">
        <v>6079</v>
      </c>
      <c r="C2" s="395">
        <f>V2</f>
        <v>2021</v>
      </c>
      <c r="D2" s="394" t="s">
        <v>6080</v>
      </c>
      <c r="E2" s="395">
        <f>W2</f>
        <v>2025</v>
      </c>
      <c r="F2" s="117" t="str">
        <f>"(Available Years: "&amp;V2&amp;"-"&amp;W2&amp;")"</f>
        <v>(Available Years: 2021-2025)</v>
      </c>
      <c r="V2" s="117">
        <f>MIN('Full Crash Data'!$C$21:$C$1000000)</f>
        <v>2021</v>
      </c>
      <c r="W2" s="117">
        <f>MAX('Full Crash Data'!$C:$C)</f>
        <v>2025</v>
      </c>
    </row>
    <row r="3" spans="1:59" ht="16" x14ac:dyDescent="0.2">
      <c r="B3" s="678" t="s">
        <v>6298</v>
      </c>
      <c r="C3" s="678"/>
      <c r="D3" s="677" t="s">
        <v>227</v>
      </c>
      <c r="E3" s="677"/>
      <c r="X3" t="s">
        <v>6081</v>
      </c>
      <c r="AC3" t="str">
        <f>X3</f>
        <v>Non-Intersection</v>
      </c>
      <c r="AH3" t="str">
        <f>AC3</f>
        <v>Non-Intersection</v>
      </c>
      <c r="AM3" t="s">
        <v>221</v>
      </c>
      <c r="AR3" t="s">
        <v>221</v>
      </c>
      <c r="AW3" t="s">
        <v>221</v>
      </c>
      <c r="BB3" t="s">
        <v>221</v>
      </c>
    </row>
    <row r="4" spans="1:59" x14ac:dyDescent="0.15">
      <c r="X4" t="s">
        <v>133</v>
      </c>
      <c r="AC4" t="s">
        <v>1178</v>
      </c>
      <c r="AH4" t="s">
        <v>453</v>
      </c>
      <c r="AM4" t="s">
        <v>133</v>
      </c>
      <c r="AR4" t="s">
        <v>6082</v>
      </c>
      <c r="AW4" t="s">
        <v>6083</v>
      </c>
      <c r="BB4" t="s">
        <v>453</v>
      </c>
    </row>
    <row r="5" spans="1:59" x14ac:dyDescent="0.15">
      <c r="F5" s="682" t="s">
        <v>175</v>
      </c>
      <c r="G5" s="682"/>
      <c r="V5" t="s">
        <v>6092</v>
      </c>
      <c r="W5" t="s">
        <v>176</v>
      </c>
      <c r="X5" t="s">
        <v>6086</v>
      </c>
      <c r="Y5" t="s">
        <v>6088</v>
      </c>
      <c r="Z5" t="s">
        <v>6087</v>
      </c>
      <c r="AA5" t="s">
        <v>131</v>
      </c>
      <c r="AB5" t="s">
        <v>1172</v>
      </c>
      <c r="AC5" t="s">
        <v>6086</v>
      </c>
      <c r="AD5" t="s">
        <v>6088</v>
      </c>
      <c r="AE5" t="s">
        <v>6087</v>
      </c>
      <c r="AF5" t="s">
        <v>131</v>
      </c>
      <c r="AG5" t="s">
        <v>1172</v>
      </c>
      <c r="AH5" t="s">
        <v>6086</v>
      </c>
      <c r="AI5" t="s">
        <v>6088</v>
      </c>
      <c r="AJ5" t="s">
        <v>6087</v>
      </c>
      <c r="AK5" t="s">
        <v>131</v>
      </c>
      <c r="AL5" t="s">
        <v>1172</v>
      </c>
      <c r="AM5" t="s">
        <v>6086</v>
      </c>
      <c r="AN5" t="s">
        <v>6088</v>
      </c>
      <c r="AO5" t="s">
        <v>6087</v>
      </c>
      <c r="AP5" t="s">
        <v>131</v>
      </c>
      <c r="AQ5" t="s">
        <v>1172</v>
      </c>
      <c r="AR5" t="s">
        <v>6086</v>
      </c>
      <c r="AS5" t="s">
        <v>6088</v>
      </c>
      <c r="AT5" t="s">
        <v>6087</v>
      </c>
      <c r="AU5" t="s">
        <v>131</v>
      </c>
      <c r="AV5" t="s">
        <v>1172</v>
      </c>
      <c r="AW5" t="s">
        <v>6086</v>
      </c>
      <c r="AX5" t="s">
        <v>6088</v>
      </c>
      <c r="AY5" t="s">
        <v>6087</v>
      </c>
      <c r="AZ5" t="s">
        <v>131</v>
      </c>
      <c r="BA5" t="s">
        <v>1172</v>
      </c>
      <c r="BB5" t="s">
        <v>6086</v>
      </c>
      <c r="BC5" t="s">
        <v>6088</v>
      </c>
      <c r="BD5" t="s">
        <v>6087</v>
      </c>
      <c r="BE5" t="s">
        <v>131</v>
      </c>
      <c r="BF5" t="s">
        <v>1172</v>
      </c>
      <c r="BG5" t="s">
        <v>176</v>
      </c>
    </row>
    <row r="6" spans="1:59" ht="14" thickBot="1" x14ac:dyDescent="0.2">
      <c r="F6" s="385" t="s">
        <v>6085</v>
      </c>
      <c r="G6" s="396">
        <f>IF($D$3="All",COUNTIFS('Full Crash Data'!$C:$C,"&gt;="&amp;$C$2,'Full Crash Data'!$C:$C,"&lt;="&amp;$E$2),COUNTIFS('Full Crash Data'!$C:$C,"&gt;="&amp;$C$2,'Full Crash Data'!$C:$C,"&lt;="&amp;$E$2,'Full Crash Data'!$AN:$AN,$D$3))</f>
        <v>308</v>
      </c>
      <c r="V6">
        <v>3</v>
      </c>
      <c r="W6" t="s">
        <v>401</v>
      </c>
      <c r="X6">
        <f>_xlfn.RANK.AVG(Y6,Y$6:Y$25,0)</f>
        <v>13</v>
      </c>
      <c r="Y6">
        <f>Z6+AA6*0.001+AB6*0.000001+0.00000001*$V6</f>
        <v>1.00000003</v>
      </c>
      <c r="Z6">
        <f>IF($D$3="All",COUNTIFS('Full Crash Data'!$C:$C,"&gt;="&amp;$C$2,'Full Crash Data'!$C:$C,"&lt;="&amp;$E$2,'Full Crash Data'!$G:$G,$W6,'Full Crash Data'!$AX:$AX,"No"),COUNTIFS('Full Crash Data'!$C:$C,"&gt;="&amp;$C$2,'Full Crash Data'!$C:$C,"&lt;="&amp;$E$2,'Full Crash Data'!$AN:$AN,$D$3,'Full Crash Data'!$G:$G,$W6,'Full Crash Data'!$AX:$AX,"No"))</f>
        <v>1</v>
      </c>
      <c r="AA6">
        <f>IF($D$3="All",SUMIFS('Full Crash Data'!$U:$U,'Full Crash Data'!$C:$C,"&gt;="&amp;$C$2,'Full Crash Data'!$C:$C,"&lt;="&amp;$E$2,'Full Crash Data'!$G:$G,$W6,'Full Crash Data'!$AX:$AX,"No"),SUMIFS('Full Crash Data'!$U:$U,'Full Crash Data'!$C:$C,"&gt;="&amp;$C$2,'Full Crash Data'!$C:$C,"&lt;="&amp;$E$2,'Full Crash Data'!$AN:$AN,$D$3,'Full Crash Data'!$G:$G,$W6,'Full Crash Data'!$AX:$AX,"No"))</f>
        <v>0</v>
      </c>
      <c r="AB6">
        <f>IF($D$3="All",SUMIFS('Full Crash Data'!$V:$V,'Full Crash Data'!$C:$C,"&gt;="&amp;$C$2,'Full Crash Data'!$C:$C,"&lt;="&amp;$E$2,'Full Crash Data'!$G:$G,$W6,'Full Crash Data'!$AX:$AX,"No"),SUMIFS('Full Crash Data'!$V:$V,'Full Crash Data'!$C:$C,"&gt;="&amp;$C$2,'Full Crash Data'!$C:$C,"&lt;="&amp;$E$2,'Full Crash Data'!$AN:$AN,$D$3,'Full Crash Data'!$G:$G,$W6,'Full Crash Data'!$AX:$AX,"No"))</f>
        <v>0</v>
      </c>
      <c r="AC6">
        <f>_xlfn.RANK.AVG(AD6,AD$6:AD$25,0)</f>
        <v>17</v>
      </c>
      <c r="AD6">
        <f>AE6+AF6*0.001+AG6*0.000001+0.00000001*$V6</f>
        <v>3.0000000000000004E-8</v>
      </c>
      <c r="AE6">
        <f>IF($D$3="All",COUNTIFS('Full Crash Data'!$C:$C,"&gt;="&amp;$C$2,'Full Crash Data'!$C:$C,"&lt;="&amp;$E$2,'Full Crash Data'!$AX:$AX,"No",'Full Crash Data'!$AW:$AW,"Yes",'Full Crash Data'!$G:$G,$W6),COUNTIFS('Full Crash Data'!$C:$C,"&gt;="&amp;$C$2,'Full Crash Data'!$C:$C,"&lt;="&amp;$E$2,'Full Crash Data'!$AX:$AX,"No",'Full Crash Data'!$AW:$AW,"Yes",'Full Crash Data'!$AN:$AN,$D$3,'Full Crash Data'!$G:$G,$W6))</f>
        <v>0</v>
      </c>
      <c r="AF6">
        <f>IF($D$3="All",SUMIFS('Full Crash Data'!$U:$U,'Full Crash Data'!$C:$C,"&gt;="&amp;$C$2,'Full Crash Data'!$C:$C,"&lt;="&amp;$E$2,'Full Crash Data'!$AX:$AX,"No",'Full Crash Data'!$AW:$AW,"Yes",'Full Crash Data'!$G:$G,$W6),SUMIFS('Full Crash Data'!$U:$U,'Full Crash Data'!$C:$C,"&gt;="&amp;$C$2,'Full Crash Data'!$C:$C,"&lt;="&amp;$E$2,'Full Crash Data'!$AX:$AX,"No",'Full Crash Data'!$AW:$AW,"Yes",'Full Crash Data'!$AN:$AN,$D$3,'Full Crash Data'!$G:$G,$W6))</f>
        <v>0</v>
      </c>
      <c r="AG6">
        <f>IF($D$3="All",SUMIFS('Full Crash Data'!$V:$V,'Full Crash Data'!$C:$C,"&gt;="&amp;$C$2,'Full Crash Data'!$C:$C,"&lt;="&amp;$E$2,'Full Crash Data'!$AX:$AX,"No",'Full Crash Data'!$AW:$AW,"Yes",'Full Crash Data'!$G:$G,$W6),SUMIFS('Full Crash Data'!$V:$V,'Full Crash Data'!$C:$C,"&gt;="&amp;$C$2,'Full Crash Data'!$C:$C,"&lt;="&amp;$E$2,'Full Crash Data'!$AX:$AX,"No",'Full Crash Data'!$AW:$AW,"Yes",'Full Crash Data'!$AN:$AN,$D$3,'Full Crash Data'!$G:$G,$W6))</f>
        <v>0</v>
      </c>
      <c r="AH6">
        <f>_xlfn.RANK.AVG(AI6,AI$6:AI$25,0)</f>
        <v>11</v>
      </c>
      <c r="AI6">
        <f>AJ6+AK6*0.001+AL6*0.000001+0.00000001*$V6</f>
        <v>1.00000003</v>
      </c>
      <c r="AJ6">
        <f>Z6-AE6</f>
        <v>1</v>
      </c>
      <c r="AK6">
        <f>AA6-AF6</f>
        <v>0</v>
      </c>
      <c r="AL6">
        <f>AB6-AG6</f>
        <v>0</v>
      </c>
      <c r="AM6">
        <f>_xlfn.RANK.AVG(AN6,AN$6:AN$25,0)</f>
        <v>12</v>
      </c>
      <c r="AN6">
        <f>AO6+AP6*0.001+AQ6*0.000001+0.00000001*$V6</f>
        <v>2.0000000299999998</v>
      </c>
      <c r="AO6">
        <f>IF($D$3="All",COUNTIFS('Full Crash Data'!$C:$C,"&gt;="&amp;$C$2,'Full Crash Data'!$C:$C,"&lt;="&amp;$E$2,'Full Crash Data'!$AX:$AX,"Yes",'Full Crash Data'!$G:$G,$W6),COUNTIFS('Full Crash Data'!$C:$C,"&gt;="&amp;$C$2,'Full Crash Data'!$C:$C,"&lt;="&amp;$E$2,'Full Crash Data'!$AX:$AX,"Yes",'Full Crash Data'!$AN:$AN,$D$3,'Full Crash Data'!$G:$G,$W6))</f>
        <v>2</v>
      </c>
      <c r="AP6">
        <f>IF($D$3="All",SUMIFS('Full Crash Data'!$U:$U,'Full Crash Data'!$C:$C,"&gt;="&amp;$C$2,'Full Crash Data'!$C:$C,"&lt;="&amp;$E$2,'Full Crash Data'!$AX:$AX,"Yes",'Full Crash Data'!$G:$G,$W6),SUMIFS('Full Crash Data'!$U:$U,'Full Crash Data'!$C:$C,"&gt;="&amp;$C$2,'Full Crash Data'!$C:$C,"&lt;="&amp;$E$2,'Full Crash Data'!$AX:$AX,"Yes",'Full Crash Data'!$AN:$AN,$D$3,'Full Crash Data'!$G:$G,$W6))</f>
        <v>0</v>
      </c>
      <c r="AQ6">
        <f>IF($D$3="All",SUMIFS('Full Crash Data'!$V:$V,'Full Crash Data'!$C:$C,"&gt;="&amp;$C$2,'Full Crash Data'!$C:$C,"&lt;="&amp;$E$2,'Full Crash Data'!$AX:$AX,"Yes",'Full Crash Data'!$G:$G,$W6),SUMIFS('Full Crash Data'!$V:$V,'Full Crash Data'!$C:$C,"&gt;="&amp;$C$2,'Full Crash Data'!$C:$C,"&lt;="&amp;$E$2,'Full Crash Data'!$AX:$AX,"Yes",'Full Crash Data'!$AN:$AN,$D$3,'Full Crash Data'!$G:$G,$W6))</f>
        <v>0</v>
      </c>
      <c r="AR6">
        <f>_xlfn.RANK.AVG(AS6,AS$6:AS$25,0)</f>
        <v>10</v>
      </c>
      <c r="AS6">
        <f>AT6+AU6*0.001+AV6*0.000001+0.00000001*$V6</f>
        <v>2.0000000299999998</v>
      </c>
      <c r="AT6">
        <f>IF($D$3="All",COUNTIFS('Full Crash Data'!$C:$C,"&gt;="&amp;$C$2,'Full Crash Data'!$C:$C,"&lt;="&amp;$E$2,'Full Crash Data'!$AX:$AX,"Yes",'Full Crash Data'!$CH:$CH,"Signal",'Full Crash Data'!$G:$G,$W6),COUNTIFS('Full Crash Data'!$C:$C,"&gt;="&amp;$C$2,'Full Crash Data'!$C:$C,"&lt;="&amp;$E$2,'Full Crash Data'!$AX:$AX,"Yes",'Full Crash Data'!$CH:$CH,"Signal",'Full Crash Data'!$AN:$AN,$D$3,'Full Crash Data'!$G:$G,$W6))</f>
        <v>2</v>
      </c>
      <c r="AU6">
        <f>IF($D$3="All",SUMIFS('Full Crash Data'!BG:BG,'Full Crash Data'!$C:$C,"&gt;="&amp;$C$2,'Full Crash Data'!$C:$C,"&lt;="&amp;$E$2,'Full Crash Data'!$AX:$AX,"Yes",'Full Crash Data'!$CH:$CH,"Signal",'Full Crash Data'!$G:$G,$W6),SUMIFS('Full Crash Data'!BG:BG,'Full Crash Data'!$C:$C,"&gt;="&amp;$C$2,'Full Crash Data'!$C:$C,"&lt;="&amp;$E$2,'Full Crash Data'!$AX:$AX,"Yes",'Full Crash Data'!$CH:$CH,"Signal",'Full Crash Data'!$AN:$AN,$D$3,'Full Crash Data'!$G:$G,$W6))</f>
        <v>0</v>
      </c>
      <c r="AV6">
        <f>IF($D$3="All",SUMIFS('Full Crash Data'!$V:$V,'Full Crash Data'!$C:$C,"&gt;="&amp;$C$2,'Full Crash Data'!$C:$C,"&lt;="&amp;$E$2,'Full Crash Data'!$AX:$AX,"Yes",'Full Crash Data'!$CH:$CH,"Signal",'Full Crash Data'!$G:$G,$W6),SUMIFS('Full Crash Data'!$V:$V,'Full Crash Data'!$C:$C,"&gt;="&amp;$C$2,'Full Crash Data'!$C:$C,"&lt;="&amp;$E$2,'Full Crash Data'!$AX:$AX,"Yes",'Full Crash Data'!$CH:$CH,"Signal",'Full Crash Data'!$AN:$AN,$D$3,'Full Crash Data'!$G:$G,$W6))</f>
        <v>0</v>
      </c>
      <c r="AW6">
        <f>_xlfn.RANK.AVG(AX6,AX$6:AX$25,0)</f>
        <v>17</v>
      </c>
      <c r="AX6">
        <f>AY6+AZ6*0.001+BA6*0.000001+0.00000001*$V6</f>
        <v>3.0000000000000004E-8</v>
      </c>
      <c r="AY6">
        <f>IF($D$3="All",COUNTIFS('Full Crash Data'!$C:$C,"&gt;="&amp;$C$2,'Full Crash Data'!$C:$C,"&lt;="&amp;$E$2,'Full Crash Data'!$AX:$AX,"Yes",'Full Crash Data'!$CH:$CH,"Stop Sign",'Full Crash Data'!$G:$G,$W6)+COUNTIFS('Full Crash Data'!$C:$C,"&gt;="&amp;$C$2,'Full Crash Data'!$C:$C,"&lt;="&amp;$E$2,'Full Crash Data'!$AX:$AX,"Yes",'Full Crash Data'!$CH:$CH,"Yeild Sign",'Full Crash Data'!$G:$G,$W6)+COUNTIFS('Full Crash Data'!$C:$C,"&gt;="&amp;$C$2,'Full Crash Data'!$C:$C,"&lt;="&amp;$E$2,'Full Crash Data'!$AX:$AX,"Yes",'Full Crash Data'!$CH:$CH,"Flasher",'Full Crash Data'!$G:$G,$W6),COUNTIFS('Full Crash Data'!$C:$C,"&gt;="&amp;$C$2,'Full Crash Data'!$C:$C,"&lt;="&amp;$E$2,'Full Crash Data'!$AX:$AX,"Yes",'Full Crash Data'!$CH:$CH,"Stop Sign",'Full Crash Data'!$AN:$AN,$D$3,'Full Crash Data'!$G:$G,$W6)+COUNTIFS('Full Crash Data'!$C:$C,"&gt;="&amp;$C$2,'Full Crash Data'!$C:$C,"&lt;="&amp;$E$2,'Full Crash Data'!$AX:$AX,"Yes",'Full Crash Data'!$CH:$CH,"Yeild Sign",'Full Crash Data'!$AN:$AN,$D$3,'Full Crash Data'!$G:$G,$W6)+COUNTIFS('Full Crash Data'!$C:$C,"&gt;="&amp;$C$2,'Full Crash Data'!$C:$C,"&lt;="&amp;$E$2,'Full Crash Data'!$AX:$AX,"Yes",'Full Crash Data'!$CH:$CH,"Flasher",'Full Crash Data'!$AN:$AN,$D$3,'Full Crash Data'!$G:$G,$W6))</f>
        <v>0</v>
      </c>
      <c r="AZ6">
        <f>IF($D$3="All",SUMIFS('Full Crash Data'!$U:$U,'Full Crash Data'!$C:$C,"&gt;="&amp;$C$2,'Full Crash Data'!$C:$C,"&lt;="&amp;$E$2,'Full Crash Data'!$AX:$AX,"Yes",'Full Crash Data'!$CH:$CH,"Stop Sign",'Full Crash Data'!$G:$G,$W6)+SUMIFS('Full Crash Data'!$U:$U,'Full Crash Data'!$C:$C,"&gt;="&amp;$C$2,'Full Crash Data'!$C:$C,"&lt;="&amp;$E$2,'Full Crash Data'!$AX:$AX,"Yes",'Full Crash Data'!$CH:$CH,"Yeild Sign",'Full Crash Data'!$G:$G,$W6)+SUMIFS('Full Crash Data'!$U:$U,'Full Crash Data'!$C:$C,"&gt;="&amp;$C$2,'Full Crash Data'!$C:$C,"&lt;="&amp;$E$2,'Full Crash Data'!$AX:$AX,"Yes",'Full Crash Data'!$CH:$CH,"Flasher",'Full Crash Data'!$G:$G,$W6),SUMIFS('Full Crash Data'!$U:$U,'Full Crash Data'!$C:$C,"&gt;="&amp;$C$2,'Full Crash Data'!$C:$C,"&lt;="&amp;$E$2,'Full Crash Data'!$AX:$AX,"Yes",'Full Crash Data'!$CH:$CH,"Stop Sign",'Full Crash Data'!$AN:$AN,$D$3,'Full Crash Data'!$G:$G,$W6)+SUMIFS('Full Crash Data'!$U:$U,'Full Crash Data'!$C:$C,"&gt;="&amp;$C$2,'Full Crash Data'!$C:$C,"&lt;="&amp;$E$2,'Full Crash Data'!$AX:$AX,"Yes",'Full Crash Data'!$CH:$CH,"Yeild Sign",'Full Crash Data'!$AN:$AN,$D$3,'Full Crash Data'!$G:$G,$W6)+SUMIFS('Full Crash Data'!$U:$U,'Full Crash Data'!$C:$C,"&gt;="&amp;$C$2,'Full Crash Data'!$C:$C,"&lt;="&amp;$E$2,'Full Crash Data'!$AX:$AX,"Yes",'Full Crash Data'!$CH:$CH,"Flasher",'Full Crash Data'!$AN:$AN,$D$3,'Full Crash Data'!$G:$G,$W6))</f>
        <v>0</v>
      </c>
      <c r="BA6">
        <f>IF($D$3="All",SUMIFS('Full Crash Data'!$V:$V,'Full Crash Data'!$C:$C,"&gt;="&amp;$C$2,'Full Crash Data'!$C:$C,"&lt;="&amp;$E$2,'Full Crash Data'!$AX:$AX,"Yes",'Full Crash Data'!$CH:$CH,"Stop Sign",'Full Crash Data'!$G:$G,$W6)+SUMIFS('Full Crash Data'!$V:$V,'Full Crash Data'!$C:$C,"&gt;="&amp;$C$2,'Full Crash Data'!$C:$C,"&lt;="&amp;$E$2,'Full Crash Data'!$AX:$AX,"Yes",'Full Crash Data'!$CH:$CH,"Yeild Sign",'Full Crash Data'!$G:$G,$W6)+SUMIFS('Full Crash Data'!$V:$V,'Full Crash Data'!$C:$C,"&gt;="&amp;$C$2,'Full Crash Data'!$C:$C,"&lt;="&amp;$E$2,'Full Crash Data'!$AX:$AX,"Yes",'Full Crash Data'!$CH:$CH,"Flasher",'Full Crash Data'!$G:$G,$W6),SUMIFS('Full Crash Data'!$V:$V,'Full Crash Data'!$C:$C,"&gt;="&amp;$C$2,'Full Crash Data'!$C:$C,"&lt;="&amp;$E$2,'Full Crash Data'!$AX:$AX,"Yes",'Full Crash Data'!$CH:$CH,"Stop Sign",'Full Crash Data'!$AN:$AN,$D$3,'Full Crash Data'!$G:$G,$W6)+SUMIFS('Full Crash Data'!$V:$V,'Full Crash Data'!$C:$C,"&gt;="&amp;$C$2,'Full Crash Data'!$C:$C,"&lt;="&amp;$E$2,'Full Crash Data'!$AX:$AX,"Yes",'Full Crash Data'!$CH:$CH,"Yeild Sign",'Full Crash Data'!$AN:$AN,$D$3,'Full Crash Data'!$G:$G,$W6)+SUMIFS('Full Crash Data'!$V:$V,'Full Crash Data'!$C:$C,"&gt;="&amp;$C$2,'Full Crash Data'!$C:$C,"&lt;="&amp;$E$2,'Full Crash Data'!$AX:$AX,"Yes",'Full Crash Data'!$CH:$CH,"Flasher",'Full Crash Data'!$AN:$AN,$D$3,'Full Crash Data'!$G:$G,$W6))</f>
        <v>0</v>
      </c>
      <c r="BB6">
        <f>_xlfn.RANK.AVG(BC6,BC$6:BC$25,0)</f>
        <v>17</v>
      </c>
      <c r="BC6">
        <f>BD6+BE6*0.001+BF6*0.000001+0.00000001*$V6</f>
        <v>3.0000000000000004E-8</v>
      </c>
      <c r="BD6">
        <f>AO6-AT6-AY6</f>
        <v>0</v>
      </c>
      <c r="BE6">
        <f>AP6-AU6-AZ6</f>
        <v>0</v>
      </c>
      <c r="BF6">
        <f>AQ6-AV6-BA6</f>
        <v>0</v>
      </c>
      <c r="BG6" t="s">
        <v>401</v>
      </c>
    </row>
    <row r="7" spans="1:59" ht="14" thickTop="1" x14ac:dyDescent="0.15">
      <c r="D7" s="386"/>
      <c r="E7" s="389"/>
      <c r="F7" s="385" t="s">
        <v>131</v>
      </c>
      <c r="G7" s="396">
        <f>IF($D$3="All",SUMIFS('Full Crash Data'!$U:$U,'Full Crash Data'!$C:$C,"&gt;="&amp;$C$2,'Full Crash Data'!$C:$C,"&lt;="&amp;$E$2),SUMIFS('Full Crash Data'!$U:$U,'Full Crash Data'!$C:$C,"&gt;="&amp;$C$2,'Full Crash Data'!$C:$C,"&lt;="&amp;$E$2,'Full Crash Data'!$AN:$AN,$D$3))</f>
        <v>1</v>
      </c>
      <c r="H7" s="389"/>
      <c r="I7" s="390"/>
      <c r="V7">
        <v>10</v>
      </c>
      <c r="W7" t="s">
        <v>438</v>
      </c>
      <c r="X7">
        <f t="shared" ref="X7:X25" si="0">_xlfn.RANK.AVG(Y7,Y$6:Y$25,0)</f>
        <v>7</v>
      </c>
      <c r="Y7">
        <f t="shared" ref="Y7:Y25" si="1">Z7+AA7*0.001+AB7*0.000001+0.00000001*$V7</f>
        <v>6.0000001000000003</v>
      </c>
      <c r="Z7">
        <f>IF($D$3="All",COUNTIFS('Full Crash Data'!$C:$C,"&gt;="&amp;$C$2,'Full Crash Data'!$C:$C,"&lt;="&amp;$E$2,'Full Crash Data'!$G:$G,$W7,'Full Crash Data'!$AX:$AX,"No"),COUNTIFS('Full Crash Data'!$C:$C,"&gt;="&amp;$C$2,'Full Crash Data'!$C:$C,"&lt;="&amp;$E$2,'Full Crash Data'!$AN:$AN,$D$3,'Full Crash Data'!$G:$G,$W7,'Full Crash Data'!$AX:$AX,"No"))</f>
        <v>6</v>
      </c>
      <c r="AA7">
        <f>IF($D$3="All",SUMIFS('Full Crash Data'!$U:$U,'Full Crash Data'!$C:$C,"&gt;="&amp;$C$2,'Full Crash Data'!$C:$C,"&lt;="&amp;$E$2,'Full Crash Data'!$G:$G,$W7,'Full Crash Data'!$AX:$AX,"No"),SUMIFS('Full Crash Data'!$U:$U,'Full Crash Data'!$C:$C,"&gt;="&amp;$C$2,'Full Crash Data'!$C:$C,"&lt;="&amp;$E$2,'Full Crash Data'!$AN:$AN,$D$3,'Full Crash Data'!$G:$G,$W7,'Full Crash Data'!$AX:$AX,"No"))</f>
        <v>0</v>
      </c>
      <c r="AB7">
        <f>IF($D$3="All",SUMIFS('Full Crash Data'!$V:$V,'Full Crash Data'!$C:$C,"&gt;="&amp;$C$2,'Full Crash Data'!$C:$C,"&lt;="&amp;$E$2,'Full Crash Data'!$G:$G,$W7,'Full Crash Data'!$AX:$AX,"No"),SUMIFS('Full Crash Data'!$V:$V,'Full Crash Data'!$C:$C,"&gt;="&amp;$C$2,'Full Crash Data'!$C:$C,"&lt;="&amp;$E$2,'Full Crash Data'!$AN:$AN,$D$3,'Full Crash Data'!$G:$G,$W7,'Full Crash Data'!$AX:$AX,"No"))</f>
        <v>0</v>
      </c>
      <c r="AC7">
        <f t="shared" ref="AC7:AC25" si="2">_xlfn.RANK.AVG(AD7,AD$6:AD$25,0)</f>
        <v>8</v>
      </c>
      <c r="AD7">
        <f t="shared" ref="AD7:AD25" si="3">AE7+AF7*0.001+AG7*0.000001+0.00000001*$V7</f>
        <v>1.0000001000000001</v>
      </c>
      <c r="AE7">
        <f>IF($D$3="All",COUNTIFS('Full Crash Data'!$C:$C,"&gt;="&amp;$C$2,'Full Crash Data'!$C:$C,"&lt;="&amp;$E$2,'Full Crash Data'!$AX:$AX,"No",'Full Crash Data'!$AW:$AW,"Yes",'Full Crash Data'!$G:$G,$W7),COUNTIFS('Full Crash Data'!$C:$C,"&gt;="&amp;$C$2,'Full Crash Data'!$C:$C,"&lt;="&amp;$E$2,'Full Crash Data'!$AX:$AX,"No",'Full Crash Data'!$AW:$AW,"Yes",'Full Crash Data'!$AN:$AN,$D$3,'Full Crash Data'!$G:$G,$W7))</f>
        <v>1</v>
      </c>
      <c r="AF7">
        <f>IF($D$3="All",SUMIFS('Full Crash Data'!$U:$U,'Full Crash Data'!$C:$C,"&gt;="&amp;$C$2,'Full Crash Data'!$C:$C,"&lt;="&amp;$E$2,'Full Crash Data'!$AX:$AX,"No",'Full Crash Data'!$AW:$AW,"Yes",'Full Crash Data'!$G:$G,$W7),SUMIFS('Full Crash Data'!$U:$U,'Full Crash Data'!$C:$C,"&gt;="&amp;$C$2,'Full Crash Data'!$C:$C,"&lt;="&amp;$E$2,'Full Crash Data'!$AX:$AX,"No",'Full Crash Data'!$AW:$AW,"Yes",'Full Crash Data'!$AN:$AN,$D$3,'Full Crash Data'!$G:$G,$W7))</f>
        <v>0</v>
      </c>
      <c r="AG7">
        <f>IF($D$3="All",SUMIFS('Full Crash Data'!$V:$V,'Full Crash Data'!$C:$C,"&gt;="&amp;$C$2,'Full Crash Data'!$C:$C,"&lt;="&amp;$E$2,'Full Crash Data'!$AX:$AX,"No",'Full Crash Data'!$AW:$AW,"Yes",'Full Crash Data'!$G:$G,$W7),SUMIFS('Full Crash Data'!$V:$V,'Full Crash Data'!$C:$C,"&gt;="&amp;$C$2,'Full Crash Data'!$C:$C,"&lt;="&amp;$E$2,'Full Crash Data'!$AX:$AX,"No",'Full Crash Data'!$AW:$AW,"Yes",'Full Crash Data'!$AN:$AN,$D$3,'Full Crash Data'!$G:$G,$W7))</f>
        <v>0</v>
      </c>
      <c r="AH7">
        <f t="shared" ref="AH7:AH25" si="4">_xlfn.RANK.AVG(AI7,AI$6:AI$25,0)</f>
        <v>5</v>
      </c>
      <c r="AI7">
        <f t="shared" ref="AI7:AI25" si="5">AJ7+AK7*0.001+AL7*0.000001+0.00000001*$V7</f>
        <v>5.0000001000000003</v>
      </c>
      <c r="AJ7">
        <f t="shared" ref="AJ7:AJ25" si="6">Z7-AE7</f>
        <v>5</v>
      </c>
      <c r="AK7">
        <f t="shared" ref="AK7:AK25" si="7">AA7-AF7</f>
        <v>0</v>
      </c>
      <c r="AL7">
        <f t="shared" ref="AL7:AL25" si="8">AB7-AG7</f>
        <v>0</v>
      </c>
      <c r="AM7">
        <f t="shared" ref="AM7:AM25" si="9">_xlfn.RANK.AVG(AN7,AN$6:AN$25,0)</f>
        <v>6</v>
      </c>
      <c r="AN7">
        <f t="shared" ref="AN7:AN25" si="10">AO7+AP7*0.001+AQ7*0.000001+0.00000001*$V7</f>
        <v>8.0000000999999994</v>
      </c>
      <c r="AO7">
        <f>IF($D$3="All",COUNTIFS('Full Crash Data'!$C:$C,"&gt;="&amp;$C$2,'Full Crash Data'!$C:$C,"&lt;="&amp;$E$2,'Full Crash Data'!$AX:$AX,"Yes",'Full Crash Data'!$G:$G,$W7),COUNTIFS('Full Crash Data'!$C:$C,"&gt;="&amp;$C$2,'Full Crash Data'!$C:$C,"&lt;="&amp;$E$2,'Full Crash Data'!$AX:$AX,"Yes",'Full Crash Data'!$AN:$AN,$D$3,'Full Crash Data'!$G:$G,$W7))</f>
        <v>8</v>
      </c>
      <c r="AP7">
        <f>IF($D$3="All",SUMIFS('Full Crash Data'!$U:$U,'Full Crash Data'!$C:$C,"&gt;="&amp;$C$2,'Full Crash Data'!$C:$C,"&lt;="&amp;$E$2,'Full Crash Data'!$AX:$AX,"Yes",'Full Crash Data'!$G:$G,$W7),SUMIFS('Full Crash Data'!$U:$U,'Full Crash Data'!$C:$C,"&gt;="&amp;$C$2,'Full Crash Data'!$C:$C,"&lt;="&amp;$E$2,'Full Crash Data'!$AX:$AX,"Yes",'Full Crash Data'!$AN:$AN,$D$3,'Full Crash Data'!$G:$G,$W7))</f>
        <v>0</v>
      </c>
      <c r="AQ7">
        <f>IF($D$3="All",SUMIFS('Full Crash Data'!$V:$V,'Full Crash Data'!$C:$C,"&gt;="&amp;$C$2,'Full Crash Data'!$C:$C,"&lt;="&amp;$E$2,'Full Crash Data'!$AX:$AX,"Yes",'Full Crash Data'!$G:$G,$W7),SUMIFS('Full Crash Data'!$V:$V,'Full Crash Data'!$C:$C,"&gt;="&amp;$C$2,'Full Crash Data'!$C:$C,"&lt;="&amp;$E$2,'Full Crash Data'!$AX:$AX,"Yes",'Full Crash Data'!$AN:$AN,$D$3,'Full Crash Data'!$G:$G,$W7))</f>
        <v>0</v>
      </c>
      <c r="AR7">
        <f>_xlfn.RANK.AVG(AS7,AS$6:AS$25,0)</f>
        <v>6</v>
      </c>
      <c r="AS7">
        <f t="shared" ref="AS7:AS25" si="11">AT7+AU7*0.001+AV7*0.000001+0.00000001*$V7</f>
        <v>5.0000001000000003</v>
      </c>
      <c r="AT7">
        <f>IF($D$3="All",COUNTIFS('Full Crash Data'!$C:$C,"&gt;="&amp;$C$2,'Full Crash Data'!$C:$C,"&lt;="&amp;$E$2,'Full Crash Data'!$AX:$AX,"Yes",'Full Crash Data'!$CH:$CH,"Signal",'Full Crash Data'!$G:$G,$W7),COUNTIFS('Full Crash Data'!$C:$C,"&gt;="&amp;$C$2,'Full Crash Data'!$C:$C,"&lt;="&amp;$E$2,'Full Crash Data'!$AX:$AX,"Yes",'Full Crash Data'!$CH:$CH,"Signal",'Full Crash Data'!$AN:$AN,$D$3,'Full Crash Data'!$G:$G,$W7))</f>
        <v>5</v>
      </c>
      <c r="AU7">
        <f>IF($D$3="All",SUMIFS('Full Crash Data'!BG:BG,'Full Crash Data'!$C:$C,"&gt;="&amp;$C$2,'Full Crash Data'!$C:$C,"&lt;="&amp;$E$2,'Full Crash Data'!$AX:$AX,"Yes",'Full Crash Data'!$CH:$CH,"Signal",'Full Crash Data'!$G:$G,$W7),SUMIFS('Full Crash Data'!BG:BG,'Full Crash Data'!$C:$C,"&gt;="&amp;$C$2,'Full Crash Data'!$C:$C,"&lt;="&amp;$E$2,'Full Crash Data'!$AX:$AX,"Yes",'Full Crash Data'!$CH:$CH,"Signal",'Full Crash Data'!$AN:$AN,$D$3,'Full Crash Data'!$G:$G,$W7))</f>
        <v>0</v>
      </c>
      <c r="AV7">
        <f>IF($D$3="All",SUMIFS('Full Crash Data'!$V:$V,'Full Crash Data'!$C:$C,"&gt;="&amp;$C$2,'Full Crash Data'!$C:$C,"&lt;="&amp;$E$2,'Full Crash Data'!$AX:$AX,"Yes",'Full Crash Data'!$CH:$CH,"Signal",'Full Crash Data'!$G:$G,$W7),SUMIFS('Full Crash Data'!$V:$V,'Full Crash Data'!$C:$C,"&gt;="&amp;$C$2,'Full Crash Data'!$C:$C,"&lt;="&amp;$E$2,'Full Crash Data'!$AX:$AX,"Yes",'Full Crash Data'!$CH:$CH,"Signal",'Full Crash Data'!$AN:$AN,$D$3,'Full Crash Data'!$G:$G,$W7))</f>
        <v>0</v>
      </c>
      <c r="AW7">
        <f t="shared" ref="AW7:AW25" si="12">_xlfn.RANK.AVG(AX7,AX$6:AX$25,0)</f>
        <v>11</v>
      </c>
      <c r="AX7">
        <f t="shared" ref="AX7:AX25" si="13">AY7+AZ7*0.001+BA7*0.000001+0.00000001*$V7</f>
        <v>9.9999999999999995E-8</v>
      </c>
      <c r="AY7">
        <f>IF($D$3="All",COUNTIFS('Full Crash Data'!$C:$C,"&gt;="&amp;$C$2,'Full Crash Data'!$C:$C,"&lt;="&amp;$E$2,'Full Crash Data'!$AX:$AX,"Yes",'Full Crash Data'!$CH:$CH,"Stop Sign",'Full Crash Data'!$G:$G,$W7)+COUNTIFS('Full Crash Data'!$C:$C,"&gt;="&amp;$C$2,'Full Crash Data'!$C:$C,"&lt;="&amp;$E$2,'Full Crash Data'!$AX:$AX,"Yes",'Full Crash Data'!$CH:$CH,"Yeild Sign",'Full Crash Data'!$G:$G,$W7)+COUNTIFS('Full Crash Data'!$C:$C,"&gt;="&amp;$C$2,'Full Crash Data'!$C:$C,"&lt;="&amp;$E$2,'Full Crash Data'!$AX:$AX,"Yes",'Full Crash Data'!$CH:$CH,"Flasher",'Full Crash Data'!$G:$G,$W7),COUNTIFS('Full Crash Data'!$C:$C,"&gt;="&amp;$C$2,'Full Crash Data'!$C:$C,"&lt;="&amp;$E$2,'Full Crash Data'!$AX:$AX,"Yes",'Full Crash Data'!$CH:$CH,"Stop Sign",'Full Crash Data'!$AN:$AN,$D$3,'Full Crash Data'!$G:$G,$W7)+COUNTIFS('Full Crash Data'!$C:$C,"&gt;="&amp;$C$2,'Full Crash Data'!$C:$C,"&lt;="&amp;$E$2,'Full Crash Data'!$AX:$AX,"Yes",'Full Crash Data'!$CH:$CH,"Yeild Sign",'Full Crash Data'!$AN:$AN,$D$3,'Full Crash Data'!$G:$G,$W7)+COUNTIFS('Full Crash Data'!$C:$C,"&gt;="&amp;$C$2,'Full Crash Data'!$C:$C,"&lt;="&amp;$E$2,'Full Crash Data'!$AX:$AX,"Yes",'Full Crash Data'!$CH:$CH,"Flasher",'Full Crash Data'!$AN:$AN,$D$3,'Full Crash Data'!$G:$G,$W7))</f>
        <v>0</v>
      </c>
      <c r="AZ7">
        <f>IF($D$3="All",SUMIFS('Full Crash Data'!$U:$U,'Full Crash Data'!$C:$C,"&gt;="&amp;$C$2,'Full Crash Data'!$C:$C,"&lt;="&amp;$E$2,'Full Crash Data'!$AX:$AX,"Yes",'Full Crash Data'!$CH:$CH,"Stop Sign",'Full Crash Data'!$G:$G,$W7)+SUMIFS('Full Crash Data'!$U:$U,'Full Crash Data'!$C:$C,"&gt;="&amp;$C$2,'Full Crash Data'!$C:$C,"&lt;="&amp;$E$2,'Full Crash Data'!$AX:$AX,"Yes",'Full Crash Data'!$CH:$CH,"Yeild Sign",'Full Crash Data'!$G:$G,$W7)+SUMIFS('Full Crash Data'!$U:$U,'Full Crash Data'!$C:$C,"&gt;="&amp;$C$2,'Full Crash Data'!$C:$C,"&lt;="&amp;$E$2,'Full Crash Data'!$AX:$AX,"Yes",'Full Crash Data'!$CH:$CH,"Flasher",'Full Crash Data'!$G:$G,$W7),SUMIFS('Full Crash Data'!$U:$U,'Full Crash Data'!$C:$C,"&gt;="&amp;$C$2,'Full Crash Data'!$C:$C,"&lt;="&amp;$E$2,'Full Crash Data'!$AX:$AX,"Yes",'Full Crash Data'!$CH:$CH,"Stop Sign",'Full Crash Data'!$AN:$AN,$D$3,'Full Crash Data'!$G:$G,$W7)+SUMIFS('Full Crash Data'!$U:$U,'Full Crash Data'!$C:$C,"&gt;="&amp;$C$2,'Full Crash Data'!$C:$C,"&lt;="&amp;$E$2,'Full Crash Data'!$AX:$AX,"Yes",'Full Crash Data'!$CH:$CH,"Yeild Sign",'Full Crash Data'!$AN:$AN,$D$3,'Full Crash Data'!$G:$G,$W7)+SUMIFS('Full Crash Data'!$U:$U,'Full Crash Data'!$C:$C,"&gt;="&amp;$C$2,'Full Crash Data'!$C:$C,"&lt;="&amp;$E$2,'Full Crash Data'!$AX:$AX,"Yes",'Full Crash Data'!$CH:$CH,"Flasher",'Full Crash Data'!$AN:$AN,$D$3,'Full Crash Data'!$G:$G,$W7))</f>
        <v>0</v>
      </c>
      <c r="BA7">
        <f>IF($D$3="All",SUMIFS('Full Crash Data'!$V:$V,'Full Crash Data'!$C:$C,"&gt;="&amp;$C$2,'Full Crash Data'!$C:$C,"&lt;="&amp;$E$2,'Full Crash Data'!$AX:$AX,"Yes",'Full Crash Data'!$CH:$CH,"Stop Sign",'Full Crash Data'!$G:$G,$W7)+SUMIFS('Full Crash Data'!$V:$V,'Full Crash Data'!$C:$C,"&gt;="&amp;$C$2,'Full Crash Data'!$C:$C,"&lt;="&amp;$E$2,'Full Crash Data'!$AX:$AX,"Yes",'Full Crash Data'!$CH:$CH,"Yeild Sign",'Full Crash Data'!$G:$G,$W7)+SUMIFS('Full Crash Data'!$V:$V,'Full Crash Data'!$C:$C,"&gt;="&amp;$C$2,'Full Crash Data'!$C:$C,"&lt;="&amp;$E$2,'Full Crash Data'!$AX:$AX,"Yes",'Full Crash Data'!$CH:$CH,"Flasher",'Full Crash Data'!$G:$G,$W7),SUMIFS('Full Crash Data'!$V:$V,'Full Crash Data'!$C:$C,"&gt;="&amp;$C$2,'Full Crash Data'!$C:$C,"&lt;="&amp;$E$2,'Full Crash Data'!$AX:$AX,"Yes",'Full Crash Data'!$CH:$CH,"Stop Sign",'Full Crash Data'!$AN:$AN,$D$3,'Full Crash Data'!$G:$G,$W7)+SUMIFS('Full Crash Data'!$V:$V,'Full Crash Data'!$C:$C,"&gt;="&amp;$C$2,'Full Crash Data'!$C:$C,"&lt;="&amp;$E$2,'Full Crash Data'!$AX:$AX,"Yes",'Full Crash Data'!$CH:$CH,"Yeild Sign",'Full Crash Data'!$AN:$AN,$D$3,'Full Crash Data'!$G:$G,$W7)+SUMIFS('Full Crash Data'!$V:$V,'Full Crash Data'!$C:$C,"&gt;="&amp;$C$2,'Full Crash Data'!$C:$C,"&lt;="&amp;$E$2,'Full Crash Data'!$AX:$AX,"Yes",'Full Crash Data'!$CH:$CH,"Flasher",'Full Crash Data'!$AN:$AN,$D$3,'Full Crash Data'!$G:$G,$W7))</f>
        <v>0</v>
      </c>
      <c r="BB7">
        <f t="shared" ref="BB7:BB25" si="14">_xlfn.RANK.AVG(BC7,BC$6:BC$25,0)</f>
        <v>7</v>
      </c>
      <c r="BC7">
        <f t="shared" ref="BC7:BC25" si="15">BD7+BE7*0.001+BF7*0.000001+0.00000001*$V7</f>
        <v>3.0000000999999998</v>
      </c>
      <c r="BD7">
        <f t="shared" ref="BD7:BD25" si="16">AO7-AT7-AY7</f>
        <v>3</v>
      </c>
      <c r="BE7">
        <f t="shared" ref="BE7:BE25" si="17">AP7-AU7-AZ7</f>
        <v>0</v>
      </c>
      <c r="BF7">
        <f t="shared" ref="BF7:BF25" si="18">AQ7-AV7-BA7</f>
        <v>0</v>
      </c>
      <c r="BG7" t="s">
        <v>438</v>
      </c>
    </row>
    <row r="8" spans="1:59" x14ac:dyDescent="0.15">
      <c r="D8" s="387"/>
      <c r="F8" s="385" t="s">
        <v>1172</v>
      </c>
      <c r="G8" s="396">
        <f>IF($D$3="All",SUMIFS('Full Crash Data'!$V:$V,'Full Crash Data'!$C:$C,"&gt;="&amp;$C$2,'Full Crash Data'!$C:$C,"&lt;="&amp;$E$2),SUMIFS('Full Crash Data'!$V:$V,'Full Crash Data'!$C:$C,"&gt;="&amp;$C$2,'Full Crash Data'!$C:$C,"&lt;="&amp;$E$2,'Full Crash Data'!$AN:$AN,$D$3))</f>
        <v>9</v>
      </c>
      <c r="I8" s="391"/>
      <c r="V8">
        <v>19</v>
      </c>
      <c r="W8" t="s">
        <v>390</v>
      </c>
      <c r="X8">
        <f t="shared" si="0"/>
        <v>2</v>
      </c>
      <c r="Y8">
        <f t="shared" si="1"/>
        <v>19.000000190000002</v>
      </c>
      <c r="Z8">
        <f>IF($D$3="All",COUNTIFS('Full Crash Data'!$C:$C,"&gt;="&amp;$C$2,'Full Crash Data'!$C:$C,"&lt;="&amp;$E$2,'Full Crash Data'!$G:$G,$W8,'Full Crash Data'!$AX:$AX,"No"),COUNTIFS('Full Crash Data'!$C:$C,"&gt;="&amp;$C$2,'Full Crash Data'!$C:$C,"&lt;="&amp;$E$2,'Full Crash Data'!$AN:$AN,$D$3,'Full Crash Data'!$G:$G,$W8,'Full Crash Data'!$AX:$AX,"No"))</f>
        <v>19</v>
      </c>
      <c r="AA8">
        <f>IF($D$3="All",SUMIFS('Full Crash Data'!$U:$U,'Full Crash Data'!$C:$C,"&gt;="&amp;$C$2,'Full Crash Data'!$C:$C,"&lt;="&amp;$E$2,'Full Crash Data'!$G:$G,$W8,'Full Crash Data'!$AX:$AX,"No"),SUMIFS('Full Crash Data'!$U:$U,'Full Crash Data'!$C:$C,"&gt;="&amp;$C$2,'Full Crash Data'!$C:$C,"&lt;="&amp;$E$2,'Full Crash Data'!$AN:$AN,$D$3,'Full Crash Data'!$G:$G,$W8,'Full Crash Data'!$AX:$AX,"No"))</f>
        <v>0</v>
      </c>
      <c r="AB8">
        <f>IF($D$3="All",SUMIFS('Full Crash Data'!$V:$V,'Full Crash Data'!$C:$C,"&gt;="&amp;$C$2,'Full Crash Data'!$C:$C,"&lt;="&amp;$E$2,'Full Crash Data'!$G:$G,$W8,'Full Crash Data'!$AX:$AX,"No"),SUMIFS('Full Crash Data'!$V:$V,'Full Crash Data'!$C:$C,"&gt;="&amp;$C$2,'Full Crash Data'!$C:$C,"&lt;="&amp;$E$2,'Full Crash Data'!$AN:$AN,$D$3,'Full Crash Data'!$G:$G,$W8,'Full Crash Data'!$AX:$AX,"No"))</f>
        <v>0</v>
      </c>
      <c r="AC8">
        <f t="shared" si="2"/>
        <v>4</v>
      </c>
      <c r="AD8">
        <f t="shared" si="3"/>
        <v>1.00000019</v>
      </c>
      <c r="AE8">
        <f>IF($D$3="All",COUNTIFS('Full Crash Data'!$C:$C,"&gt;="&amp;$C$2,'Full Crash Data'!$C:$C,"&lt;="&amp;$E$2,'Full Crash Data'!$AX:$AX,"No",'Full Crash Data'!$AW:$AW,"Yes",'Full Crash Data'!$G:$G,$W8),COUNTIFS('Full Crash Data'!$C:$C,"&gt;="&amp;$C$2,'Full Crash Data'!$C:$C,"&lt;="&amp;$E$2,'Full Crash Data'!$AX:$AX,"No",'Full Crash Data'!$AW:$AW,"Yes",'Full Crash Data'!$AN:$AN,$D$3,'Full Crash Data'!$G:$G,$W8))</f>
        <v>1</v>
      </c>
      <c r="AF8">
        <f>IF($D$3="All",SUMIFS('Full Crash Data'!$U:$U,'Full Crash Data'!$C:$C,"&gt;="&amp;$C$2,'Full Crash Data'!$C:$C,"&lt;="&amp;$E$2,'Full Crash Data'!$AX:$AX,"No",'Full Crash Data'!$AW:$AW,"Yes",'Full Crash Data'!$G:$G,$W8),SUMIFS('Full Crash Data'!$U:$U,'Full Crash Data'!$C:$C,"&gt;="&amp;$C$2,'Full Crash Data'!$C:$C,"&lt;="&amp;$E$2,'Full Crash Data'!$AX:$AX,"No",'Full Crash Data'!$AW:$AW,"Yes",'Full Crash Data'!$AN:$AN,$D$3,'Full Crash Data'!$G:$G,$W8))</f>
        <v>0</v>
      </c>
      <c r="AG8">
        <f>IF($D$3="All",SUMIFS('Full Crash Data'!$V:$V,'Full Crash Data'!$C:$C,"&gt;="&amp;$C$2,'Full Crash Data'!$C:$C,"&lt;="&amp;$E$2,'Full Crash Data'!$AX:$AX,"No",'Full Crash Data'!$AW:$AW,"Yes",'Full Crash Data'!$G:$G,$W8),SUMIFS('Full Crash Data'!$V:$V,'Full Crash Data'!$C:$C,"&gt;="&amp;$C$2,'Full Crash Data'!$C:$C,"&lt;="&amp;$E$2,'Full Crash Data'!$AX:$AX,"No",'Full Crash Data'!$AW:$AW,"Yes",'Full Crash Data'!$AN:$AN,$D$3,'Full Crash Data'!$G:$G,$W8))</f>
        <v>0</v>
      </c>
      <c r="AH8">
        <f t="shared" si="4"/>
        <v>2</v>
      </c>
      <c r="AI8">
        <f t="shared" si="5"/>
        <v>18.000000190000002</v>
      </c>
      <c r="AJ8">
        <f t="shared" si="6"/>
        <v>18</v>
      </c>
      <c r="AK8">
        <f t="shared" si="7"/>
        <v>0</v>
      </c>
      <c r="AL8">
        <f t="shared" si="8"/>
        <v>0</v>
      </c>
      <c r="AM8">
        <f t="shared" si="9"/>
        <v>2</v>
      </c>
      <c r="AN8">
        <f t="shared" si="10"/>
        <v>41.000000190000002</v>
      </c>
      <c r="AO8">
        <f>IF($D$3="All",COUNTIFS('Full Crash Data'!$C:$C,"&gt;="&amp;$C$2,'Full Crash Data'!$C:$C,"&lt;="&amp;$E$2,'Full Crash Data'!$AX:$AX,"Yes",'Full Crash Data'!$G:$G,$W8),COUNTIFS('Full Crash Data'!$C:$C,"&gt;="&amp;$C$2,'Full Crash Data'!$C:$C,"&lt;="&amp;$E$2,'Full Crash Data'!$AX:$AX,"Yes",'Full Crash Data'!$AN:$AN,$D$3,'Full Crash Data'!$G:$G,$W8))</f>
        <v>41</v>
      </c>
      <c r="AP8">
        <f>IF($D$3="All",SUMIFS('Full Crash Data'!$U:$U,'Full Crash Data'!$C:$C,"&gt;="&amp;$C$2,'Full Crash Data'!$C:$C,"&lt;="&amp;$E$2,'Full Crash Data'!$AX:$AX,"Yes",'Full Crash Data'!$G:$G,$W8),SUMIFS('Full Crash Data'!$U:$U,'Full Crash Data'!$C:$C,"&gt;="&amp;$C$2,'Full Crash Data'!$C:$C,"&lt;="&amp;$E$2,'Full Crash Data'!$AX:$AX,"Yes",'Full Crash Data'!$AN:$AN,$D$3,'Full Crash Data'!$G:$G,$W8))</f>
        <v>0</v>
      </c>
      <c r="AQ8">
        <f>IF($D$3="All",SUMIFS('Full Crash Data'!$V:$V,'Full Crash Data'!$C:$C,"&gt;="&amp;$C$2,'Full Crash Data'!$C:$C,"&lt;="&amp;$E$2,'Full Crash Data'!$AX:$AX,"Yes",'Full Crash Data'!$G:$G,$W8),SUMIFS('Full Crash Data'!$V:$V,'Full Crash Data'!$C:$C,"&gt;="&amp;$C$2,'Full Crash Data'!$C:$C,"&lt;="&amp;$E$2,'Full Crash Data'!$AX:$AX,"Yes",'Full Crash Data'!$AN:$AN,$D$3,'Full Crash Data'!$G:$G,$W8))</f>
        <v>0</v>
      </c>
      <c r="AR8">
        <f t="shared" ref="AR8:AR25" si="19">_xlfn.RANK.AVG(AS8,AS$6:AS$25,0)</f>
        <v>1</v>
      </c>
      <c r="AS8">
        <f t="shared" si="11"/>
        <v>28.000000190000002</v>
      </c>
      <c r="AT8">
        <f>IF($D$3="All",COUNTIFS('Full Crash Data'!$C:$C,"&gt;="&amp;$C$2,'Full Crash Data'!$C:$C,"&lt;="&amp;$E$2,'Full Crash Data'!$AX:$AX,"Yes",'Full Crash Data'!$CH:$CH,"Signal",'Full Crash Data'!$G:$G,$W8),COUNTIFS('Full Crash Data'!$C:$C,"&gt;="&amp;$C$2,'Full Crash Data'!$C:$C,"&lt;="&amp;$E$2,'Full Crash Data'!$AX:$AX,"Yes",'Full Crash Data'!$CH:$CH,"Signal",'Full Crash Data'!$AN:$AN,$D$3,'Full Crash Data'!$G:$G,$W8))</f>
        <v>28</v>
      </c>
      <c r="AU8">
        <f>IF($D$3="All",SUMIFS('Full Crash Data'!BG:BG,'Full Crash Data'!$C:$C,"&gt;="&amp;$C$2,'Full Crash Data'!$C:$C,"&lt;="&amp;$E$2,'Full Crash Data'!$AX:$AX,"Yes",'Full Crash Data'!$CH:$CH,"Signal",'Full Crash Data'!$G:$G,$W8),SUMIFS('Full Crash Data'!BG:BG,'Full Crash Data'!$C:$C,"&gt;="&amp;$C$2,'Full Crash Data'!$C:$C,"&lt;="&amp;$E$2,'Full Crash Data'!$AX:$AX,"Yes",'Full Crash Data'!$CH:$CH,"Signal",'Full Crash Data'!$AN:$AN,$D$3,'Full Crash Data'!$G:$G,$W8))</f>
        <v>0</v>
      </c>
      <c r="AV8">
        <f>IF($D$3="All",SUMIFS('Full Crash Data'!$V:$V,'Full Crash Data'!$C:$C,"&gt;="&amp;$C$2,'Full Crash Data'!$C:$C,"&lt;="&amp;$E$2,'Full Crash Data'!$AX:$AX,"Yes",'Full Crash Data'!$CH:$CH,"Signal",'Full Crash Data'!$G:$G,$W8),SUMIFS('Full Crash Data'!$V:$V,'Full Crash Data'!$C:$C,"&gt;="&amp;$C$2,'Full Crash Data'!$C:$C,"&lt;="&amp;$E$2,'Full Crash Data'!$AX:$AX,"Yes",'Full Crash Data'!$CH:$CH,"Signal",'Full Crash Data'!$AN:$AN,$D$3,'Full Crash Data'!$G:$G,$W8))</f>
        <v>0</v>
      </c>
      <c r="AW8">
        <f t="shared" si="12"/>
        <v>3</v>
      </c>
      <c r="AX8">
        <f t="shared" si="13"/>
        <v>3.0000001900000002</v>
      </c>
      <c r="AY8">
        <f>IF($D$3="All",COUNTIFS('Full Crash Data'!$C:$C,"&gt;="&amp;$C$2,'Full Crash Data'!$C:$C,"&lt;="&amp;$E$2,'Full Crash Data'!$AX:$AX,"Yes",'Full Crash Data'!$CH:$CH,"Stop Sign",'Full Crash Data'!$G:$G,$W8)+COUNTIFS('Full Crash Data'!$C:$C,"&gt;="&amp;$C$2,'Full Crash Data'!$C:$C,"&lt;="&amp;$E$2,'Full Crash Data'!$AX:$AX,"Yes",'Full Crash Data'!$CH:$CH,"Yeild Sign",'Full Crash Data'!$G:$G,$W8)+COUNTIFS('Full Crash Data'!$C:$C,"&gt;="&amp;$C$2,'Full Crash Data'!$C:$C,"&lt;="&amp;$E$2,'Full Crash Data'!$AX:$AX,"Yes",'Full Crash Data'!$CH:$CH,"Flasher",'Full Crash Data'!$G:$G,$W8),COUNTIFS('Full Crash Data'!$C:$C,"&gt;="&amp;$C$2,'Full Crash Data'!$C:$C,"&lt;="&amp;$E$2,'Full Crash Data'!$AX:$AX,"Yes",'Full Crash Data'!$CH:$CH,"Stop Sign",'Full Crash Data'!$AN:$AN,$D$3,'Full Crash Data'!$G:$G,$W8)+COUNTIFS('Full Crash Data'!$C:$C,"&gt;="&amp;$C$2,'Full Crash Data'!$C:$C,"&lt;="&amp;$E$2,'Full Crash Data'!$AX:$AX,"Yes",'Full Crash Data'!$CH:$CH,"Yeild Sign",'Full Crash Data'!$AN:$AN,$D$3,'Full Crash Data'!$G:$G,$W8)+COUNTIFS('Full Crash Data'!$C:$C,"&gt;="&amp;$C$2,'Full Crash Data'!$C:$C,"&lt;="&amp;$E$2,'Full Crash Data'!$AX:$AX,"Yes",'Full Crash Data'!$CH:$CH,"Flasher",'Full Crash Data'!$AN:$AN,$D$3,'Full Crash Data'!$G:$G,$W8))</f>
        <v>3</v>
      </c>
      <c r="AZ8">
        <f>IF($D$3="All",SUMIFS('Full Crash Data'!$U:$U,'Full Crash Data'!$C:$C,"&gt;="&amp;$C$2,'Full Crash Data'!$C:$C,"&lt;="&amp;$E$2,'Full Crash Data'!$AX:$AX,"Yes",'Full Crash Data'!$CH:$CH,"Stop Sign",'Full Crash Data'!$G:$G,$W8)+SUMIFS('Full Crash Data'!$U:$U,'Full Crash Data'!$C:$C,"&gt;="&amp;$C$2,'Full Crash Data'!$C:$C,"&lt;="&amp;$E$2,'Full Crash Data'!$AX:$AX,"Yes",'Full Crash Data'!$CH:$CH,"Yeild Sign",'Full Crash Data'!$G:$G,$W8)+SUMIFS('Full Crash Data'!$U:$U,'Full Crash Data'!$C:$C,"&gt;="&amp;$C$2,'Full Crash Data'!$C:$C,"&lt;="&amp;$E$2,'Full Crash Data'!$AX:$AX,"Yes",'Full Crash Data'!$CH:$CH,"Flasher",'Full Crash Data'!$G:$G,$W8),SUMIFS('Full Crash Data'!$U:$U,'Full Crash Data'!$C:$C,"&gt;="&amp;$C$2,'Full Crash Data'!$C:$C,"&lt;="&amp;$E$2,'Full Crash Data'!$AX:$AX,"Yes",'Full Crash Data'!$CH:$CH,"Stop Sign",'Full Crash Data'!$AN:$AN,$D$3,'Full Crash Data'!$G:$G,$W8)+SUMIFS('Full Crash Data'!$U:$U,'Full Crash Data'!$C:$C,"&gt;="&amp;$C$2,'Full Crash Data'!$C:$C,"&lt;="&amp;$E$2,'Full Crash Data'!$AX:$AX,"Yes",'Full Crash Data'!$CH:$CH,"Yeild Sign",'Full Crash Data'!$AN:$AN,$D$3,'Full Crash Data'!$G:$G,$W8)+SUMIFS('Full Crash Data'!$U:$U,'Full Crash Data'!$C:$C,"&gt;="&amp;$C$2,'Full Crash Data'!$C:$C,"&lt;="&amp;$E$2,'Full Crash Data'!$AX:$AX,"Yes",'Full Crash Data'!$CH:$CH,"Flasher",'Full Crash Data'!$AN:$AN,$D$3,'Full Crash Data'!$G:$G,$W8))</f>
        <v>0</v>
      </c>
      <c r="BA8">
        <f>IF($D$3="All",SUMIFS('Full Crash Data'!$V:$V,'Full Crash Data'!$C:$C,"&gt;="&amp;$C$2,'Full Crash Data'!$C:$C,"&lt;="&amp;$E$2,'Full Crash Data'!$AX:$AX,"Yes",'Full Crash Data'!$CH:$CH,"Stop Sign",'Full Crash Data'!$G:$G,$W8)+SUMIFS('Full Crash Data'!$V:$V,'Full Crash Data'!$C:$C,"&gt;="&amp;$C$2,'Full Crash Data'!$C:$C,"&lt;="&amp;$E$2,'Full Crash Data'!$AX:$AX,"Yes",'Full Crash Data'!$CH:$CH,"Yeild Sign",'Full Crash Data'!$G:$G,$W8)+SUMIFS('Full Crash Data'!$V:$V,'Full Crash Data'!$C:$C,"&gt;="&amp;$C$2,'Full Crash Data'!$C:$C,"&lt;="&amp;$E$2,'Full Crash Data'!$AX:$AX,"Yes",'Full Crash Data'!$CH:$CH,"Flasher",'Full Crash Data'!$G:$G,$W8),SUMIFS('Full Crash Data'!$V:$V,'Full Crash Data'!$C:$C,"&gt;="&amp;$C$2,'Full Crash Data'!$C:$C,"&lt;="&amp;$E$2,'Full Crash Data'!$AX:$AX,"Yes",'Full Crash Data'!$CH:$CH,"Stop Sign",'Full Crash Data'!$AN:$AN,$D$3,'Full Crash Data'!$G:$G,$W8)+SUMIFS('Full Crash Data'!$V:$V,'Full Crash Data'!$C:$C,"&gt;="&amp;$C$2,'Full Crash Data'!$C:$C,"&lt;="&amp;$E$2,'Full Crash Data'!$AX:$AX,"Yes",'Full Crash Data'!$CH:$CH,"Yeild Sign",'Full Crash Data'!$AN:$AN,$D$3,'Full Crash Data'!$G:$G,$W8)+SUMIFS('Full Crash Data'!$V:$V,'Full Crash Data'!$C:$C,"&gt;="&amp;$C$2,'Full Crash Data'!$C:$C,"&lt;="&amp;$E$2,'Full Crash Data'!$AX:$AX,"Yes",'Full Crash Data'!$CH:$CH,"Flasher",'Full Crash Data'!$AN:$AN,$D$3,'Full Crash Data'!$G:$G,$W8))</f>
        <v>0</v>
      </c>
      <c r="BB8">
        <f t="shared" si="14"/>
        <v>2</v>
      </c>
      <c r="BC8">
        <f t="shared" si="15"/>
        <v>10.00000019</v>
      </c>
      <c r="BD8">
        <f t="shared" si="16"/>
        <v>10</v>
      </c>
      <c r="BE8">
        <f t="shared" si="17"/>
        <v>0</v>
      </c>
      <c r="BF8">
        <f t="shared" si="18"/>
        <v>0</v>
      </c>
      <c r="BG8" t="s">
        <v>390</v>
      </c>
    </row>
    <row r="9" spans="1:59" x14ac:dyDescent="0.15">
      <c r="D9" s="387"/>
      <c r="I9" s="391"/>
      <c r="V9">
        <v>12</v>
      </c>
      <c r="W9" t="s">
        <v>212</v>
      </c>
      <c r="X9">
        <f t="shared" si="0"/>
        <v>9</v>
      </c>
      <c r="Y9">
        <f t="shared" si="1"/>
        <v>3.0000001200000002</v>
      </c>
      <c r="Z9">
        <f>IF($D$3="All",COUNTIFS('Full Crash Data'!$C:$C,"&gt;="&amp;$C$2,'Full Crash Data'!$C:$C,"&lt;="&amp;$E$2,'Full Crash Data'!$G:$G,$W9,'Full Crash Data'!$AX:$AX,"No"),COUNTIFS('Full Crash Data'!$C:$C,"&gt;="&amp;$C$2,'Full Crash Data'!$C:$C,"&lt;="&amp;$E$2,'Full Crash Data'!$AN:$AN,$D$3,'Full Crash Data'!$G:$G,$W9,'Full Crash Data'!$AX:$AX,"No"))</f>
        <v>3</v>
      </c>
      <c r="AA9">
        <f>IF($D$3="All",SUMIFS('Full Crash Data'!$U:$U,'Full Crash Data'!$C:$C,"&gt;="&amp;$C$2,'Full Crash Data'!$C:$C,"&lt;="&amp;$E$2,'Full Crash Data'!$G:$G,$W9,'Full Crash Data'!$AX:$AX,"No"),SUMIFS('Full Crash Data'!$U:$U,'Full Crash Data'!$C:$C,"&gt;="&amp;$C$2,'Full Crash Data'!$C:$C,"&lt;="&amp;$E$2,'Full Crash Data'!$AN:$AN,$D$3,'Full Crash Data'!$G:$G,$W9,'Full Crash Data'!$AX:$AX,"No"))</f>
        <v>0</v>
      </c>
      <c r="AB9">
        <f>IF($D$3="All",SUMIFS('Full Crash Data'!$V:$V,'Full Crash Data'!$C:$C,"&gt;="&amp;$C$2,'Full Crash Data'!$C:$C,"&lt;="&amp;$E$2,'Full Crash Data'!$G:$G,$W9,'Full Crash Data'!$AX:$AX,"No"),SUMIFS('Full Crash Data'!$V:$V,'Full Crash Data'!$C:$C,"&gt;="&amp;$C$2,'Full Crash Data'!$C:$C,"&lt;="&amp;$E$2,'Full Crash Data'!$AN:$AN,$D$3,'Full Crash Data'!$G:$G,$W9,'Full Crash Data'!$AX:$AX,"No"))</f>
        <v>0</v>
      </c>
      <c r="AC9">
        <f t="shared" si="2"/>
        <v>11</v>
      </c>
      <c r="AD9">
        <f t="shared" si="3"/>
        <v>1.2000000000000002E-7</v>
      </c>
      <c r="AE9">
        <f>IF($D$3="All",COUNTIFS('Full Crash Data'!$C:$C,"&gt;="&amp;$C$2,'Full Crash Data'!$C:$C,"&lt;="&amp;$E$2,'Full Crash Data'!$AX:$AX,"No",'Full Crash Data'!$AW:$AW,"Yes",'Full Crash Data'!$G:$G,$W9),COUNTIFS('Full Crash Data'!$C:$C,"&gt;="&amp;$C$2,'Full Crash Data'!$C:$C,"&lt;="&amp;$E$2,'Full Crash Data'!$AX:$AX,"No",'Full Crash Data'!$AW:$AW,"Yes",'Full Crash Data'!$AN:$AN,$D$3,'Full Crash Data'!$G:$G,$W9))</f>
        <v>0</v>
      </c>
      <c r="AF9">
        <f>IF($D$3="All",SUMIFS('Full Crash Data'!$U:$U,'Full Crash Data'!$C:$C,"&gt;="&amp;$C$2,'Full Crash Data'!$C:$C,"&lt;="&amp;$E$2,'Full Crash Data'!$AX:$AX,"No",'Full Crash Data'!$AW:$AW,"Yes",'Full Crash Data'!$G:$G,$W9),SUMIFS('Full Crash Data'!$U:$U,'Full Crash Data'!$C:$C,"&gt;="&amp;$C$2,'Full Crash Data'!$C:$C,"&lt;="&amp;$E$2,'Full Crash Data'!$AX:$AX,"No",'Full Crash Data'!$AW:$AW,"Yes",'Full Crash Data'!$AN:$AN,$D$3,'Full Crash Data'!$G:$G,$W9))</f>
        <v>0</v>
      </c>
      <c r="AG9">
        <f>IF($D$3="All",SUMIFS('Full Crash Data'!$V:$V,'Full Crash Data'!$C:$C,"&gt;="&amp;$C$2,'Full Crash Data'!$C:$C,"&lt;="&amp;$E$2,'Full Crash Data'!$AX:$AX,"No",'Full Crash Data'!$AW:$AW,"Yes",'Full Crash Data'!$G:$G,$W9),SUMIFS('Full Crash Data'!$V:$V,'Full Crash Data'!$C:$C,"&gt;="&amp;$C$2,'Full Crash Data'!$C:$C,"&lt;="&amp;$E$2,'Full Crash Data'!$AX:$AX,"No",'Full Crash Data'!$AW:$AW,"Yes",'Full Crash Data'!$AN:$AN,$D$3,'Full Crash Data'!$G:$G,$W9))</f>
        <v>0</v>
      </c>
      <c r="AH9">
        <f t="shared" si="4"/>
        <v>7</v>
      </c>
      <c r="AI9">
        <f t="shared" si="5"/>
        <v>3.0000001200000002</v>
      </c>
      <c r="AJ9">
        <f t="shared" si="6"/>
        <v>3</v>
      </c>
      <c r="AK9">
        <f t="shared" si="7"/>
        <v>0</v>
      </c>
      <c r="AL9">
        <f t="shared" si="8"/>
        <v>0</v>
      </c>
      <c r="AM9">
        <f t="shared" si="9"/>
        <v>7</v>
      </c>
      <c r="AN9">
        <f t="shared" si="10"/>
        <v>6.0000001200000002</v>
      </c>
      <c r="AO9">
        <f>IF($D$3="All",COUNTIFS('Full Crash Data'!$C:$C,"&gt;="&amp;$C$2,'Full Crash Data'!$C:$C,"&lt;="&amp;$E$2,'Full Crash Data'!$AX:$AX,"Yes",'Full Crash Data'!$G:$G,$W9),COUNTIFS('Full Crash Data'!$C:$C,"&gt;="&amp;$C$2,'Full Crash Data'!$C:$C,"&lt;="&amp;$E$2,'Full Crash Data'!$AX:$AX,"Yes",'Full Crash Data'!$AN:$AN,$D$3,'Full Crash Data'!$G:$G,$W9))</f>
        <v>6</v>
      </c>
      <c r="AP9">
        <f>IF($D$3="All",SUMIFS('Full Crash Data'!$U:$U,'Full Crash Data'!$C:$C,"&gt;="&amp;$C$2,'Full Crash Data'!$C:$C,"&lt;="&amp;$E$2,'Full Crash Data'!$AX:$AX,"Yes",'Full Crash Data'!$G:$G,$W9),SUMIFS('Full Crash Data'!$U:$U,'Full Crash Data'!$C:$C,"&gt;="&amp;$C$2,'Full Crash Data'!$C:$C,"&lt;="&amp;$E$2,'Full Crash Data'!$AX:$AX,"Yes",'Full Crash Data'!$AN:$AN,$D$3,'Full Crash Data'!$G:$G,$W9))</f>
        <v>0</v>
      </c>
      <c r="AQ9">
        <f>IF($D$3="All",SUMIFS('Full Crash Data'!$V:$V,'Full Crash Data'!$C:$C,"&gt;="&amp;$C$2,'Full Crash Data'!$C:$C,"&lt;="&amp;$E$2,'Full Crash Data'!$AX:$AX,"Yes",'Full Crash Data'!$G:$G,$W9),SUMIFS('Full Crash Data'!$V:$V,'Full Crash Data'!$C:$C,"&gt;="&amp;$C$2,'Full Crash Data'!$C:$C,"&lt;="&amp;$E$2,'Full Crash Data'!$AX:$AX,"Yes",'Full Crash Data'!$AN:$AN,$D$3,'Full Crash Data'!$G:$G,$W9))</f>
        <v>0</v>
      </c>
      <c r="AR9">
        <f t="shared" si="19"/>
        <v>9</v>
      </c>
      <c r="AS9">
        <f t="shared" si="11"/>
        <v>2.0000001200000002</v>
      </c>
      <c r="AT9">
        <f>IF($D$3="All",COUNTIFS('Full Crash Data'!$C:$C,"&gt;="&amp;$C$2,'Full Crash Data'!$C:$C,"&lt;="&amp;$E$2,'Full Crash Data'!$AX:$AX,"Yes",'Full Crash Data'!$CH:$CH,"Signal",'Full Crash Data'!$G:$G,$W9),COUNTIFS('Full Crash Data'!$C:$C,"&gt;="&amp;$C$2,'Full Crash Data'!$C:$C,"&lt;="&amp;$E$2,'Full Crash Data'!$AX:$AX,"Yes",'Full Crash Data'!$CH:$CH,"Signal",'Full Crash Data'!$AN:$AN,$D$3,'Full Crash Data'!$G:$G,$W9))</f>
        <v>2</v>
      </c>
      <c r="AU9">
        <f>IF($D$3="All",SUMIFS('Full Crash Data'!BG:BG,'Full Crash Data'!$C:$C,"&gt;="&amp;$C$2,'Full Crash Data'!$C:$C,"&lt;="&amp;$E$2,'Full Crash Data'!$AX:$AX,"Yes",'Full Crash Data'!$CH:$CH,"Signal",'Full Crash Data'!$G:$G,$W9),SUMIFS('Full Crash Data'!BG:BG,'Full Crash Data'!$C:$C,"&gt;="&amp;$C$2,'Full Crash Data'!$C:$C,"&lt;="&amp;$E$2,'Full Crash Data'!$AX:$AX,"Yes",'Full Crash Data'!$CH:$CH,"Signal",'Full Crash Data'!$AN:$AN,$D$3,'Full Crash Data'!$G:$G,$W9))</f>
        <v>0</v>
      </c>
      <c r="AV9">
        <f>IF($D$3="All",SUMIFS('Full Crash Data'!$V:$V,'Full Crash Data'!$C:$C,"&gt;="&amp;$C$2,'Full Crash Data'!$C:$C,"&lt;="&amp;$E$2,'Full Crash Data'!$AX:$AX,"Yes",'Full Crash Data'!$CH:$CH,"Signal",'Full Crash Data'!$G:$G,$W9),SUMIFS('Full Crash Data'!$V:$V,'Full Crash Data'!$C:$C,"&gt;="&amp;$C$2,'Full Crash Data'!$C:$C,"&lt;="&amp;$E$2,'Full Crash Data'!$AX:$AX,"Yes",'Full Crash Data'!$CH:$CH,"Signal",'Full Crash Data'!$AN:$AN,$D$3,'Full Crash Data'!$G:$G,$W9))</f>
        <v>0</v>
      </c>
      <c r="AW9">
        <f t="shared" si="12"/>
        <v>5</v>
      </c>
      <c r="AX9">
        <f t="shared" si="13"/>
        <v>1.0000001199999999</v>
      </c>
      <c r="AY9">
        <f>IF($D$3="All",COUNTIFS('Full Crash Data'!$C:$C,"&gt;="&amp;$C$2,'Full Crash Data'!$C:$C,"&lt;="&amp;$E$2,'Full Crash Data'!$AX:$AX,"Yes",'Full Crash Data'!$CH:$CH,"Stop Sign",'Full Crash Data'!$G:$G,$W9)+COUNTIFS('Full Crash Data'!$C:$C,"&gt;="&amp;$C$2,'Full Crash Data'!$C:$C,"&lt;="&amp;$E$2,'Full Crash Data'!$AX:$AX,"Yes",'Full Crash Data'!$CH:$CH,"Yeild Sign",'Full Crash Data'!$G:$G,$W9)+COUNTIFS('Full Crash Data'!$C:$C,"&gt;="&amp;$C$2,'Full Crash Data'!$C:$C,"&lt;="&amp;$E$2,'Full Crash Data'!$AX:$AX,"Yes",'Full Crash Data'!$CH:$CH,"Flasher",'Full Crash Data'!$G:$G,$W9),COUNTIFS('Full Crash Data'!$C:$C,"&gt;="&amp;$C$2,'Full Crash Data'!$C:$C,"&lt;="&amp;$E$2,'Full Crash Data'!$AX:$AX,"Yes",'Full Crash Data'!$CH:$CH,"Stop Sign",'Full Crash Data'!$AN:$AN,$D$3,'Full Crash Data'!$G:$G,$W9)+COUNTIFS('Full Crash Data'!$C:$C,"&gt;="&amp;$C$2,'Full Crash Data'!$C:$C,"&lt;="&amp;$E$2,'Full Crash Data'!$AX:$AX,"Yes",'Full Crash Data'!$CH:$CH,"Yeild Sign",'Full Crash Data'!$AN:$AN,$D$3,'Full Crash Data'!$G:$G,$W9)+COUNTIFS('Full Crash Data'!$C:$C,"&gt;="&amp;$C$2,'Full Crash Data'!$C:$C,"&lt;="&amp;$E$2,'Full Crash Data'!$AX:$AX,"Yes",'Full Crash Data'!$CH:$CH,"Flasher",'Full Crash Data'!$AN:$AN,$D$3,'Full Crash Data'!$G:$G,$W9))</f>
        <v>1</v>
      </c>
      <c r="AZ9">
        <f>IF($D$3="All",SUMIFS('Full Crash Data'!$U:$U,'Full Crash Data'!$C:$C,"&gt;="&amp;$C$2,'Full Crash Data'!$C:$C,"&lt;="&amp;$E$2,'Full Crash Data'!$AX:$AX,"Yes",'Full Crash Data'!$CH:$CH,"Stop Sign",'Full Crash Data'!$G:$G,$W9)+SUMIFS('Full Crash Data'!$U:$U,'Full Crash Data'!$C:$C,"&gt;="&amp;$C$2,'Full Crash Data'!$C:$C,"&lt;="&amp;$E$2,'Full Crash Data'!$AX:$AX,"Yes",'Full Crash Data'!$CH:$CH,"Yeild Sign",'Full Crash Data'!$G:$G,$W9)+SUMIFS('Full Crash Data'!$U:$U,'Full Crash Data'!$C:$C,"&gt;="&amp;$C$2,'Full Crash Data'!$C:$C,"&lt;="&amp;$E$2,'Full Crash Data'!$AX:$AX,"Yes",'Full Crash Data'!$CH:$CH,"Flasher",'Full Crash Data'!$G:$G,$W9),SUMIFS('Full Crash Data'!$U:$U,'Full Crash Data'!$C:$C,"&gt;="&amp;$C$2,'Full Crash Data'!$C:$C,"&lt;="&amp;$E$2,'Full Crash Data'!$AX:$AX,"Yes",'Full Crash Data'!$CH:$CH,"Stop Sign",'Full Crash Data'!$AN:$AN,$D$3,'Full Crash Data'!$G:$G,$W9)+SUMIFS('Full Crash Data'!$U:$U,'Full Crash Data'!$C:$C,"&gt;="&amp;$C$2,'Full Crash Data'!$C:$C,"&lt;="&amp;$E$2,'Full Crash Data'!$AX:$AX,"Yes",'Full Crash Data'!$CH:$CH,"Yeild Sign",'Full Crash Data'!$AN:$AN,$D$3,'Full Crash Data'!$G:$G,$W9)+SUMIFS('Full Crash Data'!$U:$U,'Full Crash Data'!$C:$C,"&gt;="&amp;$C$2,'Full Crash Data'!$C:$C,"&lt;="&amp;$E$2,'Full Crash Data'!$AX:$AX,"Yes",'Full Crash Data'!$CH:$CH,"Flasher",'Full Crash Data'!$AN:$AN,$D$3,'Full Crash Data'!$G:$G,$W9))</f>
        <v>0</v>
      </c>
      <c r="BA9">
        <f>IF($D$3="All",SUMIFS('Full Crash Data'!$V:$V,'Full Crash Data'!$C:$C,"&gt;="&amp;$C$2,'Full Crash Data'!$C:$C,"&lt;="&amp;$E$2,'Full Crash Data'!$AX:$AX,"Yes",'Full Crash Data'!$CH:$CH,"Stop Sign",'Full Crash Data'!$G:$G,$W9)+SUMIFS('Full Crash Data'!$V:$V,'Full Crash Data'!$C:$C,"&gt;="&amp;$C$2,'Full Crash Data'!$C:$C,"&lt;="&amp;$E$2,'Full Crash Data'!$AX:$AX,"Yes",'Full Crash Data'!$CH:$CH,"Yeild Sign",'Full Crash Data'!$G:$G,$W9)+SUMIFS('Full Crash Data'!$V:$V,'Full Crash Data'!$C:$C,"&gt;="&amp;$C$2,'Full Crash Data'!$C:$C,"&lt;="&amp;$E$2,'Full Crash Data'!$AX:$AX,"Yes",'Full Crash Data'!$CH:$CH,"Flasher",'Full Crash Data'!$G:$G,$W9),SUMIFS('Full Crash Data'!$V:$V,'Full Crash Data'!$C:$C,"&gt;="&amp;$C$2,'Full Crash Data'!$C:$C,"&lt;="&amp;$E$2,'Full Crash Data'!$AX:$AX,"Yes",'Full Crash Data'!$CH:$CH,"Stop Sign",'Full Crash Data'!$AN:$AN,$D$3,'Full Crash Data'!$G:$G,$W9)+SUMIFS('Full Crash Data'!$V:$V,'Full Crash Data'!$C:$C,"&gt;="&amp;$C$2,'Full Crash Data'!$C:$C,"&lt;="&amp;$E$2,'Full Crash Data'!$AX:$AX,"Yes",'Full Crash Data'!$CH:$CH,"Yeild Sign",'Full Crash Data'!$AN:$AN,$D$3,'Full Crash Data'!$G:$G,$W9)+SUMIFS('Full Crash Data'!$V:$V,'Full Crash Data'!$C:$C,"&gt;="&amp;$C$2,'Full Crash Data'!$C:$C,"&lt;="&amp;$E$2,'Full Crash Data'!$AX:$AX,"Yes",'Full Crash Data'!$CH:$CH,"Flasher",'Full Crash Data'!$AN:$AN,$D$3,'Full Crash Data'!$G:$G,$W9))</f>
        <v>0</v>
      </c>
      <c r="BB9">
        <f t="shared" si="14"/>
        <v>6</v>
      </c>
      <c r="BC9">
        <f t="shared" si="15"/>
        <v>3.0000001200000002</v>
      </c>
      <c r="BD9">
        <f t="shared" si="16"/>
        <v>3</v>
      </c>
      <c r="BE9">
        <f t="shared" si="17"/>
        <v>0</v>
      </c>
      <c r="BF9">
        <f t="shared" si="18"/>
        <v>0</v>
      </c>
      <c r="BG9" t="s">
        <v>212</v>
      </c>
    </row>
    <row r="10" spans="1:59" x14ac:dyDescent="0.15">
      <c r="C10" s="681" t="s">
        <v>6081</v>
      </c>
      <c r="D10" s="681"/>
      <c r="I10" s="681" t="s">
        <v>221</v>
      </c>
      <c r="J10" s="681"/>
      <c r="V10">
        <v>9</v>
      </c>
      <c r="W10" t="s">
        <v>419</v>
      </c>
      <c r="X10">
        <f t="shared" si="0"/>
        <v>15</v>
      </c>
      <c r="Y10">
        <f t="shared" si="1"/>
        <v>8.9999999999999999E-8</v>
      </c>
      <c r="Z10">
        <f>IF($D$3="All",COUNTIFS('Full Crash Data'!$C:$C,"&gt;="&amp;$C$2,'Full Crash Data'!$C:$C,"&lt;="&amp;$E$2,'Full Crash Data'!$G:$G,$W10,'Full Crash Data'!$AX:$AX,"No"),COUNTIFS('Full Crash Data'!$C:$C,"&gt;="&amp;$C$2,'Full Crash Data'!$C:$C,"&lt;="&amp;$E$2,'Full Crash Data'!$AN:$AN,$D$3,'Full Crash Data'!$G:$G,$W10,'Full Crash Data'!$AX:$AX,"No"))</f>
        <v>0</v>
      </c>
      <c r="AA10">
        <f>IF($D$3="All",SUMIFS('Full Crash Data'!$U:$U,'Full Crash Data'!$C:$C,"&gt;="&amp;$C$2,'Full Crash Data'!$C:$C,"&lt;="&amp;$E$2,'Full Crash Data'!$G:$G,$W10,'Full Crash Data'!$AX:$AX,"No"),SUMIFS('Full Crash Data'!$U:$U,'Full Crash Data'!$C:$C,"&gt;="&amp;$C$2,'Full Crash Data'!$C:$C,"&lt;="&amp;$E$2,'Full Crash Data'!$AN:$AN,$D$3,'Full Crash Data'!$G:$G,$W10,'Full Crash Data'!$AX:$AX,"No"))</f>
        <v>0</v>
      </c>
      <c r="AB10">
        <f>IF($D$3="All",SUMIFS('Full Crash Data'!$V:$V,'Full Crash Data'!$C:$C,"&gt;="&amp;$C$2,'Full Crash Data'!$C:$C,"&lt;="&amp;$E$2,'Full Crash Data'!$G:$G,$W10,'Full Crash Data'!$AX:$AX,"No"),SUMIFS('Full Crash Data'!$V:$V,'Full Crash Data'!$C:$C,"&gt;="&amp;$C$2,'Full Crash Data'!$C:$C,"&lt;="&amp;$E$2,'Full Crash Data'!$AN:$AN,$D$3,'Full Crash Data'!$G:$G,$W10,'Full Crash Data'!$AX:$AX,"No"))</f>
        <v>0</v>
      </c>
      <c r="AC10">
        <f t="shared" si="2"/>
        <v>12</v>
      </c>
      <c r="AD10">
        <f t="shared" si="3"/>
        <v>8.9999999999999999E-8</v>
      </c>
      <c r="AE10">
        <f>IF($D$3="All",COUNTIFS('Full Crash Data'!$C:$C,"&gt;="&amp;$C$2,'Full Crash Data'!$C:$C,"&lt;="&amp;$E$2,'Full Crash Data'!$AX:$AX,"No",'Full Crash Data'!$AW:$AW,"Yes",'Full Crash Data'!$G:$G,$W10),COUNTIFS('Full Crash Data'!$C:$C,"&gt;="&amp;$C$2,'Full Crash Data'!$C:$C,"&lt;="&amp;$E$2,'Full Crash Data'!$AX:$AX,"No",'Full Crash Data'!$AW:$AW,"Yes",'Full Crash Data'!$AN:$AN,$D$3,'Full Crash Data'!$G:$G,$W10))</f>
        <v>0</v>
      </c>
      <c r="AF10">
        <f>IF($D$3="All",SUMIFS('Full Crash Data'!$U:$U,'Full Crash Data'!$C:$C,"&gt;="&amp;$C$2,'Full Crash Data'!$C:$C,"&lt;="&amp;$E$2,'Full Crash Data'!$AX:$AX,"No",'Full Crash Data'!$AW:$AW,"Yes",'Full Crash Data'!$G:$G,$W10),SUMIFS('Full Crash Data'!$U:$U,'Full Crash Data'!$C:$C,"&gt;="&amp;$C$2,'Full Crash Data'!$C:$C,"&lt;="&amp;$E$2,'Full Crash Data'!$AX:$AX,"No",'Full Crash Data'!$AW:$AW,"Yes",'Full Crash Data'!$AN:$AN,$D$3,'Full Crash Data'!$G:$G,$W10))</f>
        <v>0</v>
      </c>
      <c r="AG10">
        <f>IF($D$3="All",SUMIFS('Full Crash Data'!$V:$V,'Full Crash Data'!$C:$C,"&gt;="&amp;$C$2,'Full Crash Data'!$C:$C,"&lt;="&amp;$E$2,'Full Crash Data'!$AX:$AX,"No",'Full Crash Data'!$AW:$AW,"Yes",'Full Crash Data'!$G:$G,$W10),SUMIFS('Full Crash Data'!$V:$V,'Full Crash Data'!$C:$C,"&gt;="&amp;$C$2,'Full Crash Data'!$C:$C,"&lt;="&amp;$E$2,'Full Crash Data'!$AX:$AX,"No",'Full Crash Data'!$AW:$AW,"Yes",'Full Crash Data'!$AN:$AN,$D$3,'Full Crash Data'!$G:$G,$W10))</f>
        <v>0</v>
      </c>
      <c r="AH10">
        <f t="shared" si="4"/>
        <v>14</v>
      </c>
      <c r="AI10">
        <f t="shared" si="5"/>
        <v>8.9999999999999999E-8</v>
      </c>
      <c r="AJ10">
        <f t="shared" si="6"/>
        <v>0</v>
      </c>
      <c r="AK10">
        <f t="shared" si="7"/>
        <v>0</v>
      </c>
      <c r="AL10">
        <f t="shared" si="8"/>
        <v>0</v>
      </c>
      <c r="AM10">
        <f t="shared" si="9"/>
        <v>14</v>
      </c>
      <c r="AN10">
        <f t="shared" si="10"/>
        <v>8.9999999999999999E-8</v>
      </c>
      <c r="AO10">
        <f>IF($D$3="All",COUNTIFS('Full Crash Data'!$C:$C,"&gt;="&amp;$C$2,'Full Crash Data'!$C:$C,"&lt;="&amp;$E$2,'Full Crash Data'!$AX:$AX,"Yes",'Full Crash Data'!$G:$G,$W10),COUNTIFS('Full Crash Data'!$C:$C,"&gt;="&amp;$C$2,'Full Crash Data'!$C:$C,"&lt;="&amp;$E$2,'Full Crash Data'!$AX:$AX,"Yes",'Full Crash Data'!$AN:$AN,$D$3,'Full Crash Data'!$G:$G,$W10))</f>
        <v>0</v>
      </c>
      <c r="AP10">
        <f>IF($D$3="All",SUMIFS('Full Crash Data'!$U:$U,'Full Crash Data'!$C:$C,"&gt;="&amp;$C$2,'Full Crash Data'!$C:$C,"&lt;="&amp;$E$2,'Full Crash Data'!$AX:$AX,"Yes",'Full Crash Data'!$G:$G,$W10),SUMIFS('Full Crash Data'!$U:$U,'Full Crash Data'!$C:$C,"&gt;="&amp;$C$2,'Full Crash Data'!$C:$C,"&lt;="&amp;$E$2,'Full Crash Data'!$AX:$AX,"Yes",'Full Crash Data'!$AN:$AN,$D$3,'Full Crash Data'!$G:$G,$W10))</f>
        <v>0</v>
      </c>
      <c r="AQ10">
        <f>IF($D$3="All",SUMIFS('Full Crash Data'!$V:$V,'Full Crash Data'!$C:$C,"&gt;="&amp;$C$2,'Full Crash Data'!$C:$C,"&lt;="&amp;$E$2,'Full Crash Data'!$AX:$AX,"Yes",'Full Crash Data'!$G:$G,$W10),SUMIFS('Full Crash Data'!$V:$V,'Full Crash Data'!$C:$C,"&gt;="&amp;$C$2,'Full Crash Data'!$C:$C,"&lt;="&amp;$E$2,'Full Crash Data'!$AX:$AX,"Yes",'Full Crash Data'!$AN:$AN,$D$3,'Full Crash Data'!$G:$G,$W10))</f>
        <v>0</v>
      </c>
      <c r="AR10">
        <f t="shared" si="19"/>
        <v>14</v>
      </c>
      <c r="AS10">
        <f t="shared" si="11"/>
        <v>8.9999999999999999E-8</v>
      </c>
      <c r="AT10">
        <f>IF($D$3="All",COUNTIFS('Full Crash Data'!$C:$C,"&gt;="&amp;$C$2,'Full Crash Data'!$C:$C,"&lt;="&amp;$E$2,'Full Crash Data'!$AX:$AX,"Yes",'Full Crash Data'!$CH:$CH,"Signal",'Full Crash Data'!$G:$G,$W10),COUNTIFS('Full Crash Data'!$C:$C,"&gt;="&amp;$C$2,'Full Crash Data'!$C:$C,"&lt;="&amp;$E$2,'Full Crash Data'!$AX:$AX,"Yes",'Full Crash Data'!$CH:$CH,"Signal",'Full Crash Data'!$AN:$AN,$D$3,'Full Crash Data'!$G:$G,$W10))</f>
        <v>0</v>
      </c>
      <c r="AU10">
        <f>IF($D$3="All",SUMIFS('Full Crash Data'!BG:BG,'Full Crash Data'!$C:$C,"&gt;="&amp;$C$2,'Full Crash Data'!$C:$C,"&lt;="&amp;$E$2,'Full Crash Data'!$AX:$AX,"Yes",'Full Crash Data'!$CH:$CH,"Signal",'Full Crash Data'!$G:$G,$W10),SUMIFS('Full Crash Data'!BG:BG,'Full Crash Data'!$C:$C,"&gt;="&amp;$C$2,'Full Crash Data'!$C:$C,"&lt;="&amp;$E$2,'Full Crash Data'!$AX:$AX,"Yes",'Full Crash Data'!$CH:$CH,"Signal",'Full Crash Data'!$AN:$AN,$D$3,'Full Crash Data'!$G:$G,$W10))</f>
        <v>0</v>
      </c>
      <c r="AV10">
        <f>IF($D$3="All",SUMIFS('Full Crash Data'!$V:$V,'Full Crash Data'!$C:$C,"&gt;="&amp;$C$2,'Full Crash Data'!$C:$C,"&lt;="&amp;$E$2,'Full Crash Data'!$AX:$AX,"Yes",'Full Crash Data'!$CH:$CH,"Signal",'Full Crash Data'!$G:$G,$W10),SUMIFS('Full Crash Data'!$V:$V,'Full Crash Data'!$C:$C,"&gt;="&amp;$C$2,'Full Crash Data'!$C:$C,"&lt;="&amp;$E$2,'Full Crash Data'!$AX:$AX,"Yes",'Full Crash Data'!$CH:$CH,"Signal",'Full Crash Data'!$AN:$AN,$D$3,'Full Crash Data'!$G:$G,$W10))</f>
        <v>0</v>
      </c>
      <c r="AW10">
        <f t="shared" si="12"/>
        <v>12</v>
      </c>
      <c r="AX10">
        <f t="shared" si="13"/>
        <v>8.9999999999999999E-8</v>
      </c>
      <c r="AY10">
        <f>IF($D$3="All",COUNTIFS('Full Crash Data'!$C:$C,"&gt;="&amp;$C$2,'Full Crash Data'!$C:$C,"&lt;="&amp;$E$2,'Full Crash Data'!$AX:$AX,"Yes",'Full Crash Data'!$CH:$CH,"Stop Sign",'Full Crash Data'!$G:$G,$W10)+COUNTIFS('Full Crash Data'!$C:$C,"&gt;="&amp;$C$2,'Full Crash Data'!$C:$C,"&lt;="&amp;$E$2,'Full Crash Data'!$AX:$AX,"Yes",'Full Crash Data'!$CH:$CH,"Yeild Sign",'Full Crash Data'!$G:$G,$W10)+COUNTIFS('Full Crash Data'!$C:$C,"&gt;="&amp;$C$2,'Full Crash Data'!$C:$C,"&lt;="&amp;$E$2,'Full Crash Data'!$AX:$AX,"Yes",'Full Crash Data'!$CH:$CH,"Flasher",'Full Crash Data'!$G:$G,$W10),COUNTIFS('Full Crash Data'!$C:$C,"&gt;="&amp;$C$2,'Full Crash Data'!$C:$C,"&lt;="&amp;$E$2,'Full Crash Data'!$AX:$AX,"Yes",'Full Crash Data'!$CH:$CH,"Stop Sign",'Full Crash Data'!$AN:$AN,$D$3,'Full Crash Data'!$G:$G,$W10)+COUNTIFS('Full Crash Data'!$C:$C,"&gt;="&amp;$C$2,'Full Crash Data'!$C:$C,"&lt;="&amp;$E$2,'Full Crash Data'!$AX:$AX,"Yes",'Full Crash Data'!$CH:$CH,"Yeild Sign",'Full Crash Data'!$AN:$AN,$D$3,'Full Crash Data'!$G:$G,$W10)+COUNTIFS('Full Crash Data'!$C:$C,"&gt;="&amp;$C$2,'Full Crash Data'!$C:$C,"&lt;="&amp;$E$2,'Full Crash Data'!$AX:$AX,"Yes",'Full Crash Data'!$CH:$CH,"Flasher",'Full Crash Data'!$AN:$AN,$D$3,'Full Crash Data'!$G:$G,$W10))</f>
        <v>0</v>
      </c>
      <c r="AZ10">
        <f>IF($D$3="All",SUMIFS('Full Crash Data'!$U:$U,'Full Crash Data'!$C:$C,"&gt;="&amp;$C$2,'Full Crash Data'!$C:$C,"&lt;="&amp;$E$2,'Full Crash Data'!$AX:$AX,"Yes",'Full Crash Data'!$CH:$CH,"Stop Sign",'Full Crash Data'!$G:$G,$W10)+SUMIFS('Full Crash Data'!$U:$U,'Full Crash Data'!$C:$C,"&gt;="&amp;$C$2,'Full Crash Data'!$C:$C,"&lt;="&amp;$E$2,'Full Crash Data'!$AX:$AX,"Yes",'Full Crash Data'!$CH:$CH,"Yeild Sign",'Full Crash Data'!$G:$G,$W10)+SUMIFS('Full Crash Data'!$U:$U,'Full Crash Data'!$C:$C,"&gt;="&amp;$C$2,'Full Crash Data'!$C:$C,"&lt;="&amp;$E$2,'Full Crash Data'!$AX:$AX,"Yes",'Full Crash Data'!$CH:$CH,"Flasher",'Full Crash Data'!$G:$G,$W10),SUMIFS('Full Crash Data'!$U:$U,'Full Crash Data'!$C:$C,"&gt;="&amp;$C$2,'Full Crash Data'!$C:$C,"&lt;="&amp;$E$2,'Full Crash Data'!$AX:$AX,"Yes",'Full Crash Data'!$CH:$CH,"Stop Sign",'Full Crash Data'!$AN:$AN,$D$3,'Full Crash Data'!$G:$G,$W10)+SUMIFS('Full Crash Data'!$U:$U,'Full Crash Data'!$C:$C,"&gt;="&amp;$C$2,'Full Crash Data'!$C:$C,"&lt;="&amp;$E$2,'Full Crash Data'!$AX:$AX,"Yes",'Full Crash Data'!$CH:$CH,"Yeild Sign",'Full Crash Data'!$AN:$AN,$D$3,'Full Crash Data'!$G:$G,$W10)+SUMIFS('Full Crash Data'!$U:$U,'Full Crash Data'!$C:$C,"&gt;="&amp;$C$2,'Full Crash Data'!$C:$C,"&lt;="&amp;$E$2,'Full Crash Data'!$AX:$AX,"Yes",'Full Crash Data'!$CH:$CH,"Flasher",'Full Crash Data'!$AN:$AN,$D$3,'Full Crash Data'!$G:$G,$W10))</f>
        <v>0</v>
      </c>
      <c r="BA10">
        <f>IF($D$3="All",SUMIFS('Full Crash Data'!$V:$V,'Full Crash Data'!$C:$C,"&gt;="&amp;$C$2,'Full Crash Data'!$C:$C,"&lt;="&amp;$E$2,'Full Crash Data'!$AX:$AX,"Yes",'Full Crash Data'!$CH:$CH,"Stop Sign",'Full Crash Data'!$G:$G,$W10)+SUMIFS('Full Crash Data'!$V:$V,'Full Crash Data'!$C:$C,"&gt;="&amp;$C$2,'Full Crash Data'!$C:$C,"&lt;="&amp;$E$2,'Full Crash Data'!$AX:$AX,"Yes",'Full Crash Data'!$CH:$CH,"Yeild Sign",'Full Crash Data'!$G:$G,$W10)+SUMIFS('Full Crash Data'!$V:$V,'Full Crash Data'!$C:$C,"&gt;="&amp;$C$2,'Full Crash Data'!$C:$C,"&lt;="&amp;$E$2,'Full Crash Data'!$AX:$AX,"Yes",'Full Crash Data'!$CH:$CH,"Flasher",'Full Crash Data'!$G:$G,$W10),SUMIFS('Full Crash Data'!$V:$V,'Full Crash Data'!$C:$C,"&gt;="&amp;$C$2,'Full Crash Data'!$C:$C,"&lt;="&amp;$E$2,'Full Crash Data'!$AX:$AX,"Yes",'Full Crash Data'!$CH:$CH,"Stop Sign",'Full Crash Data'!$AN:$AN,$D$3,'Full Crash Data'!$G:$G,$W10)+SUMIFS('Full Crash Data'!$V:$V,'Full Crash Data'!$C:$C,"&gt;="&amp;$C$2,'Full Crash Data'!$C:$C,"&lt;="&amp;$E$2,'Full Crash Data'!$AX:$AX,"Yes",'Full Crash Data'!$CH:$CH,"Yeild Sign",'Full Crash Data'!$AN:$AN,$D$3,'Full Crash Data'!$G:$G,$W10)+SUMIFS('Full Crash Data'!$V:$V,'Full Crash Data'!$C:$C,"&gt;="&amp;$C$2,'Full Crash Data'!$C:$C,"&lt;="&amp;$E$2,'Full Crash Data'!$AX:$AX,"Yes",'Full Crash Data'!$CH:$CH,"Flasher",'Full Crash Data'!$AN:$AN,$D$3,'Full Crash Data'!$G:$G,$W10))</f>
        <v>0</v>
      </c>
      <c r="BB10">
        <f t="shared" si="14"/>
        <v>12</v>
      </c>
      <c r="BC10">
        <f t="shared" si="15"/>
        <v>8.9999999999999999E-8</v>
      </c>
      <c r="BD10">
        <f t="shared" si="16"/>
        <v>0</v>
      </c>
      <c r="BE10">
        <f t="shared" si="17"/>
        <v>0</v>
      </c>
      <c r="BF10">
        <f t="shared" si="18"/>
        <v>0</v>
      </c>
      <c r="BG10" t="s">
        <v>419</v>
      </c>
    </row>
    <row r="11" spans="1:59" ht="14" thickBot="1" x14ac:dyDescent="0.2">
      <c r="C11" s="385" t="s">
        <v>6085</v>
      </c>
      <c r="D11" s="396">
        <f>IF($D$3="All",COUNTIFS('Full Crash Data'!$C:$C,"&gt;="&amp;$C$2,'Full Crash Data'!$C:$C,"&lt;="&amp;$E$2,'Full Crash Data'!$AX:$AX,"No"),COUNTIFS('Full Crash Data'!$C:$C,"&gt;="&amp;$C$2,'Full Crash Data'!$C:$C,"&lt;="&amp;$E$2,'Full Crash Data'!$AX:$AX,"No",'Full Crash Data'!$AN:$AN,$D$3))</f>
        <v>119</v>
      </c>
      <c r="I11" s="385" t="s">
        <v>6085</v>
      </c>
      <c r="J11" s="396">
        <f>IF($D$3="All",COUNTIFS('Full Crash Data'!$C:$C,"&gt;="&amp;$C$2,'Full Crash Data'!$C:$C,"&lt;="&amp;$E$2,'Full Crash Data'!$AX:$AX,"Yes"),COUNTIFS('Full Crash Data'!$C:$C,"&gt;="&amp;$C$2,'Full Crash Data'!$C:$C,"&lt;="&amp;$E$2,'Full Crash Data'!$AX:$AX,"Yes",'Full Crash Data'!$AN:$AN,$D$3))</f>
        <v>189</v>
      </c>
      <c r="V11">
        <v>17</v>
      </c>
      <c r="W11" t="s">
        <v>402</v>
      </c>
      <c r="X11">
        <f t="shared" si="0"/>
        <v>1</v>
      </c>
      <c r="Y11">
        <f t="shared" si="1"/>
        <v>24.00000017</v>
      </c>
      <c r="Z11">
        <f>IF($D$3="All",COUNTIFS('Full Crash Data'!$C:$C,"&gt;="&amp;$C$2,'Full Crash Data'!$C:$C,"&lt;="&amp;$E$2,'Full Crash Data'!$G:$G,$W11,'Full Crash Data'!$AX:$AX,"No"),COUNTIFS('Full Crash Data'!$C:$C,"&gt;="&amp;$C$2,'Full Crash Data'!$C:$C,"&lt;="&amp;$E$2,'Full Crash Data'!$AN:$AN,$D$3,'Full Crash Data'!$G:$G,$W11,'Full Crash Data'!$AX:$AX,"No"))</f>
        <v>24</v>
      </c>
      <c r="AA11">
        <f>IF($D$3="All",SUMIFS('Full Crash Data'!$U:$U,'Full Crash Data'!$C:$C,"&gt;="&amp;$C$2,'Full Crash Data'!$C:$C,"&lt;="&amp;$E$2,'Full Crash Data'!$G:$G,$W11,'Full Crash Data'!$AX:$AX,"No"),SUMIFS('Full Crash Data'!$U:$U,'Full Crash Data'!$C:$C,"&gt;="&amp;$C$2,'Full Crash Data'!$C:$C,"&lt;="&amp;$E$2,'Full Crash Data'!$AN:$AN,$D$3,'Full Crash Data'!$G:$G,$W11,'Full Crash Data'!$AX:$AX,"No"))</f>
        <v>0</v>
      </c>
      <c r="AB11">
        <f>IF($D$3="All",SUMIFS('Full Crash Data'!$V:$V,'Full Crash Data'!$C:$C,"&gt;="&amp;$C$2,'Full Crash Data'!$C:$C,"&lt;="&amp;$E$2,'Full Crash Data'!$G:$G,$W11,'Full Crash Data'!$AX:$AX,"No"),SUMIFS('Full Crash Data'!$V:$V,'Full Crash Data'!$C:$C,"&gt;="&amp;$C$2,'Full Crash Data'!$C:$C,"&lt;="&amp;$E$2,'Full Crash Data'!$AN:$AN,$D$3,'Full Crash Data'!$G:$G,$W11,'Full Crash Data'!$AX:$AX,"No"))</f>
        <v>0</v>
      </c>
      <c r="AC11">
        <f t="shared" si="2"/>
        <v>5</v>
      </c>
      <c r="AD11">
        <f t="shared" si="3"/>
        <v>1.0000001700000001</v>
      </c>
      <c r="AE11">
        <f>IF($D$3="All",COUNTIFS('Full Crash Data'!$C:$C,"&gt;="&amp;$C$2,'Full Crash Data'!$C:$C,"&lt;="&amp;$E$2,'Full Crash Data'!$AX:$AX,"No",'Full Crash Data'!$AW:$AW,"Yes",'Full Crash Data'!$G:$G,$W11),COUNTIFS('Full Crash Data'!$C:$C,"&gt;="&amp;$C$2,'Full Crash Data'!$C:$C,"&lt;="&amp;$E$2,'Full Crash Data'!$AX:$AX,"No",'Full Crash Data'!$AW:$AW,"Yes",'Full Crash Data'!$AN:$AN,$D$3,'Full Crash Data'!$G:$G,$W11))</f>
        <v>1</v>
      </c>
      <c r="AF11">
        <f>IF($D$3="All",SUMIFS('Full Crash Data'!$U:$U,'Full Crash Data'!$C:$C,"&gt;="&amp;$C$2,'Full Crash Data'!$C:$C,"&lt;="&amp;$E$2,'Full Crash Data'!$AX:$AX,"No",'Full Crash Data'!$AW:$AW,"Yes",'Full Crash Data'!$G:$G,$W11),SUMIFS('Full Crash Data'!$U:$U,'Full Crash Data'!$C:$C,"&gt;="&amp;$C$2,'Full Crash Data'!$C:$C,"&lt;="&amp;$E$2,'Full Crash Data'!$AX:$AX,"No",'Full Crash Data'!$AW:$AW,"Yes",'Full Crash Data'!$AN:$AN,$D$3,'Full Crash Data'!$G:$G,$W11))</f>
        <v>0</v>
      </c>
      <c r="AG11">
        <f>IF($D$3="All",SUMIFS('Full Crash Data'!$V:$V,'Full Crash Data'!$C:$C,"&gt;="&amp;$C$2,'Full Crash Data'!$C:$C,"&lt;="&amp;$E$2,'Full Crash Data'!$AX:$AX,"No",'Full Crash Data'!$AW:$AW,"Yes",'Full Crash Data'!$G:$G,$W11),SUMIFS('Full Crash Data'!$V:$V,'Full Crash Data'!$C:$C,"&gt;="&amp;$C$2,'Full Crash Data'!$C:$C,"&lt;="&amp;$E$2,'Full Crash Data'!$AX:$AX,"No",'Full Crash Data'!$AW:$AW,"Yes",'Full Crash Data'!$AN:$AN,$D$3,'Full Crash Data'!$G:$G,$W11))</f>
        <v>0</v>
      </c>
      <c r="AH11">
        <f t="shared" si="4"/>
        <v>1</v>
      </c>
      <c r="AI11">
        <f t="shared" si="5"/>
        <v>23.00000017</v>
      </c>
      <c r="AJ11">
        <f t="shared" si="6"/>
        <v>23</v>
      </c>
      <c r="AK11">
        <f t="shared" si="7"/>
        <v>0</v>
      </c>
      <c r="AL11">
        <f t="shared" si="8"/>
        <v>0</v>
      </c>
      <c r="AM11">
        <f t="shared" si="9"/>
        <v>4</v>
      </c>
      <c r="AN11">
        <f t="shared" si="10"/>
        <v>23.00000017</v>
      </c>
      <c r="AO11">
        <f>IF($D$3="All",COUNTIFS('Full Crash Data'!$C:$C,"&gt;="&amp;$C$2,'Full Crash Data'!$C:$C,"&lt;="&amp;$E$2,'Full Crash Data'!$AX:$AX,"Yes",'Full Crash Data'!$G:$G,$W11),COUNTIFS('Full Crash Data'!$C:$C,"&gt;="&amp;$C$2,'Full Crash Data'!$C:$C,"&lt;="&amp;$E$2,'Full Crash Data'!$AX:$AX,"Yes",'Full Crash Data'!$AN:$AN,$D$3,'Full Crash Data'!$G:$G,$W11))</f>
        <v>23</v>
      </c>
      <c r="AP11">
        <f>IF($D$3="All",SUMIFS('Full Crash Data'!$U:$U,'Full Crash Data'!$C:$C,"&gt;="&amp;$C$2,'Full Crash Data'!$C:$C,"&lt;="&amp;$E$2,'Full Crash Data'!$AX:$AX,"Yes",'Full Crash Data'!$G:$G,$W11),SUMIFS('Full Crash Data'!$U:$U,'Full Crash Data'!$C:$C,"&gt;="&amp;$C$2,'Full Crash Data'!$C:$C,"&lt;="&amp;$E$2,'Full Crash Data'!$AX:$AX,"Yes",'Full Crash Data'!$AN:$AN,$D$3,'Full Crash Data'!$G:$G,$W11))</f>
        <v>0</v>
      </c>
      <c r="AQ11">
        <f>IF($D$3="All",SUMIFS('Full Crash Data'!$V:$V,'Full Crash Data'!$C:$C,"&gt;="&amp;$C$2,'Full Crash Data'!$C:$C,"&lt;="&amp;$E$2,'Full Crash Data'!$AX:$AX,"Yes",'Full Crash Data'!$G:$G,$W11),SUMIFS('Full Crash Data'!$V:$V,'Full Crash Data'!$C:$C,"&gt;="&amp;$C$2,'Full Crash Data'!$C:$C,"&lt;="&amp;$E$2,'Full Crash Data'!$AX:$AX,"Yes",'Full Crash Data'!$AN:$AN,$D$3,'Full Crash Data'!$G:$G,$W11))</f>
        <v>0</v>
      </c>
      <c r="AR11">
        <f t="shared" si="19"/>
        <v>4</v>
      </c>
      <c r="AS11">
        <f t="shared" si="11"/>
        <v>16.00000017</v>
      </c>
      <c r="AT11">
        <f>IF($D$3="All",COUNTIFS('Full Crash Data'!$C:$C,"&gt;="&amp;$C$2,'Full Crash Data'!$C:$C,"&lt;="&amp;$E$2,'Full Crash Data'!$AX:$AX,"Yes",'Full Crash Data'!$CH:$CH,"Signal",'Full Crash Data'!$G:$G,$W11),COUNTIFS('Full Crash Data'!$C:$C,"&gt;="&amp;$C$2,'Full Crash Data'!$C:$C,"&lt;="&amp;$E$2,'Full Crash Data'!$AX:$AX,"Yes",'Full Crash Data'!$CH:$CH,"Signal",'Full Crash Data'!$AN:$AN,$D$3,'Full Crash Data'!$G:$G,$W11))</f>
        <v>16</v>
      </c>
      <c r="AU11">
        <f>IF($D$3="All",SUMIFS('Full Crash Data'!BG:BG,'Full Crash Data'!$C:$C,"&gt;="&amp;$C$2,'Full Crash Data'!$C:$C,"&lt;="&amp;$E$2,'Full Crash Data'!$AX:$AX,"Yes",'Full Crash Data'!$CH:$CH,"Signal",'Full Crash Data'!$G:$G,$W11),SUMIFS('Full Crash Data'!BG:BG,'Full Crash Data'!$C:$C,"&gt;="&amp;$C$2,'Full Crash Data'!$C:$C,"&lt;="&amp;$E$2,'Full Crash Data'!$AX:$AX,"Yes",'Full Crash Data'!$CH:$CH,"Signal",'Full Crash Data'!$AN:$AN,$D$3,'Full Crash Data'!$G:$G,$W11))</f>
        <v>0</v>
      </c>
      <c r="AV11">
        <f>IF($D$3="All",SUMIFS('Full Crash Data'!$V:$V,'Full Crash Data'!$C:$C,"&gt;="&amp;$C$2,'Full Crash Data'!$C:$C,"&lt;="&amp;$E$2,'Full Crash Data'!$AX:$AX,"Yes",'Full Crash Data'!$CH:$CH,"Signal",'Full Crash Data'!$G:$G,$W11),SUMIFS('Full Crash Data'!$V:$V,'Full Crash Data'!$C:$C,"&gt;="&amp;$C$2,'Full Crash Data'!$C:$C,"&lt;="&amp;$E$2,'Full Crash Data'!$AX:$AX,"Yes",'Full Crash Data'!$CH:$CH,"Signal",'Full Crash Data'!$AN:$AN,$D$3,'Full Crash Data'!$G:$G,$W11))</f>
        <v>0</v>
      </c>
      <c r="AW11">
        <f t="shared" si="12"/>
        <v>8</v>
      </c>
      <c r="AX11">
        <f t="shared" si="13"/>
        <v>1.7000000000000001E-7</v>
      </c>
      <c r="AY11">
        <f>IF($D$3="All",COUNTIFS('Full Crash Data'!$C:$C,"&gt;="&amp;$C$2,'Full Crash Data'!$C:$C,"&lt;="&amp;$E$2,'Full Crash Data'!$AX:$AX,"Yes",'Full Crash Data'!$CH:$CH,"Stop Sign",'Full Crash Data'!$G:$G,$W11)+COUNTIFS('Full Crash Data'!$C:$C,"&gt;="&amp;$C$2,'Full Crash Data'!$C:$C,"&lt;="&amp;$E$2,'Full Crash Data'!$AX:$AX,"Yes",'Full Crash Data'!$CH:$CH,"Yeild Sign",'Full Crash Data'!$G:$G,$W11)+COUNTIFS('Full Crash Data'!$C:$C,"&gt;="&amp;$C$2,'Full Crash Data'!$C:$C,"&lt;="&amp;$E$2,'Full Crash Data'!$AX:$AX,"Yes",'Full Crash Data'!$CH:$CH,"Flasher",'Full Crash Data'!$G:$G,$W11),COUNTIFS('Full Crash Data'!$C:$C,"&gt;="&amp;$C$2,'Full Crash Data'!$C:$C,"&lt;="&amp;$E$2,'Full Crash Data'!$AX:$AX,"Yes",'Full Crash Data'!$CH:$CH,"Stop Sign",'Full Crash Data'!$AN:$AN,$D$3,'Full Crash Data'!$G:$G,$W11)+COUNTIFS('Full Crash Data'!$C:$C,"&gt;="&amp;$C$2,'Full Crash Data'!$C:$C,"&lt;="&amp;$E$2,'Full Crash Data'!$AX:$AX,"Yes",'Full Crash Data'!$CH:$CH,"Yeild Sign",'Full Crash Data'!$AN:$AN,$D$3,'Full Crash Data'!$G:$G,$W11)+COUNTIFS('Full Crash Data'!$C:$C,"&gt;="&amp;$C$2,'Full Crash Data'!$C:$C,"&lt;="&amp;$E$2,'Full Crash Data'!$AX:$AX,"Yes",'Full Crash Data'!$CH:$CH,"Flasher",'Full Crash Data'!$AN:$AN,$D$3,'Full Crash Data'!$G:$G,$W11))</f>
        <v>0</v>
      </c>
      <c r="AZ11">
        <f>IF($D$3="All",SUMIFS('Full Crash Data'!$U:$U,'Full Crash Data'!$C:$C,"&gt;="&amp;$C$2,'Full Crash Data'!$C:$C,"&lt;="&amp;$E$2,'Full Crash Data'!$AX:$AX,"Yes",'Full Crash Data'!$CH:$CH,"Stop Sign",'Full Crash Data'!$G:$G,$W11)+SUMIFS('Full Crash Data'!$U:$U,'Full Crash Data'!$C:$C,"&gt;="&amp;$C$2,'Full Crash Data'!$C:$C,"&lt;="&amp;$E$2,'Full Crash Data'!$AX:$AX,"Yes",'Full Crash Data'!$CH:$CH,"Yeild Sign",'Full Crash Data'!$G:$G,$W11)+SUMIFS('Full Crash Data'!$U:$U,'Full Crash Data'!$C:$C,"&gt;="&amp;$C$2,'Full Crash Data'!$C:$C,"&lt;="&amp;$E$2,'Full Crash Data'!$AX:$AX,"Yes",'Full Crash Data'!$CH:$CH,"Flasher",'Full Crash Data'!$G:$G,$W11),SUMIFS('Full Crash Data'!$U:$U,'Full Crash Data'!$C:$C,"&gt;="&amp;$C$2,'Full Crash Data'!$C:$C,"&lt;="&amp;$E$2,'Full Crash Data'!$AX:$AX,"Yes",'Full Crash Data'!$CH:$CH,"Stop Sign",'Full Crash Data'!$AN:$AN,$D$3,'Full Crash Data'!$G:$G,$W11)+SUMIFS('Full Crash Data'!$U:$U,'Full Crash Data'!$C:$C,"&gt;="&amp;$C$2,'Full Crash Data'!$C:$C,"&lt;="&amp;$E$2,'Full Crash Data'!$AX:$AX,"Yes",'Full Crash Data'!$CH:$CH,"Yeild Sign",'Full Crash Data'!$AN:$AN,$D$3,'Full Crash Data'!$G:$G,$W11)+SUMIFS('Full Crash Data'!$U:$U,'Full Crash Data'!$C:$C,"&gt;="&amp;$C$2,'Full Crash Data'!$C:$C,"&lt;="&amp;$E$2,'Full Crash Data'!$AX:$AX,"Yes",'Full Crash Data'!$CH:$CH,"Flasher",'Full Crash Data'!$AN:$AN,$D$3,'Full Crash Data'!$G:$G,$W11))</f>
        <v>0</v>
      </c>
      <c r="BA11">
        <f>IF($D$3="All",SUMIFS('Full Crash Data'!$V:$V,'Full Crash Data'!$C:$C,"&gt;="&amp;$C$2,'Full Crash Data'!$C:$C,"&lt;="&amp;$E$2,'Full Crash Data'!$AX:$AX,"Yes",'Full Crash Data'!$CH:$CH,"Stop Sign",'Full Crash Data'!$G:$G,$W11)+SUMIFS('Full Crash Data'!$V:$V,'Full Crash Data'!$C:$C,"&gt;="&amp;$C$2,'Full Crash Data'!$C:$C,"&lt;="&amp;$E$2,'Full Crash Data'!$AX:$AX,"Yes",'Full Crash Data'!$CH:$CH,"Yeild Sign",'Full Crash Data'!$G:$G,$W11)+SUMIFS('Full Crash Data'!$V:$V,'Full Crash Data'!$C:$C,"&gt;="&amp;$C$2,'Full Crash Data'!$C:$C,"&lt;="&amp;$E$2,'Full Crash Data'!$AX:$AX,"Yes",'Full Crash Data'!$CH:$CH,"Flasher",'Full Crash Data'!$G:$G,$W11),SUMIFS('Full Crash Data'!$V:$V,'Full Crash Data'!$C:$C,"&gt;="&amp;$C$2,'Full Crash Data'!$C:$C,"&lt;="&amp;$E$2,'Full Crash Data'!$AX:$AX,"Yes",'Full Crash Data'!$CH:$CH,"Stop Sign",'Full Crash Data'!$AN:$AN,$D$3,'Full Crash Data'!$G:$G,$W11)+SUMIFS('Full Crash Data'!$V:$V,'Full Crash Data'!$C:$C,"&gt;="&amp;$C$2,'Full Crash Data'!$C:$C,"&lt;="&amp;$E$2,'Full Crash Data'!$AX:$AX,"Yes",'Full Crash Data'!$CH:$CH,"Yeild Sign",'Full Crash Data'!$AN:$AN,$D$3,'Full Crash Data'!$G:$G,$W11)+SUMIFS('Full Crash Data'!$V:$V,'Full Crash Data'!$C:$C,"&gt;="&amp;$C$2,'Full Crash Data'!$C:$C,"&lt;="&amp;$E$2,'Full Crash Data'!$AX:$AX,"Yes",'Full Crash Data'!$CH:$CH,"Flasher",'Full Crash Data'!$AN:$AN,$D$3,'Full Crash Data'!$G:$G,$W11))</f>
        <v>0</v>
      </c>
      <c r="BB11">
        <f t="shared" si="14"/>
        <v>5</v>
      </c>
      <c r="BC11">
        <f t="shared" si="15"/>
        <v>7.0000001699999999</v>
      </c>
      <c r="BD11">
        <f t="shared" si="16"/>
        <v>7</v>
      </c>
      <c r="BE11">
        <f t="shared" si="17"/>
        <v>0</v>
      </c>
      <c r="BF11">
        <f t="shared" si="18"/>
        <v>0</v>
      </c>
      <c r="BG11" t="s">
        <v>402</v>
      </c>
    </row>
    <row r="12" spans="1:59" ht="14" thickTop="1" x14ac:dyDescent="0.15">
      <c r="B12" s="386"/>
      <c r="C12" s="385" t="s">
        <v>131</v>
      </c>
      <c r="D12" s="396">
        <f>IF($D$3="All",SUMIFS('Full Crash Data'!$U:$U,'Full Crash Data'!$C:$C,"&gt;="&amp;$C$2,'Full Crash Data'!$C:$C,"&lt;="&amp;$E$2,'Full Crash Data'!$AX:$AX,"No"),SUMIFS('Full Crash Data'!$U:$U,'Full Crash Data'!$C:$C,"&gt;="&amp;$C$2,'Full Crash Data'!$C:$C,"&lt;="&amp;$E$2,'Full Crash Data'!$AX:$AX,"No",'Full Crash Data'!$AN:$AN,$D$3))</f>
        <v>0</v>
      </c>
      <c r="I12" s="385" t="s">
        <v>131</v>
      </c>
      <c r="J12" s="396">
        <f>IF($D$3="All",SUMIFS('Full Crash Data'!$U:$U,'Full Crash Data'!$C:$C,"&gt;="&amp;$C$2,'Full Crash Data'!$C:$C,"&lt;="&amp;$E$2,'Full Crash Data'!$AX:$AX,"Yes"),SUMIFS('Full Crash Data'!$U:$U,'Full Crash Data'!$C:$C,"&gt;="&amp;$C$2,'Full Crash Data'!$C:$C,"&lt;="&amp;$E$2,'Full Crash Data'!$AX:$AX,"Yes",'Full Crash Data'!$AN:$AN,$D$3))</f>
        <v>1</v>
      </c>
      <c r="K12" s="390"/>
      <c r="L12" s="386"/>
      <c r="M12" s="389"/>
      <c r="N12" s="390"/>
      <c r="V12">
        <v>15</v>
      </c>
      <c r="W12" t="s">
        <v>211</v>
      </c>
      <c r="X12">
        <f t="shared" si="0"/>
        <v>3</v>
      </c>
      <c r="Y12">
        <f t="shared" si="1"/>
        <v>18.000001150000003</v>
      </c>
      <c r="Z12">
        <f>IF($D$3="All",COUNTIFS('Full Crash Data'!$C:$C,"&gt;="&amp;$C$2,'Full Crash Data'!$C:$C,"&lt;="&amp;$E$2,'Full Crash Data'!$G:$G,$W12,'Full Crash Data'!$AX:$AX,"No"),COUNTIFS('Full Crash Data'!$C:$C,"&gt;="&amp;$C$2,'Full Crash Data'!$C:$C,"&lt;="&amp;$E$2,'Full Crash Data'!$AN:$AN,$D$3,'Full Crash Data'!$G:$G,$W12,'Full Crash Data'!$AX:$AX,"No"))</f>
        <v>18</v>
      </c>
      <c r="AA12">
        <f>IF($D$3="All",SUMIFS('Full Crash Data'!$U:$U,'Full Crash Data'!$C:$C,"&gt;="&amp;$C$2,'Full Crash Data'!$C:$C,"&lt;="&amp;$E$2,'Full Crash Data'!$G:$G,$W12,'Full Crash Data'!$AX:$AX,"No"),SUMIFS('Full Crash Data'!$U:$U,'Full Crash Data'!$C:$C,"&gt;="&amp;$C$2,'Full Crash Data'!$C:$C,"&lt;="&amp;$E$2,'Full Crash Data'!$AN:$AN,$D$3,'Full Crash Data'!$G:$G,$W12,'Full Crash Data'!$AX:$AX,"No"))</f>
        <v>0</v>
      </c>
      <c r="AB12">
        <f>IF($D$3="All",SUMIFS('Full Crash Data'!$V:$V,'Full Crash Data'!$C:$C,"&gt;="&amp;$C$2,'Full Crash Data'!$C:$C,"&lt;="&amp;$E$2,'Full Crash Data'!$G:$G,$W12,'Full Crash Data'!$AX:$AX,"No"),SUMIFS('Full Crash Data'!$V:$V,'Full Crash Data'!$C:$C,"&gt;="&amp;$C$2,'Full Crash Data'!$C:$C,"&lt;="&amp;$E$2,'Full Crash Data'!$AN:$AN,$D$3,'Full Crash Data'!$G:$G,$W12,'Full Crash Data'!$AX:$AX,"No"))</f>
        <v>1</v>
      </c>
      <c r="AC12">
        <f t="shared" si="2"/>
        <v>6</v>
      </c>
      <c r="AD12">
        <f t="shared" si="3"/>
        <v>1.00000015</v>
      </c>
      <c r="AE12">
        <f>IF($D$3="All",COUNTIFS('Full Crash Data'!$C:$C,"&gt;="&amp;$C$2,'Full Crash Data'!$C:$C,"&lt;="&amp;$E$2,'Full Crash Data'!$AX:$AX,"No",'Full Crash Data'!$AW:$AW,"Yes",'Full Crash Data'!$G:$G,$W12),COUNTIFS('Full Crash Data'!$C:$C,"&gt;="&amp;$C$2,'Full Crash Data'!$C:$C,"&lt;="&amp;$E$2,'Full Crash Data'!$AX:$AX,"No",'Full Crash Data'!$AW:$AW,"Yes",'Full Crash Data'!$AN:$AN,$D$3,'Full Crash Data'!$G:$G,$W12))</f>
        <v>1</v>
      </c>
      <c r="AF12">
        <f>IF($D$3="All",SUMIFS('Full Crash Data'!$U:$U,'Full Crash Data'!$C:$C,"&gt;="&amp;$C$2,'Full Crash Data'!$C:$C,"&lt;="&amp;$E$2,'Full Crash Data'!$AX:$AX,"No",'Full Crash Data'!$AW:$AW,"Yes",'Full Crash Data'!$G:$G,$W12),SUMIFS('Full Crash Data'!$U:$U,'Full Crash Data'!$C:$C,"&gt;="&amp;$C$2,'Full Crash Data'!$C:$C,"&lt;="&amp;$E$2,'Full Crash Data'!$AX:$AX,"No",'Full Crash Data'!$AW:$AW,"Yes",'Full Crash Data'!$AN:$AN,$D$3,'Full Crash Data'!$G:$G,$W12))</f>
        <v>0</v>
      </c>
      <c r="AG12">
        <f>IF($D$3="All",SUMIFS('Full Crash Data'!$V:$V,'Full Crash Data'!$C:$C,"&gt;="&amp;$C$2,'Full Crash Data'!$C:$C,"&lt;="&amp;$E$2,'Full Crash Data'!$AX:$AX,"No",'Full Crash Data'!$AW:$AW,"Yes",'Full Crash Data'!$G:$G,$W12),SUMIFS('Full Crash Data'!$V:$V,'Full Crash Data'!$C:$C,"&gt;="&amp;$C$2,'Full Crash Data'!$C:$C,"&lt;="&amp;$E$2,'Full Crash Data'!$AX:$AX,"No",'Full Crash Data'!$AW:$AW,"Yes",'Full Crash Data'!$AN:$AN,$D$3,'Full Crash Data'!$G:$G,$W12))</f>
        <v>0</v>
      </c>
      <c r="AH12">
        <f t="shared" si="4"/>
        <v>3</v>
      </c>
      <c r="AI12">
        <f t="shared" si="5"/>
        <v>17.000001150000003</v>
      </c>
      <c r="AJ12">
        <f t="shared" si="6"/>
        <v>17</v>
      </c>
      <c r="AK12">
        <f t="shared" si="7"/>
        <v>0</v>
      </c>
      <c r="AL12">
        <f t="shared" si="8"/>
        <v>1</v>
      </c>
      <c r="AM12">
        <f t="shared" si="9"/>
        <v>1</v>
      </c>
      <c r="AN12">
        <f t="shared" si="10"/>
        <v>43.001000149999996</v>
      </c>
      <c r="AO12">
        <f>IF($D$3="All",COUNTIFS('Full Crash Data'!$C:$C,"&gt;="&amp;$C$2,'Full Crash Data'!$C:$C,"&lt;="&amp;$E$2,'Full Crash Data'!$AX:$AX,"Yes",'Full Crash Data'!$G:$G,$W12),COUNTIFS('Full Crash Data'!$C:$C,"&gt;="&amp;$C$2,'Full Crash Data'!$C:$C,"&lt;="&amp;$E$2,'Full Crash Data'!$AX:$AX,"Yes",'Full Crash Data'!$AN:$AN,$D$3,'Full Crash Data'!$G:$G,$W12))</f>
        <v>43</v>
      </c>
      <c r="AP12">
        <f>IF($D$3="All",SUMIFS('Full Crash Data'!$U:$U,'Full Crash Data'!$C:$C,"&gt;="&amp;$C$2,'Full Crash Data'!$C:$C,"&lt;="&amp;$E$2,'Full Crash Data'!$AX:$AX,"Yes",'Full Crash Data'!$G:$G,$W12),SUMIFS('Full Crash Data'!$U:$U,'Full Crash Data'!$C:$C,"&gt;="&amp;$C$2,'Full Crash Data'!$C:$C,"&lt;="&amp;$E$2,'Full Crash Data'!$AX:$AX,"Yes",'Full Crash Data'!$AN:$AN,$D$3,'Full Crash Data'!$G:$G,$W12))</f>
        <v>1</v>
      </c>
      <c r="AQ12">
        <f>IF($D$3="All",SUMIFS('Full Crash Data'!$V:$V,'Full Crash Data'!$C:$C,"&gt;="&amp;$C$2,'Full Crash Data'!$C:$C,"&lt;="&amp;$E$2,'Full Crash Data'!$AX:$AX,"Yes",'Full Crash Data'!$G:$G,$W12),SUMIFS('Full Crash Data'!$V:$V,'Full Crash Data'!$C:$C,"&gt;="&amp;$C$2,'Full Crash Data'!$C:$C,"&lt;="&amp;$E$2,'Full Crash Data'!$AX:$AX,"Yes",'Full Crash Data'!$AN:$AN,$D$3,'Full Crash Data'!$G:$G,$W12))</f>
        <v>0</v>
      </c>
      <c r="AR12">
        <f t="shared" si="19"/>
        <v>2</v>
      </c>
      <c r="AS12">
        <f t="shared" si="11"/>
        <v>22.000000150000002</v>
      </c>
      <c r="AT12">
        <f>IF($D$3="All",COUNTIFS('Full Crash Data'!$C:$C,"&gt;="&amp;$C$2,'Full Crash Data'!$C:$C,"&lt;="&amp;$E$2,'Full Crash Data'!$AX:$AX,"Yes",'Full Crash Data'!$CH:$CH,"Signal",'Full Crash Data'!$G:$G,$W12),COUNTIFS('Full Crash Data'!$C:$C,"&gt;="&amp;$C$2,'Full Crash Data'!$C:$C,"&lt;="&amp;$E$2,'Full Crash Data'!$AX:$AX,"Yes",'Full Crash Data'!$CH:$CH,"Signal",'Full Crash Data'!$AN:$AN,$D$3,'Full Crash Data'!$G:$G,$W12))</f>
        <v>22</v>
      </c>
      <c r="AU12">
        <f>IF($D$3="All",SUMIFS('Full Crash Data'!BG:BG,'Full Crash Data'!$C:$C,"&gt;="&amp;$C$2,'Full Crash Data'!$C:$C,"&lt;="&amp;$E$2,'Full Crash Data'!$AX:$AX,"Yes",'Full Crash Data'!$CH:$CH,"Signal",'Full Crash Data'!$G:$G,$W12),SUMIFS('Full Crash Data'!BG:BG,'Full Crash Data'!$C:$C,"&gt;="&amp;$C$2,'Full Crash Data'!$C:$C,"&lt;="&amp;$E$2,'Full Crash Data'!$AX:$AX,"Yes",'Full Crash Data'!$CH:$CH,"Signal",'Full Crash Data'!$AN:$AN,$D$3,'Full Crash Data'!$G:$G,$W12))</f>
        <v>0</v>
      </c>
      <c r="AV12">
        <f>IF($D$3="All",SUMIFS('Full Crash Data'!$V:$V,'Full Crash Data'!$C:$C,"&gt;="&amp;$C$2,'Full Crash Data'!$C:$C,"&lt;="&amp;$E$2,'Full Crash Data'!$AX:$AX,"Yes",'Full Crash Data'!$CH:$CH,"Signal",'Full Crash Data'!$G:$G,$W12),SUMIFS('Full Crash Data'!$V:$V,'Full Crash Data'!$C:$C,"&gt;="&amp;$C$2,'Full Crash Data'!$C:$C,"&lt;="&amp;$E$2,'Full Crash Data'!$AX:$AX,"Yes",'Full Crash Data'!$CH:$CH,"Signal",'Full Crash Data'!$AN:$AN,$D$3,'Full Crash Data'!$G:$G,$W12))</f>
        <v>0</v>
      </c>
      <c r="AW12">
        <f t="shared" si="12"/>
        <v>1</v>
      </c>
      <c r="AX12">
        <f t="shared" si="13"/>
        <v>13.00000015</v>
      </c>
      <c r="AY12">
        <f>IF($D$3="All",COUNTIFS('Full Crash Data'!$C:$C,"&gt;="&amp;$C$2,'Full Crash Data'!$C:$C,"&lt;="&amp;$E$2,'Full Crash Data'!$AX:$AX,"Yes",'Full Crash Data'!$CH:$CH,"Stop Sign",'Full Crash Data'!$G:$G,$W12)+COUNTIFS('Full Crash Data'!$C:$C,"&gt;="&amp;$C$2,'Full Crash Data'!$C:$C,"&lt;="&amp;$E$2,'Full Crash Data'!$AX:$AX,"Yes",'Full Crash Data'!$CH:$CH,"Yeild Sign",'Full Crash Data'!$G:$G,$W12)+COUNTIFS('Full Crash Data'!$C:$C,"&gt;="&amp;$C$2,'Full Crash Data'!$C:$C,"&lt;="&amp;$E$2,'Full Crash Data'!$AX:$AX,"Yes",'Full Crash Data'!$CH:$CH,"Flasher",'Full Crash Data'!$G:$G,$W12),COUNTIFS('Full Crash Data'!$C:$C,"&gt;="&amp;$C$2,'Full Crash Data'!$C:$C,"&lt;="&amp;$E$2,'Full Crash Data'!$AX:$AX,"Yes",'Full Crash Data'!$CH:$CH,"Stop Sign",'Full Crash Data'!$AN:$AN,$D$3,'Full Crash Data'!$G:$G,$W12)+COUNTIFS('Full Crash Data'!$C:$C,"&gt;="&amp;$C$2,'Full Crash Data'!$C:$C,"&lt;="&amp;$E$2,'Full Crash Data'!$AX:$AX,"Yes",'Full Crash Data'!$CH:$CH,"Yeild Sign",'Full Crash Data'!$AN:$AN,$D$3,'Full Crash Data'!$G:$G,$W12)+COUNTIFS('Full Crash Data'!$C:$C,"&gt;="&amp;$C$2,'Full Crash Data'!$C:$C,"&lt;="&amp;$E$2,'Full Crash Data'!$AX:$AX,"Yes",'Full Crash Data'!$CH:$CH,"Flasher",'Full Crash Data'!$AN:$AN,$D$3,'Full Crash Data'!$G:$G,$W12))</f>
        <v>13</v>
      </c>
      <c r="AZ12">
        <f>IF($D$3="All",SUMIFS('Full Crash Data'!$U:$U,'Full Crash Data'!$C:$C,"&gt;="&amp;$C$2,'Full Crash Data'!$C:$C,"&lt;="&amp;$E$2,'Full Crash Data'!$AX:$AX,"Yes",'Full Crash Data'!$CH:$CH,"Stop Sign",'Full Crash Data'!$G:$G,$W12)+SUMIFS('Full Crash Data'!$U:$U,'Full Crash Data'!$C:$C,"&gt;="&amp;$C$2,'Full Crash Data'!$C:$C,"&lt;="&amp;$E$2,'Full Crash Data'!$AX:$AX,"Yes",'Full Crash Data'!$CH:$CH,"Yeild Sign",'Full Crash Data'!$G:$G,$W12)+SUMIFS('Full Crash Data'!$U:$U,'Full Crash Data'!$C:$C,"&gt;="&amp;$C$2,'Full Crash Data'!$C:$C,"&lt;="&amp;$E$2,'Full Crash Data'!$AX:$AX,"Yes",'Full Crash Data'!$CH:$CH,"Flasher",'Full Crash Data'!$G:$G,$W12),SUMIFS('Full Crash Data'!$U:$U,'Full Crash Data'!$C:$C,"&gt;="&amp;$C$2,'Full Crash Data'!$C:$C,"&lt;="&amp;$E$2,'Full Crash Data'!$AX:$AX,"Yes",'Full Crash Data'!$CH:$CH,"Stop Sign",'Full Crash Data'!$AN:$AN,$D$3,'Full Crash Data'!$G:$G,$W12)+SUMIFS('Full Crash Data'!$U:$U,'Full Crash Data'!$C:$C,"&gt;="&amp;$C$2,'Full Crash Data'!$C:$C,"&lt;="&amp;$E$2,'Full Crash Data'!$AX:$AX,"Yes",'Full Crash Data'!$CH:$CH,"Yeild Sign",'Full Crash Data'!$AN:$AN,$D$3,'Full Crash Data'!$G:$G,$W12)+SUMIFS('Full Crash Data'!$U:$U,'Full Crash Data'!$C:$C,"&gt;="&amp;$C$2,'Full Crash Data'!$C:$C,"&lt;="&amp;$E$2,'Full Crash Data'!$AX:$AX,"Yes",'Full Crash Data'!$CH:$CH,"Flasher",'Full Crash Data'!$AN:$AN,$D$3,'Full Crash Data'!$G:$G,$W12))</f>
        <v>0</v>
      </c>
      <c r="BA12">
        <f>IF($D$3="All",SUMIFS('Full Crash Data'!$V:$V,'Full Crash Data'!$C:$C,"&gt;="&amp;$C$2,'Full Crash Data'!$C:$C,"&lt;="&amp;$E$2,'Full Crash Data'!$AX:$AX,"Yes",'Full Crash Data'!$CH:$CH,"Stop Sign",'Full Crash Data'!$G:$G,$W12)+SUMIFS('Full Crash Data'!$V:$V,'Full Crash Data'!$C:$C,"&gt;="&amp;$C$2,'Full Crash Data'!$C:$C,"&lt;="&amp;$E$2,'Full Crash Data'!$AX:$AX,"Yes",'Full Crash Data'!$CH:$CH,"Yeild Sign",'Full Crash Data'!$G:$G,$W12)+SUMIFS('Full Crash Data'!$V:$V,'Full Crash Data'!$C:$C,"&gt;="&amp;$C$2,'Full Crash Data'!$C:$C,"&lt;="&amp;$E$2,'Full Crash Data'!$AX:$AX,"Yes",'Full Crash Data'!$CH:$CH,"Flasher",'Full Crash Data'!$G:$G,$W12),SUMIFS('Full Crash Data'!$V:$V,'Full Crash Data'!$C:$C,"&gt;="&amp;$C$2,'Full Crash Data'!$C:$C,"&lt;="&amp;$E$2,'Full Crash Data'!$AX:$AX,"Yes",'Full Crash Data'!$CH:$CH,"Stop Sign",'Full Crash Data'!$AN:$AN,$D$3,'Full Crash Data'!$G:$G,$W12)+SUMIFS('Full Crash Data'!$V:$V,'Full Crash Data'!$C:$C,"&gt;="&amp;$C$2,'Full Crash Data'!$C:$C,"&lt;="&amp;$E$2,'Full Crash Data'!$AX:$AX,"Yes",'Full Crash Data'!$CH:$CH,"Yeild Sign",'Full Crash Data'!$AN:$AN,$D$3,'Full Crash Data'!$G:$G,$W12)+SUMIFS('Full Crash Data'!$V:$V,'Full Crash Data'!$C:$C,"&gt;="&amp;$C$2,'Full Crash Data'!$C:$C,"&lt;="&amp;$E$2,'Full Crash Data'!$AX:$AX,"Yes",'Full Crash Data'!$CH:$CH,"Flasher",'Full Crash Data'!$AN:$AN,$D$3,'Full Crash Data'!$G:$G,$W12))</f>
        <v>0</v>
      </c>
      <c r="BB12">
        <f t="shared" si="14"/>
        <v>3</v>
      </c>
      <c r="BC12">
        <f t="shared" si="15"/>
        <v>8.0010001499999994</v>
      </c>
      <c r="BD12">
        <f t="shared" si="16"/>
        <v>8</v>
      </c>
      <c r="BE12">
        <f t="shared" si="17"/>
        <v>1</v>
      </c>
      <c r="BF12">
        <f t="shared" si="18"/>
        <v>0</v>
      </c>
      <c r="BG12" t="s">
        <v>211</v>
      </c>
    </row>
    <row r="13" spans="1:59" x14ac:dyDescent="0.15">
      <c r="B13" s="387"/>
      <c r="C13" s="385" t="s">
        <v>1172</v>
      </c>
      <c r="D13" s="396">
        <f>IF($D$3="All",SUMIFS('Full Crash Data'!$V:$V,'Full Crash Data'!$C:$C,"&gt;="&amp;$C$2,'Full Crash Data'!$C:$C,"&lt;="&amp;$E$2,'Full Crash Data'!$AX:$AX,"No"),SUMIFS('Full Crash Data'!$V:$V,'Full Crash Data'!$C:$C,"&gt;="&amp;$C$2,'Full Crash Data'!$C:$C,"&lt;="&amp;$E$2,'Full Crash Data'!$AX:$AX,"No",'Full Crash Data'!$AN:$AN,$D$3))</f>
        <v>5</v>
      </c>
      <c r="I13" s="385" t="s">
        <v>1172</v>
      </c>
      <c r="J13" s="396">
        <f>IF($D$3="All",SUMIFS('Full Crash Data'!$V:$V,'Full Crash Data'!$C:$C,"&gt;="&amp;$C$2,'Full Crash Data'!$C:$C,"&lt;="&amp;$E$2,'Full Crash Data'!$AX:$AX,"Yes"),SUMIFS('Full Crash Data'!$V:$V,'Full Crash Data'!$C:$C,"&gt;="&amp;$C$2,'Full Crash Data'!$C:$C,"&lt;="&amp;$E$2,'Full Crash Data'!$AX:$AX,"Yes",'Full Crash Data'!$AN:$AN,$D$3))</f>
        <v>4</v>
      </c>
      <c r="K13" s="391"/>
      <c r="L13" s="387"/>
      <c r="N13" s="391"/>
      <c r="V13">
        <v>13</v>
      </c>
      <c r="W13" t="s">
        <v>210</v>
      </c>
      <c r="X13">
        <f t="shared" si="0"/>
        <v>6</v>
      </c>
      <c r="Y13">
        <f t="shared" si="1"/>
        <v>9.0000001300000001</v>
      </c>
      <c r="Z13">
        <f>IF($D$3="All",COUNTIFS('Full Crash Data'!$C:$C,"&gt;="&amp;$C$2,'Full Crash Data'!$C:$C,"&lt;="&amp;$E$2,'Full Crash Data'!$G:$G,$W13,'Full Crash Data'!$AX:$AX,"No"),COUNTIFS('Full Crash Data'!$C:$C,"&gt;="&amp;$C$2,'Full Crash Data'!$C:$C,"&lt;="&amp;$E$2,'Full Crash Data'!$AN:$AN,$D$3,'Full Crash Data'!$G:$G,$W13,'Full Crash Data'!$AX:$AX,"No"))</f>
        <v>9</v>
      </c>
      <c r="AA13">
        <f>IF($D$3="All",SUMIFS('Full Crash Data'!$U:$U,'Full Crash Data'!$C:$C,"&gt;="&amp;$C$2,'Full Crash Data'!$C:$C,"&lt;="&amp;$E$2,'Full Crash Data'!$G:$G,$W13,'Full Crash Data'!$AX:$AX,"No"),SUMIFS('Full Crash Data'!$U:$U,'Full Crash Data'!$C:$C,"&gt;="&amp;$C$2,'Full Crash Data'!$C:$C,"&lt;="&amp;$E$2,'Full Crash Data'!$AN:$AN,$D$3,'Full Crash Data'!$G:$G,$W13,'Full Crash Data'!$AX:$AX,"No"))</f>
        <v>0</v>
      </c>
      <c r="AB13">
        <f>IF($D$3="All",SUMIFS('Full Crash Data'!$V:$V,'Full Crash Data'!$C:$C,"&gt;="&amp;$C$2,'Full Crash Data'!$C:$C,"&lt;="&amp;$E$2,'Full Crash Data'!$G:$G,$W13,'Full Crash Data'!$AX:$AX,"No"),SUMIFS('Full Crash Data'!$V:$V,'Full Crash Data'!$C:$C,"&gt;="&amp;$C$2,'Full Crash Data'!$C:$C,"&lt;="&amp;$E$2,'Full Crash Data'!$AN:$AN,$D$3,'Full Crash Data'!$G:$G,$W13,'Full Crash Data'!$AX:$AX,"No"))</f>
        <v>0</v>
      </c>
      <c r="AC13">
        <f t="shared" si="2"/>
        <v>2</v>
      </c>
      <c r="AD13">
        <f t="shared" si="3"/>
        <v>9.0000001300000001</v>
      </c>
      <c r="AE13">
        <f>IF($D$3="All",COUNTIFS('Full Crash Data'!$C:$C,"&gt;="&amp;$C$2,'Full Crash Data'!$C:$C,"&lt;="&amp;$E$2,'Full Crash Data'!$AX:$AX,"No",'Full Crash Data'!$AW:$AW,"Yes",'Full Crash Data'!$G:$G,$W13),COUNTIFS('Full Crash Data'!$C:$C,"&gt;="&amp;$C$2,'Full Crash Data'!$C:$C,"&lt;="&amp;$E$2,'Full Crash Data'!$AX:$AX,"No",'Full Crash Data'!$AW:$AW,"Yes",'Full Crash Data'!$AN:$AN,$D$3,'Full Crash Data'!$G:$G,$W13))</f>
        <v>9</v>
      </c>
      <c r="AF13">
        <f>IF($D$3="All",SUMIFS('Full Crash Data'!$U:$U,'Full Crash Data'!$C:$C,"&gt;="&amp;$C$2,'Full Crash Data'!$C:$C,"&lt;="&amp;$E$2,'Full Crash Data'!$AX:$AX,"No",'Full Crash Data'!$AW:$AW,"Yes",'Full Crash Data'!$G:$G,$W13),SUMIFS('Full Crash Data'!$U:$U,'Full Crash Data'!$C:$C,"&gt;="&amp;$C$2,'Full Crash Data'!$C:$C,"&lt;="&amp;$E$2,'Full Crash Data'!$AX:$AX,"No",'Full Crash Data'!$AW:$AW,"Yes",'Full Crash Data'!$AN:$AN,$D$3,'Full Crash Data'!$G:$G,$W13))</f>
        <v>0</v>
      </c>
      <c r="AG13">
        <f>IF($D$3="All",SUMIFS('Full Crash Data'!$V:$V,'Full Crash Data'!$C:$C,"&gt;="&amp;$C$2,'Full Crash Data'!$C:$C,"&lt;="&amp;$E$2,'Full Crash Data'!$AX:$AX,"No",'Full Crash Data'!$AW:$AW,"Yes",'Full Crash Data'!$G:$G,$W13),SUMIFS('Full Crash Data'!$V:$V,'Full Crash Data'!$C:$C,"&gt;="&amp;$C$2,'Full Crash Data'!$C:$C,"&lt;="&amp;$E$2,'Full Crash Data'!$AX:$AX,"No",'Full Crash Data'!$AW:$AW,"Yes",'Full Crash Data'!$AN:$AN,$D$3,'Full Crash Data'!$G:$G,$W13))</f>
        <v>0</v>
      </c>
      <c r="AH13">
        <f t="shared" si="4"/>
        <v>13</v>
      </c>
      <c r="AI13">
        <f t="shared" si="5"/>
        <v>1.3E-7</v>
      </c>
      <c r="AJ13">
        <f t="shared" si="6"/>
        <v>0</v>
      </c>
      <c r="AK13">
        <f t="shared" si="7"/>
        <v>0</v>
      </c>
      <c r="AL13">
        <f t="shared" si="8"/>
        <v>0</v>
      </c>
      <c r="AM13">
        <f t="shared" si="9"/>
        <v>11</v>
      </c>
      <c r="AN13">
        <f t="shared" si="10"/>
        <v>2.0000001300000001</v>
      </c>
      <c r="AO13">
        <f>IF($D$3="All",COUNTIFS('Full Crash Data'!$C:$C,"&gt;="&amp;$C$2,'Full Crash Data'!$C:$C,"&lt;="&amp;$E$2,'Full Crash Data'!$AX:$AX,"Yes",'Full Crash Data'!$G:$G,$W13),COUNTIFS('Full Crash Data'!$C:$C,"&gt;="&amp;$C$2,'Full Crash Data'!$C:$C,"&lt;="&amp;$E$2,'Full Crash Data'!$AX:$AX,"Yes",'Full Crash Data'!$AN:$AN,$D$3,'Full Crash Data'!$G:$G,$W13))</f>
        <v>2</v>
      </c>
      <c r="AP13">
        <f>IF($D$3="All",SUMIFS('Full Crash Data'!$U:$U,'Full Crash Data'!$C:$C,"&gt;="&amp;$C$2,'Full Crash Data'!$C:$C,"&lt;="&amp;$E$2,'Full Crash Data'!$AX:$AX,"Yes",'Full Crash Data'!$G:$G,$W13),SUMIFS('Full Crash Data'!$U:$U,'Full Crash Data'!$C:$C,"&gt;="&amp;$C$2,'Full Crash Data'!$C:$C,"&lt;="&amp;$E$2,'Full Crash Data'!$AX:$AX,"Yes",'Full Crash Data'!$AN:$AN,$D$3,'Full Crash Data'!$G:$G,$W13))</f>
        <v>0</v>
      </c>
      <c r="AQ13">
        <f>IF($D$3="All",SUMIFS('Full Crash Data'!$V:$V,'Full Crash Data'!$C:$C,"&gt;="&amp;$C$2,'Full Crash Data'!$C:$C,"&lt;="&amp;$E$2,'Full Crash Data'!$AX:$AX,"Yes",'Full Crash Data'!$G:$G,$W13),SUMIFS('Full Crash Data'!$V:$V,'Full Crash Data'!$C:$C,"&gt;="&amp;$C$2,'Full Crash Data'!$C:$C,"&lt;="&amp;$E$2,'Full Crash Data'!$AX:$AX,"Yes",'Full Crash Data'!$AN:$AN,$D$3,'Full Crash Data'!$G:$G,$W13))</f>
        <v>0</v>
      </c>
      <c r="AR13">
        <f t="shared" si="19"/>
        <v>11</v>
      </c>
      <c r="AS13">
        <f t="shared" si="11"/>
        <v>1.0000001300000001</v>
      </c>
      <c r="AT13">
        <f>IF($D$3="All",COUNTIFS('Full Crash Data'!$C:$C,"&gt;="&amp;$C$2,'Full Crash Data'!$C:$C,"&lt;="&amp;$E$2,'Full Crash Data'!$AX:$AX,"Yes",'Full Crash Data'!$CH:$CH,"Signal",'Full Crash Data'!$G:$G,$W13),COUNTIFS('Full Crash Data'!$C:$C,"&gt;="&amp;$C$2,'Full Crash Data'!$C:$C,"&lt;="&amp;$E$2,'Full Crash Data'!$AX:$AX,"Yes",'Full Crash Data'!$CH:$CH,"Signal",'Full Crash Data'!$AN:$AN,$D$3,'Full Crash Data'!$G:$G,$W13))</f>
        <v>1</v>
      </c>
      <c r="AU13">
        <f>IF($D$3="All",SUMIFS('Full Crash Data'!BG:BG,'Full Crash Data'!$C:$C,"&gt;="&amp;$C$2,'Full Crash Data'!$C:$C,"&lt;="&amp;$E$2,'Full Crash Data'!$AX:$AX,"Yes",'Full Crash Data'!$CH:$CH,"Signal",'Full Crash Data'!$G:$G,$W13),SUMIFS('Full Crash Data'!BG:BG,'Full Crash Data'!$C:$C,"&gt;="&amp;$C$2,'Full Crash Data'!$C:$C,"&lt;="&amp;$E$2,'Full Crash Data'!$AX:$AX,"Yes",'Full Crash Data'!$CH:$CH,"Signal",'Full Crash Data'!$AN:$AN,$D$3,'Full Crash Data'!$G:$G,$W13))</f>
        <v>0</v>
      </c>
      <c r="AV13">
        <f>IF($D$3="All",SUMIFS('Full Crash Data'!$V:$V,'Full Crash Data'!$C:$C,"&gt;="&amp;$C$2,'Full Crash Data'!$C:$C,"&lt;="&amp;$E$2,'Full Crash Data'!$AX:$AX,"Yes",'Full Crash Data'!$CH:$CH,"Signal",'Full Crash Data'!$G:$G,$W13),SUMIFS('Full Crash Data'!$V:$V,'Full Crash Data'!$C:$C,"&gt;="&amp;$C$2,'Full Crash Data'!$C:$C,"&lt;="&amp;$E$2,'Full Crash Data'!$AX:$AX,"Yes",'Full Crash Data'!$CH:$CH,"Signal",'Full Crash Data'!$AN:$AN,$D$3,'Full Crash Data'!$G:$G,$W13))</f>
        <v>0</v>
      </c>
      <c r="AW13">
        <f t="shared" si="12"/>
        <v>10</v>
      </c>
      <c r="AX13">
        <f t="shared" si="13"/>
        <v>1.3E-7</v>
      </c>
      <c r="AY13">
        <f>IF($D$3="All",COUNTIFS('Full Crash Data'!$C:$C,"&gt;="&amp;$C$2,'Full Crash Data'!$C:$C,"&lt;="&amp;$E$2,'Full Crash Data'!$AX:$AX,"Yes",'Full Crash Data'!$CH:$CH,"Stop Sign",'Full Crash Data'!$G:$G,$W13)+COUNTIFS('Full Crash Data'!$C:$C,"&gt;="&amp;$C$2,'Full Crash Data'!$C:$C,"&lt;="&amp;$E$2,'Full Crash Data'!$AX:$AX,"Yes",'Full Crash Data'!$CH:$CH,"Yeild Sign",'Full Crash Data'!$G:$G,$W13)+COUNTIFS('Full Crash Data'!$C:$C,"&gt;="&amp;$C$2,'Full Crash Data'!$C:$C,"&lt;="&amp;$E$2,'Full Crash Data'!$AX:$AX,"Yes",'Full Crash Data'!$CH:$CH,"Flasher",'Full Crash Data'!$G:$G,$W13),COUNTIFS('Full Crash Data'!$C:$C,"&gt;="&amp;$C$2,'Full Crash Data'!$C:$C,"&lt;="&amp;$E$2,'Full Crash Data'!$AX:$AX,"Yes",'Full Crash Data'!$CH:$CH,"Stop Sign",'Full Crash Data'!$AN:$AN,$D$3,'Full Crash Data'!$G:$G,$W13)+COUNTIFS('Full Crash Data'!$C:$C,"&gt;="&amp;$C$2,'Full Crash Data'!$C:$C,"&lt;="&amp;$E$2,'Full Crash Data'!$AX:$AX,"Yes",'Full Crash Data'!$CH:$CH,"Yeild Sign",'Full Crash Data'!$AN:$AN,$D$3,'Full Crash Data'!$G:$G,$W13)+COUNTIFS('Full Crash Data'!$C:$C,"&gt;="&amp;$C$2,'Full Crash Data'!$C:$C,"&lt;="&amp;$E$2,'Full Crash Data'!$AX:$AX,"Yes",'Full Crash Data'!$CH:$CH,"Flasher",'Full Crash Data'!$AN:$AN,$D$3,'Full Crash Data'!$G:$G,$W13))</f>
        <v>0</v>
      </c>
      <c r="AZ13">
        <f>IF($D$3="All",SUMIFS('Full Crash Data'!$U:$U,'Full Crash Data'!$C:$C,"&gt;="&amp;$C$2,'Full Crash Data'!$C:$C,"&lt;="&amp;$E$2,'Full Crash Data'!$AX:$AX,"Yes",'Full Crash Data'!$CH:$CH,"Stop Sign",'Full Crash Data'!$G:$G,$W13)+SUMIFS('Full Crash Data'!$U:$U,'Full Crash Data'!$C:$C,"&gt;="&amp;$C$2,'Full Crash Data'!$C:$C,"&lt;="&amp;$E$2,'Full Crash Data'!$AX:$AX,"Yes",'Full Crash Data'!$CH:$CH,"Yeild Sign",'Full Crash Data'!$G:$G,$W13)+SUMIFS('Full Crash Data'!$U:$U,'Full Crash Data'!$C:$C,"&gt;="&amp;$C$2,'Full Crash Data'!$C:$C,"&lt;="&amp;$E$2,'Full Crash Data'!$AX:$AX,"Yes",'Full Crash Data'!$CH:$CH,"Flasher",'Full Crash Data'!$G:$G,$W13),SUMIFS('Full Crash Data'!$U:$U,'Full Crash Data'!$C:$C,"&gt;="&amp;$C$2,'Full Crash Data'!$C:$C,"&lt;="&amp;$E$2,'Full Crash Data'!$AX:$AX,"Yes",'Full Crash Data'!$CH:$CH,"Stop Sign",'Full Crash Data'!$AN:$AN,$D$3,'Full Crash Data'!$G:$G,$W13)+SUMIFS('Full Crash Data'!$U:$U,'Full Crash Data'!$C:$C,"&gt;="&amp;$C$2,'Full Crash Data'!$C:$C,"&lt;="&amp;$E$2,'Full Crash Data'!$AX:$AX,"Yes",'Full Crash Data'!$CH:$CH,"Yeild Sign",'Full Crash Data'!$AN:$AN,$D$3,'Full Crash Data'!$G:$G,$W13)+SUMIFS('Full Crash Data'!$U:$U,'Full Crash Data'!$C:$C,"&gt;="&amp;$C$2,'Full Crash Data'!$C:$C,"&lt;="&amp;$E$2,'Full Crash Data'!$AX:$AX,"Yes",'Full Crash Data'!$CH:$CH,"Flasher",'Full Crash Data'!$AN:$AN,$D$3,'Full Crash Data'!$G:$G,$W13))</f>
        <v>0</v>
      </c>
      <c r="BA13">
        <f>IF($D$3="All",SUMIFS('Full Crash Data'!$V:$V,'Full Crash Data'!$C:$C,"&gt;="&amp;$C$2,'Full Crash Data'!$C:$C,"&lt;="&amp;$E$2,'Full Crash Data'!$AX:$AX,"Yes",'Full Crash Data'!$CH:$CH,"Stop Sign",'Full Crash Data'!$G:$G,$W13)+SUMIFS('Full Crash Data'!$V:$V,'Full Crash Data'!$C:$C,"&gt;="&amp;$C$2,'Full Crash Data'!$C:$C,"&lt;="&amp;$E$2,'Full Crash Data'!$AX:$AX,"Yes",'Full Crash Data'!$CH:$CH,"Yeild Sign",'Full Crash Data'!$G:$G,$W13)+SUMIFS('Full Crash Data'!$V:$V,'Full Crash Data'!$C:$C,"&gt;="&amp;$C$2,'Full Crash Data'!$C:$C,"&lt;="&amp;$E$2,'Full Crash Data'!$AX:$AX,"Yes",'Full Crash Data'!$CH:$CH,"Flasher",'Full Crash Data'!$G:$G,$W13),SUMIFS('Full Crash Data'!$V:$V,'Full Crash Data'!$C:$C,"&gt;="&amp;$C$2,'Full Crash Data'!$C:$C,"&lt;="&amp;$E$2,'Full Crash Data'!$AX:$AX,"Yes",'Full Crash Data'!$CH:$CH,"Stop Sign",'Full Crash Data'!$AN:$AN,$D$3,'Full Crash Data'!$G:$G,$W13)+SUMIFS('Full Crash Data'!$V:$V,'Full Crash Data'!$C:$C,"&gt;="&amp;$C$2,'Full Crash Data'!$C:$C,"&lt;="&amp;$E$2,'Full Crash Data'!$AX:$AX,"Yes",'Full Crash Data'!$CH:$CH,"Yeild Sign",'Full Crash Data'!$AN:$AN,$D$3,'Full Crash Data'!$G:$G,$W13)+SUMIFS('Full Crash Data'!$V:$V,'Full Crash Data'!$C:$C,"&gt;="&amp;$C$2,'Full Crash Data'!$C:$C,"&lt;="&amp;$E$2,'Full Crash Data'!$AX:$AX,"Yes",'Full Crash Data'!$CH:$CH,"Flasher",'Full Crash Data'!$AN:$AN,$D$3,'Full Crash Data'!$G:$G,$W13))</f>
        <v>0</v>
      </c>
      <c r="BB13">
        <f t="shared" si="14"/>
        <v>9</v>
      </c>
      <c r="BC13">
        <f t="shared" si="15"/>
        <v>1.0000001300000001</v>
      </c>
      <c r="BD13">
        <f t="shared" si="16"/>
        <v>1</v>
      </c>
      <c r="BE13">
        <f t="shared" si="17"/>
        <v>0</v>
      </c>
      <c r="BF13">
        <f t="shared" si="18"/>
        <v>0</v>
      </c>
      <c r="BG13" t="s">
        <v>210</v>
      </c>
    </row>
    <row r="14" spans="1:59" x14ac:dyDescent="0.15">
      <c r="B14" s="387"/>
      <c r="D14" s="392"/>
      <c r="I14" s="392"/>
      <c r="K14" s="391"/>
      <c r="L14" s="387"/>
      <c r="N14" s="391"/>
      <c r="V14">
        <v>7</v>
      </c>
      <c r="W14" t="s">
        <v>209</v>
      </c>
      <c r="X14">
        <f t="shared" si="0"/>
        <v>11</v>
      </c>
      <c r="Y14">
        <f t="shared" si="1"/>
        <v>2.00000007</v>
      </c>
      <c r="Z14">
        <f>IF($D$3="All",COUNTIFS('Full Crash Data'!$C:$C,"&gt;="&amp;$C$2,'Full Crash Data'!$C:$C,"&lt;="&amp;$E$2,'Full Crash Data'!$G:$G,$W14,'Full Crash Data'!$AX:$AX,"No"),COUNTIFS('Full Crash Data'!$C:$C,"&gt;="&amp;$C$2,'Full Crash Data'!$C:$C,"&lt;="&amp;$E$2,'Full Crash Data'!$AN:$AN,$D$3,'Full Crash Data'!$G:$G,$W14,'Full Crash Data'!$AX:$AX,"No"))</f>
        <v>2</v>
      </c>
      <c r="AA14">
        <f>IF($D$3="All",SUMIFS('Full Crash Data'!$U:$U,'Full Crash Data'!$C:$C,"&gt;="&amp;$C$2,'Full Crash Data'!$C:$C,"&lt;="&amp;$E$2,'Full Crash Data'!$G:$G,$W14,'Full Crash Data'!$AX:$AX,"No"),SUMIFS('Full Crash Data'!$U:$U,'Full Crash Data'!$C:$C,"&gt;="&amp;$C$2,'Full Crash Data'!$C:$C,"&lt;="&amp;$E$2,'Full Crash Data'!$AN:$AN,$D$3,'Full Crash Data'!$G:$G,$W14,'Full Crash Data'!$AX:$AX,"No"))</f>
        <v>0</v>
      </c>
      <c r="AB14">
        <f>IF($D$3="All",SUMIFS('Full Crash Data'!$V:$V,'Full Crash Data'!$C:$C,"&gt;="&amp;$C$2,'Full Crash Data'!$C:$C,"&lt;="&amp;$E$2,'Full Crash Data'!$G:$G,$W14,'Full Crash Data'!$AX:$AX,"No"),SUMIFS('Full Crash Data'!$V:$V,'Full Crash Data'!$C:$C,"&gt;="&amp;$C$2,'Full Crash Data'!$C:$C,"&lt;="&amp;$E$2,'Full Crash Data'!$AN:$AN,$D$3,'Full Crash Data'!$G:$G,$W14,'Full Crash Data'!$AX:$AX,"No"))</f>
        <v>0</v>
      </c>
      <c r="AC14">
        <f t="shared" si="2"/>
        <v>13</v>
      </c>
      <c r="AD14">
        <f t="shared" si="3"/>
        <v>7.0000000000000005E-8</v>
      </c>
      <c r="AE14">
        <f>IF($D$3="All",COUNTIFS('Full Crash Data'!$C:$C,"&gt;="&amp;$C$2,'Full Crash Data'!$C:$C,"&lt;="&amp;$E$2,'Full Crash Data'!$AX:$AX,"No",'Full Crash Data'!$AW:$AW,"Yes",'Full Crash Data'!$G:$G,$W14),COUNTIFS('Full Crash Data'!$C:$C,"&gt;="&amp;$C$2,'Full Crash Data'!$C:$C,"&lt;="&amp;$E$2,'Full Crash Data'!$AX:$AX,"No",'Full Crash Data'!$AW:$AW,"Yes",'Full Crash Data'!$AN:$AN,$D$3,'Full Crash Data'!$G:$G,$W14))</f>
        <v>0</v>
      </c>
      <c r="AF14">
        <f>IF($D$3="All",SUMIFS('Full Crash Data'!$U:$U,'Full Crash Data'!$C:$C,"&gt;="&amp;$C$2,'Full Crash Data'!$C:$C,"&lt;="&amp;$E$2,'Full Crash Data'!$AX:$AX,"No",'Full Crash Data'!$AW:$AW,"Yes",'Full Crash Data'!$G:$G,$W14),SUMIFS('Full Crash Data'!$U:$U,'Full Crash Data'!$C:$C,"&gt;="&amp;$C$2,'Full Crash Data'!$C:$C,"&lt;="&amp;$E$2,'Full Crash Data'!$AX:$AX,"No",'Full Crash Data'!$AW:$AW,"Yes",'Full Crash Data'!$AN:$AN,$D$3,'Full Crash Data'!$G:$G,$W14))</f>
        <v>0</v>
      </c>
      <c r="AG14">
        <f>IF($D$3="All",SUMIFS('Full Crash Data'!$V:$V,'Full Crash Data'!$C:$C,"&gt;="&amp;$C$2,'Full Crash Data'!$C:$C,"&lt;="&amp;$E$2,'Full Crash Data'!$AX:$AX,"No",'Full Crash Data'!$AW:$AW,"Yes",'Full Crash Data'!$G:$G,$W14),SUMIFS('Full Crash Data'!$V:$V,'Full Crash Data'!$C:$C,"&gt;="&amp;$C$2,'Full Crash Data'!$C:$C,"&lt;="&amp;$E$2,'Full Crash Data'!$AX:$AX,"No",'Full Crash Data'!$AW:$AW,"Yes",'Full Crash Data'!$AN:$AN,$D$3,'Full Crash Data'!$G:$G,$W14))</f>
        <v>0</v>
      </c>
      <c r="AH14">
        <f t="shared" si="4"/>
        <v>8</v>
      </c>
      <c r="AI14">
        <f t="shared" si="5"/>
        <v>2.00000007</v>
      </c>
      <c r="AJ14">
        <f t="shared" si="6"/>
        <v>2</v>
      </c>
      <c r="AK14">
        <f t="shared" si="7"/>
        <v>0</v>
      </c>
      <c r="AL14">
        <f t="shared" si="8"/>
        <v>0</v>
      </c>
      <c r="AM14">
        <f t="shared" si="9"/>
        <v>10</v>
      </c>
      <c r="AN14">
        <f t="shared" si="10"/>
        <v>3.00000007</v>
      </c>
      <c r="AO14">
        <f>IF($D$3="All",COUNTIFS('Full Crash Data'!$C:$C,"&gt;="&amp;$C$2,'Full Crash Data'!$C:$C,"&lt;="&amp;$E$2,'Full Crash Data'!$AX:$AX,"Yes",'Full Crash Data'!$G:$G,$W14),COUNTIFS('Full Crash Data'!$C:$C,"&gt;="&amp;$C$2,'Full Crash Data'!$C:$C,"&lt;="&amp;$E$2,'Full Crash Data'!$AX:$AX,"Yes",'Full Crash Data'!$AN:$AN,$D$3,'Full Crash Data'!$G:$G,$W14))</f>
        <v>3</v>
      </c>
      <c r="AP14">
        <f>IF($D$3="All",SUMIFS('Full Crash Data'!$U:$U,'Full Crash Data'!$C:$C,"&gt;="&amp;$C$2,'Full Crash Data'!$C:$C,"&lt;="&amp;$E$2,'Full Crash Data'!$AX:$AX,"Yes",'Full Crash Data'!$G:$G,$W14),SUMIFS('Full Crash Data'!$U:$U,'Full Crash Data'!$C:$C,"&gt;="&amp;$C$2,'Full Crash Data'!$C:$C,"&lt;="&amp;$E$2,'Full Crash Data'!$AX:$AX,"Yes",'Full Crash Data'!$AN:$AN,$D$3,'Full Crash Data'!$G:$G,$W14))</f>
        <v>0</v>
      </c>
      <c r="AQ14">
        <f>IF($D$3="All",SUMIFS('Full Crash Data'!$V:$V,'Full Crash Data'!$C:$C,"&gt;="&amp;$C$2,'Full Crash Data'!$C:$C,"&lt;="&amp;$E$2,'Full Crash Data'!$AX:$AX,"Yes",'Full Crash Data'!$G:$G,$W14),SUMIFS('Full Crash Data'!$V:$V,'Full Crash Data'!$C:$C,"&gt;="&amp;$C$2,'Full Crash Data'!$C:$C,"&lt;="&amp;$E$2,'Full Crash Data'!$AX:$AX,"Yes",'Full Crash Data'!$AN:$AN,$D$3,'Full Crash Data'!$G:$G,$W14))</f>
        <v>0</v>
      </c>
      <c r="AR14">
        <f t="shared" si="19"/>
        <v>8</v>
      </c>
      <c r="AS14">
        <f t="shared" si="11"/>
        <v>3.00000007</v>
      </c>
      <c r="AT14">
        <f>IF($D$3="All",COUNTIFS('Full Crash Data'!$C:$C,"&gt;="&amp;$C$2,'Full Crash Data'!$C:$C,"&lt;="&amp;$E$2,'Full Crash Data'!$AX:$AX,"Yes",'Full Crash Data'!$CH:$CH,"Signal",'Full Crash Data'!$G:$G,$W14),COUNTIFS('Full Crash Data'!$C:$C,"&gt;="&amp;$C$2,'Full Crash Data'!$C:$C,"&lt;="&amp;$E$2,'Full Crash Data'!$AX:$AX,"Yes",'Full Crash Data'!$CH:$CH,"Signal",'Full Crash Data'!$AN:$AN,$D$3,'Full Crash Data'!$G:$G,$W14))</f>
        <v>3</v>
      </c>
      <c r="AU14">
        <f>IF($D$3="All",SUMIFS('Full Crash Data'!BG:BG,'Full Crash Data'!$C:$C,"&gt;="&amp;$C$2,'Full Crash Data'!$C:$C,"&lt;="&amp;$E$2,'Full Crash Data'!$AX:$AX,"Yes",'Full Crash Data'!$CH:$CH,"Signal",'Full Crash Data'!$G:$G,$W14),SUMIFS('Full Crash Data'!BG:BG,'Full Crash Data'!$C:$C,"&gt;="&amp;$C$2,'Full Crash Data'!$C:$C,"&lt;="&amp;$E$2,'Full Crash Data'!$AX:$AX,"Yes",'Full Crash Data'!$CH:$CH,"Signal",'Full Crash Data'!$AN:$AN,$D$3,'Full Crash Data'!$G:$G,$W14))</f>
        <v>0</v>
      </c>
      <c r="AV14">
        <f>IF($D$3="All",SUMIFS('Full Crash Data'!$V:$V,'Full Crash Data'!$C:$C,"&gt;="&amp;$C$2,'Full Crash Data'!$C:$C,"&lt;="&amp;$E$2,'Full Crash Data'!$AX:$AX,"Yes",'Full Crash Data'!$CH:$CH,"Signal",'Full Crash Data'!$G:$G,$W14),SUMIFS('Full Crash Data'!$V:$V,'Full Crash Data'!$C:$C,"&gt;="&amp;$C$2,'Full Crash Data'!$C:$C,"&lt;="&amp;$E$2,'Full Crash Data'!$AX:$AX,"Yes",'Full Crash Data'!$CH:$CH,"Signal",'Full Crash Data'!$AN:$AN,$D$3,'Full Crash Data'!$G:$G,$W14))</f>
        <v>0</v>
      </c>
      <c r="AW14">
        <f t="shared" si="12"/>
        <v>14</v>
      </c>
      <c r="AX14">
        <f t="shared" si="13"/>
        <v>7.0000000000000005E-8</v>
      </c>
      <c r="AY14">
        <f>IF($D$3="All",COUNTIFS('Full Crash Data'!$C:$C,"&gt;="&amp;$C$2,'Full Crash Data'!$C:$C,"&lt;="&amp;$E$2,'Full Crash Data'!$AX:$AX,"Yes",'Full Crash Data'!$CH:$CH,"Stop Sign",'Full Crash Data'!$G:$G,$W14)+COUNTIFS('Full Crash Data'!$C:$C,"&gt;="&amp;$C$2,'Full Crash Data'!$C:$C,"&lt;="&amp;$E$2,'Full Crash Data'!$AX:$AX,"Yes",'Full Crash Data'!$CH:$CH,"Yeild Sign",'Full Crash Data'!$G:$G,$W14)+COUNTIFS('Full Crash Data'!$C:$C,"&gt;="&amp;$C$2,'Full Crash Data'!$C:$C,"&lt;="&amp;$E$2,'Full Crash Data'!$AX:$AX,"Yes",'Full Crash Data'!$CH:$CH,"Flasher",'Full Crash Data'!$G:$G,$W14),COUNTIFS('Full Crash Data'!$C:$C,"&gt;="&amp;$C$2,'Full Crash Data'!$C:$C,"&lt;="&amp;$E$2,'Full Crash Data'!$AX:$AX,"Yes",'Full Crash Data'!$CH:$CH,"Stop Sign",'Full Crash Data'!$AN:$AN,$D$3,'Full Crash Data'!$G:$G,$W14)+COUNTIFS('Full Crash Data'!$C:$C,"&gt;="&amp;$C$2,'Full Crash Data'!$C:$C,"&lt;="&amp;$E$2,'Full Crash Data'!$AX:$AX,"Yes",'Full Crash Data'!$CH:$CH,"Yeild Sign",'Full Crash Data'!$AN:$AN,$D$3,'Full Crash Data'!$G:$G,$W14)+COUNTIFS('Full Crash Data'!$C:$C,"&gt;="&amp;$C$2,'Full Crash Data'!$C:$C,"&lt;="&amp;$E$2,'Full Crash Data'!$AX:$AX,"Yes",'Full Crash Data'!$CH:$CH,"Flasher",'Full Crash Data'!$AN:$AN,$D$3,'Full Crash Data'!$G:$G,$W14))</f>
        <v>0</v>
      </c>
      <c r="AZ14">
        <f>IF($D$3="All",SUMIFS('Full Crash Data'!$U:$U,'Full Crash Data'!$C:$C,"&gt;="&amp;$C$2,'Full Crash Data'!$C:$C,"&lt;="&amp;$E$2,'Full Crash Data'!$AX:$AX,"Yes",'Full Crash Data'!$CH:$CH,"Stop Sign",'Full Crash Data'!$G:$G,$W14)+SUMIFS('Full Crash Data'!$U:$U,'Full Crash Data'!$C:$C,"&gt;="&amp;$C$2,'Full Crash Data'!$C:$C,"&lt;="&amp;$E$2,'Full Crash Data'!$AX:$AX,"Yes",'Full Crash Data'!$CH:$CH,"Yeild Sign",'Full Crash Data'!$G:$G,$W14)+SUMIFS('Full Crash Data'!$U:$U,'Full Crash Data'!$C:$C,"&gt;="&amp;$C$2,'Full Crash Data'!$C:$C,"&lt;="&amp;$E$2,'Full Crash Data'!$AX:$AX,"Yes",'Full Crash Data'!$CH:$CH,"Flasher",'Full Crash Data'!$G:$G,$W14),SUMIFS('Full Crash Data'!$U:$U,'Full Crash Data'!$C:$C,"&gt;="&amp;$C$2,'Full Crash Data'!$C:$C,"&lt;="&amp;$E$2,'Full Crash Data'!$AX:$AX,"Yes",'Full Crash Data'!$CH:$CH,"Stop Sign",'Full Crash Data'!$AN:$AN,$D$3,'Full Crash Data'!$G:$G,$W14)+SUMIFS('Full Crash Data'!$U:$U,'Full Crash Data'!$C:$C,"&gt;="&amp;$C$2,'Full Crash Data'!$C:$C,"&lt;="&amp;$E$2,'Full Crash Data'!$AX:$AX,"Yes",'Full Crash Data'!$CH:$CH,"Yeild Sign",'Full Crash Data'!$AN:$AN,$D$3,'Full Crash Data'!$G:$G,$W14)+SUMIFS('Full Crash Data'!$U:$U,'Full Crash Data'!$C:$C,"&gt;="&amp;$C$2,'Full Crash Data'!$C:$C,"&lt;="&amp;$E$2,'Full Crash Data'!$AX:$AX,"Yes",'Full Crash Data'!$CH:$CH,"Flasher",'Full Crash Data'!$AN:$AN,$D$3,'Full Crash Data'!$G:$G,$W14))</f>
        <v>0</v>
      </c>
      <c r="BA14">
        <f>IF($D$3="All",SUMIFS('Full Crash Data'!$V:$V,'Full Crash Data'!$C:$C,"&gt;="&amp;$C$2,'Full Crash Data'!$C:$C,"&lt;="&amp;$E$2,'Full Crash Data'!$AX:$AX,"Yes",'Full Crash Data'!$CH:$CH,"Stop Sign",'Full Crash Data'!$G:$G,$W14)+SUMIFS('Full Crash Data'!$V:$V,'Full Crash Data'!$C:$C,"&gt;="&amp;$C$2,'Full Crash Data'!$C:$C,"&lt;="&amp;$E$2,'Full Crash Data'!$AX:$AX,"Yes",'Full Crash Data'!$CH:$CH,"Yeild Sign",'Full Crash Data'!$G:$G,$W14)+SUMIFS('Full Crash Data'!$V:$V,'Full Crash Data'!$C:$C,"&gt;="&amp;$C$2,'Full Crash Data'!$C:$C,"&lt;="&amp;$E$2,'Full Crash Data'!$AX:$AX,"Yes",'Full Crash Data'!$CH:$CH,"Flasher",'Full Crash Data'!$G:$G,$W14),SUMIFS('Full Crash Data'!$V:$V,'Full Crash Data'!$C:$C,"&gt;="&amp;$C$2,'Full Crash Data'!$C:$C,"&lt;="&amp;$E$2,'Full Crash Data'!$AX:$AX,"Yes",'Full Crash Data'!$CH:$CH,"Stop Sign",'Full Crash Data'!$AN:$AN,$D$3,'Full Crash Data'!$G:$G,$W14)+SUMIFS('Full Crash Data'!$V:$V,'Full Crash Data'!$C:$C,"&gt;="&amp;$C$2,'Full Crash Data'!$C:$C,"&lt;="&amp;$E$2,'Full Crash Data'!$AX:$AX,"Yes",'Full Crash Data'!$CH:$CH,"Yeild Sign",'Full Crash Data'!$AN:$AN,$D$3,'Full Crash Data'!$G:$G,$W14)+SUMIFS('Full Crash Data'!$V:$V,'Full Crash Data'!$C:$C,"&gt;="&amp;$C$2,'Full Crash Data'!$C:$C,"&lt;="&amp;$E$2,'Full Crash Data'!$AX:$AX,"Yes",'Full Crash Data'!$CH:$CH,"Flasher",'Full Crash Data'!$AN:$AN,$D$3,'Full Crash Data'!$G:$G,$W14))</f>
        <v>0</v>
      </c>
      <c r="BB14">
        <f t="shared" si="14"/>
        <v>14</v>
      </c>
      <c r="BC14">
        <f t="shared" si="15"/>
        <v>7.0000000000000005E-8</v>
      </c>
      <c r="BD14">
        <f t="shared" si="16"/>
        <v>0</v>
      </c>
      <c r="BE14">
        <f t="shared" si="17"/>
        <v>0</v>
      </c>
      <c r="BF14">
        <f t="shared" si="18"/>
        <v>0</v>
      </c>
      <c r="BG14" t="s">
        <v>209</v>
      </c>
    </row>
    <row r="15" spans="1:59" x14ac:dyDescent="0.15">
      <c r="B15" s="388"/>
      <c r="D15" s="393"/>
      <c r="I15" s="393"/>
      <c r="K15" s="393"/>
      <c r="L15" s="387"/>
      <c r="N15" s="391"/>
      <c r="V15">
        <v>14</v>
      </c>
      <c r="W15" t="s">
        <v>207</v>
      </c>
      <c r="X15">
        <f t="shared" si="0"/>
        <v>14</v>
      </c>
      <c r="Y15">
        <f t="shared" si="1"/>
        <v>1.4000000000000001E-7</v>
      </c>
      <c r="Z15">
        <f>IF($D$3="All",COUNTIFS('Full Crash Data'!$C:$C,"&gt;="&amp;$C$2,'Full Crash Data'!$C:$C,"&lt;="&amp;$E$2,'Full Crash Data'!$G:$G,$W15,'Full Crash Data'!$AX:$AX,"No"),COUNTIFS('Full Crash Data'!$C:$C,"&gt;="&amp;$C$2,'Full Crash Data'!$C:$C,"&lt;="&amp;$E$2,'Full Crash Data'!$AN:$AN,$D$3,'Full Crash Data'!$G:$G,$W15,'Full Crash Data'!$AX:$AX,"No"))</f>
        <v>0</v>
      </c>
      <c r="AA15">
        <f>IF($D$3="All",SUMIFS('Full Crash Data'!$U:$U,'Full Crash Data'!$C:$C,"&gt;="&amp;$C$2,'Full Crash Data'!$C:$C,"&lt;="&amp;$E$2,'Full Crash Data'!$G:$G,$W15,'Full Crash Data'!$AX:$AX,"No"),SUMIFS('Full Crash Data'!$U:$U,'Full Crash Data'!$C:$C,"&gt;="&amp;$C$2,'Full Crash Data'!$C:$C,"&lt;="&amp;$E$2,'Full Crash Data'!$AN:$AN,$D$3,'Full Crash Data'!$G:$G,$W15,'Full Crash Data'!$AX:$AX,"No"))</f>
        <v>0</v>
      </c>
      <c r="AB15">
        <f>IF($D$3="All",SUMIFS('Full Crash Data'!$V:$V,'Full Crash Data'!$C:$C,"&gt;="&amp;$C$2,'Full Crash Data'!$C:$C,"&lt;="&amp;$E$2,'Full Crash Data'!$G:$G,$W15,'Full Crash Data'!$AX:$AX,"No"),SUMIFS('Full Crash Data'!$V:$V,'Full Crash Data'!$C:$C,"&gt;="&amp;$C$2,'Full Crash Data'!$C:$C,"&lt;="&amp;$E$2,'Full Crash Data'!$AN:$AN,$D$3,'Full Crash Data'!$G:$G,$W15,'Full Crash Data'!$AX:$AX,"No"))</f>
        <v>0</v>
      </c>
      <c r="AC15">
        <f t="shared" si="2"/>
        <v>10</v>
      </c>
      <c r="AD15">
        <f t="shared" si="3"/>
        <v>1.4000000000000001E-7</v>
      </c>
      <c r="AE15">
        <f>IF($D$3="All",COUNTIFS('Full Crash Data'!$C:$C,"&gt;="&amp;$C$2,'Full Crash Data'!$C:$C,"&lt;="&amp;$E$2,'Full Crash Data'!$AX:$AX,"No",'Full Crash Data'!$AW:$AW,"Yes",'Full Crash Data'!$G:$G,$W15),COUNTIFS('Full Crash Data'!$C:$C,"&gt;="&amp;$C$2,'Full Crash Data'!$C:$C,"&lt;="&amp;$E$2,'Full Crash Data'!$AX:$AX,"No",'Full Crash Data'!$AW:$AW,"Yes",'Full Crash Data'!$AN:$AN,$D$3,'Full Crash Data'!$G:$G,$W15))</f>
        <v>0</v>
      </c>
      <c r="AF15">
        <f>IF($D$3="All",SUMIFS('Full Crash Data'!$U:$U,'Full Crash Data'!$C:$C,"&gt;="&amp;$C$2,'Full Crash Data'!$C:$C,"&lt;="&amp;$E$2,'Full Crash Data'!$AX:$AX,"No",'Full Crash Data'!$AW:$AW,"Yes",'Full Crash Data'!$G:$G,$W15),SUMIFS('Full Crash Data'!$U:$U,'Full Crash Data'!$C:$C,"&gt;="&amp;$C$2,'Full Crash Data'!$C:$C,"&lt;="&amp;$E$2,'Full Crash Data'!$AX:$AX,"No",'Full Crash Data'!$AW:$AW,"Yes",'Full Crash Data'!$AN:$AN,$D$3,'Full Crash Data'!$G:$G,$W15))</f>
        <v>0</v>
      </c>
      <c r="AG15">
        <f>IF($D$3="All",SUMIFS('Full Crash Data'!$V:$V,'Full Crash Data'!$C:$C,"&gt;="&amp;$C$2,'Full Crash Data'!$C:$C,"&lt;="&amp;$E$2,'Full Crash Data'!$AX:$AX,"No",'Full Crash Data'!$AW:$AW,"Yes",'Full Crash Data'!$G:$G,$W15),SUMIFS('Full Crash Data'!$V:$V,'Full Crash Data'!$C:$C,"&gt;="&amp;$C$2,'Full Crash Data'!$C:$C,"&lt;="&amp;$E$2,'Full Crash Data'!$AX:$AX,"No",'Full Crash Data'!$AW:$AW,"Yes",'Full Crash Data'!$AN:$AN,$D$3,'Full Crash Data'!$G:$G,$W15))</f>
        <v>0</v>
      </c>
      <c r="AH15">
        <f t="shared" si="4"/>
        <v>12</v>
      </c>
      <c r="AI15">
        <f t="shared" si="5"/>
        <v>1.4000000000000001E-7</v>
      </c>
      <c r="AJ15">
        <f t="shared" si="6"/>
        <v>0</v>
      </c>
      <c r="AK15">
        <f t="shared" si="7"/>
        <v>0</v>
      </c>
      <c r="AL15">
        <f t="shared" si="8"/>
        <v>0</v>
      </c>
      <c r="AM15">
        <f t="shared" si="9"/>
        <v>13</v>
      </c>
      <c r="AN15">
        <f t="shared" si="10"/>
        <v>1.4000000000000001E-7</v>
      </c>
      <c r="AO15">
        <f>IF($D$3="All",COUNTIFS('Full Crash Data'!$C:$C,"&gt;="&amp;$C$2,'Full Crash Data'!$C:$C,"&lt;="&amp;$E$2,'Full Crash Data'!$AX:$AX,"Yes",'Full Crash Data'!$G:$G,$W15),COUNTIFS('Full Crash Data'!$C:$C,"&gt;="&amp;$C$2,'Full Crash Data'!$C:$C,"&lt;="&amp;$E$2,'Full Crash Data'!$AX:$AX,"Yes",'Full Crash Data'!$AN:$AN,$D$3,'Full Crash Data'!$G:$G,$W15))</f>
        <v>0</v>
      </c>
      <c r="AP15">
        <f>IF($D$3="All",SUMIFS('Full Crash Data'!$U:$U,'Full Crash Data'!$C:$C,"&gt;="&amp;$C$2,'Full Crash Data'!$C:$C,"&lt;="&amp;$E$2,'Full Crash Data'!$AX:$AX,"Yes",'Full Crash Data'!$G:$G,$W15),SUMIFS('Full Crash Data'!$U:$U,'Full Crash Data'!$C:$C,"&gt;="&amp;$C$2,'Full Crash Data'!$C:$C,"&lt;="&amp;$E$2,'Full Crash Data'!$AX:$AX,"Yes",'Full Crash Data'!$AN:$AN,$D$3,'Full Crash Data'!$G:$G,$W15))</f>
        <v>0</v>
      </c>
      <c r="AQ15">
        <f>IF($D$3="All",SUMIFS('Full Crash Data'!$V:$V,'Full Crash Data'!$C:$C,"&gt;="&amp;$C$2,'Full Crash Data'!$C:$C,"&lt;="&amp;$E$2,'Full Crash Data'!$AX:$AX,"Yes",'Full Crash Data'!$G:$G,$W15),SUMIFS('Full Crash Data'!$V:$V,'Full Crash Data'!$C:$C,"&gt;="&amp;$C$2,'Full Crash Data'!$C:$C,"&lt;="&amp;$E$2,'Full Crash Data'!$AX:$AX,"Yes",'Full Crash Data'!$AN:$AN,$D$3,'Full Crash Data'!$G:$G,$W15))</f>
        <v>0</v>
      </c>
      <c r="AR15">
        <f t="shared" si="19"/>
        <v>13</v>
      </c>
      <c r="AS15">
        <f t="shared" si="11"/>
        <v>1.4000000000000001E-7</v>
      </c>
      <c r="AT15">
        <f>IF($D$3="All",COUNTIFS('Full Crash Data'!$C:$C,"&gt;="&amp;$C$2,'Full Crash Data'!$C:$C,"&lt;="&amp;$E$2,'Full Crash Data'!$AX:$AX,"Yes",'Full Crash Data'!$CH:$CH,"Signal",'Full Crash Data'!$G:$G,$W15),COUNTIFS('Full Crash Data'!$C:$C,"&gt;="&amp;$C$2,'Full Crash Data'!$C:$C,"&lt;="&amp;$E$2,'Full Crash Data'!$AX:$AX,"Yes",'Full Crash Data'!$CH:$CH,"Signal",'Full Crash Data'!$AN:$AN,$D$3,'Full Crash Data'!$G:$G,$W15))</f>
        <v>0</v>
      </c>
      <c r="AU15">
        <f>IF($D$3="All",SUMIFS('Full Crash Data'!BG:BG,'Full Crash Data'!$C:$C,"&gt;="&amp;$C$2,'Full Crash Data'!$C:$C,"&lt;="&amp;$E$2,'Full Crash Data'!$AX:$AX,"Yes",'Full Crash Data'!$CH:$CH,"Signal",'Full Crash Data'!$G:$G,$W15),SUMIFS('Full Crash Data'!BG:BG,'Full Crash Data'!$C:$C,"&gt;="&amp;$C$2,'Full Crash Data'!$C:$C,"&lt;="&amp;$E$2,'Full Crash Data'!$AX:$AX,"Yes",'Full Crash Data'!$CH:$CH,"Signal",'Full Crash Data'!$AN:$AN,$D$3,'Full Crash Data'!$G:$G,$W15))</f>
        <v>0</v>
      </c>
      <c r="AV15">
        <f>IF($D$3="All",SUMIFS('Full Crash Data'!$V:$V,'Full Crash Data'!$C:$C,"&gt;="&amp;$C$2,'Full Crash Data'!$C:$C,"&lt;="&amp;$E$2,'Full Crash Data'!$AX:$AX,"Yes",'Full Crash Data'!$CH:$CH,"Signal",'Full Crash Data'!$G:$G,$W15),SUMIFS('Full Crash Data'!$V:$V,'Full Crash Data'!$C:$C,"&gt;="&amp;$C$2,'Full Crash Data'!$C:$C,"&lt;="&amp;$E$2,'Full Crash Data'!$AX:$AX,"Yes",'Full Crash Data'!$CH:$CH,"Signal",'Full Crash Data'!$AN:$AN,$D$3,'Full Crash Data'!$G:$G,$W15))</f>
        <v>0</v>
      </c>
      <c r="AW15">
        <f t="shared" si="12"/>
        <v>9</v>
      </c>
      <c r="AX15">
        <f t="shared" si="13"/>
        <v>1.4000000000000001E-7</v>
      </c>
      <c r="AY15">
        <f>IF($D$3="All",COUNTIFS('Full Crash Data'!$C:$C,"&gt;="&amp;$C$2,'Full Crash Data'!$C:$C,"&lt;="&amp;$E$2,'Full Crash Data'!$AX:$AX,"Yes",'Full Crash Data'!$CH:$CH,"Stop Sign",'Full Crash Data'!$G:$G,$W15)+COUNTIFS('Full Crash Data'!$C:$C,"&gt;="&amp;$C$2,'Full Crash Data'!$C:$C,"&lt;="&amp;$E$2,'Full Crash Data'!$AX:$AX,"Yes",'Full Crash Data'!$CH:$CH,"Yeild Sign",'Full Crash Data'!$G:$G,$W15)+COUNTIFS('Full Crash Data'!$C:$C,"&gt;="&amp;$C$2,'Full Crash Data'!$C:$C,"&lt;="&amp;$E$2,'Full Crash Data'!$AX:$AX,"Yes",'Full Crash Data'!$CH:$CH,"Flasher",'Full Crash Data'!$G:$G,$W15),COUNTIFS('Full Crash Data'!$C:$C,"&gt;="&amp;$C$2,'Full Crash Data'!$C:$C,"&lt;="&amp;$E$2,'Full Crash Data'!$AX:$AX,"Yes",'Full Crash Data'!$CH:$CH,"Stop Sign",'Full Crash Data'!$AN:$AN,$D$3,'Full Crash Data'!$G:$G,$W15)+COUNTIFS('Full Crash Data'!$C:$C,"&gt;="&amp;$C$2,'Full Crash Data'!$C:$C,"&lt;="&amp;$E$2,'Full Crash Data'!$AX:$AX,"Yes",'Full Crash Data'!$CH:$CH,"Yeild Sign",'Full Crash Data'!$AN:$AN,$D$3,'Full Crash Data'!$G:$G,$W15)+COUNTIFS('Full Crash Data'!$C:$C,"&gt;="&amp;$C$2,'Full Crash Data'!$C:$C,"&lt;="&amp;$E$2,'Full Crash Data'!$AX:$AX,"Yes",'Full Crash Data'!$CH:$CH,"Flasher",'Full Crash Data'!$AN:$AN,$D$3,'Full Crash Data'!$G:$G,$W15))</f>
        <v>0</v>
      </c>
      <c r="AZ15">
        <f>IF($D$3="All",SUMIFS('Full Crash Data'!$U:$U,'Full Crash Data'!$C:$C,"&gt;="&amp;$C$2,'Full Crash Data'!$C:$C,"&lt;="&amp;$E$2,'Full Crash Data'!$AX:$AX,"Yes",'Full Crash Data'!$CH:$CH,"Stop Sign",'Full Crash Data'!$G:$G,$W15)+SUMIFS('Full Crash Data'!$U:$U,'Full Crash Data'!$C:$C,"&gt;="&amp;$C$2,'Full Crash Data'!$C:$C,"&lt;="&amp;$E$2,'Full Crash Data'!$AX:$AX,"Yes",'Full Crash Data'!$CH:$CH,"Yeild Sign",'Full Crash Data'!$G:$G,$W15)+SUMIFS('Full Crash Data'!$U:$U,'Full Crash Data'!$C:$C,"&gt;="&amp;$C$2,'Full Crash Data'!$C:$C,"&lt;="&amp;$E$2,'Full Crash Data'!$AX:$AX,"Yes",'Full Crash Data'!$CH:$CH,"Flasher",'Full Crash Data'!$G:$G,$W15),SUMIFS('Full Crash Data'!$U:$U,'Full Crash Data'!$C:$C,"&gt;="&amp;$C$2,'Full Crash Data'!$C:$C,"&lt;="&amp;$E$2,'Full Crash Data'!$AX:$AX,"Yes",'Full Crash Data'!$CH:$CH,"Stop Sign",'Full Crash Data'!$AN:$AN,$D$3,'Full Crash Data'!$G:$G,$W15)+SUMIFS('Full Crash Data'!$U:$U,'Full Crash Data'!$C:$C,"&gt;="&amp;$C$2,'Full Crash Data'!$C:$C,"&lt;="&amp;$E$2,'Full Crash Data'!$AX:$AX,"Yes",'Full Crash Data'!$CH:$CH,"Yeild Sign",'Full Crash Data'!$AN:$AN,$D$3,'Full Crash Data'!$G:$G,$W15)+SUMIFS('Full Crash Data'!$U:$U,'Full Crash Data'!$C:$C,"&gt;="&amp;$C$2,'Full Crash Data'!$C:$C,"&lt;="&amp;$E$2,'Full Crash Data'!$AX:$AX,"Yes",'Full Crash Data'!$CH:$CH,"Flasher",'Full Crash Data'!$AN:$AN,$D$3,'Full Crash Data'!$G:$G,$W15))</f>
        <v>0</v>
      </c>
      <c r="BA15">
        <f>IF($D$3="All",SUMIFS('Full Crash Data'!$V:$V,'Full Crash Data'!$C:$C,"&gt;="&amp;$C$2,'Full Crash Data'!$C:$C,"&lt;="&amp;$E$2,'Full Crash Data'!$AX:$AX,"Yes",'Full Crash Data'!$CH:$CH,"Stop Sign",'Full Crash Data'!$G:$G,$W15)+SUMIFS('Full Crash Data'!$V:$V,'Full Crash Data'!$C:$C,"&gt;="&amp;$C$2,'Full Crash Data'!$C:$C,"&lt;="&amp;$E$2,'Full Crash Data'!$AX:$AX,"Yes",'Full Crash Data'!$CH:$CH,"Yeild Sign",'Full Crash Data'!$G:$G,$W15)+SUMIFS('Full Crash Data'!$V:$V,'Full Crash Data'!$C:$C,"&gt;="&amp;$C$2,'Full Crash Data'!$C:$C,"&lt;="&amp;$E$2,'Full Crash Data'!$AX:$AX,"Yes",'Full Crash Data'!$CH:$CH,"Flasher",'Full Crash Data'!$G:$G,$W15),SUMIFS('Full Crash Data'!$V:$V,'Full Crash Data'!$C:$C,"&gt;="&amp;$C$2,'Full Crash Data'!$C:$C,"&lt;="&amp;$E$2,'Full Crash Data'!$AX:$AX,"Yes",'Full Crash Data'!$CH:$CH,"Stop Sign",'Full Crash Data'!$AN:$AN,$D$3,'Full Crash Data'!$G:$G,$W15)+SUMIFS('Full Crash Data'!$V:$V,'Full Crash Data'!$C:$C,"&gt;="&amp;$C$2,'Full Crash Data'!$C:$C,"&lt;="&amp;$E$2,'Full Crash Data'!$AX:$AX,"Yes",'Full Crash Data'!$CH:$CH,"Yeild Sign",'Full Crash Data'!$AN:$AN,$D$3,'Full Crash Data'!$G:$G,$W15)+SUMIFS('Full Crash Data'!$V:$V,'Full Crash Data'!$C:$C,"&gt;="&amp;$C$2,'Full Crash Data'!$C:$C,"&lt;="&amp;$E$2,'Full Crash Data'!$AX:$AX,"Yes",'Full Crash Data'!$CH:$CH,"Flasher",'Full Crash Data'!$AN:$AN,$D$3,'Full Crash Data'!$G:$G,$W15))</f>
        <v>0</v>
      </c>
      <c r="BB15">
        <f t="shared" si="14"/>
        <v>10</v>
      </c>
      <c r="BC15">
        <f t="shared" si="15"/>
        <v>1.4000000000000001E-7</v>
      </c>
      <c r="BD15">
        <f t="shared" si="16"/>
        <v>0</v>
      </c>
      <c r="BE15">
        <f t="shared" si="17"/>
        <v>0</v>
      </c>
      <c r="BF15">
        <f t="shared" si="18"/>
        <v>0</v>
      </c>
      <c r="BG15" t="s">
        <v>207</v>
      </c>
    </row>
    <row r="16" spans="1:59" x14ac:dyDescent="0.15">
      <c r="A16" s="680" t="s">
        <v>1178</v>
      </c>
      <c r="B16" s="680"/>
      <c r="D16" s="680" t="s">
        <v>453</v>
      </c>
      <c r="E16" s="680"/>
      <c r="H16" s="680" t="s">
        <v>6082</v>
      </c>
      <c r="I16" s="680"/>
      <c r="K16" s="680" t="s">
        <v>6083</v>
      </c>
      <c r="L16" s="680"/>
      <c r="N16" s="680" t="s">
        <v>453</v>
      </c>
      <c r="O16" s="680"/>
      <c r="V16">
        <v>2</v>
      </c>
      <c r="W16" t="s">
        <v>206</v>
      </c>
      <c r="X16">
        <f t="shared" si="0"/>
        <v>18</v>
      </c>
      <c r="Y16">
        <f t="shared" si="1"/>
        <v>2E-8</v>
      </c>
      <c r="Z16">
        <f>IF($D$3="All",COUNTIFS('Full Crash Data'!$C:$C,"&gt;="&amp;$C$2,'Full Crash Data'!$C:$C,"&lt;="&amp;$E$2,'Full Crash Data'!$G:$G,$W16,'Full Crash Data'!$AX:$AX,"No"),COUNTIFS('Full Crash Data'!$C:$C,"&gt;="&amp;$C$2,'Full Crash Data'!$C:$C,"&lt;="&amp;$E$2,'Full Crash Data'!$AN:$AN,$D$3,'Full Crash Data'!$G:$G,$W16,'Full Crash Data'!$AX:$AX,"No"))</f>
        <v>0</v>
      </c>
      <c r="AA16">
        <f>IF($D$3="All",SUMIFS('Full Crash Data'!$U:$U,'Full Crash Data'!$C:$C,"&gt;="&amp;$C$2,'Full Crash Data'!$C:$C,"&lt;="&amp;$E$2,'Full Crash Data'!$G:$G,$W16,'Full Crash Data'!$AX:$AX,"No"),SUMIFS('Full Crash Data'!$U:$U,'Full Crash Data'!$C:$C,"&gt;="&amp;$C$2,'Full Crash Data'!$C:$C,"&lt;="&amp;$E$2,'Full Crash Data'!$AN:$AN,$D$3,'Full Crash Data'!$G:$G,$W16,'Full Crash Data'!$AX:$AX,"No"))</f>
        <v>0</v>
      </c>
      <c r="AB16">
        <f>IF($D$3="All",SUMIFS('Full Crash Data'!$V:$V,'Full Crash Data'!$C:$C,"&gt;="&amp;$C$2,'Full Crash Data'!$C:$C,"&lt;="&amp;$E$2,'Full Crash Data'!$G:$G,$W16,'Full Crash Data'!$AX:$AX,"No"),SUMIFS('Full Crash Data'!$V:$V,'Full Crash Data'!$C:$C,"&gt;="&amp;$C$2,'Full Crash Data'!$C:$C,"&lt;="&amp;$E$2,'Full Crash Data'!$AN:$AN,$D$3,'Full Crash Data'!$G:$G,$W16,'Full Crash Data'!$AX:$AX,"No"))</f>
        <v>0</v>
      </c>
      <c r="AC16">
        <f t="shared" si="2"/>
        <v>18</v>
      </c>
      <c r="AD16">
        <f t="shared" si="3"/>
        <v>2E-8</v>
      </c>
      <c r="AE16">
        <f>IF($D$3="All",COUNTIFS('Full Crash Data'!$C:$C,"&gt;="&amp;$C$2,'Full Crash Data'!$C:$C,"&lt;="&amp;$E$2,'Full Crash Data'!$AX:$AX,"No",'Full Crash Data'!$AW:$AW,"Yes",'Full Crash Data'!$G:$G,$W16),COUNTIFS('Full Crash Data'!$C:$C,"&gt;="&amp;$C$2,'Full Crash Data'!$C:$C,"&lt;="&amp;$E$2,'Full Crash Data'!$AX:$AX,"No",'Full Crash Data'!$AW:$AW,"Yes",'Full Crash Data'!$AN:$AN,$D$3,'Full Crash Data'!$G:$G,$W16))</f>
        <v>0</v>
      </c>
      <c r="AF16">
        <f>IF($D$3="All",SUMIFS('Full Crash Data'!$U:$U,'Full Crash Data'!$C:$C,"&gt;="&amp;$C$2,'Full Crash Data'!$C:$C,"&lt;="&amp;$E$2,'Full Crash Data'!$AX:$AX,"No",'Full Crash Data'!$AW:$AW,"Yes",'Full Crash Data'!$G:$G,$W16),SUMIFS('Full Crash Data'!$U:$U,'Full Crash Data'!$C:$C,"&gt;="&amp;$C$2,'Full Crash Data'!$C:$C,"&lt;="&amp;$E$2,'Full Crash Data'!$AX:$AX,"No",'Full Crash Data'!$AW:$AW,"Yes",'Full Crash Data'!$AN:$AN,$D$3,'Full Crash Data'!$G:$G,$W16))</f>
        <v>0</v>
      </c>
      <c r="AG16">
        <f>IF($D$3="All",SUMIFS('Full Crash Data'!$V:$V,'Full Crash Data'!$C:$C,"&gt;="&amp;$C$2,'Full Crash Data'!$C:$C,"&lt;="&amp;$E$2,'Full Crash Data'!$AX:$AX,"No",'Full Crash Data'!$AW:$AW,"Yes",'Full Crash Data'!$G:$G,$W16),SUMIFS('Full Crash Data'!$V:$V,'Full Crash Data'!$C:$C,"&gt;="&amp;$C$2,'Full Crash Data'!$C:$C,"&lt;="&amp;$E$2,'Full Crash Data'!$AX:$AX,"No",'Full Crash Data'!$AW:$AW,"Yes",'Full Crash Data'!$AN:$AN,$D$3,'Full Crash Data'!$G:$G,$W16))</f>
        <v>0</v>
      </c>
      <c r="AH16">
        <f t="shared" si="4"/>
        <v>18</v>
      </c>
      <c r="AI16">
        <f t="shared" si="5"/>
        <v>2E-8</v>
      </c>
      <c r="AJ16">
        <f t="shared" si="6"/>
        <v>0</v>
      </c>
      <c r="AK16">
        <f t="shared" si="7"/>
        <v>0</v>
      </c>
      <c r="AL16">
        <f t="shared" si="8"/>
        <v>0</v>
      </c>
      <c r="AM16">
        <f t="shared" si="9"/>
        <v>18</v>
      </c>
      <c r="AN16">
        <f t="shared" si="10"/>
        <v>2E-8</v>
      </c>
      <c r="AO16">
        <f>IF($D$3="All",COUNTIFS('Full Crash Data'!$C:$C,"&gt;="&amp;$C$2,'Full Crash Data'!$C:$C,"&lt;="&amp;$E$2,'Full Crash Data'!$AX:$AX,"Yes",'Full Crash Data'!$G:$G,$W16),COUNTIFS('Full Crash Data'!$C:$C,"&gt;="&amp;$C$2,'Full Crash Data'!$C:$C,"&lt;="&amp;$E$2,'Full Crash Data'!$AX:$AX,"Yes",'Full Crash Data'!$AN:$AN,$D$3,'Full Crash Data'!$G:$G,$W16))</f>
        <v>0</v>
      </c>
      <c r="AP16">
        <f>IF($D$3="All",SUMIFS('Full Crash Data'!$U:$U,'Full Crash Data'!$C:$C,"&gt;="&amp;$C$2,'Full Crash Data'!$C:$C,"&lt;="&amp;$E$2,'Full Crash Data'!$AX:$AX,"Yes",'Full Crash Data'!$G:$G,$W16),SUMIFS('Full Crash Data'!$U:$U,'Full Crash Data'!$C:$C,"&gt;="&amp;$C$2,'Full Crash Data'!$C:$C,"&lt;="&amp;$E$2,'Full Crash Data'!$AX:$AX,"Yes",'Full Crash Data'!$AN:$AN,$D$3,'Full Crash Data'!$G:$G,$W16))</f>
        <v>0</v>
      </c>
      <c r="AQ16">
        <f>IF($D$3="All",SUMIFS('Full Crash Data'!$V:$V,'Full Crash Data'!$C:$C,"&gt;="&amp;$C$2,'Full Crash Data'!$C:$C,"&lt;="&amp;$E$2,'Full Crash Data'!$AX:$AX,"Yes",'Full Crash Data'!$G:$G,$W16),SUMIFS('Full Crash Data'!$V:$V,'Full Crash Data'!$C:$C,"&gt;="&amp;$C$2,'Full Crash Data'!$C:$C,"&lt;="&amp;$E$2,'Full Crash Data'!$AX:$AX,"Yes",'Full Crash Data'!$AN:$AN,$D$3,'Full Crash Data'!$G:$G,$W16))</f>
        <v>0</v>
      </c>
      <c r="AR16">
        <f t="shared" si="19"/>
        <v>18</v>
      </c>
      <c r="AS16">
        <f t="shared" si="11"/>
        <v>2E-8</v>
      </c>
      <c r="AT16">
        <f>IF($D$3="All",COUNTIFS('Full Crash Data'!$C:$C,"&gt;="&amp;$C$2,'Full Crash Data'!$C:$C,"&lt;="&amp;$E$2,'Full Crash Data'!$AX:$AX,"Yes",'Full Crash Data'!$CH:$CH,"Signal",'Full Crash Data'!$G:$G,$W16),COUNTIFS('Full Crash Data'!$C:$C,"&gt;="&amp;$C$2,'Full Crash Data'!$C:$C,"&lt;="&amp;$E$2,'Full Crash Data'!$AX:$AX,"Yes",'Full Crash Data'!$CH:$CH,"Signal",'Full Crash Data'!$AN:$AN,$D$3,'Full Crash Data'!$G:$G,$W16))</f>
        <v>0</v>
      </c>
      <c r="AU16">
        <f>IF($D$3="All",SUMIFS('Full Crash Data'!BG:BG,'Full Crash Data'!$C:$C,"&gt;="&amp;$C$2,'Full Crash Data'!$C:$C,"&lt;="&amp;$E$2,'Full Crash Data'!$AX:$AX,"Yes",'Full Crash Data'!$CH:$CH,"Signal",'Full Crash Data'!$G:$G,$W16),SUMIFS('Full Crash Data'!BG:BG,'Full Crash Data'!$C:$C,"&gt;="&amp;$C$2,'Full Crash Data'!$C:$C,"&lt;="&amp;$E$2,'Full Crash Data'!$AX:$AX,"Yes",'Full Crash Data'!$CH:$CH,"Signal",'Full Crash Data'!$AN:$AN,$D$3,'Full Crash Data'!$G:$G,$W16))</f>
        <v>0</v>
      </c>
      <c r="AV16">
        <f>IF($D$3="All",SUMIFS('Full Crash Data'!$V:$V,'Full Crash Data'!$C:$C,"&gt;="&amp;$C$2,'Full Crash Data'!$C:$C,"&lt;="&amp;$E$2,'Full Crash Data'!$AX:$AX,"Yes",'Full Crash Data'!$CH:$CH,"Signal",'Full Crash Data'!$G:$G,$W16),SUMIFS('Full Crash Data'!$V:$V,'Full Crash Data'!$C:$C,"&gt;="&amp;$C$2,'Full Crash Data'!$C:$C,"&lt;="&amp;$E$2,'Full Crash Data'!$AX:$AX,"Yes",'Full Crash Data'!$CH:$CH,"Signal",'Full Crash Data'!$AN:$AN,$D$3,'Full Crash Data'!$G:$G,$W16))</f>
        <v>0</v>
      </c>
      <c r="AW16">
        <f t="shared" si="12"/>
        <v>18</v>
      </c>
      <c r="AX16">
        <f t="shared" si="13"/>
        <v>2E-8</v>
      </c>
      <c r="AY16">
        <f>IF($D$3="All",COUNTIFS('Full Crash Data'!$C:$C,"&gt;="&amp;$C$2,'Full Crash Data'!$C:$C,"&lt;="&amp;$E$2,'Full Crash Data'!$AX:$AX,"Yes",'Full Crash Data'!$CH:$CH,"Stop Sign",'Full Crash Data'!$G:$G,$W16)+COUNTIFS('Full Crash Data'!$C:$C,"&gt;="&amp;$C$2,'Full Crash Data'!$C:$C,"&lt;="&amp;$E$2,'Full Crash Data'!$AX:$AX,"Yes",'Full Crash Data'!$CH:$CH,"Yeild Sign",'Full Crash Data'!$G:$G,$W16)+COUNTIFS('Full Crash Data'!$C:$C,"&gt;="&amp;$C$2,'Full Crash Data'!$C:$C,"&lt;="&amp;$E$2,'Full Crash Data'!$AX:$AX,"Yes",'Full Crash Data'!$CH:$CH,"Flasher",'Full Crash Data'!$G:$G,$W16),COUNTIFS('Full Crash Data'!$C:$C,"&gt;="&amp;$C$2,'Full Crash Data'!$C:$C,"&lt;="&amp;$E$2,'Full Crash Data'!$AX:$AX,"Yes",'Full Crash Data'!$CH:$CH,"Stop Sign",'Full Crash Data'!$AN:$AN,$D$3,'Full Crash Data'!$G:$G,$W16)+COUNTIFS('Full Crash Data'!$C:$C,"&gt;="&amp;$C$2,'Full Crash Data'!$C:$C,"&lt;="&amp;$E$2,'Full Crash Data'!$AX:$AX,"Yes",'Full Crash Data'!$CH:$CH,"Yeild Sign",'Full Crash Data'!$AN:$AN,$D$3,'Full Crash Data'!$G:$G,$W16)+COUNTIFS('Full Crash Data'!$C:$C,"&gt;="&amp;$C$2,'Full Crash Data'!$C:$C,"&lt;="&amp;$E$2,'Full Crash Data'!$AX:$AX,"Yes",'Full Crash Data'!$CH:$CH,"Flasher",'Full Crash Data'!$AN:$AN,$D$3,'Full Crash Data'!$G:$G,$W16))</f>
        <v>0</v>
      </c>
      <c r="AZ16">
        <f>IF($D$3="All",SUMIFS('Full Crash Data'!$U:$U,'Full Crash Data'!$C:$C,"&gt;="&amp;$C$2,'Full Crash Data'!$C:$C,"&lt;="&amp;$E$2,'Full Crash Data'!$AX:$AX,"Yes",'Full Crash Data'!$CH:$CH,"Stop Sign",'Full Crash Data'!$G:$G,$W16)+SUMIFS('Full Crash Data'!$U:$U,'Full Crash Data'!$C:$C,"&gt;="&amp;$C$2,'Full Crash Data'!$C:$C,"&lt;="&amp;$E$2,'Full Crash Data'!$AX:$AX,"Yes",'Full Crash Data'!$CH:$CH,"Yeild Sign",'Full Crash Data'!$G:$G,$W16)+SUMIFS('Full Crash Data'!$U:$U,'Full Crash Data'!$C:$C,"&gt;="&amp;$C$2,'Full Crash Data'!$C:$C,"&lt;="&amp;$E$2,'Full Crash Data'!$AX:$AX,"Yes",'Full Crash Data'!$CH:$CH,"Flasher",'Full Crash Data'!$G:$G,$W16),SUMIFS('Full Crash Data'!$U:$U,'Full Crash Data'!$C:$C,"&gt;="&amp;$C$2,'Full Crash Data'!$C:$C,"&lt;="&amp;$E$2,'Full Crash Data'!$AX:$AX,"Yes",'Full Crash Data'!$CH:$CH,"Stop Sign",'Full Crash Data'!$AN:$AN,$D$3,'Full Crash Data'!$G:$G,$W16)+SUMIFS('Full Crash Data'!$U:$U,'Full Crash Data'!$C:$C,"&gt;="&amp;$C$2,'Full Crash Data'!$C:$C,"&lt;="&amp;$E$2,'Full Crash Data'!$AX:$AX,"Yes",'Full Crash Data'!$CH:$CH,"Yeild Sign",'Full Crash Data'!$AN:$AN,$D$3,'Full Crash Data'!$G:$G,$W16)+SUMIFS('Full Crash Data'!$U:$U,'Full Crash Data'!$C:$C,"&gt;="&amp;$C$2,'Full Crash Data'!$C:$C,"&lt;="&amp;$E$2,'Full Crash Data'!$AX:$AX,"Yes",'Full Crash Data'!$CH:$CH,"Flasher",'Full Crash Data'!$AN:$AN,$D$3,'Full Crash Data'!$G:$G,$W16))</f>
        <v>0</v>
      </c>
      <c r="BA16">
        <f>IF($D$3="All",SUMIFS('Full Crash Data'!$V:$V,'Full Crash Data'!$C:$C,"&gt;="&amp;$C$2,'Full Crash Data'!$C:$C,"&lt;="&amp;$E$2,'Full Crash Data'!$AX:$AX,"Yes",'Full Crash Data'!$CH:$CH,"Stop Sign",'Full Crash Data'!$G:$G,$W16)+SUMIFS('Full Crash Data'!$V:$V,'Full Crash Data'!$C:$C,"&gt;="&amp;$C$2,'Full Crash Data'!$C:$C,"&lt;="&amp;$E$2,'Full Crash Data'!$AX:$AX,"Yes",'Full Crash Data'!$CH:$CH,"Yeild Sign",'Full Crash Data'!$G:$G,$W16)+SUMIFS('Full Crash Data'!$V:$V,'Full Crash Data'!$C:$C,"&gt;="&amp;$C$2,'Full Crash Data'!$C:$C,"&lt;="&amp;$E$2,'Full Crash Data'!$AX:$AX,"Yes",'Full Crash Data'!$CH:$CH,"Flasher",'Full Crash Data'!$G:$G,$W16),SUMIFS('Full Crash Data'!$V:$V,'Full Crash Data'!$C:$C,"&gt;="&amp;$C$2,'Full Crash Data'!$C:$C,"&lt;="&amp;$E$2,'Full Crash Data'!$AX:$AX,"Yes",'Full Crash Data'!$CH:$CH,"Stop Sign",'Full Crash Data'!$AN:$AN,$D$3,'Full Crash Data'!$G:$G,$W16)+SUMIFS('Full Crash Data'!$V:$V,'Full Crash Data'!$C:$C,"&gt;="&amp;$C$2,'Full Crash Data'!$C:$C,"&lt;="&amp;$E$2,'Full Crash Data'!$AX:$AX,"Yes",'Full Crash Data'!$CH:$CH,"Yeild Sign",'Full Crash Data'!$AN:$AN,$D$3,'Full Crash Data'!$G:$G,$W16)+SUMIFS('Full Crash Data'!$V:$V,'Full Crash Data'!$C:$C,"&gt;="&amp;$C$2,'Full Crash Data'!$C:$C,"&lt;="&amp;$E$2,'Full Crash Data'!$AX:$AX,"Yes",'Full Crash Data'!$CH:$CH,"Flasher",'Full Crash Data'!$AN:$AN,$D$3,'Full Crash Data'!$G:$G,$W16))</f>
        <v>0</v>
      </c>
      <c r="BB16">
        <f t="shared" si="14"/>
        <v>18</v>
      </c>
      <c r="BC16">
        <f t="shared" si="15"/>
        <v>2E-8</v>
      </c>
      <c r="BD16">
        <f t="shared" si="16"/>
        <v>0</v>
      </c>
      <c r="BE16">
        <f t="shared" si="17"/>
        <v>0</v>
      </c>
      <c r="BF16">
        <f t="shared" si="18"/>
        <v>0</v>
      </c>
      <c r="BG16" t="s">
        <v>206</v>
      </c>
    </row>
    <row r="17" spans="1:59" x14ac:dyDescent="0.15">
      <c r="A17" s="385" t="s">
        <v>6085</v>
      </c>
      <c r="B17" s="396">
        <f>IF($D$3="All",COUNTIFS('Full Crash Data'!$C:$C,"&gt;="&amp;$C$2,'Full Crash Data'!$C:$C,"&lt;="&amp;$E$2,'Full Crash Data'!$AX:$AX,"No",'Full Crash Data'!$AW:$AW,"Yes"),COUNTIFS('Full Crash Data'!$C:$C,"&gt;="&amp;$C$2,'Full Crash Data'!$C:$C,"&lt;="&amp;$E$2,'Full Crash Data'!$AX:$AX,"No",'Full Crash Data'!$AW:$AW,"Yes",'Full Crash Data'!$AN:$AN,$D$3))</f>
        <v>31</v>
      </c>
      <c r="D17" s="385" t="s">
        <v>6085</v>
      </c>
      <c r="E17" s="396">
        <f>D11-B17</f>
        <v>88</v>
      </c>
      <c r="H17" s="385" t="s">
        <v>6085</v>
      </c>
      <c r="I17" s="396">
        <f>IF($D$3="All",COUNTIFS('Full Crash Data'!$C:$C,"&gt;="&amp;$C$2,'Full Crash Data'!$C:$C,"&lt;="&amp;$E$2,'Full Crash Data'!$AX:$AX,"Yes",'Full Crash Data'!$CH:$CH,"Signal"),COUNTIFS('Full Crash Data'!$C:$C,"&gt;="&amp;$C$2,'Full Crash Data'!$C:$C,"&lt;="&amp;$E$2,'Full Crash Data'!$AX:$AX,"Yes",'Full Crash Data'!$CH:$CH,"Signal",'Full Crash Data'!$AN:$AN,$D$3))</f>
        <v>109</v>
      </c>
      <c r="K17" s="385" t="s">
        <v>6085</v>
      </c>
      <c r="L17" s="396">
        <f>IF($D$3="All",COUNTIFS('Full Crash Data'!$C:$C,"&gt;="&amp;$C$2,'Full Crash Data'!$C:$C,"&lt;="&amp;$E$2,'Full Crash Data'!$AX:$AX,"Yes",'Full Crash Data'!$CH:$CH,"Stop Sign")+COUNTIFS('Full Crash Data'!$C:$C,"&gt;="&amp;$C$2,'Full Crash Data'!$C:$C,"&lt;="&amp;$E$2,'Full Crash Data'!$AX:$AX,"Yes",'Full Crash Data'!$CH:$CH,"Yeild Sign")+COUNTIFS('Full Crash Data'!$C:$C,"&gt;="&amp;$C$2,'Full Crash Data'!$C:$C,"&lt;="&amp;$E$2,'Full Crash Data'!$AX:$AX,"Yes",'Full Crash Data'!$CH:$CH,"Flasher"),COUNTIFS('Full Crash Data'!$C:$C,"&gt;="&amp;$C$2,'Full Crash Data'!$C:$C,"&lt;="&amp;$E$2,'Full Crash Data'!$AX:$AX,"Yes",'Full Crash Data'!$CH:$CH,"Stop Sign",'Full Crash Data'!$AN:$AN,$D$3)+COUNTIFS('Full Crash Data'!$C:$C,"&gt;="&amp;$C$2,'Full Crash Data'!$C:$C,"&lt;="&amp;$E$2,'Full Crash Data'!$AX:$AX,"Yes",'Full Crash Data'!$CH:$CH,"Yeild Sign",'Full Crash Data'!$AN:$AN,$D$3)+COUNTIFS('Full Crash Data'!$C:$C,"&gt;="&amp;$C$2,'Full Crash Data'!$C:$C,"&lt;="&amp;$E$2,'Full Crash Data'!$AX:$AX,"Yes",'Full Crash Data'!$CH:$CH,"Flasher",'Full Crash Data'!$AN:$AN,$D$3))</f>
        <v>24</v>
      </c>
      <c r="N17" s="385" t="s">
        <v>6085</v>
      </c>
      <c r="O17" s="396">
        <f>J11-I17-L17</f>
        <v>56</v>
      </c>
      <c r="Q17">
        <f>SUM(O17,L17,I17)</f>
        <v>189</v>
      </c>
      <c r="V17">
        <v>4</v>
      </c>
      <c r="W17" t="s">
        <v>313</v>
      </c>
      <c r="X17">
        <f t="shared" si="0"/>
        <v>17</v>
      </c>
      <c r="Y17">
        <f t="shared" si="1"/>
        <v>4.0000000000000001E-8</v>
      </c>
      <c r="Z17">
        <f>IF($D$3="All",COUNTIFS('Full Crash Data'!$C:$C,"&gt;="&amp;$C$2,'Full Crash Data'!$C:$C,"&lt;="&amp;$E$2,'Full Crash Data'!$G:$G,$W17,'Full Crash Data'!$AX:$AX,"No"),COUNTIFS('Full Crash Data'!$C:$C,"&gt;="&amp;$C$2,'Full Crash Data'!$C:$C,"&lt;="&amp;$E$2,'Full Crash Data'!$AN:$AN,$D$3,'Full Crash Data'!$G:$G,$W17,'Full Crash Data'!$AX:$AX,"No"))</f>
        <v>0</v>
      </c>
      <c r="AA17">
        <f>IF($D$3="All",SUMIFS('Full Crash Data'!$U:$U,'Full Crash Data'!$C:$C,"&gt;="&amp;$C$2,'Full Crash Data'!$C:$C,"&lt;="&amp;$E$2,'Full Crash Data'!$G:$G,$W17,'Full Crash Data'!$AX:$AX,"No"),SUMIFS('Full Crash Data'!$U:$U,'Full Crash Data'!$C:$C,"&gt;="&amp;$C$2,'Full Crash Data'!$C:$C,"&lt;="&amp;$E$2,'Full Crash Data'!$AN:$AN,$D$3,'Full Crash Data'!$G:$G,$W17,'Full Crash Data'!$AX:$AX,"No"))</f>
        <v>0</v>
      </c>
      <c r="AB17">
        <f>IF($D$3="All",SUMIFS('Full Crash Data'!$V:$V,'Full Crash Data'!$C:$C,"&gt;="&amp;$C$2,'Full Crash Data'!$C:$C,"&lt;="&amp;$E$2,'Full Crash Data'!$G:$G,$W17,'Full Crash Data'!$AX:$AX,"No"),SUMIFS('Full Crash Data'!$V:$V,'Full Crash Data'!$C:$C,"&gt;="&amp;$C$2,'Full Crash Data'!$C:$C,"&lt;="&amp;$E$2,'Full Crash Data'!$AN:$AN,$D$3,'Full Crash Data'!$G:$G,$W17,'Full Crash Data'!$AX:$AX,"No"))</f>
        <v>0</v>
      </c>
      <c r="AC17">
        <f t="shared" si="2"/>
        <v>16</v>
      </c>
      <c r="AD17">
        <f t="shared" si="3"/>
        <v>4.0000000000000001E-8</v>
      </c>
      <c r="AE17">
        <f>IF($D$3="All",COUNTIFS('Full Crash Data'!$C:$C,"&gt;="&amp;$C$2,'Full Crash Data'!$C:$C,"&lt;="&amp;$E$2,'Full Crash Data'!$AX:$AX,"No",'Full Crash Data'!$AW:$AW,"Yes",'Full Crash Data'!$G:$G,$W17),COUNTIFS('Full Crash Data'!$C:$C,"&gt;="&amp;$C$2,'Full Crash Data'!$C:$C,"&lt;="&amp;$E$2,'Full Crash Data'!$AX:$AX,"No",'Full Crash Data'!$AW:$AW,"Yes",'Full Crash Data'!$AN:$AN,$D$3,'Full Crash Data'!$G:$G,$W17))</f>
        <v>0</v>
      </c>
      <c r="AF17">
        <f>IF($D$3="All",SUMIFS('Full Crash Data'!$U:$U,'Full Crash Data'!$C:$C,"&gt;="&amp;$C$2,'Full Crash Data'!$C:$C,"&lt;="&amp;$E$2,'Full Crash Data'!$AX:$AX,"No",'Full Crash Data'!$AW:$AW,"Yes",'Full Crash Data'!$G:$G,$W17),SUMIFS('Full Crash Data'!$U:$U,'Full Crash Data'!$C:$C,"&gt;="&amp;$C$2,'Full Crash Data'!$C:$C,"&lt;="&amp;$E$2,'Full Crash Data'!$AX:$AX,"No",'Full Crash Data'!$AW:$AW,"Yes",'Full Crash Data'!$AN:$AN,$D$3,'Full Crash Data'!$G:$G,$W17))</f>
        <v>0</v>
      </c>
      <c r="AG17">
        <f>IF($D$3="All",SUMIFS('Full Crash Data'!$V:$V,'Full Crash Data'!$C:$C,"&gt;="&amp;$C$2,'Full Crash Data'!$C:$C,"&lt;="&amp;$E$2,'Full Crash Data'!$AX:$AX,"No",'Full Crash Data'!$AW:$AW,"Yes",'Full Crash Data'!$G:$G,$W17),SUMIFS('Full Crash Data'!$V:$V,'Full Crash Data'!$C:$C,"&gt;="&amp;$C$2,'Full Crash Data'!$C:$C,"&lt;="&amp;$E$2,'Full Crash Data'!$AX:$AX,"No",'Full Crash Data'!$AW:$AW,"Yes",'Full Crash Data'!$AN:$AN,$D$3,'Full Crash Data'!$G:$G,$W17))</f>
        <v>0</v>
      </c>
      <c r="AH17">
        <f t="shared" si="4"/>
        <v>17</v>
      </c>
      <c r="AI17">
        <f t="shared" si="5"/>
        <v>4.0000000000000001E-8</v>
      </c>
      <c r="AJ17">
        <f t="shared" si="6"/>
        <v>0</v>
      </c>
      <c r="AK17">
        <f t="shared" si="7"/>
        <v>0</v>
      </c>
      <c r="AL17">
        <f t="shared" si="8"/>
        <v>0</v>
      </c>
      <c r="AM17">
        <f t="shared" si="9"/>
        <v>9</v>
      </c>
      <c r="AN17">
        <f t="shared" si="10"/>
        <v>5.0000000399999998</v>
      </c>
      <c r="AO17">
        <f>IF($D$3="All",COUNTIFS('Full Crash Data'!$C:$C,"&gt;="&amp;$C$2,'Full Crash Data'!$C:$C,"&lt;="&amp;$E$2,'Full Crash Data'!$AX:$AX,"Yes",'Full Crash Data'!$G:$G,$W17),COUNTIFS('Full Crash Data'!$C:$C,"&gt;="&amp;$C$2,'Full Crash Data'!$C:$C,"&lt;="&amp;$E$2,'Full Crash Data'!$AX:$AX,"Yes",'Full Crash Data'!$AN:$AN,$D$3,'Full Crash Data'!$G:$G,$W17))</f>
        <v>5</v>
      </c>
      <c r="AP17">
        <f>IF($D$3="All",SUMIFS('Full Crash Data'!$U:$U,'Full Crash Data'!$C:$C,"&gt;="&amp;$C$2,'Full Crash Data'!$C:$C,"&lt;="&amp;$E$2,'Full Crash Data'!$AX:$AX,"Yes",'Full Crash Data'!$G:$G,$W17),SUMIFS('Full Crash Data'!$U:$U,'Full Crash Data'!$C:$C,"&gt;="&amp;$C$2,'Full Crash Data'!$C:$C,"&lt;="&amp;$E$2,'Full Crash Data'!$AX:$AX,"Yes",'Full Crash Data'!$AN:$AN,$D$3,'Full Crash Data'!$G:$G,$W17))</f>
        <v>0</v>
      </c>
      <c r="AQ17">
        <f>IF($D$3="All",SUMIFS('Full Crash Data'!$V:$V,'Full Crash Data'!$C:$C,"&gt;="&amp;$C$2,'Full Crash Data'!$C:$C,"&lt;="&amp;$E$2,'Full Crash Data'!$AX:$AX,"Yes",'Full Crash Data'!$G:$G,$W17),SUMIFS('Full Crash Data'!$V:$V,'Full Crash Data'!$C:$C,"&gt;="&amp;$C$2,'Full Crash Data'!$C:$C,"&lt;="&amp;$E$2,'Full Crash Data'!$AX:$AX,"Yes",'Full Crash Data'!$AN:$AN,$D$3,'Full Crash Data'!$G:$G,$W17))</f>
        <v>0</v>
      </c>
      <c r="AR17">
        <f t="shared" si="19"/>
        <v>12</v>
      </c>
      <c r="AS17">
        <f t="shared" si="11"/>
        <v>1.00000004</v>
      </c>
      <c r="AT17">
        <f>IF($D$3="All",COUNTIFS('Full Crash Data'!$C:$C,"&gt;="&amp;$C$2,'Full Crash Data'!$C:$C,"&lt;="&amp;$E$2,'Full Crash Data'!$AX:$AX,"Yes",'Full Crash Data'!$CH:$CH,"Signal",'Full Crash Data'!$G:$G,$W17),COUNTIFS('Full Crash Data'!$C:$C,"&gt;="&amp;$C$2,'Full Crash Data'!$C:$C,"&lt;="&amp;$E$2,'Full Crash Data'!$AX:$AX,"Yes",'Full Crash Data'!$CH:$CH,"Signal",'Full Crash Data'!$AN:$AN,$D$3,'Full Crash Data'!$G:$G,$W17))</f>
        <v>1</v>
      </c>
      <c r="AU17">
        <f>IF($D$3="All",SUMIFS('Full Crash Data'!BG:BG,'Full Crash Data'!$C:$C,"&gt;="&amp;$C$2,'Full Crash Data'!$C:$C,"&lt;="&amp;$E$2,'Full Crash Data'!$AX:$AX,"Yes",'Full Crash Data'!$CH:$CH,"Signal",'Full Crash Data'!$G:$G,$W17),SUMIFS('Full Crash Data'!BG:BG,'Full Crash Data'!$C:$C,"&gt;="&amp;$C$2,'Full Crash Data'!$C:$C,"&lt;="&amp;$E$2,'Full Crash Data'!$AX:$AX,"Yes",'Full Crash Data'!$CH:$CH,"Signal",'Full Crash Data'!$AN:$AN,$D$3,'Full Crash Data'!$G:$G,$W17))</f>
        <v>0</v>
      </c>
      <c r="AV17">
        <f>IF($D$3="All",SUMIFS('Full Crash Data'!$V:$V,'Full Crash Data'!$C:$C,"&gt;="&amp;$C$2,'Full Crash Data'!$C:$C,"&lt;="&amp;$E$2,'Full Crash Data'!$AX:$AX,"Yes",'Full Crash Data'!$CH:$CH,"Signal",'Full Crash Data'!$G:$G,$W17),SUMIFS('Full Crash Data'!$V:$V,'Full Crash Data'!$C:$C,"&gt;="&amp;$C$2,'Full Crash Data'!$C:$C,"&lt;="&amp;$E$2,'Full Crash Data'!$AX:$AX,"Yes",'Full Crash Data'!$CH:$CH,"Signal",'Full Crash Data'!$AN:$AN,$D$3,'Full Crash Data'!$G:$G,$W17))</f>
        <v>0</v>
      </c>
      <c r="AW17">
        <f t="shared" si="12"/>
        <v>6</v>
      </c>
      <c r="AX17">
        <f t="shared" si="13"/>
        <v>1.00000004</v>
      </c>
      <c r="AY17">
        <f>IF($D$3="All",COUNTIFS('Full Crash Data'!$C:$C,"&gt;="&amp;$C$2,'Full Crash Data'!$C:$C,"&lt;="&amp;$E$2,'Full Crash Data'!$AX:$AX,"Yes",'Full Crash Data'!$CH:$CH,"Stop Sign",'Full Crash Data'!$G:$G,$W17)+COUNTIFS('Full Crash Data'!$C:$C,"&gt;="&amp;$C$2,'Full Crash Data'!$C:$C,"&lt;="&amp;$E$2,'Full Crash Data'!$AX:$AX,"Yes",'Full Crash Data'!$CH:$CH,"Yeild Sign",'Full Crash Data'!$G:$G,$W17)+COUNTIFS('Full Crash Data'!$C:$C,"&gt;="&amp;$C$2,'Full Crash Data'!$C:$C,"&lt;="&amp;$E$2,'Full Crash Data'!$AX:$AX,"Yes",'Full Crash Data'!$CH:$CH,"Flasher",'Full Crash Data'!$G:$G,$W17),COUNTIFS('Full Crash Data'!$C:$C,"&gt;="&amp;$C$2,'Full Crash Data'!$C:$C,"&lt;="&amp;$E$2,'Full Crash Data'!$AX:$AX,"Yes",'Full Crash Data'!$CH:$CH,"Stop Sign",'Full Crash Data'!$AN:$AN,$D$3,'Full Crash Data'!$G:$G,$W17)+COUNTIFS('Full Crash Data'!$C:$C,"&gt;="&amp;$C$2,'Full Crash Data'!$C:$C,"&lt;="&amp;$E$2,'Full Crash Data'!$AX:$AX,"Yes",'Full Crash Data'!$CH:$CH,"Yeild Sign",'Full Crash Data'!$AN:$AN,$D$3,'Full Crash Data'!$G:$G,$W17)+COUNTIFS('Full Crash Data'!$C:$C,"&gt;="&amp;$C$2,'Full Crash Data'!$C:$C,"&lt;="&amp;$E$2,'Full Crash Data'!$AX:$AX,"Yes",'Full Crash Data'!$CH:$CH,"Flasher",'Full Crash Data'!$AN:$AN,$D$3,'Full Crash Data'!$G:$G,$W17))</f>
        <v>1</v>
      </c>
      <c r="AZ17">
        <f>IF($D$3="All",SUMIFS('Full Crash Data'!$U:$U,'Full Crash Data'!$C:$C,"&gt;="&amp;$C$2,'Full Crash Data'!$C:$C,"&lt;="&amp;$E$2,'Full Crash Data'!$AX:$AX,"Yes",'Full Crash Data'!$CH:$CH,"Stop Sign",'Full Crash Data'!$G:$G,$W17)+SUMIFS('Full Crash Data'!$U:$U,'Full Crash Data'!$C:$C,"&gt;="&amp;$C$2,'Full Crash Data'!$C:$C,"&lt;="&amp;$E$2,'Full Crash Data'!$AX:$AX,"Yes",'Full Crash Data'!$CH:$CH,"Yeild Sign",'Full Crash Data'!$G:$G,$W17)+SUMIFS('Full Crash Data'!$U:$U,'Full Crash Data'!$C:$C,"&gt;="&amp;$C$2,'Full Crash Data'!$C:$C,"&lt;="&amp;$E$2,'Full Crash Data'!$AX:$AX,"Yes",'Full Crash Data'!$CH:$CH,"Flasher",'Full Crash Data'!$G:$G,$W17),SUMIFS('Full Crash Data'!$U:$U,'Full Crash Data'!$C:$C,"&gt;="&amp;$C$2,'Full Crash Data'!$C:$C,"&lt;="&amp;$E$2,'Full Crash Data'!$AX:$AX,"Yes",'Full Crash Data'!$CH:$CH,"Stop Sign",'Full Crash Data'!$AN:$AN,$D$3,'Full Crash Data'!$G:$G,$W17)+SUMIFS('Full Crash Data'!$U:$U,'Full Crash Data'!$C:$C,"&gt;="&amp;$C$2,'Full Crash Data'!$C:$C,"&lt;="&amp;$E$2,'Full Crash Data'!$AX:$AX,"Yes",'Full Crash Data'!$CH:$CH,"Yeild Sign",'Full Crash Data'!$AN:$AN,$D$3,'Full Crash Data'!$G:$G,$W17)+SUMIFS('Full Crash Data'!$U:$U,'Full Crash Data'!$C:$C,"&gt;="&amp;$C$2,'Full Crash Data'!$C:$C,"&lt;="&amp;$E$2,'Full Crash Data'!$AX:$AX,"Yes",'Full Crash Data'!$CH:$CH,"Flasher",'Full Crash Data'!$AN:$AN,$D$3,'Full Crash Data'!$G:$G,$W17))</f>
        <v>0</v>
      </c>
      <c r="BA17">
        <f>IF($D$3="All",SUMIFS('Full Crash Data'!$V:$V,'Full Crash Data'!$C:$C,"&gt;="&amp;$C$2,'Full Crash Data'!$C:$C,"&lt;="&amp;$E$2,'Full Crash Data'!$AX:$AX,"Yes",'Full Crash Data'!$CH:$CH,"Stop Sign",'Full Crash Data'!$G:$G,$W17)+SUMIFS('Full Crash Data'!$V:$V,'Full Crash Data'!$C:$C,"&gt;="&amp;$C$2,'Full Crash Data'!$C:$C,"&lt;="&amp;$E$2,'Full Crash Data'!$AX:$AX,"Yes",'Full Crash Data'!$CH:$CH,"Yeild Sign",'Full Crash Data'!$G:$G,$W17)+SUMIFS('Full Crash Data'!$V:$V,'Full Crash Data'!$C:$C,"&gt;="&amp;$C$2,'Full Crash Data'!$C:$C,"&lt;="&amp;$E$2,'Full Crash Data'!$AX:$AX,"Yes",'Full Crash Data'!$CH:$CH,"Flasher",'Full Crash Data'!$G:$G,$W17),SUMIFS('Full Crash Data'!$V:$V,'Full Crash Data'!$C:$C,"&gt;="&amp;$C$2,'Full Crash Data'!$C:$C,"&lt;="&amp;$E$2,'Full Crash Data'!$AX:$AX,"Yes",'Full Crash Data'!$CH:$CH,"Stop Sign",'Full Crash Data'!$AN:$AN,$D$3,'Full Crash Data'!$G:$G,$W17)+SUMIFS('Full Crash Data'!$V:$V,'Full Crash Data'!$C:$C,"&gt;="&amp;$C$2,'Full Crash Data'!$C:$C,"&lt;="&amp;$E$2,'Full Crash Data'!$AX:$AX,"Yes",'Full Crash Data'!$CH:$CH,"Yeild Sign",'Full Crash Data'!$AN:$AN,$D$3,'Full Crash Data'!$G:$G,$W17)+SUMIFS('Full Crash Data'!$V:$V,'Full Crash Data'!$C:$C,"&gt;="&amp;$C$2,'Full Crash Data'!$C:$C,"&lt;="&amp;$E$2,'Full Crash Data'!$AX:$AX,"Yes",'Full Crash Data'!$CH:$CH,"Flasher",'Full Crash Data'!$AN:$AN,$D$3,'Full Crash Data'!$G:$G,$W17))</f>
        <v>0</v>
      </c>
      <c r="BB17">
        <f t="shared" si="14"/>
        <v>8</v>
      </c>
      <c r="BC17">
        <f t="shared" si="15"/>
        <v>3.0000000400000002</v>
      </c>
      <c r="BD17">
        <f t="shared" si="16"/>
        <v>3</v>
      </c>
      <c r="BE17">
        <f t="shared" si="17"/>
        <v>0</v>
      </c>
      <c r="BF17">
        <f t="shared" si="18"/>
        <v>0</v>
      </c>
      <c r="BG17" t="s">
        <v>313</v>
      </c>
    </row>
    <row r="18" spans="1:59" x14ac:dyDescent="0.15">
      <c r="A18" s="385" t="s">
        <v>131</v>
      </c>
      <c r="B18" s="396">
        <f>IF($D$3="All",SUMIFS('Full Crash Data'!$U:$U,'Full Crash Data'!$C:$C,"&gt;="&amp;$C$2,'Full Crash Data'!$C:$C,"&lt;="&amp;$E$2,'Full Crash Data'!$AX:$AX,"No",'Full Crash Data'!$AW:$AW,"Yes"),SUMIFS('Full Crash Data'!$U:$U,'Full Crash Data'!$C:$C,"&gt;="&amp;$C$2,'Full Crash Data'!$C:$C,"&lt;="&amp;$E$2,'Full Crash Data'!$AX:$AX,"No",'Full Crash Data'!$AW:$AW,"Yes",'Full Crash Data'!$AN:$AN,$D$3))</f>
        <v>0</v>
      </c>
      <c r="D18" s="385" t="s">
        <v>131</v>
      </c>
      <c r="E18" s="396">
        <f t="shared" ref="E18:E19" si="20">D12-B18</f>
        <v>0</v>
      </c>
      <c r="H18" s="385" t="s">
        <v>131</v>
      </c>
      <c r="I18" s="396">
        <f>IF($D$3="All",SUMIFS('Full Crash Data'!U:U,'Full Crash Data'!$C:$C,"&gt;="&amp;$C$2,'Full Crash Data'!$C:$C,"&lt;="&amp;$E$2,'Full Crash Data'!$AX:$AX,"Yes",'Full Crash Data'!$CH:$CH,"Signal"),SUMIFS('Full Crash Data'!U:U,'Full Crash Data'!$C:$C,"&gt;="&amp;$C$2,'Full Crash Data'!$C:$C,"&lt;="&amp;$E$2,'Full Crash Data'!$AX:$AX,"Yes",'Full Crash Data'!$CH:$CH,"Signal",'Full Crash Data'!$AN:$AN,$D$3))</f>
        <v>1</v>
      </c>
      <c r="K18" s="385" t="s">
        <v>131</v>
      </c>
      <c r="L18" s="396">
        <f>IF($D$3="All",SUMIFS('Full Crash Data'!$U:$U,'Full Crash Data'!$C:$C,"&gt;="&amp;$C$2,'Full Crash Data'!$C:$C,"&lt;="&amp;$E$2,'Full Crash Data'!$AX:$AX,"Yes",'Full Crash Data'!$CH:$CH,"Stop Sign")+SUMIFS('Full Crash Data'!$U:$U,'Full Crash Data'!$C:$C,"&gt;="&amp;$C$2,'Full Crash Data'!$C:$C,"&lt;="&amp;$E$2,'Full Crash Data'!$AX:$AX,"Yes",'Full Crash Data'!$CH:$CH,"Yeild Sign")+SUMIFS('Full Crash Data'!$U:$U,'Full Crash Data'!$C:$C,"&gt;="&amp;$C$2,'Full Crash Data'!$C:$C,"&lt;="&amp;$E$2,'Full Crash Data'!$AX:$AX,"Yes",'Full Crash Data'!$CH:$CH,"Flasher"),SUMIFS('Full Crash Data'!$U:$U,'Full Crash Data'!$C:$C,"&gt;="&amp;$C$2,'Full Crash Data'!$C:$C,"&lt;="&amp;$E$2,'Full Crash Data'!$AX:$AX,"Yes",'Full Crash Data'!$CH:$CH,"Stop Sign",'Full Crash Data'!$AN:$AN,$D$3)+SUMIFS('Full Crash Data'!$U:$U,'Full Crash Data'!$C:$C,"&gt;="&amp;$C$2,'Full Crash Data'!$C:$C,"&lt;="&amp;$E$2,'Full Crash Data'!$AX:$AX,"Yes",'Full Crash Data'!$CH:$CH,"Yeild Sign",'Full Crash Data'!$AN:$AN,$D$3)+SUMIFS('Full Crash Data'!$U:$U,'Full Crash Data'!$C:$C,"&gt;="&amp;$C$2,'Full Crash Data'!$C:$C,"&lt;="&amp;$E$2,'Full Crash Data'!$AX:$AX,"Yes",'Full Crash Data'!$CH:$CH,"Flasher",'Full Crash Data'!$AN:$AN,$D$3))</f>
        <v>0</v>
      </c>
      <c r="N18" s="385" t="s">
        <v>131</v>
      </c>
      <c r="O18" s="396">
        <f t="shared" ref="O18:O19" si="21">J12-I18-L18</f>
        <v>0</v>
      </c>
      <c r="Q18">
        <f t="shared" ref="Q18:Q19" si="22">SUM(O18,L18,I18)</f>
        <v>1</v>
      </c>
      <c r="V18">
        <v>1</v>
      </c>
      <c r="W18" t="s">
        <v>497</v>
      </c>
      <c r="X18">
        <f t="shared" si="0"/>
        <v>19</v>
      </c>
      <c r="Y18">
        <f t="shared" si="1"/>
        <v>1E-8</v>
      </c>
      <c r="Z18">
        <f>IF($D$3="All",COUNTIFS('Full Crash Data'!$C:$C,"&gt;="&amp;$C$2,'Full Crash Data'!$C:$C,"&lt;="&amp;$E$2,'Full Crash Data'!$G:$G,$W18,'Full Crash Data'!$AX:$AX,"No"),COUNTIFS('Full Crash Data'!$C:$C,"&gt;="&amp;$C$2,'Full Crash Data'!$C:$C,"&lt;="&amp;$E$2,'Full Crash Data'!$AN:$AN,$D$3,'Full Crash Data'!$G:$G,$W18,'Full Crash Data'!$AX:$AX,"No"))</f>
        <v>0</v>
      </c>
      <c r="AA18">
        <f>IF($D$3="All",SUMIFS('Full Crash Data'!$U:$U,'Full Crash Data'!$C:$C,"&gt;="&amp;$C$2,'Full Crash Data'!$C:$C,"&lt;="&amp;$E$2,'Full Crash Data'!$G:$G,$W18,'Full Crash Data'!$AX:$AX,"No"),SUMIFS('Full Crash Data'!$U:$U,'Full Crash Data'!$C:$C,"&gt;="&amp;$C$2,'Full Crash Data'!$C:$C,"&lt;="&amp;$E$2,'Full Crash Data'!$AN:$AN,$D$3,'Full Crash Data'!$G:$G,$W18,'Full Crash Data'!$AX:$AX,"No"))</f>
        <v>0</v>
      </c>
      <c r="AB18">
        <f>IF($D$3="All",SUMIFS('Full Crash Data'!$V:$V,'Full Crash Data'!$C:$C,"&gt;="&amp;$C$2,'Full Crash Data'!$C:$C,"&lt;="&amp;$E$2,'Full Crash Data'!$G:$G,$W18,'Full Crash Data'!$AX:$AX,"No"),SUMIFS('Full Crash Data'!$V:$V,'Full Crash Data'!$C:$C,"&gt;="&amp;$C$2,'Full Crash Data'!$C:$C,"&lt;="&amp;$E$2,'Full Crash Data'!$AN:$AN,$D$3,'Full Crash Data'!$G:$G,$W18,'Full Crash Data'!$AX:$AX,"No"))</f>
        <v>0</v>
      </c>
      <c r="AC18">
        <f t="shared" si="2"/>
        <v>19</v>
      </c>
      <c r="AD18">
        <f t="shared" si="3"/>
        <v>1E-8</v>
      </c>
      <c r="AE18">
        <f>IF($D$3="All",COUNTIFS('Full Crash Data'!$C:$C,"&gt;="&amp;$C$2,'Full Crash Data'!$C:$C,"&lt;="&amp;$E$2,'Full Crash Data'!$AX:$AX,"No",'Full Crash Data'!$AW:$AW,"Yes",'Full Crash Data'!$G:$G,$W18),COUNTIFS('Full Crash Data'!$C:$C,"&gt;="&amp;$C$2,'Full Crash Data'!$C:$C,"&lt;="&amp;$E$2,'Full Crash Data'!$AX:$AX,"No",'Full Crash Data'!$AW:$AW,"Yes",'Full Crash Data'!$AN:$AN,$D$3,'Full Crash Data'!$G:$G,$W18))</f>
        <v>0</v>
      </c>
      <c r="AF18">
        <f>IF($D$3="All",SUMIFS('Full Crash Data'!$U:$U,'Full Crash Data'!$C:$C,"&gt;="&amp;$C$2,'Full Crash Data'!$C:$C,"&lt;="&amp;$E$2,'Full Crash Data'!$AX:$AX,"No",'Full Crash Data'!$AW:$AW,"Yes",'Full Crash Data'!$G:$G,$W18),SUMIFS('Full Crash Data'!$U:$U,'Full Crash Data'!$C:$C,"&gt;="&amp;$C$2,'Full Crash Data'!$C:$C,"&lt;="&amp;$E$2,'Full Crash Data'!$AX:$AX,"No",'Full Crash Data'!$AW:$AW,"Yes",'Full Crash Data'!$AN:$AN,$D$3,'Full Crash Data'!$G:$G,$W18))</f>
        <v>0</v>
      </c>
      <c r="AG18">
        <f>IF($D$3="All",SUMIFS('Full Crash Data'!$V:$V,'Full Crash Data'!$C:$C,"&gt;="&amp;$C$2,'Full Crash Data'!$C:$C,"&lt;="&amp;$E$2,'Full Crash Data'!$AX:$AX,"No",'Full Crash Data'!$AW:$AW,"Yes",'Full Crash Data'!$G:$G,$W18),SUMIFS('Full Crash Data'!$V:$V,'Full Crash Data'!$C:$C,"&gt;="&amp;$C$2,'Full Crash Data'!$C:$C,"&lt;="&amp;$E$2,'Full Crash Data'!$AX:$AX,"No",'Full Crash Data'!$AW:$AW,"Yes",'Full Crash Data'!$AN:$AN,$D$3,'Full Crash Data'!$G:$G,$W18))</f>
        <v>0</v>
      </c>
      <c r="AH18">
        <f t="shared" si="4"/>
        <v>19</v>
      </c>
      <c r="AI18">
        <f t="shared" si="5"/>
        <v>1E-8</v>
      </c>
      <c r="AJ18">
        <f t="shared" si="6"/>
        <v>0</v>
      </c>
      <c r="AK18">
        <f t="shared" si="7"/>
        <v>0</v>
      </c>
      <c r="AL18">
        <f t="shared" si="8"/>
        <v>0</v>
      </c>
      <c r="AM18">
        <f t="shared" si="9"/>
        <v>19</v>
      </c>
      <c r="AN18">
        <f t="shared" si="10"/>
        <v>1E-8</v>
      </c>
      <c r="AO18">
        <f>IF($D$3="All",COUNTIFS('Full Crash Data'!$C:$C,"&gt;="&amp;$C$2,'Full Crash Data'!$C:$C,"&lt;="&amp;$E$2,'Full Crash Data'!$AX:$AX,"Yes",'Full Crash Data'!$G:$G,$W18),COUNTIFS('Full Crash Data'!$C:$C,"&gt;="&amp;$C$2,'Full Crash Data'!$C:$C,"&lt;="&amp;$E$2,'Full Crash Data'!$AX:$AX,"Yes",'Full Crash Data'!$AN:$AN,$D$3,'Full Crash Data'!$G:$G,$W18))</f>
        <v>0</v>
      </c>
      <c r="AP18">
        <f>IF($D$3="All",SUMIFS('Full Crash Data'!$U:$U,'Full Crash Data'!$C:$C,"&gt;="&amp;$C$2,'Full Crash Data'!$C:$C,"&lt;="&amp;$E$2,'Full Crash Data'!$AX:$AX,"Yes",'Full Crash Data'!$G:$G,$W18),SUMIFS('Full Crash Data'!$U:$U,'Full Crash Data'!$C:$C,"&gt;="&amp;$C$2,'Full Crash Data'!$C:$C,"&lt;="&amp;$E$2,'Full Crash Data'!$AX:$AX,"Yes",'Full Crash Data'!$AN:$AN,$D$3,'Full Crash Data'!$G:$G,$W18))</f>
        <v>0</v>
      </c>
      <c r="AQ18">
        <f>IF($D$3="All",SUMIFS('Full Crash Data'!$V:$V,'Full Crash Data'!$C:$C,"&gt;="&amp;$C$2,'Full Crash Data'!$C:$C,"&lt;="&amp;$E$2,'Full Crash Data'!$AX:$AX,"Yes",'Full Crash Data'!$G:$G,$W18),SUMIFS('Full Crash Data'!$V:$V,'Full Crash Data'!$C:$C,"&gt;="&amp;$C$2,'Full Crash Data'!$C:$C,"&lt;="&amp;$E$2,'Full Crash Data'!$AX:$AX,"Yes",'Full Crash Data'!$AN:$AN,$D$3,'Full Crash Data'!$G:$G,$W18))</f>
        <v>0</v>
      </c>
      <c r="AR18">
        <f t="shared" si="19"/>
        <v>19</v>
      </c>
      <c r="AS18">
        <f t="shared" si="11"/>
        <v>1E-8</v>
      </c>
      <c r="AT18">
        <f>IF($D$3="All",COUNTIFS('Full Crash Data'!$C:$C,"&gt;="&amp;$C$2,'Full Crash Data'!$C:$C,"&lt;="&amp;$E$2,'Full Crash Data'!$AX:$AX,"Yes",'Full Crash Data'!$CH:$CH,"Signal",'Full Crash Data'!$G:$G,$W18),COUNTIFS('Full Crash Data'!$C:$C,"&gt;="&amp;$C$2,'Full Crash Data'!$C:$C,"&lt;="&amp;$E$2,'Full Crash Data'!$AX:$AX,"Yes",'Full Crash Data'!$CH:$CH,"Signal",'Full Crash Data'!$AN:$AN,$D$3,'Full Crash Data'!$G:$G,$W18))</f>
        <v>0</v>
      </c>
      <c r="AU18">
        <f>IF($D$3="All",SUMIFS('Full Crash Data'!BG:BG,'Full Crash Data'!$C:$C,"&gt;="&amp;$C$2,'Full Crash Data'!$C:$C,"&lt;="&amp;$E$2,'Full Crash Data'!$AX:$AX,"Yes",'Full Crash Data'!$CH:$CH,"Signal",'Full Crash Data'!$G:$G,$W18),SUMIFS('Full Crash Data'!BG:BG,'Full Crash Data'!$C:$C,"&gt;="&amp;$C$2,'Full Crash Data'!$C:$C,"&lt;="&amp;$E$2,'Full Crash Data'!$AX:$AX,"Yes",'Full Crash Data'!$CH:$CH,"Signal",'Full Crash Data'!$AN:$AN,$D$3,'Full Crash Data'!$G:$G,$W18))</f>
        <v>0</v>
      </c>
      <c r="AV18">
        <f>IF($D$3="All",SUMIFS('Full Crash Data'!$V:$V,'Full Crash Data'!$C:$C,"&gt;="&amp;$C$2,'Full Crash Data'!$C:$C,"&lt;="&amp;$E$2,'Full Crash Data'!$AX:$AX,"Yes",'Full Crash Data'!$CH:$CH,"Signal",'Full Crash Data'!$G:$G,$W18),SUMIFS('Full Crash Data'!$V:$V,'Full Crash Data'!$C:$C,"&gt;="&amp;$C$2,'Full Crash Data'!$C:$C,"&lt;="&amp;$E$2,'Full Crash Data'!$AX:$AX,"Yes",'Full Crash Data'!$CH:$CH,"Signal",'Full Crash Data'!$AN:$AN,$D$3,'Full Crash Data'!$G:$G,$W18))</f>
        <v>0</v>
      </c>
      <c r="AW18">
        <f t="shared" si="12"/>
        <v>19</v>
      </c>
      <c r="AX18">
        <f t="shared" si="13"/>
        <v>1E-8</v>
      </c>
      <c r="AY18">
        <f>IF($D$3="All",COUNTIFS('Full Crash Data'!$C:$C,"&gt;="&amp;$C$2,'Full Crash Data'!$C:$C,"&lt;="&amp;$E$2,'Full Crash Data'!$AX:$AX,"Yes",'Full Crash Data'!$CH:$CH,"Stop Sign",'Full Crash Data'!$G:$G,$W18)+COUNTIFS('Full Crash Data'!$C:$C,"&gt;="&amp;$C$2,'Full Crash Data'!$C:$C,"&lt;="&amp;$E$2,'Full Crash Data'!$AX:$AX,"Yes",'Full Crash Data'!$CH:$CH,"Yeild Sign",'Full Crash Data'!$G:$G,$W18)+COUNTIFS('Full Crash Data'!$C:$C,"&gt;="&amp;$C$2,'Full Crash Data'!$C:$C,"&lt;="&amp;$E$2,'Full Crash Data'!$AX:$AX,"Yes",'Full Crash Data'!$CH:$CH,"Flasher",'Full Crash Data'!$G:$G,$W18),COUNTIFS('Full Crash Data'!$C:$C,"&gt;="&amp;$C$2,'Full Crash Data'!$C:$C,"&lt;="&amp;$E$2,'Full Crash Data'!$AX:$AX,"Yes",'Full Crash Data'!$CH:$CH,"Stop Sign",'Full Crash Data'!$AN:$AN,$D$3,'Full Crash Data'!$G:$G,$W18)+COUNTIFS('Full Crash Data'!$C:$C,"&gt;="&amp;$C$2,'Full Crash Data'!$C:$C,"&lt;="&amp;$E$2,'Full Crash Data'!$AX:$AX,"Yes",'Full Crash Data'!$CH:$CH,"Yeild Sign",'Full Crash Data'!$AN:$AN,$D$3,'Full Crash Data'!$G:$G,$W18)+COUNTIFS('Full Crash Data'!$C:$C,"&gt;="&amp;$C$2,'Full Crash Data'!$C:$C,"&lt;="&amp;$E$2,'Full Crash Data'!$AX:$AX,"Yes",'Full Crash Data'!$CH:$CH,"Flasher",'Full Crash Data'!$AN:$AN,$D$3,'Full Crash Data'!$G:$G,$W18))</f>
        <v>0</v>
      </c>
      <c r="AZ18">
        <f>IF($D$3="All",SUMIFS('Full Crash Data'!$U:$U,'Full Crash Data'!$C:$C,"&gt;="&amp;$C$2,'Full Crash Data'!$C:$C,"&lt;="&amp;$E$2,'Full Crash Data'!$AX:$AX,"Yes",'Full Crash Data'!$CH:$CH,"Stop Sign",'Full Crash Data'!$G:$G,$W18)+SUMIFS('Full Crash Data'!$U:$U,'Full Crash Data'!$C:$C,"&gt;="&amp;$C$2,'Full Crash Data'!$C:$C,"&lt;="&amp;$E$2,'Full Crash Data'!$AX:$AX,"Yes",'Full Crash Data'!$CH:$CH,"Yeild Sign",'Full Crash Data'!$G:$G,$W18)+SUMIFS('Full Crash Data'!$U:$U,'Full Crash Data'!$C:$C,"&gt;="&amp;$C$2,'Full Crash Data'!$C:$C,"&lt;="&amp;$E$2,'Full Crash Data'!$AX:$AX,"Yes",'Full Crash Data'!$CH:$CH,"Flasher",'Full Crash Data'!$G:$G,$W18),SUMIFS('Full Crash Data'!$U:$U,'Full Crash Data'!$C:$C,"&gt;="&amp;$C$2,'Full Crash Data'!$C:$C,"&lt;="&amp;$E$2,'Full Crash Data'!$AX:$AX,"Yes",'Full Crash Data'!$CH:$CH,"Stop Sign",'Full Crash Data'!$AN:$AN,$D$3,'Full Crash Data'!$G:$G,$W18)+SUMIFS('Full Crash Data'!$U:$U,'Full Crash Data'!$C:$C,"&gt;="&amp;$C$2,'Full Crash Data'!$C:$C,"&lt;="&amp;$E$2,'Full Crash Data'!$AX:$AX,"Yes",'Full Crash Data'!$CH:$CH,"Yeild Sign",'Full Crash Data'!$AN:$AN,$D$3,'Full Crash Data'!$G:$G,$W18)+SUMIFS('Full Crash Data'!$U:$U,'Full Crash Data'!$C:$C,"&gt;="&amp;$C$2,'Full Crash Data'!$C:$C,"&lt;="&amp;$E$2,'Full Crash Data'!$AX:$AX,"Yes",'Full Crash Data'!$CH:$CH,"Flasher",'Full Crash Data'!$AN:$AN,$D$3,'Full Crash Data'!$G:$G,$W18))</f>
        <v>0</v>
      </c>
      <c r="BA18">
        <f>IF($D$3="All",SUMIFS('Full Crash Data'!$V:$V,'Full Crash Data'!$C:$C,"&gt;="&amp;$C$2,'Full Crash Data'!$C:$C,"&lt;="&amp;$E$2,'Full Crash Data'!$AX:$AX,"Yes",'Full Crash Data'!$CH:$CH,"Stop Sign",'Full Crash Data'!$G:$G,$W18)+SUMIFS('Full Crash Data'!$V:$V,'Full Crash Data'!$C:$C,"&gt;="&amp;$C$2,'Full Crash Data'!$C:$C,"&lt;="&amp;$E$2,'Full Crash Data'!$AX:$AX,"Yes",'Full Crash Data'!$CH:$CH,"Yeild Sign",'Full Crash Data'!$G:$G,$W18)+SUMIFS('Full Crash Data'!$V:$V,'Full Crash Data'!$C:$C,"&gt;="&amp;$C$2,'Full Crash Data'!$C:$C,"&lt;="&amp;$E$2,'Full Crash Data'!$AX:$AX,"Yes",'Full Crash Data'!$CH:$CH,"Flasher",'Full Crash Data'!$G:$G,$W18),SUMIFS('Full Crash Data'!$V:$V,'Full Crash Data'!$C:$C,"&gt;="&amp;$C$2,'Full Crash Data'!$C:$C,"&lt;="&amp;$E$2,'Full Crash Data'!$AX:$AX,"Yes",'Full Crash Data'!$CH:$CH,"Stop Sign",'Full Crash Data'!$AN:$AN,$D$3,'Full Crash Data'!$G:$G,$W18)+SUMIFS('Full Crash Data'!$V:$V,'Full Crash Data'!$C:$C,"&gt;="&amp;$C$2,'Full Crash Data'!$C:$C,"&lt;="&amp;$E$2,'Full Crash Data'!$AX:$AX,"Yes",'Full Crash Data'!$CH:$CH,"Yeild Sign",'Full Crash Data'!$AN:$AN,$D$3,'Full Crash Data'!$G:$G,$W18)+SUMIFS('Full Crash Data'!$V:$V,'Full Crash Data'!$C:$C,"&gt;="&amp;$C$2,'Full Crash Data'!$C:$C,"&lt;="&amp;$E$2,'Full Crash Data'!$AX:$AX,"Yes",'Full Crash Data'!$CH:$CH,"Flasher",'Full Crash Data'!$AN:$AN,$D$3,'Full Crash Data'!$G:$G,$W18))</f>
        <v>0</v>
      </c>
      <c r="BB18">
        <f t="shared" si="14"/>
        <v>19</v>
      </c>
      <c r="BC18">
        <f t="shared" si="15"/>
        <v>1E-8</v>
      </c>
      <c r="BD18">
        <f t="shared" si="16"/>
        <v>0</v>
      </c>
      <c r="BE18">
        <f t="shared" si="17"/>
        <v>0</v>
      </c>
      <c r="BF18">
        <f t="shared" si="18"/>
        <v>0</v>
      </c>
      <c r="BG18" t="s">
        <v>497</v>
      </c>
    </row>
    <row r="19" spans="1:59" x14ac:dyDescent="0.15">
      <c r="A19" s="385" t="s">
        <v>1172</v>
      </c>
      <c r="B19" s="396">
        <f>IF($D$3="All",SUMIFS('Full Crash Data'!$V:$V,'Full Crash Data'!$C:$C,"&gt;="&amp;$C$2,'Full Crash Data'!$C:$C,"&lt;="&amp;$E$2,'Full Crash Data'!$AX:$AX,"No",'Full Crash Data'!$AW:$AW,"Yes"),SUMIFS('Full Crash Data'!$V:$V,'Full Crash Data'!$C:$C,"&gt;="&amp;$C$2,'Full Crash Data'!$C:$C,"&lt;="&amp;$E$2,'Full Crash Data'!$AX:$AX,"No",'Full Crash Data'!$AW:$AW,"Yes",'Full Crash Data'!$AN:$AN,$D$3))</f>
        <v>1</v>
      </c>
      <c r="D19" s="385" t="s">
        <v>1172</v>
      </c>
      <c r="E19" s="396">
        <f t="shared" si="20"/>
        <v>4</v>
      </c>
      <c r="H19" s="385" t="s">
        <v>1172</v>
      </c>
      <c r="I19" s="396">
        <f>IF($D$3="All",SUMIFS('Full Crash Data'!$V:$V,'Full Crash Data'!$C:$C,"&gt;="&amp;$C$2,'Full Crash Data'!$C:$C,"&lt;="&amp;$E$2,'Full Crash Data'!$AX:$AX,"Yes",'Full Crash Data'!$CH:$CH,"Signal"),SUMIFS('Full Crash Data'!$V:$V,'Full Crash Data'!$C:$C,"&gt;="&amp;$C$2,'Full Crash Data'!$C:$C,"&lt;="&amp;$E$2,'Full Crash Data'!$AX:$AX,"Yes",'Full Crash Data'!$CH:$CH,"Signal",'Full Crash Data'!$AN:$AN,$D$3))</f>
        <v>2</v>
      </c>
      <c r="K19" s="385" t="s">
        <v>1172</v>
      </c>
      <c r="L19" s="396">
        <f>IF($D$3="All",SUMIFS('Full Crash Data'!$V:$V,'Full Crash Data'!$C:$C,"&gt;="&amp;$C$2,'Full Crash Data'!$C:$C,"&lt;="&amp;$E$2,'Full Crash Data'!$AX:$AX,"Yes",'Full Crash Data'!$CH:$CH,"Stop Sign")+SUMIFS('Full Crash Data'!$V:$V,'Full Crash Data'!$C:$C,"&gt;="&amp;$C$2,'Full Crash Data'!$C:$C,"&lt;="&amp;$E$2,'Full Crash Data'!$AX:$AX,"Yes",'Full Crash Data'!$CH:$CH,"Yeild Sign")+SUMIFS('Full Crash Data'!$V:$V,'Full Crash Data'!$C:$C,"&gt;="&amp;$C$2,'Full Crash Data'!$C:$C,"&lt;="&amp;$E$2,'Full Crash Data'!$AX:$AX,"Yes",'Full Crash Data'!$CH:$CH,"Flasher"),SUMIFS('Full Crash Data'!$V:$V,'Full Crash Data'!$C:$C,"&gt;="&amp;$C$2,'Full Crash Data'!$C:$C,"&lt;="&amp;$E$2,'Full Crash Data'!$AX:$AX,"Yes",'Full Crash Data'!$CH:$CH,"Stop Sign",'Full Crash Data'!$AN:$AN,$D$3)+SUMIFS('Full Crash Data'!$V:$V,'Full Crash Data'!$C:$C,"&gt;="&amp;$C$2,'Full Crash Data'!$C:$C,"&lt;="&amp;$E$2,'Full Crash Data'!$AX:$AX,"Yes",'Full Crash Data'!$CH:$CH,"Yeild Sign",'Full Crash Data'!$AN:$AN,$D$3)+SUMIFS('Full Crash Data'!$V:$V,'Full Crash Data'!$C:$C,"&gt;="&amp;$C$2,'Full Crash Data'!$C:$C,"&lt;="&amp;$E$2,'Full Crash Data'!$AX:$AX,"Yes",'Full Crash Data'!$CH:$CH,"Flasher",'Full Crash Data'!$AN:$AN,$D$3))</f>
        <v>1</v>
      </c>
      <c r="N19" s="385" t="s">
        <v>1172</v>
      </c>
      <c r="O19" s="396">
        <f t="shared" si="21"/>
        <v>1</v>
      </c>
      <c r="Q19">
        <f t="shared" si="22"/>
        <v>4</v>
      </c>
      <c r="V19">
        <v>18</v>
      </c>
      <c r="W19" t="s">
        <v>416</v>
      </c>
      <c r="X19">
        <f t="shared" si="0"/>
        <v>4</v>
      </c>
      <c r="Y19">
        <f t="shared" si="1"/>
        <v>15.00000118</v>
      </c>
      <c r="Z19">
        <f>IF($D$3="All",COUNTIFS('Full Crash Data'!$C:$C,"&gt;="&amp;$C$2,'Full Crash Data'!$C:$C,"&lt;="&amp;$E$2,'Full Crash Data'!$G:$G,$W19,'Full Crash Data'!$AX:$AX,"No"),COUNTIFS('Full Crash Data'!$C:$C,"&gt;="&amp;$C$2,'Full Crash Data'!$C:$C,"&lt;="&amp;$E$2,'Full Crash Data'!$AN:$AN,$D$3,'Full Crash Data'!$G:$G,$W19,'Full Crash Data'!$AX:$AX,"No"))</f>
        <v>15</v>
      </c>
      <c r="AA19">
        <f>IF($D$3="All",SUMIFS('Full Crash Data'!$U:$U,'Full Crash Data'!$C:$C,"&gt;="&amp;$C$2,'Full Crash Data'!$C:$C,"&lt;="&amp;$E$2,'Full Crash Data'!$G:$G,$W19,'Full Crash Data'!$AX:$AX,"No"),SUMIFS('Full Crash Data'!$U:$U,'Full Crash Data'!$C:$C,"&gt;="&amp;$C$2,'Full Crash Data'!$C:$C,"&lt;="&amp;$E$2,'Full Crash Data'!$AN:$AN,$D$3,'Full Crash Data'!$G:$G,$W19,'Full Crash Data'!$AX:$AX,"No"))</f>
        <v>0</v>
      </c>
      <c r="AB19">
        <f>IF($D$3="All",SUMIFS('Full Crash Data'!$V:$V,'Full Crash Data'!$C:$C,"&gt;="&amp;$C$2,'Full Crash Data'!$C:$C,"&lt;="&amp;$E$2,'Full Crash Data'!$G:$G,$W19,'Full Crash Data'!$AX:$AX,"No"),SUMIFS('Full Crash Data'!$V:$V,'Full Crash Data'!$C:$C,"&gt;="&amp;$C$2,'Full Crash Data'!$C:$C,"&lt;="&amp;$E$2,'Full Crash Data'!$AN:$AN,$D$3,'Full Crash Data'!$G:$G,$W19,'Full Crash Data'!$AX:$AX,"No"))</f>
        <v>1</v>
      </c>
      <c r="AC19">
        <f t="shared" si="2"/>
        <v>1</v>
      </c>
      <c r="AD19">
        <f t="shared" si="3"/>
        <v>14.00000118</v>
      </c>
      <c r="AE19">
        <f>IF($D$3="All",COUNTIFS('Full Crash Data'!$C:$C,"&gt;="&amp;$C$2,'Full Crash Data'!$C:$C,"&lt;="&amp;$E$2,'Full Crash Data'!$AX:$AX,"No",'Full Crash Data'!$AW:$AW,"Yes",'Full Crash Data'!$G:$G,$W19),COUNTIFS('Full Crash Data'!$C:$C,"&gt;="&amp;$C$2,'Full Crash Data'!$C:$C,"&lt;="&amp;$E$2,'Full Crash Data'!$AX:$AX,"No",'Full Crash Data'!$AW:$AW,"Yes",'Full Crash Data'!$AN:$AN,$D$3,'Full Crash Data'!$G:$G,$W19))</f>
        <v>14</v>
      </c>
      <c r="AF19">
        <f>IF($D$3="All",SUMIFS('Full Crash Data'!$U:$U,'Full Crash Data'!$C:$C,"&gt;="&amp;$C$2,'Full Crash Data'!$C:$C,"&lt;="&amp;$E$2,'Full Crash Data'!$AX:$AX,"No",'Full Crash Data'!$AW:$AW,"Yes",'Full Crash Data'!$G:$G,$W19),SUMIFS('Full Crash Data'!$U:$U,'Full Crash Data'!$C:$C,"&gt;="&amp;$C$2,'Full Crash Data'!$C:$C,"&lt;="&amp;$E$2,'Full Crash Data'!$AX:$AX,"No",'Full Crash Data'!$AW:$AW,"Yes",'Full Crash Data'!$AN:$AN,$D$3,'Full Crash Data'!$G:$G,$W19))</f>
        <v>0</v>
      </c>
      <c r="AG19">
        <f>IF($D$3="All",SUMIFS('Full Crash Data'!$V:$V,'Full Crash Data'!$C:$C,"&gt;="&amp;$C$2,'Full Crash Data'!$C:$C,"&lt;="&amp;$E$2,'Full Crash Data'!$AX:$AX,"No",'Full Crash Data'!$AW:$AW,"Yes",'Full Crash Data'!$G:$G,$W19),SUMIFS('Full Crash Data'!$V:$V,'Full Crash Data'!$C:$C,"&gt;="&amp;$C$2,'Full Crash Data'!$C:$C,"&lt;="&amp;$E$2,'Full Crash Data'!$AX:$AX,"No",'Full Crash Data'!$AW:$AW,"Yes",'Full Crash Data'!$AN:$AN,$D$3,'Full Crash Data'!$G:$G,$W19))</f>
        <v>1</v>
      </c>
      <c r="AH19">
        <f t="shared" si="4"/>
        <v>9</v>
      </c>
      <c r="AI19">
        <f t="shared" si="5"/>
        <v>1.00000018</v>
      </c>
      <c r="AJ19">
        <f t="shared" si="6"/>
        <v>1</v>
      </c>
      <c r="AK19">
        <f t="shared" si="7"/>
        <v>0</v>
      </c>
      <c r="AL19">
        <f t="shared" si="8"/>
        <v>0</v>
      </c>
      <c r="AM19">
        <f t="shared" si="9"/>
        <v>5</v>
      </c>
      <c r="AN19">
        <f t="shared" si="10"/>
        <v>12.00000118</v>
      </c>
      <c r="AO19">
        <f>IF($D$3="All",COUNTIFS('Full Crash Data'!$C:$C,"&gt;="&amp;$C$2,'Full Crash Data'!$C:$C,"&lt;="&amp;$E$2,'Full Crash Data'!$AX:$AX,"Yes",'Full Crash Data'!$G:$G,$W19),COUNTIFS('Full Crash Data'!$C:$C,"&gt;="&amp;$C$2,'Full Crash Data'!$C:$C,"&lt;="&amp;$E$2,'Full Crash Data'!$AX:$AX,"Yes",'Full Crash Data'!$AN:$AN,$D$3,'Full Crash Data'!$G:$G,$W19))</f>
        <v>12</v>
      </c>
      <c r="AP19">
        <f>IF($D$3="All",SUMIFS('Full Crash Data'!$U:$U,'Full Crash Data'!$C:$C,"&gt;="&amp;$C$2,'Full Crash Data'!$C:$C,"&lt;="&amp;$E$2,'Full Crash Data'!$AX:$AX,"Yes",'Full Crash Data'!$G:$G,$W19),SUMIFS('Full Crash Data'!$U:$U,'Full Crash Data'!$C:$C,"&gt;="&amp;$C$2,'Full Crash Data'!$C:$C,"&lt;="&amp;$E$2,'Full Crash Data'!$AX:$AX,"Yes",'Full Crash Data'!$AN:$AN,$D$3,'Full Crash Data'!$G:$G,$W19))</f>
        <v>0</v>
      </c>
      <c r="AQ19">
        <f>IF($D$3="All",SUMIFS('Full Crash Data'!$V:$V,'Full Crash Data'!$C:$C,"&gt;="&amp;$C$2,'Full Crash Data'!$C:$C,"&lt;="&amp;$E$2,'Full Crash Data'!$AX:$AX,"Yes",'Full Crash Data'!$G:$G,$W19),SUMIFS('Full Crash Data'!$V:$V,'Full Crash Data'!$C:$C,"&gt;="&amp;$C$2,'Full Crash Data'!$C:$C,"&lt;="&amp;$E$2,'Full Crash Data'!$AX:$AX,"Yes",'Full Crash Data'!$AN:$AN,$D$3,'Full Crash Data'!$G:$G,$W19))</f>
        <v>1</v>
      </c>
      <c r="AR19">
        <f t="shared" si="19"/>
        <v>5</v>
      </c>
      <c r="AS19">
        <f t="shared" si="11"/>
        <v>5.0000011799999999</v>
      </c>
      <c r="AT19">
        <f>IF($D$3="All",COUNTIFS('Full Crash Data'!$C:$C,"&gt;="&amp;$C$2,'Full Crash Data'!$C:$C,"&lt;="&amp;$E$2,'Full Crash Data'!$AX:$AX,"Yes",'Full Crash Data'!$CH:$CH,"Signal",'Full Crash Data'!$G:$G,$W19),COUNTIFS('Full Crash Data'!$C:$C,"&gt;="&amp;$C$2,'Full Crash Data'!$C:$C,"&lt;="&amp;$E$2,'Full Crash Data'!$AX:$AX,"Yes",'Full Crash Data'!$CH:$CH,"Signal",'Full Crash Data'!$AN:$AN,$D$3,'Full Crash Data'!$G:$G,$W19))</f>
        <v>5</v>
      </c>
      <c r="AU19">
        <f>IF($D$3="All",SUMIFS('Full Crash Data'!BG:BG,'Full Crash Data'!$C:$C,"&gt;="&amp;$C$2,'Full Crash Data'!$C:$C,"&lt;="&amp;$E$2,'Full Crash Data'!$AX:$AX,"Yes",'Full Crash Data'!$CH:$CH,"Signal",'Full Crash Data'!$G:$G,$W19),SUMIFS('Full Crash Data'!BG:BG,'Full Crash Data'!$C:$C,"&gt;="&amp;$C$2,'Full Crash Data'!$C:$C,"&lt;="&amp;$E$2,'Full Crash Data'!$AX:$AX,"Yes",'Full Crash Data'!$CH:$CH,"Signal",'Full Crash Data'!$AN:$AN,$D$3,'Full Crash Data'!$G:$G,$W19))</f>
        <v>0</v>
      </c>
      <c r="AV19">
        <f>IF($D$3="All",SUMIFS('Full Crash Data'!$V:$V,'Full Crash Data'!$C:$C,"&gt;="&amp;$C$2,'Full Crash Data'!$C:$C,"&lt;="&amp;$E$2,'Full Crash Data'!$AX:$AX,"Yes",'Full Crash Data'!$CH:$CH,"Signal",'Full Crash Data'!$G:$G,$W19),SUMIFS('Full Crash Data'!$V:$V,'Full Crash Data'!$C:$C,"&gt;="&amp;$C$2,'Full Crash Data'!$C:$C,"&lt;="&amp;$E$2,'Full Crash Data'!$AX:$AX,"Yes",'Full Crash Data'!$CH:$CH,"Signal",'Full Crash Data'!$AN:$AN,$D$3,'Full Crash Data'!$G:$G,$W19))</f>
        <v>1</v>
      </c>
      <c r="AW19">
        <f t="shared" si="12"/>
        <v>7</v>
      </c>
      <c r="AX19">
        <f t="shared" si="13"/>
        <v>1.8E-7</v>
      </c>
      <c r="AY19">
        <f>IF($D$3="All",COUNTIFS('Full Crash Data'!$C:$C,"&gt;="&amp;$C$2,'Full Crash Data'!$C:$C,"&lt;="&amp;$E$2,'Full Crash Data'!$AX:$AX,"Yes",'Full Crash Data'!$CH:$CH,"Stop Sign",'Full Crash Data'!$G:$G,$W19)+COUNTIFS('Full Crash Data'!$C:$C,"&gt;="&amp;$C$2,'Full Crash Data'!$C:$C,"&lt;="&amp;$E$2,'Full Crash Data'!$AX:$AX,"Yes",'Full Crash Data'!$CH:$CH,"Yeild Sign",'Full Crash Data'!$G:$G,$W19)+COUNTIFS('Full Crash Data'!$C:$C,"&gt;="&amp;$C$2,'Full Crash Data'!$C:$C,"&lt;="&amp;$E$2,'Full Crash Data'!$AX:$AX,"Yes",'Full Crash Data'!$CH:$CH,"Flasher",'Full Crash Data'!$G:$G,$W19),COUNTIFS('Full Crash Data'!$C:$C,"&gt;="&amp;$C$2,'Full Crash Data'!$C:$C,"&lt;="&amp;$E$2,'Full Crash Data'!$AX:$AX,"Yes",'Full Crash Data'!$CH:$CH,"Stop Sign",'Full Crash Data'!$AN:$AN,$D$3,'Full Crash Data'!$G:$G,$W19)+COUNTIFS('Full Crash Data'!$C:$C,"&gt;="&amp;$C$2,'Full Crash Data'!$C:$C,"&lt;="&amp;$E$2,'Full Crash Data'!$AX:$AX,"Yes",'Full Crash Data'!$CH:$CH,"Yeild Sign",'Full Crash Data'!$AN:$AN,$D$3,'Full Crash Data'!$G:$G,$W19)+COUNTIFS('Full Crash Data'!$C:$C,"&gt;="&amp;$C$2,'Full Crash Data'!$C:$C,"&lt;="&amp;$E$2,'Full Crash Data'!$AX:$AX,"Yes",'Full Crash Data'!$CH:$CH,"Flasher",'Full Crash Data'!$AN:$AN,$D$3,'Full Crash Data'!$G:$G,$W19))</f>
        <v>0</v>
      </c>
      <c r="AZ19">
        <f>IF($D$3="All",SUMIFS('Full Crash Data'!$U:$U,'Full Crash Data'!$C:$C,"&gt;="&amp;$C$2,'Full Crash Data'!$C:$C,"&lt;="&amp;$E$2,'Full Crash Data'!$AX:$AX,"Yes",'Full Crash Data'!$CH:$CH,"Stop Sign",'Full Crash Data'!$G:$G,$W19)+SUMIFS('Full Crash Data'!$U:$U,'Full Crash Data'!$C:$C,"&gt;="&amp;$C$2,'Full Crash Data'!$C:$C,"&lt;="&amp;$E$2,'Full Crash Data'!$AX:$AX,"Yes",'Full Crash Data'!$CH:$CH,"Yeild Sign",'Full Crash Data'!$G:$G,$W19)+SUMIFS('Full Crash Data'!$U:$U,'Full Crash Data'!$C:$C,"&gt;="&amp;$C$2,'Full Crash Data'!$C:$C,"&lt;="&amp;$E$2,'Full Crash Data'!$AX:$AX,"Yes",'Full Crash Data'!$CH:$CH,"Flasher",'Full Crash Data'!$G:$G,$W19),SUMIFS('Full Crash Data'!$U:$U,'Full Crash Data'!$C:$C,"&gt;="&amp;$C$2,'Full Crash Data'!$C:$C,"&lt;="&amp;$E$2,'Full Crash Data'!$AX:$AX,"Yes",'Full Crash Data'!$CH:$CH,"Stop Sign",'Full Crash Data'!$AN:$AN,$D$3,'Full Crash Data'!$G:$G,$W19)+SUMIFS('Full Crash Data'!$U:$U,'Full Crash Data'!$C:$C,"&gt;="&amp;$C$2,'Full Crash Data'!$C:$C,"&lt;="&amp;$E$2,'Full Crash Data'!$AX:$AX,"Yes",'Full Crash Data'!$CH:$CH,"Yeild Sign",'Full Crash Data'!$AN:$AN,$D$3,'Full Crash Data'!$G:$G,$W19)+SUMIFS('Full Crash Data'!$U:$U,'Full Crash Data'!$C:$C,"&gt;="&amp;$C$2,'Full Crash Data'!$C:$C,"&lt;="&amp;$E$2,'Full Crash Data'!$AX:$AX,"Yes",'Full Crash Data'!$CH:$CH,"Flasher",'Full Crash Data'!$AN:$AN,$D$3,'Full Crash Data'!$G:$G,$W19))</f>
        <v>0</v>
      </c>
      <c r="BA19">
        <f>IF($D$3="All",SUMIFS('Full Crash Data'!$V:$V,'Full Crash Data'!$C:$C,"&gt;="&amp;$C$2,'Full Crash Data'!$C:$C,"&lt;="&amp;$E$2,'Full Crash Data'!$AX:$AX,"Yes",'Full Crash Data'!$CH:$CH,"Stop Sign",'Full Crash Data'!$G:$G,$W19)+SUMIFS('Full Crash Data'!$V:$V,'Full Crash Data'!$C:$C,"&gt;="&amp;$C$2,'Full Crash Data'!$C:$C,"&lt;="&amp;$E$2,'Full Crash Data'!$AX:$AX,"Yes",'Full Crash Data'!$CH:$CH,"Yeild Sign",'Full Crash Data'!$G:$G,$W19)+SUMIFS('Full Crash Data'!$V:$V,'Full Crash Data'!$C:$C,"&gt;="&amp;$C$2,'Full Crash Data'!$C:$C,"&lt;="&amp;$E$2,'Full Crash Data'!$AX:$AX,"Yes",'Full Crash Data'!$CH:$CH,"Flasher",'Full Crash Data'!$G:$G,$W19),SUMIFS('Full Crash Data'!$V:$V,'Full Crash Data'!$C:$C,"&gt;="&amp;$C$2,'Full Crash Data'!$C:$C,"&lt;="&amp;$E$2,'Full Crash Data'!$AX:$AX,"Yes",'Full Crash Data'!$CH:$CH,"Stop Sign",'Full Crash Data'!$AN:$AN,$D$3,'Full Crash Data'!$G:$G,$W19)+SUMIFS('Full Crash Data'!$V:$V,'Full Crash Data'!$C:$C,"&gt;="&amp;$C$2,'Full Crash Data'!$C:$C,"&lt;="&amp;$E$2,'Full Crash Data'!$AX:$AX,"Yes",'Full Crash Data'!$CH:$CH,"Yeild Sign",'Full Crash Data'!$AN:$AN,$D$3,'Full Crash Data'!$G:$G,$W19)+SUMIFS('Full Crash Data'!$V:$V,'Full Crash Data'!$C:$C,"&gt;="&amp;$C$2,'Full Crash Data'!$C:$C,"&lt;="&amp;$E$2,'Full Crash Data'!$AX:$AX,"Yes",'Full Crash Data'!$CH:$CH,"Flasher",'Full Crash Data'!$AN:$AN,$D$3,'Full Crash Data'!$G:$G,$W19))</f>
        <v>0</v>
      </c>
      <c r="BB19">
        <f t="shared" si="14"/>
        <v>4</v>
      </c>
      <c r="BC19">
        <f t="shared" si="15"/>
        <v>7.0000001799999998</v>
      </c>
      <c r="BD19">
        <f t="shared" si="16"/>
        <v>7</v>
      </c>
      <c r="BE19">
        <f t="shared" si="17"/>
        <v>0</v>
      </c>
      <c r="BF19">
        <f t="shared" si="18"/>
        <v>0</v>
      </c>
      <c r="BG19" t="s">
        <v>416</v>
      </c>
    </row>
    <row r="20" spans="1:59" x14ac:dyDescent="0.15">
      <c r="A20" s="392"/>
      <c r="D20" s="392"/>
      <c r="H20" s="392"/>
      <c r="K20" s="392"/>
      <c r="N20" s="392"/>
      <c r="V20">
        <v>5</v>
      </c>
      <c r="W20" t="s">
        <v>449</v>
      </c>
      <c r="X20">
        <f t="shared" si="0"/>
        <v>12</v>
      </c>
      <c r="Y20">
        <f t="shared" si="1"/>
        <v>1.0000000499999999</v>
      </c>
      <c r="Z20">
        <f>IF($D$3="All",COUNTIFS('Full Crash Data'!$C:$C,"&gt;="&amp;$C$2,'Full Crash Data'!$C:$C,"&lt;="&amp;$E$2,'Full Crash Data'!$G:$G,$W20,'Full Crash Data'!$AX:$AX,"No"),COUNTIFS('Full Crash Data'!$C:$C,"&gt;="&amp;$C$2,'Full Crash Data'!$C:$C,"&lt;="&amp;$E$2,'Full Crash Data'!$AN:$AN,$D$3,'Full Crash Data'!$G:$G,$W20,'Full Crash Data'!$AX:$AX,"No"))</f>
        <v>1</v>
      </c>
      <c r="AA20">
        <f>IF($D$3="All",SUMIFS('Full Crash Data'!$U:$U,'Full Crash Data'!$C:$C,"&gt;="&amp;$C$2,'Full Crash Data'!$C:$C,"&lt;="&amp;$E$2,'Full Crash Data'!$G:$G,$W20,'Full Crash Data'!$AX:$AX,"No"),SUMIFS('Full Crash Data'!$U:$U,'Full Crash Data'!$C:$C,"&gt;="&amp;$C$2,'Full Crash Data'!$C:$C,"&lt;="&amp;$E$2,'Full Crash Data'!$AN:$AN,$D$3,'Full Crash Data'!$G:$G,$W20,'Full Crash Data'!$AX:$AX,"No"))</f>
        <v>0</v>
      </c>
      <c r="AB20">
        <f>IF($D$3="All",SUMIFS('Full Crash Data'!$V:$V,'Full Crash Data'!$C:$C,"&gt;="&amp;$C$2,'Full Crash Data'!$C:$C,"&lt;="&amp;$E$2,'Full Crash Data'!$G:$G,$W20,'Full Crash Data'!$AX:$AX,"No"),SUMIFS('Full Crash Data'!$V:$V,'Full Crash Data'!$C:$C,"&gt;="&amp;$C$2,'Full Crash Data'!$C:$C,"&lt;="&amp;$E$2,'Full Crash Data'!$AN:$AN,$D$3,'Full Crash Data'!$G:$G,$W20,'Full Crash Data'!$AX:$AX,"No"))</f>
        <v>0</v>
      </c>
      <c r="AC20">
        <f t="shared" si="2"/>
        <v>15</v>
      </c>
      <c r="AD20">
        <f t="shared" si="3"/>
        <v>4.9999999999999998E-8</v>
      </c>
      <c r="AE20">
        <f>IF($D$3="All",COUNTIFS('Full Crash Data'!$C:$C,"&gt;="&amp;$C$2,'Full Crash Data'!$C:$C,"&lt;="&amp;$E$2,'Full Crash Data'!$AX:$AX,"No",'Full Crash Data'!$AW:$AW,"Yes",'Full Crash Data'!$G:$G,$W20),COUNTIFS('Full Crash Data'!$C:$C,"&gt;="&amp;$C$2,'Full Crash Data'!$C:$C,"&lt;="&amp;$E$2,'Full Crash Data'!$AX:$AX,"No",'Full Crash Data'!$AW:$AW,"Yes",'Full Crash Data'!$AN:$AN,$D$3,'Full Crash Data'!$G:$G,$W20))</f>
        <v>0</v>
      </c>
      <c r="AF20">
        <f>IF($D$3="All",SUMIFS('Full Crash Data'!$U:$U,'Full Crash Data'!$C:$C,"&gt;="&amp;$C$2,'Full Crash Data'!$C:$C,"&lt;="&amp;$E$2,'Full Crash Data'!$AX:$AX,"No",'Full Crash Data'!$AW:$AW,"Yes",'Full Crash Data'!$G:$G,$W20),SUMIFS('Full Crash Data'!$U:$U,'Full Crash Data'!$C:$C,"&gt;="&amp;$C$2,'Full Crash Data'!$C:$C,"&lt;="&amp;$E$2,'Full Crash Data'!$AX:$AX,"No",'Full Crash Data'!$AW:$AW,"Yes",'Full Crash Data'!$AN:$AN,$D$3,'Full Crash Data'!$G:$G,$W20))</f>
        <v>0</v>
      </c>
      <c r="AG20">
        <f>IF($D$3="All",SUMIFS('Full Crash Data'!$V:$V,'Full Crash Data'!$C:$C,"&gt;="&amp;$C$2,'Full Crash Data'!$C:$C,"&lt;="&amp;$E$2,'Full Crash Data'!$AX:$AX,"No",'Full Crash Data'!$AW:$AW,"Yes",'Full Crash Data'!$G:$G,$W20),SUMIFS('Full Crash Data'!$V:$V,'Full Crash Data'!$C:$C,"&gt;="&amp;$C$2,'Full Crash Data'!$C:$C,"&lt;="&amp;$E$2,'Full Crash Data'!$AX:$AX,"No",'Full Crash Data'!$AW:$AW,"Yes",'Full Crash Data'!$AN:$AN,$D$3,'Full Crash Data'!$G:$G,$W20))</f>
        <v>0</v>
      </c>
      <c r="AH20">
        <f t="shared" si="4"/>
        <v>10</v>
      </c>
      <c r="AI20">
        <f t="shared" si="5"/>
        <v>1.0000000499999999</v>
      </c>
      <c r="AJ20">
        <f t="shared" si="6"/>
        <v>1</v>
      </c>
      <c r="AK20">
        <f t="shared" si="7"/>
        <v>0</v>
      </c>
      <c r="AL20">
        <f t="shared" si="8"/>
        <v>0</v>
      </c>
      <c r="AM20">
        <f t="shared" si="9"/>
        <v>17</v>
      </c>
      <c r="AN20">
        <f t="shared" si="10"/>
        <v>4.9999999999999998E-8</v>
      </c>
      <c r="AO20">
        <f>IF($D$3="All",COUNTIFS('Full Crash Data'!$C:$C,"&gt;="&amp;$C$2,'Full Crash Data'!$C:$C,"&lt;="&amp;$E$2,'Full Crash Data'!$AX:$AX,"Yes",'Full Crash Data'!$G:$G,$W20),COUNTIFS('Full Crash Data'!$C:$C,"&gt;="&amp;$C$2,'Full Crash Data'!$C:$C,"&lt;="&amp;$E$2,'Full Crash Data'!$AX:$AX,"Yes",'Full Crash Data'!$AN:$AN,$D$3,'Full Crash Data'!$G:$G,$W20))</f>
        <v>0</v>
      </c>
      <c r="AP20">
        <f>IF($D$3="All",SUMIFS('Full Crash Data'!$U:$U,'Full Crash Data'!$C:$C,"&gt;="&amp;$C$2,'Full Crash Data'!$C:$C,"&lt;="&amp;$E$2,'Full Crash Data'!$AX:$AX,"Yes",'Full Crash Data'!$G:$G,$W20),SUMIFS('Full Crash Data'!$U:$U,'Full Crash Data'!$C:$C,"&gt;="&amp;$C$2,'Full Crash Data'!$C:$C,"&lt;="&amp;$E$2,'Full Crash Data'!$AX:$AX,"Yes",'Full Crash Data'!$AN:$AN,$D$3,'Full Crash Data'!$G:$G,$W20))</f>
        <v>0</v>
      </c>
      <c r="AQ20">
        <f>IF($D$3="All",SUMIFS('Full Crash Data'!$V:$V,'Full Crash Data'!$C:$C,"&gt;="&amp;$C$2,'Full Crash Data'!$C:$C,"&lt;="&amp;$E$2,'Full Crash Data'!$AX:$AX,"Yes",'Full Crash Data'!$G:$G,$W20),SUMIFS('Full Crash Data'!$V:$V,'Full Crash Data'!$C:$C,"&gt;="&amp;$C$2,'Full Crash Data'!$C:$C,"&lt;="&amp;$E$2,'Full Crash Data'!$AX:$AX,"Yes",'Full Crash Data'!$AN:$AN,$D$3,'Full Crash Data'!$G:$G,$W20))</f>
        <v>0</v>
      </c>
      <c r="AR20">
        <f t="shared" si="19"/>
        <v>17</v>
      </c>
      <c r="AS20">
        <f t="shared" si="11"/>
        <v>4.9999999999999998E-8</v>
      </c>
      <c r="AT20">
        <f>IF($D$3="All",COUNTIFS('Full Crash Data'!$C:$C,"&gt;="&amp;$C$2,'Full Crash Data'!$C:$C,"&lt;="&amp;$E$2,'Full Crash Data'!$AX:$AX,"Yes",'Full Crash Data'!$CH:$CH,"Signal",'Full Crash Data'!$G:$G,$W20),COUNTIFS('Full Crash Data'!$C:$C,"&gt;="&amp;$C$2,'Full Crash Data'!$C:$C,"&lt;="&amp;$E$2,'Full Crash Data'!$AX:$AX,"Yes",'Full Crash Data'!$CH:$CH,"Signal",'Full Crash Data'!$AN:$AN,$D$3,'Full Crash Data'!$G:$G,$W20))</f>
        <v>0</v>
      </c>
      <c r="AU20">
        <f>IF($D$3="All",SUMIFS('Full Crash Data'!BG:BG,'Full Crash Data'!$C:$C,"&gt;="&amp;$C$2,'Full Crash Data'!$C:$C,"&lt;="&amp;$E$2,'Full Crash Data'!$AX:$AX,"Yes",'Full Crash Data'!$CH:$CH,"Signal",'Full Crash Data'!$G:$G,$W20),SUMIFS('Full Crash Data'!BG:BG,'Full Crash Data'!$C:$C,"&gt;="&amp;$C$2,'Full Crash Data'!$C:$C,"&lt;="&amp;$E$2,'Full Crash Data'!$AX:$AX,"Yes",'Full Crash Data'!$CH:$CH,"Signal",'Full Crash Data'!$AN:$AN,$D$3,'Full Crash Data'!$G:$G,$W20))</f>
        <v>0</v>
      </c>
      <c r="AV20">
        <f>IF($D$3="All",SUMIFS('Full Crash Data'!$V:$V,'Full Crash Data'!$C:$C,"&gt;="&amp;$C$2,'Full Crash Data'!$C:$C,"&lt;="&amp;$E$2,'Full Crash Data'!$AX:$AX,"Yes",'Full Crash Data'!$CH:$CH,"Signal",'Full Crash Data'!$G:$G,$W20),SUMIFS('Full Crash Data'!$V:$V,'Full Crash Data'!$C:$C,"&gt;="&amp;$C$2,'Full Crash Data'!$C:$C,"&lt;="&amp;$E$2,'Full Crash Data'!$AX:$AX,"Yes",'Full Crash Data'!$CH:$CH,"Signal",'Full Crash Data'!$AN:$AN,$D$3,'Full Crash Data'!$G:$G,$W20))</f>
        <v>0</v>
      </c>
      <c r="AW20">
        <f t="shared" si="12"/>
        <v>16</v>
      </c>
      <c r="AX20">
        <f t="shared" si="13"/>
        <v>4.9999999999999998E-8</v>
      </c>
      <c r="AY20">
        <f>IF($D$3="All",COUNTIFS('Full Crash Data'!$C:$C,"&gt;="&amp;$C$2,'Full Crash Data'!$C:$C,"&lt;="&amp;$E$2,'Full Crash Data'!$AX:$AX,"Yes",'Full Crash Data'!$CH:$CH,"Stop Sign",'Full Crash Data'!$G:$G,$W20)+COUNTIFS('Full Crash Data'!$C:$C,"&gt;="&amp;$C$2,'Full Crash Data'!$C:$C,"&lt;="&amp;$E$2,'Full Crash Data'!$AX:$AX,"Yes",'Full Crash Data'!$CH:$CH,"Yeild Sign",'Full Crash Data'!$G:$G,$W20)+COUNTIFS('Full Crash Data'!$C:$C,"&gt;="&amp;$C$2,'Full Crash Data'!$C:$C,"&lt;="&amp;$E$2,'Full Crash Data'!$AX:$AX,"Yes",'Full Crash Data'!$CH:$CH,"Flasher",'Full Crash Data'!$G:$G,$W20),COUNTIFS('Full Crash Data'!$C:$C,"&gt;="&amp;$C$2,'Full Crash Data'!$C:$C,"&lt;="&amp;$E$2,'Full Crash Data'!$AX:$AX,"Yes",'Full Crash Data'!$CH:$CH,"Stop Sign",'Full Crash Data'!$AN:$AN,$D$3,'Full Crash Data'!$G:$G,$W20)+COUNTIFS('Full Crash Data'!$C:$C,"&gt;="&amp;$C$2,'Full Crash Data'!$C:$C,"&lt;="&amp;$E$2,'Full Crash Data'!$AX:$AX,"Yes",'Full Crash Data'!$CH:$CH,"Yeild Sign",'Full Crash Data'!$AN:$AN,$D$3,'Full Crash Data'!$G:$G,$W20)+COUNTIFS('Full Crash Data'!$C:$C,"&gt;="&amp;$C$2,'Full Crash Data'!$C:$C,"&lt;="&amp;$E$2,'Full Crash Data'!$AX:$AX,"Yes",'Full Crash Data'!$CH:$CH,"Flasher",'Full Crash Data'!$AN:$AN,$D$3,'Full Crash Data'!$G:$G,$W20))</f>
        <v>0</v>
      </c>
      <c r="AZ20">
        <f>IF($D$3="All",SUMIFS('Full Crash Data'!$U:$U,'Full Crash Data'!$C:$C,"&gt;="&amp;$C$2,'Full Crash Data'!$C:$C,"&lt;="&amp;$E$2,'Full Crash Data'!$AX:$AX,"Yes",'Full Crash Data'!$CH:$CH,"Stop Sign",'Full Crash Data'!$G:$G,$W20)+SUMIFS('Full Crash Data'!$U:$U,'Full Crash Data'!$C:$C,"&gt;="&amp;$C$2,'Full Crash Data'!$C:$C,"&lt;="&amp;$E$2,'Full Crash Data'!$AX:$AX,"Yes",'Full Crash Data'!$CH:$CH,"Yeild Sign",'Full Crash Data'!$G:$G,$W20)+SUMIFS('Full Crash Data'!$U:$U,'Full Crash Data'!$C:$C,"&gt;="&amp;$C$2,'Full Crash Data'!$C:$C,"&lt;="&amp;$E$2,'Full Crash Data'!$AX:$AX,"Yes",'Full Crash Data'!$CH:$CH,"Flasher",'Full Crash Data'!$G:$G,$W20),SUMIFS('Full Crash Data'!$U:$U,'Full Crash Data'!$C:$C,"&gt;="&amp;$C$2,'Full Crash Data'!$C:$C,"&lt;="&amp;$E$2,'Full Crash Data'!$AX:$AX,"Yes",'Full Crash Data'!$CH:$CH,"Stop Sign",'Full Crash Data'!$AN:$AN,$D$3,'Full Crash Data'!$G:$G,$W20)+SUMIFS('Full Crash Data'!$U:$U,'Full Crash Data'!$C:$C,"&gt;="&amp;$C$2,'Full Crash Data'!$C:$C,"&lt;="&amp;$E$2,'Full Crash Data'!$AX:$AX,"Yes",'Full Crash Data'!$CH:$CH,"Yeild Sign",'Full Crash Data'!$AN:$AN,$D$3,'Full Crash Data'!$G:$G,$W20)+SUMIFS('Full Crash Data'!$U:$U,'Full Crash Data'!$C:$C,"&gt;="&amp;$C$2,'Full Crash Data'!$C:$C,"&lt;="&amp;$E$2,'Full Crash Data'!$AX:$AX,"Yes",'Full Crash Data'!$CH:$CH,"Flasher",'Full Crash Data'!$AN:$AN,$D$3,'Full Crash Data'!$G:$G,$W20))</f>
        <v>0</v>
      </c>
      <c r="BA20">
        <f>IF($D$3="All",SUMIFS('Full Crash Data'!$V:$V,'Full Crash Data'!$C:$C,"&gt;="&amp;$C$2,'Full Crash Data'!$C:$C,"&lt;="&amp;$E$2,'Full Crash Data'!$AX:$AX,"Yes",'Full Crash Data'!$CH:$CH,"Stop Sign",'Full Crash Data'!$G:$G,$W20)+SUMIFS('Full Crash Data'!$V:$V,'Full Crash Data'!$C:$C,"&gt;="&amp;$C$2,'Full Crash Data'!$C:$C,"&lt;="&amp;$E$2,'Full Crash Data'!$AX:$AX,"Yes",'Full Crash Data'!$CH:$CH,"Yeild Sign",'Full Crash Data'!$G:$G,$W20)+SUMIFS('Full Crash Data'!$V:$V,'Full Crash Data'!$C:$C,"&gt;="&amp;$C$2,'Full Crash Data'!$C:$C,"&lt;="&amp;$E$2,'Full Crash Data'!$AX:$AX,"Yes",'Full Crash Data'!$CH:$CH,"Flasher",'Full Crash Data'!$G:$G,$W20),SUMIFS('Full Crash Data'!$V:$V,'Full Crash Data'!$C:$C,"&gt;="&amp;$C$2,'Full Crash Data'!$C:$C,"&lt;="&amp;$E$2,'Full Crash Data'!$AX:$AX,"Yes",'Full Crash Data'!$CH:$CH,"Stop Sign",'Full Crash Data'!$AN:$AN,$D$3,'Full Crash Data'!$G:$G,$W20)+SUMIFS('Full Crash Data'!$V:$V,'Full Crash Data'!$C:$C,"&gt;="&amp;$C$2,'Full Crash Data'!$C:$C,"&lt;="&amp;$E$2,'Full Crash Data'!$AX:$AX,"Yes",'Full Crash Data'!$CH:$CH,"Yeild Sign",'Full Crash Data'!$AN:$AN,$D$3,'Full Crash Data'!$G:$G,$W20)+SUMIFS('Full Crash Data'!$V:$V,'Full Crash Data'!$C:$C,"&gt;="&amp;$C$2,'Full Crash Data'!$C:$C,"&lt;="&amp;$E$2,'Full Crash Data'!$AX:$AX,"Yes",'Full Crash Data'!$CH:$CH,"Flasher",'Full Crash Data'!$AN:$AN,$D$3,'Full Crash Data'!$G:$G,$W20))</f>
        <v>0</v>
      </c>
      <c r="BB20">
        <f t="shared" si="14"/>
        <v>16</v>
      </c>
      <c r="BC20">
        <f t="shared" si="15"/>
        <v>4.9999999999999998E-8</v>
      </c>
      <c r="BD20">
        <f t="shared" si="16"/>
        <v>0</v>
      </c>
      <c r="BE20">
        <f t="shared" si="17"/>
        <v>0</v>
      </c>
      <c r="BF20">
        <f t="shared" si="18"/>
        <v>0</v>
      </c>
      <c r="BG20" t="s">
        <v>449</v>
      </c>
    </row>
    <row r="21" spans="1:59" x14ac:dyDescent="0.15">
      <c r="A21" s="393"/>
      <c r="D21" s="393"/>
      <c r="H21" s="393"/>
      <c r="K21" s="393"/>
      <c r="N21" s="393"/>
      <c r="V21">
        <v>0</v>
      </c>
      <c r="W21" t="s">
        <v>498</v>
      </c>
      <c r="X21">
        <f t="shared" si="0"/>
        <v>20</v>
      </c>
      <c r="Y21">
        <f t="shared" si="1"/>
        <v>0</v>
      </c>
      <c r="Z21">
        <f>IF($D$3="All",COUNTIFS('Full Crash Data'!$C:$C,"&gt;="&amp;$C$2,'Full Crash Data'!$C:$C,"&lt;="&amp;$E$2,'Full Crash Data'!$G:$G,$W21,'Full Crash Data'!$AX:$AX,"No"),COUNTIFS('Full Crash Data'!$C:$C,"&gt;="&amp;$C$2,'Full Crash Data'!$C:$C,"&lt;="&amp;$E$2,'Full Crash Data'!$AN:$AN,$D$3,'Full Crash Data'!$G:$G,$W21,'Full Crash Data'!$AX:$AX,"No"))</f>
        <v>0</v>
      </c>
      <c r="AA21">
        <f>IF($D$3="All",SUMIFS('Full Crash Data'!$U:$U,'Full Crash Data'!$C:$C,"&gt;="&amp;$C$2,'Full Crash Data'!$C:$C,"&lt;="&amp;$E$2,'Full Crash Data'!$G:$G,$W21,'Full Crash Data'!$AX:$AX,"No"),SUMIFS('Full Crash Data'!$U:$U,'Full Crash Data'!$C:$C,"&gt;="&amp;$C$2,'Full Crash Data'!$C:$C,"&lt;="&amp;$E$2,'Full Crash Data'!$AN:$AN,$D$3,'Full Crash Data'!$G:$G,$W21,'Full Crash Data'!$AX:$AX,"No"))</f>
        <v>0</v>
      </c>
      <c r="AB21">
        <f>IF($D$3="All",SUMIFS('Full Crash Data'!$V:$V,'Full Crash Data'!$C:$C,"&gt;="&amp;$C$2,'Full Crash Data'!$C:$C,"&lt;="&amp;$E$2,'Full Crash Data'!$G:$G,$W21,'Full Crash Data'!$AX:$AX,"No"),SUMIFS('Full Crash Data'!$V:$V,'Full Crash Data'!$C:$C,"&gt;="&amp;$C$2,'Full Crash Data'!$C:$C,"&lt;="&amp;$E$2,'Full Crash Data'!$AN:$AN,$D$3,'Full Crash Data'!$G:$G,$W21,'Full Crash Data'!$AX:$AX,"No"))</f>
        <v>0</v>
      </c>
      <c r="AC21">
        <f t="shared" si="2"/>
        <v>20</v>
      </c>
      <c r="AD21">
        <f t="shared" si="3"/>
        <v>0</v>
      </c>
      <c r="AE21">
        <f>IF($D$3="All",COUNTIFS('Full Crash Data'!$C:$C,"&gt;="&amp;$C$2,'Full Crash Data'!$C:$C,"&lt;="&amp;$E$2,'Full Crash Data'!$AX:$AX,"No",'Full Crash Data'!$AW:$AW,"Yes",'Full Crash Data'!$G:$G,$W21),COUNTIFS('Full Crash Data'!$C:$C,"&gt;="&amp;$C$2,'Full Crash Data'!$C:$C,"&lt;="&amp;$E$2,'Full Crash Data'!$AX:$AX,"No",'Full Crash Data'!$AW:$AW,"Yes",'Full Crash Data'!$AN:$AN,$D$3,'Full Crash Data'!$G:$G,$W21))</f>
        <v>0</v>
      </c>
      <c r="AF21">
        <f>IF($D$3="All",SUMIFS('Full Crash Data'!$U:$U,'Full Crash Data'!$C:$C,"&gt;="&amp;$C$2,'Full Crash Data'!$C:$C,"&lt;="&amp;$E$2,'Full Crash Data'!$AX:$AX,"No",'Full Crash Data'!$AW:$AW,"Yes",'Full Crash Data'!$G:$G,$W21),SUMIFS('Full Crash Data'!$U:$U,'Full Crash Data'!$C:$C,"&gt;="&amp;$C$2,'Full Crash Data'!$C:$C,"&lt;="&amp;$E$2,'Full Crash Data'!$AX:$AX,"No",'Full Crash Data'!$AW:$AW,"Yes",'Full Crash Data'!$AN:$AN,$D$3,'Full Crash Data'!$G:$G,$W21))</f>
        <v>0</v>
      </c>
      <c r="AG21">
        <f>IF($D$3="All",SUMIFS('Full Crash Data'!$V:$V,'Full Crash Data'!$C:$C,"&gt;="&amp;$C$2,'Full Crash Data'!$C:$C,"&lt;="&amp;$E$2,'Full Crash Data'!$AX:$AX,"No",'Full Crash Data'!$AW:$AW,"Yes",'Full Crash Data'!$G:$G,$W21),SUMIFS('Full Crash Data'!$V:$V,'Full Crash Data'!$C:$C,"&gt;="&amp;$C$2,'Full Crash Data'!$C:$C,"&lt;="&amp;$E$2,'Full Crash Data'!$AX:$AX,"No",'Full Crash Data'!$AW:$AW,"Yes",'Full Crash Data'!$AN:$AN,$D$3,'Full Crash Data'!$G:$G,$W21))</f>
        <v>0</v>
      </c>
      <c r="AH21">
        <f t="shared" si="4"/>
        <v>20</v>
      </c>
      <c r="AI21">
        <f t="shared" si="5"/>
        <v>0</v>
      </c>
      <c r="AJ21">
        <f t="shared" si="6"/>
        <v>0</v>
      </c>
      <c r="AK21">
        <f t="shared" si="7"/>
        <v>0</v>
      </c>
      <c r="AL21">
        <f t="shared" si="8"/>
        <v>0</v>
      </c>
      <c r="AM21">
        <f t="shared" si="9"/>
        <v>20</v>
      </c>
      <c r="AN21">
        <f t="shared" si="10"/>
        <v>0</v>
      </c>
      <c r="AO21">
        <f>IF($D$3="All",COUNTIFS('Full Crash Data'!$C:$C,"&gt;="&amp;$C$2,'Full Crash Data'!$C:$C,"&lt;="&amp;$E$2,'Full Crash Data'!$AX:$AX,"Yes",'Full Crash Data'!$G:$G,$W21),COUNTIFS('Full Crash Data'!$C:$C,"&gt;="&amp;$C$2,'Full Crash Data'!$C:$C,"&lt;="&amp;$E$2,'Full Crash Data'!$AX:$AX,"Yes",'Full Crash Data'!$AN:$AN,$D$3,'Full Crash Data'!$G:$G,$W21))</f>
        <v>0</v>
      </c>
      <c r="AP21">
        <f>IF($D$3="All",SUMIFS('Full Crash Data'!$U:$U,'Full Crash Data'!$C:$C,"&gt;="&amp;$C$2,'Full Crash Data'!$C:$C,"&lt;="&amp;$E$2,'Full Crash Data'!$AX:$AX,"Yes",'Full Crash Data'!$G:$G,$W21),SUMIFS('Full Crash Data'!$U:$U,'Full Crash Data'!$C:$C,"&gt;="&amp;$C$2,'Full Crash Data'!$C:$C,"&lt;="&amp;$E$2,'Full Crash Data'!$AX:$AX,"Yes",'Full Crash Data'!$AN:$AN,$D$3,'Full Crash Data'!$G:$G,$W21))</f>
        <v>0</v>
      </c>
      <c r="AQ21">
        <f>IF($D$3="All",SUMIFS('Full Crash Data'!$V:$V,'Full Crash Data'!$C:$C,"&gt;="&amp;$C$2,'Full Crash Data'!$C:$C,"&lt;="&amp;$E$2,'Full Crash Data'!$AX:$AX,"Yes",'Full Crash Data'!$G:$G,$W21),SUMIFS('Full Crash Data'!$V:$V,'Full Crash Data'!$C:$C,"&gt;="&amp;$C$2,'Full Crash Data'!$C:$C,"&lt;="&amp;$E$2,'Full Crash Data'!$AX:$AX,"Yes",'Full Crash Data'!$AN:$AN,$D$3,'Full Crash Data'!$G:$G,$W21))</f>
        <v>0</v>
      </c>
      <c r="AR21">
        <f t="shared" si="19"/>
        <v>20</v>
      </c>
      <c r="AS21">
        <f t="shared" si="11"/>
        <v>0</v>
      </c>
      <c r="AT21">
        <f>IF($D$3="All",COUNTIFS('Full Crash Data'!$C:$C,"&gt;="&amp;$C$2,'Full Crash Data'!$C:$C,"&lt;="&amp;$E$2,'Full Crash Data'!$AX:$AX,"Yes",'Full Crash Data'!$CH:$CH,"Signal",'Full Crash Data'!$G:$G,$W21),COUNTIFS('Full Crash Data'!$C:$C,"&gt;="&amp;$C$2,'Full Crash Data'!$C:$C,"&lt;="&amp;$E$2,'Full Crash Data'!$AX:$AX,"Yes",'Full Crash Data'!$CH:$CH,"Signal",'Full Crash Data'!$AN:$AN,$D$3,'Full Crash Data'!$G:$G,$W21))</f>
        <v>0</v>
      </c>
      <c r="AU21">
        <f>IF($D$3="All",SUMIFS('Full Crash Data'!BG:BG,'Full Crash Data'!$C:$C,"&gt;="&amp;$C$2,'Full Crash Data'!$C:$C,"&lt;="&amp;$E$2,'Full Crash Data'!$AX:$AX,"Yes",'Full Crash Data'!$CH:$CH,"Signal",'Full Crash Data'!$G:$G,$W21),SUMIFS('Full Crash Data'!BG:BG,'Full Crash Data'!$C:$C,"&gt;="&amp;$C$2,'Full Crash Data'!$C:$C,"&lt;="&amp;$E$2,'Full Crash Data'!$AX:$AX,"Yes",'Full Crash Data'!$CH:$CH,"Signal",'Full Crash Data'!$AN:$AN,$D$3,'Full Crash Data'!$G:$G,$W21))</f>
        <v>0</v>
      </c>
      <c r="AV21">
        <f>IF($D$3="All",SUMIFS('Full Crash Data'!$V:$V,'Full Crash Data'!$C:$C,"&gt;="&amp;$C$2,'Full Crash Data'!$C:$C,"&lt;="&amp;$E$2,'Full Crash Data'!$AX:$AX,"Yes",'Full Crash Data'!$CH:$CH,"Signal",'Full Crash Data'!$G:$G,$W21),SUMIFS('Full Crash Data'!$V:$V,'Full Crash Data'!$C:$C,"&gt;="&amp;$C$2,'Full Crash Data'!$C:$C,"&lt;="&amp;$E$2,'Full Crash Data'!$AX:$AX,"Yes",'Full Crash Data'!$CH:$CH,"Signal",'Full Crash Data'!$AN:$AN,$D$3,'Full Crash Data'!$G:$G,$W21))</f>
        <v>0</v>
      </c>
      <c r="AW21">
        <f t="shared" si="12"/>
        <v>20</v>
      </c>
      <c r="AX21">
        <f t="shared" si="13"/>
        <v>0</v>
      </c>
      <c r="AY21">
        <f>IF($D$3="All",COUNTIFS('Full Crash Data'!$C:$C,"&gt;="&amp;$C$2,'Full Crash Data'!$C:$C,"&lt;="&amp;$E$2,'Full Crash Data'!$AX:$AX,"Yes",'Full Crash Data'!$CH:$CH,"Stop Sign",'Full Crash Data'!$G:$G,$W21)+COUNTIFS('Full Crash Data'!$C:$C,"&gt;="&amp;$C$2,'Full Crash Data'!$C:$C,"&lt;="&amp;$E$2,'Full Crash Data'!$AX:$AX,"Yes",'Full Crash Data'!$CH:$CH,"Yeild Sign",'Full Crash Data'!$G:$G,$W21)+COUNTIFS('Full Crash Data'!$C:$C,"&gt;="&amp;$C$2,'Full Crash Data'!$C:$C,"&lt;="&amp;$E$2,'Full Crash Data'!$AX:$AX,"Yes",'Full Crash Data'!$CH:$CH,"Flasher",'Full Crash Data'!$G:$G,$W21),COUNTIFS('Full Crash Data'!$C:$C,"&gt;="&amp;$C$2,'Full Crash Data'!$C:$C,"&lt;="&amp;$E$2,'Full Crash Data'!$AX:$AX,"Yes",'Full Crash Data'!$CH:$CH,"Stop Sign",'Full Crash Data'!$AN:$AN,$D$3,'Full Crash Data'!$G:$G,$W21)+COUNTIFS('Full Crash Data'!$C:$C,"&gt;="&amp;$C$2,'Full Crash Data'!$C:$C,"&lt;="&amp;$E$2,'Full Crash Data'!$AX:$AX,"Yes",'Full Crash Data'!$CH:$CH,"Yeild Sign",'Full Crash Data'!$AN:$AN,$D$3,'Full Crash Data'!$G:$G,$W21)+COUNTIFS('Full Crash Data'!$C:$C,"&gt;="&amp;$C$2,'Full Crash Data'!$C:$C,"&lt;="&amp;$E$2,'Full Crash Data'!$AX:$AX,"Yes",'Full Crash Data'!$CH:$CH,"Flasher",'Full Crash Data'!$AN:$AN,$D$3,'Full Crash Data'!$G:$G,$W21))</f>
        <v>0</v>
      </c>
      <c r="AZ21">
        <f>IF($D$3="All",SUMIFS('Full Crash Data'!$U:$U,'Full Crash Data'!$C:$C,"&gt;="&amp;$C$2,'Full Crash Data'!$C:$C,"&lt;="&amp;$E$2,'Full Crash Data'!$AX:$AX,"Yes",'Full Crash Data'!$CH:$CH,"Stop Sign",'Full Crash Data'!$G:$G,$W21)+SUMIFS('Full Crash Data'!$U:$U,'Full Crash Data'!$C:$C,"&gt;="&amp;$C$2,'Full Crash Data'!$C:$C,"&lt;="&amp;$E$2,'Full Crash Data'!$AX:$AX,"Yes",'Full Crash Data'!$CH:$CH,"Yeild Sign",'Full Crash Data'!$G:$G,$W21)+SUMIFS('Full Crash Data'!$U:$U,'Full Crash Data'!$C:$C,"&gt;="&amp;$C$2,'Full Crash Data'!$C:$C,"&lt;="&amp;$E$2,'Full Crash Data'!$AX:$AX,"Yes",'Full Crash Data'!$CH:$CH,"Flasher",'Full Crash Data'!$G:$G,$W21),SUMIFS('Full Crash Data'!$U:$U,'Full Crash Data'!$C:$C,"&gt;="&amp;$C$2,'Full Crash Data'!$C:$C,"&lt;="&amp;$E$2,'Full Crash Data'!$AX:$AX,"Yes",'Full Crash Data'!$CH:$CH,"Stop Sign",'Full Crash Data'!$AN:$AN,$D$3,'Full Crash Data'!$G:$G,$W21)+SUMIFS('Full Crash Data'!$U:$U,'Full Crash Data'!$C:$C,"&gt;="&amp;$C$2,'Full Crash Data'!$C:$C,"&lt;="&amp;$E$2,'Full Crash Data'!$AX:$AX,"Yes",'Full Crash Data'!$CH:$CH,"Yeild Sign",'Full Crash Data'!$AN:$AN,$D$3,'Full Crash Data'!$G:$G,$W21)+SUMIFS('Full Crash Data'!$U:$U,'Full Crash Data'!$C:$C,"&gt;="&amp;$C$2,'Full Crash Data'!$C:$C,"&lt;="&amp;$E$2,'Full Crash Data'!$AX:$AX,"Yes",'Full Crash Data'!$CH:$CH,"Flasher",'Full Crash Data'!$AN:$AN,$D$3,'Full Crash Data'!$G:$G,$W21))</f>
        <v>0</v>
      </c>
      <c r="BA21">
        <f>IF($D$3="All",SUMIFS('Full Crash Data'!$V:$V,'Full Crash Data'!$C:$C,"&gt;="&amp;$C$2,'Full Crash Data'!$C:$C,"&lt;="&amp;$E$2,'Full Crash Data'!$AX:$AX,"Yes",'Full Crash Data'!$CH:$CH,"Stop Sign",'Full Crash Data'!$G:$G,$W21)+SUMIFS('Full Crash Data'!$V:$V,'Full Crash Data'!$C:$C,"&gt;="&amp;$C$2,'Full Crash Data'!$C:$C,"&lt;="&amp;$E$2,'Full Crash Data'!$AX:$AX,"Yes",'Full Crash Data'!$CH:$CH,"Yeild Sign",'Full Crash Data'!$G:$G,$W21)+SUMIFS('Full Crash Data'!$V:$V,'Full Crash Data'!$C:$C,"&gt;="&amp;$C$2,'Full Crash Data'!$C:$C,"&lt;="&amp;$E$2,'Full Crash Data'!$AX:$AX,"Yes",'Full Crash Data'!$CH:$CH,"Flasher",'Full Crash Data'!$G:$G,$W21),SUMIFS('Full Crash Data'!$V:$V,'Full Crash Data'!$C:$C,"&gt;="&amp;$C$2,'Full Crash Data'!$C:$C,"&lt;="&amp;$E$2,'Full Crash Data'!$AX:$AX,"Yes",'Full Crash Data'!$CH:$CH,"Stop Sign",'Full Crash Data'!$AN:$AN,$D$3,'Full Crash Data'!$G:$G,$W21)+SUMIFS('Full Crash Data'!$V:$V,'Full Crash Data'!$C:$C,"&gt;="&amp;$C$2,'Full Crash Data'!$C:$C,"&lt;="&amp;$E$2,'Full Crash Data'!$AX:$AX,"Yes",'Full Crash Data'!$CH:$CH,"Yeild Sign",'Full Crash Data'!$AN:$AN,$D$3,'Full Crash Data'!$G:$G,$W21)+SUMIFS('Full Crash Data'!$V:$V,'Full Crash Data'!$C:$C,"&gt;="&amp;$C$2,'Full Crash Data'!$C:$C,"&lt;="&amp;$E$2,'Full Crash Data'!$AX:$AX,"Yes",'Full Crash Data'!$CH:$CH,"Flasher",'Full Crash Data'!$AN:$AN,$D$3,'Full Crash Data'!$G:$G,$W21))</f>
        <v>0</v>
      </c>
      <c r="BB21">
        <f t="shared" si="14"/>
        <v>20</v>
      </c>
      <c r="BC21">
        <f t="shared" si="15"/>
        <v>0</v>
      </c>
      <c r="BD21">
        <f t="shared" si="16"/>
        <v>0</v>
      </c>
      <c r="BE21">
        <f t="shared" si="17"/>
        <v>0</v>
      </c>
      <c r="BF21">
        <f t="shared" si="18"/>
        <v>0</v>
      </c>
      <c r="BG21" t="s">
        <v>498</v>
      </c>
    </row>
    <row r="22" spans="1:59" x14ac:dyDescent="0.15">
      <c r="A22" s="679" t="s">
        <v>6084</v>
      </c>
      <c r="B22" s="679"/>
      <c r="D22" s="679" t="s">
        <v>6084</v>
      </c>
      <c r="E22" s="679"/>
      <c r="H22" s="679" t="s">
        <v>6084</v>
      </c>
      <c r="I22" s="679"/>
      <c r="K22" s="679" t="s">
        <v>6084</v>
      </c>
      <c r="L22" s="679"/>
      <c r="N22" s="679" t="s">
        <v>6084</v>
      </c>
      <c r="O22" s="679"/>
      <c r="V22">
        <v>6</v>
      </c>
      <c r="W22" t="s">
        <v>202</v>
      </c>
      <c r="X22">
        <f t="shared" si="0"/>
        <v>16</v>
      </c>
      <c r="Y22">
        <f t="shared" si="1"/>
        <v>6.0000000000000008E-8</v>
      </c>
      <c r="Z22">
        <f>IF($D$3="All",COUNTIFS('Full Crash Data'!$C:$C,"&gt;="&amp;$C$2,'Full Crash Data'!$C:$C,"&lt;="&amp;$E$2,'Full Crash Data'!$G:$G,$W22,'Full Crash Data'!$AX:$AX,"No"),COUNTIFS('Full Crash Data'!$C:$C,"&gt;="&amp;$C$2,'Full Crash Data'!$C:$C,"&lt;="&amp;$E$2,'Full Crash Data'!$AN:$AN,$D$3,'Full Crash Data'!$G:$G,$W22,'Full Crash Data'!$AX:$AX,"No"))</f>
        <v>0</v>
      </c>
      <c r="AA22">
        <f>IF($D$3="All",SUMIFS('Full Crash Data'!$U:$U,'Full Crash Data'!$C:$C,"&gt;="&amp;$C$2,'Full Crash Data'!$C:$C,"&lt;="&amp;$E$2,'Full Crash Data'!$G:$G,$W22,'Full Crash Data'!$AX:$AX,"No"),SUMIFS('Full Crash Data'!$U:$U,'Full Crash Data'!$C:$C,"&gt;="&amp;$C$2,'Full Crash Data'!$C:$C,"&lt;="&amp;$E$2,'Full Crash Data'!$AN:$AN,$D$3,'Full Crash Data'!$G:$G,$W22,'Full Crash Data'!$AX:$AX,"No"))</f>
        <v>0</v>
      </c>
      <c r="AB22">
        <f>IF($D$3="All",SUMIFS('Full Crash Data'!$V:$V,'Full Crash Data'!$C:$C,"&gt;="&amp;$C$2,'Full Crash Data'!$C:$C,"&lt;="&amp;$E$2,'Full Crash Data'!$G:$G,$W22,'Full Crash Data'!$AX:$AX,"No"),SUMIFS('Full Crash Data'!$V:$V,'Full Crash Data'!$C:$C,"&gt;="&amp;$C$2,'Full Crash Data'!$C:$C,"&lt;="&amp;$E$2,'Full Crash Data'!$AN:$AN,$D$3,'Full Crash Data'!$G:$G,$W22,'Full Crash Data'!$AX:$AX,"No"))</f>
        <v>0</v>
      </c>
      <c r="AC22">
        <f t="shared" si="2"/>
        <v>14</v>
      </c>
      <c r="AD22">
        <f t="shared" si="3"/>
        <v>6.0000000000000008E-8</v>
      </c>
      <c r="AE22">
        <f>IF($D$3="All",COUNTIFS('Full Crash Data'!$C:$C,"&gt;="&amp;$C$2,'Full Crash Data'!$C:$C,"&lt;="&amp;$E$2,'Full Crash Data'!$AX:$AX,"No",'Full Crash Data'!$AW:$AW,"Yes",'Full Crash Data'!$G:$G,$W22),COUNTIFS('Full Crash Data'!$C:$C,"&gt;="&amp;$C$2,'Full Crash Data'!$C:$C,"&lt;="&amp;$E$2,'Full Crash Data'!$AX:$AX,"No",'Full Crash Data'!$AW:$AW,"Yes",'Full Crash Data'!$AN:$AN,$D$3,'Full Crash Data'!$G:$G,$W22))</f>
        <v>0</v>
      </c>
      <c r="AF22">
        <f>IF($D$3="All",SUMIFS('Full Crash Data'!$U:$U,'Full Crash Data'!$C:$C,"&gt;="&amp;$C$2,'Full Crash Data'!$C:$C,"&lt;="&amp;$E$2,'Full Crash Data'!$AX:$AX,"No",'Full Crash Data'!$AW:$AW,"Yes",'Full Crash Data'!$G:$G,$W22),SUMIFS('Full Crash Data'!$U:$U,'Full Crash Data'!$C:$C,"&gt;="&amp;$C$2,'Full Crash Data'!$C:$C,"&lt;="&amp;$E$2,'Full Crash Data'!$AX:$AX,"No",'Full Crash Data'!$AW:$AW,"Yes",'Full Crash Data'!$AN:$AN,$D$3,'Full Crash Data'!$G:$G,$W22))</f>
        <v>0</v>
      </c>
      <c r="AG22">
        <f>IF($D$3="All",SUMIFS('Full Crash Data'!$V:$V,'Full Crash Data'!$C:$C,"&gt;="&amp;$C$2,'Full Crash Data'!$C:$C,"&lt;="&amp;$E$2,'Full Crash Data'!$AX:$AX,"No",'Full Crash Data'!$AW:$AW,"Yes",'Full Crash Data'!$G:$G,$W22),SUMIFS('Full Crash Data'!$V:$V,'Full Crash Data'!$C:$C,"&gt;="&amp;$C$2,'Full Crash Data'!$C:$C,"&lt;="&amp;$E$2,'Full Crash Data'!$AX:$AX,"No",'Full Crash Data'!$AW:$AW,"Yes",'Full Crash Data'!$AN:$AN,$D$3,'Full Crash Data'!$G:$G,$W22))</f>
        <v>0</v>
      </c>
      <c r="AH22">
        <f t="shared" si="4"/>
        <v>16</v>
      </c>
      <c r="AI22">
        <f t="shared" si="5"/>
        <v>6.0000000000000008E-8</v>
      </c>
      <c r="AJ22">
        <f t="shared" si="6"/>
        <v>0</v>
      </c>
      <c r="AK22">
        <f t="shared" si="7"/>
        <v>0</v>
      </c>
      <c r="AL22">
        <f t="shared" si="8"/>
        <v>0</v>
      </c>
      <c r="AM22">
        <f t="shared" si="9"/>
        <v>16</v>
      </c>
      <c r="AN22">
        <f t="shared" si="10"/>
        <v>6.0000000000000008E-8</v>
      </c>
      <c r="AO22">
        <f>IF($D$3="All",COUNTIFS('Full Crash Data'!$C:$C,"&gt;="&amp;$C$2,'Full Crash Data'!$C:$C,"&lt;="&amp;$E$2,'Full Crash Data'!$AX:$AX,"Yes",'Full Crash Data'!$G:$G,$W22),COUNTIFS('Full Crash Data'!$C:$C,"&gt;="&amp;$C$2,'Full Crash Data'!$C:$C,"&lt;="&amp;$E$2,'Full Crash Data'!$AX:$AX,"Yes",'Full Crash Data'!$AN:$AN,$D$3,'Full Crash Data'!$G:$G,$W22))</f>
        <v>0</v>
      </c>
      <c r="AP22">
        <f>IF($D$3="All",SUMIFS('Full Crash Data'!$U:$U,'Full Crash Data'!$C:$C,"&gt;="&amp;$C$2,'Full Crash Data'!$C:$C,"&lt;="&amp;$E$2,'Full Crash Data'!$AX:$AX,"Yes",'Full Crash Data'!$G:$G,$W22),SUMIFS('Full Crash Data'!$U:$U,'Full Crash Data'!$C:$C,"&gt;="&amp;$C$2,'Full Crash Data'!$C:$C,"&lt;="&amp;$E$2,'Full Crash Data'!$AX:$AX,"Yes",'Full Crash Data'!$AN:$AN,$D$3,'Full Crash Data'!$G:$G,$W22))</f>
        <v>0</v>
      </c>
      <c r="AQ22">
        <f>IF($D$3="All",SUMIFS('Full Crash Data'!$V:$V,'Full Crash Data'!$C:$C,"&gt;="&amp;$C$2,'Full Crash Data'!$C:$C,"&lt;="&amp;$E$2,'Full Crash Data'!$AX:$AX,"Yes",'Full Crash Data'!$G:$G,$W22),SUMIFS('Full Crash Data'!$V:$V,'Full Crash Data'!$C:$C,"&gt;="&amp;$C$2,'Full Crash Data'!$C:$C,"&lt;="&amp;$E$2,'Full Crash Data'!$AX:$AX,"Yes",'Full Crash Data'!$AN:$AN,$D$3,'Full Crash Data'!$G:$G,$W22))</f>
        <v>0</v>
      </c>
      <c r="AR22">
        <f t="shared" si="19"/>
        <v>16</v>
      </c>
      <c r="AS22">
        <f t="shared" si="11"/>
        <v>6.0000000000000008E-8</v>
      </c>
      <c r="AT22">
        <f>IF($D$3="All",COUNTIFS('Full Crash Data'!$C:$C,"&gt;="&amp;$C$2,'Full Crash Data'!$C:$C,"&lt;="&amp;$E$2,'Full Crash Data'!$AX:$AX,"Yes",'Full Crash Data'!$CH:$CH,"Signal",'Full Crash Data'!$G:$G,$W22),COUNTIFS('Full Crash Data'!$C:$C,"&gt;="&amp;$C$2,'Full Crash Data'!$C:$C,"&lt;="&amp;$E$2,'Full Crash Data'!$AX:$AX,"Yes",'Full Crash Data'!$CH:$CH,"Signal",'Full Crash Data'!$AN:$AN,$D$3,'Full Crash Data'!$G:$G,$W22))</f>
        <v>0</v>
      </c>
      <c r="AU22">
        <f>IF($D$3="All",SUMIFS('Full Crash Data'!BG:BG,'Full Crash Data'!$C:$C,"&gt;="&amp;$C$2,'Full Crash Data'!$C:$C,"&lt;="&amp;$E$2,'Full Crash Data'!$AX:$AX,"Yes",'Full Crash Data'!$CH:$CH,"Signal",'Full Crash Data'!$G:$G,$W22),SUMIFS('Full Crash Data'!BG:BG,'Full Crash Data'!$C:$C,"&gt;="&amp;$C$2,'Full Crash Data'!$C:$C,"&lt;="&amp;$E$2,'Full Crash Data'!$AX:$AX,"Yes",'Full Crash Data'!$CH:$CH,"Signal",'Full Crash Data'!$AN:$AN,$D$3,'Full Crash Data'!$G:$G,$W22))</f>
        <v>0</v>
      </c>
      <c r="AV22">
        <f>IF($D$3="All",SUMIFS('Full Crash Data'!$V:$V,'Full Crash Data'!$C:$C,"&gt;="&amp;$C$2,'Full Crash Data'!$C:$C,"&lt;="&amp;$E$2,'Full Crash Data'!$AX:$AX,"Yes",'Full Crash Data'!$CH:$CH,"Signal",'Full Crash Data'!$G:$G,$W22),SUMIFS('Full Crash Data'!$V:$V,'Full Crash Data'!$C:$C,"&gt;="&amp;$C$2,'Full Crash Data'!$C:$C,"&lt;="&amp;$E$2,'Full Crash Data'!$AX:$AX,"Yes",'Full Crash Data'!$CH:$CH,"Signal",'Full Crash Data'!$AN:$AN,$D$3,'Full Crash Data'!$G:$G,$W22))</f>
        <v>0</v>
      </c>
      <c r="AW22">
        <f t="shared" si="12"/>
        <v>15</v>
      </c>
      <c r="AX22">
        <f t="shared" si="13"/>
        <v>6.0000000000000008E-8</v>
      </c>
      <c r="AY22">
        <f>IF($D$3="All",COUNTIFS('Full Crash Data'!$C:$C,"&gt;="&amp;$C$2,'Full Crash Data'!$C:$C,"&lt;="&amp;$E$2,'Full Crash Data'!$AX:$AX,"Yes",'Full Crash Data'!$CH:$CH,"Stop Sign",'Full Crash Data'!$G:$G,$W22)+COUNTIFS('Full Crash Data'!$C:$C,"&gt;="&amp;$C$2,'Full Crash Data'!$C:$C,"&lt;="&amp;$E$2,'Full Crash Data'!$AX:$AX,"Yes",'Full Crash Data'!$CH:$CH,"Yeild Sign",'Full Crash Data'!$G:$G,$W22)+COUNTIFS('Full Crash Data'!$C:$C,"&gt;="&amp;$C$2,'Full Crash Data'!$C:$C,"&lt;="&amp;$E$2,'Full Crash Data'!$AX:$AX,"Yes",'Full Crash Data'!$CH:$CH,"Flasher",'Full Crash Data'!$G:$G,$W22),COUNTIFS('Full Crash Data'!$C:$C,"&gt;="&amp;$C$2,'Full Crash Data'!$C:$C,"&lt;="&amp;$E$2,'Full Crash Data'!$AX:$AX,"Yes",'Full Crash Data'!$CH:$CH,"Stop Sign",'Full Crash Data'!$AN:$AN,$D$3,'Full Crash Data'!$G:$G,$W22)+COUNTIFS('Full Crash Data'!$C:$C,"&gt;="&amp;$C$2,'Full Crash Data'!$C:$C,"&lt;="&amp;$E$2,'Full Crash Data'!$AX:$AX,"Yes",'Full Crash Data'!$CH:$CH,"Yeild Sign",'Full Crash Data'!$AN:$AN,$D$3,'Full Crash Data'!$G:$G,$W22)+COUNTIFS('Full Crash Data'!$C:$C,"&gt;="&amp;$C$2,'Full Crash Data'!$C:$C,"&lt;="&amp;$E$2,'Full Crash Data'!$AX:$AX,"Yes",'Full Crash Data'!$CH:$CH,"Flasher",'Full Crash Data'!$AN:$AN,$D$3,'Full Crash Data'!$G:$G,$W22))</f>
        <v>0</v>
      </c>
      <c r="AZ22">
        <f>IF($D$3="All",SUMIFS('Full Crash Data'!$U:$U,'Full Crash Data'!$C:$C,"&gt;="&amp;$C$2,'Full Crash Data'!$C:$C,"&lt;="&amp;$E$2,'Full Crash Data'!$AX:$AX,"Yes",'Full Crash Data'!$CH:$CH,"Stop Sign",'Full Crash Data'!$G:$G,$W22)+SUMIFS('Full Crash Data'!$U:$U,'Full Crash Data'!$C:$C,"&gt;="&amp;$C$2,'Full Crash Data'!$C:$C,"&lt;="&amp;$E$2,'Full Crash Data'!$AX:$AX,"Yes",'Full Crash Data'!$CH:$CH,"Yeild Sign",'Full Crash Data'!$G:$G,$W22)+SUMIFS('Full Crash Data'!$U:$U,'Full Crash Data'!$C:$C,"&gt;="&amp;$C$2,'Full Crash Data'!$C:$C,"&lt;="&amp;$E$2,'Full Crash Data'!$AX:$AX,"Yes",'Full Crash Data'!$CH:$CH,"Flasher",'Full Crash Data'!$G:$G,$W22),SUMIFS('Full Crash Data'!$U:$U,'Full Crash Data'!$C:$C,"&gt;="&amp;$C$2,'Full Crash Data'!$C:$C,"&lt;="&amp;$E$2,'Full Crash Data'!$AX:$AX,"Yes",'Full Crash Data'!$CH:$CH,"Stop Sign",'Full Crash Data'!$AN:$AN,$D$3,'Full Crash Data'!$G:$G,$W22)+SUMIFS('Full Crash Data'!$U:$U,'Full Crash Data'!$C:$C,"&gt;="&amp;$C$2,'Full Crash Data'!$C:$C,"&lt;="&amp;$E$2,'Full Crash Data'!$AX:$AX,"Yes",'Full Crash Data'!$CH:$CH,"Yeild Sign",'Full Crash Data'!$AN:$AN,$D$3,'Full Crash Data'!$G:$G,$W22)+SUMIFS('Full Crash Data'!$U:$U,'Full Crash Data'!$C:$C,"&gt;="&amp;$C$2,'Full Crash Data'!$C:$C,"&lt;="&amp;$E$2,'Full Crash Data'!$AX:$AX,"Yes",'Full Crash Data'!$CH:$CH,"Flasher",'Full Crash Data'!$AN:$AN,$D$3,'Full Crash Data'!$G:$G,$W22))</f>
        <v>0</v>
      </c>
      <c r="BA22">
        <f>IF($D$3="All",SUMIFS('Full Crash Data'!$V:$V,'Full Crash Data'!$C:$C,"&gt;="&amp;$C$2,'Full Crash Data'!$C:$C,"&lt;="&amp;$E$2,'Full Crash Data'!$AX:$AX,"Yes",'Full Crash Data'!$CH:$CH,"Stop Sign",'Full Crash Data'!$G:$G,$W22)+SUMIFS('Full Crash Data'!$V:$V,'Full Crash Data'!$C:$C,"&gt;="&amp;$C$2,'Full Crash Data'!$C:$C,"&lt;="&amp;$E$2,'Full Crash Data'!$AX:$AX,"Yes",'Full Crash Data'!$CH:$CH,"Yeild Sign",'Full Crash Data'!$G:$G,$W22)+SUMIFS('Full Crash Data'!$V:$V,'Full Crash Data'!$C:$C,"&gt;="&amp;$C$2,'Full Crash Data'!$C:$C,"&lt;="&amp;$E$2,'Full Crash Data'!$AX:$AX,"Yes",'Full Crash Data'!$CH:$CH,"Flasher",'Full Crash Data'!$G:$G,$W22),SUMIFS('Full Crash Data'!$V:$V,'Full Crash Data'!$C:$C,"&gt;="&amp;$C$2,'Full Crash Data'!$C:$C,"&lt;="&amp;$E$2,'Full Crash Data'!$AX:$AX,"Yes",'Full Crash Data'!$CH:$CH,"Stop Sign",'Full Crash Data'!$AN:$AN,$D$3,'Full Crash Data'!$G:$G,$W22)+SUMIFS('Full Crash Data'!$V:$V,'Full Crash Data'!$C:$C,"&gt;="&amp;$C$2,'Full Crash Data'!$C:$C,"&lt;="&amp;$E$2,'Full Crash Data'!$AX:$AX,"Yes",'Full Crash Data'!$CH:$CH,"Yeild Sign",'Full Crash Data'!$AN:$AN,$D$3,'Full Crash Data'!$G:$G,$W22)+SUMIFS('Full Crash Data'!$V:$V,'Full Crash Data'!$C:$C,"&gt;="&amp;$C$2,'Full Crash Data'!$C:$C,"&lt;="&amp;$E$2,'Full Crash Data'!$AX:$AX,"Yes",'Full Crash Data'!$CH:$CH,"Flasher",'Full Crash Data'!$AN:$AN,$D$3,'Full Crash Data'!$G:$G,$W22))</f>
        <v>0</v>
      </c>
      <c r="BB22">
        <f t="shared" si="14"/>
        <v>15</v>
      </c>
      <c r="BC22">
        <f t="shared" si="15"/>
        <v>6.0000000000000008E-8</v>
      </c>
      <c r="BD22">
        <f t="shared" si="16"/>
        <v>0</v>
      </c>
      <c r="BE22">
        <f t="shared" si="17"/>
        <v>0</v>
      </c>
      <c r="BF22">
        <f t="shared" si="18"/>
        <v>0</v>
      </c>
      <c r="BG22" t="s">
        <v>202</v>
      </c>
    </row>
    <row r="23" spans="1:59" x14ac:dyDescent="0.15">
      <c r="A23" s="676" t="s">
        <v>6089</v>
      </c>
      <c r="B23" s="676"/>
      <c r="D23" s="676" t="s">
        <v>6089</v>
      </c>
      <c r="E23" s="676"/>
      <c r="H23" s="676" t="s">
        <v>6089</v>
      </c>
      <c r="I23" s="676"/>
      <c r="K23" s="676" t="s">
        <v>6089</v>
      </c>
      <c r="L23" s="676"/>
      <c r="N23" s="676" t="s">
        <v>6089</v>
      </c>
      <c r="O23" s="676"/>
      <c r="V23">
        <v>8</v>
      </c>
      <c r="W23" t="s">
        <v>409</v>
      </c>
      <c r="X23">
        <f t="shared" si="0"/>
        <v>10</v>
      </c>
      <c r="Y23">
        <f t="shared" si="1"/>
        <v>3.00000008</v>
      </c>
      <c r="Z23">
        <f>IF($D$3="All",COUNTIFS('Full Crash Data'!$C:$C,"&gt;="&amp;$C$2,'Full Crash Data'!$C:$C,"&lt;="&amp;$E$2,'Full Crash Data'!$G:$G,$W23,'Full Crash Data'!$AX:$AX,"No"),COUNTIFS('Full Crash Data'!$C:$C,"&gt;="&amp;$C$2,'Full Crash Data'!$C:$C,"&lt;="&amp;$E$2,'Full Crash Data'!$AN:$AN,$D$3,'Full Crash Data'!$G:$G,$W23,'Full Crash Data'!$AX:$AX,"No"))</f>
        <v>3</v>
      </c>
      <c r="AA23">
        <f>IF($D$3="All",SUMIFS('Full Crash Data'!$U:$U,'Full Crash Data'!$C:$C,"&gt;="&amp;$C$2,'Full Crash Data'!$C:$C,"&lt;="&amp;$E$2,'Full Crash Data'!$G:$G,$W23,'Full Crash Data'!$AX:$AX,"No"),SUMIFS('Full Crash Data'!$U:$U,'Full Crash Data'!$C:$C,"&gt;="&amp;$C$2,'Full Crash Data'!$C:$C,"&lt;="&amp;$E$2,'Full Crash Data'!$AN:$AN,$D$3,'Full Crash Data'!$G:$G,$W23,'Full Crash Data'!$AX:$AX,"No"))</f>
        <v>0</v>
      </c>
      <c r="AB23">
        <f>IF($D$3="All",SUMIFS('Full Crash Data'!$V:$V,'Full Crash Data'!$C:$C,"&gt;="&amp;$C$2,'Full Crash Data'!$C:$C,"&lt;="&amp;$E$2,'Full Crash Data'!$G:$G,$W23,'Full Crash Data'!$AX:$AX,"No"),SUMIFS('Full Crash Data'!$V:$V,'Full Crash Data'!$C:$C,"&gt;="&amp;$C$2,'Full Crash Data'!$C:$C,"&lt;="&amp;$E$2,'Full Crash Data'!$AN:$AN,$D$3,'Full Crash Data'!$G:$G,$W23,'Full Crash Data'!$AX:$AX,"No"))</f>
        <v>0</v>
      </c>
      <c r="AC23">
        <f t="shared" si="2"/>
        <v>3</v>
      </c>
      <c r="AD23">
        <f t="shared" si="3"/>
        <v>3.00000008</v>
      </c>
      <c r="AE23">
        <f>IF($D$3="All",COUNTIFS('Full Crash Data'!$C:$C,"&gt;="&amp;$C$2,'Full Crash Data'!$C:$C,"&lt;="&amp;$E$2,'Full Crash Data'!$AX:$AX,"No",'Full Crash Data'!$AW:$AW,"Yes",'Full Crash Data'!$G:$G,$W23),COUNTIFS('Full Crash Data'!$C:$C,"&gt;="&amp;$C$2,'Full Crash Data'!$C:$C,"&lt;="&amp;$E$2,'Full Crash Data'!$AX:$AX,"No",'Full Crash Data'!$AW:$AW,"Yes",'Full Crash Data'!$AN:$AN,$D$3,'Full Crash Data'!$G:$G,$W23))</f>
        <v>3</v>
      </c>
      <c r="AF23">
        <f>IF($D$3="All",SUMIFS('Full Crash Data'!$U:$U,'Full Crash Data'!$C:$C,"&gt;="&amp;$C$2,'Full Crash Data'!$C:$C,"&lt;="&amp;$E$2,'Full Crash Data'!$AX:$AX,"No",'Full Crash Data'!$AW:$AW,"Yes",'Full Crash Data'!$G:$G,$W23),SUMIFS('Full Crash Data'!$U:$U,'Full Crash Data'!$C:$C,"&gt;="&amp;$C$2,'Full Crash Data'!$C:$C,"&lt;="&amp;$E$2,'Full Crash Data'!$AX:$AX,"No",'Full Crash Data'!$AW:$AW,"Yes",'Full Crash Data'!$AN:$AN,$D$3,'Full Crash Data'!$G:$G,$W23))</f>
        <v>0</v>
      </c>
      <c r="AG23">
        <f>IF($D$3="All",SUMIFS('Full Crash Data'!$V:$V,'Full Crash Data'!$C:$C,"&gt;="&amp;$C$2,'Full Crash Data'!$C:$C,"&lt;="&amp;$E$2,'Full Crash Data'!$AX:$AX,"No",'Full Crash Data'!$AW:$AW,"Yes",'Full Crash Data'!$G:$G,$W23),SUMIFS('Full Crash Data'!$V:$V,'Full Crash Data'!$C:$C,"&gt;="&amp;$C$2,'Full Crash Data'!$C:$C,"&lt;="&amp;$E$2,'Full Crash Data'!$AX:$AX,"No",'Full Crash Data'!$AW:$AW,"Yes",'Full Crash Data'!$AN:$AN,$D$3,'Full Crash Data'!$G:$G,$W23))</f>
        <v>0</v>
      </c>
      <c r="AH23">
        <f t="shared" si="4"/>
        <v>15</v>
      </c>
      <c r="AI23">
        <f t="shared" si="5"/>
        <v>8.0000000000000002E-8</v>
      </c>
      <c r="AJ23">
        <f t="shared" si="6"/>
        <v>0</v>
      </c>
      <c r="AK23">
        <f t="shared" si="7"/>
        <v>0</v>
      </c>
      <c r="AL23">
        <f t="shared" si="8"/>
        <v>0</v>
      </c>
      <c r="AM23">
        <f t="shared" si="9"/>
        <v>15</v>
      </c>
      <c r="AN23">
        <f t="shared" si="10"/>
        <v>8.0000000000000002E-8</v>
      </c>
      <c r="AO23">
        <f>IF($D$3="All",COUNTIFS('Full Crash Data'!$C:$C,"&gt;="&amp;$C$2,'Full Crash Data'!$C:$C,"&lt;="&amp;$E$2,'Full Crash Data'!$AX:$AX,"Yes",'Full Crash Data'!$G:$G,$W23),COUNTIFS('Full Crash Data'!$C:$C,"&gt;="&amp;$C$2,'Full Crash Data'!$C:$C,"&lt;="&amp;$E$2,'Full Crash Data'!$AX:$AX,"Yes",'Full Crash Data'!$AN:$AN,$D$3,'Full Crash Data'!$G:$G,$W23))</f>
        <v>0</v>
      </c>
      <c r="AP23">
        <f>IF($D$3="All",SUMIFS('Full Crash Data'!$U:$U,'Full Crash Data'!$C:$C,"&gt;="&amp;$C$2,'Full Crash Data'!$C:$C,"&lt;="&amp;$E$2,'Full Crash Data'!$AX:$AX,"Yes",'Full Crash Data'!$G:$G,$W23),SUMIFS('Full Crash Data'!$U:$U,'Full Crash Data'!$C:$C,"&gt;="&amp;$C$2,'Full Crash Data'!$C:$C,"&lt;="&amp;$E$2,'Full Crash Data'!$AX:$AX,"Yes",'Full Crash Data'!$AN:$AN,$D$3,'Full Crash Data'!$G:$G,$W23))</f>
        <v>0</v>
      </c>
      <c r="AQ23">
        <f>IF($D$3="All",SUMIFS('Full Crash Data'!$V:$V,'Full Crash Data'!$C:$C,"&gt;="&amp;$C$2,'Full Crash Data'!$C:$C,"&lt;="&amp;$E$2,'Full Crash Data'!$AX:$AX,"Yes",'Full Crash Data'!$G:$G,$W23),SUMIFS('Full Crash Data'!$V:$V,'Full Crash Data'!$C:$C,"&gt;="&amp;$C$2,'Full Crash Data'!$C:$C,"&lt;="&amp;$E$2,'Full Crash Data'!$AX:$AX,"Yes",'Full Crash Data'!$AN:$AN,$D$3,'Full Crash Data'!$G:$G,$W23))</f>
        <v>0</v>
      </c>
      <c r="AR23">
        <f t="shared" si="19"/>
        <v>15</v>
      </c>
      <c r="AS23">
        <f t="shared" si="11"/>
        <v>8.0000000000000002E-8</v>
      </c>
      <c r="AT23">
        <f>IF($D$3="All",COUNTIFS('Full Crash Data'!$C:$C,"&gt;="&amp;$C$2,'Full Crash Data'!$C:$C,"&lt;="&amp;$E$2,'Full Crash Data'!$AX:$AX,"Yes",'Full Crash Data'!$CH:$CH,"Signal",'Full Crash Data'!$G:$G,$W23),COUNTIFS('Full Crash Data'!$C:$C,"&gt;="&amp;$C$2,'Full Crash Data'!$C:$C,"&lt;="&amp;$E$2,'Full Crash Data'!$AX:$AX,"Yes",'Full Crash Data'!$CH:$CH,"Signal",'Full Crash Data'!$AN:$AN,$D$3,'Full Crash Data'!$G:$G,$W23))</f>
        <v>0</v>
      </c>
      <c r="AU23">
        <f>IF($D$3="All",SUMIFS('Full Crash Data'!BG:BG,'Full Crash Data'!$C:$C,"&gt;="&amp;$C$2,'Full Crash Data'!$C:$C,"&lt;="&amp;$E$2,'Full Crash Data'!$AX:$AX,"Yes",'Full Crash Data'!$CH:$CH,"Signal",'Full Crash Data'!$G:$G,$W23),SUMIFS('Full Crash Data'!BG:BG,'Full Crash Data'!$C:$C,"&gt;="&amp;$C$2,'Full Crash Data'!$C:$C,"&lt;="&amp;$E$2,'Full Crash Data'!$AX:$AX,"Yes",'Full Crash Data'!$CH:$CH,"Signal",'Full Crash Data'!$AN:$AN,$D$3,'Full Crash Data'!$G:$G,$W23))</f>
        <v>0</v>
      </c>
      <c r="AV23">
        <f>IF($D$3="All",SUMIFS('Full Crash Data'!$V:$V,'Full Crash Data'!$C:$C,"&gt;="&amp;$C$2,'Full Crash Data'!$C:$C,"&lt;="&amp;$E$2,'Full Crash Data'!$AX:$AX,"Yes",'Full Crash Data'!$CH:$CH,"Signal",'Full Crash Data'!$G:$G,$W23),SUMIFS('Full Crash Data'!$V:$V,'Full Crash Data'!$C:$C,"&gt;="&amp;$C$2,'Full Crash Data'!$C:$C,"&lt;="&amp;$E$2,'Full Crash Data'!$AX:$AX,"Yes",'Full Crash Data'!$CH:$CH,"Signal",'Full Crash Data'!$AN:$AN,$D$3,'Full Crash Data'!$G:$G,$W23))</f>
        <v>0</v>
      </c>
      <c r="AW23">
        <f t="shared" si="12"/>
        <v>13</v>
      </c>
      <c r="AX23">
        <f t="shared" si="13"/>
        <v>8.0000000000000002E-8</v>
      </c>
      <c r="AY23">
        <f>IF($D$3="All",COUNTIFS('Full Crash Data'!$C:$C,"&gt;="&amp;$C$2,'Full Crash Data'!$C:$C,"&lt;="&amp;$E$2,'Full Crash Data'!$AX:$AX,"Yes",'Full Crash Data'!$CH:$CH,"Stop Sign",'Full Crash Data'!$G:$G,$W23)+COUNTIFS('Full Crash Data'!$C:$C,"&gt;="&amp;$C$2,'Full Crash Data'!$C:$C,"&lt;="&amp;$E$2,'Full Crash Data'!$AX:$AX,"Yes",'Full Crash Data'!$CH:$CH,"Yeild Sign",'Full Crash Data'!$G:$G,$W23)+COUNTIFS('Full Crash Data'!$C:$C,"&gt;="&amp;$C$2,'Full Crash Data'!$C:$C,"&lt;="&amp;$E$2,'Full Crash Data'!$AX:$AX,"Yes",'Full Crash Data'!$CH:$CH,"Flasher",'Full Crash Data'!$G:$G,$W23),COUNTIFS('Full Crash Data'!$C:$C,"&gt;="&amp;$C$2,'Full Crash Data'!$C:$C,"&lt;="&amp;$E$2,'Full Crash Data'!$AX:$AX,"Yes",'Full Crash Data'!$CH:$CH,"Stop Sign",'Full Crash Data'!$AN:$AN,$D$3,'Full Crash Data'!$G:$G,$W23)+COUNTIFS('Full Crash Data'!$C:$C,"&gt;="&amp;$C$2,'Full Crash Data'!$C:$C,"&lt;="&amp;$E$2,'Full Crash Data'!$AX:$AX,"Yes",'Full Crash Data'!$CH:$CH,"Yeild Sign",'Full Crash Data'!$AN:$AN,$D$3,'Full Crash Data'!$G:$G,$W23)+COUNTIFS('Full Crash Data'!$C:$C,"&gt;="&amp;$C$2,'Full Crash Data'!$C:$C,"&lt;="&amp;$E$2,'Full Crash Data'!$AX:$AX,"Yes",'Full Crash Data'!$CH:$CH,"Flasher",'Full Crash Data'!$AN:$AN,$D$3,'Full Crash Data'!$G:$G,$W23))</f>
        <v>0</v>
      </c>
      <c r="AZ23">
        <f>IF($D$3="All",SUMIFS('Full Crash Data'!$U:$U,'Full Crash Data'!$C:$C,"&gt;="&amp;$C$2,'Full Crash Data'!$C:$C,"&lt;="&amp;$E$2,'Full Crash Data'!$AX:$AX,"Yes",'Full Crash Data'!$CH:$CH,"Stop Sign",'Full Crash Data'!$G:$G,$W23)+SUMIFS('Full Crash Data'!$U:$U,'Full Crash Data'!$C:$C,"&gt;="&amp;$C$2,'Full Crash Data'!$C:$C,"&lt;="&amp;$E$2,'Full Crash Data'!$AX:$AX,"Yes",'Full Crash Data'!$CH:$CH,"Yeild Sign",'Full Crash Data'!$G:$G,$W23)+SUMIFS('Full Crash Data'!$U:$U,'Full Crash Data'!$C:$C,"&gt;="&amp;$C$2,'Full Crash Data'!$C:$C,"&lt;="&amp;$E$2,'Full Crash Data'!$AX:$AX,"Yes",'Full Crash Data'!$CH:$CH,"Flasher",'Full Crash Data'!$G:$G,$W23),SUMIFS('Full Crash Data'!$U:$U,'Full Crash Data'!$C:$C,"&gt;="&amp;$C$2,'Full Crash Data'!$C:$C,"&lt;="&amp;$E$2,'Full Crash Data'!$AX:$AX,"Yes",'Full Crash Data'!$CH:$CH,"Stop Sign",'Full Crash Data'!$AN:$AN,$D$3,'Full Crash Data'!$G:$G,$W23)+SUMIFS('Full Crash Data'!$U:$U,'Full Crash Data'!$C:$C,"&gt;="&amp;$C$2,'Full Crash Data'!$C:$C,"&lt;="&amp;$E$2,'Full Crash Data'!$AX:$AX,"Yes",'Full Crash Data'!$CH:$CH,"Yeild Sign",'Full Crash Data'!$AN:$AN,$D$3,'Full Crash Data'!$G:$G,$W23)+SUMIFS('Full Crash Data'!$U:$U,'Full Crash Data'!$C:$C,"&gt;="&amp;$C$2,'Full Crash Data'!$C:$C,"&lt;="&amp;$E$2,'Full Crash Data'!$AX:$AX,"Yes",'Full Crash Data'!$CH:$CH,"Flasher",'Full Crash Data'!$AN:$AN,$D$3,'Full Crash Data'!$G:$G,$W23))</f>
        <v>0</v>
      </c>
      <c r="BA23">
        <f>IF($D$3="All",SUMIFS('Full Crash Data'!$V:$V,'Full Crash Data'!$C:$C,"&gt;="&amp;$C$2,'Full Crash Data'!$C:$C,"&lt;="&amp;$E$2,'Full Crash Data'!$AX:$AX,"Yes",'Full Crash Data'!$CH:$CH,"Stop Sign",'Full Crash Data'!$G:$G,$W23)+SUMIFS('Full Crash Data'!$V:$V,'Full Crash Data'!$C:$C,"&gt;="&amp;$C$2,'Full Crash Data'!$C:$C,"&lt;="&amp;$E$2,'Full Crash Data'!$AX:$AX,"Yes",'Full Crash Data'!$CH:$CH,"Yeild Sign",'Full Crash Data'!$G:$G,$W23)+SUMIFS('Full Crash Data'!$V:$V,'Full Crash Data'!$C:$C,"&gt;="&amp;$C$2,'Full Crash Data'!$C:$C,"&lt;="&amp;$E$2,'Full Crash Data'!$AX:$AX,"Yes",'Full Crash Data'!$CH:$CH,"Flasher",'Full Crash Data'!$G:$G,$W23),SUMIFS('Full Crash Data'!$V:$V,'Full Crash Data'!$C:$C,"&gt;="&amp;$C$2,'Full Crash Data'!$C:$C,"&lt;="&amp;$E$2,'Full Crash Data'!$AX:$AX,"Yes",'Full Crash Data'!$CH:$CH,"Stop Sign",'Full Crash Data'!$AN:$AN,$D$3,'Full Crash Data'!$G:$G,$W23)+SUMIFS('Full Crash Data'!$V:$V,'Full Crash Data'!$C:$C,"&gt;="&amp;$C$2,'Full Crash Data'!$C:$C,"&lt;="&amp;$E$2,'Full Crash Data'!$AX:$AX,"Yes",'Full Crash Data'!$CH:$CH,"Yeild Sign",'Full Crash Data'!$AN:$AN,$D$3,'Full Crash Data'!$G:$G,$W23)+SUMIFS('Full Crash Data'!$V:$V,'Full Crash Data'!$C:$C,"&gt;="&amp;$C$2,'Full Crash Data'!$C:$C,"&lt;="&amp;$E$2,'Full Crash Data'!$AX:$AX,"Yes",'Full Crash Data'!$CH:$CH,"Flasher",'Full Crash Data'!$AN:$AN,$D$3,'Full Crash Data'!$G:$G,$W23))</f>
        <v>0</v>
      </c>
      <c r="BB23">
        <f t="shared" si="14"/>
        <v>13</v>
      </c>
      <c r="BC23">
        <f t="shared" si="15"/>
        <v>8.0000000000000002E-8</v>
      </c>
      <c r="BD23">
        <f t="shared" si="16"/>
        <v>0</v>
      </c>
      <c r="BE23">
        <f t="shared" si="17"/>
        <v>0</v>
      </c>
      <c r="BF23">
        <f t="shared" si="18"/>
        <v>0</v>
      </c>
      <c r="BG23" t="s">
        <v>409</v>
      </c>
    </row>
    <row r="24" spans="1:59" x14ac:dyDescent="0.15">
      <c r="A24" s="675" t="str">
        <f>IFERROR(VLOOKUP(1,$AC$5:$BG$25,31,FALSE),"")</f>
        <v>Fixed Object</v>
      </c>
      <c r="B24" s="675"/>
      <c r="D24" s="675" t="str">
        <f>IFERROR(VLOOKUP(1,$AH$5:$BG$25,26,FALSE),"")</f>
        <v>Sideswipe - Passing</v>
      </c>
      <c r="E24" s="675"/>
      <c r="H24" s="675" t="str">
        <f>IFERROR(VLOOKUP(1,$AR$5:$BG$26,16,FALSE),"")</f>
        <v>Rear End</v>
      </c>
      <c r="I24" s="675"/>
      <c r="K24" s="675" t="str">
        <f>IFERROR(VLOOKUP(1,$AW$5:$BG$26,11,FALSE),"")</f>
        <v>Angle</v>
      </c>
      <c r="L24" s="675"/>
      <c r="N24" s="675" t="str">
        <f>IFERROR(VLOOKUP(1,$BB$5:$BG$25,6,FALSE),"")</f>
        <v>Left Turn</v>
      </c>
      <c r="O24" s="675"/>
      <c r="V24">
        <v>16</v>
      </c>
      <c r="W24" t="s">
        <v>230</v>
      </c>
      <c r="X24">
        <f t="shared" si="0"/>
        <v>5</v>
      </c>
      <c r="Y24">
        <f t="shared" si="1"/>
        <v>13.00000316</v>
      </c>
      <c r="Z24">
        <f>IF($D$3="All",COUNTIFS('Full Crash Data'!$C:$C,"&gt;="&amp;$C$2,'Full Crash Data'!$C:$C,"&lt;="&amp;$E$2,'Full Crash Data'!$G:$G,$W24,'Full Crash Data'!$AX:$AX,"No"),COUNTIFS('Full Crash Data'!$C:$C,"&gt;="&amp;$C$2,'Full Crash Data'!$C:$C,"&lt;="&amp;$E$2,'Full Crash Data'!$AN:$AN,$D$3,'Full Crash Data'!$G:$G,$W24,'Full Crash Data'!$AX:$AX,"No"))</f>
        <v>13</v>
      </c>
      <c r="AA24">
        <f>IF($D$3="All",SUMIFS('Full Crash Data'!$U:$U,'Full Crash Data'!$C:$C,"&gt;="&amp;$C$2,'Full Crash Data'!$C:$C,"&lt;="&amp;$E$2,'Full Crash Data'!$G:$G,$W24,'Full Crash Data'!$AX:$AX,"No"),SUMIFS('Full Crash Data'!$U:$U,'Full Crash Data'!$C:$C,"&gt;="&amp;$C$2,'Full Crash Data'!$C:$C,"&lt;="&amp;$E$2,'Full Crash Data'!$AN:$AN,$D$3,'Full Crash Data'!$G:$G,$W24,'Full Crash Data'!$AX:$AX,"No"))</f>
        <v>0</v>
      </c>
      <c r="AB24">
        <f>IF($D$3="All",SUMIFS('Full Crash Data'!$V:$V,'Full Crash Data'!$C:$C,"&gt;="&amp;$C$2,'Full Crash Data'!$C:$C,"&lt;="&amp;$E$2,'Full Crash Data'!$G:$G,$W24,'Full Crash Data'!$AX:$AX,"No"),SUMIFS('Full Crash Data'!$V:$V,'Full Crash Data'!$C:$C,"&gt;="&amp;$C$2,'Full Crash Data'!$C:$C,"&lt;="&amp;$E$2,'Full Crash Data'!$AN:$AN,$D$3,'Full Crash Data'!$G:$G,$W24,'Full Crash Data'!$AX:$AX,"No"))</f>
        <v>3</v>
      </c>
      <c r="AC24">
        <f t="shared" si="2"/>
        <v>9</v>
      </c>
      <c r="AD24">
        <f t="shared" si="3"/>
        <v>1.6E-7</v>
      </c>
      <c r="AE24">
        <f>IF($D$3="All",COUNTIFS('Full Crash Data'!$C:$C,"&gt;="&amp;$C$2,'Full Crash Data'!$C:$C,"&lt;="&amp;$E$2,'Full Crash Data'!$AX:$AX,"No",'Full Crash Data'!$AW:$AW,"Yes",'Full Crash Data'!$G:$G,$W24),COUNTIFS('Full Crash Data'!$C:$C,"&gt;="&amp;$C$2,'Full Crash Data'!$C:$C,"&lt;="&amp;$E$2,'Full Crash Data'!$AX:$AX,"No",'Full Crash Data'!$AW:$AW,"Yes",'Full Crash Data'!$AN:$AN,$D$3,'Full Crash Data'!$G:$G,$W24))</f>
        <v>0</v>
      </c>
      <c r="AF24">
        <f>IF($D$3="All",SUMIFS('Full Crash Data'!$U:$U,'Full Crash Data'!$C:$C,"&gt;="&amp;$C$2,'Full Crash Data'!$C:$C,"&lt;="&amp;$E$2,'Full Crash Data'!$AX:$AX,"No",'Full Crash Data'!$AW:$AW,"Yes",'Full Crash Data'!$G:$G,$W24),SUMIFS('Full Crash Data'!$U:$U,'Full Crash Data'!$C:$C,"&gt;="&amp;$C$2,'Full Crash Data'!$C:$C,"&lt;="&amp;$E$2,'Full Crash Data'!$AX:$AX,"No",'Full Crash Data'!$AW:$AW,"Yes",'Full Crash Data'!$AN:$AN,$D$3,'Full Crash Data'!$G:$G,$W24))</f>
        <v>0</v>
      </c>
      <c r="AG24">
        <f>IF($D$3="All",SUMIFS('Full Crash Data'!$V:$V,'Full Crash Data'!$C:$C,"&gt;="&amp;$C$2,'Full Crash Data'!$C:$C,"&lt;="&amp;$E$2,'Full Crash Data'!$AX:$AX,"No",'Full Crash Data'!$AW:$AW,"Yes",'Full Crash Data'!$G:$G,$W24),SUMIFS('Full Crash Data'!$V:$V,'Full Crash Data'!$C:$C,"&gt;="&amp;$C$2,'Full Crash Data'!$C:$C,"&lt;="&amp;$E$2,'Full Crash Data'!$AX:$AX,"No",'Full Crash Data'!$AW:$AW,"Yes",'Full Crash Data'!$AN:$AN,$D$3,'Full Crash Data'!$G:$G,$W24))</f>
        <v>0</v>
      </c>
      <c r="AH24">
        <f t="shared" si="4"/>
        <v>4</v>
      </c>
      <c r="AI24">
        <f t="shared" si="5"/>
        <v>13.00000316</v>
      </c>
      <c r="AJ24">
        <f t="shared" si="6"/>
        <v>13</v>
      </c>
      <c r="AK24">
        <f t="shared" si="7"/>
        <v>0</v>
      </c>
      <c r="AL24">
        <f t="shared" si="8"/>
        <v>3</v>
      </c>
      <c r="AM24">
        <f t="shared" si="9"/>
        <v>3</v>
      </c>
      <c r="AN24">
        <f t="shared" si="10"/>
        <v>38.000003159999999</v>
      </c>
      <c r="AO24">
        <f>IF($D$3="All",COUNTIFS('Full Crash Data'!$C:$C,"&gt;="&amp;$C$2,'Full Crash Data'!$C:$C,"&lt;="&amp;$E$2,'Full Crash Data'!$AX:$AX,"Yes",'Full Crash Data'!$G:$G,$W24),COUNTIFS('Full Crash Data'!$C:$C,"&gt;="&amp;$C$2,'Full Crash Data'!$C:$C,"&lt;="&amp;$E$2,'Full Crash Data'!$AX:$AX,"Yes",'Full Crash Data'!$AN:$AN,$D$3,'Full Crash Data'!$G:$G,$W24))</f>
        <v>38</v>
      </c>
      <c r="AP24">
        <f>IF($D$3="All",SUMIFS('Full Crash Data'!$U:$U,'Full Crash Data'!$C:$C,"&gt;="&amp;$C$2,'Full Crash Data'!$C:$C,"&lt;="&amp;$E$2,'Full Crash Data'!$AX:$AX,"Yes",'Full Crash Data'!$G:$G,$W24),SUMIFS('Full Crash Data'!$U:$U,'Full Crash Data'!$C:$C,"&gt;="&amp;$C$2,'Full Crash Data'!$C:$C,"&lt;="&amp;$E$2,'Full Crash Data'!$AX:$AX,"Yes",'Full Crash Data'!$AN:$AN,$D$3,'Full Crash Data'!$G:$G,$W24))</f>
        <v>0</v>
      </c>
      <c r="AQ24">
        <f>IF($D$3="All",SUMIFS('Full Crash Data'!$V:$V,'Full Crash Data'!$C:$C,"&gt;="&amp;$C$2,'Full Crash Data'!$C:$C,"&lt;="&amp;$E$2,'Full Crash Data'!$AX:$AX,"Yes",'Full Crash Data'!$G:$G,$W24),SUMIFS('Full Crash Data'!$V:$V,'Full Crash Data'!$C:$C,"&gt;="&amp;$C$2,'Full Crash Data'!$C:$C,"&lt;="&amp;$E$2,'Full Crash Data'!$AX:$AX,"Yes",'Full Crash Data'!$AN:$AN,$D$3,'Full Crash Data'!$G:$G,$W24))</f>
        <v>3</v>
      </c>
      <c r="AR24">
        <f t="shared" si="19"/>
        <v>3</v>
      </c>
      <c r="AS24">
        <f t="shared" si="11"/>
        <v>20.00000116</v>
      </c>
      <c r="AT24">
        <f>IF($D$3="All",COUNTIFS('Full Crash Data'!$C:$C,"&gt;="&amp;$C$2,'Full Crash Data'!$C:$C,"&lt;="&amp;$E$2,'Full Crash Data'!$AX:$AX,"Yes",'Full Crash Data'!$CH:$CH,"Signal",'Full Crash Data'!$G:$G,$W24),COUNTIFS('Full Crash Data'!$C:$C,"&gt;="&amp;$C$2,'Full Crash Data'!$C:$C,"&lt;="&amp;$E$2,'Full Crash Data'!$AX:$AX,"Yes",'Full Crash Data'!$CH:$CH,"Signal",'Full Crash Data'!$AN:$AN,$D$3,'Full Crash Data'!$G:$G,$W24))</f>
        <v>20</v>
      </c>
      <c r="AU24">
        <f>IF($D$3="All",SUMIFS('Full Crash Data'!BG:BG,'Full Crash Data'!$C:$C,"&gt;="&amp;$C$2,'Full Crash Data'!$C:$C,"&lt;="&amp;$E$2,'Full Crash Data'!$AX:$AX,"Yes",'Full Crash Data'!$CH:$CH,"Signal",'Full Crash Data'!$G:$G,$W24),SUMIFS('Full Crash Data'!BG:BG,'Full Crash Data'!$C:$C,"&gt;="&amp;$C$2,'Full Crash Data'!$C:$C,"&lt;="&amp;$E$2,'Full Crash Data'!$AX:$AX,"Yes",'Full Crash Data'!$CH:$CH,"Signal",'Full Crash Data'!$AN:$AN,$D$3,'Full Crash Data'!$G:$G,$W24))</f>
        <v>0</v>
      </c>
      <c r="AV24">
        <f>IF($D$3="All",SUMIFS('Full Crash Data'!$V:$V,'Full Crash Data'!$C:$C,"&gt;="&amp;$C$2,'Full Crash Data'!$C:$C,"&lt;="&amp;$E$2,'Full Crash Data'!$AX:$AX,"Yes",'Full Crash Data'!$CH:$CH,"Signal",'Full Crash Data'!$G:$G,$W24),SUMIFS('Full Crash Data'!$V:$V,'Full Crash Data'!$C:$C,"&gt;="&amp;$C$2,'Full Crash Data'!$C:$C,"&lt;="&amp;$E$2,'Full Crash Data'!$AX:$AX,"Yes",'Full Crash Data'!$CH:$CH,"Signal",'Full Crash Data'!$AN:$AN,$D$3,'Full Crash Data'!$G:$G,$W24))</f>
        <v>1</v>
      </c>
      <c r="AW24">
        <f t="shared" si="12"/>
        <v>2</v>
      </c>
      <c r="AX24">
        <f t="shared" si="13"/>
        <v>4.0000011600000001</v>
      </c>
      <c r="AY24">
        <f>IF($D$3="All",COUNTIFS('Full Crash Data'!$C:$C,"&gt;="&amp;$C$2,'Full Crash Data'!$C:$C,"&lt;="&amp;$E$2,'Full Crash Data'!$AX:$AX,"Yes",'Full Crash Data'!$CH:$CH,"Stop Sign",'Full Crash Data'!$G:$G,$W24)+COUNTIFS('Full Crash Data'!$C:$C,"&gt;="&amp;$C$2,'Full Crash Data'!$C:$C,"&lt;="&amp;$E$2,'Full Crash Data'!$AX:$AX,"Yes",'Full Crash Data'!$CH:$CH,"Yeild Sign",'Full Crash Data'!$G:$G,$W24)+COUNTIFS('Full Crash Data'!$C:$C,"&gt;="&amp;$C$2,'Full Crash Data'!$C:$C,"&lt;="&amp;$E$2,'Full Crash Data'!$AX:$AX,"Yes",'Full Crash Data'!$CH:$CH,"Flasher",'Full Crash Data'!$G:$G,$W24),COUNTIFS('Full Crash Data'!$C:$C,"&gt;="&amp;$C$2,'Full Crash Data'!$C:$C,"&lt;="&amp;$E$2,'Full Crash Data'!$AX:$AX,"Yes",'Full Crash Data'!$CH:$CH,"Stop Sign",'Full Crash Data'!$AN:$AN,$D$3,'Full Crash Data'!$G:$G,$W24)+COUNTIFS('Full Crash Data'!$C:$C,"&gt;="&amp;$C$2,'Full Crash Data'!$C:$C,"&lt;="&amp;$E$2,'Full Crash Data'!$AX:$AX,"Yes",'Full Crash Data'!$CH:$CH,"Yeild Sign",'Full Crash Data'!$AN:$AN,$D$3,'Full Crash Data'!$G:$G,$W24)+COUNTIFS('Full Crash Data'!$C:$C,"&gt;="&amp;$C$2,'Full Crash Data'!$C:$C,"&lt;="&amp;$E$2,'Full Crash Data'!$AX:$AX,"Yes",'Full Crash Data'!$CH:$CH,"Flasher",'Full Crash Data'!$AN:$AN,$D$3,'Full Crash Data'!$G:$G,$W24))</f>
        <v>4</v>
      </c>
      <c r="AZ24">
        <f>IF($D$3="All",SUMIFS('Full Crash Data'!$U:$U,'Full Crash Data'!$C:$C,"&gt;="&amp;$C$2,'Full Crash Data'!$C:$C,"&lt;="&amp;$E$2,'Full Crash Data'!$AX:$AX,"Yes",'Full Crash Data'!$CH:$CH,"Stop Sign",'Full Crash Data'!$G:$G,$W24)+SUMIFS('Full Crash Data'!$U:$U,'Full Crash Data'!$C:$C,"&gt;="&amp;$C$2,'Full Crash Data'!$C:$C,"&lt;="&amp;$E$2,'Full Crash Data'!$AX:$AX,"Yes",'Full Crash Data'!$CH:$CH,"Yeild Sign",'Full Crash Data'!$G:$G,$W24)+SUMIFS('Full Crash Data'!$U:$U,'Full Crash Data'!$C:$C,"&gt;="&amp;$C$2,'Full Crash Data'!$C:$C,"&lt;="&amp;$E$2,'Full Crash Data'!$AX:$AX,"Yes",'Full Crash Data'!$CH:$CH,"Flasher",'Full Crash Data'!$G:$G,$W24),SUMIFS('Full Crash Data'!$U:$U,'Full Crash Data'!$C:$C,"&gt;="&amp;$C$2,'Full Crash Data'!$C:$C,"&lt;="&amp;$E$2,'Full Crash Data'!$AX:$AX,"Yes",'Full Crash Data'!$CH:$CH,"Stop Sign",'Full Crash Data'!$AN:$AN,$D$3,'Full Crash Data'!$G:$G,$W24)+SUMIFS('Full Crash Data'!$U:$U,'Full Crash Data'!$C:$C,"&gt;="&amp;$C$2,'Full Crash Data'!$C:$C,"&lt;="&amp;$E$2,'Full Crash Data'!$AX:$AX,"Yes",'Full Crash Data'!$CH:$CH,"Yeild Sign",'Full Crash Data'!$AN:$AN,$D$3,'Full Crash Data'!$G:$G,$W24)+SUMIFS('Full Crash Data'!$U:$U,'Full Crash Data'!$C:$C,"&gt;="&amp;$C$2,'Full Crash Data'!$C:$C,"&lt;="&amp;$E$2,'Full Crash Data'!$AX:$AX,"Yes",'Full Crash Data'!$CH:$CH,"Flasher",'Full Crash Data'!$AN:$AN,$D$3,'Full Crash Data'!$G:$G,$W24))</f>
        <v>0</v>
      </c>
      <c r="BA24">
        <f>IF($D$3="All",SUMIFS('Full Crash Data'!$V:$V,'Full Crash Data'!$C:$C,"&gt;="&amp;$C$2,'Full Crash Data'!$C:$C,"&lt;="&amp;$E$2,'Full Crash Data'!$AX:$AX,"Yes",'Full Crash Data'!$CH:$CH,"Stop Sign",'Full Crash Data'!$G:$G,$W24)+SUMIFS('Full Crash Data'!$V:$V,'Full Crash Data'!$C:$C,"&gt;="&amp;$C$2,'Full Crash Data'!$C:$C,"&lt;="&amp;$E$2,'Full Crash Data'!$AX:$AX,"Yes",'Full Crash Data'!$CH:$CH,"Yeild Sign",'Full Crash Data'!$G:$G,$W24)+SUMIFS('Full Crash Data'!$V:$V,'Full Crash Data'!$C:$C,"&gt;="&amp;$C$2,'Full Crash Data'!$C:$C,"&lt;="&amp;$E$2,'Full Crash Data'!$AX:$AX,"Yes",'Full Crash Data'!$CH:$CH,"Flasher",'Full Crash Data'!$G:$G,$W24),SUMIFS('Full Crash Data'!$V:$V,'Full Crash Data'!$C:$C,"&gt;="&amp;$C$2,'Full Crash Data'!$C:$C,"&lt;="&amp;$E$2,'Full Crash Data'!$AX:$AX,"Yes",'Full Crash Data'!$CH:$CH,"Stop Sign",'Full Crash Data'!$AN:$AN,$D$3,'Full Crash Data'!$G:$G,$W24)+SUMIFS('Full Crash Data'!$V:$V,'Full Crash Data'!$C:$C,"&gt;="&amp;$C$2,'Full Crash Data'!$C:$C,"&lt;="&amp;$E$2,'Full Crash Data'!$AX:$AX,"Yes",'Full Crash Data'!$CH:$CH,"Yeild Sign",'Full Crash Data'!$AN:$AN,$D$3,'Full Crash Data'!$G:$G,$W24)+SUMIFS('Full Crash Data'!$V:$V,'Full Crash Data'!$C:$C,"&gt;="&amp;$C$2,'Full Crash Data'!$C:$C,"&lt;="&amp;$E$2,'Full Crash Data'!$AX:$AX,"Yes",'Full Crash Data'!$CH:$CH,"Flasher",'Full Crash Data'!$AN:$AN,$D$3,'Full Crash Data'!$G:$G,$W24))</f>
        <v>1</v>
      </c>
      <c r="BB24">
        <f t="shared" si="14"/>
        <v>1</v>
      </c>
      <c r="BC24">
        <f t="shared" si="15"/>
        <v>14.00000116</v>
      </c>
      <c r="BD24">
        <f t="shared" si="16"/>
        <v>14</v>
      </c>
      <c r="BE24">
        <f t="shared" si="17"/>
        <v>0</v>
      </c>
      <c r="BF24">
        <f t="shared" si="18"/>
        <v>1</v>
      </c>
      <c r="BG24" t="s">
        <v>230</v>
      </c>
    </row>
    <row r="25" spans="1:59" x14ac:dyDescent="0.15">
      <c r="A25" s="385" t="s">
        <v>6085</v>
      </c>
      <c r="B25" s="396">
        <f>IFERROR(VLOOKUP(1,$AC$5:$AG$25,3,FALSE),"")</f>
        <v>14</v>
      </c>
      <c r="D25" s="385" t="s">
        <v>6085</v>
      </c>
      <c r="E25" s="396">
        <f>IFERROR(VLOOKUP(1,$AH$5:$AL$25,3,FALSE),"")</f>
        <v>23</v>
      </c>
      <c r="H25" s="385" t="s">
        <v>6085</v>
      </c>
      <c r="I25" s="396">
        <f>IFERROR(VLOOKUP(1,$AR$5:$AV$25,3,FALSE),"")</f>
        <v>28</v>
      </c>
      <c r="K25" s="385" t="s">
        <v>6085</v>
      </c>
      <c r="L25" s="396">
        <f>IFERROR(VLOOKUP(1,$AW$5:$BA$25,3,FALSE),"")</f>
        <v>13</v>
      </c>
      <c r="N25" s="385" t="s">
        <v>6085</v>
      </c>
      <c r="O25" s="396">
        <f>IFERROR(VLOOKUP(1,$BB$5:$BF$25,3,FALSE),"")</f>
        <v>14</v>
      </c>
      <c r="V25">
        <v>11</v>
      </c>
      <c r="W25" t="s">
        <v>860</v>
      </c>
      <c r="X25">
        <f t="shared" si="0"/>
        <v>8</v>
      </c>
      <c r="Y25">
        <f t="shared" si="1"/>
        <v>5.0000001100000002</v>
      </c>
      <c r="Z25">
        <f>IF($D$3="All",COUNTIFS('Full Crash Data'!$C:$C,"&gt;="&amp;$C$2,'Full Crash Data'!$C:$C,"&lt;="&amp;$E$2,'Full Crash Data'!$G:$G,$W25,'Full Crash Data'!$AX:$AX,"No"),COUNTIFS('Full Crash Data'!$C:$C,"&gt;="&amp;$C$2,'Full Crash Data'!$C:$C,"&lt;="&amp;$E$2,'Full Crash Data'!$AN:$AN,$D$3,'Full Crash Data'!$G:$G,$W25,'Full Crash Data'!$AX:$AX,"No"))</f>
        <v>5</v>
      </c>
      <c r="AA25">
        <f>IF($D$3="All",SUMIFS('Full Crash Data'!$U:$U,'Full Crash Data'!$C:$C,"&gt;="&amp;$C$2,'Full Crash Data'!$C:$C,"&lt;="&amp;$E$2,'Full Crash Data'!$G:$G,$W25,'Full Crash Data'!$AX:$AX,"No"),SUMIFS('Full Crash Data'!$U:$U,'Full Crash Data'!$C:$C,"&gt;="&amp;$C$2,'Full Crash Data'!$C:$C,"&lt;="&amp;$E$2,'Full Crash Data'!$AN:$AN,$D$3,'Full Crash Data'!$G:$G,$W25,'Full Crash Data'!$AX:$AX,"No"))</f>
        <v>0</v>
      </c>
      <c r="AB25">
        <f>IF($D$3="All",SUMIFS('Full Crash Data'!$V:$V,'Full Crash Data'!$C:$C,"&gt;="&amp;$C$2,'Full Crash Data'!$C:$C,"&lt;="&amp;$E$2,'Full Crash Data'!$G:$G,$W25,'Full Crash Data'!$AX:$AX,"No"),SUMIFS('Full Crash Data'!$V:$V,'Full Crash Data'!$C:$C,"&gt;="&amp;$C$2,'Full Crash Data'!$C:$C,"&lt;="&amp;$E$2,'Full Crash Data'!$AN:$AN,$D$3,'Full Crash Data'!$G:$G,$W25,'Full Crash Data'!$AX:$AX,"No"))</f>
        <v>0</v>
      </c>
      <c r="AC25">
        <f t="shared" si="2"/>
        <v>7</v>
      </c>
      <c r="AD25">
        <f t="shared" si="3"/>
        <v>1.00000011</v>
      </c>
      <c r="AE25">
        <f>IF($D$3="All",COUNTIFS('Full Crash Data'!$C:$C,"&gt;="&amp;$C$2,'Full Crash Data'!$C:$C,"&lt;="&amp;$E$2,'Full Crash Data'!$AX:$AX,"No",'Full Crash Data'!$AW:$AW,"Yes",'Full Crash Data'!$G:$G,$W25),COUNTIFS('Full Crash Data'!$C:$C,"&gt;="&amp;$C$2,'Full Crash Data'!$C:$C,"&lt;="&amp;$E$2,'Full Crash Data'!$AX:$AX,"No",'Full Crash Data'!$AW:$AW,"Yes",'Full Crash Data'!$AN:$AN,$D$3,'Full Crash Data'!$G:$G,$W25))</f>
        <v>1</v>
      </c>
      <c r="AF25">
        <f>IF($D$3="All",SUMIFS('Full Crash Data'!$U:$U,'Full Crash Data'!$C:$C,"&gt;="&amp;$C$2,'Full Crash Data'!$C:$C,"&lt;="&amp;$E$2,'Full Crash Data'!$AX:$AX,"No",'Full Crash Data'!$AW:$AW,"Yes",'Full Crash Data'!$G:$G,$W25),SUMIFS('Full Crash Data'!$U:$U,'Full Crash Data'!$C:$C,"&gt;="&amp;$C$2,'Full Crash Data'!$C:$C,"&lt;="&amp;$E$2,'Full Crash Data'!$AX:$AX,"No",'Full Crash Data'!$AW:$AW,"Yes",'Full Crash Data'!$AN:$AN,$D$3,'Full Crash Data'!$G:$G,$W25))</f>
        <v>0</v>
      </c>
      <c r="AG25">
        <f>IF($D$3="All",SUMIFS('Full Crash Data'!$V:$V,'Full Crash Data'!$C:$C,"&gt;="&amp;$C$2,'Full Crash Data'!$C:$C,"&lt;="&amp;$E$2,'Full Crash Data'!$AX:$AX,"No",'Full Crash Data'!$AW:$AW,"Yes",'Full Crash Data'!$G:$G,$W25),SUMIFS('Full Crash Data'!$V:$V,'Full Crash Data'!$C:$C,"&gt;="&amp;$C$2,'Full Crash Data'!$C:$C,"&lt;="&amp;$E$2,'Full Crash Data'!$AX:$AX,"No",'Full Crash Data'!$AW:$AW,"Yes",'Full Crash Data'!$AN:$AN,$D$3,'Full Crash Data'!$G:$G,$W25))</f>
        <v>0</v>
      </c>
      <c r="AH25">
        <f t="shared" si="4"/>
        <v>6</v>
      </c>
      <c r="AI25">
        <f t="shared" si="5"/>
        <v>4.0000001100000002</v>
      </c>
      <c r="AJ25">
        <f t="shared" si="6"/>
        <v>4</v>
      </c>
      <c r="AK25">
        <f t="shared" si="7"/>
        <v>0</v>
      </c>
      <c r="AL25">
        <f t="shared" si="8"/>
        <v>0</v>
      </c>
      <c r="AM25">
        <f t="shared" si="9"/>
        <v>8</v>
      </c>
      <c r="AN25">
        <f t="shared" si="10"/>
        <v>6.0000001100000002</v>
      </c>
      <c r="AO25">
        <f>IF($D$3="All",COUNTIFS('Full Crash Data'!$C:$C,"&gt;="&amp;$C$2,'Full Crash Data'!$C:$C,"&lt;="&amp;$E$2,'Full Crash Data'!$AX:$AX,"Yes",'Full Crash Data'!$G:$G,$W25),COUNTIFS('Full Crash Data'!$C:$C,"&gt;="&amp;$C$2,'Full Crash Data'!$C:$C,"&lt;="&amp;$E$2,'Full Crash Data'!$AX:$AX,"Yes",'Full Crash Data'!$AN:$AN,$D$3,'Full Crash Data'!$G:$G,$W25))</f>
        <v>6</v>
      </c>
      <c r="AP25">
        <f>IF($D$3="All",SUMIFS('Full Crash Data'!$U:$U,'Full Crash Data'!$C:$C,"&gt;="&amp;$C$2,'Full Crash Data'!$C:$C,"&lt;="&amp;$E$2,'Full Crash Data'!$AX:$AX,"Yes",'Full Crash Data'!$G:$G,$W25),SUMIFS('Full Crash Data'!$U:$U,'Full Crash Data'!$C:$C,"&gt;="&amp;$C$2,'Full Crash Data'!$C:$C,"&lt;="&amp;$E$2,'Full Crash Data'!$AX:$AX,"Yes",'Full Crash Data'!$AN:$AN,$D$3,'Full Crash Data'!$G:$G,$W25))</f>
        <v>0</v>
      </c>
      <c r="AQ25">
        <f>IF($D$3="All",SUMIFS('Full Crash Data'!$V:$V,'Full Crash Data'!$C:$C,"&gt;="&amp;$C$2,'Full Crash Data'!$C:$C,"&lt;="&amp;$E$2,'Full Crash Data'!$AX:$AX,"Yes",'Full Crash Data'!$G:$G,$W25),SUMIFS('Full Crash Data'!$V:$V,'Full Crash Data'!$C:$C,"&gt;="&amp;$C$2,'Full Crash Data'!$C:$C,"&lt;="&amp;$E$2,'Full Crash Data'!$AX:$AX,"Yes",'Full Crash Data'!$AN:$AN,$D$3,'Full Crash Data'!$G:$G,$W25))</f>
        <v>0</v>
      </c>
      <c r="AR25">
        <f t="shared" si="19"/>
        <v>7</v>
      </c>
      <c r="AS25">
        <f t="shared" si="11"/>
        <v>4.0000001100000002</v>
      </c>
      <c r="AT25">
        <f>IF($D$3="All",COUNTIFS('Full Crash Data'!$C:$C,"&gt;="&amp;$C$2,'Full Crash Data'!$C:$C,"&lt;="&amp;$E$2,'Full Crash Data'!$AX:$AX,"Yes",'Full Crash Data'!$CH:$CH,"Signal",'Full Crash Data'!$G:$G,$W25),COUNTIFS('Full Crash Data'!$C:$C,"&gt;="&amp;$C$2,'Full Crash Data'!$C:$C,"&lt;="&amp;$E$2,'Full Crash Data'!$AX:$AX,"Yes",'Full Crash Data'!$CH:$CH,"Signal",'Full Crash Data'!$AN:$AN,$D$3,'Full Crash Data'!$G:$G,$W25))</f>
        <v>4</v>
      </c>
      <c r="AU25">
        <f>IF($D$3="All",SUMIFS('Full Crash Data'!BG:BG,'Full Crash Data'!$C:$C,"&gt;="&amp;$C$2,'Full Crash Data'!$C:$C,"&lt;="&amp;$E$2,'Full Crash Data'!$AX:$AX,"Yes",'Full Crash Data'!$CH:$CH,"Signal",'Full Crash Data'!$G:$G,$W25),SUMIFS('Full Crash Data'!BG:BG,'Full Crash Data'!$C:$C,"&gt;="&amp;$C$2,'Full Crash Data'!$C:$C,"&lt;="&amp;$E$2,'Full Crash Data'!$AX:$AX,"Yes",'Full Crash Data'!$CH:$CH,"Signal",'Full Crash Data'!$AN:$AN,$D$3,'Full Crash Data'!$G:$G,$W25))</f>
        <v>0</v>
      </c>
      <c r="AV25">
        <f>IF($D$3="All",SUMIFS('Full Crash Data'!$V:$V,'Full Crash Data'!$C:$C,"&gt;="&amp;$C$2,'Full Crash Data'!$C:$C,"&lt;="&amp;$E$2,'Full Crash Data'!$AX:$AX,"Yes",'Full Crash Data'!$CH:$CH,"Signal",'Full Crash Data'!$G:$G,$W25),SUMIFS('Full Crash Data'!$V:$V,'Full Crash Data'!$C:$C,"&gt;="&amp;$C$2,'Full Crash Data'!$C:$C,"&lt;="&amp;$E$2,'Full Crash Data'!$AX:$AX,"Yes",'Full Crash Data'!$CH:$CH,"Signal",'Full Crash Data'!$AN:$AN,$D$3,'Full Crash Data'!$G:$G,$W25))</f>
        <v>0</v>
      </c>
      <c r="AW25">
        <f t="shared" si="12"/>
        <v>4</v>
      </c>
      <c r="AX25">
        <f t="shared" si="13"/>
        <v>2.0000001100000002</v>
      </c>
      <c r="AY25">
        <f>IF($D$3="All",COUNTIFS('Full Crash Data'!$C:$C,"&gt;="&amp;$C$2,'Full Crash Data'!$C:$C,"&lt;="&amp;$E$2,'Full Crash Data'!$AX:$AX,"Yes",'Full Crash Data'!$CH:$CH,"Stop Sign",'Full Crash Data'!$G:$G,$W25)+COUNTIFS('Full Crash Data'!$C:$C,"&gt;="&amp;$C$2,'Full Crash Data'!$C:$C,"&lt;="&amp;$E$2,'Full Crash Data'!$AX:$AX,"Yes",'Full Crash Data'!$CH:$CH,"Yeild Sign",'Full Crash Data'!$G:$G,$W25)+COUNTIFS('Full Crash Data'!$C:$C,"&gt;="&amp;$C$2,'Full Crash Data'!$C:$C,"&lt;="&amp;$E$2,'Full Crash Data'!$AX:$AX,"Yes",'Full Crash Data'!$CH:$CH,"Flasher",'Full Crash Data'!$G:$G,$W25),COUNTIFS('Full Crash Data'!$C:$C,"&gt;="&amp;$C$2,'Full Crash Data'!$C:$C,"&lt;="&amp;$E$2,'Full Crash Data'!$AX:$AX,"Yes",'Full Crash Data'!$CH:$CH,"Stop Sign",'Full Crash Data'!$AN:$AN,$D$3,'Full Crash Data'!$G:$G,$W25)+COUNTIFS('Full Crash Data'!$C:$C,"&gt;="&amp;$C$2,'Full Crash Data'!$C:$C,"&lt;="&amp;$E$2,'Full Crash Data'!$AX:$AX,"Yes",'Full Crash Data'!$CH:$CH,"Yeild Sign",'Full Crash Data'!$AN:$AN,$D$3,'Full Crash Data'!$G:$G,$W25)+COUNTIFS('Full Crash Data'!$C:$C,"&gt;="&amp;$C$2,'Full Crash Data'!$C:$C,"&lt;="&amp;$E$2,'Full Crash Data'!$AX:$AX,"Yes",'Full Crash Data'!$CH:$CH,"Flasher",'Full Crash Data'!$AN:$AN,$D$3,'Full Crash Data'!$G:$G,$W25))</f>
        <v>2</v>
      </c>
      <c r="AZ25">
        <f>IF($D$3="All",SUMIFS('Full Crash Data'!$U:$U,'Full Crash Data'!$C:$C,"&gt;="&amp;$C$2,'Full Crash Data'!$C:$C,"&lt;="&amp;$E$2,'Full Crash Data'!$AX:$AX,"Yes",'Full Crash Data'!$CH:$CH,"Stop Sign",'Full Crash Data'!$G:$G,$W25)+SUMIFS('Full Crash Data'!$U:$U,'Full Crash Data'!$C:$C,"&gt;="&amp;$C$2,'Full Crash Data'!$C:$C,"&lt;="&amp;$E$2,'Full Crash Data'!$AX:$AX,"Yes",'Full Crash Data'!$CH:$CH,"Yeild Sign",'Full Crash Data'!$G:$G,$W25)+SUMIFS('Full Crash Data'!$U:$U,'Full Crash Data'!$C:$C,"&gt;="&amp;$C$2,'Full Crash Data'!$C:$C,"&lt;="&amp;$E$2,'Full Crash Data'!$AX:$AX,"Yes",'Full Crash Data'!$CH:$CH,"Flasher",'Full Crash Data'!$G:$G,$W25),SUMIFS('Full Crash Data'!$U:$U,'Full Crash Data'!$C:$C,"&gt;="&amp;$C$2,'Full Crash Data'!$C:$C,"&lt;="&amp;$E$2,'Full Crash Data'!$AX:$AX,"Yes",'Full Crash Data'!$CH:$CH,"Stop Sign",'Full Crash Data'!$AN:$AN,$D$3,'Full Crash Data'!$G:$G,$W25)+SUMIFS('Full Crash Data'!$U:$U,'Full Crash Data'!$C:$C,"&gt;="&amp;$C$2,'Full Crash Data'!$C:$C,"&lt;="&amp;$E$2,'Full Crash Data'!$AX:$AX,"Yes",'Full Crash Data'!$CH:$CH,"Yeild Sign",'Full Crash Data'!$AN:$AN,$D$3,'Full Crash Data'!$G:$G,$W25)+SUMIFS('Full Crash Data'!$U:$U,'Full Crash Data'!$C:$C,"&gt;="&amp;$C$2,'Full Crash Data'!$C:$C,"&lt;="&amp;$E$2,'Full Crash Data'!$AX:$AX,"Yes",'Full Crash Data'!$CH:$CH,"Flasher",'Full Crash Data'!$AN:$AN,$D$3,'Full Crash Data'!$G:$G,$W25))</f>
        <v>0</v>
      </c>
      <c r="BA25">
        <f>IF($D$3="All",SUMIFS('Full Crash Data'!$V:$V,'Full Crash Data'!$C:$C,"&gt;="&amp;$C$2,'Full Crash Data'!$C:$C,"&lt;="&amp;$E$2,'Full Crash Data'!$AX:$AX,"Yes",'Full Crash Data'!$CH:$CH,"Stop Sign",'Full Crash Data'!$G:$G,$W25)+SUMIFS('Full Crash Data'!$V:$V,'Full Crash Data'!$C:$C,"&gt;="&amp;$C$2,'Full Crash Data'!$C:$C,"&lt;="&amp;$E$2,'Full Crash Data'!$AX:$AX,"Yes",'Full Crash Data'!$CH:$CH,"Yeild Sign",'Full Crash Data'!$G:$G,$W25)+SUMIFS('Full Crash Data'!$V:$V,'Full Crash Data'!$C:$C,"&gt;="&amp;$C$2,'Full Crash Data'!$C:$C,"&lt;="&amp;$E$2,'Full Crash Data'!$AX:$AX,"Yes",'Full Crash Data'!$CH:$CH,"Flasher",'Full Crash Data'!$G:$G,$W25),SUMIFS('Full Crash Data'!$V:$V,'Full Crash Data'!$C:$C,"&gt;="&amp;$C$2,'Full Crash Data'!$C:$C,"&lt;="&amp;$E$2,'Full Crash Data'!$AX:$AX,"Yes",'Full Crash Data'!$CH:$CH,"Stop Sign",'Full Crash Data'!$AN:$AN,$D$3,'Full Crash Data'!$G:$G,$W25)+SUMIFS('Full Crash Data'!$V:$V,'Full Crash Data'!$C:$C,"&gt;="&amp;$C$2,'Full Crash Data'!$C:$C,"&lt;="&amp;$E$2,'Full Crash Data'!$AX:$AX,"Yes",'Full Crash Data'!$CH:$CH,"Yeild Sign",'Full Crash Data'!$AN:$AN,$D$3,'Full Crash Data'!$G:$G,$W25)+SUMIFS('Full Crash Data'!$V:$V,'Full Crash Data'!$C:$C,"&gt;="&amp;$C$2,'Full Crash Data'!$C:$C,"&lt;="&amp;$E$2,'Full Crash Data'!$AX:$AX,"Yes",'Full Crash Data'!$CH:$CH,"Flasher",'Full Crash Data'!$AN:$AN,$D$3,'Full Crash Data'!$G:$G,$W25))</f>
        <v>0</v>
      </c>
      <c r="BB25">
        <f t="shared" si="14"/>
        <v>11</v>
      </c>
      <c r="BC25">
        <f t="shared" si="15"/>
        <v>1.1000000000000001E-7</v>
      </c>
      <c r="BD25">
        <f t="shared" si="16"/>
        <v>0</v>
      </c>
      <c r="BE25">
        <f t="shared" si="17"/>
        <v>0</v>
      </c>
      <c r="BF25">
        <f t="shared" si="18"/>
        <v>0</v>
      </c>
      <c r="BG25" t="s">
        <v>860</v>
      </c>
    </row>
    <row r="26" spans="1:59" x14ac:dyDescent="0.15">
      <c r="A26" s="385" t="s">
        <v>131</v>
      </c>
      <c r="B26" s="396">
        <f>IFERROR(VLOOKUP(1,$AC$5:$AG$25,4,FALSE),"")</f>
        <v>0</v>
      </c>
      <c r="D26" s="385" t="s">
        <v>131</v>
      </c>
      <c r="E26" s="396">
        <f>IFERROR(VLOOKUP(1,$AH$5:$AL$25,4,FALSE),"")</f>
        <v>0</v>
      </c>
      <c r="H26" s="385" t="s">
        <v>131</v>
      </c>
      <c r="I26" s="396">
        <f>IFERROR(VLOOKUP(1,$AR$5:$AV$25,4,FALSE),"")</f>
        <v>0</v>
      </c>
      <c r="K26" s="385" t="s">
        <v>131</v>
      </c>
      <c r="L26" s="396">
        <f>IFERROR(VLOOKUP(1,$AW$5:$BA$25,4,FALSE),"")</f>
        <v>0</v>
      </c>
      <c r="N26" s="385" t="s">
        <v>131</v>
      </c>
      <c r="O26" s="396">
        <f>IFERROR(VLOOKUP(1,$BB$5:$BF$25,4,FALSE),"")</f>
        <v>0</v>
      </c>
      <c r="W26" t="s">
        <v>133</v>
      </c>
      <c r="Z26">
        <f t="shared" ref="Z26:BF26" si="23">SUM(Z6:Z25)</f>
        <v>119</v>
      </c>
      <c r="AA26">
        <f t="shared" si="23"/>
        <v>0</v>
      </c>
      <c r="AB26">
        <f t="shared" si="23"/>
        <v>5</v>
      </c>
      <c r="AE26">
        <f t="shared" si="23"/>
        <v>31</v>
      </c>
      <c r="AF26">
        <f t="shared" si="23"/>
        <v>0</v>
      </c>
      <c r="AG26">
        <f t="shared" si="23"/>
        <v>1</v>
      </c>
      <c r="AJ26">
        <f t="shared" si="23"/>
        <v>88</v>
      </c>
      <c r="AK26">
        <f t="shared" si="23"/>
        <v>0</v>
      </c>
      <c r="AL26">
        <f t="shared" si="23"/>
        <v>4</v>
      </c>
      <c r="AO26">
        <f t="shared" si="23"/>
        <v>189</v>
      </c>
      <c r="AP26">
        <f t="shared" si="23"/>
        <v>1</v>
      </c>
      <c r="AQ26">
        <f t="shared" si="23"/>
        <v>4</v>
      </c>
      <c r="AT26">
        <f t="shared" si="23"/>
        <v>109</v>
      </c>
      <c r="AU26">
        <f t="shared" si="23"/>
        <v>0</v>
      </c>
      <c r="AV26">
        <f t="shared" si="23"/>
        <v>2</v>
      </c>
      <c r="AY26">
        <f t="shared" si="23"/>
        <v>24</v>
      </c>
      <c r="AZ26">
        <f t="shared" si="23"/>
        <v>0</v>
      </c>
      <c r="BA26">
        <f t="shared" si="23"/>
        <v>1</v>
      </c>
      <c r="BD26">
        <f t="shared" si="23"/>
        <v>56</v>
      </c>
      <c r="BE26">
        <f t="shared" si="23"/>
        <v>1</v>
      </c>
      <c r="BF26">
        <f t="shared" si="23"/>
        <v>1</v>
      </c>
    </row>
    <row r="27" spans="1:59" x14ac:dyDescent="0.15">
      <c r="A27" s="385" t="s">
        <v>1172</v>
      </c>
      <c r="B27" s="396">
        <f>IFERROR(VLOOKUP(1,$AC$5:$AG$25,5,FALSE),"")</f>
        <v>1</v>
      </c>
      <c r="D27" s="385" t="s">
        <v>1172</v>
      </c>
      <c r="E27" s="396">
        <f>IFERROR(VLOOKUP(1,$AH$5:$AL$25,5,FALSE),"")</f>
        <v>0</v>
      </c>
      <c r="H27" s="385" t="s">
        <v>1172</v>
      </c>
      <c r="I27" s="396">
        <f>IFERROR(VLOOKUP(1,$AR$5:$AV$25,5,FALSE),"")</f>
        <v>0</v>
      </c>
      <c r="K27" s="385" t="s">
        <v>1172</v>
      </c>
      <c r="L27" s="396">
        <f>IFERROR(VLOOKUP(1,$AW$5:$BA$25,5,FALSE),"")</f>
        <v>0</v>
      </c>
      <c r="N27" s="385" t="s">
        <v>1172</v>
      </c>
      <c r="O27" s="396">
        <f>IFERROR(VLOOKUP(1,$BB$5:$BF$25,5,FALSE),"")</f>
        <v>1</v>
      </c>
    </row>
    <row r="28" spans="1:59" x14ac:dyDescent="0.15">
      <c r="A28" s="676" t="s">
        <v>6090</v>
      </c>
      <c r="B28" s="676"/>
      <c r="D28" s="676" t="s">
        <v>6090</v>
      </c>
      <c r="E28" s="676"/>
      <c r="H28" s="676" t="s">
        <v>6090</v>
      </c>
      <c r="I28" s="676"/>
      <c r="K28" s="676" t="s">
        <v>6090</v>
      </c>
      <c r="L28" s="676"/>
      <c r="N28" s="676" t="s">
        <v>6090</v>
      </c>
      <c r="O28" s="676"/>
    </row>
    <row r="29" spans="1:59" x14ac:dyDescent="0.15">
      <c r="A29" s="675" t="str">
        <f>IFERROR(VLOOKUP(2,$AC$5:$BG$25,31,FALSE),"")</f>
        <v>Parked Vehicle</v>
      </c>
      <c r="B29" s="675"/>
      <c r="D29" s="675" t="str">
        <f>IFERROR(VLOOKUP(2,$AH$5:$BG$25,26,FALSE),"")</f>
        <v>Rear End</v>
      </c>
      <c r="E29" s="675"/>
      <c r="H29" s="675" t="str">
        <f>IFERROR(VLOOKUP(2,$AR$5:$BG$26,16,FALSE),"")</f>
        <v>Angle</v>
      </c>
      <c r="I29" s="675"/>
      <c r="K29" s="675" t="str">
        <f>IFERROR(VLOOKUP(2,$AW$5:$BG$26,11,FALSE),"")</f>
        <v>Left Turn</v>
      </c>
      <c r="L29" s="675"/>
      <c r="N29" s="675" t="str">
        <f>IFERROR(VLOOKUP(2,$BB$5:$BG$25,6,FALSE),"")</f>
        <v>Rear End</v>
      </c>
      <c r="O29" s="675"/>
    </row>
    <row r="30" spans="1:59" x14ac:dyDescent="0.15">
      <c r="A30" s="385" t="s">
        <v>6085</v>
      </c>
      <c r="B30" s="396">
        <f>IFERROR(VLOOKUP(2,$AC$5:$AG$25,3,FALSE),"")</f>
        <v>9</v>
      </c>
      <c r="D30" s="385" t="s">
        <v>6085</v>
      </c>
      <c r="E30" s="396">
        <f>IFERROR(VLOOKUP(2,$AH$5:$AL$25,3,FALSE),"")</f>
        <v>18</v>
      </c>
      <c r="H30" s="385" t="s">
        <v>6085</v>
      </c>
      <c r="I30" s="396">
        <f>IFERROR(VLOOKUP(2,$AR$5:$AV$25,3,FALSE),"")</f>
        <v>22</v>
      </c>
      <c r="K30" s="385" t="s">
        <v>6085</v>
      </c>
      <c r="L30" s="396">
        <f>IFERROR(VLOOKUP(2,$AW$5:$BA$25,3,FALSE),"")</f>
        <v>4</v>
      </c>
      <c r="N30" s="385" t="s">
        <v>6085</v>
      </c>
      <c r="O30" s="396">
        <f>IFERROR(VLOOKUP(2,$BB$5:$BF$25,3,FALSE),"")</f>
        <v>10</v>
      </c>
    </row>
    <row r="31" spans="1:59" x14ac:dyDescent="0.15">
      <c r="A31" s="385" t="s">
        <v>131</v>
      </c>
      <c r="B31" s="396">
        <f>IFERROR(VLOOKUP(2,$AC$5:$AG$25,4,FALSE),"")</f>
        <v>0</v>
      </c>
      <c r="D31" s="385" t="s">
        <v>131</v>
      </c>
      <c r="E31" s="396">
        <f>IFERROR(VLOOKUP(2,$AH$5:$AL$25,4,FALSE),"")</f>
        <v>0</v>
      </c>
      <c r="H31" s="385" t="s">
        <v>131</v>
      </c>
      <c r="I31" s="396">
        <f>IFERROR(VLOOKUP(2,$AR$5:$AV$25,4,FALSE),"")</f>
        <v>0</v>
      </c>
      <c r="K31" s="385" t="s">
        <v>131</v>
      </c>
      <c r="L31" s="396">
        <f>IFERROR(VLOOKUP(2,$AW$5:$BA$25,4,FALSE),"")</f>
        <v>0</v>
      </c>
      <c r="N31" s="385" t="s">
        <v>131</v>
      </c>
      <c r="O31" s="396">
        <f>IFERROR(VLOOKUP(2,$BB$5:$BF$25,4,FALSE),"")</f>
        <v>0</v>
      </c>
    </row>
    <row r="32" spans="1:59" x14ac:dyDescent="0.15">
      <c r="A32" s="385" t="s">
        <v>1172</v>
      </c>
      <c r="B32" s="396">
        <f>IFERROR(VLOOKUP(2,$AC$5:$AG$25,5,FALSE),"")</f>
        <v>0</v>
      </c>
      <c r="D32" s="385" t="s">
        <v>1172</v>
      </c>
      <c r="E32" s="396">
        <f>IFERROR(VLOOKUP(2,$AH$5:$AL$25,5,FALSE),"")</f>
        <v>0</v>
      </c>
      <c r="H32" s="385" t="s">
        <v>1172</v>
      </c>
      <c r="I32" s="396">
        <f>IFERROR(VLOOKUP(2,$AR$5:$AV$25,5,FALSE),"")</f>
        <v>0</v>
      </c>
      <c r="K32" s="385" t="s">
        <v>1172</v>
      </c>
      <c r="L32" s="396">
        <f>IFERROR(VLOOKUP(3,$AW$5:$BA$25,5,FALSE),"")</f>
        <v>0</v>
      </c>
      <c r="N32" s="385" t="s">
        <v>1172</v>
      </c>
      <c r="O32" s="396">
        <f>IFERROR(VLOOKUP(2,$BB$5:$BF$25,5,FALSE),"")</f>
        <v>0</v>
      </c>
    </row>
    <row r="33" spans="1:15" x14ac:dyDescent="0.15">
      <c r="A33" s="676" t="s">
        <v>6091</v>
      </c>
      <c r="B33" s="676"/>
      <c r="D33" s="676" t="s">
        <v>6091</v>
      </c>
      <c r="E33" s="676"/>
      <c r="H33" s="676" t="s">
        <v>6091</v>
      </c>
      <c r="I33" s="676"/>
      <c r="K33" s="676" t="s">
        <v>6091</v>
      </c>
      <c r="L33" s="676"/>
      <c r="N33" s="676" t="s">
        <v>6091</v>
      </c>
      <c r="O33" s="676"/>
    </row>
    <row r="34" spans="1:15" x14ac:dyDescent="0.15">
      <c r="A34" s="675" t="str">
        <f>IFERROR(VLOOKUP(3,$AC$5:$BG$25,31,FALSE),"")</f>
        <v>Other Non-Collision</v>
      </c>
      <c r="B34" s="675"/>
      <c r="D34" s="675" t="str">
        <f>IFERROR(VLOOKUP(3,$AH$5:$BG$25,26,FALSE),"")</f>
        <v>Angle</v>
      </c>
      <c r="E34" s="675"/>
      <c r="H34" s="675" t="str">
        <f>IFERROR(VLOOKUP(3,$AR$5:$BG$26,16,FALSE),"")</f>
        <v>Left Turn</v>
      </c>
      <c r="I34" s="675"/>
      <c r="K34" s="675" t="str">
        <f>IFERROR(VLOOKUP(3,$AW$5:$BG$26,11,FALSE),"")</f>
        <v>Rear End</v>
      </c>
      <c r="L34" s="675"/>
      <c r="N34" s="675" t="str">
        <f>IFERROR(VLOOKUP(3,$BB$5:$BG$25,6,FALSE),"")</f>
        <v>Angle</v>
      </c>
      <c r="O34" s="675"/>
    </row>
    <row r="35" spans="1:15" x14ac:dyDescent="0.15">
      <c r="A35" s="385" t="s">
        <v>6085</v>
      </c>
      <c r="B35" s="396">
        <f>IFERROR(VLOOKUP(3,$AC$5:$AG$25,3,FALSE),"")</f>
        <v>3</v>
      </c>
      <c r="D35" s="385" t="s">
        <v>6085</v>
      </c>
      <c r="E35" s="396">
        <f>IFERROR(VLOOKUP(3,$AH$5:$AL$25,3,FALSE),"")</f>
        <v>17</v>
      </c>
      <c r="H35" s="385" t="s">
        <v>6085</v>
      </c>
      <c r="I35" s="396">
        <f>IFERROR(VLOOKUP(3,$AR$5:$AV$25,3,FALSE),"")</f>
        <v>20</v>
      </c>
      <c r="K35" s="385" t="s">
        <v>6085</v>
      </c>
      <c r="L35" s="396">
        <f>IFERROR(VLOOKUP(3,$AW$5:$BA$25,3,FALSE),"")</f>
        <v>3</v>
      </c>
      <c r="N35" s="385" t="s">
        <v>6085</v>
      </c>
      <c r="O35" s="396">
        <f>IFERROR(VLOOKUP(3,$BB$5:$BF$25,3,FALSE),"")</f>
        <v>8</v>
      </c>
    </row>
    <row r="36" spans="1:15" x14ac:dyDescent="0.15">
      <c r="A36" s="385" t="s">
        <v>131</v>
      </c>
      <c r="B36" s="396">
        <f>IFERROR(VLOOKUP(3,$AC$5:$AG$25,4,FALSE),"")</f>
        <v>0</v>
      </c>
      <c r="D36" s="385" t="s">
        <v>131</v>
      </c>
      <c r="E36" s="396">
        <f>IFERROR(VLOOKUP(3,$AH$5:$AL$25,4,FALSE),"")</f>
        <v>0</v>
      </c>
      <c r="H36" s="385" t="s">
        <v>131</v>
      </c>
      <c r="I36" s="396">
        <f>IFERROR(VLOOKUP(3,$AR$5:$AV$25,4,FALSE),"")</f>
        <v>0</v>
      </c>
      <c r="K36" s="385" t="s">
        <v>131</v>
      </c>
      <c r="L36" s="396">
        <f>IFERROR(VLOOKUP(3,$AW$5:$BA$25,4,FALSE),"")</f>
        <v>0</v>
      </c>
      <c r="N36" s="385" t="s">
        <v>131</v>
      </c>
      <c r="O36" s="396">
        <f>IFERROR(VLOOKUP(3,$BB$5:$BF$25,4,FALSE),"")</f>
        <v>1</v>
      </c>
    </row>
    <row r="37" spans="1:15" x14ac:dyDescent="0.15">
      <c r="A37" s="385" t="s">
        <v>1172</v>
      </c>
      <c r="B37" s="396">
        <f>IFERROR(VLOOKUP(3,$AC$5:$AG$25,5,FALSE),"")</f>
        <v>0</v>
      </c>
      <c r="D37" s="385" t="s">
        <v>1172</v>
      </c>
      <c r="E37" s="396">
        <f>IFERROR(VLOOKUP(3,$AH$5:$AL$25,5,FALSE),"")</f>
        <v>1</v>
      </c>
      <c r="H37" s="385" t="s">
        <v>1172</v>
      </c>
      <c r="I37" s="396">
        <f>IFERROR(VLOOKUP(3,$AR$5:$AV$25,5,FALSE),"")</f>
        <v>1</v>
      </c>
      <c r="K37" s="385" t="s">
        <v>1172</v>
      </c>
      <c r="L37" s="396">
        <f>IFERROR(VLOOKUP(3,$AW$5:$BA$25,5,FALSE),"")</f>
        <v>0</v>
      </c>
      <c r="N37" s="385" t="s">
        <v>1172</v>
      </c>
      <c r="O37" s="396">
        <f>IFERROR(VLOOKUP(3,$BB$5:$BF$25,5,FALSE),"")</f>
        <v>0</v>
      </c>
    </row>
  </sheetData>
  <sheetProtection formatCells="0" formatColumns="0" formatRows="0" insertColumns="0" insertRows="0" insertHyperlinks="0" deleteColumns="0" deleteRows="0" sort="0" autoFilter="0" pivotTables="0"/>
  <mergeCells count="45">
    <mergeCell ref="C10:D10"/>
    <mergeCell ref="F5:G5"/>
    <mergeCell ref="I10:J10"/>
    <mergeCell ref="H16:I16"/>
    <mergeCell ref="K16:L16"/>
    <mergeCell ref="A29:B29"/>
    <mergeCell ref="A33:B33"/>
    <mergeCell ref="A34:B34"/>
    <mergeCell ref="A16:B16"/>
    <mergeCell ref="D16:E16"/>
    <mergeCell ref="D22:E22"/>
    <mergeCell ref="D23:E23"/>
    <mergeCell ref="D24:E24"/>
    <mergeCell ref="D28:E28"/>
    <mergeCell ref="D29:E29"/>
    <mergeCell ref="D33:E33"/>
    <mergeCell ref="D34:E34"/>
    <mergeCell ref="A22:B22"/>
    <mergeCell ref="A23:B23"/>
    <mergeCell ref="A24:B24"/>
    <mergeCell ref="A28:B28"/>
    <mergeCell ref="H22:I22"/>
    <mergeCell ref="H23:I23"/>
    <mergeCell ref="H24:I24"/>
    <mergeCell ref="H28:I28"/>
    <mergeCell ref="N22:O22"/>
    <mergeCell ref="N23:O23"/>
    <mergeCell ref="N24:O24"/>
    <mergeCell ref="N28:O28"/>
    <mergeCell ref="N29:O29"/>
    <mergeCell ref="N33:O33"/>
    <mergeCell ref="N34:O34"/>
    <mergeCell ref="D3:E3"/>
    <mergeCell ref="B3:C3"/>
    <mergeCell ref="H29:I29"/>
    <mergeCell ref="H33:I33"/>
    <mergeCell ref="H34:I34"/>
    <mergeCell ref="K22:L22"/>
    <mergeCell ref="K23:L23"/>
    <mergeCell ref="K24:L24"/>
    <mergeCell ref="K28:L28"/>
    <mergeCell ref="K29:L29"/>
    <mergeCell ref="K33:L33"/>
    <mergeCell ref="K34:L34"/>
    <mergeCell ref="N16:O16"/>
  </mergeCells>
  <dataValidations count="3">
    <dataValidation type="whole" allowBlank="1" showInputMessage="1" showErrorMessage="1" errorTitle="Year Unavailable" error="The year requested is unable in the data.  Please select a year within the available range." sqref="C2" xr:uid="{00000000-0002-0000-1100-000000000000}">
      <formula1>V2</formula1>
      <formula2>W2</formula2>
    </dataValidation>
    <dataValidation type="whole" allowBlank="1" showInputMessage="1" showErrorMessage="1" errorTitle="Year Unavailable" error="The year requested is unable in the data.  Please select a year within the available range." sqref="E2" xr:uid="{00000000-0002-0000-1100-000001000000}">
      <formula1>V2</formula1>
      <formula2>W2</formula2>
    </dataValidation>
    <dataValidation type="list" allowBlank="1" showInputMessage="1" showErrorMessage="1" sqref="F3" xr:uid="{00000000-0002-0000-1100-000002000000}">
      <formula1>$AA$5:$AA$9</formula1>
    </dataValidation>
  </dataValidations>
  <pageMargins left="0.7" right="0.7" top="0.75" bottom="0.75" header="0.3" footer="0.3"/>
  <pageSetup paperSize="3" scale="28"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3000000}">
          <x14:formula1>
            <xm:f>'Emphasis Area'!$AA$4:$AA$8</xm:f>
          </x14:formula1>
          <xm:sqref>D3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rgb="FF0F0FE7"/>
    <pageSetUpPr fitToPage="1"/>
  </sheetPr>
  <dimension ref="A1:GI383"/>
  <sheetViews>
    <sheetView zoomScaleNormal="100" workbookViewId="0">
      <selection activeCell="I35" sqref="I35"/>
    </sheetView>
  </sheetViews>
  <sheetFormatPr baseColWidth="10" defaultColWidth="9.1640625" defaultRowHeight="13" x14ac:dyDescent="0.15"/>
  <cols>
    <col min="1" max="1" width="12.5" customWidth="1"/>
    <col min="2" max="2" width="25.33203125" style="118" customWidth="1"/>
    <col min="3" max="3" width="21.33203125" style="120" customWidth="1"/>
    <col min="4" max="4" width="19.6640625" customWidth="1"/>
    <col min="5" max="5" width="20.33203125" style="123" customWidth="1"/>
    <col min="6" max="6" width="10.6640625" style="118" customWidth="1"/>
    <col min="7" max="7" width="10.5" style="118" customWidth="1"/>
    <col min="8" max="8" width="22" style="118" customWidth="1"/>
    <col min="9" max="9" width="18.6640625" customWidth="1"/>
    <col min="10" max="10" width="19.6640625" customWidth="1"/>
    <col min="11" max="11" width="18.5" customWidth="1"/>
    <col min="12" max="12" width="23.1640625" bestFit="1" customWidth="1"/>
    <col min="13" max="13" width="24.5" customWidth="1"/>
    <col min="14" max="14" width="23.1640625" customWidth="1"/>
    <col min="15" max="15" width="32.6640625" customWidth="1"/>
    <col min="16" max="16" width="35.5" customWidth="1"/>
    <col min="17" max="17" width="24" customWidth="1"/>
    <col min="18" max="18" width="27.5" customWidth="1"/>
    <col min="19" max="19" width="38" customWidth="1"/>
    <col min="20" max="20" width="26.33203125" customWidth="1"/>
    <col min="21" max="21" width="26.83203125" customWidth="1"/>
    <col min="22" max="22" width="29.1640625" customWidth="1"/>
    <col min="23" max="23" width="22.5" customWidth="1"/>
    <col min="24" max="24" width="19.5" customWidth="1"/>
    <col min="25" max="25" width="14" customWidth="1"/>
    <col min="26" max="26" width="22.1640625" customWidth="1"/>
    <col min="27" max="27" width="29.83203125" customWidth="1"/>
    <col min="28" max="28" width="30.33203125" style="118" customWidth="1"/>
    <col min="29" max="29" width="29.1640625" customWidth="1"/>
    <col min="30" max="30" width="32" customWidth="1"/>
    <col min="31" max="31" width="23.5" customWidth="1"/>
    <col min="32" max="32" width="28.5" customWidth="1"/>
    <col min="33" max="33" width="27.6640625" customWidth="1"/>
    <col min="34" max="34" width="28.33203125" customWidth="1"/>
    <col min="35" max="35" width="14" customWidth="1"/>
    <col min="36" max="36" width="22.1640625" customWidth="1"/>
    <col min="37" max="37" width="22.5" customWidth="1"/>
    <col min="38" max="38" width="19.5" customWidth="1"/>
    <col min="39" max="39" width="30.33203125" customWidth="1"/>
    <col min="40" max="40" width="29.1640625" customWidth="1"/>
    <col min="41" max="41" width="37.1640625" customWidth="1"/>
    <col min="42" max="42" width="22" customWidth="1"/>
    <col min="43" max="43" width="21.6640625" customWidth="1"/>
    <col min="44" max="44" width="26.1640625" customWidth="1"/>
    <col min="45" max="45" width="17.5" style="226" customWidth="1"/>
    <col min="46" max="46" width="28.33203125" style="226" customWidth="1"/>
    <col min="47" max="47" width="26" style="226" customWidth="1"/>
    <col min="48" max="48" width="22.5" style="226" customWidth="1"/>
    <col min="49" max="49" width="26.5" customWidth="1"/>
    <col min="50" max="50" width="14" customWidth="1"/>
    <col min="51" max="51" width="12.1640625" customWidth="1"/>
    <col min="52" max="52" width="17.5" customWidth="1"/>
    <col min="53" max="53" width="19" customWidth="1"/>
    <col min="54" max="54" width="11" customWidth="1"/>
    <col min="55" max="55" width="12.5" customWidth="1"/>
    <col min="56" max="56" width="22.5" customWidth="1"/>
    <col min="57" max="57" width="20.1640625" customWidth="1"/>
    <col min="58" max="58" width="8" bestFit="1" customWidth="1"/>
    <col min="59" max="59" width="10.5" bestFit="1" customWidth="1"/>
    <col min="60" max="60" width="12.5" bestFit="1" customWidth="1"/>
    <col min="61" max="61" width="6.1640625" bestFit="1" customWidth="1"/>
    <col min="62" max="62" width="10.33203125" customWidth="1"/>
    <col min="63" max="63" width="10" customWidth="1"/>
    <col min="64" max="64" width="15.83203125" customWidth="1"/>
    <col min="94" max="94" width="46.83203125" customWidth="1"/>
    <col min="95" max="95" width="8.6640625" bestFit="1" customWidth="1"/>
    <col min="96" max="96" width="12" bestFit="1" customWidth="1"/>
    <col min="98" max="98" width="10" bestFit="1" customWidth="1"/>
    <col min="99" max="99" width="4.5" style="4" customWidth="1"/>
    <col min="100" max="103" width="4.5" customWidth="1"/>
    <col min="104" max="104" width="3.6640625" customWidth="1"/>
    <col min="105" max="106" width="7.5" bestFit="1" customWidth="1"/>
    <col min="107" max="107" width="8" bestFit="1" customWidth="1"/>
    <col min="108" max="108" width="5.5" bestFit="1" customWidth="1"/>
    <col min="109" max="110" width="6.1640625" bestFit="1" customWidth="1"/>
    <col min="111" max="111" width="4.83203125" customWidth="1"/>
    <col min="112" max="112" width="5.5" customWidth="1"/>
    <col min="113" max="113" width="4.83203125" bestFit="1" customWidth="1"/>
    <col min="114" max="114" width="8.5" customWidth="1"/>
    <col min="116" max="116" width="7" customWidth="1"/>
    <col min="120" max="120" width="6.5" bestFit="1" customWidth="1"/>
    <col min="121" max="121" width="8.33203125" bestFit="1" customWidth="1"/>
    <col min="122" max="122" width="6.1640625" bestFit="1" customWidth="1"/>
    <col min="123" max="123" width="10.1640625" bestFit="1" customWidth="1"/>
    <col min="124" max="125" width="6.1640625" bestFit="1" customWidth="1"/>
    <col min="126" max="128" width="9.33203125" bestFit="1" customWidth="1"/>
    <col min="157" max="172" width="8" customWidth="1"/>
    <col min="183" max="183" width="9.1640625" style="238"/>
    <col min="184" max="191" width="8.6640625" customWidth="1"/>
  </cols>
  <sheetData>
    <row r="1" spans="1:191" ht="51.75" customHeight="1" x14ac:dyDescent="0.15">
      <c r="B1"/>
      <c r="C1" s="118"/>
      <c r="E1"/>
      <c r="F1"/>
      <c r="G1" s="20"/>
      <c r="H1" s="244" t="s">
        <v>259</v>
      </c>
      <c r="I1" s="20"/>
      <c r="J1" s="20"/>
      <c r="K1" s="20"/>
      <c r="L1" s="20"/>
      <c r="U1" s="245" t="str">
        <f>"http://hsip.dot.state.oh.us/report/?docnbr="&amp;IF(LEN(B1)=11,B1,"20"&amp;B1)</f>
        <v>http://hsip.dot.state.oh.us/report/?docnbr=20</v>
      </c>
      <c r="AB1"/>
      <c r="CQ1" s="239" t="s">
        <v>854</v>
      </c>
      <c r="CR1" s="240" t="s">
        <v>259</v>
      </c>
    </row>
    <row r="2" spans="1:191" x14ac:dyDescent="0.15">
      <c r="B2" s="231" t="s">
        <v>6924</v>
      </c>
      <c r="C2" s="118"/>
      <c r="E2"/>
      <c r="F2"/>
      <c r="G2" s="20"/>
      <c r="H2" s="20"/>
      <c r="I2" s="20"/>
      <c r="J2" s="20"/>
      <c r="K2" s="20"/>
      <c r="L2" s="20"/>
      <c r="AB2"/>
    </row>
    <row r="3" spans="1:191" ht="18" x14ac:dyDescent="0.2">
      <c r="A3" s="255" t="s">
        <v>1099</v>
      </c>
      <c r="B3"/>
      <c r="C3" s="118"/>
      <c r="E3"/>
      <c r="F3"/>
      <c r="G3" s="7"/>
      <c r="H3" s="7"/>
      <c r="I3" s="7"/>
      <c r="J3" s="16"/>
      <c r="K3" s="16"/>
      <c r="L3" s="17"/>
      <c r="P3" s="235"/>
      <c r="Q3" s="232"/>
      <c r="R3" s="232"/>
      <c r="AB3"/>
    </row>
    <row r="4" spans="1:191" ht="16" x14ac:dyDescent="0.2">
      <c r="B4"/>
      <c r="C4" s="118"/>
      <c r="E4"/>
      <c r="F4"/>
      <c r="L4" s="15"/>
      <c r="R4" s="236"/>
      <c r="S4" s="236"/>
      <c r="AB4"/>
    </row>
    <row r="5" spans="1:191" ht="16" x14ac:dyDescent="0.2">
      <c r="B5"/>
      <c r="C5" s="118"/>
      <c r="E5"/>
      <c r="F5"/>
      <c r="L5" s="7"/>
      <c r="O5" s="235"/>
      <c r="P5" s="232"/>
      <c r="Q5" s="232"/>
      <c r="R5" s="234"/>
      <c r="S5" s="234"/>
      <c r="AB5"/>
    </row>
    <row r="6" spans="1:191" ht="16" x14ac:dyDescent="0.2">
      <c r="B6"/>
      <c r="C6" s="118"/>
      <c r="E6"/>
      <c r="F6"/>
      <c r="L6" s="7"/>
      <c r="O6" s="235"/>
      <c r="P6" s="232"/>
      <c r="Q6" s="232"/>
      <c r="R6" s="232"/>
      <c r="S6" s="232"/>
      <c r="AB6"/>
    </row>
    <row r="7" spans="1:191" x14ac:dyDescent="0.15">
      <c r="B7"/>
      <c r="C7" s="118"/>
      <c r="E7"/>
      <c r="F7"/>
      <c r="L7" s="7"/>
      <c r="R7" s="237"/>
      <c r="S7" s="237"/>
      <c r="AB7"/>
    </row>
    <row r="8" spans="1:191" ht="16" x14ac:dyDescent="0.2">
      <c r="B8"/>
      <c r="C8" s="118"/>
      <c r="E8"/>
      <c r="F8"/>
      <c r="L8" s="7"/>
      <c r="O8" s="232"/>
      <c r="P8" s="232"/>
      <c r="Q8" s="232"/>
      <c r="R8" s="233"/>
      <c r="S8" s="233"/>
      <c r="AB8"/>
    </row>
    <row r="9" spans="1:191" ht="16" x14ac:dyDescent="0.2">
      <c r="B9"/>
      <c r="C9" s="118" t="s">
        <v>275</v>
      </c>
      <c r="D9" t="s">
        <v>6435</v>
      </c>
      <c r="E9"/>
      <c r="F9"/>
      <c r="L9" s="7"/>
      <c r="O9" s="232"/>
      <c r="P9" s="232"/>
      <c r="Q9" s="232"/>
      <c r="R9" s="232"/>
      <c r="S9" s="232"/>
      <c r="AB9"/>
    </row>
    <row r="10" spans="1:191" ht="16" x14ac:dyDescent="0.2">
      <c r="B10"/>
      <c r="C10" s="118" t="s">
        <v>6476</v>
      </c>
      <c r="D10">
        <v>5</v>
      </c>
      <c r="E10"/>
      <c r="F10"/>
      <c r="L10" s="7"/>
      <c r="O10" s="232"/>
      <c r="P10" s="232"/>
      <c r="Q10" s="232"/>
      <c r="R10" s="232"/>
      <c r="S10" s="232"/>
      <c r="AB10"/>
    </row>
    <row r="11" spans="1:191" ht="16" x14ac:dyDescent="0.2">
      <c r="B11" s="12">
        <v>206</v>
      </c>
      <c r="C11" s="14" t="s">
        <v>6478</v>
      </c>
      <c r="D11" s="14">
        <v>10</v>
      </c>
      <c r="E11" s="8"/>
      <c r="F11" s="7"/>
      <c r="L11" s="7"/>
      <c r="M11" s="13"/>
      <c r="N11" s="7"/>
      <c r="O11" s="232"/>
      <c r="P11" s="232"/>
      <c r="Q11" s="232"/>
      <c r="R11" s="232"/>
      <c r="S11" s="232"/>
      <c r="T11" s="7"/>
      <c r="U11" s="7"/>
      <c r="V11" s="7"/>
      <c r="W11" s="7"/>
      <c r="X11" s="7"/>
      <c r="Y11" s="7"/>
      <c r="Z11" s="7"/>
      <c r="AA11" s="7"/>
      <c r="AB11" s="7"/>
      <c r="AC11" s="7"/>
      <c r="AD11" s="7"/>
      <c r="AE11" s="7"/>
      <c r="AF11" s="7"/>
      <c r="AG11" s="7"/>
      <c r="AH11" s="7"/>
      <c r="AI11" s="7"/>
      <c r="AJ11" s="7"/>
      <c r="AK11" s="7"/>
      <c r="AL11" s="7"/>
      <c r="AM11" s="7"/>
      <c r="AN11" s="7"/>
      <c r="AO11" s="7"/>
      <c r="AP11" s="7"/>
      <c r="AQ11" s="7"/>
      <c r="AR11" s="7"/>
      <c r="AS11" s="227"/>
      <c r="AT11" s="227"/>
      <c r="AU11" s="227"/>
      <c r="AV11" s="227"/>
      <c r="AW11" s="7"/>
      <c r="AX11" s="7"/>
      <c r="AY11" s="7"/>
      <c r="AZ11" s="7"/>
      <c r="BA11" s="7"/>
      <c r="BB11" s="7"/>
      <c r="BC11" s="7"/>
      <c r="BD11" s="7"/>
      <c r="BE11" s="7"/>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R11" s="2"/>
      <c r="CS11" s="2"/>
      <c r="CT11" s="3"/>
      <c r="CU11" s="105"/>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91" x14ac:dyDescent="0.15">
      <c r="B12" s="12"/>
      <c r="C12" s="119" t="s">
        <v>6480</v>
      </c>
      <c r="D12" s="101">
        <v>2015</v>
      </c>
      <c r="E12" s="8"/>
      <c r="F12" s="7"/>
      <c r="G12" s="7"/>
      <c r="H12" s="7"/>
      <c r="I12" s="7"/>
      <c r="J12" s="7"/>
      <c r="K12" s="7"/>
      <c r="L12" s="7"/>
      <c r="M12" s="7"/>
      <c r="N12" s="7"/>
      <c r="O12" s="7"/>
      <c r="P12" s="7"/>
      <c r="Q12" s="7"/>
      <c r="R12" s="12"/>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227"/>
      <c r="AT12" s="227"/>
      <c r="AU12" s="227"/>
      <c r="AV12" s="227"/>
      <c r="AW12" s="7"/>
      <c r="AX12" s="7"/>
      <c r="AY12" s="7"/>
      <c r="AZ12" s="7"/>
      <c r="BA12" s="7"/>
      <c r="BB12" s="7"/>
      <c r="BC12" s="7"/>
      <c r="BD12" s="7"/>
      <c r="BE12" s="7"/>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R12" s="2"/>
      <c r="CS12" s="2"/>
      <c r="CT12" s="3"/>
      <c r="CU12" s="105"/>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91" x14ac:dyDescent="0.15">
      <c r="B13" s="12"/>
      <c r="C13" s="119" t="s">
        <v>6481</v>
      </c>
      <c r="D13" s="101">
        <v>2019</v>
      </c>
      <c r="E13" s="8"/>
      <c r="F13" s="7"/>
      <c r="G13" s="7"/>
      <c r="H13" s="7"/>
      <c r="I13" s="7"/>
      <c r="J13" s="7"/>
      <c r="K13" s="7"/>
      <c r="L13" s="7"/>
      <c r="M13" s="7"/>
      <c r="N13" s="7"/>
      <c r="O13" s="7"/>
      <c r="P13" s="7"/>
      <c r="Q13" s="7"/>
      <c r="R13" s="12"/>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227"/>
      <c r="AT13" s="227"/>
      <c r="AU13" s="227"/>
      <c r="AV13" s="227"/>
      <c r="AW13" s="7"/>
      <c r="AX13" s="7"/>
      <c r="AY13" s="7"/>
      <c r="AZ13" s="7"/>
      <c r="BA13" s="7"/>
      <c r="BB13" s="7"/>
      <c r="BC13" s="7"/>
      <c r="BD13" s="7"/>
      <c r="BE13" s="7"/>
      <c r="BJ13" s="246"/>
      <c r="BK13" s="246"/>
      <c r="BL13" s="246"/>
      <c r="BM13" s="246"/>
      <c r="BN13" s="246"/>
      <c r="BO13" s="246"/>
      <c r="BP13" s="246"/>
      <c r="BQ13" s="246"/>
      <c r="BR13" s="246"/>
      <c r="BS13" s="246"/>
      <c r="BT13" s="246"/>
      <c r="BU13" s="246"/>
      <c r="BV13" s="246"/>
      <c r="BW13" s="246"/>
      <c r="BX13" s="246"/>
      <c r="BY13" s="246"/>
      <c r="BZ13" s="246"/>
      <c r="CA13" s="246"/>
      <c r="CB13" s="246"/>
      <c r="CC13" s="246"/>
      <c r="CD13" s="246"/>
      <c r="CE13" s="246"/>
      <c r="CF13" s="246"/>
      <c r="CG13" s="246"/>
      <c r="CH13" s="246"/>
      <c r="CI13" s="246"/>
      <c r="CJ13" s="246"/>
      <c r="CK13" s="246"/>
      <c r="CL13" s="246"/>
      <c r="CM13" s="246"/>
      <c r="CN13" s="2"/>
      <c r="CO13" s="2"/>
      <c r="CR13" s="2"/>
      <c r="CS13" s="2"/>
      <c r="CT13" s="3"/>
      <c r="CU13" s="105"/>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91" x14ac:dyDescent="0.15">
      <c r="B14" s="12"/>
      <c r="C14" s="119"/>
      <c r="D14" s="101"/>
      <c r="E14" s="8"/>
      <c r="F14" s="7"/>
      <c r="G14" s="7"/>
      <c r="H14" s="7"/>
      <c r="I14" s="7"/>
      <c r="J14" s="230"/>
      <c r="K14" s="7"/>
      <c r="L14" s="7"/>
      <c r="M14" s="7"/>
      <c r="N14" s="7"/>
      <c r="O14" s="7"/>
      <c r="P14" s="7"/>
      <c r="Q14" s="7"/>
      <c r="R14" s="12"/>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227"/>
      <c r="AT14" s="227"/>
      <c r="AU14" s="227"/>
      <c r="AV14" s="227"/>
      <c r="AW14" s="7"/>
      <c r="AX14" s="7"/>
      <c r="AY14" s="7"/>
      <c r="AZ14" s="7"/>
      <c r="BA14" s="7"/>
      <c r="BB14" s="7"/>
      <c r="BC14" s="7"/>
      <c r="BD14" s="7"/>
      <c r="BE14" s="7"/>
      <c r="BJ14" s="246"/>
      <c r="BK14" s="246"/>
      <c r="BL14" s="246"/>
      <c r="BM14" s="246"/>
      <c r="BN14" s="246"/>
      <c r="BO14" s="246"/>
      <c r="BP14" s="246"/>
      <c r="BQ14" s="246"/>
      <c r="BR14" s="246"/>
      <c r="BS14" s="246"/>
      <c r="BT14" s="246"/>
      <c r="BU14" s="246"/>
      <c r="BV14" s="246"/>
      <c r="BW14" s="246"/>
      <c r="BX14" s="246"/>
      <c r="BY14" s="246"/>
      <c r="BZ14" s="246"/>
      <c r="CA14" s="246"/>
      <c r="CB14" s="246"/>
      <c r="CC14" s="246"/>
      <c r="CD14" s="246"/>
      <c r="CE14" s="246"/>
      <c r="CF14" s="246"/>
      <c r="CG14" s="246"/>
      <c r="CH14" s="246"/>
      <c r="CI14" s="246"/>
      <c r="CJ14" s="246"/>
      <c r="CK14" s="246"/>
      <c r="CL14" s="246"/>
      <c r="CM14" s="246"/>
      <c r="CN14" s="2"/>
      <c r="CO14" s="2"/>
      <c r="CR14" s="2"/>
      <c r="CS14" s="2"/>
      <c r="CT14" s="2"/>
      <c r="CU14" s="105"/>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GB14" t="e">
        <f>#REF!</f>
        <v>#REF!</v>
      </c>
      <c r="GC14" t="e">
        <f>#REF!</f>
        <v>#REF!</v>
      </c>
      <c r="GD14" t="e">
        <f>#REF!</f>
        <v>#REF!</v>
      </c>
      <c r="GE14" t="e">
        <f>#REF!</f>
        <v>#REF!</v>
      </c>
      <c r="GF14" t="e">
        <f>#REF!</f>
        <v>#REF!</v>
      </c>
      <c r="GG14" t="e">
        <f>#REF!</f>
        <v>#REF!</v>
      </c>
      <c r="GH14" t="e">
        <f>#REF!</f>
        <v>#REF!</v>
      </c>
      <c r="GI14" t="e">
        <f>#REF!</f>
        <v>#REF!</v>
      </c>
    </row>
    <row r="15" spans="1:191" x14ac:dyDescent="0.15">
      <c r="B15" s="12"/>
      <c r="C15" s="119"/>
      <c r="D15" s="101"/>
      <c r="E15" s="8"/>
      <c r="F15" s="7"/>
      <c r="G15" s="7"/>
      <c r="H15" s="7"/>
      <c r="I15" s="7"/>
      <c r="J15" s="7"/>
      <c r="K15" s="7"/>
      <c r="L15" s="7"/>
      <c r="M15" s="7"/>
      <c r="N15" s="7"/>
      <c r="O15" s="7"/>
      <c r="P15" s="7"/>
      <c r="Q15" s="7"/>
      <c r="R15" s="12"/>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227"/>
      <c r="AT15" s="227"/>
      <c r="AU15" s="227"/>
      <c r="AV15" s="227"/>
      <c r="AW15" s="7"/>
      <c r="AX15" s="7"/>
      <c r="AY15" s="7"/>
      <c r="AZ15" s="7"/>
      <c r="BA15" s="7"/>
      <c r="BB15" s="7"/>
      <c r="BC15" s="7"/>
      <c r="BD15" s="7"/>
      <c r="BE15" s="7"/>
      <c r="BJ15" s="246"/>
      <c r="BK15" s="246"/>
      <c r="BL15" s="246"/>
      <c r="BM15" s="246"/>
      <c r="BN15" s="246"/>
      <c r="BO15" s="246"/>
      <c r="BP15" s="246"/>
      <c r="BQ15" s="246"/>
      <c r="BR15" s="246"/>
      <c r="BS15" s="246"/>
      <c r="BT15" s="246"/>
      <c r="BU15" s="246"/>
      <c r="BV15" s="247" t="s">
        <v>858</v>
      </c>
      <c r="BW15" s="247" t="s">
        <v>859</v>
      </c>
      <c r="BX15" s="247" t="s">
        <v>858</v>
      </c>
      <c r="BY15" s="247" t="s">
        <v>859</v>
      </c>
      <c r="BZ15" s="247" t="s">
        <v>858</v>
      </c>
      <c r="CA15" s="247" t="s">
        <v>859</v>
      </c>
      <c r="CB15" s="247" t="s">
        <v>858</v>
      </c>
      <c r="CC15" s="247" t="s">
        <v>859</v>
      </c>
      <c r="CD15" s="247" t="s">
        <v>858</v>
      </c>
      <c r="CE15" s="247" t="s">
        <v>859</v>
      </c>
      <c r="CF15" s="247" t="s">
        <v>858</v>
      </c>
      <c r="CG15" s="247" t="s">
        <v>859</v>
      </c>
      <c r="CH15" s="247" t="s">
        <v>858</v>
      </c>
      <c r="CI15" s="247" t="s">
        <v>859</v>
      </c>
      <c r="CJ15" s="247" t="s">
        <v>858</v>
      </c>
      <c r="CK15" s="247" t="s">
        <v>859</v>
      </c>
      <c r="CL15" s="247" t="s">
        <v>858</v>
      </c>
      <c r="CM15" s="247" t="s">
        <v>859</v>
      </c>
      <c r="CN15" s="248" t="s">
        <v>858</v>
      </c>
      <c r="CO15" s="248" t="s">
        <v>859</v>
      </c>
      <c r="CP15" s="4"/>
      <c r="CR15" s="2"/>
      <c r="CS15" s="2"/>
      <c r="CT15" s="2"/>
      <c r="CU15" s="105"/>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GB15" t="e">
        <f>IF(#REF!="","?",#REF!)</f>
        <v>#REF!</v>
      </c>
      <c r="GC15" t="e">
        <f>IF(#REF!="","?",#REF!)</f>
        <v>#REF!</v>
      </c>
      <c r="GD15" t="e">
        <f>IF(#REF!="","?",#REF!)</f>
        <v>#REF!</v>
      </c>
      <c r="GE15" t="e">
        <f>IF(#REF!="","?",#REF!)</f>
        <v>#REF!</v>
      </c>
      <c r="GF15" t="e">
        <f>IF(#REF!="","?",#REF!)</f>
        <v>#REF!</v>
      </c>
      <c r="GG15" t="e">
        <f>IF(#REF!="","?",#REF!)</f>
        <v>#REF!</v>
      </c>
      <c r="GH15" t="e">
        <f>IF(#REF!="","?",#REF!)</f>
        <v>#REF!</v>
      </c>
      <c r="GI15" t="e">
        <f>IF(#REF!="","?",#REF!)</f>
        <v>#REF!</v>
      </c>
    </row>
    <row r="16" spans="1:191" x14ac:dyDescent="0.15">
      <c r="B16" s="12"/>
      <c r="C16" s="119"/>
      <c r="D16" s="101"/>
      <c r="E16" s="8"/>
      <c r="F16" s="7"/>
      <c r="G16" s="7"/>
      <c r="H16" s="7"/>
      <c r="I16" s="7"/>
      <c r="J16" s="7"/>
      <c r="K16" s="7"/>
      <c r="L16" s="7"/>
      <c r="M16" s="7"/>
      <c r="N16" s="7"/>
      <c r="O16" s="7"/>
      <c r="P16" s="7"/>
      <c r="Q16" s="7"/>
      <c r="R16" s="12"/>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227"/>
      <c r="AT16" s="227"/>
      <c r="AU16" s="227"/>
      <c r="AV16" s="227"/>
      <c r="AW16" s="7"/>
      <c r="AX16" s="7"/>
      <c r="AY16" s="7"/>
      <c r="AZ16" s="7"/>
      <c r="BA16" s="7"/>
      <c r="BB16" s="7"/>
      <c r="BC16" s="7"/>
      <c r="BD16" s="7"/>
      <c r="BE16" s="7"/>
      <c r="BJ16" s="246"/>
      <c r="BK16" s="246"/>
      <c r="BL16" s="246"/>
      <c r="BM16" s="246"/>
      <c r="BN16" s="246"/>
      <c r="BO16" s="246"/>
      <c r="BP16" s="246"/>
      <c r="BQ16" s="246"/>
      <c r="BR16" s="246"/>
      <c r="BS16" s="246"/>
      <c r="BT16" s="246"/>
      <c r="BU16" s="246"/>
      <c r="BV16" s="247" t="s">
        <v>390</v>
      </c>
      <c r="BW16" s="247" t="s">
        <v>390</v>
      </c>
      <c r="BX16" s="247" t="s">
        <v>230</v>
      </c>
      <c r="BY16" s="247" t="s">
        <v>230</v>
      </c>
      <c r="BZ16" s="247" t="s">
        <v>860</v>
      </c>
      <c r="CA16" s="247" t="s">
        <v>860</v>
      </c>
      <c r="CB16" s="247" t="s">
        <v>211</v>
      </c>
      <c r="CC16" s="247" t="s">
        <v>211</v>
      </c>
      <c r="CD16" s="247" t="s">
        <v>213</v>
      </c>
      <c r="CE16" s="247" t="s">
        <v>438</v>
      </c>
      <c r="CF16" s="247" t="s">
        <v>402</v>
      </c>
      <c r="CG16" s="247" t="s">
        <v>402</v>
      </c>
      <c r="CH16" s="247" t="s">
        <v>416</v>
      </c>
      <c r="CI16" s="247" t="s">
        <v>416</v>
      </c>
      <c r="CJ16" s="247" t="s">
        <v>16</v>
      </c>
      <c r="CK16" s="247" t="s">
        <v>16</v>
      </c>
      <c r="CL16" s="247" t="s">
        <v>209</v>
      </c>
      <c r="CM16" s="247" t="s">
        <v>209</v>
      </c>
      <c r="CN16" s="248" t="s">
        <v>453</v>
      </c>
      <c r="CO16" s="248" t="s">
        <v>453</v>
      </c>
      <c r="CR16" s="2"/>
      <c r="CS16" s="2"/>
      <c r="CT16" s="2"/>
      <c r="CU16" s="105"/>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GB16" t="e">
        <f>IF(#REF!="","?",#REF!)</f>
        <v>#REF!</v>
      </c>
      <c r="GC16" t="e">
        <f>IF(#REF!="","?",#REF!)</f>
        <v>#REF!</v>
      </c>
      <c r="GD16" t="e">
        <f>IF(#REF!="","?",#REF!)</f>
        <v>#REF!</v>
      </c>
      <c r="GE16" t="e">
        <f>IF(#REF!="","?",#REF!)</f>
        <v>#REF!</v>
      </c>
      <c r="GF16" t="e">
        <f>IF(#REF!="","?",#REF!)</f>
        <v>#REF!</v>
      </c>
      <c r="GG16" t="e">
        <f>IF(#REF!="","?",#REF!)</f>
        <v>#REF!</v>
      </c>
      <c r="GH16" t="e">
        <f>IF(#REF!="","?",#REF!)</f>
        <v>#REF!</v>
      </c>
      <c r="GI16" t="e">
        <f>IF(#REF!="","?",#REF!)</f>
        <v>#REF!</v>
      </c>
    </row>
    <row r="17" spans="1:191" ht="14" thickBot="1" x14ac:dyDescent="0.2">
      <c r="B17" s="12"/>
      <c r="C17" s="119"/>
      <c r="D17" s="101"/>
      <c r="E17" s="8"/>
      <c r="F17" s="7"/>
      <c r="G17" s="7"/>
      <c r="H17" s="7"/>
      <c r="I17" s="7"/>
      <c r="J17" s="7"/>
      <c r="K17" s="7"/>
      <c r="L17" s="7"/>
      <c r="M17" s="7"/>
      <c r="N17" s="7"/>
      <c r="O17" s="7"/>
      <c r="P17" s="7"/>
      <c r="Q17" s="7"/>
      <c r="R17" s="12"/>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227"/>
      <c r="AT17" s="227"/>
      <c r="AU17" s="227"/>
      <c r="AV17" s="227"/>
      <c r="AW17" s="7"/>
      <c r="AX17" s="7"/>
      <c r="AY17" s="7"/>
      <c r="AZ17" s="7"/>
      <c r="BA17" s="7"/>
      <c r="BB17" s="7"/>
      <c r="BC17" s="7"/>
      <c r="BD17" s="7"/>
      <c r="BE17" s="7"/>
      <c r="BF17" t="str">
        <f>IF(BD17="","",IF(OR(O17="INJURY CRASH",O17="FATAL CRASH"),"YES","NO"))</f>
        <v/>
      </c>
      <c r="BG17" t="str">
        <f>IF(BD17="","",IF(OR(Q17="ROAD - SNOW",Q17="ROAD - ICE"),"YES","NO"))</f>
        <v/>
      </c>
      <c r="BH17" t="str">
        <f>IF(BD17="","",IF(OR(L17="DAWN",L17="DUSK"),"YES","NO"))</f>
        <v/>
      </c>
      <c r="BI17" t="str">
        <f>IF(BD17="","",IF(OR(L17="DARK - NO LIGHTS",L17="DARK - LIGHTED"),"YES","NO"))</f>
        <v/>
      </c>
      <c r="BJ17" s="246" t="str">
        <f>IF(BD17="","",IF(AND(BF17="NO",L17="DAYLIGHT"),$BD17,""))</f>
        <v/>
      </c>
      <c r="BK17" s="246" t="str">
        <f>IF(BD17="","",IF(AND(BF17="YES",L17="DAYLIGHT"),$BD17,""))</f>
        <v/>
      </c>
      <c r="BL17" s="246" t="str">
        <f>IF(BD17="","",IF(AND(BF17="NO",BH17="YES"),$BD17,""))</f>
        <v/>
      </c>
      <c r="BM17" s="246" t="str">
        <f>IF(BD17="","",IF(AND(BD17=2012,BF17="YES",BH17="YES"),$BD17,""))</f>
        <v/>
      </c>
      <c r="BN17" s="246" t="str">
        <f>IF(BD17="","",IF(AND(BF17="NO",BI17="YES"),$BD17,""))</f>
        <v/>
      </c>
      <c r="BO17" s="246" t="str">
        <f>IF(BD17="","",IF(AND(BF17="YES",BI17="YES"),$BD17,""))</f>
        <v/>
      </c>
      <c r="BP17" s="246" t="str">
        <f>IF(BD17="","",IF(AND(BF17="NO",Q17="ROAD - DRY"),$BD17,""))</f>
        <v/>
      </c>
      <c r="BQ17" s="246" t="str">
        <f>IF(BD17="","",IF(AND(BF17="YES",Q17="ROAD - DRY"),$BD17,""))</f>
        <v/>
      </c>
      <c r="BR17" s="246" t="str">
        <f>IF(BD17="","",IF(AND(BF17="NO",Q17="ROAD - WET"),$BD17,""))</f>
        <v/>
      </c>
      <c r="BS17" s="246" t="str">
        <f>IF(BD17="","",IF(AND(,BF17="YES",Q17="ROAD - WET"),$BD17,""))</f>
        <v/>
      </c>
      <c r="BT17" s="246" t="str">
        <f>IF(BD17="","",IF(AND(BF17="NO",BG17="YES"),$BD17,""))</f>
        <v/>
      </c>
      <c r="BU17" s="246" t="str">
        <f>IF(BD17="","",IF(AND(,BF17="YES",BG17="YES"),$BD17,""))</f>
        <v/>
      </c>
      <c r="BV17" s="246" t="str">
        <f t="shared" ref="BV17:CM17" si="0">IF($BD17="","",IF(AND($BF17=BV$15,$M17=BV$16),$BD17,""))</f>
        <v/>
      </c>
      <c r="BW17" s="246" t="str">
        <f t="shared" si="0"/>
        <v/>
      </c>
      <c r="BX17" s="246" t="str">
        <f t="shared" si="0"/>
        <v/>
      </c>
      <c r="BY17" s="246" t="str">
        <f t="shared" si="0"/>
        <v/>
      </c>
      <c r="BZ17" s="246" t="str">
        <f t="shared" si="0"/>
        <v/>
      </c>
      <c r="CA17" s="246" t="str">
        <f t="shared" si="0"/>
        <v/>
      </c>
      <c r="CB17" s="246" t="str">
        <f t="shared" si="0"/>
        <v/>
      </c>
      <c r="CC17" s="246" t="str">
        <f t="shared" si="0"/>
        <v/>
      </c>
      <c r="CD17" s="246" t="str">
        <f t="shared" si="0"/>
        <v/>
      </c>
      <c r="CE17" s="246" t="str">
        <f t="shared" si="0"/>
        <v/>
      </c>
      <c r="CF17" s="246" t="str">
        <f t="shared" si="0"/>
        <v/>
      </c>
      <c r="CG17" s="246" t="str">
        <f t="shared" si="0"/>
        <v/>
      </c>
      <c r="CH17" s="246" t="str">
        <f t="shared" si="0"/>
        <v/>
      </c>
      <c r="CI17" s="246" t="str">
        <f t="shared" si="0"/>
        <v/>
      </c>
      <c r="CJ17" s="246" t="str">
        <f t="shared" si="0"/>
        <v/>
      </c>
      <c r="CK17" s="246" t="str">
        <f t="shared" si="0"/>
        <v/>
      </c>
      <c r="CL17" s="246" t="str">
        <f t="shared" si="0"/>
        <v/>
      </c>
      <c r="CM17" s="246" t="str">
        <f t="shared" si="0"/>
        <v/>
      </c>
      <c r="CN17" s="2" t="str">
        <f>IF(BD17="","",IF(AND(BF17="NO",CP17="1"),BD17,""))</f>
        <v/>
      </c>
      <c r="CO17" s="2" t="str">
        <f>IF(BD17="","",IF(AND(BF17="YES",CP17="1"),BD17,""))</f>
        <v/>
      </c>
      <c r="CP17" s="4" t="str">
        <f>IF(BD17="","",IF(COUNT(BV17:CM17)&gt;=1,"","1"))</f>
        <v/>
      </c>
      <c r="CR17" s="2"/>
      <c r="CS17" s="2"/>
      <c r="CT17" s="2" t="e">
        <f>IF($DP$18="",MID(DP17&amp;$DS$18&amp;DS17&amp;$DQ$18&amp;DQ17&amp;$DR$18&amp;DR17&amp;$DT$18&amp;DT17&amp;$DU$18&amp;DU17&amp;$CY$18&amp;CY17&amp;$CZ$18&amp;CZ17&amp;$CX$18&amp;CX17&amp;$DE$18&amp;DE17&amp;$DF$18&amp;DF17&amp;$DG$18&amp;DG17&amp;$DH$18&amp;DH17&amp;$DV$18&amp;DV17,2,150),DP17&amp;$DS$18&amp;DS17&amp;$DQ$18&amp;DQ17&amp;$DR$18&amp;DR17&amp;$DT$18&amp;DT17&amp;$DU$18&amp;DU17&amp;$CY$18&amp;CY17&amp;$CZ$18&amp;CZ17&amp;$CX$18&amp;CX17&amp;$DE$18&amp;DE17&amp;$DF$18&amp;DF17&amp;$DG$18&amp;DG17&amp;$DH$18&amp;DH17&amp;$DV$18&amp;DV17)</f>
        <v>#REF!</v>
      </c>
      <c r="CU17" s="105"/>
      <c r="CV17" s="2"/>
      <c r="CW17" s="2"/>
      <c r="CX17" s="2" t="e">
        <f>IF(#REF!="","",CX20)</f>
        <v>#REF!</v>
      </c>
      <c r="CY17" s="2" t="e">
        <f>IF(#REF!="","",CY20)</f>
        <v>#REF!</v>
      </c>
      <c r="CZ17" s="2" t="e">
        <f>IF(#REF!="","",CZ20)</f>
        <v>#REF!</v>
      </c>
      <c r="DA17" s="2"/>
      <c r="DB17" s="2"/>
      <c r="DC17" s="2"/>
      <c r="DD17" s="2"/>
      <c r="DE17" s="2" t="e">
        <f>IF(#REF!="","",DE20)</f>
        <v>#REF!</v>
      </c>
      <c r="DF17" s="2" t="e">
        <f>IF(#REF!="","",DF20)</f>
        <v>#REF!</v>
      </c>
      <c r="DG17" s="2" t="e">
        <f>IF(#REF!="","",DG20)</f>
        <v>#REF!</v>
      </c>
      <c r="DH17" s="2" t="e">
        <f>IF(#REF!="","",DH20)</f>
        <v>#REF!</v>
      </c>
      <c r="DI17" s="2"/>
      <c r="DJ17" s="2"/>
      <c r="DK17" s="2"/>
      <c r="DL17" s="2"/>
      <c r="DM17" s="2"/>
      <c r="DN17" s="2"/>
      <c r="DO17" s="2"/>
      <c r="DP17" s="2" t="e">
        <f>IF(#REF!="","",DP20)</f>
        <v>#REF!</v>
      </c>
      <c r="DQ17" s="2" t="e">
        <f>IF(#REF!="","",DQ20)</f>
        <v>#REF!</v>
      </c>
      <c r="DR17" s="2" t="e">
        <f>IF(#REF!="","",DR20)</f>
        <v>#REF!</v>
      </c>
      <c r="DS17" s="2" t="e">
        <f>IF(#REF!="","",DS20)</f>
        <v>#REF!</v>
      </c>
      <c r="DT17" s="2" t="e">
        <f>IF(#REF!="","",DT20)</f>
        <v>#REF!</v>
      </c>
      <c r="DU17" s="2" t="e">
        <f>IF(#REF!="","",DU20)</f>
        <v>#REF!</v>
      </c>
      <c r="DV17" s="2" t="e">
        <f>IF(#REF!="","",DV20)</f>
        <v>#REF!</v>
      </c>
      <c r="DW17" s="2" t="e">
        <f>IF(#REF!="","",DW20)</f>
        <v>#REF!</v>
      </c>
      <c r="DX17" s="2" t="e">
        <f>IF(#REF!="","",DX20)</f>
        <v>#REF!</v>
      </c>
      <c r="DY17" s="2"/>
      <c r="DZ17" s="2"/>
      <c r="EA17" s="2"/>
      <c r="EB17" s="2"/>
      <c r="EC17" s="2"/>
      <c r="ED17" s="2"/>
      <c r="EE17" s="2"/>
      <c r="GB17" t="e">
        <f>IF(#REF!="","?",#REF!)</f>
        <v>#REF!</v>
      </c>
      <c r="GC17" t="e">
        <f>IF(#REF!="","?",#REF!)</f>
        <v>#REF!</v>
      </c>
      <c r="GD17" t="e">
        <f>IF(#REF!="","?",#REF!)</f>
        <v>#REF!</v>
      </c>
      <c r="GE17" t="e">
        <f>IF(#REF!="","?",#REF!)</f>
        <v>#REF!</v>
      </c>
      <c r="GF17" t="e">
        <f>IF(#REF!="","?",#REF!)</f>
        <v>#REF!</v>
      </c>
      <c r="GG17" t="e">
        <f>IF(#REF!="","?",#REF!)</f>
        <v>#REF!</v>
      </c>
      <c r="GH17" t="e">
        <f>IF(#REF!="","?",#REF!)</f>
        <v>#REF!</v>
      </c>
      <c r="GI17" t="e">
        <f>IF(#REF!="","?",#REF!)</f>
        <v>#REF!</v>
      </c>
    </row>
    <row r="18" spans="1:191" x14ac:dyDescent="0.15">
      <c r="B18" s="7"/>
      <c r="C18" s="14"/>
      <c r="E18" s="8"/>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1"/>
      <c r="BJ18" s="685" t="s">
        <v>0</v>
      </c>
      <c r="BK18" s="685"/>
      <c r="BL18" s="685"/>
      <c r="BM18" s="685"/>
      <c r="BN18" s="685"/>
      <c r="BO18" s="685"/>
      <c r="BP18" s="685" t="s">
        <v>1</v>
      </c>
      <c r="BQ18" s="685"/>
      <c r="BR18" s="685"/>
      <c r="BS18" s="685"/>
      <c r="BT18" s="685"/>
      <c r="BU18" s="685"/>
      <c r="BV18" s="686" t="s">
        <v>2</v>
      </c>
      <c r="BW18" s="687"/>
      <c r="BX18" s="687"/>
      <c r="BY18" s="687"/>
      <c r="BZ18" s="687"/>
      <c r="CA18" s="687"/>
      <c r="CB18" s="687"/>
      <c r="CC18" s="687"/>
      <c r="CD18" s="687"/>
      <c r="CE18" s="687"/>
      <c r="CF18" s="687"/>
      <c r="CG18" s="687"/>
      <c r="CH18" s="687"/>
      <c r="CI18" s="687"/>
      <c r="CJ18" s="687"/>
      <c r="CK18" s="687"/>
      <c r="CL18" s="687"/>
      <c r="CM18" s="687"/>
      <c r="CN18" s="687"/>
      <c r="CO18" s="688"/>
      <c r="CQ18" s="253"/>
      <c r="CR18" s="2"/>
      <c r="CS18" s="2"/>
      <c r="CT18" s="2"/>
      <c r="CU18" s="105"/>
      <c r="CV18" s="105"/>
      <c r="CW18" s="105"/>
      <c r="CX18" s="105"/>
      <c r="CY18" s="105"/>
      <c r="CZ18" s="105"/>
      <c r="DA18" s="105"/>
      <c r="DB18" s="105"/>
      <c r="DC18" s="105"/>
      <c r="DD18" s="105"/>
      <c r="DE18" s="105"/>
      <c r="DF18" s="105"/>
      <c r="DG18" s="2"/>
      <c r="DH18" s="2"/>
      <c r="DI18" s="2"/>
      <c r="DJ18" s="2"/>
      <c r="DK18" s="2"/>
      <c r="DL18" s="2"/>
      <c r="DM18" s="2"/>
      <c r="DN18" s="2"/>
      <c r="DO18" s="2"/>
      <c r="DP18" s="105" t="s">
        <v>99</v>
      </c>
      <c r="DQ18" s="105"/>
      <c r="DR18" s="105"/>
      <c r="DS18" s="105"/>
      <c r="DT18" s="105"/>
      <c r="DU18" s="105"/>
      <c r="DV18" s="105"/>
      <c r="DW18" s="105"/>
      <c r="DX18" s="105"/>
      <c r="DY18" s="2"/>
      <c r="DZ18" s="2"/>
      <c r="EA18" s="2"/>
      <c r="EB18" s="2"/>
      <c r="EC18" s="2"/>
      <c r="ED18" s="2"/>
      <c r="EE18" s="2"/>
      <c r="GB18">
        <f ca="1">IF(ISERROR(IF(OR($GB$15=OFFSET($A18:$AZ18,0,$GB$14-1,1,1),$GB$16=OFFSET($A18:$AZ18,0,$GB$14-1,1,1),$GB$17=OFFSET($A18:$AZ18,0,$GB$14-1,1,1)),1,"X")),1,IF(OR($GB$15=OFFSET($A18:$AZ18,0,$GB$14-1,1,1),$GB$16=OFFSET($A18:$AZ18,0,$GB$14-1,1,1),$GB$17=OFFSET($A18:$AZ18,0,$GB$14-1,1,1)),1,"X"))</f>
        <v>1</v>
      </c>
      <c r="GC18" t="e">
        <f ca="1">IF(OR($GC$15=OFFSET($A18:$AZ18,0,$GC$14-1,1,1),$GC$16=OFFSET($A18:$AZ18,0,$GC$14-1,1,1),$GC$17=OFFSET($A18:$AZ18,0,$GC$14-1,1,1)),1,"X")</f>
        <v>#REF!</v>
      </c>
      <c r="GD18" t="e">
        <f ca="1">IF(OR($GD$15=OFFSET($A18:$AZ18,0,$GD$14-1,1,1),$GD$16=OFFSET($A18:$AZ18,0,$GD$14-1,1,1),$GD$17=OFFSET($A18:$AZ18,0,$GD$14-1,1,1)),1,"X")</f>
        <v>#REF!</v>
      </c>
      <c r="GE18" t="e">
        <f ca="1">IF(OR($GE$15=OFFSET($A18:$AZ18,0,$GE$14-1,1,1),$GE$16=OFFSET($A18:$AZ18,0,$GE$14-1,1,1),$GE$17=OFFSET($A18:$AZ18,0,$GE$14-1,1,1)),1,"X")</f>
        <v>#REF!</v>
      </c>
      <c r="GF18" t="e">
        <f ca="1">IF(OR($GF$15=OFFSET($A18:$AZ18,0,$GF$14-1,1,1),$GF$16=OFFSET($A18:$AZ18,0,$GF$14-1,1,1),$GF$17=OFFSET($A18:$AZ18,0,$GF$14-1,1,1)),1,"X")</f>
        <v>#REF!</v>
      </c>
      <c r="GG18" t="e">
        <f ca="1">IF(OR($GG$15=OFFSET($A18:$AZ18,0,$GG$14-1,1,1),$GG$16=OFFSET($A18:$AZ18,0,$GG$14-1,1,1),$GG$17=OFFSET($A18:$AZ18,0,$GG$14-1,1,1)),1,"X")</f>
        <v>#REF!</v>
      </c>
      <c r="GH18" t="e">
        <f ca="1">IF(OR($GH$15=OFFSET($A18:$AZ18,0,$GH$14-1,1,1),$GH$16=OFFSET($A18:$AZ18,0,$GH$14-1,1,1),$GH$17=OFFSET($A18:$AZ18,0,$GH$14-1,1,1)),1,"X")</f>
        <v>#REF!</v>
      </c>
      <c r="GI18" t="e">
        <f ca="1">IF(OR($GI$15=OFFSET($A18:$AZ18,0,$GI$14-1,1,1),$GI$16=OFFSET($A18:$AZ18,0,$GI$14-1,1,1),$GI$17=OFFSET($A18:$AZ18,0,$GI$14-1,1,1)),1,"X")</f>
        <v>#REF!</v>
      </c>
    </row>
    <row r="19" spans="1:191" x14ac:dyDescent="0.15">
      <c r="A19" s="5" t="str">
        <f>IF(BD19*1&gt;2010,HYPERLINK(U19,"Crash Report"),IF(AQ19="","",HYPERLINK(AQ19,"Crash Report")))</f>
        <v/>
      </c>
      <c r="B19" s="12">
        <f>'Full Crash Data'!B19</f>
        <v>2</v>
      </c>
      <c r="C19" s="119">
        <f>'Full Crash Data'!D19</f>
        <v>34</v>
      </c>
      <c r="D19" s="101">
        <f>'Full Crash Data'!K19</f>
        <v>7</v>
      </c>
      <c r="E19" s="8">
        <f>'Full Crash Data'!L19</f>
        <v>10</v>
      </c>
      <c r="F19" s="7" t="str">
        <f>IF('Full Crash Data'!AO19="","",YEAR('Full Crash Data'!AO19)&amp;TEXT(MONTH('Full Crash Data'!AO19),"00")&amp;TEXT(DAY('Full Crash Data'!AO19),"00"))</f>
        <v>19000115</v>
      </c>
      <c r="G19" s="7" t="str">
        <f>IFERROR(TRIM(IF('Full Crash Data'!BQ19&lt;&gt;"",'Full Crash Data'!BP19&amp;'Full Crash Data'!BQ19&amp;'Full Crash Data'!BR19,IF('Full Crash Data'!BL19="","",'Full Crash Data'!BL19&amp;" ")&amp;IF('Full Crash Data'!BM19="","",'Full Crash Data'!BM19&amp;" ")&amp;IF('Full Crash Data'!BN19="","",'Full Crash Data'!BN19&amp;" ")&amp;IF('Full Crash Data'!BO19="","",'Full Crash Data'!BO19))),"")</f>
        <v>616062</v>
      </c>
      <c r="H19" s="7" t="str">
        <f>IFERROR(TRIM(IF('Full Crash Data'!BX19&lt;&gt;"",'Full Crash Data'!BW19&amp;'Full Crash Data'!BX19&amp;'Full Crash Data'!BY19,IF('Full Crash Data'!BS19="","",'Full Crash Data'!BS19&amp;" ")&amp;IF('Full Crash Data'!BT19="","",'Full Crash Data'!BT19&amp;" ")&amp;IF('Full Crash Data'!BU19="","",'Full Crash Data'!BU19&amp;" ")&amp;IF('Full Crash Data'!BV19="","",'Full Crash Data'!BV19))),"")</f>
        <v>706971</v>
      </c>
      <c r="I19" s="7"/>
      <c r="J19" s="7" t="str">
        <f>'Full Crash Data'!AR19</f>
        <v/>
      </c>
      <c r="K19" s="7">
        <f>'Full Crash Data'!AQ19</f>
        <v>24</v>
      </c>
      <c r="L19" s="7" t="str">
        <f>'Full Crash Data'!AU19</f>
        <v/>
      </c>
      <c r="M19" s="7" t="str">
        <f>'Full Crash Data'!G19</f>
        <v/>
      </c>
      <c r="N19" s="7">
        <f>'Full Crash Data'!AA19</f>
        <v>40</v>
      </c>
      <c r="O19" s="7" t="str">
        <f>IF('Full Crash Data'!F19="","",IF('Full Crash Data'!F19="(1) Fatal","Fatal Crash",IF('Full Crash Data'!F19="(5) PDO/No Injury","Property Damage Crash","Injury Crash")))</f>
        <v/>
      </c>
      <c r="P19" s="7" t="str">
        <f>'Full Crash Data'!AS19</f>
        <v>Unknown</v>
      </c>
      <c r="Q19" s="7" t="str">
        <f>'Full Crash Data'!AT19</f>
        <v>Other / Unknown</v>
      </c>
      <c r="R19" s="12" t="str">
        <f>'Full Crash Data'!J19</f>
        <v/>
      </c>
      <c r="S19" s="7" t="str">
        <f>'Full Crash Data'!CN19</f>
        <v/>
      </c>
      <c r="T19" s="7" t="str">
        <f>'Full Crash Data'!CM19</f>
        <v/>
      </c>
      <c r="U19" s="6" t="str">
        <f>'Full Crash Data'!EM19</f>
        <v/>
      </c>
      <c r="V19" s="7" t="str">
        <f>'Full Crash Data'!CI19</f>
        <v/>
      </c>
      <c r="W19" s="7" t="str">
        <f>'Full Crash Data'!CE19</f>
        <v/>
      </c>
      <c r="X19" s="7" t="str">
        <f>'Full Crash Data'!CF19</f>
        <v/>
      </c>
      <c r="Y19" s="7">
        <f>'Full Crash Data'!CW19</f>
        <v>87</v>
      </c>
      <c r="Z19" s="7" t="str">
        <f>'Full Crash Data'!CX19</f>
        <v/>
      </c>
      <c r="AA19" s="7" t="str">
        <f>'Full Crash Data'!CH19</f>
        <v/>
      </c>
      <c r="AB19" s="7" t="str">
        <f>'Full Crash Data'!AY19</f>
        <v>No</v>
      </c>
      <c r="AC19" s="7" t="str">
        <f>'Full Crash Data'!BA19</f>
        <v>No</v>
      </c>
      <c r="AD19" s="7">
        <f>'Full Crash Data'!CK19</f>
        <v>114</v>
      </c>
      <c r="AE19" s="7">
        <f>'Full Crash Data'!CL19</f>
        <v>70</v>
      </c>
      <c r="AF19" s="7" t="str">
        <f>'Full Crash Data'!DJ19</f>
        <v/>
      </c>
      <c r="AG19" s="7" t="str">
        <f>'Full Crash Data'!DI19</f>
        <v/>
      </c>
      <c r="AH19" s="7" t="str">
        <f>'Full Crash Data'!DE19</f>
        <v/>
      </c>
      <c r="AI19" s="7">
        <f>'Full Crash Data'!DR19</f>
        <v>115</v>
      </c>
      <c r="AJ19" s="7" t="str">
        <f>'Full Crash Data'!DS19</f>
        <v/>
      </c>
      <c r="AK19" s="7" t="str">
        <f>'Full Crash Data'!DA19</f>
        <v/>
      </c>
      <c r="AL19" s="7" t="str">
        <f>'Full Crash Data'!DB19</f>
        <v/>
      </c>
      <c r="AM19" s="7"/>
      <c r="AN19" s="7"/>
      <c r="AO19" s="7"/>
      <c r="AP19" s="7"/>
      <c r="AQ19" s="7" t="str">
        <f>IFERROR(VLOOKUP(B19,HistoricalImages!A:B,2,FALSE),"")</f>
        <v/>
      </c>
      <c r="AR19" s="7" t="str">
        <f>'Full Crash Data'!AV19</f>
        <v/>
      </c>
      <c r="AS19" s="227">
        <f>'Full Crash Data'!U19</f>
        <v>76</v>
      </c>
      <c r="AT19" s="227">
        <f>'Full Crash Data'!V19</f>
        <v>25</v>
      </c>
      <c r="AU19" s="227">
        <f>'Full Crash Data'!W19</f>
        <v>39</v>
      </c>
      <c r="AV19" s="227">
        <f>'Full Crash Data'!X19</f>
        <v>80</v>
      </c>
      <c r="AW19" s="7"/>
      <c r="AX19" s="7">
        <f>'Full Crash Data'!H19</f>
        <v>6</v>
      </c>
      <c r="AY19" s="7">
        <f>'Full Crash Data'!I19</f>
        <v>9</v>
      </c>
      <c r="AZ19" s="7">
        <f>'Full Crash Data'!R19</f>
        <v>13</v>
      </c>
      <c r="BA19" s="7">
        <f>'Full Crash Data'!S19</f>
        <v>41</v>
      </c>
      <c r="BB19" s="7">
        <f>'Full Crash Data'!P19</f>
        <v>11</v>
      </c>
      <c r="BC19" s="7">
        <f>'Full Crash Data'!Q19</f>
        <v>12</v>
      </c>
      <c r="BD19" s="7">
        <f>'Full Crash Data'!C19</f>
        <v>4</v>
      </c>
      <c r="BE19" s="7">
        <f>'Full Crash Data'!AP19</f>
        <v>36</v>
      </c>
      <c r="BF19" s="1"/>
      <c r="BG19" s="1"/>
      <c r="BH19" s="1"/>
      <c r="BI19" s="1"/>
      <c r="BJ19" s="683" t="s">
        <v>3</v>
      </c>
      <c r="BK19" s="684"/>
      <c r="BL19" s="683" t="s">
        <v>4</v>
      </c>
      <c r="BM19" s="684"/>
      <c r="BN19" s="683" t="s">
        <v>5</v>
      </c>
      <c r="BO19" s="684"/>
      <c r="BP19" s="683" t="s">
        <v>6</v>
      </c>
      <c r="BQ19" s="684"/>
      <c r="BR19" s="683" t="s">
        <v>7</v>
      </c>
      <c r="BS19" s="684"/>
      <c r="BT19" s="683" t="s">
        <v>8</v>
      </c>
      <c r="BU19" s="684"/>
      <c r="BV19" s="683" t="s">
        <v>9</v>
      </c>
      <c r="BW19" s="684"/>
      <c r="BX19" s="683" t="s">
        <v>10</v>
      </c>
      <c r="BY19" s="684"/>
      <c r="BZ19" s="683" t="s">
        <v>11</v>
      </c>
      <c r="CA19" s="684"/>
      <c r="CB19" s="683" t="s">
        <v>12</v>
      </c>
      <c r="CC19" s="684"/>
      <c r="CD19" s="683" t="s">
        <v>13</v>
      </c>
      <c r="CE19" s="684"/>
      <c r="CF19" s="683" t="s">
        <v>14</v>
      </c>
      <c r="CG19" s="684"/>
      <c r="CH19" s="683" t="s">
        <v>15</v>
      </c>
      <c r="CI19" s="684"/>
      <c r="CJ19" s="683" t="s">
        <v>16</v>
      </c>
      <c r="CK19" s="684"/>
      <c r="CL19" s="683" t="s">
        <v>17</v>
      </c>
      <c r="CM19" s="684"/>
      <c r="CN19" s="683" t="s">
        <v>18</v>
      </c>
      <c r="CO19" s="684"/>
      <c r="CQ19" s="6" t="str">
        <f>+HYPERLINK(CONCATENATE("http://pathweb.pathwayservices.com/ohio/?nlfid='",+D19,"'&amp;logpoint=",+E19),"Pathweb")</f>
        <v>Pathweb</v>
      </c>
      <c r="CR19" s="6" t="str">
        <f>HYPERLINK(CONCATENATE("http://maps.google.com/maps?q=",+BB19,",+",+BC19,"+(Crash+Location)&amp;iwloc=A&amp;hl=en"),"Google Maps")</f>
        <v>Google Maps</v>
      </c>
      <c r="CS19" s="6" t="str">
        <f>HYPERLINK(CONCATENATE("http://data.mashedworld.com/dualmaps/map.htm?x=",BC19,"&amp;y=",BB19,"&amp;z=15&amp;gm=0&amp;ve=5&amp;gc=0&amp;bz=1&amp;bd=0&amp;mw=1&amp;sv=1&amp;svb=0&amp;svp=0&amp;svz=0&amp;svm=2&amp;svf=0"),"Mashed Map")</f>
        <v>Mashed Map</v>
      </c>
      <c r="CT19" s="2" t="str">
        <f>IF($DP$18="",MID(DP19&amp;$DS$18&amp;DS19&amp;$DQ$18&amp;DQ19&amp;$DR$18&amp;DR19&amp;$DT$18&amp;DT19&amp;$DU$18&amp;DU19&amp;$CY$18&amp;CY19&amp;$CZ$18&amp;CZ19&amp;$CX$18&amp;CX19&amp;$DE$18&amp;DE19&amp;$DF$18&amp;DF19&amp;$DG$18&amp;DG19&amp;$DH$18&amp;DH19&amp;$DV$18&amp;DV19&amp;$DW$18&amp;DW19&amp;$DX$18&amp;DX19,2,150),DP19&amp;$DS$18&amp;DS19&amp;$DQ$18&amp;DQ19&amp;$DR$18&amp;DR19&amp;$DT$18&amp;DT19&amp;$DU$18&amp;DU19&amp;$CY$18&amp;CY19&amp;$CZ$18&amp;CZ19&amp;$CX$18&amp;CX19&amp;$DE$18&amp;DE19&amp;$DF$18&amp;DF19&amp;$DG$18&amp;DG19&amp;$DH$18&amp;DH19&amp;$DV$18&amp;DV19&amp;$DW$18&amp;DW19&amp;$DX$18&amp;DX19)</f>
        <v>0</v>
      </c>
      <c r="CU19" s="105"/>
      <c r="CV19" s="2"/>
      <c r="CW19" s="2"/>
      <c r="CX19" s="105" t="str">
        <f>IF($CX$18="","",LEFT(J19,2))</f>
        <v/>
      </c>
      <c r="CY19" s="105" t="str">
        <f>IF($CY$18="","",RIGHT(BD19,2))</f>
        <v/>
      </c>
      <c r="CZ19" s="105" t="str">
        <f>IF($CZ$18="","",LEFT(O19,1))</f>
        <v/>
      </c>
      <c r="DA19" s="2" t="str">
        <f>IF(W19="","",UPPER(LEFT(W19,6)))</f>
        <v/>
      </c>
      <c r="DB19" s="2" t="str">
        <f>IF(AK19="","",UPPER(LEFT(AK19,6)))</f>
        <v/>
      </c>
      <c r="DC19" s="2" t="str">
        <f>IF(X19="","",UPPER(LEFT(X19,6)))</f>
        <v/>
      </c>
      <c r="DD19" s="2" t="str">
        <f>IF(AL19="","",UPPER(LEFT(AL19,6)))</f>
        <v/>
      </c>
      <c r="DE19" s="105" t="str">
        <f>IF($DE$18="","",G19)</f>
        <v/>
      </c>
      <c r="DF19" s="105" t="str">
        <f>IF($DF$18="","",E19)</f>
        <v/>
      </c>
      <c r="DG19" s="105" t="str">
        <f>IF($DG$18="","",H19)</f>
        <v/>
      </c>
      <c r="DH19" s="105" t="str">
        <f>IF($DH$18="","",I19/100)</f>
        <v/>
      </c>
      <c r="DI19" s="2"/>
      <c r="DJ19" s="2"/>
      <c r="DK19" s="2" t="str">
        <f>IF(M19="","",UPPER(M19))</f>
        <v/>
      </c>
      <c r="DL19" s="2"/>
      <c r="DM19" s="2"/>
      <c r="DN19" s="2"/>
      <c r="DO19" s="2"/>
      <c r="DP19" s="105">
        <f>IF($DP$18="","",CU19)</f>
        <v>0</v>
      </c>
      <c r="DQ19" s="105" t="str">
        <f>IF($DQ$18="","",MID(F19,5,2)&amp;"-"&amp;MID(F19,7,2)&amp;"-"&amp;RIGHT(BD19,2))</f>
        <v/>
      </c>
      <c r="DR19" s="105" t="str">
        <f>IF($DR$18="","",K19)</f>
        <v/>
      </c>
      <c r="DS19" s="105" t="str">
        <f>IF($DS$18="","",B19)</f>
        <v/>
      </c>
      <c r="DT19" s="105" t="str">
        <f>IF($DT$18="","",IF(L19="DARK - LIGHTED","N",IF(L19="DARK - NO LIGHTS","N",IF(L19="DAYLIGHT","D","O"))))</f>
        <v/>
      </c>
      <c r="DU19" s="105" t="str">
        <f>IF($DU$18="","",IF(Q19="Wet","Wet",IF(Q19="Snow","Snow",IF(Q19="Ice","Ice",IF(Q19="Dry","Dry","Other")))))</f>
        <v/>
      </c>
      <c r="DV19" s="249" t="str">
        <f>IF($DV$18="","",LEFT(AW19,6))</f>
        <v/>
      </c>
      <c r="DW19" s="249" t="str">
        <f>IF($DW$18="","",IF(W19="","U",VLOOKUP(W19,'Collision Diagram'!$BG$82:$BH$90,2,FALSE))&amp;" to "&amp;IF(X19="","U",VLOOKUP(X19,'Collision Diagram'!$BG$82:$BH$90,2,FALSE)))</f>
        <v/>
      </c>
      <c r="DX19" s="249" t="str">
        <f>IF($DX$18="","",IF(AK19="","U",VLOOKUP(AK19,'Collision Diagram'!$BG$82:$BH$90,2,FALSE))&amp;" to "&amp;IF(AL19="","U",VLOOKUP(AL19,'Collision Diagram'!$BG$82:$BH$90,2,FALSE)))</f>
        <v/>
      </c>
      <c r="DY19" s="2"/>
      <c r="DZ19" s="2"/>
      <c r="EA19" s="2"/>
      <c r="EB19" s="2"/>
      <c r="EC19" s="2"/>
      <c r="ED19" s="2"/>
      <c r="EE19" s="2"/>
      <c r="GB19" s="4"/>
      <c r="GC19" s="4"/>
      <c r="GD19" s="4"/>
      <c r="GE19" s="4"/>
      <c r="GF19" s="4"/>
      <c r="GG19" s="4"/>
      <c r="GH19" s="4"/>
      <c r="GI19" s="4"/>
    </row>
    <row r="20" spans="1:191" x14ac:dyDescent="0.15">
      <c r="A20" s="7" t="s">
        <v>19</v>
      </c>
      <c r="B20" s="119" t="s">
        <v>20</v>
      </c>
      <c r="C20" s="119" t="s">
        <v>21</v>
      </c>
      <c r="D20" s="12" t="s">
        <v>550</v>
      </c>
      <c r="E20" s="8" t="s">
        <v>22</v>
      </c>
      <c r="F20" s="14" t="s">
        <v>23</v>
      </c>
      <c r="G20" s="12" t="s">
        <v>24</v>
      </c>
      <c r="H20" s="12" t="s">
        <v>25</v>
      </c>
      <c r="I20" s="7" t="s">
        <v>26</v>
      </c>
      <c r="J20" s="7" t="s">
        <v>27</v>
      </c>
      <c r="K20" s="12" t="s">
        <v>28</v>
      </c>
      <c r="L20" s="7" t="s">
        <v>29</v>
      </c>
      <c r="M20" s="7" t="s">
        <v>30</v>
      </c>
      <c r="N20" s="7" t="s">
        <v>31</v>
      </c>
      <c r="O20" s="7" t="s">
        <v>32</v>
      </c>
      <c r="P20" s="7" t="s">
        <v>33</v>
      </c>
      <c r="Q20" s="7" t="s">
        <v>34</v>
      </c>
      <c r="R20" s="12" t="s">
        <v>35</v>
      </c>
      <c r="S20" s="7" t="s">
        <v>36</v>
      </c>
      <c r="T20" s="7" t="s">
        <v>37</v>
      </c>
      <c r="U20" s="7" t="s">
        <v>857</v>
      </c>
      <c r="V20" s="7" t="s">
        <v>38</v>
      </c>
      <c r="W20" s="7" t="s">
        <v>39</v>
      </c>
      <c r="X20" s="7" t="s">
        <v>40</v>
      </c>
      <c r="Y20" s="7" t="s">
        <v>41</v>
      </c>
      <c r="Z20" s="7" t="s">
        <v>42</v>
      </c>
      <c r="AA20" s="7" t="s">
        <v>43</v>
      </c>
      <c r="AB20" s="7" t="s">
        <v>44</v>
      </c>
      <c r="AC20" s="7" t="s">
        <v>45</v>
      </c>
      <c r="AD20" s="7" t="s">
        <v>46</v>
      </c>
      <c r="AE20" s="7" t="s">
        <v>47</v>
      </c>
      <c r="AF20" s="7" t="s">
        <v>48</v>
      </c>
      <c r="AG20" s="7" t="s">
        <v>49</v>
      </c>
      <c r="AH20" s="7" t="s">
        <v>50</v>
      </c>
      <c r="AI20" s="7" t="s">
        <v>51</v>
      </c>
      <c r="AJ20" s="7" t="s">
        <v>52</v>
      </c>
      <c r="AK20" s="7" t="s">
        <v>53</v>
      </c>
      <c r="AL20" s="7" t="s">
        <v>54</v>
      </c>
      <c r="AM20" s="7" t="s">
        <v>55</v>
      </c>
      <c r="AN20" s="7" t="s">
        <v>56</v>
      </c>
      <c r="AO20" s="7" t="s">
        <v>57</v>
      </c>
      <c r="AP20" s="7" t="s">
        <v>58</v>
      </c>
      <c r="AQ20" s="7" t="s">
        <v>551</v>
      </c>
      <c r="AR20" s="7" t="s">
        <v>59</v>
      </c>
      <c r="AS20" s="227" t="s">
        <v>60</v>
      </c>
      <c r="AT20" s="227" t="s">
        <v>61</v>
      </c>
      <c r="AU20" s="227" t="s">
        <v>62</v>
      </c>
      <c r="AV20" s="227" t="s">
        <v>63</v>
      </c>
      <c r="AW20" s="7" t="s">
        <v>64</v>
      </c>
      <c r="AX20" s="7" t="s">
        <v>65</v>
      </c>
      <c r="AY20" s="7" t="s">
        <v>66</v>
      </c>
      <c r="AZ20" s="7" t="s">
        <v>552</v>
      </c>
      <c r="BA20" s="12" t="s">
        <v>553</v>
      </c>
      <c r="BB20" s="243" t="s">
        <v>554</v>
      </c>
      <c r="BC20" s="243" t="s">
        <v>555</v>
      </c>
      <c r="BD20" s="7" t="s">
        <v>67</v>
      </c>
      <c r="BE20" s="7" t="s">
        <v>68</v>
      </c>
      <c r="BF20" s="11" t="s">
        <v>69</v>
      </c>
      <c r="BG20" s="11" t="s">
        <v>70</v>
      </c>
      <c r="BH20" s="11" t="s">
        <v>4</v>
      </c>
      <c r="BI20" s="11" t="s">
        <v>5</v>
      </c>
      <c r="BJ20" s="242" t="s">
        <v>71</v>
      </c>
      <c r="BK20" s="242" t="s">
        <v>72</v>
      </c>
      <c r="BL20" s="242" t="s">
        <v>71</v>
      </c>
      <c r="BM20" s="242" t="s">
        <v>72</v>
      </c>
      <c r="BN20" s="242" t="s">
        <v>71</v>
      </c>
      <c r="BO20" s="242" t="s">
        <v>72</v>
      </c>
      <c r="BP20" s="242" t="s">
        <v>71</v>
      </c>
      <c r="BQ20" s="242" t="s">
        <v>72</v>
      </c>
      <c r="BR20" s="242" t="s">
        <v>71</v>
      </c>
      <c r="BS20" s="242" t="s">
        <v>72</v>
      </c>
      <c r="BT20" s="242" t="s">
        <v>71</v>
      </c>
      <c r="BU20" s="242" t="s">
        <v>72</v>
      </c>
      <c r="BV20" s="242" t="s">
        <v>71</v>
      </c>
      <c r="BW20" s="242" t="s">
        <v>72</v>
      </c>
      <c r="BX20" s="242" t="s">
        <v>71</v>
      </c>
      <c r="BY20" s="242" t="s">
        <v>72</v>
      </c>
      <c r="BZ20" s="242" t="s">
        <v>71</v>
      </c>
      <c r="CA20" s="242" t="s">
        <v>72</v>
      </c>
      <c r="CB20" s="242" t="s">
        <v>71</v>
      </c>
      <c r="CC20" s="242" t="s">
        <v>72</v>
      </c>
      <c r="CD20" s="242" t="s">
        <v>71</v>
      </c>
      <c r="CE20" s="242" t="s">
        <v>72</v>
      </c>
      <c r="CF20" s="242" t="s">
        <v>71</v>
      </c>
      <c r="CG20" s="242" t="s">
        <v>72</v>
      </c>
      <c r="CH20" s="242" t="s">
        <v>71</v>
      </c>
      <c r="CI20" s="242" t="s">
        <v>72</v>
      </c>
      <c r="CJ20" s="242" t="s">
        <v>71</v>
      </c>
      <c r="CK20" s="242" t="s">
        <v>72</v>
      </c>
      <c r="CL20" s="242" t="s">
        <v>71</v>
      </c>
      <c r="CM20" s="242" t="s">
        <v>72</v>
      </c>
      <c r="CN20" s="242" t="s">
        <v>71</v>
      </c>
      <c r="CO20" s="242" t="s">
        <v>72</v>
      </c>
      <c r="CP20" s="10" t="s">
        <v>1100</v>
      </c>
      <c r="CQ20" s="8" t="s">
        <v>73</v>
      </c>
      <c r="CR20" s="8" t="s">
        <v>74</v>
      </c>
      <c r="CS20" s="14" t="s">
        <v>256</v>
      </c>
      <c r="CT20" s="8" t="s">
        <v>75</v>
      </c>
      <c r="CU20" s="8" t="s">
        <v>76</v>
      </c>
      <c r="CV20" s="8" t="s">
        <v>77</v>
      </c>
      <c r="CW20" s="8" t="s">
        <v>78</v>
      </c>
      <c r="CX20" s="8" t="s">
        <v>79</v>
      </c>
      <c r="CY20" s="8" t="s">
        <v>80</v>
      </c>
      <c r="CZ20" s="14" t="s">
        <v>81</v>
      </c>
      <c r="DA20" s="8" t="s">
        <v>82</v>
      </c>
      <c r="DB20" s="8" t="s">
        <v>83</v>
      </c>
      <c r="DC20" s="8" t="s">
        <v>84</v>
      </c>
      <c r="DD20" s="8" t="s">
        <v>85</v>
      </c>
      <c r="DE20" s="8" t="s">
        <v>86</v>
      </c>
      <c r="DF20" s="8" t="s">
        <v>87</v>
      </c>
      <c r="DG20" s="14" t="s">
        <v>88</v>
      </c>
      <c r="DH20" s="14" t="s">
        <v>98</v>
      </c>
      <c r="DI20" s="8" t="s">
        <v>97</v>
      </c>
      <c r="DJ20" s="8" t="s">
        <v>96</v>
      </c>
      <c r="DK20" s="8" t="s">
        <v>549</v>
      </c>
      <c r="DL20" s="8" t="s">
        <v>325</v>
      </c>
      <c r="DM20" s="7"/>
      <c r="DN20" s="7"/>
      <c r="DO20" s="7"/>
      <c r="DP20" s="7" t="s">
        <v>89</v>
      </c>
      <c r="DQ20" s="8" t="s">
        <v>90</v>
      </c>
      <c r="DR20" s="7" t="s">
        <v>91</v>
      </c>
      <c r="DS20" s="7" t="s">
        <v>92</v>
      </c>
      <c r="DT20" s="7" t="s">
        <v>93</v>
      </c>
      <c r="DU20" s="7" t="s">
        <v>94</v>
      </c>
      <c r="DV20" s="7" t="s">
        <v>95</v>
      </c>
      <c r="DW20" s="7" t="s">
        <v>257</v>
      </c>
      <c r="DX20" s="7" t="s">
        <v>267</v>
      </c>
      <c r="DY20" s="7"/>
      <c r="DZ20" s="7"/>
      <c r="EA20" s="7"/>
      <c r="EB20" s="7"/>
      <c r="EC20" s="7"/>
      <c r="ED20" s="7"/>
      <c r="EE20" s="7"/>
      <c r="EF20" s="7"/>
      <c r="EG20" s="7"/>
      <c r="EH20" s="7"/>
      <c r="EI20" s="7"/>
      <c r="EJ20" s="7"/>
      <c r="GB20" s="4" t="s">
        <v>846</v>
      </c>
      <c r="GC20" s="4" t="s">
        <v>847</v>
      </c>
      <c r="GD20" s="4" t="s">
        <v>848</v>
      </c>
      <c r="GE20" s="4" t="s">
        <v>849</v>
      </c>
      <c r="GF20" s="4" t="s">
        <v>850</v>
      </c>
      <c r="GG20" s="4" t="s">
        <v>851</v>
      </c>
      <c r="GH20" s="4" t="s">
        <v>852</v>
      </c>
      <c r="GI20" s="4" t="s">
        <v>853</v>
      </c>
    </row>
    <row r="21" spans="1:191" x14ac:dyDescent="0.15">
      <c r="A21" s="5"/>
      <c r="B21" s="12"/>
      <c r="C21" s="119"/>
      <c r="D21" s="101"/>
      <c r="E21" s="8"/>
      <c r="F21" s="7"/>
      <c r="G21" s="7"/>
      <c r="H21" s="7"/>
      <c r="I21" s="7"/>
      <c r="J21" s="7"/>
      <c r="K21" s="7"/>
      <c r="L21" s="7"/>
      <c r="M21" s="7"/>
      <c r="N21" s="7"/>
      <c r="O21" s="7"/>
      <c r="P21" s="7"/>
      <c r="Q21" s="7"/>
      <c r="R21" s="12"/>
      <c r="S21" s="7"/>
      <c r="T21" s="7"/>
      <c r="U21" s="6"/>
      <c r="V21" s="7"/>
      <c r="W21" s="7"/>
      <c r="X21" s="7"/>
      <c r="Y21" s="7"/>
      <c r="Z21" s="7"/>
      <c r="AA21" s="7"/>
      <c r="AB21" s="7"/>
      <c r="AC21" s="7"/>
      <c r="AD21" s="7"/>
      <c r="AE21" s="7"/>
      <c r="AF21" s="7"/>
      <c r="AG21" s="7"/>
      <c r="AH21" s="7"/>
      <c r="AI21" s="7"/>
      <c r="AJ21" s="7"/>
      <c r="AK21" s="7"/>
      <c r="AL21" s="7"/>
      <c r="AM21" s="7"/>
      <c r="AN21" s="7"/>
      <c r="AO21" s="7"/>
      <c r="AP21" s="7"/>
      <c r="AQ21" s="7"/>
      <c r="AR21" s="7"/>
      <c r="AS21" s="227"/>
      <c r="AT21" s="227"/>
      <c r="AU21" s="227"/>
      <c r="AV21" s="227"/>
      <c r="AW21" s="7"/>
      <c r="AX21" s="7"/>
      <c r="AY21" s="7"/>
      <c r="AZ21" s="7"/>
      <c r="BA21" s="7"/>
      <c r="BB21" s="7"/>
      <c r="BC21" s="7"/>
      <c r="BD21" s="7"/>
      <c r="BE21" s="7"/>
      <c r="CQ21" s="6"/>
      <c r="CR21" s="6"/>
      <c r="CS21" s="6"/>
      <c r="CT21" s="3"/>
      <c r="CU21" s="105"/>
      <c r="CV21" s="3"/>
      <c r="CW21" s="3"/>
      <c r="CX21" s="204"/>
      <c r="CY21" s="204"/>
      <c r="CZ21" s="204"/>
      <c r="DA21" s="3"/>
      <c r="DB21" s="3"/>
      <c r="DC21" s="3"/>
      <c r="DD21" s="3"/>
      <c r="DE21" s="204"/>
      <c r="DF21" s="204"/>
      <c r="DG21" s="204"/>
      <c r="DH21" s="204"/>
      <c r="DI21" s="3"/>
      <c r="DJ21" s="3"/>
      <c r="DK21" s="3"/>
      <c r="DL21" s="3"/>
      <c r="DM21" s="3"/>
      <c r="DN21" s="3"/>
      <c r="DO21" s="3"/>
      <c r="DP21" s="204"/>
      <c r="DQ21" s="204"/>
      <c r="DR21" s="204"/>
      <c r="DS21" s="204"/>
      <c r="DT21" s="204"/>
      <c r="DU21" s="204"/>
      <c r="DV21" s="206"/>
      <c r="DW21" s="206"/>
      <c r="DX21" s="206"/>
      <c r="DY21" s="2"/>
      <c r="DZ21" s="2"/>
      <c r="EA21" s="2"/>
      <c r="EB21" s="2"/>
      <c r="EC21" s="2"/>
      <c r="ED21" s="2"/>
      <c r="EE21" s="2"/>
    </row>
    <row r="22" spans="1:191" x14ac:dyDescent="0.15">
      <c r="A22" s="5"/>
      <c r="B22" s="12"/>
      <c r="C22" s="119"/>
      <c r="D22" s="101"/>
      <c r="E22" s="8"/>
      <c r="F22" s="7"/>
      <c r="G22" s="7"/>
      <c r="H22" s="7"/>
      <c r="I22" s="7"/>
      <c r="J22" s="7"/>
      <c r="K22" s="7"/>
      <c r="L22" s="7"/>
      <c r="M22" s="7"/>
      <c r="N22" s="7"/>
      <c r="O22" s="7"/>
      <c r="P22" s="7"/>
      <c r="Q22" s="7"/>
      <c r="R22" s="12"/>
      <c r="S22" s="7"/>
      <c r="T22" s="7"/>
      <c r="U22" s="6"/>
      <c r="V22" s="7"/>
      <c r="W22" s="7"/>
      <c r="X22" s="7"/>
      <c r="Y22" s="7"/>
      <c r="Z22" s="7"/>
      <c r="AA22" s="7"/>
      <c r="AB22" s="7"/>
      <c r="AC22" s="7"/>
      <c r="AD22" s="7"/>
      <c r="AE22" s="7"/>
      <c r="AF22" s="7"/>
      <c r="AG22" s="7"/>
      <c r="AH22" s="7"/>
      <c r="AI22" s="7"/>
      <c r="AJ22" s="7"/>
      <c r="AK22" s="7"/>
      <c r="AL22" s="7"/>
      <c r="AM22" s="7"/>
      <c r="AN22" s="7"/>
      <c r="AO22" s="7"/>
      <c r="AP22" s="7"/>
      <c r="AQ22" s="7"/>
      <c r="AR22" s="7"/>
      <c r="AS22" s="227"/>
      <c r="AT22" s="227"/>
      <c r="AU22" s="227"/>
      <c r="AV22" s="227"/>
      <c r="AW22" s="7"/>
      <c r="AX22" s="7"/>
      <c r="AY22" s="7"/>
      <c r="AZ22" s="7"/>
      <c r="BA22" s="7"/>
      <c r="BB22" s="7"/>
      <c r="BC22" s="7"/>
      <c r="BD22" s="7"/>
      <c r="BE22" s="7"/>
      <c r="CQ22" s="6"/>
      <c r="CR22" s="6"/>
      <c r="CS22" s="6"/>
      <c r="CT22" s="3"/>
      <c r="CU22" s="105"/>
      <c r="CV22" s="3"/>
      <c r="CW22" s="3"/>
      <c r="CX22" s="204"/>
      <c r="CY22" s="204"/>
      <c r="CZ22" s="204"/>
      <c r="DA22" s="3"/>
      <c r="DB22" s="3"/>
      <c r="DC22" s="3"/>
      <c r="DD22" s="3"/>
      <c r="DE22" s="204"/>
      <c r="DF22" s="204"/>
      <c r="DG22" s="204"/>
      <c r="DH22" s="204"/>
      <c r="DI22" s="3"/>
      <c r="DJ22" s="3"/>
      <c r="DK22" s="3"/>
      <c r="DL22" s="3"/>
      <c r="DM22" s="3"/>
      <c r="DN22" s="3"/>
      <c r="DO22" s="3"/>
      <c r="DP22" s="204"/>
      <c r="DQ22" s="204"/>
      <c r="DR22" s="204"/>
      <c r="DS22" s="204"/>
      <c r="DT22" s="204"/>
      <c r="DU22" s="204"/>
      <c r="DV22" s="206"/>
      <c r="DW22" s="206"/>
      <c r="DX22" s="206"/>
      <c r="DY22" s="2"/>
      <c r="DZ22" s="2"/>
      <c r="EA22" s="2"/>
      <c r="EB22" s="2"/>
      <c r="EC22" s="2"/>
      <c r="ED22" s="2"/>
      <c r="EE22" s="2"/>
    </row>
    <row r="23" spans="1:191" x14ac:dyDescent="0.15">
      <c r="A23" s="5"/>
      <c r="CQ23" s="6"/>
      <c r="CR23" s="6"/>
      <c r="CS23" s="6"/>
    </row>
    <row r="24" spans="1:191" x14ac:dyDescent="0.15">
      <c r="A24" s="5"/>
      <c r="CQ24" s="6"/>
      <c r="CR24" s="6"/>
      <c r="CS24" s="6"/>
    </row>
    <row r="25" spans="1:191" x14ac:dyDescent="0.15">
      <c r="A25" s="5"/>
      <c r="CQ25" s="6"/>
      <c r="CR25" s="6"/>
      <c r="CS25" s="6"/>
    </row>
    <row r="26" spans="1:191" x14ac:dyDescent="0.15">
      <c r="A26" s="5"/>
      <c r="CQ26" s="6"/>
      <c r="CR26" s="6"/>
      <c r="CS26" s="6"/>
    </row>
    <row r="27" spans="1:191" x14ac:dyDescent="0.15">
      <c r="A27" s="5"/>
      <c r="CQ27" s="6"/>
      <c r="CR27" s="6"/>
      <c r="CS27" s="6"/>
    </row>
    <row r="28" spans="1:191" x14ac:dyDescent="0.15">
      <c r="A28" s="5"/>
      <c r="CQ28" s="6"/>
      <c r="CR28" s="6"/>
      <c r="CS28" s="6"/>
    </row>
    <row r="29" spans="1:191" x14ac:dyDescent="0.15">
      <c r="A29" s="5"/>
      <c r="CQ29" s="6"/>
      <c r="CR29" s="6"/>
      <c r="CS29" s="6"/>
    </row>
    <row r="30" spans="1:191" x14ac:dyDescent="0.15">
      <c r="A30" s="5"/>
      <c r="CQ30" s="6"/>
      <c r="CR30" s="6"/>
      <c r="CS30" s="6"/>
    </row>
    <row r="31" spans="1:191" x14ac:dyDescent="0.15">
      <c r="A31" s="5"/>
      <c r="CQ31" s="6"/>
      <c r="CR31" s="6"/>
      <c r="CS31" s="6"/>
    </row>
    <row r="32" spans="1:191" x14ac:dyDescent="0.15">
      <c r="A32" s="5"/>
      <c r="CQ32" s="6"/>
      <c r="CR32" s="6"/>
      <c r="CS32" s="6"/>
    </row>
    <row r="33" spans="1:97" x14ac:dyDescent="0.15">
      <c r="A33" s="5"/>
      <c r="CQ33" s="6"/>
      <c r="CR33" s="6"/>
      <c r="CS33" s="6"/>
    </row>
    <row r="34" spans="1:97" x14ac:dyDescent="0.15">
      <c r="A34" s="5"/>
      <c r="CQ34" s="6"/>
      <c r="CR34" s="6"/>
      <c r="CS34" s="6"/>
    </row>
    <row r="35" spans="1:97" x14ac:dyDescent="0.15">
      <c r="A35" s="5"/>
      <c r="CQ35" s="6"/>
      <c r="CR35" s="6"/>
      <c r="CS35" s="6"/>
    </row>
    <row r="36" spans="1:97" x14ac:dyDescent="0.15">
      <c r="A36" s="5"/>
      <c r="CQ36" s="6"/>
      <c r="CR36" s="6"/>
      <c r="CS36" s="6"/>
    </row>
    <row r="37" spans="1:97" x14ac:dyDescent="0.15">
      <c r="A37" s="5"/>
      <c r="CQ37" s="6"/>
      <c r="CR37" s="6"/>
      <c r="CS37" s="6"/>
    </row>
    <row r="38" spans="1:97" x14ac:dyDescent="0.15">
      <c r="A38" s="5"/>
      <c r="CQ38" s="6"/>
      <c r="CR38" s="6"/>
      <c r="CS38" s="6"/>
    </row>
    <row r="39" spans="1:97" x14ac:dyDescent="0.15">
      <c r="A39" s="5"/>
      <c r="CQ39" s="6"/>
      <c r="CR39" s="6"/>
      <c r="CS39" s="6"/>
    </row>
    <row r="40" spans="1:97" x14ac:dyDescent="0.15">
      <c r="A40" s="5"/>
      <c r="CQ40" s="6"/>
      <c r="CR40" s="6"/>
      <c r="CS40" s="6"/>
    </row>
    <row r="41" spans="1:97" x14ac:dyDescent="0.15">
      <c r="A41" s="5"/>
      <c r="CQ41" s="6"/>
      <c r="CR41" s="6"/>
      <c r="CS41" s="6"/>
    </row>
    <row r="42" spans="1:97" x14ac:dyDescent="0.15">
      <c r="A42" s="5"/>
      <c r="CQ42" s="6"/>
      <c r="CR42" s="6"/>
      <c r="CS42" s="6"/>
    </row>
    <row r="43" spans="1:97" x14ac:dyDescent="0.15">
      <c r="A43" s="5"/>
      <c r="CQ43" s="6"/>
      <c r="CR43" s="6"/>
      <c r="CS43" s="6"/>
    </row>
    <row r="44" spans="1:97" x14ac:dyDescent="0.15">
      <c r="A44" s="5"/>
      <c r="CQ44" s="6"/>
      <c r="CR44" s="6"/>
      <c r="CS44" s="6"/>
    </row>
    <row r="45" spans="1:97" x14ac:dyDescent="0.15">
      <c r="A45" s="5"/>
      <c r="CQ45" s="6"/>
      <c r="CR45" s="6"/>
      <c r="CS45" s="6"/>
    </row>
    <row r="46" spans="1:97" x14ac:dyDescent="0.15">
      <c r="A46" s="5"/>
      <c r="CQ46" s="6"/>
      <c r="CR46" s="6"/>
      <c r="CS46" s="6"/>
    </row>
    <row r="47" spans="1:97" x14ac:dyDescent="0.15">
      <c r="A47" s="5"/>
      <c r="CQ47" s="6"/>
      <c r="CR47" s="6"/>
      <c r="CS47" s="6"/>
    </row>
    <row r="48" spans="1:97" x14ac:dyDescent="0.15">
      <c r="A48" s="5"/>
      <c r="CQ48" s="6"/>
      <c r="CR48" s="6"/>
      <c r="CS48" s="6"/>
    </row>
    <row r="49" spans="1:97" x14ac:dyDescent="0.15">
      <c r="A49" s="5"/>
      <c r="CQ49" s="6"/>
      <c r="CR49" s="6"/>
      <c r="CS49" s="6"/>
    </row>
    <row r="50" spans="1:97" x14ac:dyDescent="0.15">
      <c r="A50" s="5"/>
      <c r="CQ50" s="6"/>
      <c r="CR50" s="6"/>
      <c r="CS50" s="6"/>
    </row>
    <row r="51" spans="1:97" x14ac:dyDescent="0.15">
      <c r="A51" s="5"/>
      <c r="CQ51" s="6"/>
      <c r="CR51" s="6"/>
      <c r="CS51" s="6"/>
    </row>
    <row r="52" spans="1:97" x14ac:dyDescent="0.15">
      <c r="A52" s="5"/>
      <c r="CQ52" s="6"/>
      <c r="CR52" s="6"/>
      <c r="CS52" s="6"/>
    </row>
    <row r="53" spans="1:97" x14ac:dyDescent="0.15">
      <c r="A53" s="5"/>
      <c r="CQ53" s="6"/>
      <c r="CR53" s="6"/>
      <c r="CS53" s="6"/>
    </row>
    <row r="54" spans="1:97" x14ac:dyDescent="0.15">
      <c r="A54" s="5"/>
      <c r="CQ54" s="6"/>
      <c r="CR54" s="6"/>
      <c r="CS54" s="6"/>
    </row>
    <row r="55" spans="1:97" x14ac:dyDescent="0.15">
      <c r="A55" s="5"/>
      <c r="CQ55" s="6"/>
      <c r="CR55" s="6"/>
      <c r="CS55" s="6"/>
    </row>
    <row r="56" spans="1:97" x14ac:dyDescent="0.15">
      <c r="A56" s="5"/>
      <c r="CQ56" s="6"/>
      <c r="CR56" s="6"/>
      <c r="CS56" s="6"/>
    </row>
    <row r="57" spans="1:97" x14ac:dyDescent="0.15">
      <c r="A57" s="5"/>
      <c r="CQ57" s="6"/>
      <c r="CR57" s="6"/>
      <c r="CS57" s="6"/>
    </row>
    <row r="58" spans="1:97" x14ac:dyDescent="0.15">
      <c r="A58" s="5"/>
      <c r="CQ58" s="6"/>
      <c r="CR58" s="6"/>
      <c r="CS58" s="6"/>
    </row>
    <row r="59" spans="1:97" x14ac:dyDescent="0.15">
      <c r="A59" s="5"/>
      <c r="CQ59" s="6"/>
      <c r="CR59" s="6"/>
      <c r="CS59" s="6"/>
    </row>
    <row r="60" spans="1:97" x14ac:dyDescent="0.15">
      <c r="A60" s="5"/>
      <c r="CQ60" s="6"/>
      <c r="CR60" s="6"/>
      <c r="CS60" s="6"/>
    </row>
    <row r="61" spans="1:97" x14ac:dyDescent="0.15">
      <c r="A61" s="5"/>
      <c r="CQ61" s="6"/>
      <c r="CR61" s="6"/>
      <c r="CS61" s="6"/>
    </row>
    <row r="62" spans="1:97" x14ac:dyDescent="0.15">
      <c r="A62" s="5"/>
      <c r="CQ62" s="6"/>
      <c r="CR62" s="6"/>
      <c r="CS62" s="6"/>
    </row>
    <row r="63" spans="1:97" x14ac:dyDescent="0.15">
      <c r="A63" s="5"/>
      <c r="CQ63" s="6"/>
      <c r="CR63" s="6"/>
      <c r="CS63" s="6"/>
    </row>
    <row r="64" spans="1:97" x14ac:dyDescent="0.15">
      <c r="A64" s="5"/>
      <c r="CQ64" s="6"/>
      <c r="CR64" s="6"/>
      <c r="CS64" s="6"/>
    </row>
    <row r="65" spans="1:97" x14ac:dyDescent="0.15">
      <c r="A65" s="5"/>
      <c r="CQ65" s="6"/>
      <c r="CR65" s="6"/>
      <c r="CS65" s="6"/>
    </row>
    <row r="66" spans="1:97" x14ac:dyDescent="0.15">
      <c r="A66" s="5"/>
      <c r="CQ66" s="6"/>
      <c r="CR66" s="6"/>
      <c r="CS66" s="6"/>
    </row>
    <row r="67" spans="1:97" x14ac:dyDescent="0.15">
      <c r="A67" s="5"/>
      <c r="CQ67" s="6"/>
      <c r="CR67" s="6"/>
      <c r="CS67" s="6"/>
    </row>
    <row r="68" spans="1:97" x14ac:dyDescent="0.15">
      <c r="A68" s="5"/>
      <c r="CQ68" s="6"/>
      <c r="CR68" s="6"/>
      <c r="CS68" s="6"/>
    </row>
    <row r="69" spans="1:97" x14ac:dyDescent="0.15">
      <c r="A69" s="5"/>
      <c r="CQ69" s="6"/>
      <c r="CR69" s="6"/>
      <c r="CS69" s="6"/>
    </row>
    <row r="70" spans="1:97" x14ac:dyDescent="0.15">
      <c r="A70" s="5"/>
      <c r="CQ70" s="6"/>
      <c r="CR70" s="6"/>
      <c r="CS70" s="6"/>
    </row>
    <row r="71" spans="1:97" x14ac:dyDescent="0.15">
      <c r="A71" s="5"/>
      <c r="CQ71" s="6"/>
      <c r="CR71" s="6"/>
      <c r="CS71" s="6"/>
    </row>
    <row r="72" spans="1:97" x14ac:dyDescent="0.15">
      <c r="A72" s="5"/>
      <c r="CQ72" s="6"/>
      <c r="CR72" s="6"/>
      <c r="CS72" s="6"/>
    </row>
    <row r="73" spans="1:97" x14ac:dyDescent="0.15">
      <c r="A73" s="5"/>
      <c r="CQ73" s="6"/>
      <c r="CR73" s="6"/>
      <c r="CS73" s="6"/>
    </row>
    <row r="74" spans="1:97" x14ac:dyDescent="0.15">
      <c r="A74" s="5"/>
      <c r="CQ74" s="6"/>
      <c r="CR74" s="6"/>
      <c r="CS74" s="6"/>
    </row>
    <row r="75" spans="1:97" x14ac:dyDescent="0.15">
      <c r="A75" s="5"/>
      <c r="CQ75" s="6"/>
      <c r="CR75" s="6"/>
      <c r="CS75" s="6"/>
    </row>
    <row r="76" spans="1:97" x14ac:dyDescent="0.15">
      <c r="A76" s="5"/>
      <c r="CQ76" s="6"/>
      <c r="CR76" s="6"/>
      <c r="CS76" s="6"/>
    </row>
    <row r="77" spans="1:97" x14ac:dyDescent="0.15">
      <c r="A77" s="5"/>
      <c r="CQ77" s="6"/>
      <c r="CR77" s="6"/>
      <c r="CS77" s="6"/>
    </row>
    <row r="78" spans="1:97" x14ac:dyDescent="0.15">
      <c r="A78" s="5"/>
      <c r="CQ78" s="6"/>
      <c r="CR78" s="6"/>
      <c r="CS78" s="6"/>
    </row>
    <row r="79" spans="1:97" x14ac:dyDescent="0.15">
      <c r="A79" s="5"/>
      <c r="CQ79" s="6"/>
      <c r="CR79" s="6"/>
      <c r="CS79" s="6"/>
    </row>
    <row r="80" spans="1:97" x14ac:dyDescent="0.15">
      <c r="A80" s="5"/>
      <c r="CQ80" s="6"/>
      <c r="CR80" s="6"/>
      <c r="CS80" s="6"/>
    </row>
    <row r="81" spans="1:97" x14ac:dyDescent="0.15">
      <c r="A81" s="5"/>
      <c r="CQ81" s="6"/>
      <c r="CR81" s="6"/>
      <c r="CS81" s="6"/>
    </row>
    <row r="82" spans="1:97" x14ac:dyDescent="0.15">
      <c r="A82" s="5"/>
      <c r="CQ82" s="6"/>
      <c r="CR82" s="6"/>
      <c r="CS82" s="6"/>
    </row>
    <row r="83" spans="1:97" x14ac:dyDescent="0.15">
      <c r="A83" s="5"/>
      <c r="CQ83" s="6"/>
      <c r="CR83" s="6"/>
      <c r="CS83" s="6"/>
    </row>
    <row r="84" spans="1:97" x14ac:dyDescent="0.15">
      <c r="A84" s="5"/>
      <c r="CQ84" s="6"/>
      <c r="CR84" s="6"/>
      <c r="CS84" s="6"/>
    </row>
    <row r="85" spans="1:97" x14ac:dyDescent="0.15">
      <c r="A85" s="5"/>
      <c r="CQ85" s="6"/>
      <c r="CR85" s="6"/>
      <c r="CS85" s="6"/>
    </row>
    <row r="86" spans="1:97" x14ac:dyDescent="0.15">
      <c r="A86" s="5"/>
      <c r="CQ86" s="6"/>
      <c r="CR86" s="6"/>
      <c r="CS86" s="6"/>
    </row>
    <row r="87" spans="1:97" x14ac:dyDescent="0.15">
      <c r="A87" s="5"/>
      <c r="CQ87" s="6"/>
      <c r="CR87" s="6"/>
      <c r="CS87" s="6"/>
    </row>
    <row r="88" spans="1:97" x14ac:dyDescent="0.15">
      <c r="A88" s="5"/>
      <c r="CQ88" s="6"/>
      <c r="CR88" s="6"/>
      <c r="CS88" s="6"/>
    </row>
    <row r="89" spans="1:97" x14ac:dyDescent="0.15">
      <c r="A89" s="5"/>
      <c r="CQ89" s="6"/>
      <c r="CR89" s="6"/>
      <c r="CS89" s="6"/>
    </row>
    <row r="90" spans="1:97" x14ac:dyDescent="0.15">
      <c r="A90" s="5"/>
      <c r="CQ90" s="6"/>
      <c r="CR90" s="6"/>
      <c r="CS90" s="6"/>
    </row>
    <row r="91" spans="1:97" x14ac:dyDescent="0.15">
      <c r="A91" s="5"/>
      <c r="CQ91" s="6"/>
      <c r="CR91" s="6"/>
      <c r="CS91" s="6"/>
    </row>
    <row r="92" spans="1:97" x14ac:dyDescent="0.15">
      <c r="A92" s="5"/>
      <c r="CQ92" s="6"/>
      <c r="CR92" s="6"/>
      <c r="CS92" s="6"/>
    </row>
    <row r="93" spans="1:97" x14ac:dyDescent="0.15">
      <c r="A93" s="5"/>
      <c r="CQ93" s="6"/>
      <c r="CR93" s="6"/>
      <c r="CS93" s="6"/>
    </row>
    <row r="94" spans="1:97" x14ac:dyDescent="0.15">
      <c r="A94" s="5"/>
      <c r="CQ94" s="6"/>
      <c r="CR94" s="6"/>
      <c r="CS94" s="6"/>
    </row>
    <row r="95" spans="1:97" x14ac:dyDescent="0.15">
      <c r="A95" s="5"/>
      <c r="CQ95" s="6"/>
      <c r="CR95" s="6"/>
      <c r="CS95" s="6"/>
    </row>
    <row r="96" spans="1:97" x14ac:dyDescent="0.15">
      <c r="A96" s="5"/>
      <c r="CQ96" s="6"/>
      <c r="CR96" s="6"/>
      <c r="CS96" s="6"/>
    </row>
    <row r="97" spans="1:97" x14ac:dyDescent="0.15">
      <c r="A97" s="5"/>
      <c r="CQ97" s="6"/>
      <c r="CR97" s="6"/>
      <c r="CS97" s="6"/>
    </row>
    <row r="98" spans="1:97" x14ac:dyDescent="0.15">
      <c r="A98" s="5"/>
      <c r="CQ98" s="6"/>
      <c r="CR98" s="6"/>
      <c r="CS98" s="6"/>
    </row>
    <row r="99" spans="1:97" x14ac:dyDescent="0.15">
      <c r="A99" s="5"/>
      <c r="CQ99" s="6"/>
      <c r="CR99" s="6"/>
      <c r="CS99" s="6"/>
    </row>
    <row r="100" spans="1:97" x14ac:dyDescent="0.15">
      <c r="A100" s="5"/>
      <c r="CQ100" s="6"/>
      <c r="CR100" s="6"/>
      <c r="CS100" s="6"/>
    </row>
    <row r="101" spans="1:97" x14ac:dyDescent="0.15">
      <c r="A101" s="5"/>
      <c r="CQ101" s="6"/>
      <c r="CR101" s="6"/>
      <c r="CS101" s="6"/>
    </row>
    <row r="102" spans="1:97" x14ac:dyDescent="0.15">
      <c r="A102" s="5"/>
      <c r="CQ102" s="6"/>
      <c r="CR102" s="6"/>
      <c r="CS102" s="6"/>
    </row>
    <row r="103" spans="1:97" x14ac:dyDescent="0.15">
      <c r="A103" s="5"/>
      <c r="CQ103" s="6"/>
      <c r="CR103" s="6"/>
      <c r="CS103" s="6"/>
    </row>
    <row r="104" spans="1:97" x14ac:dyDescent="0.15">
      <c r="A104" s="5"/>
      <c r="CQ104" s="6"/>
      <c r="CR104" s="6"/>
      <c r="CS104" s="6"/>
    </row>
    <row r="105" spans="1:97" x14ac:dyDescent="0.15">
      <c r="A105" s="5"/>
      <c r="CQ105" s="6"/>
      <c r="CR105" s="6"/>
      <c r="CS105" s="6"/>
    </row>
    <row r="106" spans="1:97" x14ac:dyDescent="0.15">
      <c r="A106" s="5"/>
      <c r="CQ106" s="6"/>
      <c r="CR106" s="6"/>
      <c r="CS106" s="6"/>
    </row>
    <row r="107" spans="1:97" x14ac:dyDescent="0.15">
      <c r="A107" s="5"/>
      <c r="CQ107" s="6"/>
      <c r="CR107" s="6"/>
      <c r="CS107" s="6"/>
    </row>
    <row r="108" spans="1:97" x14ac:dyDescent="0.15">
      <c r="A108" s="5"/>
      <c r="CQ108" s="6"/>
      <c r="CR108" s="6"/>
      <c r="CS108" s="6"/>
    </row>
    <row r="109" spans="1:97" x14ac:dyDescent="0.15">
      <c r="A109" s="5"/>
      <c r="CQ109" s="6"/>
      <c r="CR109" s="6"/>
      <c r="CS109" s="6"/>
    </row>
    <row r="110" spans="1:97" x14ac:dyDescent="0.15">
      <c r="A110" s="5"/>
      <c r="CQ110" s="6"/>
      <c r="CR110" s="6"/>
      <c r="CS110" s="6"/>
    </row>
    <row r="111" spans="1:97" x14ac:dyDescent="0.15">
      <c r="A111" s="5"/>
      <c r="CQ111" s="6"/>
      <c r="CR111" s="6"/>
      <c r="CS111" s="6"/>
    </row>
    <row r="112" spans="1:97" x14ac:dyDescent="0.15">
      <c r="A112" s="5"/>
      <c r="CQ112" s="6"/>
      <c r="CR112" s="6"/>
      <c r="CS112" s="6"/>
    </row>
    <row r="113" spans="1:97" x14ac:dyDescent="0.15">
      <c r="A113" s="5"/>
      <c r="CQ113" s="6"/>
      <c r="CR113" s="6"/>
      <c r="CS113" s="6"/>
    </row>
    <row r="114" spans="1:97" x14ac:dyDescent="0.15">
      <c r="A114" s="5"/>
      <c r="CQ114" s="6"/>
      <c r="CR114" s="6"/>
      <c r="CS114" s="6"/>
    </row>
    <row r="115" spans="1:97" x14ac:dyDescent="0.15">
      <c r="A115" s="5"/>
      <c r="CQ115" s="6"/>
      <c r="CR115" s="6"/>
      <c r="CS115" s="6"/>
    </row>
    <row r="116" spans="1:97" x14ac:dyDescent="0.15">
      <c r="A116" s="5"/>
      <c r="CQ116" s="6"/>
      <c r="CR116" s="6"/>
      <c r="CS116" s="6"/>
    </row>
    <row r="117" spans="1:97" x14ac:dyDescent="0.15">
      <c r="A117" s="5"/>
      <c r="CQ117" s="6"/>
      <c r="CR117" s="6"/>
      <c r="CS117" s="6"/>
    </row>
    <row r="118" spans="1:97" x14ac:dyDescent="0.15">
      <c r="A118" s="5"/>
      <c r="CQ118" s="6"/>
      <c r="CR118" s="6"/>
      <c r="CS118" s="6"/>
    </row>
    <row r="119" spans="1:97" x14ac:dyDescent="0.15">
      <c r="A119" s="5"/>
      <c r="CQ119" s="6"/>
      <c r="CR119" s="6"/>
      <c r="CS119" s="6"/>
    </row>
    <row r="120" spans="1:97" x14ac:dyDescent="0.15">
      <c r="A120" s="5"/>
      <c r="CQ120" s="6"/>
      <c r="CR120" s="6"/>
      <c r="CS120" s="6"/>
    </row>
    <row r="121" spans="1:97" x14ac:dyDescent="0.15">
      <c r="A121" s="5"/>
      <c r="CQ121" s="6"/>
      <c r="CR121" s="6"/>
      <c r="CS121" s="6"/>
    </row>
    <row r="122" spans="1:97" x14ac:dyDescent="0.15">
      <c r="A122" s="5"/>
      <c r="CQ122" s="6"/>
      <c r="CR122" s="6"/>
      <c r="CS122" s="6"/>
    </row>
    <row r="123" spans="1:97" x14ac:dyDescent="0.15">
      <c r="A123" s="5"/>
      <c r="CQ123" s="6"/>
      <c r="CR123" s="6"/>
      <c r="CS123" s="6"/>
    </row>
    <row r="124" spans="1:97" x14ac:dyDescent="0.15">
      <c r="A124" s="5"/>
      <c r="CQ124" s="6"/>
      <c r="CR124" s="6"/>
      <c r="CS124" s="6"/>
    </row>
    <row r="125" spans="1:97" x14ac:dyDescent="0.15">
      <c r="A125" s="5"/>
      <c r="CQ125" s="6"/>
      <c r="CR125" s="6"/>
      <c r="CS125" s="6"/>
    </row>
    <row r="126" spans="1:97" x14ac:dyDescent="0.15">
      <c r="A126" s="5"/>
      <c r="CQ126" s="6"/>
      <c r="CR126" s="6"/>
      <c r="CS126" s="6"/>
    </row>
    <row r="127" spans="1:97" x14ac:dyDescent="0.15">
      <c r="A127" s="5"/>
      <c r="CQ127" s="6"/>
      <c r="CR127" s="6"/>
      <c r="CS127" s="6"/>
    </row>
    <row r="128" spans="1:97" x14ac:dyDescent="0.15">
      <c r="A128" s="5"/>
      <c r="CQ128" s="6"/>
      <c r="CR128" s="6"/>
      <c r="CS128" s="6"/>
    </row>
    <row r="129" spans="1:97" x14ac:dyDescent="0.15">
      <c r="A129" s="5"/>
      <c r="CQ129" s="6"/>
      <c r="CR129" s="6"/>
      <c r="CS129" s="6"/>
    </row>
    <row r="130" spans="1:97" x14ac:dyDescent="0.15">
      <c r="A130" s="5"/>
      <c r="CQ130" s="6"/>
      <c r="CR130" s="6"/>
      <c r="CS130" s="6"/>
    </row>
    <row r="131" spans="1:97" x14ac:dyDescent="0.15">
      <c r="A131" s="5"/>
      <c r="CQ131" s="6"/>
      <c r="CR131" s="6"/>
      <c r="CS131" s="6"/>
    </row>
    <row r="132" spans="1:97" x14ac:dyDescent="0.15">
      <c r="A132" s="5"/>
      <c r="CQ132" s="6"/>
      <c r="CR132" s="6"/>
      <c r="CS132" s="6"/>
    </row>
    <row r="133" spans="1:97" x14ac:dyDescent="0.15">
      <c r="A133" s="5"/>
      <c r="CQ133" s="6"/>
      <c r="CR133" s="6"/>
      <c r="CS133" s="6"/>
    </row>
    <row r="134" spans="1:97" x14ac:dyDescent="0.15">
      <c r="A134" s="5"/>
      <c r="CQ134" s="6"/>
      <c r="CR134" s="6"/>
      <c r="CS134" s="6"/>
    </row>
    <row r="135" spans="1:97" x14ac:dyDescent="0.15">
      <c r="A135" s="5"/>
      <c r="CQ135" s="6"/>
      <c r="CR135" s="6"/>
      <c r="CS135" s="6"/>
    </row>
    <row r="136" spans="1:97" x14ac:dyDescent="0.15">
      <c r="A136" s="5"/>
      <c r="CQ136" s="6"/>
      <c r="CR136" s="6"/>
      <c r="CS136" s="6"/>
    </row>
    <row r="137" spans="1:97" x14ac:dyDescent="0.15">
      <c r="A137" s="5"/>
      <c r="CQ137" s="6"/>
      <c r="CR137" s="6"/>
      <c r="CS137" s="6"/>
    </row>
    <row r="138" spans="1:97" x14ac:dyDescent="0.15">
      <c r="A138" s="5"/>
      <c r="CQ138" s="6"/>
      <c r="CR138" s="6"/>
      <c r="CS138" s="6"/>
    </row>
    <row r="139" spans="1:97" x14ac:dyDescent="0.15">
      <c r="A139" s="5"/>
      <c r="CQ139" s="6"/>
      <c r="CR139" s="6"/>
      <c r="CS139" s="6"/>
    </row>
    <row r="140" spans="1:97" x14ac:dyDescent="0.15">
      <c r="A140" s="5"/>
      <c r="CQ140" s="6"/>
      <c r="CR140" s="6"/>
      <c r="CS140" s="6"/>
    </row>
    <row r="141" spans="1:97" x14ac:dyDescent="0.15">
      <c r="A141" s="5"/>
      <c r="CQ141" s="6"/>
      <c r="CR141" s="6"/>
      <c r="CS141" s="6"/>
    </row>
    <row r="142" spans="1:97" x14ac:dyDescent="0.15">
      <c r="A142" s="5"/>
      <c r="CQ142" s="6"/>
      <c r="CR142" s="6"/>
      <c r="CS142" s="6"/>
    </row>
    <row r="143" spans="1:97" x14ac:dyDescent="0.15">
      <c r="A143" s="5"/>
      <c r="CQ143" s="6"/>
      <c r="CR143" s="6"/>
      <c r="CS143" s="6"/>
    </row>
    <row r="144" spans="1:97" x14ac:dyDescent="0.15">
      <c r="A144" s="5"/>
      <c r="CQ144" s="6"/>
      <c r="CR144" s="6"/>
      <c r="CS144" s="6"/>
    </row>
    <row r="145" spans="1:97" x14ac:dyDescent="0.15">
      <c r="A145" s="5"/>
      <c r="CQ145" s="6"/>
      <c r="CR145" s="6"/>
      <c r="CS145" s="6"/>
    </row>
    <row r="146" spans="1:97" x14ac:dyDescent="0.15">
      <c r="A146" s="5"/>
      <c r="CQ146" s="6"/>
      <c r="CR146" s="6"/>
      <c r="CS146" s="6"/>
    </row>
    <row r="147" spans="1:97" x14ac:dyDescent="0.15">
      <c r="A147" s="5"/>
      <c r="CQ147" s="6"/>
      <c r="CR147" s="6"/>
      <c r="CS147" s="6"/>
    </row>
    <row r="148" spans="1:97" x14ac:dyDescent="0.15">
      <c r="A148" s="5"/>
      <c r="CQ148" s="6"/>
      <c r="CR148" s="6"/>
      <c r="CS148" s="6"/>
    </row>
    <row r="149" spans="1:97" x14ac:dyDescent="0.15">
      <c r="A149" s="5"/>
      <c r="CQ149" s="6"/>
      <c r="CR149" s="6"/>
      <c r="CS149" s="6"/>
    </row>
    <row r="150" spans="1:97" x14ac:dyDescent="0.15">
      <c r="A150" s="5"/>
      <c r="CQ150" s="6"/>
      <c r="CR150" s="6"/>
      <c r="CS150" s="6"/>
    </row>
    <row r="151" spans="1:97" x14ac:dyDescent="0.15">
      <c r="A151" s="5"/>
      <c r="CQ151" s="6"/>
      <c r="CR151" s="6"/>
      <c r="CS151" s="6"/>
    </row>
    <row r="152" spans="1:97" x14ac:dyDescent="0.15">
      <c r="A152" s="5"/>
      <c r="CQ152" s="6"/>
      <c r="CR152" s="6"/>
      <c r="CS152" s="6"/>
    </row>
    <row r="153" spans="1:97" x14ac:dyDescent="0.15">
      <c r="A153" s="5"/>
      <c r="CQ153" s="6"/>
      <c r="CR153" s="6"/>
      <c r="CS153" s="6"/>
    </row>
    <row r="154" spans="1:97" x14ac:dyDescent="0.15">
      <c r="A154" s="5"/>
      <c r="CQ154" s="6"/>
      <c r="CR154" s="6"/>
      <c r="CS154" s="6"/>
    </row>
    <row r="155" spans="1:97" x14ac:dyDescent="0.15">
      <c r="A155" s="5"/>
      <c r="CQ155" s="6"/>
      <c r="CR155" s="6"/>
      <c r="CS155" s="6"/>
    </row>
    <row r="156" spans="1:97" x14ac:dyDescent="0.15">
      <c r="A156" s="5"/>
      <c r="CQ156" s="6"/>
      <c r="CR156" s="6"/>
      <c r="CS156" s="6"/>
    </row>
    <row r="157" spans="1:97" x14ac:dyDescent="0.15">
      <c r="A157" s="5"/>
      <c r="CQ157" s="6"/>
      <c r="CR157" s="6"/>
      <c r="CS157" s="6"/>
    </row>
    <row r="158" spans="1:97" x14ac:dyDescent="0.15">
      <c r="A158" s="5"/>
      <c r="CQ158" s="6"/>
      <c r="CR158" s="6"/>
      <c r="CS158" s="6"/>
    </row>
    <row r="159" spans="1:97" x14ac:dyDescent="0.15">
      <c r="A159" s="5"/>
      <c r="CQ159" s="6"/>
      <c r="CR159" s="6"/>
      <c r="CS159" s="6"/>
    </row>
    <row r="160" spans="1:97" x14ac:dyDescent="0.15">
      <c r="A160" s="5"/>
      <c r="CQ160" s="6"/>
      <c r="CR160" s="6"/>
      <c r="CS160" s="6"/>
    </row>
    <row r="161" spans="1:97" x14ac:dyDescent="0.15">
      <c r="A161" s="5"/>
      <c r="CQ161" s="6"/>
      <c r="CR161" s="6"/>
      <c r="CS161" s="6"/>
    </row>
    <row r="162" spans="1:97" x14ac:dyDescent="0.15">
      <c r="A162" s="5"/>
      <c r="CQ162" s="6"/>
      <c r="CR162" s="6"/>
      <c r="CS162" s="6"/>
    </row>
    <row r="163" spans="1:97" x14ac:dyDescent="0.15">
      <c r="A163" s="5"/>
      <c r="CQ163" s="6"/>
      <c r="CR163" s="6"/>
      <c r="CS163" s="6"/>
    </row>
    <row r="164" spans="1:97" x14ac:dyDescent="0.15">
      <c r="A164" s="5"/>
      <c r="CQ164" s="6"/>
      <c r="CR164" s="6"/>
      <c r="CS164" s="6"/>
    </row>
    <row r="165" spans="1:97" x14ac:dyDescent="0.15">
      <c r="A165" s="5"/>
      <c r="CQ165" s="6"/>
      <c r="CR165" s="6"/>
      <c r="CS165" s="6"/>
    </row>
    <row r="166" spans="1:97" x14ac:dyDescent="0.15">
      <c r="A166" s="5"/>
      <c r="CQ166" s="6"/>
      <c r="CR166" s="6"/>
      <c r="CS166" s="6"/>
    </row>
    <row r="167" spans="1:97" x14ac:dyDescent="0.15">
      <c r="A167" s="5"/>
      <c r="CQ167" s="6"/>
      <c r="CR167" s="6"/>
      <c r="CS167" s="6"/>
    </row>
    <row r="168" spans="1:97" x14ac:dyDescent="0.15">
      <c r="A168" s="5"/>
      <c r="CQ168" s="6"/>
      <c r="CR168" s="6"/>
      <c r="CS168" s="6"/>
    </row>
    <row r="169" spans="1:97" x14ac:dyDescent="0.15">
      <c r="A169" s="5"/>
      <c r="CQ169" s="6"/>
      <c r="CR169" s="6"/>
      <c r="CS169" s="6"/>
    </row>
    <row r="170" spans="1:97" x14ac:dyDescent="0.15">
      <c r="A170" s="5"/>
      <c r="CQ170" s="6"/>
      <c r="CR170" s="6"/>
      <c r="CS170" s="6"/>
    </row>
    <row r="171" spans="1:97" x14ac:dyDescent="0.15">
      <c r="A171" s="5"/>
      <c r="CQ171" s="6"/>
      <c r="CR171" s="6"/>
      <c r="CS171" s="6"/>
    </row>
    <row r="172" spans="1:97" x14ac:dyDescent="0.15">
      <c r="A172" s="5"/>
      <c r="CQ172" s="6"/>
      <c r="CR172" s="6"/>
      <c r="CS172" s="6"/>
    </row>
    <row r="173" spans="1:97" x14ac:dyDescent="0.15">
      <c r="A173" s="5"/>
      <c r="CQ173" s="6"/>
      <c r="CR173" s="6"/>
      <c r="CS173" s="6"/>
    </row>
    <row r="174" spans="1:97" x14ac:dyDescent="0.15">
      <c r="A174" s="5"/>
      <c r="CQ174" s="6"/>
      <c r="CR174" s="6"/>
      <c r="CS174" s="6"/>
    </row>
    <row r="175" spans="1:97" x14ac:dyDescent="0.15">
      <c r="A175" s="5"/>
      <c r="CQ175" s="6"/>
      <c r="CR175" s="6"/>
      <c r="CS175" s="6"/>
    </row>
    <row r="176" spans="1:97" x14ac:dyDescent="0.15">
      <c r="A176" s="5"/>
      <c r="CQ176" s="6"/>
      <c r="CR176" s="6"/>
      <c r="CS176" s="6"/>
    </row>
    <row r="177" spans="1:97" x14ac:dyDescent="0.15">
      <c r="A177" s="5"/>
      <c r="CQ177" s="6"/>
      <c r="CR177" s="6"/>
      <c r="CS177" s="6"/>
    </row>
    <row r="178" spans="1:97" x14ac:dyDescent="0.15">
      <c r="A178" s="5"/>
      <c r="CQ178" s="6"/>
      <c r="CR178" s="6"/>
      <c r="CS178" s="6"/>
    </row>
    <row r="179" spans="1:97" x14ac:dyDescent="0.15">
      <c r="A179" s="5"/>
      <c r="CQ179" s="6"/>
      <c r="CR179" s="6"/>
      <c r="CS179" s="6"/>
    </row>
    <row r="180" spans="1:97" x14ac:dyDescent="0.15">
      <c r="A180" s="5"/>
      <c r="CQ180" s="6"/>
      <c r="CR180" s="6"/>
      <c r="CS180" s="6"/>
    </row>
    <row r="181" spans="1:97" x14ac:dyDescent="0.15">
      <c r="A181" s="5"/>
      <c r="CQ181" s="6"/>
      <c r="CR181" s="6"/>
      <c r="CS181" s="6"/>
    </row>
    <row r="182" spans="1:97" x14ac:dyDescent="0.15">
      <c r="A182" s="5"/>
      <c r="CQ182" s="6"/>
      <c r="CR182" s="6"/>
      <c r="CS182" s="6"/>
    </row>
    <row r="183" spans="1:97" x14ac:dyDescent="0.15">
      <c r="A183" s="5"/>
      <c r="CQ183" s="6"/>
      <c r="CR183" s="6"/>
      <c r="CS183" s="6"/>
    </row>
    <row r="184" spans="1:97" x14ac:dyDescent="0.15">
      <c r="A184" s="5"/>
      <c r="CQ184" s="6"/>
      <c r="CR184" s="6"/>
      <c r="CS184" s="6"/>
    </row>
    <row r="185" spans="1:97" x14ac:dyDescent="0.15">
      <c r="A185" s="5"/>
      <c r="CQ185" s="6"/>
      <c r="CR185" s="6"/>
      <c r="CS185" s="6"/>
    </row>
    <row r="186" spans="1:97" x14ac:dyDescent="0.15">
      <c r="A186" s="5"/>
      <c r="CQ186" s="6"/>
      <c r="CR186" s="6"/>
      <c r="CS186" s="6"/>
    </row>
    <row r="187" spans="1:97" x14ac:dyDescent="0.15">
      <c r="A187" s="5"/>
      <c r="CQ187" s="6"/>
      <c r="CR187" s="6"/>
      <c r="CS187" s="6"/>
    </row>
    <row r="188" spans="1:97" x14ac:dyDescent="0.15">
      <c r="A188" s="5"/>
      <c r="CQ188" s="6"/>
      <c r="CR188" s="6"/>
      <c r="CS188" s="6"/>
    </row>
    <row r="189" spans="1:97" x14ac:dyDescent="0.15">
      <c r="A189" s="5"/>
      <c r="CQ189" s="6"/>
      <c r="CR189" s="6"/>
      <c r="CS189" s="6"/>
    </row>
    <row r="190" spans="1:97" x14ac:dyDescent="0.15">
      <c r="A190" s="5"/>
      <c r="CQ190" s="6"/>
      <c r="CR190" s="6"/>
      <c r="CS190" s="6"/>
    </row>
    <row r="191" spans="1:97" x14ac:dyDescent="0.15">
      <c r="A191" s="5"/>
      <c r="CQ191" s="6"/>
      <c r="CR191" s="6"/>
      <c r="CS191" s="6"/>
    </row>
    <row r="192" spans="1:97" x14ac:dyDescent="0.15">
      <c r="A192" s="5"/>
      <c r="CQ192" s="6"/>
      <c r="CR192" s="6"/>
      <c r="CS192" s="6"/>
    </row>
    <row r="193" spans="1:97" x14ac:dyDescent="0.15">
      <c r="A193" s="5"/>
      <c r="CQ193" s="6"/>
      <c r="CR193" s="6"/>
      <c r="CS193" s="6"/>
    </row>
    <row r="194" spans="1:97" x14ac:dyDescent="0.15">
      <c r="A194" s="5"/>
      <c r="CQ194" s="6"/>
      <c r="CR194" s="6"/>
      <c r="CS194" s="6"/>
    </row>
    <row r="195" spans="1:97" x14ac:dyDescent="0.15">
      <c r="A195" s="5"/>
      <c r="CQ195" s="6"/>
      <c r="CR195" s="6"/>
      <c r="CS195" s="6"/>
    </row>
    <row r="196" spans="1:97" x14ac:dyDescent="0.15">
      <c r="A196" s="5"/>
      <c r="CQ196" s="6"/>
      <c r="CR196" s="6"/>
      <c r="CS196" s="6"/>
    </row>
    <row r="197" spans="1:97" x14ac:dyDescent="0.15">
      <c r="A197" s="5"/>
      <c r="CQ197" s="6"/>
      <c r="CR197" s="6"/>
      <c r="CS197" s="6"/>
    </row>
    <row r="198" spans="1:97" x14ac:dyDescent="0.15">
      <c r="A198" s="5"/>
      <c r="CQ198" s="6"/>
      <c r="CR198" s="6"/>
      <c r="CS198" s="6"/>
    </row>
    <row r="199" spans="1:97" x14ac:dyDescent="0.15">
      <c r="A199" s="5"/>
      <c r="CQ199" s="6"/>
      <c r="CR199" s="6"/>
      <c r="CS199" s="6"/>
    </row>
    <row r="200" spans="1:97" x14ac:dyDescent="0.15">
      <c r="A200" s="5"/>
      <c r="CQ200" s="6"/>
      <c r="CR200" s="6"/>
      <c r="CS200" s="6"/>
    </row>
    <row r="201" spans="1:97" x14ac:dyDescent="0.15">
      <c r="A201" s="5"/>
      <c r="CQ201" s="6"/>
      <c r="CR201" s="6"/>
      <c r="CS201" s="6"/>
    </row>
    <row r="202" spans="1:97" x14ac:dyDescent="0.15">
      <c r="A202" s="5"/>
      <c r="CQ202" s="6"/>
      <c r="CR202" s="6"/>
      <c r="CS202" s="6"/>
    </row>
    <row r="203" spans="1:97" x14ac:dyDescent="0.15">
      <c r="A203" s="5"/>
      <c r="CQ203" s="6"/>
      <c r="CR203" s="6"/>
      <c r="CS203" s="6"/>
    </row>
    <row r="204" spans="1:97" x14ac:dyDescent="0.15">
      <c r="A204" s="5"/>
      <c r="CQ204" s="6"/>
      <c r="CR204" s="6"/>
      <c r="CS204" s="6"/>
    </row>
    <row r="205" spans="1:97" x14ac:dyDescent="0.15">
      <c r="A205" s="5"/>
      <c r="CQ205" s="6"/>
      <c r="CR205" s="6"/>
      <c r="CS205" s="6"/>
    </row>
    <row r="206" spans="1:97" x14ac:dyDescent="0.15">
      <c r="A206" s="5"/>
      <c r="CQ206" s="6"/>
      <c r="CR206" s="6"/>
      <c r="CS206" s="6"/>
    </row>
    <row r="207" spans="1:97" x14ac:dyDescent="0.15">
      <c r="A207" s="5"/>
      <c r="CQ207" s="6"/>
      <c r="CR207" s="6"/>
      <c r="CS207" s="6"/>
    </row>
    <row r="208" spans="1:97" x14ac:dyDescent="0.15">
      <c r="A208" s="5"/>
      <c r="CQ208" s="6"/>
      <c r="CR208" s="6"/>
      <c r="CS208" s="6"/>
    </row>
    <row r="209" spans="1:97" x14ac:dyDescent="0.15">
      <c r="A209" s="5"/>
      <c r="CQ209" s="6"/>
      <c r="CR209" s="6"/>
      <c r="CS209" s="6"/>
    </row>
    <row r="210" spans="1:97" x14ac:dyDescent="0.15">
      <c r="A210" s="5"/>
      <c r="CQ210" s="6"/>
      <c r="CR210" s="6"/>
      <c r="CS210" s="6"/>
    </row>
    <row r="211" spans="1:97" x14ac:dyDescent="0.15">
      <c r="A211" s="5"/>
      <c r="CQ211" s="6"/>
      <c r="CR211" s="6"/>
      <c r="CS211" s="6"/>
    </row>
    <row r="212" spans="1:97" x14ac:dyDescent="0.15">
      <c r="A212" s="5"/>
      <c r="CQ212" s="6"/>
      <c r="CR212" s="6"/>
      <c r="CS212" s="6"/>
    </row>
    <row r="213" spans="1:97" x14ac:dyDescent="0.15">
      <c r="A213" s="5"/>
      <c r="CQ213" s="6"/>
      <c r="CR213" s="6"/>
      <c r="CS213" s="6"/>
    </row>
    <row r="214" spans="1:97" x14ac:dyDescent="0.15">
      <c r="A214" s="5"/>
      <c r="CQ214" s="6"/>
      <c r="CR214" s="6"/>
      <c r="CS214" s="6"/>
    </row>
    <row r="215" spans="1:97" x14ac:dyDescent="0.15">
      <c r="A215" s="5"/>
      <c r="CQ215" s="6"/>
      <c r="CR215" s="6"/>
      <c r="CS215" s="6"/>
    </row>
    <row r="216" spans="1:97" x14ac:dyDescent="0.15">
      <c r="A216" s="5"/>
      <c r="CQ216" s="6"/>
      <c r="CR216" s="6"/>
      <c r="CS216" s="6"/>
    </row>
    <row r="217" spans="1:97" x14ac:dyDescent="0.15">
      <c r="A217" s="5"/>
      <c r="CQ217" s="6"/>
      <c r="CR217" s="6"/>
      <c r="CS217" s="6"/>
    </row>
    <row r="218" spans="1:97" x14ac:dyDescent="0.15">
      <c r="A218" s="5"/>
      <c r="CQ218" s="6"/>
      <c r="CR218" s="6"/>
      <c r="CS218" s="6"/>
    </row>
    <row r="219" spans="1:97" x14ac:dyDescent="0.15">
      <c r="A219" s="5"/>
      <c r="CQ219" s="6"/>
      <c r="CR219" s="6"/>
      <c r="CS219" s="6"/>
    </row>
    <row r="220" spans="1:97" x14ac:dyDescent="0.15">
      <c r="A220" s="5"/>
      <c r="CQ220" s="6"/>
      <c r="CR220" s="6"/>
      <c r="CS220" s="6"/>
    </row>
    <row r="221" spans="1:97" x14ac:dyDescent="0.15">
      <c r="A221" s="5"/>
      <c r="CQ221" s="6"/>
      <c r="CR221" s="6"/>
      <c r="CS221" s="6"/>
    </row>
    <row r="222" spans="1:97" x14ac:dyDescent="0.15">
      <c r="A222" s="5"/>
      <c r="CQ222" s="6"/>
      <c r="CR222" s="6"/>
      <c r="CS222" s="6"/>
    </row>
    <row r="223" spans="1:97" x14ac:dyDescent="0.15">
      <c r="A223" s="5"/>
      <c r="CQ223" s="6"/>
      <c r="CR223" s="6"/>
      <c r="CS223" s="6"/>
    </row>
    <row r="224" spans="1:97" x14ac:dyDescent="0.15">
      <c r="A224" s="5"/>
      <c r="CQ224" s="6"/>
      <c r="CR224" s="6"/>
      <c r="CS224" s="6"/>
    </row>
    <row r="225" spans="1:97" x14ac:dyDescent="0.15">
      <c r="A225" s="5"/>
      <c r="CQ225" s="6"/>
      <c r="CR225" s="6"/>
      <c r="CS225" s="6"/>
    </row>
    <row r="226" spans="1:97" x14ac:dyDescent="0.15">
      <c r="A226" s="5"/>
      <c r="CQ226" s="6"/>
      <c r="CR226" s="6"/>
      <c r="CS226" s="6"/>
    </row>
    <row r="227" spans="1:97" x14ac:dyDescent="0.15">
      <c r="A227" s="5"/>
      <c r="CQ227" s="6"/>
      <c r="CR227" s="6"/>
      <c r="CS227" s="6"/>
    </row>
    <row r="228" spans="1:97" x14ac:dyDescent="0.15">
      <c r="A228" s="5"/>
      <c r="CQ228" s="6"/>
      <c r="CR228" s="6"/>
      <c r="CS228" s="6"/>
    </row>
    <row r="229" spans="1:97" x14ac:dyDescent="0.15">
      <c r="A229" s="5"/>
      <c r="CQ229" s="6"/>
      <c r="CR229" s="6"/>
      <c r="CS229" s="6"/>
    </row>
    <row r="230" spans="1:97" x14ac:dyDescent="0.15">
      <c r="A230" s="5"/>
      <c r="CQ230" s="6"/>
      <c r="CR230" s="6"/>
      <c r="CS230" s="6"/>
    </row>
    <row r="231" spans="1:97" x14ac:dyDescent="0.15">
      <c r="A231" s="5"/>
      <c r="CQ231" s="6"/>
      <c r="CR231" s="6"/>
      <c r="CS231" s="6"/>
    </row>
    <row r="232" spans="1:97" x14ac:dyDescent="0.15">
      <c r="A232" s="5"/>
      <c r="CQ232" s="6"/>
      <c r="CR232" s="6"/>
      <c r="CS232" s="6"/>
    </row>
    <row r="233" spans="1:97" x14ac:dyDescent="0.15">
      <c r="A233" s="5"/>
      <c r="CQ233" s="6"/>
      <c r="CR233" s="6"/>
      <c r="CS233" s="6"/>
    </row>
    <row r="234" spans="1:97" x14ac:dyDescent="0.15">
      <c r="A234" s="5"/>
      <c r="CQ234" s="6"/>
      <c r="CR234" s="6"/>
      <c r="CS234" s="6"/>
    </row>
    <row r="235" spans="1:97" x14ac:dyDescent="0.15">
      <c r="A235" s="5"/>
      <c r="CQ235" s="6"/>
      <c r="CR235" s="6"/>
      <c r="CS235" s="6"/>
    </row>
    <row r="236" spans="1:97" x14ac:dyDescent="0.15">
      <c r="A236" s="5"/>
      <c r="CQ236" s="6"/>
      <c r="CR236" s="6"/>
      <c r="CS236" s="6"/>
    </row>
    <row r="237" spans="1:97" x14ac:dyDescent="0.15">
      <c r="A237" s="5"/>
      <c r="CQ237" s="6"/>
      <c r="CR237" s="6"/>
      <c r="CS237" s="6"/>
    </row>
    <row r="238" spans="1:97" x14ac:dyDescent="0.15">
      <c r="A238" s="5"/>
      <c r="CQ238" s="6"/>
      <c r="CR238" s="6"/>
      <c r="CS238" s="6"/>
    </row>
    <row r="239" spans="1:97" x14ac:dyDescent="0.15">
      <c r="A239" s="5"/>
      <c r="CQ239" s="6"/>
      <c r="CR239" s="6"/>
      <c r="CS239" s="6"/>
    </row>
    <row r="240" spans="1:97" x14ac:dyDescent="0.15">
      <c r="A240" s="5"/>
      <c r="CQ240" s="6"/>
      <c r="CR240" s="6"/>
      <c r="CS240" s="6"/>
    </row>
    <row r="241" spans="1:97" x14ac:dyDescent="0.15">
      <c r="A241" s="5"/>
      <c r="CQ241" s="6"/>
      <c r="CR241" s="6"/>
      <c r="CS241" s="6"/>
    </row>
    <row r="242" spans="1:97" x14ac:dyDescent="0.15">
      <c r="A242" s="5"/>
      <c r="CQ242" s="6"/>
      <c r="CR242" s="6"/>
      <c r="CS242" s="6"/>
    </row>
    <row r="243" spans="1:97" x14ac:dyDescent="0.15">
      <c r="A243" s="5"/>
      <c r="CQ243" s="6"/>
      <c r="CR243" s="6"/>
      <c r="CS243" s="6"/>
    </row>
    <row r="244" spans="1:97" x14ac:dyDescent="0.15">
      <c r="A244" s="5"/>
      <c r="CQ244" s="6"/>
      <c r="CR244" s="6"/>
      <c r="CS244" s="6"/>
    </row>
    <row r="245" spans="1:97" x14ac:dyDescent="0.15">
      <c r="A245" s="5"/>
      <c r="CQ245" s="6"/>
      <c r="CR245" s="6"/>
      <c r="CS245" s="6"/>
    </row>
    <row r="246" spans="1:97" x14ac:dyDescent="0.15">
      <c r="A246" s="5"/>
      <c r="CQ246" s="6"/>
      <c r="CR246" s="6"/>
      <c r="CS246" s="6"/>
    </row>
    <row r="247" spans="1:97" x14ac:dyDescent="0.15">
      <c r="A247" s="5"/>
      <c r="CQ247" s="6"/>
      <c r="CR247" s="6"/>
      <c r="CS247" s="6"/>
    </row>
    <row r="248" spans="1:97" x14ac:dyDescent="0.15">
      <c r="A248" s="5"/>
      <c r="CQ248" s="6"/>
      <c r="CR248" s="6"/>
      <c r="CS248" s="6"/>
    </row>
    <row r="249" spans="1:97" x14ac:dyDescent="0.15">
      <c r="A249" s="5"/>
      <c r="CQ249" s="6"/>
      <c r="CR249" s="6"/>
      <c r="CS249" s="6"/>
    </row>
    <row r="250" spans="1:97" x14ac:dyDescent="0.15">
      <c r="A250" s="5"/>
      <c r="CQ250" s="6"/>
      <c r="CR250" s="6"/>
      <c r="CS250" s="6"/>
    </row>
    <row r="251" spans="1:97" x14ac:dyDescent="0.15">
      <c r="A251" s="5"/>
      <c r="CQ251" s="6"/>
      <c r="CR251" s="6"/>
      <c r="CS251" s="6"/>
    </row>
    <row r="252" spans="1:97" x14ac:dyDescent="0.15">
      <c r="A252" s="5"/>
      <c r="CQ252" s="6"/>
      <c r="CR252" s="6"/>
      <c r="CS252" s="6"/>
    </row>
    <row r="253" spans="1:97" x14ac:dyDescent="0.15">
      <c r="A253" s="5"/>
      <c r="CQ253" s="6"/>
      <c r="CR253" s="6"/>
      <c r="CS253" s="6"/>
    </row>
    <row r="254" spans="1:97" x14ac:dyDescent="0.15">
      <c r="A254" s="5"/>
      <c r="CQ254" s="6"/>
      <c r="CR254" s="6"/>
      <c r="CS254" s="6"/>
    </row>
    <row r="255" spans="1:97" x14ac:dyDescent="0.15">
      <c r="A255" s="5"/>
      <c r="CQ255" s="6"/>
      <c r="CR255" s="6"/>
      <c r="CS255" s="6"/>
    </row>
    <row r="256" spans="1:97" x14ac:dyDescent="0.15">
      <c r="A256" s="5"/>
      <c r="CQ256" s="6"/>
      <c r="CR256" s="6"/>
      <c r="CS256" s="6"/>
    </row>
    <row r="257" spans="1:97" x14ac:dyDescent="0.15">
      <c r="A257" s="5"/>
      <c r="CQ257" s="6"/>
      <c r="CR257" s="6"/>
      <c r="CS257" s="6"/>
    </row>
    <row r="258" spans="1:97" x14ac:dyDescent="0.15">
      <c r="A258" s="5"/>
      <c r="CQ258" s="6"/>
      <c r="CR258" s="6"/>
      <c r="CS258" s="6"/>
    </row>
    <row r="259" spans="1:97" x14ac:dyDescent="0.15">
      <c r="A259" s="5"/>
      <c r="CQ259" s="6"/>
      <c r="CR259" s="6"/>
      <c r="CS259" s="6"/>
    </row>
    <row r="260" spans="1:97" x14ac:dyDescent="0.15">
      <c r="A260" s="5"/>
      <c r="CQ260" s="6"/>
      <c r="CR260" s="6"/>
      <c r="CS260" s="6"/>
    </row>
    <row r="261" spans="1:97" x14ac:dyDescent="0.15">
      <c r="A261" s="5"/>
      <c r="CQ261" s="6"/>
      <c r="CR261" s="6"/>
      <c r="CS261" s="6"/>
    </row>
    <row r="262" spans="1:97" x14ac:dyDescent="0.15">
      <c r="A262" s="5"/>
      <c r="CQ262" s="6"/>
      <c r="CR262" s="6"/>
      <c r="CS262" s="6"/>
    </row>
    <row r="263" spans="1:97" x14ac:dyDescent="0.15">
      <c r="A263" s="5"/>
      <c r="CQ263" s="6"/>
      <c r="CR263" s="6"/>
      <c r="CS263" s="6"/>
    </row>
    <row r="264" spans="1:97" x14ac:dyDescent="0.15">
      <c r="A264" s="5"/>
      <c r="CQ264" s="6"/>
      <c r="CR264" s="6"/>
      <c r="CS264" s="6"/>
    </row>
    <row r="265" spans="1:97" x14ac:dyDescent="0.15">
      <c r="A265" s="5"/>
      <c r="CQ265" s="6"/>
      <c r="CR265" s="6"/>
      <c r="CS265" s="6"/>
    </row>
    <row r="266" spans="1:97" x14ac:dyDescent="0.15">
      <c r="A266" s="5"/>
      <c r="CQ266" s="6"/>
      <c r="CR266" s="6"/>
      <c r="CS266" s="6"/>
    </row>
    <row r="267" spans="1:97" x14ac:dyDescent="0.15">
      <c r="A267" s="5"/>
      <c r="CQ267" s="6"/>
      <c r="CR267" s="6"/>
      <c r="CS267" s="6"/>
    </row>
    <row r="268" spans="1:97" x14ac:dyDescent="0.15">
      <c r="A268" s="5"/>
      <c r="CQ268" s="6"/>
      <c r="CR268" s="6"/>
      <c r="CS268" s="6"/>
    </row>
    <row r="269" spans="1:97" x14ac:dyDescent="0.15">
      <c r="A269" s="5"/>
      <c r="CQ269" s="6"/>
      <c r="CR269" s="6"/>
      <c r="CS269" s="6"/>
    </row>
    <row r="270" spans="1:97" x14ac:dyDescent="0.15">
      <c r="A270" s="5"/>
      <c r="CQ270" s="6"/>
      <c r="CR270" s="6"/>
      <c r="CS270" s="6"/>
    </row>
    <row r="271" spans="1:97" x14ac:dyDescent="0.15">
      <c r="A271" s="5"/>
      <c r="CQ271" s="6"/>
      <c r="CR271" s="6"/>
      <c r="CS271" s="6"/>
    </row>
    <row r="272" spans="1:97" x14ac:dyDescent="0.15">
      <c r="A272" s="5"/>
      <c r="CQ272" s="6"/>
      <c r="CR272" s="6"/>
      <c r="CS272" s="6"/>
    </row>
    <row r="273" spans="1:97" x14ac:dyDescent="0.15">
      <c r="A273" s="5"/>
      <c r="CQ273" s="6"/>
      <c r="CR273" s="6"/>
      <c r="CS273" s="6"/>
    </row>
    <row r="274" spans="1:97" x14ac:dyDescent="0.15">
      <c r="A274" s="5"/>
      <c r="CQ274" s="6"/>
      <c r="CR274" s="6"/>
      <c r="CS274" s="6"/>
    </row>
    <row r="275" spans="1:97" x14ac:dyDescent="0.15">
      <c r="A275" s="5"/>
      <c r="CQ275" s="6"/>
      <c r="CR275" s="6"/>
      <c r="CS275" s="6"/>
    </row>
    <row r="276" spans="1:97" x14ac:dyDescent="0.15">
      <c r="A276" s="5"/>
      <c r="CQ276" s="6"/>
      <c r="CR276" s="6"/>
      <c r="CS276" s="6"/>
    </row>
    <row r="277" spans="1:97" x14ac:dyDescent="0.15">
      <c r="A277" s="5"/>
      <c r="CQ277" s="6"/>
      <c r="CR277" s="6"/>
      <c r="CS277" s="6"/>
    </row>
    <row r="278" spans="1:97" x14ac:dyDescent="0.15">
      <c r="A278" s="5"/>
      <c r="CQ278" s="6"/>
      <c r="CR278" s="6"/>
      <c r="CS278" s="6"/>
    </row>
    <row r="279" spans="1:97" x14ac:dyDescent="0.15">
      <c r="A279" s="5"/>
      <c r="CQ279" s="6"/>
      <c r="CR279" s="6"/>
      <c r="CS279" s="6"/>
    </row>
    <row r="280" spans="1:97" x14ac:dyDescent="0.15">
      <c r="A280" s="5"/>
      <c r="CQ280" s="6"/>
      <c r="CR280" s="6"/>
      <c r="CS280" s="6"/>
    </row>
    <row r="281" spans="1:97" x14ac:dyDescent="0.15">
      <c r="A281" s="5"/>
      <c r="CQ281" s="6"/>
      <c r="CR281" s="6"/>
      <c r="CS281" s="6"/>
    </row>
    <row r="282" spans="1:97" x14ac:dyDescent="0.15">
      <c r="A282" s="5"/>
      <c r="CQ282" s="6"/>
      <c r="CR282" s="6"/>
      <c r="CS282" s="6"/>
    </row>
    <row r="283" spans="1:97" x14ac:dyDescent="0.15">
      <c r="A283" s="5"/>
      <c r="CQ283" s="6"/>
      <c r="CR283" s="6"/>
      <c r="CS283" s="6"/>
    </row>
    <row r="284" spans="1:97" x14ac:dyDescent="0.15">
      <c r="A284" s="5"/>
      <c r="CQ284" s="6"/>
      <c r="CR284" s="6"/>
      <c r="CS284" s="6"/>
    </row>
    <row r="285" spans="1:97" x14ac:dyDescent="0.15">
      <c r="A285" s="5"/>
      <c r="CQ285" s="6"/>
      <c r="CR285" s="6"/>
      <c r="CS285" s="6"/>
    </row>
    <row r="286" spans="1:97" x14ac:dyDescent="0.15">
      <c r="A286" s="5"/>
      <c r="CQ286" s="6"/>
      <c r="CR286" s="6"/>
      <c r="CS286" s="6"/>
    </row>
    <row r="287" spans="1:97" x14ac:dyDescent="0.15">
      <c r="A287" s="5"/>
      <c r="CQ287" s="6"/>
      <c r="CR287" s="6"/>
      <c r="CS287" s="6"/>
    </row>
    <row r="288" spans="1:97" x14ac:dyDescent="0.15">
      <c r="A288" s="5"/>
      <c r="CQ288" s="6"/>
      <c r="CR288" s="6"/>
      <c r="CS288" s="6"/>
    </row>
    <row r="289" spans="1:97" x14ac:dyDescent="0.15">
      <c r="A289" s="5"/>
      <c r="CQ289" s="6"/>
      <c r="CR289" s="6"/>
      <c r="CS289" s="6"/>
    </row>
    <row r="290" spans="1:97" x14ac:dyDescent="0.15">
      <c r="A290" s="5"/>
      <c r="CQ290" s="6"/>
      <c r="CR290" s="6"/>
      <c r="CS290" s="6"/>
    </row>
    <row r="291" spans="1:97" x14ac:dyDescent="0.15">
      <c r="A291" s="5"/>
      <c r="CQ291" s="6"/>
      <c r="CR291" s="6"/>
      <c r="CS291" s="6"/>
    </row>
    <row r="292" spans="1:97" x14ac:dyDescent="0.15">
      <c r="A292" s="5"/>
      <c r="CQ292" s="6"/>
      <c r="CR292" s="6"/>
      <c r="CS292" s="6"/>
    </row>
    <row r="293" spans="1:97" x14ac:dyDescent="0.15">
      <c r="A293" s="5"/>
      <c r="CQ293" s="6"/>
      <c r="CR293" s="6"/>
      <c r="CS293" s="6"/>
    </row>
    <row r="294" spans="1:97" x14ac:dyDescent="0.15">
      <c r="A294" s="5"/>
      <c r="CQ294" s="6"/>
      <c r="CR294" s="6"/>
      <c r="CS294" s="6"/>
    </row>
    <row r="295" spans="1:97" x14ac:dyDescent="0.15">
      <c r="A295" s="5"/>
      <c r="CQ295" s="6"/>
      <c r="CR295" s="6"/>
      <c r="CS295" s="6"/>
    </row>
    <row r="296" spans="1:97" x14ac:dyDescent="0.15">
      <c r="A296" s="5"/>
      <c r="CQ296" s="6"/>
      <c r="CR296" s="6"/>
      <c r="CS296" s="6"/>
    </row>
    <row r="297" spans="1:97" x14ac:dyDescent="0.15">
      <c r="A297" s="5"/>
      <c r="CQ297" s="6"/>
      <c r="CR297" s="6"/>
      <c r="CS297" s="6"/>
    </row>
    <row r="298" spans="1:97" x14ac:dyDescent="0.15">
      <c r="A298" s="5"/>
      <c r="CQ298" s="6"/>
      <c r="CR298" s="6"/>
      <c r="CS298" s="6"/>
    </row>
    <row r="299" spans="1:97" x14ac:dyDescent="0.15">
      <c r="A299" s="5"/>
      <c r="CQ299" s="6"/>
      <c r="CR299" s="6"/>
      <c r="CS299" s="6"/>
    </row>
    <row r="300" spans="1:97" x14ac:dyDescent="0.15">
      <c r="A300" s="5"/>
      <c r="CQ300" s="6"/>
      <c r="CR300" s="6"/>
      <c r="CS300" s="6"/>
    </row>
    <row r="301" spans="1:97" x14ac:dyDescent="0.15">
      <c r="A301" s="5"/>
      <c r="CQ301" s="6"/>
      <c r="CR301" s="6"/>
      <c r="CS301" s="6"/>
    </row>
    <row r="302" spans="1:97" x14ac:dyDescent="0.15">
      <c r="A302" s="5"/>
      <c r="CQ302" s="6"/>
      <c r="CR302" s="6"/>
      <c r="CS302" s="6"/>
    </row>
    <row r="303" spans="1:97" x14ac:dyDescent="0.15">
      <c r="A303" s="5"/>
      <c r="CQ303" s="6"/>
      <c r="CR303" s="6"/>
      <c r="CS303" s="6"/>
    </row>
    <row r="304" spans="1:97" x14ac:dyDescent="0.15">
      <c r="A304" s="5"/>
      <c r="CQ304" s="6"/>
      <c r="CR304" s="6"/>
      <c r="CS304" s="6"/>
    </row>
    <row r="305" spans="1:97" x14ac:dyDescent="0.15">
      <c r="A305" s="5"/>
      <c r="CQ305" s="6"/>
      <c r="CR305" s="6"/>
      <c r="CS305" s="6"/>
    </row>
    <row r="306" spans="1:97" x14ac:dyDescent="0.15">
      <c r="A306" s="5"/>
      <c r="CQ306" s="6"/>
      <c r="CR306" s="6"/>
      <c r="CS306" s="6"/>
    </row>
    <row r="307" spans="1:97" x14ac:dyDescent="0.15">
      <c r="A307" s="5"/>
      <c r="CQ307" s="6"/>
      <c r="CR307" s="6"/>
      <c r="CS307" s="6"/>
    </row>
    <row r="308" spans="1:97" x14ac:dyDescent="0.15">
      <c r="A308" s="5"/>
      <c r="CQ308" s="6"/>
      <c r="CR308" s="6"/>
      <c r="CS308" s="6"/>
    </row>
    <row r="309" spans="1:97" x14ac:dyDescent="0.15">
      <c r="A309" s="5"/>
      <c r="CQ309" s="6"/>
      <c r="CR309" s="6"/>
      <c r="CS309" s="6"/>
    </row>
    <row r="310" spans="1:97" x14ac:dyDescent="0.15">
      <c r="A310" s="5"/>
      <c r="CQ310" s="6"/>
      <c r="CR310" s="6"/>
      <c r="CS310" s="6"/>
    </row>
    <row r="311" spans="1:97" x14ac:dyDescent="0.15">
      <c r="A311" s="5"/>
      <c r="CQ311" s="6"/>
      <c r="CR311" s="6"/>
      <c r="CS311" s="6"/>
    </row>
    <row r="312" spans="1:97" x14ac:dyDescent="0.15">
      <c r="A312" s="5"/>
      <c r="CQ312" s="6"/>
      <c r="CR312" s="6"/>
      <c r="CS312" s="6"/>
    </row>
    <row r="313" spans="1:97" x14ac:dyDescent="0.15">
      <c r="A313" s="5"/>
      <c r="CQ313" s="6"/>
      <c r="CR313" s="6"/>
      <c r="CS313" s="6"/>
    </row>
    <row r="314" spans="1:97" x14ac:dyDescent="0.15">
      <c r="A314" s="5"/>
      <c r="CQ314" s="6"/>
      <c r="CR314" s="6"/>
      <c r="CS314" s="6"/>
    </row>
    <row r="315" spans="1:97" x14ac:dyDescent="0.15">
      <c r="A315" s="5"/>
      <c r="CQ315" s="6"/>
      <c r="CR315" s="6"/>
      <c r="CS315" s="6"/>
    </row>
    <row r="316" spans="1:97" x14ac:dyDescent="0.15">
      <c r="A316" s="5"/>
      <c r="CQ316" s="6"/>
      <c r="CR316" s="6"/>
      <c r="CS316" s="6"/>
    </row>
    <row r="317" spans="1:97" x14ac:dyDescent="0.15">
      <c r="A317" s="5"/>
      <c r="CQ317" s="6"/>
      <c r="CR317" s="6"/>
      <c r="CS317" s="6"/>
    </row>
    <row r="318" spans="1:97" x14ac:dyDescent="0.15">
      <c r="A318" s="5"/>
      <c r="CQ318" s="6"/>
      <c r="CR318" s="6"/>
      <c r="CS318" s="6"/>
    </row>
    <row r="319" spans="1:97" x14ac:dyDescent="0.15">
      <c r="A319" s="5"/>
      <c r="CQ319" s="6"/>
      <c r="CR319" s="6"/>
      <c r="CS319" s="6"/>
    </row>
    <row r="320" spans="1:97" x14ac:dyDescent="0.15">
      <c r="A320" s="5"/>
      <c r="CQ320" s="6"/>
      <c r="CR320" s="6"/>
      <c r="CS320" s="6"/>
    </row>
    <row r="321" spans="1:97" x14ac:dyDescent="0.15">
      <c r="A321" s="5"/>
      <c r="CQ321" s="6"/>
      <c r="CR321" s="6"/>
      <c r="CS321" s="6"/>
    </row>
    <row r="322" spans="1:97" x14ac:dyDescent="0.15">
      <c r="A322" s="5"/>
      <c r="CQ322" s="6"/>
      <c r="CR322" s="6"/>
      <c r="CS322" s="6"/>
    </row>
    <row r="323" spans="1:97" x14ac:dyDescent="0.15">
      <c r="A323" s="5"/>
      <c r="CQ323" s="6"/>
      <c r="CR323" s="6"/>
      <c r="CS323" s="6"/>
    </row>
    <row r="324" spans="1:97" x14ac:dyDescent="0.15">
      <c r="A324" s="5"/>
      <c r="CQ324" s="6"/>
      <c r="CR324" s="6"/>
      <c r="CS324" s="6"/>
    </row>
    <row r="325" spans="1:97" x14ac:dyDescent="0.15">
      <c r="A325" s="5"/>
      <c r="CQ325" s="6"/>
      <c r="CR325" s="6"/>
      <c r="CS325" s="6"/>
    </row>
    <row r="326" spans="1:97" x14ac:dyDescent="0.15">
      <c r="A326" s="5"/>
      <c r="CQ326" s="6"/>
      <c r="CR326" s="6"/>
      <c r="CS326" s="6"/>
    </row>
    <row r="327" spans="1:97" x14ac:dyDescent="0.15">
      <c r="A327" s="5"/>
      <c r="CQ327" s="6"/>
      <c r="CR327" s="6"/>
      <c r="CS327" s="6"/>
    </row>
    <row r="328" spans="1:97" x14ac:dyDescent="0.15">
      <c r="A328" s="5"/>
      <c r="CQ328" s="6"/>
      <c r="CR328" s="6"/>
      <c r="CS328" s="6"/>
    </row>
    <row r="329" spans="1:97" x14ac:dyDescent="0.15">
      <c r="A329" s="5"/>
      <c r="CQ329" s="6"/>
      <c r="CR329" s="6"/>
      <c r="CS329" s="6"/>
    </row>
    <row r="330" spans="1:97" x14ac:dyDescent="0.15">
      <c r="A330" s="5"/>
      <c r="CQ330" s="6"/>
      <c r="CR330" s="6"/>
      <c r="CS330" s="6"/>
    </row>
    <row r="331" spans="1:97" x14ac:dyDescent="0.15">
      <c r="A331" s="5"/>
      <c r="CQ331" s="6"/>
      <c r="CR331" s="6"/>
      <c r="CS331" s="6"/>
    </row>
    <row r="332" spans="1:97" x14ac:dyDescent="0.15">
      <c r="A332" s="5"/>
      <c r="CQ332" s="6"/>
      <c r="CR332" s="6"/>
      <c r="CS332" s="6"/>
    </row>
    <row r="333" spans="1:97" x14ac:dyDescent="0.15">
      <c r="A333" s="5"/>
      <c r="CQ333" s="6"/>
      <c r="CR333" s="6"/>
      <c r="CS333" s="6"/>
    </row>
    <row r="334" spans="1:97" x14ac:dyDescent="0.15">
      <c r="A334" s="5"/>
      <c r="CQ334" s="6"/>
      <c r="CR334" s="6"/>
      <c r="CS334" s="6"/>
    </row>
    <row r="335" spans="1:97" x14ac:dyDescent="0.15">
      <c r="A335" s="5"/>
      <c r="CQ335" s="6"/>
      <c r="CR335" s="6"/>
      <c r="CS335" s="6"/>
    </row>
    <row r="336" spans="1:97" x14ac:dyDescent="0.15">
      <c r="A336" s="5"/>
      <c r="CQ336" s="6"/>
      <c r="CR336" s="6"/>
      <c r="CS336" s="6"/>
    </row>
    <row r="337" spans="1:97" x14ac:dyDescent="0.15">
      <c r="A337" s="5"/>
      <c r="CQ337" s="6"/>
      <c r="CR337" s="6"/>
      <c r="CS337" s="6"/>
    </row>
    <row r="338" spans="1:97" x14ac:dyDescent="0.15">
      <c r="A338" s="5"/>
      <c r="CQ338" s="6"/>
      <c r="CR338" s="6"/>
      <c r="CS338" s="6"/>
    </row>
    <row r="339" spans="1:97" x14ac:dyDescent="0.15">
      <c r="A339" s="5"/>
      <c r="CQ339" s="6"/>
      <c r="CR339" s="6"/>
      <c r="CS339" s="6"/>
    </row>
    <row r="340" spans="1:97" x14ac:dyDescent="0.15">
      <c r="A340" s="5"/>
      <c r="CQ340" s="6"/>
      <c r="CR340" s="6"/>
      <c r="CS340" s="6"/>
    </row>
    <row r="341" spans="1:97" x14ac:dyDescent="0.15">
      <c r="A341" s="5"/>
      <c r="CQ341" s="6"/>
      <c r="CR341" s="6"/>
      <c r="CS341" s="6"/>
    </row>
    <row r="342" spans="1:97" x14ac:dyDescent="0.15">
      <c r="A342" s="5"/>
      <c r="CQ342" s="6"/>
      <c r="CR342" s="6"/>
      <c r="CS342" s="6"/>
    </row>
    <row r="343" spans="1:97" x14ac:dyDescent="0.15">
      <c r="A343" s="5"/>
      <c r="CQ343" s="6"/>
      <c r="CR343" s="6"/>
      <c r="CS343" s="6"/>
    </row>
    <row r="344" spans="1:97" x14ac:dyDescent="0.15">
      <c r="A344" s="5"/>
      <c r="CQ344" s="6"/>
      <c r="CR344" s="6"/>
      <c r="CS344" s="6"/>
    </row>
    <row r="345" spans="1:97" x14ac:dyDescent="0.15">
      <c r="A345" s="5"/>
      <c r="CQ345" s="6"/>
      <c r="CR345" s="6"/>
      <c r="CS345" s="6"/>
    </row>
    <row r="346" spans="1:97" x14ac:dyDescent="0.15">
      <c r="A346" s="5"/>
      <c r="CQ346" s="6"/>
      <c r="CR346" s="6"/>
      <c r="CS346" s="6"/>
    </row>
    <row r="347" spans="1:97" x14ac:dyDescent="0.15">
      <c r="A347" s="5"/>
      <c r="CQ347" s="6"/>
      <c r="CR347" s="6"/>
      <c r="CS347" s="6"/>
    </row>
    <row r="348" spans="1:97" x14ac:dyDescent="0.15">
      <c r="A348" s="5"/>
      <c r="CQ348" s="6"/>
      <c r="CR348" s="6"/>
      <c r="CS348" s="6"/>
    </row>
    <row r="349" spans="1:97" x14ac:dyDescent="0.15">
      <c r="A349" s="5"/>
      <c r="CQ349" s="6"/>
      <c r="CR349" s="6"/>
      <c r="CS349" s="6"/>
    </row>
    <row r="350" spans="1:97" x14ac:dyDescent="0.15">
      <c r="A350" s="5"/>
      <c r="CQ350" s="6"/>
      <c r="CR350" s="6"/>
      <c r="CS350" s="6"/>
    </row>
    <row r="351" spans="1:97" x14ac:dyDescent="0.15">
      <c r="A351" s="5"/>
      <c r="CQ351" s="6"/>
      <c r="CR351" s="6"/>
      <c r="CS351" s="6"/>
    </row>
    <row r="352" spans="1:97" x14ac:dyDescent="0.15">
      <c r="A352" s="5"/>
      <c r="CQ352" s="6"/>
      <c r="CR352" s="6"/>
      <c r="CS352" s="6"/>
    </row>
    <row r="353" spans="1:97" x14ac:dyDescent="0.15">
      <c r="A353" s="5"/>
      <c r="CQ353" s="6"/>
      <c r="CR353" s="6"/>
      <c r="CS353" s="6"/>
    </row>
    <row r="354" spans="1:97" x14ac:dyDescent="0.15">
      <c r="A354" s="5"/>
      <c r="CQ354" s="6"/>
      <c r="CR354" s="6"/>
      <c r="CS354" s="6"/>
    </row>
    <row r="355" spans="1:97" x14ac:dyDescent="0.15">
      <c r="A355" s="5"/>
      <c r="CQ355" s="6"/>
      <c r="CR355" s="6"/>
      <c r="CS355" s="6"/>
    </row>
    <row r="356" spans="1:97" x14ac:dyDescent="0.15">
      <c r="A356" s="5"/>
      <c r="CQ356" s="6"/>
      <c r="CR356" s="6"/>
      <c r="CS356" s="6"/>
    </row>
    <row r="357" spans="1:97" x14ac:dyDescent="0.15">
      <c r="A357" s="5"/>
      <c r="CQ357" s="6"/>
      <c r="CR357" s="6"/>
      <c r="CS357" s="6"/>
    </row>
    <row r="358" spans="1:97" x14ac:dyDescent="0.15">
      <c r="A358" s="5"/>
      <c r="CQ358" s="6"/>
      <c r="CR358" s="6"/>
      <c r="CS358" s="6"/>
    </row>
    <row r="359" spans="1:97" x14ac:dyDescent="0.15">
      <c r="A359" s="5"/>
      <c r="CQ359" s="6"/>
      <c r="CR359" s="6"/>
      <c r="CS359" s="6"/>
    </row>
    <row r="360" spans="1:97" x14ac:dyDescent="0.15">
      <c r="A360" s="5"/>
      <c r="CQ360" s="6"/>
      <c r="CR360" s="6"/>
      <c r="CS360" s="6"/>
    </row>
    <row r="361" spans="1:97" x14ac:dyDescent="0.15">
      <c r="A361" s="5"/>
      <c r="CQ361" s="6"/>
      <c r="CR361" s="6"/>
      <c r="CS361" s="6"/>
    </row>
    <row r="362" spans="1:97" x14ac:dyDescent="0.15">
      <c r="A362" s="5"/>
      <c r="CQ362" s="6"/>
      <c r="CR362" s="6"/>
      <c r="CS362" s="6"/>
    </row>
    <row r="363" spans="1:97" x14ac:dyDescent="0.15">
      <c r="A363" s="5"/>
      <c r="CQ363" s="6"/>
      <c r="CR363" s="6"/>
      <c r="CS363" s="6"/>
    </row>
    <row r="364" spans="1:97" x14ac:dyDescent="0.15">
      <c r="A364" s="5"/>
      <c r="CQ364" s="6"/>
      <c r="CR364" s="6"/>
      <c r="CS364" s="6"/>
    </row>
    <row r="365" spans="1:97" x14ac:dyDescent="0.15">
      <c r="A365" s="5"/>
      <c r="CQ365" s="6"/>
      <c r="CR365" s="6"/>
      <c r="CS365" s="6"/>
    </row>
    <row r="366" spans="1:97" x14ac:dyDescent="0.15">
      <c r="A366" s="5"/>
      <c r="CQ366" s="6"/>
      <c r="CR366" s="6"/>
      <c r="CS366" s="6"/>
    </row>
    <row r="367" spans="1:97" x14ac:dyDescent="0.15">
      <c r="A367" s="5"/>
      <c r="CQ367" s="6"/>
      <c r="CR367" s="6"/>
      <c r="CS367" s="6"/>
    </row>
    <row r="368" spans="1:97" x14ac:dyDescent="0.15">
      <c r="A368" s="5"/>
      <c r="CQ368" s="6"/>
      <c r="CR368" s="6"/>
      <c r="CS368" s="6"/>
    </row>
    <row r="369" spans="1:97" x14ac:dyDescent="0.15">
      <c r="A369" s="5"/>
      <c r="CQ369" s="6"/>
      <c r="CR369" s="6"/>
      <c r="CS369" s="6"/>
    </row>
    <row r="370" spans="1:97" x14ac:dyDescent="0.15">
      <c r="A370" s="5"/>
      <c r="CQ370" s="6"/>
      <c r="CR370" s="6"/>
      <c r="CS370" s="6"/>
    </row>
    <row r="371" spans="1:97" x14ac:dyDescent="0.15">
      <c r="A371" s="5"/>
      <c r="CQ371" s="6"/>
      <c r="CR371" s="6"/>
      <c r="CS371" s="6"/>
    </row>
    <row r="372" spans="1:97" x14ac:dyDescent="0.15">
      <c r="A372" s="5"/>
      <c r="CQ372" s="6"/>
      <c r="CR372" s="6"/>
      <c r="CS372" s="6"/>
    </row>
    <row r="373" spans="1:97" x14ac:dyDescent="0.15">
      <c r="A373" s="5"/>
      <c r="CQ373" s="6"/>
      <c r="CR373" s="6"/>
      <c r="CS373" s="6"/>
    </row>
    <row r="374" spans="1:97" x14ac:dyDescent="0.15">
      <c r="A374" s="5"/>
      <c r="CQ374" s="6"/>
      <c r="CR374" s="6"/>
      <c r="CS374" s="6"/>
    </row>
    <row r="375" spans="1:97" x14ac:dyDescent="0.15">
      <c r="A375" s="5"/>
      <c r="CQ375" s="6"/>
      <c r="CR375" s="6"/>
      <c r="CS375" s="6"/>
    </row>
    <row r="376" spans="1:97" x14ac:dyDescent="0.15">
      <c r="A376" s="5"/>
      <c r="CQ376" s="6"/>
      <c r="CR376" s="6"/>
      <c r="CS376" s="6"/>
    </row>
    <row r="377" spans="1:97" x14ac:dyDescent="0.15">
      <c r="A377" s="5"/>
      <c r="CQ377" s="6"/>
      <c r="CR377" s="6"/>
      <c r="CS377" s="6"/>
    </row>
    <row r="378" spans="1:97" x14ac:dyDescent="0.15">
      <c r="A378" s="5"/>
      <c r="CQ378" s="6"/>
      <c r="CR378" s="6"/>
      <c r="CS378" s="6"/>
    </row>
    <row r="379" spans="1:97" x14ac:dyDescent="0.15">
      <c r="A379" s="5"/>
      <c r="CQ379" s="6"/>
      <c r="CR379" s="6"/>
      <c r="CS379" s="6"/>
    </row>
    <row r="380" spans="1:97" x14ac:dyDescent="0.15">
      <c r="A380" s="5"/>
      <c r="CQ380" s="6"/>
      <c r="CR380" s="6"/>
      <c r="CS380" s="6"/>
    </row>
    <row r="381" spans="1:97" x14ac:dyDescent="0.15">
      <c r="A381" s="5"/>
      <c r="CQ381" s="6"/>
      <c r="CR381" s="6"/>
      <c r="CS381" s="6"/>
    </row>
    <row r="382" spans="1:97" x14ac:dyDescent="0.15">
      <c r="A382" s="5"/>
      <c r="CQ382" s="6"/>
      <c r="CR382" s="6"/>
      <c r="CS382" s="6"/>
    </row>
    <row r="383" spans="1:97" x14ac:dyDescent="0.15">
      <c r="A383" s="5"/>
      <c r="CQ383" s="6"/>
      <c r="CR383" s="6"/>
      <c r="CS383" s="6"/>
    </row>
  </sheetData>
  <autoFilter ref="A20:GI20" xr:uid="{00000000-0009-0000-0000-000012000000}"/>
  <mergeCells count="19">
    <mergeCell ref="BP19:BQ19"/>
    <mergeCell ref="BR19:BS19"/>
    <mergeCell ref="BT19:BU19"/>
    <mergeCell ref="BV19:BW19"/>
    <mergeCell ref="BL19:BM19"/>
    <mergeCell ref="CJ19:CK19"/>
    <mergeCell ref="CL19:CM19"/>
    <mergeCell ref="BJ18:BO18"/>
    <mergeCell ref="BP18:BU18"/>
    <mergeCell ref="BV18:CO18"/>
    <mergeCell ref="BJ19:BK19"/>
    <mergeCell ref="CN19:CO19"/>
    <mergeCell ref="BX19:BY19"/>
    <mergeCell ref="BZ19:CA19"/>
    <mergeCell ref="CB19:CC19"/>
    <mergeCell ref="CD19:CE19"/>
    <mergeCell ref="CF19:CG19"/>
    <mergeCell ref="CH19:CI19"/>
    <mergeCell ref="BN19:BO19"/>
  </mergeCells>
  <phoneticPr fontId="44" type="noConversion"/>
  <pageMargins left="0.7" right="0.7" top="0.75" bottom="0.75" header="0.3" footer="0.3"/>
  <pageSetup scale="10" fitToHeight="0" orientation="landscape"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indexed="20"/>
  </sheetPr>
  <dimension ref="A1:O388"/>
  <sheetViews>
    <sheetView view="pageBreakPreview" topLeftCell="A194" zoomScale="85" zoomScaleNormal="100" zoomScaleSheetLayoutView="85" workbookViewId="0">
      <selection activeCell="R266" sqref="R266"/>
    </sheetView>
  </sheetViews>
  <sheetFormatPr baseColWidth="10" defaultColWidth="9.1640625" defaultRowHeight="13" x14ac:dyDescent="0.15"/>
  <cols>
    <col min="1" max="1" width="21.5" style="7" bestFit="1" customWidth="1"/>
    <col min="2" max="2" width="8.5" style="7" customWidth="1"/>
    <col min="3" max="3" width="17.1640625" style="7" hidden="1" customWidth="1"/>
    <col min="4" max="4" width="7.1640625" style="7" bestFit="1" customWidth="1"/>
    <col min="5" max="5" width="5.1640625" style="7" customWidth="1"/>
    <col min="6" max="6" width="18" style="7" bestFit="1" customWidth="1"/>
    <col min="7" max="7" width="8.5" style="7" customWidth="1"/>
    <col min="8" max="8" width="16.83203125" style="7" hidden="1" customWidth="1"/>
    <col min="9" max="9" width="7.1640625" style="7" bestFit="1" customWidth="1"/>
    <col min="10" max="10" width="4" style="7" customWidth="1"/>
    <col min="11" max="11" width="24.83203125" style="7" customWidth="1"/>
    <col min="12" max="12" width="20" style="7" bestFit="1" customWidth="1"/>
    <col min="13" max="14" width="8.5" style="7" bestFit="1" customWidth="1"/>
    <col min="15" max="15" width="7.5" style="7" customWidth="1"/>
    <col min="16" max="17" width="9.1640625" style="7"/>
    <col min="18" max="18" width="24" style="7" bestFit="1" customWidth="1"/>
    <col min="19" max="20" width="9.1640625" style="7"/>
    <col min="21" max="21" width="31.6640625" style="7" customWidth="1"/>
    <col min="22" max="23" width="9.1640625" style="7"/>
    <col min="24" max="24" width="36" style="7" customWidth="1"/>
    <col min="25" max="26" width="9.1640625" style="7"/>
    <col min="27" max="27" width="34" style="7" customWidth="1"/>
    <col min="28" max="29" width="9.1640625" style="7"/>
    <col min="30" max="30" width="29.83203125" style="7" customWidth="1"/>
    <col min="31" max="32" width="9.1640625" style="7"/>
    <col min="33" max="33" width="33.6640625" style="7" customWidth="1"/>
    <col min="34" max="16384" width="9.1640625" style="7"/>
  </cols>
  <sheetData>
    <row r="1" spans="1:15" ht="18" x14ac:dyDescent="0.2">
      <c r="A1" s="18" t="str">
        <f>'Crash Data'!A3</f>
        <v>Type 'Heading' Here</v>
      </c>
      <c r="K1" s="18" t="str">
        <f>A1</f>
        <v>Type 'Heading' Here</v>
      </c>
    </row>
    <row r="2" spans="1:15" ht="14" thickBot="1" x14ac:dyDescent="0.2">
      <c r="A2" s="22"/>
      <c r="B2" s="22"/>
      <c r="C2" s="22"/>
      <c r="D2" s="22"/>
      <c r="E2" s="22"/>
      <c r="F2" s="22"/>
      <c r="G2" s="22"/>
      <c r="H2" s="22"/>
      <c r="I2" s="22"/>
      <c r="J2" s="22"/>
      <c r="K2" s="22"/>
      <c r="L2" s="22"/>
      <c r="M2" s="22"/>
    </row>
    <row r="3" spans="1:15" x14ac:dyDescent="0.15">
      <c r="E3" s="22"/>
      <c r="K3" s="97" t="s">
        <v>134</v>
      </c>
      <c r="L3" s="98" t="s">
        <v>114</v>
      </c>
      <c r="M3"/>
      <c r="N3"/>
      <c r="O3"/>
    </row>
    <row r="4" spans="1:15" ht="14" thickBot="1" x14ac:dyDescent="0.2">
      <c r="A4" s="574"/>
      <c r="B4" s="90" t="s">
        <v>103</v>
      </c>
      <c r="E4" s="22"/>
      <c r="K4" s="99" t="s">
        <v>67</v>
      </c>
      <c r="L4" s="100" t="s">
        <v>6142</v>
      </c>
      <c r="M4"/>
      <c r="N4"/>
      <c r="O4"/>
    </row>
    <row r="5" spans="1:15" ht="14" thickBot="1" x14ac:dyDescent="0.2">
      <c r="A5" s="82" t="s">
        <v>133</v>
      </c>
      <c r="B5" s="560">
        <v>186</v>
      </c>
      <c r="E5" s="22"/>
      <c r="K5" s="454">
        <v>2025</v>
      </c>
      <c r="L5" s="571">
        <v>186</v>
      </c>
      <c r="M5"/>
      <c r="N5"/>
      <c r="O5"/>
    </row>
    <row r="6" spans="1:15" ht="14" thickBot="1" x14ac:dyDescent="0.2">
      <c r="E6" s="22"/>
      <c r="K6" s="86" t="s">
        <v>100</v>
      </c>
      <c r="L6" s="575">
        <v>186</v>
      </c>
      <c r="M6"/>
      <c r="N6"/>
      <c r="O6"/>
    </row>
    <row r="7" spans="1:15" x14ac:dyDescent="0.15">
      <c r="E7" s="22"/>
      <c r="K7"/>
      <c r="L7"/>
      <c r="M7"/>
      <c r="N7"/>
      <c r="O7"/>
    </row>
    <row r="8" spans="1:15" ht="14" thickBot="1" x14ac:dyDescent="0.2">
      <c r="E8" s="22"/>
      <c r="K8"/>
      <c r="L8"/>
      <c r="M8"/>
      <c r="N8"/>
      <c r="O8"/>
    </row>
    <row r="9" spans="1:15" x14ac:dyDescent="0.15">
      <c r="A9" s="83" t="s">
        <v>114</v>
      </c>
      <c r="B9" s="84" t="s">
        <v>103</v>
      </c>
      <c r="C9" s="83" t="s">
        <v>114</v>
      </c>
      <c r="D9" s="84" t="s">
        <v>101</v>
      </c>
      <c r="E9" s="22"/>
      <c r="F9" s="83" t="s">
        <v>67</v>
      </c>
      <c r="G9" s="84" t="s">
        <v>103</v>
      </c>
      <c r="H9" s="83" t="s">
        <v>67</v>
      </c>
      <c r="I9" s="84" t="s">
        <v>101</v>
      </c>
      <c r="K9"/>
      <c r="L9"/>
      <c r="M9"/>
      <c r="N9"/>
      <c r="O9"/>
    </row>
    <row r="10" spans="1:15" ht="14" thickBot="1" x14ac:dyDescent="0.2">
      <c r="A10" s="454" t="s">
        <v>6142</v>
      </c>
      <c r="B10" s="563">
        <v>186</v>
      </c>
      <c r="C10" s="454" t="s">
        <v>6142</v>
      </c>
      <c r="D10" s="456">
        <v>1</v>
      </c>
      <c r="E10" s="22"/>
      <c r="F10" s="454">
        <v>2025</v>
      </c>
      <c r="G10" s="563">
        <v>186</v>
      </c>
      <c r="H10" s="454">
        <v>2025</v>
      </c>
      <c r="I10" s="456">
        <v>1</v>
      </c>
      <c r="K10"/>
      <c r="L10"/>
      <c r="M10"/>
      <c r="N10"/>
    </row>
    <row r="11" spans="1:15" ht="14" thickBot="1" x14ac:dyDescent="0.2">
      <c r="A11" s="82" t="s">
        <v>100</v>
      </c>
      <c r="B11" s="562">
        <v>186</v>
      </c>
      <c r="C11" s="82" t="s">
        <v>100</v>
      </c>
      <c r="D11" s="85">
        <v>1</v>
      </c>
      <c r="E11" s="22"/>
      <c r="F11" s="82" t="s">
        <v>100</v>
      </c>
      <c r="G11" s="562">
        <v>186</v>
      </c>
      <c r="H11" s="82" t="s">
        <v>100</v>
      </c>
      <c r="I11" s="85">
        <v>1</v>
      </c>
      <c r="K11"/>
      <c r="L11"/>
      <c r="M11"/>
      <c r="N11"/>
    </row>
    <row r="12" spans="1:15" x14ac:dyDescent="0.15">
      <c r="A12"/>
      <c r="B12"/>
      <c r="C12"/>
      <c r="D12"/>
      <c r="E12" s="22"/>
      <c r="F12"/>
      <c r="G12"/>
      <c r="H12"/>
      <c r="I12"/>
      <c r="K12"/>
      <c r="L12"/>
      <c r="M12"/>
      <c r="N12"/>
    </row>
    <row r="13" spans="1:15" ht="14" thickBot="1" x14ac:dyDescent="0.2">
      <c r="A13"/>
      <c r="B13"/>
      <c r="C13"/>
      <c r="D13"/>
      <c r="E13" s="22"/>
      <c r="F13"/>
      <c r="G13"/>
      <c r="H13"/>
      <c r="I13"/>
    </row>
    <row r="14" spans="1:15" x14ac:dyDescent="0.15">
      <c r="A14"/>
      <c r="B14"/>
      <c r="C14"/>
      <c r="D14"/>
      <c r="E14" s="22"/>
      <c r="F14"/>
      <c r="G14"/>
      <c r="H14"/>
      <c r="I14"/>
    </row>
    <row r="15" spans="1:15" x14ac:dyDescent="0.15">
      <c r="E15" s="22"/>
      <c r="F15"/>
      <c r="G15"/>
      <c r="H15"/>
      <c r="I15"/>
    </row>
    <row r="16" spans="1:15" ht="14" thickBot="1" x14ac:dyDescent="0.2">
      <c r="E16" s="22"/>
      <c r="F16"/>
      <c r="G16"/>
      <c r="H16"/>
      <c r="I16"/>
    </row>
    <row r="17" spans="1:13" x14ac:dyDescent="0.15">
      <c r="A17" s="83" t="s">
        <v>132</v>
      </c>
      <c r="B17" s="84" t="s">
        <v>103</v>
      </c>
      <c r="C17" s="83" t="s">
        <v>132</v>
      </c>
      <c r="D17" s="84" t="s">
        <v>101</v>
      </c>
      <c r="E17" s="22"/>
      <c r="F17"/>
      <c r="G17"/>
      <c r="H17"/>
      <c r="I17"/>
    </row>
    <row r="18" spans="1:13" x14ac:dyDescent="0.15">
      <c r="A18" s="454" t="s">
        <v>6448</v>
      </c>
      <c r="B18" s="563">
        <v>40</v>
      </c>
      <c r="C18" s="454" t="s">
        <v>6448</v>
      </c>
      <c r="D18" s="456">
        <v>0.21505376344086022</v>
      </c>
      <c r="E18" s="22"/>
    </row>
    <row r="19" spans="1:13" x14ac:dyDescent="0.15">
      <c r="A19" s="552" t="s">
        <v>6446</v>
      </c>
      <c r="B19" s="564">
        <v>31</v>
      </c>
      <c r="C19" s="552" t="s">
        <v>6446</v>
      </c>
      <c r="D19" s="553">
        <v>0.16666666666666666</v>
      </c>
      <c r="E19" s="22"/>
    </row>
    <row r="20" spans="1:13" x14ac:dyDescent="0.15">
      <c r="A20" s="552" t="s">
        <v>6449</v>
      </c>
      <c r="B20" s="564">
        <v>29</v>
      </c>
      <c r="C20" s="552" t="s">
        <v>6449</v>
      </c>
      <c r="D20" s="553">
        <v>0.15591397849462366</v>
      </c>
      <c r="E20" s="22"/>
      <c r="F20"/>
      <c r="G20"/>
      <c r="H20"/>
      <c r="I20"/>
    </row>
    <row r="21" spans="1:13" ht="14" thickBot="1" x14ac:dyDescent="0.2">
      <c r="A21" s="552" t="s">
        <v>6443</v>
      </c>
      <c r="B21" s="564">
        <v>27</v>
      </c>
      <c r="C21" s="552" t="s">
        <v>6443</v>
      </c>
      <c r="D21" s="553">
        <v>0.14516129032258066</v>
      </c>
      <c r="E21" s="22"/>
      <c r="F21"/>
      <c r="G21"/>
      <c r="H21"/>
      <c r="I21"/>
    </row>
    <row r="22" spans="1:13" x14ac:dyDescent="0.15">
      <c r="A22" s="552" t="s">
        <v>6444</v>
      </c>
      <c r="B22" s="564">
        <v>21</v>
      </c>
      <c r="C22" s="552" t="s">
        <v>6444</v>
      </c>
      <c r="D22" s="553">
        <v>0.11290322580645161</v>
      </c>
      <c r="E22" s="22"/>
      <c r="F22"/>
      <c r="G22"/>
      <c r="H22"/>
      <c r="I22"/>
      <c r="K22" s="83" t="s">
        <v>67</v>
      </c>
      <c r="L22" s="87" t="s">
        <v>131</v>
      </c>
      <c r="M22" s="88" t="s">
        <v>130</v>
      </c>
    </row>
    <row r="23" spans="1:13" ht="14" thickBot="1" x14ac:dyDescent="0.2">
      <c r="A23" s="552" t="s">
        <v>6447</v>
      </c>
      <c r="B23" s="564">
        <v>19</v>
      </c>
      <c r="C23" s="552" t="s">
        <v>6447</v>
      </c>
      <c r="D23" s="553">
        <v>0.10215053763440861</v>
      </c>
      <c r="E23" s="22"/>
      <c r="K23" s="454">
        <v>2025</v>
      </c>
      <c r="L23" s="567">
        <v>202</v>
      </c>
      <c r="M23" s="571">
        <v>57</v>
      </c>
    </row>
    <row r="24" spans="1:13" ht="14" thickBot="1" x14ac:dyDescent="0.2">
      <c r="A24" s="552" t="s">
        <v>6445</v>
      </c>
      <c r="B24" s="564">
        <v>19</v>
      </c>
      <c r="C24" s="552" t="s">
        <v>6445</v>
      </c>
      <c r="D24" s="553">
        <v>0.10215053763440861</v>
      </c>
      <c r="E24" s="22"/>
      <c r="K24" s="86" t="s">
        <v>100</v>
      </c>
      <c r="L24" s="568">
        <v>202</v>
      </c>
      <c r="M24" s="570">
        <v>57</v>
      </c>
    </row>
    <row r="25" spans="1:13" ht="14" thickBot="1" x14ac:dyDescent="0.2">
      <c r="A25" s="82" t="s">
        <v>100</v>
      </c>
      <c r="B25" s="562">
        <v>186</v>
      </c>
      <c r="C25" s="82" t="s">
        <v>100</v>
      </c>
      <c r="D25" s="85">
        <v>1</v>
      </c>
      <c r="E25" s="22"/>
      <c r="K25"/>
      <c r="L25"/>
      <c r="M25"/>
    </row>
    <row r="26" spans="1:13" x14ac:dyDescent="0.15">
      <c r="A26"/>
      <c r="B26"/>
      <c r="C26"/>
      <c r="D26"/>
      <c r="E26" s="22"/>
      <c r="K26"/>
      <c r="L26"/>
      <c r="M26"/>
    </row>
    <row r="27" spans="1:13" x14ac:dyDescent="0.15">
      <c r="E27" s="22"/>
      <c r="K27"/>
      <c r="L27"/>
      <c r="M27"/>
    </row>
    <row r="28" spans="1:13" ht="14" thickBot="1" x14ac:dyDescent="0.2">
      <c r="E28" s="22"/>
      <c r="K28"/>
      <c r="L28"/>
      <c r="M28"/>
    </row>
    <row r="29" spans="1:13" x14ac:dyDescent="0.15">
      <c r="A29" s="83" t="s">
        <v>28</v>
      </c>
      <c r="B29" s="84" t="s">
        <v>103</v>
      </c>
      <c r="C29" s="83" t="s">
        <v>28</v>
      </c>
      <c r="D29" s="84" t="s">
        <v>101</v>
      </c>
      <c r="E29" s="22"/>
      <c r="F29" s="83" t="s">
        <v>115</v>
      </c>
      <c r="G29" s="84" t="s">
        <v>103</v>
      </c>
      <c r="H29" s="83" t="s">
        <v>115</v>
      </c>
      <c r="I29" s="84" t="s">
        <v>101</v>
      </c>
      <c r="K29"/>
      <c r="L29"/>
      <c r="M29"/>
    </row>
    <row r="30" spans="1:13" x14ac:dyDescent="0.15">
      <c r="A30" s="454">
        <v>0</v>
      </c>
      <c r="B30" s="563">
        <v>9</v>
      </c>
      <c r="C30" s="454">
        <v>0</v>
      </c>
      <c r="D30" s="456">
        <v>4.8387096774193547E-2</v>
      </c>
      <c r="E30" s="22"/>
      <c r="F30" s="454" t="s">
        <v>416</v>
      </c>
      <c r="G30" s="563">
        <v>50</v>
      </c>
      <c r="H30" s="454" t="s">
        <v>416</v>
      </c>
      <c r="I30" s="456">
        <v>0.26881720430107525</v>
      </c>
      <c r="K30"/>
      <c r="L30"/>
      <c r="M30"/>
    </row>
    <row r="31" spans="1:13" x14ac:dyDescent="0.15">
      <c r="A31" s="552">
        <v>1</v>
      </c>
      <c r="B31" s="564">
        <v>7</v>
      </c>
      <c r="C31" s="552">
        <v>1</v>
      </c>
      <c r="D31" s="553">
        <v>3.7634408602150539E-2</v>
      </c>
      <c r="E31" s="22"/>
      <c r="F31" s="552" t="s">
        <v>438</v>
      </c>
      <c r="G31" s="564">
        <v>37</v>
      </c>
      <c r="H31" s="552" t="s">
        <v>438</v>
      </c>
      <c r="I31" s="553">
        <v>0.19892473118279569</v>
      </c>
    </row>
    <row r="32" spans="1:13" x14ac:dyDescent="0.15">
      <c r="A32" s="552">
        <v>2</v>
      </c>
      <c r="B32" s="564">
        <v>9</v>
      </c>
      <c r="C32" s="552">
        <v>2</v>
      </c>
      <c r="D32" s="553">
        <v>4.8387096774193547E-2</v>
      </c>
      <c r="E32" s="22"/>
      <c r="F32" s="552" t="s">
        <v>211</v>
      </c>
      <c r="G32" s="564">
        <v>31</v>
      </c>
      <c r="H32" s="552" t="s">
        <v>211</v>
      </c>
      <c r="I32" s="553">
        <v>0.16666666666666666</v>
      </c>
    </row>
    <row r="33" spans="1:14" x14ac:dyDescent="0.15">
      <c r="A33" s="552">
        <v>3</v>
      </c>
      <c r="B33" s="564">
        <v>9</v>
      </c>
      <c r="C33" s="552">
        <v>3</v>
      </c>
      <c r="D33" s="553">
        <v>4.8387096774193547E-2</v>
      </c>
      <c r="E33" s="22"/>
      <c r="F33" s="552" t="s">
        <v>209</v>
      </c>
      <c r="G33" s="564">
        <v>19</v>
      </c>
      <c r="H33" s="552" t="s">
        <v>209</v>
      </c>
      <c r="I33" s="553">
        <v>0.10215053763440861</v>
      </c>
    </row>
    <row r="34" spans="1:14" x14ac:dyDescent="0.15">
      <c r="A34" s="552">
        <v>4</v>
      </c>
      <c r="B34" s="564">
        <v>5</v>
      </c>
      <c r="C34" s="552">
        <v>4</v>
      </c>
      <c r="D34" s="553">
        <v>2.6881720430107527E-2</v>
      </c>
      <c r="E34" s="22"/>
      <c r="F34" s="552" t="s">
        <v>402</v>
      </c>
      <c r="G34" s="564">
        <v>9</v>
      </c>
      <c r="H34" s="552" t="s">
        <v>402</v>
      </c>
      <c r="I34" s="553">
        <v>4.8387096774193547E-2</v>
      </c>
    </row>
    <row r="35" spans="1:14" x14ac:dyDescent="0.15">
      <c r="A35" s="552">
        <v>5</v>
      </c>
      <c r="B35" s="564">
        <v>9</v>
      </c>
      <c r="C35" s="552">
        <v>5</v>
      </c>
      <c r="D35" s="553">
        <v>4.8387096774193547E-2</v>
      </c>
      <c r="E35" s="22"/>
      <c r="F35" s="552" t="s">
        <v>390</v>
      </c>
      <c r="G35" s="564">
        <v>8</v>
      </c>
      <c r="H35" s="552" t="s">
        <v>390</v>
      </c>
      <c r="I35" s="553">
        <v>4.3010752688172046E-2</v>
      </c>
    </row>
    <row r="36" spans="1:14" x14ac:dyDescent="0.15">
      <c r="A36" s="552">
        <v>6</v>
      </c>
      <c r="B36" s="564">
        <v>8</v>
      </c>
      <c r="C36" s="552">
        <v>6</v>
      </c>
      <c r="D36" s="553">
        <v>4.3010752688172046E-2</v>
      </c>
      <c r="E36" s="22"/>
      <c r="F36" s="552" t="s">
        <v>202</v>
      </c>
      <c r="G36" s="564">
        <v>8</v>
      </c>
      <c r="H36" s="552" t="s">
        <v>202</v>
      </c>
      <c r="I36" s="553">
        <v>4.3010752688172046E-2</v>
      </c>
    </row>
    <row r="37" spans="1:14" x14ac:dyDescent="0.15">
      <c r="A37" s="552">
        <v>7</v>
      </c>
      <c r="B37" s="564">
        <v>1</v>
      </c>
      <c r="C37" s="552">
        <v>7</v>
      </c>
      <c r="D37" s="553">
        <v>5.3763440860215058E-3</v>
      </c>
      <c r="E37" s="22"/>
      <c r="F37" s="552" t="s">
        <v>230</v>
      </c>
      <c r="G37" s="564">
        <v>8</v>
      </c>
      <c r="H37" s="552" t="s">
        <v>230</v>
      </c>
      <c r="I37" s="553">
        <v>4.3010752688172046E-2</v>
      </c>
    </row>
    <row r="38" spans="1:14" x14ac:dyDescent="0.15">
      <c r="A38" s="552">
        <v>8</v>
      </c>
      <c r="B38" s="564">
        <v>6</v>
      </c>
      <c r="C38" s="552">
        <v>8</v>
      </c>
      <c r="D38" s="553">
        <v>3.2258064516129031E-2</v>
      </c>
      <c r="E38" s="22"/>
      <c r="F38" s="552" t="s">
        <v>210</v>
      </c>
      <c r="G38" s="564">
        <v>6</v>
      </c>
      <c r="H38" s="552" t="s">
        <v>210</v>
      </c>
      <c r="I38" s="553">
        <v>3.2258064516129031E-2</v>
      </c>
    </row>
    <row r="39" spans="1:14" ht="14" thickBot="1" x14ac:dyDescent="0.2">
      <c r="A39" s="552">
        <v>9</v>
      </c>
      <c r="B39" s="564">
        <v>3</v>
      </c>
      <c r="C39" s="552">
        <v>9</v>
      </c>
      <c r="D39" s="553">
        <v>1.6129032258064516E-2</v>
      </c>
      <c r="E39" s="22"/>
      <c r="F39" s="552" t="s">
        <v>313</v>
      </c>
      <c r="G39" s="564">
        <v>3</v>
      </c>
      <c r="H39" s="552" t="s">
        <v>313</v>
      </c>
      <c r="I39" s="553">
        <v>1.6129032258064516E-2</v>
      </c>
    </row>
    <row r="40" spans="1:14" x14ac:dyDescent="0.15">
      <c r="A40" s="552">
        <v>10</v>
      </c>
      <c r="B40" s="564">
        <v>7</v>
      </c>
      <c r="C40" s="552">
        <v>10</v>
      </c>
      <c r="D40" s="553">
        <v>3.7634408602150539E-2</v>
      </c>
      <c r="E40" s="22"/>
      <c r="F40" s="552" t="s">
        <v>409</v>
      </c>
      <c r="G40" s="564">
        <v>3</v>
      </c>
      <c r="H40" s="552" t="s">
        <v>409</v>
      </c>
      <c r="I40" s="553">
        <v>1.6129032258064516E-2</v>
      </c>
      <c r="K40" s="83" t="s">
        <v>67</v>
      </c>
      <c r="L40" s="87" t="s">
        <v>61</v>
      </c>
      <c r="M40" s="87" t="s">
        <v>62</v>
      </c>
      <c r="N40" s="88" t="s">
        <v>63</v>
      </c>
    </row>
    <row r="41" spans="1:14" ht="14" thickBot="1" x14ac:dyDescent="0.2">
      <c r="A41" s="552">
        <v>11</v>
      </c>
      <c r="B41" s="564">
        <v>9</v>
      </c>
      <c r="C41" s="552">
        <v>11</v>
      </c>
      <c r="D41" s="553">
        <v>4.8387096774193547E-2</v>
      </c>
      <c r="E41" s="22"/>
      <c r="F41" s="552" t="s">
        <v>206</v>
      </c>
      <c r="G41" s="564">
        <v>2</v>
      </c>
      <c r="H41" s="552" t="s">
        <v>206</v>
      </c>
      <c r="I41" s="553">
        <v>1.0752688172043012E-2</v>
      </c>
      <c r="K41" s="454">
        <v>2025</v>
      </c>
      <c r="L41" s="567">
        <v>57</v>
      </c>
      <c r="M41" s="567">
        <v>66</v>
      </c>
      <c r="N41" s="571">
        <v>30</v>
      </c>
    </row>
    <row r="42" spans="1:14" ht="14" thickBot="1" x14ac:dyDescent="0.2">
      <c r="A42" s="552">
        <v>12</v>
      </c>
      <c r="B42" s="564">
        <v>9</v>
      </c>
      <c r="C42" s="552">
        <v>12</v>
      </c>
      <c r="D42" s="553">
        <v>4.8387096774193547E-2</v>
      </c>
      <c r="E42" s="22"/>
      <c r="F42" s="552" t="s">
        <v>401</v>
      </c>
      <c r="G42" s="564">
        <v>1</v>
      </c>
      <c r="H42" s="552" t="s">
        <v>401</v>
      </c>
      <c r="I42" s="553">
        <v>5.3763440860215058E-3</v>
      </c>
      <c r="K42" s="86" t="s">
        <v>100</v>
      </c>
      <c r="L42" s="568">
        <v>57</v>
      </c>
      <c r="M42" s="569">
        <v>66</v>
      </c>
      <c r="N42" s="570">
        <v>30</v>
      </c>
    </row>
    <row r="43" spans="1:14" ht="14" thickBot="1" x14ac:dyDescent="0.2">
      <c r="A43" s="552">
        <v>13</v>
      </c>
      <c r="B43" s="564">
        <v>4</v>
      </c>
      <c r="C43" s="552">
        <v>13</v>
      </c>
      <c r="D43" s="553">
        <v>2.1505376344086023E-2</v>
      </c>
      <c r="E43" s="22"/>
      <c r="F43" s="552" t="s">
        <v>860</v>
      </c>
      <c r="G43" s="564">
        <v>1</v>
      </c>
      <c r="H43" s="552" t="s">
        <v>860</v>
      </c>
      <c r="I43" s="553">
        <v>5.3763440860215058E-3</v>
      </c>
      <c r="K43"/>
      <c r="L43"/>
      <c r="M43"/>
      <c r="N43"/>
    </row>
    <row r="44" spans="1:14" ht="14" thickBot="1" x14ac:dyDescent="0.2">
      <c r="A44" s="552">
        <v>14</v>
      </c>
      <c r="B44" s="564">
        <v>5</v>
      </c>
      <c r="C44" s="552">
        <v>14</v>
      </c>
      <c r="D44" s="553">
        <v>2.6881720430107527E-2</v>
      </c>
      <c r="E44" s="22"/>
      <c r="F44" s="82" t="s">
        <v>100</v>
      </c>
      <c r="G44" s="562">
        <v>186</v>
      </c>
      <c r="H44" s="82" t="s">
        <v>100</v>
      </c>
      <c r="I44" s="85">
        <v>1</v>
      </c>
      <c r="K44"/>
      <c r="L44"/>
      <c r="M44"/>
      <c r="N44"/>
    </row>
    <row r="45" spans="1:14" x14ac:dyDescent="0.15">
      <c r="A45" s="552">
        <v>15</v>
      </c>
      <c r="B45" s="564">
        <v>7</v>
      </c>
      <c r="C45" s="552">
        <v>15</v>
      </c>
      <c r="D45" s="553">
        <v>3.7634408602150539E-2</v>
      </c>
      <c r="E45" s="22"/>
      <c r="F45"/>
      <c r="G45"/>
      <c r="H45"/>
      <c r="I45"/>
      <c r="K45"/>
      <c r="L45"/>
      <c r="M45"/>
      <c r="N45"/>
    </row>
    <row r="46" spans="1:14" x14ac:dyDescent="0.15">
      <c r="A46" s="552">
        <v>16</v>
      </c>
      <c r="B46" s="564">
        <v>8</v>
      </c>
      <c r="C46" s="552">
        <v>16</v>
      </c>
      <c r="D46" s="553">
        <v>4.3010752688172046E-2</v>
      </c>
      <c r="E46" s="22"/>
      <c r="F46"/>
      <c r="G46"/>
      <c r="H46"/>
      <c r="I46"/>
      <c r="K46"/>
      <c r="L46"/>
      <c r="M46"/>
      <c r="N46"/>
    </row>
    <row r="47" spans="1:14" x14ac:dyDescent="0.15">
      <c r="A47" s="552">
        <v>17</v>
      </c>
      <c r="B47" s="564">
        <v>9</v>
      </c>
      <c r="C47" s="552">
        <v>17</v>
      </c>
      <c r="D47" s="553">
        <v>4.8387096774193547E-2</v>
      </c>
      <c r="E47" s="22"/>
      <c r="F47"/>
      <c r="G47"/>
      <c r="H47"/>
      <c r="I47"/>
      <c r="K47"/>
      <c r="L47"/>
      <c r="M47"/>
      <c r="N47"/>
    </row>
    <row r="48" spans="1:14" x14ac:dyDescent="0.15">
      <c r="A48" s="552">
        <v>18</v>
      </c>
      <c r="B48" s="564">
        <v>9</v>
      </c>
      <c r="C48" s="552">
        <v>18</v>
      </c>
      <c r="D48" s="553">
        <v>4.8387096774193547E-2</v>
      </c>
      <c r="E48" s="22"/>
      <c r="F48"/>
      <c r="G48"/>
      <c r="H48"/>
      <c r="I48"/>
      <c r="K48"/>
      <c r="L48"/>
      <c r="M48"/>
      <c r="N48"/>
    </row>
    <row r="49" spans="1:13" x14ac:dyDescent="0.15">
      <c r="A49" s="552">
        <v>19</v>
      </c>
      <c r="B49" s="564">
        <v>13</v>
      </c>
      <c r="C49" s="552">
        <v>19</v>
      </c>
      <c r="D49" s="553">
        <v>6.9892473118279563E-2</v>
      </c>
      <c r="E49" s="22"/>
      <c r="L49" s="8"/>
      <c r="M49" s="8"/>
    </row>
    <row r="50" spans="1:13" x14ac:dyDescent="0.15">
      <c r="A50" s="552">
        <v>20</v>
      </c>
      <c r="B50" s="564">
        <v>10</v>
      </c>
      <c r="C50" s="552">
        <v>20</v>
      </c>
      <c r="D50" s="553">
        <v>5.3763440860215055E-2</v>
      </c>
      <c r="E50" s="22"/>
      <c r="L50" s="8"/>
      <c r="M50" s="8"/>
    </row>
    <row r="51" spans="1:13" x14ac:dyDescent="0.15">
      <c r="A51" s="552">
        <v>21</v>
      </c>
      <c r="B51" s="564">
        <v>12</v>
      </c>
      <c r="C51" s="552">
        <v>21</v>
      </c>
      <c r="D51" s="553">
        <v>6.4516129032258063E-2</v>
      </c>
      <c r="E51" s="22"/>
      <c r="L51" s="8"/>
      <c r="M51" s="8"/>
    </row>
    <row r="52" spans="1:13" x14ac:dyDescent="0.15">
      <c r="A52" s="552">
        <v>22</v>
      </c>
      <c r="B52" s="564">
        <v>12</v>
      </c>
      <c r="C52" s="552">
        <v>22</v>
      </c>
      <c r="D52" s="553">
        <v>6.4516129032258063E-2</v>
      </c>
      <c r="E52" s="22"/>
      <c r="L52" s="8"/>
      <c r="M52" s="8"/>
    </row>
    <row r="53" spans="1:13" ht="14" thickBot="1" x14ac:dyDescent="0.2">
      <c r="A53" s="552">
        <v>23</v>
      </c>
      <c r="B53" s="564">
        <v>6</v>
      </c>
      <c r="C53" s="552">
        <v>23</v>
      </c>
      <c r="D53" s="553">
        <v>3.2258064516129031E-2</v>
      </c>
      <c r="E53" s="22"/>
      <c r="L53" s="8"/>
      <c r="M53" s="8"/>
    </row>
    <row r="54" spans="1:13" ht="14" thickBot="1" x14ac:dyDescent="0.2">
      <c r="A54" s="82" t="s">
        <v>100</v>
      </c>
      <c r="B54" s="562">
        <v>186</v>
      </c>
      <c r="C54" s="82" t="s">
        <v>100</v>
      </c>
      <c r="D54" s="85">
        <v>1</v>
      </c>
      <c r="E54" s="22"/>
      <c r="K54" s="25"/>
      <c r="L54" s="26"/>
      <c r="M54" s="26"/>
    </row>
    <row r="55" spans="1:13" x14ac:dyDescent="0.15">
      <c r="A55"/>
      <c r="B55"/>
      <c r="C55"/>
      <c r="D55"/>
      <c r="E55" s="22"/>
    </row>
    <row r="56" spans="1:13" x14ac:dyDescent="0.15">
      <c r="E56" s="22"/>
    </row>
    <row r="57" spans="1:13" ht="14" thickBot="1" x14ac:dyDescent="0.2">
      <c r="E57" s="22"/>
    </row>
    <row r="58" spans="1:13" x14ac:dyDescent="0.15">
      <c r="A58" s="83" t="s">
        <v>129</v>
      </c>
      <c r="B58" s="84" t="s">
        <v>103</v>
      </c>
      <c r="C58" s="83" t="s">
        <v>129</v>
      </c>
      <c r="D58" s="84" t="s">
        <v>101</v>
      </c>
      <c r="E58" s="22"/>
      <c r="F58" s="83" t="s">
        <v>128</v>
      </c>
      <c r="G58" s="84" t="s">
        <v>103</v>
      </c>
      <c r="H58" s="83" t="s">
        <v>128</v>
      </c>
      <c r="I58" s="84" t="s">
        <v>101</v>
      </c>
      <c r="K58" s="89" t="s">
        <v>115</v>
      </c>
      <c r="L58" s="91" t="s">
        <v>114</v>
      </c>
      <c r="M58" s="90" t="s">
        <v>103</v>
      </c>
    </row>
    <row r="59" spans="1:13" x14ac:dyDescent="0.15">
      <c r="A59" s="454" t="s">
        <v>392</v>
      </c>
      <c r="B59" s="563">
        <v>87</v>
      </c>
      <c r="C59" s="454" t="s">
        <v>392</v>
      </c>
      <c r="D59" s="456">
        <v>0.46774193548387094</v>
      </c>
      <c r="E59" s="22"/>
      <c r="F59" s="454" t="s">
        <v>500</v>
      </c>
      <c r="G59" s="563">
        <v>130</v>
      </c>
      <c r="H59" s="454" t="s">
        <v>500</v>
      </c>
      <c r="I59" s="456">
        <v>0.69892473118279574</v>
      </c>
      <c r="K59" s="460" t="s">
        <v>416</v>
      </c>
      <c r="L59" s="452" t="s">
        <v>6142</v>
      </c>
      <c r="M59" s="559">
        <v>50</v>
      </c>
    </row>
    <row r="60" spans="1:13" x14ac:dyDescent="0.15">
      <c r="A60" s="552" t="s">
        <v>403</v>
      </c>
      <c r="B60" s="564">
        <v>65</v>
      </c>
      <c r="C60" s="552" t="s">
        <v>403</v>
      </c>
      <c r="D60" s="553">
        <v>0.34946236559139787</v>
      </c>
      <c r="E60" s="22"/>
      <c r="F60" s="552" t="s">
        <v>225</v>
      </c>
      <c r="G60" s="564">
        <v>38</v>
      </c>
      <c r="H60" s="552" t="s">
        <v>225</v>
      </c>
      <c r="I60" s="553">
        <v>0.20430107526881722</v>
      </c>
      <c r="K60" s="92" t="s">
        <v>6731</v>
      </c>
      <c r="L60" s="554"/>
      <c r="M60" s="572">
        <v>50</v>
      </c>
    </row>
    <row r="61" spans="1:13" x14ac:dyDescent="0.15">
      <c r="A61" s="552" t="s">
        <v>420</v>
      </c>
      <c r="B61" s="564">
        <v>18</v>
      </c>
      <c r="C61" s="552" t="s">
        <v>420</v>
      </c>
      <c r="D61" s="553">
        <v>9.6774193548387094E-2</v>
      </c>
      <c r="E61" s="22"/>
      <c r="F61" s="552" t="s">
        <v>501</v>
      </c>
      <c r="G61" s="564">
        <v>8</v>
      </c>
      <c r="H61" s="552" t="s">
        <v>501</v>
      </c>
      <c r="I61" s="553">
        <v>4.3010752688172046E-2</v>
      </c>
      <c r="K61" s="460" t="s">
        <v>438</v>
      </c>
      <c r="L61" s="452" t="s">
        <v>6142</v>
      </c>
      <c r="M61" s="559">
        <v>37</v>
      </c>
    </row>
    <row r="62" spans="1:13" x14ac:dyDescent="0.15">
      <c r="A62" s="552" t="s">
        <v>430</v>
      </c>
      <c r="B62" s="564">
        <v>11</v>
      </c>
      <c r="C62" s="552" t="s">
        <v>430</v>
      </c>
      <c r="D62" s="553">
        <v>5.9139784946236562E-2</v>
      </c>
      <c r="E62" s="22"/>
      <c r="F62" s="552" t="s">
        <v>430</v>
      </c>
      <c r="G62" s="564">
        <v>6</v>
      </c>
      <c r="H62" s="552" t="s">
        <v>430</v>
      </c>
      <c r="I62" s="553">
        <v>3.2258064516129031E-2</v>
      </c>
      <c r="K62" s="92" t="s">
        <v>6735</v>
      </c>
      <c r="L62" s="554"/>
      <c r="M62" s="572">
        <v>37</v>
      </c>
    </row>
    <row r="63" spans="1:13" x14ac:dyDescent="0.15">
      <c r="A63" s="552" t="s">
        <v>6151</v>
      </c>
      <c r="B63" s="564">
        <v>3</v>
      </c>
      <c r="C63" s="552" t="s">
        <v>6151</v>
      </c>
      <c r="D63" s="553">
        <v>1.6129032258064516E-2</v>
      </c>
      <c r="E63" s="22"/>
      <c r="F63" s="552" t="s">
        <v>6151</v>
      </c>
      <c r="G63" s="564">
        <v>2</v>
      </c>
      <c r="H63" s="552" t="s">
        <v>6151</v>
      </c>
      <c r="I63" s="553">
        <v>1.0752688172043012E-2</v>
      </c>
      <c r="K63" s="460" t="s">
        <v>211</v>
      </c>
      <c r="L63" s="452" t="s">
        <v>6142</v>
      </c>
      <c r="M63" s="559">
        <v>31</v>
      </c>
    </row>
    <row r="64" spans="1:13" ht="14" thickBot="1" x14ac:dyDescent="0.2">
      <c r="A64" s="552" t="s">
        <v>1030</v>
      </c>
      <c r="B64" s="564">
        <v>2</v>
      </c>
      <c r="C64" s="552" t="s">
        <v>1030</v>
      </c>
      <c r="D64" s="553">
        <v>1.0752688172043012E-2</v>
      </c>
      <c r="E64" s="22"/>
      <c r="F64" s="552" t="s">
        <v>503</v>
      </c>
      <c r="G64" s="564">
        <v>1</v>
      </c>
      <c r="H64" s="552" t="s">
        <v>503</v>
      </c>
      <c r="I64" s="553">
        <v>5.3763440860215058E-3</v>
      </c>
      <c r="K64" s="92" t="s">
        <v>6734</v>
      </c>
      <c r="L64" s="554"/>
      <c r="M64" s="572">
        <v>31</v>
      </c>
    </row>
    <row r="65" spans="1:13" ht="14" thickBot="1" x14ac:dyDescent="0.2">
      <c r="A65" s="82" t="s">
        <v>100</v>
      </c>
      <c r="B65" s="562">
        <v>186</v>
      </c>
      <c r="C65" s="82" t="s">
        <v>100</v>
      </c>
      <c r="D65" s="85">
        <v>1</v>
      </c>
      <c r="E65" s="22"/>
      <c r="F65" s="552" t="s">
        <v>504</v>
      </c>
      <c r="G65" s="564">
        <v>1</v>
      </c>
      <c r="H65" s="552" t="s">
        <v>504</v>
      </c>
      <c r="I65" s="553">
        <v>5.3763440860215058E-3</v>
      </c>
      <c r="K65" s="460" t="s">
        <v>209</v>
      </c>
      <c r="L65" s="452" t="s">
        <v>6142</v>
      </c>
      <c r="M65" s="559">
        <v>19</v>
      </c>
    </row>
    <row r="66" spans="1:13" ht="14" thickBot="1" x14ac:dyDescent="0.2">
      <c r="A66"/>
      <c r="B66"/>
      <c r="C66"/>
      <c r="D66"/>
      <c r="E66" s="22"/>
      <c r="F66" s="82" t="s">
        <v>100</v>
      </c>
      <c r="G66" s="562">
        <v>186</v>
      </c>
      <c r="H66" s="82" t="s">
        <v>100</v>
      </c>
      <c r="I66" s="85">
        <v>1</v>
      </c>
      <c r="K66" s="92" t="s">
        <v>6745</v>
      </c>
      <c r="L66" s="554"/>
      <c r="M66" s="572">
        <v>19</v>
      </c>
    </row>
    <row r="67" spans="1:13" x14ac:dyDescent="0.15">
      <c r="A67"/>
      <c r="B67"/>
      <c r="C67"/>
      <c r="D67"/>
      <c r="E67" s="22"/>
      <c r="K67" s="460" t="s">
        <v>402</v>
      </c>
      <c r="L67" s="452" t="s">
        <v>6142</v>
      </c>
      <c r="M67" s="559">
        <v>9</v>
      </c>
    </row>
    <row r="68" spans="1:13" x14ac:dyDescent="0.15">
      <c r="A68"/>
      <c r="B68"/>
      <c r="C68"/>
      <c r="D68"/>
      <c r="E68" s="22"/>
      <c r="K68" s="92" t="s">
        <v>6736</v>
      </c>
      <c r="L68" s="554"/>
      <c r="M68" s="572">
        <v>9</v>
      </c>
    </row>
    <row r="69" spans="1:13" x14ac:dyDescent="0.15">
      <c r="E69" s="22"/>
      <c r="K69" s="460" t="s">
        <v>390</v>
      </c>
      <c r="L69" s="452" t="s">
        <v>6142</v>
      </c>
      <c r="M69" s="559">
        <v>8</v>
      </c>
    </row>
    <row r="70" spans="1:13" ht="14" thickBot="1" x14ac:dyDescent="0.2">
      <c r="E70" s="22"/>
      <c r="K70" s="92" t="s">
        <v>6733</v>
      </c>
      <c r="L70" s="554"/>
      <c r="M70" s="572">
        <v>8</v>
      </c>
    </row>
    <row r="71" spans="1:13" x14ac:dyDescent="0.15">
      <c r="A71" s="83" t="s">
        <v>127</v>
      </c>
      <c r="B71" s="84" t="s">
        <v>103</v>
      </c>
      <c r="C71" s="83" t="s">
        <v>127</v>
      </c>
      <c r="D71" s="84" t="s">
        <v>101</v>
      </c>
      <c r="E71" s="22"/>
      <c r="F71" s="83" t="s">
        <v>31</v>
      </c>
      <c r="G71" s="84" t="s">
        <v>103</v>
      </c>
      <c r="H71" s="83" t="s">
        <v>31</v>
      </c>
      <c r="I71" s="84" t="s">
        <v>101</v>
      </c>
      <c r="K71" s="460" t="s">
        <v>202</v>
      </c>
      <c r="L71" s="452" t="s">
        <v>6142</v>
      </c>
      <c r="M71" s="559">
        <v>8</v>
      </c>
    </row>
    <row r="72" spans="1:13" x14ac:dyDescent="0.15">
      <c r="A72" s="454" t="s">
        <v>506</v>
      </c>
      <c r="B72" s="563">
        <v>62</v>
      </c>
      <c r="C72" s="454" t="s">
        <v>506</v>
      </c>
      <c r="D72" s="456">
        <v>0.33333333333333331</v>
      </c>
      <c r="E72" s="22"/>
      <c r="F72" s="454">
        <v>1</v>
      </c>
      <c r="G72" s="563">
        <v>62</v>
      </c>
      <c r="H72" s="454">
        <v>1</v>
      </c>
      <c r="I72" s="456">
        <v>0.33333333333333331</v>
      </c>
      <c r="K72" s="92" t="s">
        <v>6748</v>
      </c>
      <c r="L72" s="554"/>
      <c r="M72" s="572">
        <v>8</v>
      </c>
    </row>
    <row r="73" spans="1:13" x14ac:dyDescent="0.15">
      <c r="A73" s="552" t="s">
        <v>404</v>
      </c>
      <c r="B73" s="564">
        <v>62</v>
      </c>
      <c r="C73" s="552" t="s">
        <v>404</v>
      </c>
      <c r="D73" s="553">
        <v>0.33333333333333331</v>
      </c>
      <c r="E73" s="22"/>
      <c r="F73" s="552">
        <v>2</v>
      </c>
      <c r="G73" s="564">
        <v>101</v>
      </c>
      <c r="H73" s="552">
        <v>2</v>
      </c>
      <c r="I73" s="553">
        <v>0.543010752688172</v>
      </c>
      <c r="K73" s="460" t="s">
        <v>230</v>
      </c>
      <c r="L73" s="452" t="s">
        <v>6142</v>
      </c>
      <c r="M73" s="559">
        <v>8</v>
      </c>
    </row>
    <row r="74" spans="1:13" x14ac:dyDescent="0.15">
      <c r="A74" s="552" t="s">
        <v>505</v>
      </c>
      <c r="B74" s="564">
        <v>53</v>
      </c>
      <c r="C74" s="552" t="s">
        <v>505</v>
      </c>
      <c r="D74" s="553">
        <v>0.28494623655913981</v>
      </c>
      <c r="E74" s="22"/>
      <c r="F74" s="552">
        <v>3</v>
      </c>
      <c r="G74" s="564">
        <v>15</v>
      </c>
      <c r="H74" s="552">
        <v>3</v>
      </c>
      <c r="I74" s="553">
        <v>8.0645161290322578E-2</v>
      </c>
      <c r="K74" s="92" t="s">
        <v>6732</v>
      </c>
      <c r="L74" s="554"/>
      <c r="M74" s="572">
        <v>8</v>
      </c>
    </row>
    <row r="75" spans="1:13" ht="14" thickBot="1" x14ac:dyDescent="0.2">
      <c r="A75" s="552" t="s">
        <v>6324</v>
      </c>
      <c r="B75" s="564">
        <v>8</v>
      </c>
      <c r="C75" s="552" t="s">
        <v>6324</v>
      </c>
      <c r="D75" s="553">
        <v>4.3010752688172046E-2</v>
      </c>
      <c r="E75" s="22"/>
      <c r="F75" s="552">
        <v>4</v>
      </c>
      <c r="G75" s="564">
        <v>6</v>
      </c>
      <c r="H75" s="552">
        <v>4</v>
      </c>
      <c r="I75" s="553">
        <v>3.2258064516129031E-2</v>
      </c>
      <c r="K75" s="460" t="s">
        <v>210</v>
      </c>
      <c r="L75" s="452" t="s">
        <v>6142</v>
      </c>
      <c r="M75" s="559">
        <v>6</v>
      </c>
    </row>
    <row r="76" spans="1:13" ht="14" thickBot="1" x14ac:dyDescent="0.2">
      <c r="A76" s="552" t="s">
        <v>6151</v>
      </c>
      <c r="B76" s="564">
        <v>1</v>
      </c>
      <c r="C76" s="552" t="s">
        <v>6151</v>
      </c>
      <c r="D76" s="553">
        <v>5.3763440860215058E-3</v>
      </c>
      <c r="E76" s="22"/>
      <c r="F76" s="552">
        <v>5</v>
      </c>
      <c r="G76" s="564">
        <v>2</v>
      </c>
      <c r="H76" s="552">
        <v>5</v>
      </c>
      <c r="I76" s="553">
        <v>1.0752688172043012E-2</v>
      </c>
      <c r="K76" s="92" t="s">
        <v>6750</v>
      </c>
      <c r="L76" s="554"/>
      <c r="M76" s="572">
        <v>6</v>
      </c>
    </row>
    <row r="77" spans="1:13" ht="14" thickBot="1" x14ac:dyDescent="0.2">
      <c r="A77" s="82" t="s">
        <v>100</v>
      </c>
      <c r="B77" s="562">
        <v>186</v>
      </c>
      <c r="C77" s="82" t="s">
        <v>100</v>
      </c>
      <c r="D77" s="85">
        <v>1</v>
      </c>
      <c r="E77" s="22"/>
      <c r="F77" s="82" t="s">
        <v>100</v>
      </c>
      <c r="G77" s="562">
        <v>186</v>
      </c>
      <c r="H77" s="82" t="s">
        <v>100</v>
      </c>
      <c r="I77" s="85">
        <v>1</v>
      </c>
      <c r="K77" s="460" t="s">
        <v>313</v>
      </c>
      <c r="L77" s="452" t="s">
        <v>6142</v>
      </c>
      <c r="M77" s="559">
        <v>3</v>
      </c>
    </row>
    <row r="78" spans="1:13" x14ac:dyDescent="0.15">
      <c r="A78"/>
      <c r="B78"/>
      <c r="C78"/>
      <c r="D78"/>
      <c r="E78" s="22"/>
      <c r="F78"/>
      <c r="G78"/>
      <c r="H78"/>
      <c r="I78"/>
      <c r="K78" s="92" t="s">
        <v>6747</v>
      </c>
      <c r="L78" s="554"/>
      <c r="M78" s="572">
        <v>3</v>
      </c>
    </row>
    <row r="79" spans="1:13" ht="14" thickBot="1" x14ac:dyDescent="0.2">
      <c r="A79"/>
      <c r="B79"/>
      <c r="C79"/>
      <c r="D79"/>
      <c r="E79" s="22"/>
      <c r="F79"/>
      <c r="G79"/>
      <c r="H79"/>
      <c r="I79"/>
      <c r="K79" s="460" t="s">
        <v>409</v>
      </c>
      <c r="L79" s="452" t="s">
        <v>6142</v>
      </c>
      <c r="M79" s="559">
        <v>3</v>
      </c>
    </row>
    <row r="80" spans="1:13" x14ac:dyDescent="0.15">
      <c r="E80" s="22"/>
      <c r="F80"/>
      <c r="G80"/>
      <c r="H80"/>
      <c r="I80"/>
      <c r="K80" s="92" t="s">
        <v>6746</v>
      </c>
      <c r="L80" s="554"/>
      <c r="M80" s="572">
        <v>3</v>
      </c>
    </row>
    <row r="81" spans="1:13" ht="14" thickBot="1" x14ac:dyDescent="0.2">
      <c r="E81" s="22"/>
      <c r="F81"/>
      <c r="G81"/>
      <c r="H81"/>
      <c r="I81"/>
      <c r="K81" s="460" t="s">
        <v>206</v>
      </c>
      <c r="L81" s="452" t="s">
        <v>6142</v>
      </c>
      <c r="M81" s="559">
        <v>2</v>
      </c>
    </row>
    <row r="82" spans="1:13" ht="14" thickBot="1" x14ac:dyDescent="0.2">
      <c r="E82" s="22"/>
      <c r="F82"/>
      <c r="G82"/>
      <c r="H82"/>
      <c r="I82"/>
      <c r="K82" s="92" t="s">
        <v>6749</v>
      </c>
      <c r="L82" s="554"/>
      <c r="M82" s="572">
        <v>2</v>
      </c>
    </row>
    <row r="83" spans="1:13" x14ac:dyDescent="0.15">
      <c r="E83" s="22"/>
      <c r="K83" s="460" t="s">
        <v>401</v>
      </c>
      <c r="L83" s="452" t="s">
        <v>6142</v>
      </c>
      <c r="M83" s="559">
        <v>1</v>
      </c>
    </row>
    <row r="84" spans="1:13" ht="14" thickBot="1" x14ac:dyDescent="0.2">
      <c r="E84" s="22"/>
      <c r="K84" s="92" t="s">
        <v>6751</v>
      </c>
      <c r="L84" s="554"/>
      <c r="M84" s="572">
        <v>1</v>
      </c>
    </row>
    <row r="85" spans="1:13" x14ac:dyDescent="0.15">
      <c r="A85" s="83" t="s">
        <v>126</v>
      </c>
      <c r="B85" s="84" t="s">
        <v>103</v>
      </c>
      <c r="C85" s="83" t="s">
        <v>126</v>
      </c>
      <c r="D85" s="84" t="s">
        <v>101</v>
      </c>
      <c r="E85" s="22"/>
      <c r="F85" s="83" t="s">
        <v>68</v>
      </c>
      <c r="G85" s="84" t="s">
        <v>103</v>
      </c>
      <c r="H85" s="83" t="s">
        <v>68</v>
      </c>
      <c r="I85" s="84" t="s">
        <v>101</v>
      </c>
      <c r="K85" s="460" t="s">
        <v>860</v>
      </c>
      <c r="L85" s="452" t="s">
        <v>6142</v>
      </c>
      <c r="M85" s="559">
        <v>1</v>
      </c>
    </row>
    <row r="86" spans="1:13" ht="14" thickBot="1" x14ac:dyDescent="0.2">
      <c r="A86" s="454" t="s">
        <v>391</v>
      </c>
      <c r="B86" s="563">
        <v>144</v>
      </c>
      <c r="C86" s="454" t="s">
        <v>391</v>
      </c>
      <c r="D86" s="456">
        <v>0.77419354838709675</v>
      </c>
      <c r="E86" s="22"/>
      <c r="F86" s="454">
        <v>1</v>
      </c>
      <c r="G86" s="563">
        <v>62</v>
      </c>
      <c r="H86" s="454">
        <v>1</v>
      </c>
      <c r="I86" s="456">
        <v>0.33333333333333331</v>
      </c>
      <c r="K86" s="92" t="s">
        <v>6737</v>
      </c>
      <c r="L86" s="554"/>
      <c r="M86" s="572">
        <v>1</v>
      </c>
    </row>
    <row r="87" spans="1:13" ht="14" thickBot="1" x14ac:dyDescent="0.2">
      <c r="A87" s="552" t="s">
        <v>423</v>
      </c>
      <c r="B87" s="564">
        <v>28</v>
      </c>
      <c r="C87" s="552" t="s">
        <v>423</v>
      </c>
      <c r="D87" s="553">
        <v>0.15053763440860216</v>
      </c>
      <c r="E87" s="22"/>
      <c r="F87" s="552">
        <v>2</v>
      </c>
      <c r="G87" s="564">
        <v>57</v>
      </c>
      <c r="H87" s="552">
        <v>2</v>
      </c>
      <c r="I87" s="553">
        <v>0.30645161290322581</v>
      </c>
      <c r="K87" s="82" t="s">
        <v>100</v>
      </c>
      <c r="L87" s="93"/>
      <c r="M87" s="560">
        <v>186</v>
      </c>
    </row>
    <row r="88" spans="1:13" ht="14" thickBot="1" x14ac:dyDescent="0.2">
      <c r="A88" s="552" t="s">
        <v>434</v>
      </c>
      <c r="B88" s="564">
        <v>12</v>
      </c>
      <c r="C88" s="552" t="s">
        <v>434</v>
      </c>
      <c r="D88" s="553">
        <v>6.4516129032258063E-2</v>
      </c>
      <c r="E88" s="22"/>
      <c r="F88" s="552">
        <v>3</v>
      </c>
      <c r="G88" s="564">
        <v>67</v>
      </c>
      <c r="H88" s="552">
        <v>3</v>
      </c>
      <c r="I88" s="553">
        <v>0.36021505376344087</v>
      </c>
      <c r="K88"/>
      <c r="L88"/>
      <c r="M88"/>
    </row>
    <row r="89" spans="1:13" ht="14" thickBot="1" x14ac:dyDescent="0.2">
      <c r="A89" s="552" t="s">
        <v>477</v>
      </c>
      <c r="B89" s="564">
        <v>1</v>
      </c>
      <c r="C89" s="552" t="s">
        <v>477</v>
      </c>
      <c r="D89" s="553">
        <v>5.3763440860215058E-3</v>
      </c>
      <c r="E89" s="22"/>
      <c r="F89" s="82" t="s">
        <v>100</v>
      </c>
      <c r="G89" s="562">
        <v>186</v>
      </c>
      <c r="H89" s="82" t="s">
        <v>100</v>
      </c>
      <c r="I89" s="85">
        <v>1</v>
      </c>
      <c r="K89"/>
      <c r="L89"/>
      <c r="M89"/>
    </row>
    <row r="90" spans="1:13" ht="14" thickBot="1" x14ac:dyDescent="0.2">
      <c r="A90" s="552" t="s">
        <v>442</v>
      </c>
      <c r="B90" s="564">
        <v>1</v>
      </c>
      <c r="C90" s="552" t="s">
        <v>442</v>
      </c>
      <c r="D90" s="553">
        <v>5.3763440860215058E-3</v>
      </c>
      <c r="E90" s="22"/>
      <c r="F90"/>
      <c r="G90"/>
      <c r="H90"/>
      <c r="I90"/>
      <c r="K90"/>
      <c r="L90"/>
      <c r="M90"/>
    </row>
    <row r="91" spans="1:13" ht="14" thickBot="1" x14ac:dyDescent="0.2">
      <c r="A91" s="82" t="s">
        <v>100</v>
      </c>
      <c r="B91" s="562">
        <v>186</v>
      </c>
      <c r="C91" s="82" t="s">
        <v>100</v>
      </c>
      <c r="D91" s="85">
        <v>1</v>
      </c>
      <c r="E91" s="22"/>
      <c r="F91"/>
      <c r="G91"/>
      <c r="H91"/>
      <c r="I91"/>
      <c r="K91"/>
      <c r="L91"/>
      <c r="M91"/>
    </row>
    <row r="92" spans="1:13" x14ac:dyDescent="0.15">
      <c r="A92"/>
      <c r="B92"/>
      <c r="C92"/>
      <c r="D92"/>
      <c r="E92" s="22"/>
      <c r="F92"/>
      <c r="G92"/>
      <c r="H92"/>
      <c r="I92"/>
      <c r="K92"/>
      <c r="L92"/>
      <c r="M92"/>
    </row>
    <row r="93" spans="1:13" x14ac:dyDescent="0.15">
      <c r="A93"/>
      <c r="B93"/>
      <c r="C93"/>
      <c r="D93"/>
      <c r="E93" s="22"/>
      <c r="F93"/>
      <c r="G93"/>
      <c r="H93"/>
      <c r="I93"/>
      <c r="K93"/>
      <c r="L93"/>
      <c r="M93"/>
    </row>
    <row r="94" spans="1:13" x14ac:dyDescent="0.15">
      <c r="A94"/>
      <c r="B94"/>
      <c r="C94"/>
      <c r="D94"/>
      <c r="E94" s="22"/>
      <c r="F94"/>
      <c r="G94"/>
      <c r="H94"/>
      <c r="I94"/>
      <c r="K94"/>
      <c r="L94"/>
      <c r="M94"/>
    </row>
    <row r="95" spans="1:13" x14ac:dyDescent="0.15">
      <c r="A95"/>
      <c r="B95"/>
      <c r="C95"/>
      <c r="D95"/>
      <c r="E95" s="22"/>
      <c r="F95"/>
      <c r="G95"/>
      <c r="H95"/>
      <c r="I95"/>
      <c r="K95"/>
      <c r="L95"/>
      <c r="M95"/>
    </row>
    <row r="96" spans="1:13" ht="14" thickBot="1" x14ac:dyDescent="0.2">
      <c r="A96"/>
      <c r="B96"/>
      <c r="C96"/>
      <c r="D96"/>
      <c r="E96" s="22"/>
      <c r="F96"/>
      <c r="G96"/>
      <c r="H96"/>
      <c r="I96"/>
      <c r="K96"/>
      <c r="L96"/>
      <c r="M96"/>
    </row>
    <row r="97" spans="1:13" ht="14" thickBot="1" x14ac:dyDescent="0.2">
      <c r="A97"/>
      <c r="B97"/>
      <c r="C97"/>
      <c r="D97"/>
      <c r="E97" s="22"/>
      <c r="F97"/>
      <c r="G97"/>
      <c r="H97"/>
      <c r="I97"/>
      <c r="K97"/>
      <c r="L97"/>
      <c r="M97"/>
    </row>
    <row r="98" spans="1:13" x14ac:dyDescent="0.15">
      <c r="A98"/>
      <c r="B98"/>
      <c r="C98"/>
      <c r="D98"/>
      <c r="E98" s="22"/>
      <c r="F98"/>
      <c r="G98"/>
      <c r="H98"/>
      <c r="I98"/>
      <c r="K98"/>
      <c r="L98"/>
      <c r="M98"/>
    </row>
    <row r="99" spans="1:13" x14ac:dyDescent="0.15">
      <c r="E99" s="22"/>
      <c r="F99"/>
      <c r="G99"/>
      <c r="H99"/>
      <c r="I99"/>
      <c r="K99"/>
      <c r="L99"/>
      <c r="M99"/>
    </row>
    <row r="100" spans="1:13" x14ac:dyDescent="0.15">
      <c r="E100" s="22"/>
      <c r="K100"/>
      <c r="L100"/>
      <c r="M100"/>
    </row>
    <row r="101" spans="1:13" ht="14" thickBot="1" x14ac:dyDescent="0.2">
      <c r="E101" s="22"/>
      <c r="K101"/>
      <c r="L101"/>
      <c r="M101"/>
    </row>
    <row r="102" spans="1:13" x14ac:dyDescent="0.15">
      <c r="A102" s="83" t="s">
        <v>125</v>
      </c>
      <c r="B102" s="84" t="s">
        <v>103</v>
      </c>
      <c r="C102" s="83" t="s">
        <v>125</v>
      </c>
      <c r="D102" s="84" t="s">
        <v>101</v>
      </c>
      <c r="E102" s="22"/>
      <c r="F102" s="28"/>
      <c r="G102" s="27"/>
      <c r="H102" s="28"/>
      <c r="I102" s="27"/>
      <c r="K102"/>
      <c r="L102"/>
      <c r="M102"/>
    </row>
    <row r="103" spans="1:13" x14ac:dyDescent="0.15">
      <c r="A103" s="454" t="s">
        <v>508</v>
      </c>
      <c r="B103" s="563">
        <v>110</v>
      </c>
      <c r="C103" s="454" t="s">
        <v>508</v>
      </c>
      <c r="D103" s="456">
        <v>0.59139784946236562</v>
      </c>
      <c r="E103" s="22"/>
      <c r="F103" s="25"/>
      <c r="G103" s="26"/>
      <c r="H103" s="25"/>
      <c r="I103" s="24"/>
      <c r="K103"/>
      <c r="L103"/>
      <c r="M103"/>
    </row>
    <row r="104" spans="1:13" x14ac:dyDescent="0.15">
      <c r="A104" s="552" t="s">
        <v>510</v>
      </c>
      <c r="B104" s="564">
        <v>38</v>
      </c>
      <c r="C104" s="552" t="s">
        <v>510</v>
      </c>
      <c r="D104" s="553">
        <v>0.20430107526881722</v>
      </c>
      <c r="E104" s="22"/>
      <c r="K104"/>
      <c r="L104"/>
      <c r="M104"/>
    </row>
    <row r="105" spans="1:13" x14ac:dyDescent="0.15">
      <c r="A105" s="552" t="s">
        <v>509</v>
      </c>
      <c r="B105" s="564">
        <v>20</v>
      </c>
      <c r="C105" s="552" t="s">
        <v>509</v>
      </c>
      <c r="D105" s="553">
        <v>0.10752688172043011</v>
      </c>
      <c r="E105" s="22"/>
      <c r="K105"/>
      <c r="L105"/>
      <c r="M105"/>
    </row>
    <row r="106" spans="1:13" ht="14" thickBot="1" x14ac:dyDescent="0.2">
      <c r="A106" s="552" t="s">
        <v>511</v>
      </c>
      <c r="B106" s="564">
        <v>18</v>
      </c>
      <c r="C106" s="552" t="s">
        <v>511</v>
      </c>
      <c r="D106" s="553">
        <v>9.6774193548387094E-2</v>
      </c>
      <c r="E106" s="22"/>
      <c r="K106"/>
      <c r="L106"/>
      <c r="M106"/>
    </row>
    <row r="107" spans="1:13" ht="14" thickBot="1" x14ac:dyDescent="0.2">
      <c r="A107" s="82" t="s">
        <v>100</v>
      </c>
      <c r="B107" s="562">
        <v>186</v>
      </c>
      <c r="C107" s="82" t="s">
        <v>100</v>
      </c>
      <c r="D107" s="85">
        <v>1</v>
      </c>
      <c r="E107" s="22"/>
      <c r="K107"/>
      <c r="L107"/>
      <c r="M107"/>
    </row>
    <row r="108" spans="1:13" x14ac:dyDescent="0.15">
      <c r="A108"/>
      <c r="B108"/>
      <c r="C108"/>
      <c r="D108"/>
      <c r="E108" s="22"/>
      <c r="K108"/>
      <c r="L108"/>
      <c r="M108"/>
    </row>
    <row r="109" spans="1:13" x14ac:dyDescent="0.15">
      <c r="A109"/>
      <c r="B109"/>
      <c r="C109"/>
      <c r="D109"/>
      <c r="E109" s="22"/>
      <c r="K109"/>
      <c r="L109"/>
      <c r="M109"/>
    </row>
    <row r="110" spans="1:13" x14ac:dyDescent="0.15">
      <c r="E110" s="22"/>
      <c r="K110"/>
      <c r="L110"/>
      <c r="M110"/>
    </row>
    <row r="111" spans="1:13" x14ac:dyDescent="0.15">
      <c r="E111" s="22"/>
      <c r="K111"/>
      <c r="L111"/>
      <c r="M111"/>
    </row>
    <row r="112" spans="1:13" ht="14" thickBot="1" x14ac:dyDescent="0.2">
      <c r="E112" s="22"/>
      <c r="K112"/>
      <c r="L112"/>
      <c r="M112"/>
    </row>
    <row r="113" spans="1:13" x14ac:dyDescent="0.15">
      <c r="A113" s="83" t="s">
        <v>124</v>
      </c>
      <c r="B113" s="84" t="s">
        <v>103</v>
      </c>
      <c r="C113" s="83" t="s">
        <v>124</v>
      </c>
      <c r="D113" s="84" t="s">
        <v>101</v>
      </c>
      <c r="E113" s="22"/>
      <c r="F113" s="83" t="s">
        <v>123</v>
      </c>
      <c r="G113" s="84" t="s">
        <v>103</v>
      </c>
      <c r="H113" s="83" t="s">
        <v>123</v>
      </c>
      <c r="I113" s="84" t="s">
        <v>101</v>
      </c>
      <c r="K113"/>
      <c r="L113"/>
      <c r="M113"/>
    </row>
    <row r="114" spans="1:13" ht="14" thickBot="1" x14ac:dyDescent="0.2">
      <c r="A114" s="454" t="s">
        <v>105</v>
      </c>
      <c r="B114" s="563">
        <v>186</v>
      </c>
      <c r="C114" s="454" t="s">
        <v>105</v>
      </c>
      <c r="D114" s="456">
        <v>1</v>
      </c>
      <c r="E114" s="22"/>
      <c r="F114" s="454" t="s">
        <v>105</v>
      </c>
      <c r="G114" s="563">
        <v>186</v>
      </c>
      <c r="H114" s="454" t="s">
        <v>105</v>
      </c>
      <c r="I114" s="456">
        <v>1</v>
      </c>
      <c r="K114"/>
      <c r="L114"/>
      <c r="M114"/>
    </row>
    <row r="115" spans="1:13" ht="14" thickBot="1" x14ac:dyDescent="0.2">
      <c r="A115" s="82" t="s">
        <v>100</v>
      </c>
      <c r="B115" s="562">
        <v>186</v>
      </c>
      <c r="C115" s="82" t="s">
        <v>100</v>
      </c>
      <c r="D115" s="85">
        <v>1</v>
      </c>
      <c r="E115" s="22"/>
      <c r="F115" s="82" t="s">
        <v>100</v>
      </c>
      <c r="G115" s="562">
        <v>186</v>
      </c>
      <c r="H115" s="82" t="s">
        <v>100</v>
      </c>
      <c r="I115" s="85">
        <v>1</v>
      </c>
      <c r="K115"/>
      <c r="L115"/>
      <c r="M115"/>
    </row>
    <row r="116" spans="1:13" x14ac:dyDescent="0.15">
      <c r="A116"/>
      <c r="B116"/>
      <c r="C116"/>
      <c r="D116"/>
      <c r="E116" s="22"/>
      <c r="F116"/>
      <c r="G116"/>
      <c r="H116"/>
      <c r="I116"/>
      <c r="K116"/>
      <c r="L116"/>
      <c r="M116"/>
    </row>
    <row r="117" spans="1:13" x14ac:dyDescent="0.15">
      <c r="A117"/>
      <c r="B117"/>
      <c r="C117"/>
      <c r="D117"/>
      <c r="E117" s="22"/>
      <c r="F117"/>
      <c r="G117"/>
      <c r="H117"/>
      <c r="I117"/>
      <c r="K117"/>
      <c r="L117"/>
      <c r="M117"/>
    </row>
    <row r="118" spans="1:13" x14ac:dyDescent="0.15">
      <c r="A118"/>
      <c r="B118"/>
      <c r="C118"/>
      <c r="D118"/>
      <c r="E118" s="22"/>
      <c r="F118"/>
      <c r="G118"/>
      <c r="H118"/>
      <c r="I118"/>
      <c r="K118"/>
      <c r="L118"/>
      <c r="M118"/>
    </row>
    <row r="119" spans="1:13" x14ac:dyDescent="0.15">
      <c r="E119" s="22"/>
      <c r="K119"/>
      <c r="L119"/>
      <c r="M119"/>
    </row>
    <row r="120" spans="1:13" x14ac:dyDescent="0.15">
      <c r="E120" s="22"/>
      <c r="K120"/>
      <c r="L120"/>
      <c r="M120"/>
    </row>
    <row r="121" spans="1:13" ht="14" thickBot="1" x14ac:dyDescent="0.2">
      <c r="E121" s="22"/>
      <c r="K121"/>
      <c r="L121"/>
      <c r="M121"/>
    </row>
    <row r="122" spans="1:13" x14ac:dyDescent="0.15">
      <c r="A122" s="83" t="s">
        <v>122</v>
      </c>
      <c r="B122" s="84" t="s">
        <v>103</v>
      </c>
      <c r="C122" s="83" t="s">
        <v>122</v>
      </c>
      <c r="D122" s="84" t="s">
        <v>101</v>
      </c>
      <c r="E122" s="22"/>
      <c r="F122" s="83" t="s">
        <v>121</v>
      </c>
      <c r="G122" s="84" t="s">
        <v>103</v>
      </c>
      <c r="H122" s="83" t="s">
        <v>121</v>
      </c>
      <c r="I122" s="84" t="s">
        <v>101</v>
      </c>
      <c r="K122"/>
      <c r="L122"/>
      <c r="M122"/>
    </row>
    <row r="123" spans="1:13" x14ac:dyDescent="0.15">
      <c r="A123" s="454" t="s">
        <v>399</v>
      </c>
      <c r="B123" s="563">
        <v>104</v>
      </c>
      <c r="C123" s="454" t="s">
        <v>399</v>
      </c>
      <c r="D123" s="456">
        <v>0.55913978494623651</v>
      </c>
      <c r="E123" s="22"/>
      <c r="F123" s="454" t="s">
        <v>6331</v>
      </c>
      <c r="G123" s="563">
        <v>44</v>
      </c>
      <c r="H123" s="454" t="s">
        <v>6331</v>
      </c>
      <c r="I123" s="456">
        <v>0.23655913978494625</v>
      </c>
      <c r="K123"/>
      <c r="L123"/>
      <c r="M123"/>
    </row>
    <row r="124" spans="1:13" x14ac:dyDescent="0.15">
      <c r="A124" s="552" t="s">
        <v>6356</v>
      </c>
      <c r="B124" s="564">
        <v>37</v>
      </c>
      <c r="C124" s="552" t="s">
        <v>6356</v>
      </c>
      <c r="D124" s="553">
        <v>0.19892473118279569</v>
      </c>
      <c r="E124" s="22"/>
      <c r="F124" s="552" t="s">
        <v>6328</v>
      </c>
      <c r="G124" s="564">
        <v>31</v>
      </c>
      <c r="H124" s="552" t="s">
        <v>6328</v>
      </c>
      <c r="I124" s="553">
        <v>0.16666666666666666</v>
      </c>
      <c r="K124"/>
      <c r="L124"/>
      <c r="M124"/>
    </row>
    <row r="125" spans="1:13" x14ac:dyDescent="0.15">
      <c r="A125" s="552" t="s">
        <v>436</v>
      </c>
      <c r="B125" s="564">
        <v>12</v>
      </c>
      <c r="C125" s="552" t="s">
        <v>436</v>
      </c>
      <c r="D125" s="553">
        <v>6.4516129032258063E-2</v>
      </c>
      <c r="E125" s="22"/>
      <c r="F125" s="552" t="s">
        <v>407</v>
      </c>
      <c r="G125" s="564">
        <v>23</v>
      </c>
      <c r="H125" s="552" t="s">
        <v>407</v>
      </c>
      <c r="I125" s="553">
        <v>0.12365591397849462</v>
      </c>
      <c r="K125"/>
      <c r="L125"/>
      <c r="M125"/>
    </row>
    <row r="126" spans="1:13" x14ac:dyDescent="0.15">
      <c r="A126" s="552" t="s">
        <v>6151</v>
      </c>
      <c r="B126" s="564">
        <v>10</v>
      </c>
      <c r="C126" s="552" t="s">
        <v>6151</v>
      </c>
      <c r="D126" s="553">
        <v>5.3763440860215055E-2</v>
      </c>
      <c r="E126" s="22"/>
      <c r="F126" s="552" t="s">
        <v>425</v>
      </c>
      <c r="G126" s="564">
        <v>19</v>
      </c>
      <c r="H126" s="552" t="s">
        <v>425</v>
      </c>
      <c r="I126" s="553">
        <v>0.10215053763440861</v>
      </c>
      <c r="K126"/>
      <c r="L126"/>
      <c r="M126"/>
    </row>
    <row r="127" spans="1:13" x14ac:dyDescent="0.15">
      <c r="A127" s="552" t="s">
        <v>6358</v>
      </c>
      <c r="B127" s="564">
        <v>10</v>
      </c>
      <c r="C127" s="552" t="s">
        <v>6358</v>
      </c>
      <c r="D127" s="553">
        <v>5.3763440860215055E-2</v>
      </c>
      <c r="E127" s="22"/>
      <c r="F127" s="552" t="s">
        <v>6327</v>
      </c>
      <c r="G127" s="564">
        <v>17</v>
      </c>
      <c r="H127" s="552" t="s">
        <v>6327</v>
      </c>
      <c r="I127" s="553">
        <v>9.1397849462365593E-2</v>
      </c>
      <c r="K127"/>
      <c r="L127"/>
      <c r="M127"/>
    </row>
    <row r="128" spans="1:13" x14ac:dyDescent="0.15">
      <c r="A128" s="552" t="s">
        <v>444</v>
      </c>
      <c r="B128" s="564">
        <v>3</v>
      </c>
      <c r="C128" s="552" t="s">
        <v>444</v>
      </c>
      <c r="D128" s="553">
        <v>1.6129032258064516E-2</v>
      </c>
      <c r="E128" s="22"/>
      <c r="F128" s="552" t="s">
        <v>398</v>
      </c>
      <c r="G128" s="564">
        <v>9</v>
      </c>
      <c r="H128" s="552" t="s">
        <v>398</v>
      </c>
      <c r="I128" s="553">
        <v>4.8387096774193547E-2</v>
      </c>
    </row>
    <row r="129" spans="1:9" x14ac:dyDescent="0.15">
      <c r="A129" s="552" t="s">
        <v>465</v>
      </c>
      <c r="B129" s="564">
        <v>2</v>
      </c>
      <c r="C129" s="552" t="s">
        <v>465</v>
      </c>
      <c r="D129" s="553">
        <v>1.0752688172043012E-2</v>
      </c>
      <c r="E129" s="22"/>
      <c r="F129" s="552" t="s">
        <v>476</v>
      </c>
      <c r="G129" s="564">
        <v>8</v>
      </c>
      <c r="H129" s="552" t="s">
        <v>476</v>
      </c>
      <c r="I129" s="553">
        <v>4.3010752688172046E-2</v>
      </c>
    </row>
    <row r="130" spans="1:9" x14ac:dyDescent="0.15">
      <c r="A130" s="552" t="s">
        <v>439</v>
      </c>
      <c r="B130" s="564">
        <v>2</v>
      </c>
      <c r="C130" s="552" t="s">
        <v>439</v>
      </c>
      <c r="D130" s="553">
        <v>1.0752688172043012E-2</v>
      </c>
      <c r="E130" s="22"/>
      <c r="F130" s="552" t="s">
        <v>6335</v>
      </c>
      <c r="G130" s="564">
        <v>7</v>
      </c>
      <c r="H130" s="552" t="s">
        <v>6335</v>
      </c>
      <c r="I130" s="553">
        <v>3.7634408602150539E-2</v>
      </c>
    </row>
    <row r="131" spans="1:9" x14ac:dyDescent="0.15">
      <c r="A131" s="552" t="s">
        <v>6361</v>
      </c>
      <c r="B131" s="564">
        <v>1</v>
      </c>
      <c r="C131" s="552" t="s">
        <v>6361</v>
      </c>
      <c r="D131" s="553">
        <v>5.3763440860215058E-3</v>
      </c>
      <c r="E131" s="22"/>
      <c r="F131" s="552" t="s">
        <v>457</v>
      </c>
      <c r="G131" s="564">
        <v>6</v>
      </c>
      <c r="H131" s="552" t="s">
        <v>457</v>
      </c>
      <c r="I131" s="553">
        <v>3.2258064516129031E-2</v>
      </c>
    </row>
    <row r="132" spans="1:9" x14ac:dyDescent="0.15">
      <c r="A132" s="552" t="s">
        <v>6357</v>
      </c>
      <c r="B132" s="564">
        <v>1</v>
      </c>
      <c r="C132" s="552" t="s">
        <v>6357</v>
      </c>
      <c r="D132" s="553">
        <v>5.3763440860215058E-3</v>
      </c>
      <c r="E132" s="22"/>
      <c r="F132" s="552" t="s">
        <v>440</v>
      </c>
      <c r="G132" s="564">
        <v>5</v>
      </c>
      <c r="H132" s="552" t="s">
        <v>440</v>
      </c>
      <c r="I132" s="553">
        <v>2.6881720430107527E-2</v>
      </c>
    </row>
    <row r="133" spans="1:9" x14ac:dyDescent="0.15">
      <c r="A133" s="552" t="s">
        <v>408</v>
      </c>
      <c r="B133" s="564">
        <v>1</v>
      </c>
      <c r="C133" s="552" t="s">
        <v>408</v>
      </c>
      <c r="D133" s="553">
        <v>5.3763440860215058E-3</v>
      </c>
      <c r="E133" s="22"/>
      <c r="F133" s="552" t="s">
        <v>6512</v>
      </c>
      <c r="G133" s="564">
        <v>5</v>
      </c>
      <c r="H133" s="552" t="s">
        <v>6512</v>
      </c>
      <c r="I133" s="553">
        <v>2.6881720430107527E-2</v>
      </c>
    </row>
    <row r="134" spans="1:9" x14ac:dyDescent="0.15">
      <c r="A134" s="552" t="s">
        <v>463</v>
      </c>
      <c r="B134" s="564">
        <v>1</v>
      </c>
      <c r="C134" s="552" t="s">
        <v>463</v>
      </c>
      <c r="D134" s="553">
        <v>5.3763440860215058E-3</v>
      </c>
      <c r="E134" s="22"/>
      <c r="F134" s="552" t="s">
        <v>6338</v>
      </c>
      <c r="G134" s="564">
        <v>4</v>
      </c>
      <c r="H134" s="552" t="s">
        <v>6338</v>
      </c>
      <c r="I134" s="553">
        <v>2.1505376344086023E-2</v>
      </c>
    </row>
    <row r="135" spans="1:9" x14ac:dyDescent="0.15">
      <c r="A135" s="552" t="s">
        <v>435</v>
      </c>
      <c r="B135" s="564">
        <v>1</v>
      </c>
      <c r="C135" s="552" t="s">
        <v>435</v>
      </c>
      <c r="D135" s="553">
        <v>5.3763440860215058E-3</v>
      </c>
      <c r="E135" s="22"/>
      <c r="F135" s="552" t="s">
        <v>6330</v>
      </c>
      <c r="G135" s="564">
        <v>3</v>
      </c>
      <c r="H135" s="552" t="s">
        <v>6330</v>
      </c>
      <c r="I135" s="553">
        <v>1.6129032258064516E-2</v>
      </c>
    </row>
    <row r="136" spans="1:9" ht="14" thickBot="1" x14ac:dyDescent="0.2">
      <c r="A136" s="552" t="s">
        <v>473</v>
      </c>
      <c r="B136" s="564">
        <v>1</v>
      </c>
      <c r="C136" s="552" t="s">
        <v>473</v>
      </c>
      <c r="D136" s="553">
        <v>5.3763440860215058E-3</v>
      </c>
      <c r="E136" s="22"/>
      <c r="F136" s="552" t="s">
        <v>451</v>
      </c>
      <c r="G136" s="564">
        <v>2</v>
      </c>
      <c r="H136" s="552" t="s">
        <v>451</v>
      </c>
      <c r="I136" s="553">
        <v>1.0752688172043012E-2</v>
      </c>
    </row>
    <row r="137" spans="1:9" ht="14" thickBot="1" x14ac:dyDescent="0.2">
      <c r="A137" s="82" t="s">
        <v>100</v>
      </c>
      <c r="B137" s="562">
        <v>186</v>
      </c>
      <c r="C137" s="82" t="s">
        <v>100</v>
      </c>
      <c r="D137" s="85">
        <v>1</v>
      </c>
      <c r="E137" s="22"/>
      <c r="F137" s="552" t="s">
        <v>6329</v>
      </c>
      <c r="G137" s="564">
        <v>2</v>
      </c>
      <c r="H137" s="552" t="s">
        <v>6329</v>
      </c>
      <c r="I137" s="553">
        <v>1.0752688172043012E-2</v>
      </c>
    </row>
    <row r="138" spans="1:9" ht="14" thickBot="1" x14ac:dyDescent="0.2">
      <c r="A138"/>
      <c r="B138"/>
      <c r="C138"/>
      <c r="D138"/>
      <c r="E138" s="22"/>
      <c r="F138" s="552" t="s">
        <v>6334</v>
      </c>
      <c r="G138" s="564">
        <v>1</v>
      </c>
      <c r="H138" s="552" t="s">
        <v>6334</v>
      </c>
      <c r="I138" s="553">
        <v>5.3763440860215058E-3</v>
      </c>
    </row>
    <row r="139" spans="1:9" ht="14" thickBot="1" x14ac:dyDescent="0.2">
      <c r="A139"/>
      <c r="B139"/>
      <c r="C139"/>
      <c r="D139"/>
      <c r="E139" s="22"/>
      <c r="F139" s="82" t="s">
        <v>100</v>
      </c>
      <c r="G139" s="562">
        <v>186</v>
      </c>
      <c r="H139" s="82" t="s">
        <v>100</v>
      </c>
      <c r="I139" s="85">
        <v>1</v>
      </c>
    </row>
    <row r="140" spans="1:9" x14ac:dyDescent="0.15">
      <c r="A140"/>
      <c r="B140"/>
      <c r="C140"/>
      <c r="D140"/>
      <c r="E140" s="22"/>
      <c r="F140"/>
      <c r="G140"/>
      <c r="H140"/>
      <c r="I140"/>
    </row>
    <row r="141" spans="1:9" x14ac:dyDescent="0.15">
      <c r="E141" s="22"/>
      <c r="F141"/>
      <c r="G141"/>
      <c r="H141"/>
      <c r="I141"/>
    </row>
    <row r="142" spans="1:9" x14ac:dyDescent="0.15">
      <c r="D142" s="23"/>
      <c r="E142" s="22"/>
      <c r="F142"/>
      <c r="G142"/>
      <c r="H142"/>
      <c r="I142"/>
    </row>
    <row r="143" spans="1:9" ht="14" thickBot="1" x14ac:dyDescent="0.2">
      <c r="E143" s="22"/>
      <c r="F143"/>
      <c r="G143"/>
      <c r="H143"/>
      <c r="I143"/>
    </row>
    <row r="144" spans="1:9" ht="14" thickBot="1" x14ac:dyDescent="0.2">
      <c r="E144" s="22"/>
      <c r="F144"/>
      <c r="G144"/>
      <c r="H144"/>
      <c r="I144"/>
    </row>
    <row r="145" spans="1:9" x14ac:dyDescent="0.15">
      <c r="E145" s="22"/>
      <c r="F145"/>
      <c r="G145"/>
      <c r="H145"/>
      <c r="I145"/>
    </row>
    <row r="146" spans="1:9" x14ac:dyDescent="0.15">
      <c r="E146" s="22"/>
      <c r="F146"/>
      <c r="G146"/>
      <c r="H146"/>
      <c r="I146"/>
    </row>
    <row r="147" spans="1:9" ht="14" thickBot="1" x14ac:dyDescent="0.2">
      <c r="E147" s="22"/>
      <c r="F147"/>
      <c r="G147"/>
      <c r="H147"/>
      <c r="I147"/>
    </row>
    <row r="148" spans="1:9" ht="14" thickBot="1" x14ac:dyDescent="0.2">
      <c r="E148" s="22"/>
      <c r="F148"/>
      <c r="G148"/>
      <c r="H148"/>
      <c r="I148"/>
    </row>
    <row r="149" spans="1:9" ht="14" thickBot="1" x14ac:dyDescent="0.2">
      <c r="E149" s="22"/>
      <c r="F149"/>
      <c r="G149"/>
      <c r="H149"/>
      <c r="I149"/>
    </row>
    <row r="150" spans="1:9" ht="14" thickBot="1" x14ac:dyDescent="0.2">
      <c r="A150" s="97"/>
      <c r="B150" s="84" t="s">
        <v>103</v>
      </c>
      <c r="C150" s="97"/>
      <c r="D150" s="84" t="s">
        <v>101</v>
      </c>
      <c r="E150" s="22"/>
    </row>
    <row r="151" spans="1:9" ht="14" thickBot="1" x14ac:dyDescent="0.2">
      <c r="A151" s="82" t="s">
        <v>133</v>
      </c>
      <c r="B151" s="562">
        <v>186</v>
      </c>
      <c r="C151" s="82" t="s">
        <v>133</v>
      </c>
      <c r="D151" s="85">
        <v>1</v>
      </c>
      <c r="E151" s="22"/>
    </row>
    <row r="152" spans="1:9" x14ac:dyDescent="0.15">
      <c r="A152"/>
      <c r="B152"/>
      <c r="C152"/>
      <c r="D152"/>
      <c r="E152" s="22"/>
    </row>
    <row r="153" spans="1:9" x14ac:dyDescent="0.15">
      <c r="A153"/>
      <c r="B153"/>
      <c r="C153"/>
      <c r="D153"/>
      <c r="E153" s="22"/>
      <c r="F153"/>
      <c r="G153"/>
      <c r="H153"/>
      <c r="I153"/>
    </row>
    <row r="154" spans="1:9" x14ac:dyDescent="0.15">
      <c r="A154"/>
      <c r="B154"/>
      <c r="C154"/>
      <c r="D154"/>
      <c r="E154" s="22"/>
      <c r="F154"/>
      <c r="G154"/>
      <c r="H154"/>
      <c r="I154"/>
    </row>
    <row r="155" spans="1:9" x14ac:dyDescent="0.15">
      <c r="A155"/>
      <c r="B155"/>
      <c r="C155"/>
      <c r="D155"/>
      <c r="E155" s="22"/>
      <c r="F155"/>
      <c r="G155"/>
      <c r="H155"/>
      <c r="I155"/>
    </row>
    <row r="156" spans="1:9" ht="14" thickBot="1" x14ac:dyDescent="0.2">
      <c r="A156"/>
      <c r="B156"/>
      <c r="C156"/>
      <c r="D156"/>
      <c r="E156" s="22"/>
    </row>
    <row r="157" spans="1:9" x14ac:dyDescent="0.15">
      <c r="A157"/>
      <c r="B157"/>
      <c r="C157"/>
      <c r="D157"/>
      <c r="E157" s="22"/>
      <c r="F157" s="83" t="s">
        <v>120</v>
      </c>
      <c r="G157" s="84" t="s">
        <v>103</v>
      </c>
      <c r="H157" s="83" t="s">
        <v>120</v>
      </c>
      <c r="I157" s="84" t="s">
        <v>101</v>
      </c>
    </row>
    <row r="158" spans="1:9" x14ac:dyDescent="0.15">
      <c r="A158"/>
      <c r="B158"/>
      <c r="C158"/>
      <c r="D158"/>
      <c r="F158" s="454" t="s">
        <v>6302</v>
      </c>
      <c r="G158" s="563">
        <v>150</v>
      </c>
      <c r="H158" s="454" t="s">
        <v>6302</v>
      </c>
      <c r="I158" s="456">
        <v>0.80645161290322576</v>
      </c>
    </row>
    <row r="159" spans="1:9" x14ac:dyDescent="0.15">
      <c r="A159"/>
      <c r="B159"/>
      <c r="C159"/>
      <c r="D159"/>
      <c r="F159" s="552" t="s">
        <v>6300</v>
      </c>
      <c r="G159" s="564">
        <v>19</v>
      </c>
      <c r="H159" s="552" t="s">
        <v>6300</v>
      </c>
      <c r="I159" s="553">
        <v>0.10215053763440861</v>
      </c>
    </row>
    <row r="160" spans="1:9" x14ac:dyDescent="0.15">
      <c r="A160"/>
      <c r="B160"/>
      <c r="C160"/>
      <c r="D160"/>
      <c r="F160" s="552" t="s">
        <v>433</v>
      </c>
      <c r="G160" s="564">
        <v>16</v>
      </c>
      <c r="H160" s="552" t="s">
        <v>433</v>
      </c>
      <c r="I160" s="553">
        <v>8.6021505376344093E-2</v>
      </c>
    </row>
    <row r="161" spans="1:12" ht="14" thickBot="1" x14ac:dyDescent="0.2">
      <c r="A161"/>
      <c r="B161"/>
      <c r="C161"/>
      <c r="D161"/>
      <c r="F161" s="552" t="s">
        <v>6301</v>
      </c>
      <c r="G161" s="564">
        <v>1</v>
      </c>
      <c r="H161" s="552" t="s">
        <v>6301</v>
      </c>
      <c r="I161" s="553">
        <v>5.3763440860215058E-3</v>
      </c>
    </row>
    <row r="162" spans="1:12" ht="14" thickBot="1" x14ac:dyDescent="0.2">
      <c r="A162"/>
      <c r="B162"/>
      <c r="C162"/>
      <c r="D162"/>
      <c r="F162" s="82" t="s">
        <v>100</v>
      </c>
      <c r="G162" s="562">
        <v>186</v>
      </c>
      <c r="H162" s="82" t="s">
        <v>100</v>
      </c>
      <c r="I162" s="85">
        <v>1</v>
      </c>
    </row>
    <row r="163" spans="1:12" x14ac:dyDescent="0.15">
      <c r="A163"/>
      <c r="B163"/>
      <c r="C163"/>
      <c r="D163"/>
      <c r="F163"/>
      <c r="G163"/>
      <c r="H163"/>
      <c r="I163"/>
    </row>
    <row r="164" spans="1:12" x14ac:dyDescent="0.15">
      <c r="A164"/>
      <c r="B164"/>
      <c r="C164"/>
      <c r="D164"/>
      <c r="F164"/>
      <c r="G164"/>
      <c r="H164"/>
      <c r="I164"/>
    </row>
    <row r="165" spans="1:12" ht="14" thickBot="1" x14ac:dyDescent="0.2">
      <c r="A165"/>
      <c r="B165"/>
      <c r="C165"/>
      <c r="D165"/>
      <c r="F165"/>
      <c r="G165"/>
      <c r="H165"/>
      <c r="I165"/>
    </row>
    <row r="166" spans="1:12" ht="14" thickBot="1" x14ac:dyDescent="0.2">
      <c r="F166"/>
      <c r="G166"/>
      <c r="H166"/>
      <c r="I166"/>
    </row>
    <row r="167" spans="1:12" x14ac:dyDescent="0.15">
      <c r="F167"/>
      <c r="G167"/>
      <c r="H167"/>
      <c r="I167"/>
    </row>
    <row r="168" spans="1:12" x14ac:dyDescent="0.15">
      <c r="F168"/>
      <c r="G168"/>
      <c r="H168"/>
      <c r="I168"/>
    </row>
    <row r="169" spans="1:12" x14ac:dyDescent="0.15">
      <c r="F169"/>
      <c r="G169"/>
      <c r="H169"/>
      <c r="I169"/>
      <c r="L169" s="8"/>
    </row>
    <row r="170" spans="1:12" ht="14" thickBot="1" x14ac:dyDescent="0.2">
      <c r="F170"/>
      <c r="G170"/>
      <c r="H170"/>
      <c r="I170"/>
      <c r="L170" s="8"/>
    </row>
    <row r="171" spans="1:12" x14ac:dyDescent="0.15">
      <c r="A171" s="83" t="s">
        <v>119</v>
      </c>
      <c r="B171" s="84" t="s">
        <v>103</v>
      </c>
      <c r="C171" s="83" t="s">
        <v>119</v>
      </c>
      <c r="D171" s="84" t="s">
        <v>101</v>
      </c>
      <c r="F171"/>
      <c r="G171"/>
      <c r="H171"/>
      <c r="I171"/>
      <c r="L171" s="8"/>
    </row>
    <row r="172" spans="1:12" x14ac:dyDescent="0.15">
      <c r="A172" s="454" t="s">
        <v>393</v>
      </c>
      <c r="B172" s="563">
        <v>134</v>
      </c>
      <c r="C172" s="454" t="s">
        <v>393</v>
      </c>
      <c r="D172" s="456">
        <v>0.72043010752688175</v>
      </c>
      <c r="F172"/>
      <c r="G172"/>
      <c r="H172"/>
      <c r="I172"/>
      <c r="L172" s="8"/>
    </row>
    <row r="173" spans="1:12" ht="14" thickBot="1" x14ac:dyDescent="0.2">
      <c r="A173" s="552" t="s">
        <v>740</v>
      </c>
      <c r="B173" s="564">
        <v>52</v>
      </c>
      <c r="C173" s="552" t="s">
        <v>740</v>
      </c>
      <c r="D173" s="553">
        <v>0.27956989247311825</v>
      </c>
    </row>
    <row r="174" spans="1:12" ht="14" thickBot="1" x14ac:dyDescent="0.2">
      <c r="A174" s="82" t="s">
        <v>100</v>
      </c>
      <c r="B174" s="562">
        <v>186</v>
      </c>
      <c r="C174" s="82" t="s">
        <v>100</v>
      </c>
      <c r="D174" s="85">
        <v>1</v>
      </c>
      <c r="E174" s="22"/>
      <c r="F174"/>
      <c r="G174"/>
      <c r="H174"/>
      <c r="I174"/>
    </row>
    <row r="175" spans="1:12" ht="14" thickBot="1" x14ac:dyDescent="0.2">
      <c r="A175"/>
      <c r="B175"/>
      <c r="C175"/>
      <c r="D175"/>
      <c r="E175" s="22"/>
    </row>
    <row r="176" spans="1:12" x14ac:dyDescent="0.15">
      <c r="A176"/>
      <c r="B176"/>
      <c r="C176"/>
      <c r="D176"/>
      <c r="E176" s="22"/>
      <c r="F176" s="83" t="s">
        <v>118</v>
      </c>
      <c r="G176" s="84" t="s">
        <v>103</v>
      </c>
      <c r="H176" s="83" t="s">
        <v>118</v>
      </c>
      <c r="I176" s="84" t="s">
        <v>101</v>
      </c>
    </row>
    <row r="177" spans="1:14" x14ac:dyDescent="0.15">
      <c r="A177"/>
      <c r="B177"/>
      <c r="C177"/>
      <c r="D177"/>
      <c r="E177" s="22"/>
      <c r="F177" s="454" t="s">
        <v>393</v>
      </c>
      <c r="G177" s="563">
        <v>124</v>
      </c>
      <c r="H177" s="454" t="s">
        <v>393</v>
      </c>
      <c r="I177" s="456">
        <v>0.66666666666666663</v>
      </c>
    </row>
    <row r="178" spans="1:14" ht="14" thickBot="1" x14ac:dyDescent="0.2">
      <c r="A178"/>
      <c r="B178"/>
      <c r="C178"/>
      <c r="D178"/>
      <c r="E178" s="22"/>
      <c r="F178" s="552" t="s">
        <v>740</v>
      </c>
      <c r="G178" s="564">
        <v>62</v>
      </c>
      <c r="H178" s="552" t="s">
        <v>740</v>
      </c>
      <c r="I178" s="553">
        <v>0.33333333333333331</v>
      </c>
    </row>
    <row r="179" spans="1:14" ht="14" thickBot="1" x14ac:dyDescent="0.2">
      <c r="E179" s="22"/>
      <c r="F179" s="82" t="s">
        <v>100</v>
      </c>
      <c r="G179" s="562">
        <v>186</v>
      </c>
      <c r="H179" s="82" t="s">
        <v>100</v>
      </c>
      <c r="I179" s="85">
        <v>1</v>
      </c>
    </row>
    <row r="180" spans="1:14" x14ac:dyDescent="0.15">
      <c r="E180" s="22"/>
      <c r="F180"/>
      <c r="G180"/>
      <c r="H180"/>
      <c r="I180"/>
    </row>
    <row r="181" spans="1:14" ht="14" thickBot="1" x14ac:dyDescent="0.2">
      <c r="E181" s="22"/>
      <c r="N181" s="8"/>
    </row>
    <row r="182" spans="1:14" x14ac:dyDescent="0.15">
      <c r="A182" s="83" t="s">
        <v>117</v>
      </c>
      <c r="B182" s="84" t="s">
        <v>103</v>
      </c>
      <c r="C182" s="83" t="s">
        <v>117</v>
      </c>
      <c r="D182" s="84" t="s">
        <v>101</v>
      </c>
      <c r="E182" s="22"/>
      <c r="F182" s="83" t="s">
        <v>116</v>
      </c>
      <c r="G182" s="84" t="s">
        <v>103</v>
      </c>
      <c r="H182" s="83" t="s">
        <v>116</v>
      </c>
      <c r="I182" s="84" t="s">
        <v>101</v>
      </c>
    </row>
    <row r="183" spans="1:14" x14ac:dyDescent="0.15">
      <c r="A183" s="454" t="s">
        <v>405</v>
      </c>
      <c r="B183" s="563">
        <v>39</v>
      </c>
      <c r="C183" s="454" t="s">
        <v>405</v>
      </c>
      <c r="D183" s="456">
        <v>0.20967741935483872</v>
      </c>
      <c r="E183" s="22"/>
      <c r="F183" s="454" t="s">
        <v>411</v>
      </c>
      <c r="G183" s="563">
        <v>40</v>
      </c>
      <c r="H183" s="454" t="s">
        <v>411</v>
      </c>
      <c r="I183" s="456">
        <v>0.21505376344086022</v>
      </c>
    </row>
    <row r="184" spans="1:14" x14ac:dyDescent="0.15">
      <c r="A184" s="552" t="s">
        <v>406</v>
      </c>
      <c r="B184" s="564">
        <v>38</v>
      </c>
      <c r="C184" s="552" t="s">
        <v>406</v>
      </c>
      <c r="D184" s="553">
        <v>0.20430107526881722</v>
      </c>
      <c r="E184" s="22"/>
      <c r="F184" s="552" t="s">
        <v>406</v>
      </c>
      <c r="G184" s="564">
        <v>37</v>
      </c>
      <c r="H184" s="552" t="s">
        <v>406</v>
      </c>
      <c r="I184" s="553">
        <v>0.19892473118279569</v>
      </c>
    </row>
    <row r="185" spans="1:14" x14ac:dyDescent="0.15">
      <c r="A185" s="552" t="s">
        <v>410</v>
      </c>
      <c r="B185" s="564">
        <v>37</v>
      </c>
      <c r="C185" s="552" t="s">
        <v>410</v>
      </c>
      <c r="D185" s="553">
        <v>0.19892473118279569</v>
      </c>
      <c r="E185" s="22"/>
      <c r="F185" s="552" t="s">
        <v>405</v>
      </c>
      <c r="G185" s="564">
        <v>29</v>
      </c>
      <c r="H185" s="552" t="s">
        <v>405</v>
      </c>
      <c r="I185" s="553">
        <v>0.15591397849462366</v>
      </c>
    </row>
    <row r="186" spans="1:14" x14ac:dyDescent="0.15">
      <c r="A186" s="552" t="s">
        <v>411</v>
      </c>
      <c r="B186" s="564">
        <v>26</v>
      </c>
      <c r="C186" s="552" t="s">
        <v>411</v>
      </c>
      <c r="D186" s="553">
        <v>0.13978494623655913</v>
      </c>
      <c r="E186" s="22"/>
      <c r="F186" s="552" t="s">
        <v>410</v>
      </c>
      <c r="G186" s="564">
        <v>29</v>
      </c>
      <c r="H186" s="552" t="s">
        <v>410</v>
      </c>
      <c r="I186" s="553">
        <v>0.15591397849462366</v>
      </c>
    </row>
    <row r="187" spans="1:14" x14ac:dyDescent="0.15">
      <c r="A187" s="552" t="s">
        <v>446</v>
      </c>
      <c r="B187" s="564">
        <v>16</v>
      </c>
      <c r="C187" s="552" t="s">
        <v>446</v>
      </c>
      <c r="D187" s="553">
        <v>8.6021505376344093E-2</v>
      </c>
      <c r="E187" s="22"/>
      <c r="F187" s="552" t="s">
        <v>445</v>
      </c>
      <c r="G187" s="564">
        <v>16</v>
      </c>
      <c r="H187" s="552" t="s">
        <v>445</v>
      </c>
      <c r="I187" s="553">
        <v>8.6021505376344093E-2</v>
      </c>
    </row>
    <row r="188" spans="1:14" x14ac:dyDescent="0.15">
      <c r="A188" s="552" t="s">
        <v>396</v>
      </c>
      <c r="B188" s="564">
        <v>10</v>
      </c>
      <c r="C188" s="552" t="s">
        <v>396</v>
      </c>
      <c r="D188" s="553">
        <v>5.3763440860215055E-2</v>
      </c>
      <c r="E188" s="22"/>
      <c r="F188" s="552" t="s">
        <v>397</v>
      </c>
      <c r="G188" s="564">
        <v>12</v>
      </c>
      <c r="H188" s="552" t="s">
        <v>397</v>
      </c>
      <c r="I188" s="553">
        <v>6.4516129032258063E-2</v>
      </c>
    </row>
    <row r="189" spans="1:14" x14ac:dyDescent="0.15">
      <c r="A189" s="552" t="s">
        <v>397</v>
      </c>
      <c r="B189" s="564">
        <v>8</v>
      </c>
      <c r="C189" s="552" t="s">
        <v>397</v>
      </c>
      <c r="D189" s="553">
        <v>4.3010752688172046E-2</v>
      </c>
      <c r="E189" s="22"/>
      <c r="F189" s="552" t="s">
        <v>396</v>
      </c>
      <c r="G189" s="564">
        <v>10</v>
      </c>
      <c r="H189" s="552" t="s">
        <v>396</v>
      </c>
      <c r="I189" s="553">
        <v>5.3763440860215055E-2</v>
      </c>
    </row>
    <row r="190" spans="1:14" x14ac:dyDescent="0.15">
      <c r="A190" s="552" t="s">
        <v>445</v>
      </c>
      <c r="B190" s="564">
        <v>7</v>
      </c>
      <c r="C190" s="552" t="s">
        <v>445</v>
      </c>
      <c r="D190" s="553">
        <v>3.7634408602150539E-2</v>
      </c>
      <c r="E190" s="22"/>
      <c r="F190" s="552" t="s">
        <v>446</v>
      </c>
      <c r="G190" s="564">
        <v>7</v>
      </c>
      <c r="H190" s="552" t="s">
        <v>446</v>
      </c>
      <c r="I190" s="553">
        <v>3.7634408602150539E-2</v>
      </c>
    </row>
    <row r="191" spans="1:14" ht="14" thickBot="1" x14ac:dyDescent="0.2">
      <c r="A191" s="552" t="s">
        <v>401</v>
      </c>
      <c r="B191" s="564">
        <v>5</v>
      </c>
      <c r="C191" s="552" t="s">
        <v>401</v>
      </c>
      <c r="D191" s="553">
        <v>2.6881720430107527E-2</v>
      </c>
      <c r="E191" s="22"/>
      <c r="F191" s="552" t="s">
        <v>401</v>
      </c>
      <c r="G191" s="564">
        <v>6</v>
      </c>
      <c r="H191" s="552" t="s">
        <v>401</v>
      </c>
      <c r="I191" s="553">
        <v>3.2258064516129031E-2</v>
      </c>
    </row>
    <row r="192" spans="1:14" ht="14" thickBot="1" x14ac:dyDescent="0.2">
      <c r="A192" s="82" t="s">
        <v>100</v>
      </c>
      <c r="B192" s="562">
        <v>186</v>
      </c>
      <c r="C192" s="82" t="s">
        <v>100</v>
      </c>
      <c r="D192" s="85">
        <v>1</v>
      </c>
      <c r="E192" s="22"/>
      <c r="F192" s="82" t="s">
        <v>100</v>
      </c>
      <c r="G192" s="562">
        <v>186</v>
      </c>
      <c r="H192" s="82" t="s">
        <v>100</v>
      </c>
      <c r="I192" s="85">
        <v>1</v>
      </c>
    </row>
    <row r="193" spans="1:9" x14ac:dyDescent="0.15">
      <c r="A193"/>
      <c r="B193"/>
      <c r="C193"/>
      <c r="D193"/>
      <c r="E193" s="22"/>
      <c r="F193"/>
      <c r="G193"/>
      <c r="H193"/>
      <c r="I193"/>
    </row>
    <row r="194" spans="1:9" x14ac:dyDescent="0.15">
      <c r="E194" s="22"/>
    </row>
    <row r="195" spans="1:9" x14ac:dyDescent="0.15">
      <c r="E195" s="22"/>
    </row>
    <row r="196" spans="1:9" ht="14" thickBot="1" x14ac:dyDescent="0.2">
      <c r="E196" s="22"/>
    </row>
    <row r="197" spans="1:9" x14ac:dyDescent="0.15">
      <c r="A197" s="83" t="s">
        <v>113</v>
      </c>
      <c r="B197" s="84" t="s">
        <v>103</v>
      </c>
      <c r="C197" s="83" t="s">
        <v>113</v>
      </c>
      <c r="D197" s="84" t="s">
        <v>101</v>
      </c>
      <c r="E197" s="22"/>
      <c r="F197" s="83" t="s">
        <v>112</v>
      </c>
      <c r="G197" s="84" t="s">
        <v>103</v>
      </c>
      <c r="H197" s="83" t="s">
        <v>112</v>
      </c>
      <c r="I197" s="84" t="s">
        <v>101</v>
      </c>
    </row>
    <row r="198" spans="1:9" x14ac:dyDescent="0.15">
      <c r="A198" s="454">
        <v>55</v>
      </c>
      <c r="B198" s="563">
        <v>60</v>
      </c>
      <c r="C198" s="454">
        <v>55</v>
      </c>
      <c r="D198" s="456">
        <v>0.32258064516129031</v>
      </c>
      <c r="E198" s="22"/>
      <c r="F198" s="454">
        <v>0</v>
      </c>
      <c r="G198" s="563">
        <v>123</v>
      </c>
      <c r="H198" s="454">
        <v>0</v>
      </c>
      <c r="I198" s="456">
        <v>0.66129032258064513</v>
      </c>
    </row>
    <row r="199" spans="1:9" x14ac:dyDescent="0.15">
      <c r="A199" s="552">
        <v>35</v>
      </c>
      <c r="B199" s="564">
        <v>29</v>
      </c>
      <c r="C199" s="552">
        <v>35</v>
      </c>
      <c r="D199" s="553">
        <v>0.15591397849462366</v>
      </c>
      <c r="E199" s="22"/>
      <c r="F199" s="552">
        <v>55</v>
      </c>
      <c r="G199" s="564">
        <v>8</v>
      </c>
      <c r="H199" s="552">
        <v>55</v>
      </c>
      <c r="I199" s="553">
        <v>4.3010752688172046E-2</v>
      </c>
    </row>
    <row r="200" spans="1:9" x14ac:dyDescent="0.15">
      <c r="A200" s="552">
        <v>0</v>
      </c>
      <c r="B200" s="564">
        <v>20</v>
      </c>
      <c r="C200" s="552">
        <v>0</v>
      </c>
      <c r="D200" s="553">
        <v>0.10752688172043011</v>
      </c>
      <c r="E200" s="22"/>
      <c r="F200" s="552">
        <v>50</v>
      </c>
      <c r="G200" s="564">
        <v>5</v>
      </c>
      <c r="H200" s="552">
        <v>50</v>
      </c>
      <c r="I200" s="553">
        <v>2.6881720430107527E-2</v>
      </c>
    </row>
    <row r="201" spans="1:9" x14ac:dyDescent="0.15">
      <c r="A201" s="552">
        <v>25</v>
      </c>
      <c r="B201" s="564">
        <v>15</v>
      </c>
      <c r="C201" s="552">
        <v>25</v>
      </c>
      <c r="D201" s="553">
        <v>8.0645161290322578E-2</v>
      </c>
      <c r="E201" s="22"/>
      <c r="F201" s="552">
        <v>60</v>
      </c>
      <c r="G201" s="564">
        <v>5</v>
      </c>
      <c r="H201" s="552">
        <v>60</v>
      </c>
      <c r="I201" s="553">
        <v>2.6881720430107527E-2</v>
      </c>
    </row>
    <row r="202" spans="1:9" x14ac:dyDescent="0.15">
      <c r="A202" s="552">
        <v>65</v>
      </c>
      <c r="B202" s="564">
        <v>14</v>
      </c>
      <c r="C202" s="552">
        <v>65</v>
      </c>
      <c r="D202" s="553">
        <v>7.5268817204301078E-2</v>
      </c>
      <c r="E202" s="22"/>
      <c r="F202" s="552">
        <v>5</v>
      </c>
      <c r="G202" s="564">
        <v>4</v>
      </c>
      <c r="H202" s="552">
        <v>5</v>
      </c>
      <c r="I202" s="553">
        <v>2.1505376344086023E-2</v>
      </c>
    </row>
    <row r="203" spans="1:9" x14ac:dyDescent="0.15">
      <c r="A203" s="552">
        <v>60</v>
      </c>
      <c r="B203" s="564">
        <v>11</v>
      </c>
      <c r="C203" s="552">
        <v>60</v>
      </c>
      <c r="D203" s="553">
        <v>5.9139784946236562E-2</v>
      </c>
      <c r="E203" s="22"/>
      <c r="F203" s="552">
        <v>25</v>
      </c>
      <c r="G203" s="564">
        <v>4</v>
      </c>
      <c r="H203" s="552">
        <v>25</v>
      </c>
      <c r="I203" s="553">
        <v>2.1505376344086023E-2</v>
      </c>
    </row>
    <row r="204" spans="1:9" x14ac:dyDescent="0.15">
      <c r="A204" s="552">
        <v>45</v>
      </c>
      <c r="B204" s="564">
        <v>11</v>
      </c>
      <c r="C204" s="552">
        <v>45</v>
      </c>
      <c r="D204" s="553">
        <v>5.9139784946236562E-2</v>
      </c>
      <c r="E204" s="22"/>
      <c r="F204" s="552">
        <v>10</v>
      </c>
      <c r="G204" s="564">
        <v>3</v>
      </c>
      <c r="H204" s="552">
        <v>10</v>
      </c>
      <c r="I204" s="553">
        <v>1.6129032258064516E-2</v>
      </c>
    </row>
    <row r="205" spans="1:9" x14ac:dyDescent="0.15">
      <c r="A205" s="552">
        <v>50</v>
      </c>
      <c r="B205" s="564">
        <v>9</v>
      </c>
      <c r="C205" s="552">
        <v>50</v>
      </c>
      <c r="D205" s="553">
        <v>4.8387096774193547E-2</v>
      </c>
      <c r="E205" s="22"/>
      <c r="F205" s="552">
        <v>65</v>
      </c>
      <c r="G205" s="564">
        <v>3</v>
      </c>
      <c r="H205" s="552">
        <v>65</v>
      </c>
      <c r="I205" s="553">
        <v>1.6129032258064516E-2</v>
      </c>
    </row>
    <row r="206" spans="1:9" x14ac:dyDescent="0.15">
      <c r="A206" s="552">
        <v>40</v>
      </c>
      <c r="B206" s="564">
        <v>7</v>
      </c>
      <c r="C206" s="552">
        <v>40</v>
      </c>
      <c r="D206" s="553">
        <v>3.7634408602150539E-2</v>
      </c>
      <c r="E206" s="22"/>
      <c r="F206" s="552">
        <v>90</v>
      </c>
      <c r="G206" s="564">
        <v>3</v>
      </c>
      <c r="H206" s="552">
        <v>90</v>
      </c>
      <c r="I206" s="553">
        <v>1.6129032258064516E-2</v>
      </c>
    </row>
    <row r="207" spans="1:9" x14ac:dyDescent="0.15">
      <c r="A207" s="552">
        <v>70</v>
      </c>
      <c r="B207" s="564">
        <v>7</v>
      </c>
      <c r="C207" s="552">
        <v>70</v>
      </c>
      <c r="D207" s="553">
        <v>3.7634408602150539E-2</v>
      </c>
      <c r="E207" s="22"/>
      <c r="F207" s="552">
        <v>35</v>
      </c>
      <c r="G207" s="564">
        <v>3</v>
      </c>
      <c r="H207" s="552">
        <v>35</v>
      </c>
      <c r="I207" s="553">
        <v>1.6129032258064516E-2</v>
      </c>
    </row>
    <row r="208" spans="1:9" ht="14" thickBot="1" x14ac:dyDescent="0.2">
      <c r="A208" s="552">
        <v>30</v>
      </c>
      <c r="B208" s="564">
        <v>3</v>
      </c>
      <c r="C208" s="552">
        <v>30</v>
      </c>
      <c r="D208" s="553">
        <v>1.6129032258064516E-2</v>
      </c>
      <c r="E208" s="22"/>
      <c r="F208" s="552">
        <v>70</v>
      </c>
      <c r="G208" s="564">
        <v>3</v>
      </c>
      <c r="H208" s="552">
        <v>70</v>
      </c>
      <c r="I208" s="553">
        <v>1.6129032258064516E-2</v>
      </c>
    </row>
    <row r="209" spans="1:9" ht="14" thickBot="1" x14ac:dyDescent="0.2">
      <c r="A209" s="82" t="s">
        <v>100</v>
      </c>
      <c r="B209" s="562">
        <v>186</v>
      </c>
      <c r="C209" s="82" t="s">
        <v>100</v>
      </c>
      <c r="D209" s="85">
        <v>1</v>
      </c>
      <c r="E209" s="22"/>
      <c r="F209" s="552">
        <v>15</v>
      </c>
      <c r="G209" s="564">
        <v>2</v>
      </c>
      <c r="H209" s="552">
        <v>15</v>
      </c>
      <c r="I209" s="553">
        <v>1.0752688172043012E-2</v>
      </c>
    </row>
    <row r="210" spans="1:9" x14ac:dyDescent="0.15">
      <c r="A210"/>
      <c r="B210"/>
      <c r="C210"/>
      <c r="D210"/>
      <c r="E210" s="22"/>
      <c r="F210" s="552">
        <v>73</v>
      </c>
      <c r="G210" s="564">
        <v>2</v>
      </c>
      <c r="H210" s="552">
        <v>73</v>
      </c>
      <c r="I210" s="553">
        <v>1.0752688172043012E-2</v>
      </c>
    </row>
    <row r="211" spans="1:9" x14ac:dyDescent="0.15">
      <c r="E211" s="22"/>
      <c r="F211" s="552">
        <v>45</v>
      </c>
      <c r="G211" s="564">
        <v>2</v>
      </c>
      <c r="H211" s="552">
        <v>45</v>
      </c>
      <c r="I211" s="553">
        <v>1.0752688172043012E-2</v>
      </c>
    </row>
    <row r="212" spans="1:9" x14ac:dyDescent="0.15">
      <c r="E212" s="22"/>
      <c r="F212" s="552">
        <v>30</v>
      </c>
      <c r="G212" s="564">
        <v>2</v>
      </c>
      <c r="H212" s="552">
        <v>30</v>
      </c>
      <c r="I212" s="553">
        <v>1.0752688172043012E-2</v>
      </c>
    </row>
    <row r="213" spans="1:9" x14ac:dyDescent="0.15">
      <c r="E213" s="22"/>
      <c r="F213" s="552">
        <v>58</v>
      </c>
      <c r="G213" s="564">
        <v>1</v>
      </c>
      <c r="H213" s="552">
        <v>58</v>
      </c>
      <c r="I213" s="553">
        <v>5.3763440860215058E-3</v>
      </c>
    </row>
    <row r="214" spans="1:9" x14ac:dyDescent="0.15">
      <c r="E214" s="22"/>
      <c r="F214" s="552">
        <v>101</v>
      </c>
      <c r="G214" s="564">
        <v>1</v>
      </c>
      <c r="H214" s="552">
        <v>101</v>
      </c>
      <c r="I214" s="553">
        <v>5.3763440860215058E-3</v>
      </c>
    </row>
    <row r="215" spans="1:9" x14ac:dyDescent="0.15">
      <c r="E215" s="22"/>
      <c r="F215" s="552">
        <v>104</v>
      </c>
      <c r="G215" s="564">
        <v>1</v>
      </c>
      <c r="H215" s="552">
        <v>104</v>
      </c>
      <c r="I215" s="553">
        <v>5.3763440860215058E-3</v>
      </c>
    </row>
    <row r="216" spans="1:9" x14ac:dyDescent="0.15">
      <c r="E216" s="22"/>
      <c r="F216" s="552">
        <v>82</v>
      </c>
      <c r="G216" s="564">
        <v>1</v>
      </c>
      <c r="H216" s="552">
        <v>82</v>
      </c>
      <c r="I216" s="553">
        <v>5.3763440860215058E-3</v>
      </c>
    </row>
    <row r="217" spans="1:9" x14ac:dyDescent="0.15">
      <c r="E217" s="22"/>
      <c r="F217" s="552">
        <v>80</v>
      </c>
      <c r="G217" s="564">
        <v>1</v>
      </c>
      <c r="H217" s="552">
        <v>80</v>
      </c>
      <c r="I217" s="553">
        <v>5.3763440860215058E-3</v>
      </c>
    </row>
    <row r="218" spans="1:9" x14ac:dyDescent="0.15">
      <c r="E218" s="22"/>
      <c r="F218" s="552">
        <v>89</v>
      </c>
      <c r="G218" s="564">
        <v>1</v>
      </c>
      <c r="H218" s="552">
        <v>89</v>
      </c>
      <c r="I218" s="553">
        <v>5.3763440860215058E-3</v>
      </c>
    </row>
    <row r="219" spans="1:9" x14ac:dyDescent="0.15">
      <c r="E219" s="22"/>
      <c r="F219" s="552">
        <v>61</v>
      </c>
      <c r="G219" s="564">
        <v>1</v>
      </c>
      <c r="H219" s="552">
        <v>61</v>
      </c>
      <c r="I219" s="553">
        <v>5.3763440860215058E-3</v>
      </c>
    </row>
    <row r="220" spans="1:9" x14ac:dyDescent="0.15">
      <c r="E220" s="22"/>
      <c r="F220" s="552">
        <v>56</v>
      </c>
      <c r="G220" s="564">
        <v>1</v>
      </c>
      <c r="H220" s="552">
        <v>56</v>
      </c>
      <c r="I220" s="553">
        <v>5.3763440860215058E-3</v>
      </c>
    </row>
    <row r="221" spans="1:9" x14ac:dyDescent="0.15">
      <c r="E221" s="22"/>
      <c r="F221" s="552">
        <v>37</v>
      </c>
      <c r="G221" s="564">
        <v>1</v>
      </c>
      <c r="H221" s="552">
        <v>37</v>
      </c>
      <c r="I221" s="553">
        <v>5.3763440860215058E-3</v>
      </c>
    </row>
    <row r="222" spans="1:9" x14ac:dyDescent="0.15">
      <c r="E222" s="22"/>
      <c r="F222" s="552">
        <v>38</v>
      </c>
      <c r="G222" s="564">
        <v>1</v>
      </c>
      <c r="H222" s="552">
        <v>38</v>
      </c>
      <c r="I222" s="553">
        <v>5.3763440860215058E-3</v>
      </c>
    </row>
    <row r="223" spans="1:9" x14ac:dyDescent="0.15">
      <c r="E223" s="22"/>
      <c r="F223" s="552">
        <v>67</v>
      </c>
      <c r="G223" s="564">
        <v>1</v>
      </c>
      <c r="H223" s="552">
        <v>67</v>
      </c>
      <c r="I223" s="553">
        <v>5.3763440860215058E-3</v>
      </c>
    </row>
    <row r="224" spans="1:9" x14ac:dyDescent="0.15">
      <c r="E224" s="22"/>
      <c r="F224" s="552">
        <v>96</v>
      </c>
      <c r="G224" s="564">
        <v>1</v>
      </c>
      <c r="H224" s="552">
        <v>96</v>
      </c>
      <c r="I224" s="553">
        <v>5.3763440860215058E-3</v>
      </c>
    </row>
    <row r="225" spans="1:14" x14ac:dyDescent="0.15">
      <c r="E225" s="22"/>
      <c r="F225" s="552">
        <v>40</v>
      </c>
      <c r="G225" s="564">
        <v>1</v>
      </c>
      <c r="H225" s="552">
        <v>40</v>
      </c>
      <c r="I225" s="553">
        <v>5.3763440860215058E-3</v>
      </c>
    </row>
    <row r="226" spans="1:14" ht="14" thickBot="1" x14ac:dyDescent="0.2">
      <c r="E226" s="22"/>
      <c r="F226" s="552">
        <v>100</v>
      </c>
      <c r="G226" s="564">
        <v>1</v>
      </c>
      <c r="H226" s="552">
        <v>100</v>
      </c>
      <c r="I226" s="553">
        <v>5.3763440860215058E-3</v>
      </c>
      <c r="K226" s="554"/>
      <c r="L226" s="554"/>
      <c r="M226" s="554"/>
      <c r="N226" s="555"/>
    </row>
    <row r="227" spans="1:14" ht="14" thickBot="1" x14ac:dyDescent="0.2">
      <c r="E227" s="22"/>
      <c r="F227" s="82" t="s">
        <v>100</v>
      </c>
      <c r="G227" s="562">
        <v>186</v>
      </c>
      <c r="H227" s="82" t="s">
        <v>100</v>
      </c>
      <c r="I227" s="85">
        <v>1</v>
      </c>
      <c r="K227" s="554"/>
      <c r="L227" s="554"/>
      <c r="M227" s="554"/>
      <c r="N227" s="555"/>
    </row>
    <row r="228" spans="1:14" x14ac:dyDescent="0.15">
      <c r="E228" s="22"/>
      <c r="K228" s="554"/>
      <c r="L228" s="554"/>
      <c r="M228" s="554"/>
      <c r="N228" s="555"/>
    </row>
    <row r="229" spans="1:14" x14ac:dyDescent="0.15">
      <c r="E229" s="22"/>
      <c r="K229" s="554"/>
      <c r="L229" s="554"/>
      <c r="M229" s="554"/>
      <c r="N229" s="555"/>
    </row>
    <row r="230" spans="1:14" x14ac:dyDescent="0.15">
      <c r="E230" s="22"/>
      <c r="K230" s="554"/>
      <c r="L230" s="554"/>
      <c r="M230" s="554"/>
      <c r="N230" s="555"/>
    </row>
    <row r="231" spans="1:14" ht="14" thickBot="1" x14ac:dyDescent="0.2">
      <c r="E231" s="22"/>
      <c r="K231" s="554"/>
      <c r="L231" s="554"/>
      <c r="M231" s="554"/>
      <c r="N231" s="555"/>
    </row>
    <row r="232" spans="1:14" x14ac:dyDescent="0.15">
      <c r="A232" s="83" t="s">
        <v>111</v>
      </c>
      <c r="B232" s="84" t="s">
        <v>103</v>
      </c>
      <c r="C232" s="83" t="s">
        <v>111</v>
      </c>
      <c r="D232" s="84" t="s">
        <v>101</v>
      </c>
      <c r="E232" s="22"/>
      <c r="F232" s="83" t="s">
        <v>110</v>
      </c>
      <c r="G232" s="84" t="s">
        <v>103</v>
      </c>
      <c r="H232" s="83" t="s">
        <v>110</v>
      </c>
      <c r="I232" s="84" t="s">
        <v>101</v>
      </c>
      <c r="K232"/>
      <c r="L232"/>
      <c r="M232"/>
      <c r="N232"/>
    </row>
    <row r="233" spans="1:14" x14ac:dyDescent="0.15">
      <c r="A233" s="454" t="s">
        <v>6303</v>
      </c>
      <c r="B233" s="563">
        <v>84</v>
      </c>
      <c r="C233" s="454" t="s">
        <v>6303</v>
      </c>
      <c r="D233" s="456">
        <v>0.45161290322580644</v>
      </c>
      <c r="E233" s="22"/>
      <c r="F233" s="454"/>
      <c r="G233" s="563">
        <v>62</v>
      </c>
      <c r="H233" s="454"/>
      <c r="I233" s="456">
        <v>0.33333333333333331</v>
      </c>
      <c r="K233"/>
      <c r="L233"/>
      <c r="M233"/>
      <c r="N233"/>
    </row>
    <row r="234" spans="1:14" x14ac:dyDescent="0.15">
      <c r="A234" s="552" t="s">
        <v>417</v>
      </c>
      <c r="B234" s="564">
        <v>37</v>
      </c>
      <c r="C234" s="552" t="s">
        <v>417</v>
      </c>
      <c r="D234" s="553">
        <v>0.19892473118279569</v>
      </c>
      <c r="E234" s="22"/>
      <c r="F234" s="552" t="s">
        <v>6303</v>
      </c>
      <c r="G234" s="564">
        <v>33</v>
      </c>
      <c r="H234" s="552" t="s">
        <v>6303</v>
      </c>
      <c r="I234" s="553">
        <v>0.17741935483870969</v>
      </c>
      <c r="K234"/>
      <c r="L234"/>
      <c r="M234"/>
      <c r="N234"/>
    </row>
    <row r="235" spans="1:14" x14ac:dyDescent="0.15">
      <c r="A235" s="552" t="s">
        <v>464</v>
      </c>
      <c r="B235" s="564">
        <v>13</v>
      </c>
      <c r="C235" s="552" t="s">
        <v>464</v>
      </c>
      <c r="D235" s="553">
        <v>6.9892473118279563E-2</v>
      </c>
      <c r="E235" s="22"/>
      <c r="F235" s="552" t="s">
        <v>417</v>
      </c>
      <c r="G235" s="564">
        <v>33</v>
      </c>
      <c r="H235" s="552" t="s">
        <v>417</v>
      </c>
      <c r="I235" s="553">
        <v>0.17741935483870969</v>
      </c>
      <c r="K235"/>
      <c r="L235"/>
      <c r="M235"/>
      <c r="N235"/>
    </row>
    <row r="236" spans="1:14" x14ac:dyDescent="0.15">
      <c r="A236" s="552" t="s">
        <v>6308</v>
      </c>
      <c r="B236" s="564">
        <v>13</v>
      </c>
      <c r="C236" s="552" t="s">
        <v>6308</v>
      </c>
      <c r="D236" s="553">
        <v>6.9892473118279563E-2</v>
      </c>
      <c r="E236" s="22"/>
      <c r="F236" s="552" t="s">
        <v>6305</v>
      </c>
      <c r="G236" s="564">
        <v>16</v>
      </c>
      <c r="H236" s="552" t="s">
        <v>6305</v>
      </c>
      <c r="I236" s="553">
        <v>8.6021505376344093E-2</v>
      </c>
      <c r="K236"/>
      <c r="L236"/>
      <c r="M236"/>
      <c r="N236"/>
    </row>
    <row r="237" spans="1:14" x14ac:dyDescent="0.15">
      <c r="A237" s="552" t="s">
        <v>6305</v>
      </c>
      <c r="B237" s="564">
        <v>13</v>
      </c>
      <c r="C237" s="552" t="s">
        <v>6305</v>
      </c>
      <c r="D237" s="553">
        <v>6.9892473118279563E-2</v>
      </c>
      <c r="E237" s="22"/>
      <c r="F237" s="552" t="s">
        <v>6315</v>
      </c>
      <c r="G237" s="564">
        <v>14</v>
      </c>
      <c r="H237" s="552" t="s">
        <v>6315</v>
      </c>
      <c r="I237" s="553">
        <v>7.5268817204301078E-2</v>
      </c>
      <c r="K237"/>
      <c r="L237"/>
      <c r="M237"/>
      <c r="N237"/>
    </row>
    <row r="238" spans="1:14" x14ac:dyDescent="0.15">
      <c r="A238" s="552" t="s">
        <v>6315</v>
      </c>
      <c r="B238" s="564">
        <v>7</v>
      </c>
      <c r="C238" s="552" t="s">
        <v>6315</v>
      </c>
      <c r="D238" s="553">
        <v>3.7634408602150539E-2</v>
      </c>
      <c r="E238" s="22"/>
      <c r="F238" s="552" t="s">
        <v>464</v>
      </c>
      <c r="G238" s="564">
        <v>6</v>
      </c>
      <c r="H238" s="552" t="s">
        <v>464</v>
      </c>
      <c r="I238" s="553">
        <v>3.2258064516129031E-2</v>
      </c>
      <c r="K238"/>
      <c r="L238"/>
      <c r="M238"/>
      <c r="N238"/>
    </row>
    <row r="239" spans="1:14" x14ac:dyDescent="0.15">
      <c r="A239" s="552" t="s">
        <v>6304</v>
      </c>
      <c r="B239" s="564">
        <v>6</v>
      </c>
      <c r="C239" s="552" t="s">
        <v>6304</v>
      </c>
      <c r="D239" s="553">
        <v>3.2258064516129031E-2</v>
      </c>
      <c r="E239" s="22"/>
      <c r="F239" s="552" t="s">
        <v>6304</v>
      </c>
      <c r="G239" s="564">
        <v>6</v>
      </c>
      <c r="H239" s="552" t="s">
        <v>6304</v>
      </c>
      <c r="I239" s="553">
        <v>3.2258064516129031E-2</v>
      </c>
      <c r="K239"/>
      <c r="L239"/>
      <c r="M239"/>
      <c r="N239"/>
    </row>
    <row r="240" spans="1:14" x14ac:dyDescent="0.15">
      <c r="A240" s="552" t="s">
        <v>6314</v>
      </c>
      <c r="B240" s="564">
        <v>3</v>
      </c>
      <c r="C240" s="552" t="s">
        <v>6314</v>
      </c>
      <c r="D240" s="553">
        <v>1.6129032258064516E-2</v>
      </c>
      <c r="E240" s="22"/>
      <c r="F240" s="552" t="s">
        <v>6314</v>
      </c>
      <c r="G240" s="564">
        <v>5</v>
      </c>
      <c r="H240" s="552" t="s">
        <v>6314</v>
      </c>
      <c r="I240" s="553">
        <v>2.6881720430107527E-2</v>
      </c>
      <c r="K240"/>
      <c r="L240"/>
      <c r="M240"/>
      <c r="N240"/>
    </row>
    <row r="241" spans="1:14" x14ac:dyDescent="0.15">
      <c r="A241" s="552" t="s">
        <v>6322</v>
      </c>
      <c r="B241" s="564">
        <v>3</v>
      </c>
      <c r="C241" s="552" t="s">
        <v>6322</v>
      </c>
      <c r="D241" s="553">
        <v>1.6129032258064516E-2</v>
      </c>
      <c r="E241" s="22"/>
      <c r="F241" s="552" t="s">
        <v>6308</v>
      </c>
      <c r="G241" s="564">
        <v>4</v>
      </c>
      <c r="H241" s="552" t="s">
        <v>6308</v>
      </c>
      <c r="I241" s="553">
        <v>2.1505376344086023E-2</v>
      </c>
      <c r="K241"/>
      <c r="L241"/>
      <c r="M241"/>
      <c r="N241"/>
    </row>
    <row r="242" spans="1:14" x14ac:dyDescent="0.15">
      <c r="A242" s="552" t="s">
        <v>6323</v>
      </c>
      <c r="B242" s="564">
        <v>2</v>
      </c>
      <c r="C242" s="552" t="s">
        <v>6323</v>
      </c>
      <c r="D242" s="553">
        <v>1.0752688172043012E-2</v>
      </c>
      <c r="E242" s="22"/>
      <c r="F242" s="552" t="s">
        <v>6317</v>
      </c>
      <c r="G242" s="564">
        <v>2</v>
      </c>
      <c r="H242" s="552" t="s">
        <v>6317</v>
      </c>
      <c r="I242" s="553">
        <v>1.0752688172043012E-2</v>
      </c>
      <c r="K242"/>
      <c r="L242"/>
      <c r="M242"/>
      <c r="N242"/>
    </row>
    <row r="243" spans="1:14" x14ac:dyDescent="0.15">
      <c r="A243" s="552" t="s">
        <v>524</v>
      </c>
      <c r="B243" s="564">
        <v>2</v>
      </c>
      <c r="C243" s="552" t="s">
        <v>524</v>
      </c>
      <c r="D243" s="553">
        <v>1.0752688172043012E-2</v>
      </c>
      <c r="E243" s="22"/>
      <c r="F243" s="552" t="s">
        <v>206</v>
      </c>
      <c r="G243" s="564">
        <v>2</v>
      </c>
      <c r="H243" s="552" t="s">
        <v>206</v>
      </c>
      <c r="I243" s="553">
        <v>1.0752688172043012E-2</v>
      </c>
      <c r="K243"/>
      <c r="L243"/>
      <c r="M243"/>
      <c r="N243"/>
    </row>
    <row r="244" spans="1:14" x14ac:dyDescent="0.15">
      <c r="A244" s="552" t="s">
        <v>6312</v>
      </c>
      <c r="B244" s="564">
        <v>1</v>
      </c>
      <c r="C244" s="552" t="s">
        <v>6312</v>
      </c>
      <c r="D244" s="553">
        <v>5.3763440860215058E-3</v>
      </c>
      <c r="E244" s="22"/>
      <c r="F244" s="552" t="s">
        <v>6306</v>
      </c>
      <c r="G244" s="564">
        <v>2</v>
      </c>
      <c r="H244" s="552" t="s">
        <v>6306</v>
      </c>
      <c r="I244" s="553">
        <v>1.0752688172043012E-2</v>
      </c>
      <c r="K244"/>
      <c r="L244"/>
      <c r="M244"/>
      <c r="N244"/>
    </row>
    <row r="245" spans="1:14" ht="14" thickBot="1" x14ac:dyDescent="0.2">
      <c r="A245" s="552" t="s">
        <v>6307</v>
      </c>
      <c r="B245" s="564">
        <v>1</v>
      </c>
      <c r="C245" s="552" t="s">
        <v>6307</v>
      </c>
      <c r="D245" s="553">
        <v>5.3763440860215058E-3</v>
      </c>
      <c r="E245" s="22"/>
      <c r="F245" s="552" t="s">
        <v>6323</v>
      </c>
      <c r="G245" s="564">
        <v>1</v>
      </c>
      <c r="H245" s="552" t="s">
        <v>6323</v>
      </c>
      <c r="I245" s="553">
        <v>5.3763440860215058E-3</v>
      </c>
      <c r="K245"/>
      <c r="L245"/>
      <c r="M245"/>
      <c r="N245"/>
    </row>
    <row r="246" spans="1:14" ht="14" thickBot="1" x14ac:dyDescent="0.2">
      <c r="A246" s="552" t="s">
        <v>6306</v>
      </c>
      <c r="B246" s="564">
        <v>1</v>
      </c>
      <c r="C246" s="552" t="s">
        <v>6306</v>
      </c>
      <c r="D246" s="553">
        <v>5.3763440860215058E-3</v>
      </c>
      <c r="E246" s="22"/>
      <c r="F246" s="82" t="s">
        <v>100</v>
      </c>
      <c r="G246" s="562">
        <v>186</v>
      </c>
      <c r="H246" s="82" t="s">
        <v>100</v>
      </c>
      <c r="I246" s="85">
        <v>1</v>
      </c>
      <c r="K246"/>
      <c r="L246"/>
      <c r="M246"/>
      <c r="N246"/>
    </row>
    <row r="247" spans="1:14" ht="14" thickBot="1" x14ac:dyDescent="0.2">
      <c r="A247" s="82" t="s">
        <v>100</v>
      </c>
      <c r="B247" s="562">
        <v>186</v>
      </c>
      <c r="C247" s="82" t="s">
        <v>100</v>
      </c>
      <c r="D247" s="85">
        <v>1</v>
      </c>
      <c r="E247" s="22"/>
      <c r="F247"/>
      <c r="G247"/>
      <c r="H247"/>
      <c r="I247"/>
      <c r="K247"/>
      <c r="L247"/>
      <c r="M247"/>
      <c r="N247"/>
    </row>
    <row r="248" spans="1:14" x14ac:dyDescent="0.15">
      <c r="A248"/>
      <c r="B248"/>
      <c r="C248"/>
      <c r="D248"/>
      <c r="E248" s="22"/>
      <c r="F248"/>
      <c r="G248"/>
      <c r="H248"/>
      <c r="I248"/>
      <c r="K248"/>
      <c r="L248"/>
      <c r="M248"/>
      <c r="N248"/>
    </row>
    <row r="249" spans="1:14" ht="14" thickBot="1" x14ac:dyDescent="0.2">
      <c r="A249"/>
      <c r="B249"/>
      <c r="C249"/>
      <c r="D249"/>
      <c r="E249" s="22"/>
      <c r="F249"/>
      <c r="G249"/>
      <c r="H249"/>
      <c r="I249"/>
      <c r="K249"/>
      <c r="L249"/>
      <c r="M249"/>
      <c r="N249"/>
    </row>
    <row r="250" spans="1:14" x14ac:dyDescent="0.15">
      <c r="A250"/>
      <c r="B250"/>
      <c r="C250"/>
      <c r="D250"/>
      <c r="E250" s="22"/>
      <c r="F250"/>
      <c r="G250"/>
      <c r="H250"/>
      <c r="I250"/>
      <c r="K250"/>
      <c r="L250"/>
      <c r="M250"/>
      <c r="N250"/>
    </row>
    <row r="251" spans="1:14" ht="14" thickBot="1" x14ac:dyDescent="0.2">
      <c r="A251"/>
      <c r="B251"/>
      <c r="C251"/>
      <c r="D251"/>
      <c r="E251" s="22"/>
      <c r="F251"/>
      <c r="G251"/>
      <c r="H251"/>
      <c r="I251"/>
      <c r="K251"/>
      <c r="L251"/>
      <c r="M251"/>
      <c r="N251"/>
    </row>
    <row r="252" spans="1:14" ht="14" thickBot="1" x14ac:dyDescent="0.2">
      <c r="A252"/>
      <c r="B252"/>
      <c r="C252"/>
      <c r="D252"/>
      <c r="E252" s="22"/>
      <c r="F252"/>
      <c r="G252"/>
      <c r="H252"/>
      <c r="I252"/>
      <c r="K252"/>
      <c r="L252"/>
      <c r="M252"/>
      <c r="N252"/>
    </row>
    <row r="253" spans="1:14" x14ac:dyDescent="0.15">
      <c r="A253"/>
      <c r="B253"/>
      <c r="C253"/>
      <c r="D253"/>
      <c r="E253" s="22"/>
      <c r="F253"/>
      <c r="G253"/>
      <c r="H253"/>
      <c r="I253"/>
      <c r="K253"/>
      <c r="L253"/>
      <c r="M253"/>
      <c r="N253"/>
    </row>
    <row r="254" spans="1:14" ht="14" thickBot="1" x14ac:dyDescent="0.2">
      <c r="A254"/>
      <c r="B254"/>
      <c r="C254"/>
      <c r="D254"/>
      <c r="E254" s="22"/>
      <c r="F254"/>
      <c r="G254"/>
      <c r="H254"/>
      <c r="I254"/>
      <c r="K254"/>
      <c r="L254"/>
      <c r="M254"/>
      <c r="N254"/>
    </row>
    <row r="255" spans="1:14" ht="14" thickBot="1" x14ac:dyDescent="0.2">
      <c r="A255"/>
      <c r="B255"/>
      <c r="C255"/>
      <c r="D255"/>
      <c r="E255" s="22"/>
      <c r="F255"/>
      <c r="G255"/>
      <c r="H255"/>
      <c r="I255"/>
      <c r="K255" s="94" t="s">
        <v>115</v>
      </c>
      <c r="L255" s="95" t="s">
        <v>114</v>
      </c>
      <c r="M255" s="95" t="s">
        <v>67</v>
      </c>
      <c r="N255" s="84" t="s">
        <v>103</v>
      </c>
    </row>
    <row r="256" spans="1:14" ht="14" thickTop="1" x14ac:dyDescent="0.15">
      <c r="A256"/>
      <c r="B256"/>
      <c r="C256"/>
      <c r="D256"/>
      <c r="E256" s="22"/>
      <c r="F256"/>
      <c r="G256"/>
      <c r="H256"/>
      <c r="I256"/>
      <c r="K256" s="462" t="s">
        <v>416</v>
      </c>
      <c r="L256" s="461" t="s">
        <v>6142</v>
      </c>
      <c r="M256" s="452">
        <v>2025</v>
      </c>
      <c r="N256" s="561">
        <v>50</v>
      </c>
    </row>
    <row r="257" spans="1:14" x14ac:dyDescent="0.15">
      <c r="A257"/>
      <c r="B257"/>
      <c r="C257"/>
      <c r="D257"/>
      <c r="E257" s="22"/>
      <c r="F257"/>
      <c r="G257"/>
      <c r="H257"/>
      <c r="I257"/>
      <c r="K257" s="96" t="s">
        <v>6731</v>
      </c>
      <c r="L257" s="554"/>
      <c r="M257" s="554"/>
      <c r="N257" s="573">
        <v>50</v>
      </c>
    </row>
    <row r="258" spans="1:14" x14ac:dyDescent="0.15">
      <c r="A258"/>
      <c r="B258"/>
      <c r="C258"/>
      <c r="D258"/>
      <c r="E258" s="22"/>
      <c r="F258"/>
      <c r="G258"/>
      <c r="H258"/>
      <c r="I258"/>
      <c r="K258" s="454"/>
      <c r="L258" s="452"/>
      <c r="M258" s="452"/>
      <c r="N258" s="561"/>
    </row>
    <row r="259" spans="1:14" x14ac:dyDescent="0.15">
      <c r="A259"/>
      <c r="B259"/>
      <c r="C259"/>
      <c r="D259"/>
      <c r="E259" s="22"/>
      <c r="F259"/>
      <c r="G259"/>
      <c r="H259"/>
      <c r="I259"/>
      <c r="K259" s="462" t="s">
        <v>860</v>
      </c>
      <c r="L259" s="461" t="s">
        <v>6142</v>
      </c>
      <c r="M259" s="452">
        <v>2025</v>
      </c>
      <c r="N259" s="561">
        <v>1</v>
      </c>
    </row>
    <row r="260" spans="1:14" x14ac:dyDescent="0.15">
      <c r="A260"/>
      <c r="B260"/>
      <c r="C260"/>
      <c r="D260"/>
      <c r="E260" s="22"/>
      <c r="F260"/>
      <c r="G260"/>
      <c r="H260"/>
      <c r="I260"/>
      <c r="K260" s="96" t="s">
        <v>6737</v>
      </c>
      <c r="L260" s="554"/>
      <c r="M260" s="554"/>
      <c r="N260" s="573">
        <v>1</v>
      </c>
    </row>
    <row r="261" spans="1:14" x14ac:dyDescent="0.15">
      <c r="A261"/>
      <c r="B261"/>
      <c r="C261"/>
      <c r="D261"/>
      <c r="E261" s="22"/>
      <c r="F261"/>
      <c r="G261"/>
      <c r="H261"/>
      <c r="I261"/>
      <c r="K261" s="454"/>
      <c r="L261" s="452"/>
      <c r="M261" s="452"/>
      <c r="N261" s="561"/>
    </row>
    <row r="262" spans="1:14" x14ac:dyDescent="0.15">
      <c r="A262"/>
      <c r="B262"/>
      <c r="C262"/>
      <c r="D262"/>
      <c r="E262" s="22"/>
      <c r="F262"/>
      <c r="G262"/>
      <c r="H262"/>
      <c r="I262"/>
      <c r="K262" s="462" t="s">
        <v>230</v>
      </c>
      <c r="L262" s="461" t="s">
        <v>6142</v>
      </c>
      <c r="M262" s="452">
        <v>2025</v>
      </c>
      <c r="N262" s="561">
        <v>8</v>
      </c>
    </row>
    <row r="263" spans="1:14" x14ac:dyDescent="0.15">
      <c r="A263"/>
      <c r="B263"/>
      <c r="C263"/>
      <c r="D263"/>
      <c r="E263" s="22"/>
      <c r="F263"/>
      <c r="G263"/>
      <c r="H263"/>
      <c r="I263"/>
      <c r="K263" s="96" t="s">
        <v>6732</v>
      </c>
      <c r="L263" s="554"/>
      <c r="M263" s="554"/>
      <c r="N263" s="573">
        <v>8</v>
      </c>
    </row>
    <row r="264" spans="1:14" x14ac:dyDescent="0.15">
      <c r="A264"/>
      <c r="B264"/>
      <c r="C264"/>
      <c r="D264"/>
      <c r="E264" s="22"/>
      <c r="F264"/>
      <c r="G264"/>
      <c r="H264"/>
      <c r="I264"/>
      <c r="K264" s="454"/>
      <c r="L264" s="452"/>
      <c r="M264" s="452"/>
      <c r="N264" s="561"/>
    </row>
    <row r="265" spans="1:14" x14ac:dyDescent="0.15">
      <c r="E265" s="22"/>
      <c r="K265" s="462" t="s">
        <v>390</v>
      </c>
      <c r="L265" s="461" t="s">
        <v>6142</v>
      </c>
      <c r="M265" s="452">
        <v>2025</v>
      </c>
      <c r="N265" s="561">
        <v>8</v>
      </c>
    </row>
    <row r="266" spans="1:14" ht="14" thickBot="1" x14ac:dyDescent="0.2">
      <c r="E266" s="22"/>
      <c r="K266" s="96" t="s">
        <v>6733</v>
      </c>
      <c r="L266" s="554"/>
      <c r="M266" s="554"/>
      <c r="N266" s="573">
        <v>8</v>
      </c>
    </row>
    <row r="267" spans="1:14" x14ac:dyDescent="0.15">
      <c r="A267" s="83" t="s">
        <v>109</v>
      </c>
      <c r="B267" s="84" t="s">
        <v>103</v>
      </c>
      <c r="C267" s="83" t="s">
        <v>109</v>
      </c>
      <c r="D267" s="84" t="s">
        <v>101</v>
      </c>
      <c r="E267" s="22"/>
      <c r="F267" s="83" t="s">
        <v>108</v>
      </c>
      <c r="G267" s="84" t="s">
        <v>103</v>
      </c>
      <c r="H267" s="83" t="s">
        <v>108</v>
      </c>
      <c r="I267" s="84" t="s">
        <v>101</v>
      </c>
      <c r="K267" s="454"/>
      <c r="L267" s="452"/>
      <c r="M267" s="452"/>
      <c r="N267" s="561"/>
    </row>
    <row r="268" spans="1:14" x14ac:dyDescent="0.15">
      <c r="A268" s="454" t="s">
        <v>399</v>
      </c>
      <c r="B268" s="563">
        <v>93</v>
      </c>
      <c r="C268" s="454" t="s">
        <v>399</v>
      </c>
      <c r="D268" s="456">
        <v>0.5</v>
      </c>
      <c r="E268" s="22"/>
      <c r="F268" s="454" t="s">
        <v>398</v>
      </c>
      <c r="G268" s="563">
        <v>111</v>
      </c>
      <c r="H268" s="454" t="s">
        <v>398</v>
      </c>
      <c r="I268" s="456">
        <v>0.59677419354838712</v>
      </c>
      <c r="K268" s="462" t="s">
        <v>211</v>
      </c>
      <c r="L268" s="461" t="s">
        <v>6142</v>
      </c>
      <c r="M268" s="452">
        <v>2025</v>
      </c>
      <c r="N268" s="561">
        <v>31</v>
      </c>
    </row>
    <row r="269" spans="1:14" x14ac:dyDescent="0.15">
      <c r="A269" s="552"/>
      <c r="B269" s="564">
        <v>62</v>
      </c>
      <c r="C269" s="552"/>
      <c r="D269" s="553">
        <v>0.33333333333333331</v>
      </c>
      <c r="E269" s="22"/>
      <c r="F269" s="552"/>
      <c r="G269" s="564">
        <v>62</v>
      </c>
      <c r="H269" s="552"/>
      <c r="I269" s="553">
        <v>0.33333333333333331</v>
      </c>
      <c r="K269" s="96" t="s">
        <v>6734</v>
      </c>
      <c r="L269" s="554"/>
      <c r="M269" s="554"/>
      <c r="N269" s="573">
        <v>31</v>
      </c>
    </row>
    <row r="270" spans="1:14" x14ac:dyDescent="0.15">
      <c r="A270" s="552" t="s">
        <v>429</v>
      </c>
      <c r="B270" s="564">
        <v>8</v>
      </c>
      <c r="C270" s="552" t="s">
        <v>429</v>
      </c>
      <c r="D270" s="553">
        <v>4.3010752688172046E-2</v>
      </c>
      <c r="E270" s="22"/>
      <c r="F270" s="552" t="s">
        <v>6338</v>
      </c>
      <c r="G270" s="564">
        <v>5</v>
      </c>
      <c r="H270" s="552" t="s">
        <v>6338</v>
      </c>
      <c r="I270" s="553">
        <v>2.6881720430107527E-2</v>
      </c>
      <c r="K270" s="454"/>
      <c r="L270" s="452"/>
      <c r="M270" s="452"/>
      <c r="N270" s="561"/>
    </row>
    <row r="271" spans="1:14" x14ac:dyDescent="0.15">
      <c r="A271" s="552" t="s">
        <v>6355</v>
      </c>
      <c r="B271" s="564">
        <v>6</v>
      </c>
      <c r="C271" s="552" t="s">
        <v>6355</v>
      </c>
      <c r="D271" s="553">
        <v>3.2258064516129031E-2</v>
      </c>
      <c r="E271" s="22"/>
      <c r="F271" s="552" t="s">
        <v>407</v>
      </c>
      <c r="G271" s="564">
        <v>2</v>
      </c>
      <c r="H271" s="552" t="s">
        <v>407</v>
      </c>
      <c r="I271" s="553">
        <v>1.0752688172043012E-2</v>
      </c>
      <c r="K271" s="462" t="s">
        <v>402</v>
      </c>
      <c r="L271" s="461" t="s">
        <v>6142</v>
      </c>
      <c r="M271" s="452">
        <v>2025</v>
      </c>
      <c r="N271" s="561">
        <v>9</v>
      </c>
    </row>
    <row r="272" spans="1:14" x14ac:dyDescent="0.15">
      <c r="A272" s="552" t="s">
        <v>6356</v>
      </c>
      <c r="B272" s="564">
        <v>5</v>
      </c>
      <c r="C272" s="552" t="s">
        <v>6356</v>
      </c>
      <c r="D272" s="553">
        <v>2.6881720430107527E-2</v>
      </c>
      <c r="E272" s="22"/>
      <c r="F272" s="552" t="s">
        <v>6327</v>
      </c>
      <c r="G272" s="564">
        <v>1</v>
      </c>
      <c r="H272" s="552" t="s">
        <v>6327</v>
      </c>
      <c r="I272" s="553">
        <v>5.3763440860215058E-3</v>
      </c>
      <c r="K272" s="96" t="s">
        <v>6736</v>
      </c>
      <c r="L272" s="554"/>
      <c r="M272" s="554"/>
      <c r="N272" s="573">
        <v>9</v>
      </c>
    </row>
    <row r="273" spans="1:14" x14ac:dyDescent="0.15">
      <c r="A273" s="552" t="s">
        <v>6151</v>
      </c>
      <c r="B273" s="564">
        <v>5</v>
      </c>
      <c r="C273" s="552" t="s">
        <v>6151</v>
      </c>
      <c r="D273" s="553">
        <v>2.6881720430107527E-2</v>
      </c>
      <c r="E273" s="22"/>
      <c r="F273" s="552" t="s">
        <v>476</v>
      </c>
      <c r="G273" s="564">
        <v>1</v>
      </c>
      <c r="H273" s="552" t="s">
        <v>476</v>
      </c>
      <c r="I273" s="553">
        <v>5.3763440860215058E-3</v>
      </c>
      <c r="K273" s="454"/>
      <c r="L273" s="452"/>
      <c r="M273" s="452"/>
      <c r="N273" s="561"/>
    </row>
    <row r="274" spans="1:14" x14ac:dyDescent="0.15">
      <c r="A274" s="552" t="s">
        <v>6358</v>
      </c>
      <c r="B274" s="564">
        <v>3</v>
      </c>
      <c r="C274" s="552" t="s">
        <v>6358</v>
      </c>
      <c r="D274" s="553">
        <v>1.6129032258064516E-2</v>
      </c>
      <c r="E274" s="22"/>
      <c r="F274" s="552" t="s">
        <v>6337</v>
      </c>
      <c r="G274" s="564">
        <v>1</v>
      </c>
      <c r="H274" s="552" t="s">
        <v>6337</v>
      </c>
      <c r="I274" s="553">
        <v>5.3763440860215058E-3</v>
      </c>
      <c r="K274" s="462" t="s">
        <v>438</v>
      </c>
      <c r="L274" s="461" t="s">
        <v>6142</v>
      </c>
      <c r="M274" s="452">
        <v>2025</v>
      </c>
      <c r="N274" s="561">
        <v>37</v>
      </c>
    </row>
    <row r="275" spans="1:14" x14ac:dyDescent="0.15">
      <c r="A275" s="552" t="s">
        <v>465</v>
      </c>
      <c r="B275" s="564">
        <v>2</v>
      </c>
      <c r="C275" s="552" t="s">
        <v>465</v>
      </c>
      <c r="D275" s="553">
        <v>1.0752688172043012E-2</v>
      </c>
      <c r="E275" s="22"/>
      <c r="F275" s="552" t="s">
        <v>425</v>
      </c>
      <c r="G275" s="564">
        <v>1</v>
      </c>
      <c r="H275" s="552" t="s">
        <v>425</v>
      </c>
      <c r="I275" s="553">
        <v>5.3763440860215058E-3</v>
      </c>
      <c r="K275" s="96" t="s">
        <v>6735</v>
      </c>
      <c r="L275" s="554"/>
      <c r="M275" s="554"/>
      <c r="N275" s="573">
        <v>37</v>
      </c>
    </row>
    <row r="276" spans="1:14" ht="14" thickBot="1" x14ac:dyDescent="0.2">
      <c r="A276" s="552" t="s">
        <v>436</v>
      </c>
      <c r="B276" s="564">
        <v>2</v>
      </c>
      <c r="C276" s="552" t="s">
        <v>436</v>
      </c>
      <c r="D276" s="553">
        <v>1.0752688172043012E-2</v>
      </c>
      <c r="E276" s="22"/>
      <c r="F276" s="552" t="s">
        <v>6334</v>
      </c>
      <c r="G276" s="564">
        <v>1</v>
      </c>
      <c r="H276" s="552" t="s">
        <v>6334</v>
      </c>
      <c r="I276" s="553">
        <v>5.3763440860215058E-3</v>
      </c>
      <c r="K276" s="454"/>
      <c r="L276" s="452"/>
      <c r="M276" s="452"/>
      <c r="N276" s="561"/>
    </row>
    <row r="277" spans="1:14" ht="14" thickBot="1" x14ac:dyDescent="0.2">
      <c r="A277" s="82" t="s">
        <v>100</v>
      </c>
      <c r="B277" s="562">
        <v>186</v>
      </c>
      <c r="C277" s="82" t="s">
        <v>100</v>
      </c>
      <c r="D277" s="85">
        <v>1</v>
      </c>
      <c r="E277" s="22"/>
      <c r="F277" s="552" t="s">
        <v>6512</v>
      </c>
      <c r="G277" s="564">
        <v>1</v>
      </c>
      <c r="H277" s="552" t="s">
        <v>6512</v>
      </c>
      <c r="I277" s="553">
        <v>5.3763440860215058E-3</v>
      </c>
      <c r="K277" s="462" t="s">
        <v>209</v>
      </c>
      <c r="L277" s="461" t="s">
        <v>6142</v>
      </c>
      <c r="M277" s="452">
        <v>2025</v>
      </c>
      <c r="N277" s="561">
        <v>19</v>
      </c>
    </row>
    <row r="278" spans="1:14" ht="14" thickBot="1" x14ac:dyDescent="0.2">
      <c r="A278"/>
      <c r="B278"/>
      <c r="C278"/>
      <c r="D278"/>
      <c r="E278" s="22"/>
      <c r="F278" s="82" t="s">
        <v>100</v>
      </c>
      <c r="G278" s="562">
        <v>186</v>
      </c>
      <c r="H278" s="82" t="s">
        <v>100</v>
      </c>
      <c r="I278" s="85">
        <v>1</v>
      </c>
      <c r="K278" s="96" t="s">
        <v>6745</v>
      </c>
      <c r="L278" s="554"/>
      <c r="M278" s="554"/>
      <c r="N278" s="573">
        <v>19</v>
      </c>
    </row>
    <row r="279" spans="1:14" x14ac:dyDescent="0.15">
      <c r="A279"/>
      <c r="B279"/>
      <c r="C279"/>
      <c r="D279"/>
      <c r="E279" s="22"/>
      <c r="F279"/>
      <c r="G279"/>
      <c r="H279"/>
      <c r="I279"/>
      <c r="K279" s="454"/>
      <c r="L279" s="452"/>
      <c r="M279" s="452"/>
      <c r="N279" s="561"/>
    </row>
    <row r="280" spans="1:14" x14ac:dyDescent="0.15">
      <c r="A280"/>
      <c r="B280"/>
      <c r="C280"/>
      <c r="D280"/>
      <c r="E280" s="22"/>
      <c r="F280"/>
      <c r="G280"/>
      <c r="H280"/>
      <c r="I280"/>
      <c r="K280" s="462" t="s">
        <v>409</v>
      </c>
      <c r="L280" s="461" t="s">
        <v>6142</v>
      </c>
      <c r="M280" s="452">
        <v>2025</v>
      </c>
      <c r="N280" s="561">
        <v>3</v>
      </c>
    </row>
    <row r="281" spans="1:14" x14ac:dyDescent="0.15">
      <c r="A281"/>
      <c r="B281"/>
      <c r="C281"/>
      <c r="D281"/>
      <c r="E281" s="22"/>
      <c r="F281"/>
      <c r="G281"/>
      <c r="H281"/>
      <c r="I281"/>
      <c r="K281" s="96" t="s">
        <v>6746</v>
      </c>
      <c r="L281" s="554"/>
      <c r="M281" s="554"/>
      <c r="N281" s="573">
        <v>3</v>
      </c>
    </row>
    <row r="282" spans="1:14" x14ac:dyDescent="0.15">
      <c r="A282"/>
      <c r="B282"/>
      <c r="C282"/>
      <c r="D282"/>
      <c r="E282" s="22"/>
      <c r="F282"/>
      <c r="G282"/>
      <c r="H282"/>
      <c r="I282"/>
      <c r="K282" s="454"/>
      <c r="L282" s="452"/>
      <c r="M282" s="452"/>
      <c r="N282" s="561"/>
    </row>
    <row r="283" spans="1:14" x14ac:dyDescent="0.15">
      <c r="A283"/>
      <c r="B283"/>
      <c r="C283"/>
      <c r="D283"/>
      <c r="E283" s="22"/>
      <c r="F283"/>
      <c r="G283"/>
      <c r="H283"/>
      <c r="I283"/>
      <c r="K283" s="462" t="s">
        <v>313</v>
      </c>
      <c r="L283" s="461" t="s">
        <v>6142</v>
      </c>
      <c r="M283" s="452">
        <v>2025</v>
      </c>
      <c r="N283" s="561">
        <v>3</v>
      </c>
    </row>
    <row r="284" spans="1:14" x14ac:dyDescent="0.15">
      <c r="A284"/>
      <c r="B284"/>
      <c r="C284"/>
      <c r="D284"/>
      <c r="E284" s="22"/>
      <c r="F284"/>
      <c r="G284"/>
      <c r="H284"/>
      <c r="I284"/>
      <c r="K284" s="96" t="s">
        <v>6747</v>
      </c>
      <c r="L284" s="554"/>
      <c r="M284" s="554"/>
      <c r="N284" s="573">
        <v>3</v>
      </c>
    </row>
    <row r="285" spans="1:14" x14ac:dyDescent="0.15">
      <c r="A285"/>
      <c r="B285"/>
      <c r="C285"/>
      <c r="D285"/>
      <c r="E285" s="22"/>
      <c r="F285"/>
      <c r="G285"/>
      <c r="H285"/>
      <c r="I285"/>
      <c r="K285" s="454"/>
      <c r="L285" s="452"/>
      <c r="M285" s="452"/>
      <c r="N285" s="561"/>
    </row>
    <row r="286" spans="1:14" x14ac:dyDescent="0.15">
      <c r="E286" s="22"/>
      <c r="F286"/>
      <c r="G286"/>
      <c r="H286"/>
      <c r="I286"/>
      <c r="K286" s="462" t="s">
        <v>202</v>
      </c>
      <c r="L286" s="461" t="s">
        <v>6142</v>
      </c>
      <c r="M286" s="452">
        <v>2025</v>
      </c>
      <c r="N286" s="561">
        <v>8</v>
      </c>
    </row>
    <row r="287" spans="1:14" x14ac:dyDescent="0.15">
      <c r="E287" s="22"/>
      <c r="F287"/>
      <c r="G287"/>
      <c r="H287"/>
      <c r="I287"/>
      <c r="K287" s="96" t="s">
        <v>6748</v>
      </c>
      <c r="L287" s="554"/>
      <c r="M287" s="554"/>
      <c r="N287" s="573">
        <v>8</v>
      </c>
    </row>
    <row r="288" spans="1:14" x14ac:dyDescent="0.15">
      <c r="E288" s="22"/>
      <c r="F288"/>
      <c r="G288"/>
      <c r="H288"/>
      <c r="I288"/>
      <c r="K288" s="454"/>
      <c r="L288" s="452"/>
      <c r="M288" s="452"/>
      <c r="N288" s="561"/>
    </row>
    <row r="289" spans="1:14" x14ac:dyDescent="0.15">
      <c r="E289" s="22"/>
      <c r="F289"/>
      <c r="G289"/>
      <c r="H289"/>
      <c r="I289"/>
      <c r="K289" s="462" t="s">
        <v>206</v>
      </c>
      <c r="L289" s="461" t="s">
        <v>6142</v>
      </c>
      <c r="M289" s="452">
        <v>2025</v>
      </c>
      <c r="N289" s="561">
        <v>2</v>
      </c>
    </row>
    <row r="290" spans="1:14" x14ac:dyDescent="0.15">
      <c r="E290" s="22"/>
      <c r="F290"/>
      <c r="G290"/>
      <c r="H290"/>
      <c r="I290"/>
      <c r="K290" s="96" t="s">
        <v>6749</v>
      </c>
      <c r="L290" s="554"/>
      <c r="M290" s="554"/>
      <c r="N290" s="573">
        <v>2</v>
      </c>
    </row>
    <row r="291" spans="1:14" x14ac:dyDescent="0.15">
      <c r="E291" s="22"/>
      <c r="K291" s="454"/>
      <c r="L291" s="452"/>
      <c r="M291" s="452"/>
      <c r="N291" s="561"/>
    </row>
    <row r="292" spans="1:14" x14ac:dyDescent="0.15">
      <c r="E292" s="22"/>
      <c r="K292" s="462" t="s">
        <v>210</v>
      </c>
      <c r="L292" s="461" t="s">
        <v>6142</v>
      </c>
      <c r="M292" s="452">
        <v>2025</v>
      </c>
      <c r="N292" s="561">
        <v>6</v>
      </c>
    </row>
    <row r="293" spans="1:14" x14ac:dyDescent="0.15">
      <c r="E293" s="22"/>
      <c r="K293" s="96" t="s">
        <v>6750</v>
      </c>
      <c r="L293" s="554"/>
      <c r="M293" s="554"/>
      <c r="N293" s="573">
        <v>6</v>
      </c>
    </row>
    <row r="294" spans="1:14" ht="14" thickBot="1" x14ac:dyDescent="0.2">
      <c r="E294" s="22"/>
      <c r="K294" s="454"/>
      <c r="L294" s="452"/>
      <c r="M294" s="452"/>
      <c r="N294" s="561"/>
    </row>
    <row r="295" spans="1:14" x14ac:dyDescent="0.15">
      <c r="A295" s="83" t="s">
        <v>107</v>
      </c>
      <c r="B295" s="84" t="s">
        <v>103</v>
      </c>
      <c r="C295" s="83" t="s">
        <v>107</v>
      </c>
      <c r="D295" s="84" t="s">
        <v>101</v>
      </c>
      <c r="E295" s="22"/>
      <c r="F295" s="83" t="s">
        <v>106</v>
      </c>
      <c r="G295" s="84" t="s">
        <v>103</v>
      </c>
      <c r="H295" s="83" t="s">
        <v>106</v>
      </c>
      <c r="I295" s="84" t="s">
        <v>101</v>
      </c>
      <c r="K295" s="462" t="s">
        <v>401</v>
      </c>
      <c r="L295" s="461" t="s">
        <v>6142</v>
      </c>
      <c r="M295" s="452">
        <v>2025</v>
      </c>
      <c r="N295" s="561">
        <v>1</v>
      </c>
    </row>
    <row r="296" spans="1:14" x14ac:dyDescent="0.15">
      <c r="A296" s="454"/>
      <c r="B296" s="563">
        <v>65</v>
      </c>
      <c r="C296" s="454"/>
      <c r="D296" s="456">
        <v>0.34946236559139787</v>
      </c>
      <c r="E296" s="22"/>
      <c r="F296" s="454"/>
      <c r="G296" s="563">
        <v>65</v>
      </c>
      <c r="H296" s="454"/>
      <c r="I296" s="456">
        <v>0.34946236559139787</v>
      </c>
      <c r="K296" s="96" t="s">
        <v>6751</v>
      </c>
      <c r="L296" s="554"/>
      <c r="M296" s="554"/>
      <c r="N296" s="573">
        <v>1</v>
      </c>
    </row>
    <row r="297" spans="1:14" ht="14" thickBot="1" x14ac:dyDescent="0.2">
      <c r="A297" s="552" t="s">
        <v>405</v>
      </c>
      <c r="B297" s="564">
        <v>27</v>
      </c>
      <c r="C297" s="552" t="s">
        <v>405</v>
      </c>
      <c r="D297" s="553">
        <v>0.14516129032258066</v>
      </c>
      <c r="E297" s="22"/>
      <c r="F297" s="552" t="s">
        <v>405</v>
      </c>
      <c r="G297" s="564">
        <v>27</v>
      </c>
      <c r="H297" s="552" t="s">
        <v>405</v>
      </c>
      <c r="I297" s="553">
        <v>0.14516129032258066</v>
      </c>
      <c r="K297" s="454"/>
      <c r="L297" s="452"/>
      <c r="M297" s="452"/>
      <c r="N297" s="561"/>
    </row>
    <row r="298" spans="1:14" ht="14" thickBot="1" x14ac:dyDescent="0.2">
      <c r="A298" s="552" t="s">
        <v>406</v>
      </c>
      <c r="B298" s="564">
        <v>26</v>
      </c>
      <c r="C298" s="552" t="s">
        <v>406</v>
      </c>
      <c r="D298" s="553">
        <v>0.13978494623655913</v>
      </c>
      <c r="E298" s="22"/>
      <c r="F298" s="552" t="s">
        <v>406</v>
      </c>
      <c r="G298" s="564">
        <v>27</v>
      </c>
      <c r="H298" s="552" t="s">
        <v>406</v>
      </c>
      <c r="I298" s="553">
        <v>0.14516129032258066</v>
      </c>
      <c r="K298" s="82" t="s">
        <v>100</v>
      </c>
      <c r="L298" s="93"/>
      <c r="M298" s="93"/>
      <c r="N298" s="562">
        <v>186</v>
      </c>
    </row>
    <row r="299" spans="1:14" x14ac:dyDescent="0.15">
      <c r="A299" s="552" t="s">
        <v>411</v>
      </c>
      <c r="B299" s="564">
        <v>24</v>
      </c>
      <c r="C299" s="552" t="s">
        <v>411</v>
      </c>
      <c r="D299" s="553">
        <v>0.12903225806451613</v>
      </c>
      <c r="E299" s="22"/>
      <c r="F299" s="552" t="s">
        <v>410</v>
      </c>
      <c r="G299" s="564">
        <v>22</v>
      </c>
      <c r="H299" s="552" t="s">
        <v>410</v>
      </c>
      <c r="I299" s="553">
        <v>0.11827956989247312</v>
      </c>
      <c r="K299"/>
      <c r="L299"/>
      <c r="M299"/>
      <c r="N299"/>
    </row>
    <row r="300" spans="1:14" x14ac:dyDescent="0.15">
      <c r="A300" s="552" t="s">
        <v>410</v>
      </c>
      <c r="B300" s="564">
        <v>17</v>
      </c>
      <c r="C300" s="552" t="s">
        <v>410</v>
      </c>
      <c r="D300" s="553">
        <v>9.1397849462365593E-2</v>
      </c>
      <c r="E300" s="22"/>
      <c r="F300" s="552" t="s">
        <v>411</v>
      </c>
      <c r="G300" s="564">
        <v>17</v>
      </c>
      <c r="H300" s="552" t="s">
        <v>411</v>
      </c>
      <c r="I300" s="553">
        <v>9.1397849462365593E-2</v>
      </c>
      <c r="K300"/>
      <c r="L300"/>
      <c r="M300"/>
      <c r="N300"/>
    </row>
    <row r="301" spans="1:14" x14ac:dyDescent="0.15">
      <c r="A301" s="552" t="s">
        <v>397</v>
      </c>
      <c r="B301" s="564">
        <v>11</v>
      </c>
      <c r="C301" s="552" t="s">
        <v>397</v>
      </c>
      <c r="D301" s="553">
        <v>5.9139784946236562E-2</v>
      </c>
      <c r="E301" s="22"/>
      <c r="F301" s="552" t="s">
        <v>396</v>
      </c>
      <c r="G301" s="564">
        <v>11</v>
      </c>
      <c r="H301" s="552" t="s">
        <v>396</v>
      </c>
      <c r="I301" s="553">
        <v>5.9139784946236562E-2</v>
      </c>
      <c r="K301"/>
      <c r="L301"/>
      <c r="M301"/>
      <c r="N301"/>
    </row>
    <row r="302" spans="1:14" x14ac:dyDescent="0.15">
      <c r="A302" s="552" t="s">
        <v>445</v>
      </c>
      <c r="B302" s="564">
        <v>6</v>
      </c>
      <c r="C302" s="552" t="s">
        <v>445</v>
      </c>
      <c r="D302" s="553">
        <v>3.2258064516129031E-2</v>
      </c>
      <c r="E302" s="22"/>
      <c r="F302" s="552" t="s">
        <v>446</v>
      </c>
      <c r="G302" s="564">
        <v>6</v>
      </c>
      <c r="H302" s="552" t="s">
        <v>446</v>
      </c>
      <c r="I302" s="553">
        <v>3.2258064516129031E-2</v>
      </c>
      <c r="K302"/>
      <c r="L302"/>
      <c r="M302"/>
      <c r="N302"/>
    </row>
    <row r="303" spans="1:14" x14ac:dyDescent="0.15">
      <c r="A303" s="552" t="s">
        <v>396</v>
      </c>
      <c r="B303" s="564">
        <v>5</v>
      </c>
      <c r="C303" s="552" t="s">
        <v>396</v>
      </c>
      <c r="D303" s="553">
        <v>2.6881720430107527E-2</v>
      </c>
      <c r="E303" s="22"/>
      <c r="F303" s="552" t="s">
        <v>397</v>
      </c>
      <c r="G303" s="564">
        <v>5</v>
      </c>
      <c r="H303" s="552" t="s">
        <v>397</v>
      </c>
      <c r="I303" s="553">
        <v>2.6881720430107527E-2</v>
      </c>
      <c r="K303"/>
      <c r="L303"/>
      <c r="M303"/>
      <c r="N303"/>
    </row>
    <row r="304" spans="1:14" x14ac:dyDescent="0.15">
      <c r="A304" s="552" t="s">
        <v>446</v>
      </c>
      <c r="B304" s="564">
        <v>3</v>
      </c>
      <c r="C304" s="552" t="s">
        <v>446</v>
      </c>
      <c r="D304" s="553">
        <v>1.6129032258064516E-2</v>
      </c>
      <c r="E304" s="22"/>
      <c r="F304" s="552" t="s">
        <v>445</v>
      </c>
      <c r="G304" s="564">
        <v>4</v>
      </c>
      <c r="H304" s="552" t="s">
        <v>445</v>
      </c>
      <c r="I304" s="553">
        <v>2.1505376344086023E-2</v>
      </c>
      <c r="K304"/>
      <c r="L304"/>
      <c r="M304"/>
      <c r="N304"/>
    </row>
    <row r="305" spans="1:14" ht="14" thickBot="1" x14ac:dyDescent="0.2">
      <c r="A305" s="552" t="s">
        <v>401</v>
      </c>
      <c r="B305" s="564">
        <v>2</v>
      </c>
      <c r="C305" s="552" t="s">
        <v>401</v>
      </c>
      <c r="D305" s="553">
        <v>1.0752688172043012E-2</v>
      </c>
      <c r="E305" s="22"/>
      <c r="F305" s="552" t="s">
        <v>401</v>
      </c>
      <c r="G305" s="564">
        <v>2</v>
      </c>
      <c r="H305" s="552" t="s">
        <v>401</v>
      </c>
      <c r="I305" s="553">
        <v>1.0752688172043012E-2</v>
      </c>
      <c r="K305"/>
      <c r="L305"/>
      <c r="M305"/>
      <c r="N305"/>
    </row>
    <row r="306" spans="1:14" ht="14" thickBot="1" x14ac:dyDescent="0.2">
      <c r="A306" s="82" t="s">
        <v>100</v>
      </c>
      <c r="B306" s="562">
        <v>186</v>
      </c>
      <c r="C306" s="82" t="s">
        <v>100</v>
      </c>
      <c r="D306" s="85">
        <v>1</v>
      </c>
      <c r="E306" s="22"/>
      <c r="F306" s="82" t="s">
        <v>100</v>
      </c>
      <c r="G306" s="562">
        <v>186</v>
      </c>
      <c r="H306" s="82" t="s">
        <v>100</v>
      </c>
      <c r="I306" s="85">
        <v>1</v>
      </c>
      <c r="K306"/>
      <c r="L306"/>
      <c r="M306"/>
      <c r="N306"/>
    </row>
    <row r="307" spans="1:14" x14ac:dyDescent="0.15">
      <c r="A307"/>
      <c r="B307"/>
      <c r="C307"/>
      <c r="D307"/>
      <c r="E307" s="22"/>
      <c r="F307"/>
      <c r="G307"/>
      <c r="H307"/>
      <c r="I307"/>
      <c r="K307"/>
      <c r="L307"/>
      <c r="M307"/>
      <c r="N307"/>
    </row>
    <row r="308" spans="1:14" x14ac:dyDescent="0.15">
      <c r="E308" s="22"/>
      <c r="K308"/>
      <c r="L308"/>
      <c r="M308"/>
      <c r="N308"/>
    </row>
    <row r="309" spans="1:14" x14ac:dyDescent="0.15">
      <c r="E309" s="22"/>
      <c r="K309"/>
      <c r="L309"/>
      <c r="M309"/>
      <c r="N309"/>
    </row>
    <row r="310" spans="1:14" ht="14" thickBot="1" x14ac:dyDescent="0.2">
      <c r="E310" s="22"/>
      <c r="K310"/>
      <c r="L310"/>
      <c r="M310"/>
      <c r="N310"/>
    </row>
    <row r="311" spans="1:14" x14ac:dyDescent="0.15">
      <c r="A311" s="83" t="s">
        <v>104</v>
      </c>
      <c r="B311" s="84" t="s">
        <v>103</v>
      </c>
      <c r="C311" s="83" t="s">
        <v>104</v>
      </c>
      <c r="D311" s="84" t="s">
        <v>101</v>
      </c>
      <c r="E311" s="22"/>
      <c r="F311" s="83" t="s">
        <v>102</v>
      </c>
      <c r="G311" s="84" t="s">
        <v>103</v>
      </c>
      <c r="H311" s="83" t="s">
        <v>102</v>
      </c>
      <c r="I311" s="84" t="s">
        <v>101</v>
      </c>
      <c r="K311"/>
      <c r="L311"/>
      <c r="M311"/>
      <c r="N311"/>
    </row>
    <row r="312" spans="1:14" ht="14" thickBot="1" x14ac:dyDescent="0.2">
      <c r="A312" s="454" t="s">
        <v>105</v>
      </c>
      <c r="B312" s="563">
        <v>186</v>
      </c>
      <c r="C312" s="454" t="s">
        <v>105</v>
      </c>
      <c r="D312" s="456">
        <v>1</v>
      </c>
      <c r="E312" s="22"/>
      <c r="F312" s="454" t="s">
        <v>105</v>
      </c>
      <c r="G312" s="563">
        <v>186</v>
      </c>
      <c r="H312" s="454" t="s">
        <v>105</v>
      </c>
      <c r="I312" s="456">
        <v>1</v>
      </c>
      <c r="K312"/>
      <c r="L312"/>
      <c r="M312"/>
      <c r="N312"/>
    </row>
    <row r="313" spans="1:14" ht="14" thickBot="1" x14ac:dyDescent="0.2">
      <c r="A313" s="82" t="s">
        <v>100</v>
      </c>
      <c r="B313" s="562">
        <v>186</v>
      </c>
      <c r="C313" s="82" t="s">
        <v>100</v>
      </c>
      <c r="D313" s="85">
        <v>1</v>
      </c>
      <c r="E313" s="22"/>
      <c r="F313" s="82" t="s">
        <v>100</v>
      </c>
      <c r="G313" s="562">
        <v>186</v>
      </c>
      <c r="H313" s="82" t="s">
        <v>100</v>
      </c>
      <c r="I313" s="85">
        <v>1</v>
      </c>
      <c r="K313"/>
      <c r="L313"/>
      <c r="M313"/>
      <c r="N313"/>
    </row>
    <row r="314" spans="1:14" x14ac:dyDescent="0.15">
      <c r="A314"/>
      <c r="B314"/>
      <c r="C314"/>
      <c r="D314"/>
      <c r="E314" s="22"/>
      <c r="F314"/>
      <c r="G314"/>
      <c r="H314"/>
      <c r="I314"/>
      <c r="K314"/>
      <c r="L314"/>
      <c r="M314"/>
      <c r="N314"/>
    </row>
    <row r="315" spans="1:14" x14ac:dyDescent="0.15">
      <c r="A315"/>
      <c r="B315"/>
      <c r="C315"/>
      <c r="D315"/>
      <c r="E315" s="22"/>
      <c r="F315"/>
      <c r="G315"/>
      <c r="H315"/>
      <c r="I315"/>
      <c r="K315"/>
      <c r="L315"/>
      <c r="M315"/>
      <c r="N315"/>
    </row>
    <row r="316" spans="1:14" x14ac:dyDescent="0.15">
      <c r="A316"/>
      <c r="B316"/>
      <c r="C316"/>
      <c r="D316"/>
      <c r="E316" s="22"/>
      <c r="F316"/>
      <c r="G316"/>
      <c r="H316"/>
      <c r="I316"/>
      <c r="K316"/>
      <c r="L316"/>
      <c r="M316"/>
      <c r="N316"/>
    </row>
    <row r="317" spans="1:14" x14ac:dyDescent="0.15">
      <c r="A317"/>
      <c r="B317"/>
      <c r="C317"/>
      <c r="D317"/>
      <c r="E317" s="22"/>
      <c r="K317"/>
      <c r="L317"/>
      <c r="M317"/>
      <c r="N317"/>
    </row>
    <row r="318" spans="1:14" x14ac:dyDescent="0.15">
      <c r="E318" s="22"/>
      <c r="K318"/>
      <c r="L318"/>
      <c r="M318"/>
      <c r="N318"/>
    </row>
    <row r="319" spans="1:14" x14ac:dyDescent="0.15">
      <c r="E319" s="22"/>
      <c r="K319"/>
      <c r="L319"/>
      <c r="M319"/>
      <c r="N319"/>
    </row>
    <row r="320" spans="1:14" x14ac:dyDescent="0.15">
      <c r="E320" s="22"/>
      <c r="K320"/>
      <c r="L320"/>
      <c r="M320"/>
      <c r="N320"/>
    </row>
    <row r="321" spans="5:14" x14ac:dyDescent="0.15">
      <c r="E321" s="22"/>
      <c r="K321"/>
      <c r="L321"/>
      <c r="M321"/>
      <c r="N321"/>
    </row>
    <row r="322" spans="5:14" x14ac:dyDescent="0.15">
      <c r="K322"/>
      <c r="L322"/>
      <c r="M322"/>
      <c r="N322"/>
    </row>
    <row r="323" spans="5:14" x14ac:dyDescent="0.15">
      <c r="K323"/>
      <c r="L323"/>
      <c r="M323"/>
      <c r="N323"/>
    </row>
    <row r="324" spans="5:14" x14ac:dyDescent="0.15">
      <c r="K324"/>
      <c r="L324"/>
      <c r="M324"/>
      <c r="N324"/>
    </row>
    <row r="325" spans="5:14" x14ac:dyDescent="0.15">
      <c r="K325"/>
      <c r="L325"/>
      <c r="M325"/>
      <c r="N325"/>
    </row>
    <row r="326" spans="5:14" x14ac:dyDescent="0.15">
      <c r="K326"/>
      <c r="L326"/>
      <c r="M326"/>
      <c r="N326"/>
    </row>
    <row r="327" spans="5:14" x14ac:dyDescent="0.15">
      <c r="K327"/>
      <c r="L327"/>
      <c r="M327"/>
      <c r="N327"/>
    </row>
    <row r="328" spans="5:14" x14ac:dyDescent="0.15">
      <c r="K328"/>
      <c r="L328"/>
      <c r="M328"/>
      <c r="N328"/>
    </row>
    <row r="329" spans="5:14" x14ac:dyDescent="0.15">
      <c r="K329"/>
      <c r="L329"/>
      <c r="M329"/>
      <c r="N329"/>
    </row>
    <row r="330" spans="5:14" x14ac:dyDescent="0.15">
      <c r="K330"/>
      <c r="L330"/>
      <c r="M330"/>
      <c r="N330"/>
    </row>
    <row r="331" spans="5:14" x14ac:dyDescent="0.15">
      <c r="K331"/>
      <c r="L331"/>
      <c r="M331"/>
      <c r="N331"/>
    </row>
    <row r="332" spans="5:14" x14ac:dyDescent="0.15">
      <c r="K332"/>
      <c r="L332"/>
      <c r="M332"/>
      <c r="N332"/>
    </row>
    <row r="333" spans="5:14" x14ac:dyDescent="0.15">
      <c r="K333"/>
      <c r="L333"/>
      <c r="M333"/>
      <c r="N333"/>
    </row>
    <row r="334" spans="5:14" x14ac:dyDescent="0.15">
      <c r="K334"/>
      <c r="L334"/>
      <c r="M334"/>
      <c r="N334"/>
    </row>
    <row r="335" spans="5:14" x14ac:dyDescent="0.15">
      <c r="K335"/>
      <c r="L335"/>
      <c r="M335"/>
      <c r="N335"/>
    </row>
    <row r="336" spans="5:14" x14ac:dyDescent="0.15">
      <c r="K336"/>
      <c r="L336"/>
      <c r="M336"/>
      <c r="N336"/>
    </row>
    <row r="337" spans="11:14" x14ac:dyDescent="0.15">
      <c r="K337"/>
      <c r="L337"/>
      <c r="M337"/>
      <c r="N337"/>
    </row>
    <row r="338" spans="11:14" x14ac:dyDescent="0.15">
      <c r="K338"/>
      <c r="L338"/>
      <c r="M338"/>
      <c r="N338"/>
    </row>
    <row r="339" spans="11:14" x14ac:dyDescent="0.15">
      <c r="K339"/>
      <c r="L339"/>
      <c r="M339"/>
      <c r="N339"/>
    </row>
    <row r="340" spans="11:14" x14ac:dyDescent="0.15">
      <c r="K340"/>
      <c r="L340"/>
      <c r="M340"/>
      <c r="N340"/>
    </row>
    <row r="341" spans="11:14" x14ac:dyDescent="0.15">
      <c r="K341"/>
      <c r="L341"/>
      <c r="M341"/>
      <c r="N341"/>
    </row>
    <row r="342" spans="11:14" x14ac:dyDescent="0.15">
      <c r="K342"/>
      <c r="L342"/>
      <c r="M342"/>
      <c r="N342"/>
    </row>
    <row r="343" spans="11:14" x14ac:dyDescent="0.15">
      <c r="K343"/>
      <c r="L343"/>
      <c r="M343"/>
      <c r="N343"/>
    </row>
    <row r="344" spans="11:14" x14ac:dyDescent="0.15">
      <c r="K344"/>
      <c r="L344"/>
      <c r="M344"/>
      <c r="N344"/>
    </row>
    <row r="345" spans="11:14" x14ac:dyDescent="0.15">
      <c r="K345"/>
      <c r="L345"/>
      <c r="M345"/>
      <c r="N345"/>
    </row>
    <row r="346" spans="11:14" x14ac:dyDescent="0.15">
      <c r="K346"/>
      <c r="L346"/>
      <c r="M346"/>
      <c r="N346"/>
    </row>
    <row r="347" spans="11:14" x14ac:dyDescent="0.15">
      <c r="K347"/>
      <c r="L347"/>
      <c r="M347"/>
      <c r="N347"/>
    </row>
    <row r="348" spans="11:14" x14ac:dyDescent="0.15">
      <c r="K348"/>
      <c r="L348"/>
      <c r="M348"/>
      <c r="N348"/>
    </row>
    <row r="349" spans="11:14" x14ac:dyDescent="0.15">
      <c r="K349"/>
      <c r="L349"/>
      <c r="M349"/>
      <c r="N349"/>
    </row>
    <row r="350" spans="11:14" x14ac:dyDescent="0.15">
      <c r="K350"/>
      <c r="L350"/>
      <c r="M350"/>
      <c r="N350"/>
    </row>
    <row r="351" spans="11:14" x14ac:dyDescent="0.15">
      <c r="K351"/>
      <c r="L351"/>
      <c r="M351"/>
      <c r="N351"/>
    </row>
    <row r="352" spans="11:14" x14ac:dyDescent="0.15">
      <c r="K352"/>
      <c r="L352"/>
      <c r="M352"/>
      <c r="N352"/>
    </row>
    <row r="353" spans="11:14" x14ac:dyDescent="0.15">
      <c r="K353"/>
      <c r="L353"/>
      <c r="M353"/>
      <c r="N353"/>
    </row>
    <row r="354" spans="11:14" x14ac:dyDescent="0.15">
      <c r="K354"/>
      <c r="L354"/>
      <c r="M354"/>
      <c r="N354"/>
    </row>
    <row r="355" spans="11:14" x14ac:dyDescent="0.15">
      <c r="K355"/>
      <c r="L355"/>
      <c r="M355"/>
      <c r="N355"/>
    </row>
    <row r="356" spans="11:14" x14ac:dyDescent="0.15">
      <c r="K356"/>
      <c r="L356"/>
      <c r="M356"/>
      <c r="N356"/>
    </row>
    <row r="357" spans="11:14" x14ac:dyDescent="0.15">
      <c r="K357"/>
      <c r="L357"/>
      <c r="M357"/>
      <c r="N357"/>
    </row>
    <row r="358" spans="11:14" x14ac:dyDescent="0.15">
      <c r="K358"/>
      <c r="L358"/>
      <c r="M358"/>
      <c r="N358"/>
    </row>
    <row r="359" spans="11:14" x14ac:dyDescent="0.15">
      <c r="K359"/>
      <c r="L359"/>
      <c r="M359"/>
      <c r="N359"/>
    </row>
    <row r="360" spans="11:14" x14ac:dyDescent="0.15">
      <c r="K360"/>
      <c r="L360"/>
      <c r="M360"/>
      <c r="N360"/>
    </row>
    <row r="361" spans="11:14" x14ac:dyDescent="0.15">
      <c r="K361"/>
      <c r="L361"/>
      <c r="M361"/>
      <c r="N361"/>
    </row>
    <row r="362" spans="11:14" x14ac:dyDescent="0.15">
      <c r="K362"/>
      <c r="L362"/>
      <c r="M362"/>
      <c r="N362"/>
    </row>
    <row r="363" spans="11:14" x14ac:dyDescent="0.15">
      <c r="K363"/>
      <c r="L363"/>
      <c r="M363"/>
      <c r="N363"/>
    </row>
    <row r="364" spans="11:14" x14ac:dyDescent="0.15">
      <c r="K364"/>
      <c r="L364"/>
      <c r="M364"/>
      <c r="N364"/>
    </row>
    <row r="365" spans="11:14" x14ac:dyDescent="0.15">
      <c r="K365"/>
      <c r="L365"/>
      <c r="M365"/>
      <c r="N365"/>
    </row>
    <row r="366" spans="11:14" x14ac:dyDescent="0.15">
      <c r="K366"/>
      <c r="L366"/>
      <c r="M366"/>
      <c r="N366"/>
    </row>
    <row r="367" spans="11:14" x14ac:dyDescent="0.15">
      <c r="K367"/>
      <c r="L367"/>
      <c r="M367"/>
      <c r="N367"/>
    </row>
    <row r="368" spans="11:14" x14ac:dyDescent="0.15">
      <c r="K368"/>
      <c r="L368"/>
      <c r="M368"/>
      <c r="N368"/>
    </row>
    <row r="369" spans="11:14" x14ac:dyDescent="0.15">
      <c r="K369"/>
      <c r="L369"/>
      <c r="M369"/>
      <c r="N369"/>
    </row>
    <row r="370" spans="11:14" x14ac:dyDescent="0.15">
      <c r="K370"/>
      <c r="L370"/>
      <c r="M370"/>
      <c r="N370"/>
    </row>
    <row r="371" spans="11:14" x14ac:dyDescent="0.15">
      <c r="K371"/>
      <c r="L371"/>
      <c r="M371"/>
      <c r="N371"/>
    </row>
    <row r="372" spans="11:14" x14ac:dyDescent="0.15">
      <c r="K372"/>
      <c r="L372"/>
      <c r="M372"/>
      <c r="N372"/>
    </row>
    <row r="373" spans="11:14" x14ac:dyDescent="0.15">
      <c r="K373"/>
      <c r="L373"/>
      <c r="M373"/>
      <c r="N373"/>
    </row>
    <row r="374" spans="11:14" x14ac:dyDescent="0.15">
      <c r="K374"/>
      <c r="L374"/>
      <c r="M374"/>
      <c r="N374"/>
    </row>
    <row r="375" spans="11:14" x14ac:dyDescent="0.15">
      <c r="K375"/>
      <c r="L375"/>
      <c r="M375"/>
      <c r="N375"/>
    </row>
    <row r="376" spans="11:14" x14ac:dyDescent="0.15">
      <c r="K376"/>
      <c r="L376"/>
      <c r="M376"/>
      <c r="N376"/>
    </row>
    <row r="377" spans="11:14" x14ac:dyDescent="0.15">
      <c r="K377"/>
      <c r="L377"/>
      <c r="M377"/>
      <c r="N377"/>
    </row>
    <row r="378" spans="11:14" x14ac:dyDescent="0.15">
      <c r="K378"/>
      <c r="L378"/>
      <c r="M378"/>
      <c r="N378"/>
    </row>
    <row r="379" spans="11:14" x14ac:dyDescent="0.15">
      <c r="K379"/>
      <c r="L379"/>
      <c r="M379"/>
      <c r="N379"/>
    </row>
    <row r="380" spans="11:14" x14ac:dyDescent="0.15">
      <c r="K380"/>
      <c r="L380"/>
      <c r="M380"/>
      <c r="N380"/>
    </row>
    <row r="381" spans="11:14" x14ac:dyDescent="0.15">
      <c r="K381"/>
      <c r="L381"/>
      <c r="M381"/>
      <c r="N381"/>
    </row>
    <row r="382" spans="11:14" x14ac:dyDescent="0.15">
      <c r="K382"/>
      <c r="L382"/>
      <c r="M382"/>
      <c r="N382"/>
    </row>
    <row r="383" spans="11:14" x14ac:dyDescent="0.15">
      <c r="K383"/>
      <c r="L383"/>
      <c r="M383"/>
      <c r="N383"/>
    </row>
    <row r="384" spans="11:14" x14ac:dyDescent="0.15">
      <c r="K384"/>
      <c r="L384"/>
      <c r="M384"/>
      <c r="N384"/>
    </row>
    <row r="385" spans="11:14" x14ac:dyDescent="0.15">
      <c r="K385"/>
      <c r="L385"/>
      <c r="M385"/>
      <c r="N385"/>
    </row>
    <row r="386" spans="11:14" x14ac:dyDescent="0.15">
      <c r="K386"/>
      <c r="L386"/>
      <c r="M386"/>
      <c r="N386"/>
    </row>
    <row r="387" spans="11:14" ht="14" thickBot="1" x14ac:dyDescent="0.2">
      <c r="K387"/>
      <c r="L387"/>
      <c r="M387"/>
      <c r="N387"/>
    </row>
    <row r="388" spans="11:14" ht="14" thickBot="1" x14ac:dyDescent="0.2">
      <c r="K388"/>
      <c r="L388"/>
      <c r="M388"/>
      <c r="N388"/>
    </row>
  </sheetData>
  <phoneticPr fontId="44" type="noConversion"/>
  <printOptions horizontalCentered="1"/>
  <pageMargins left="0.25" right="0.25" top="0.25" bottom="0.25" header="0" footer="0"/>
  <pageSetup scale="81" orientation="portrait" r:id="rId71"/>
  <headerFooter alignWithMargins="0"/>
  <rowBreaks count="4" manualBreakCount="4">
    <brk id="57" max="16383" man="1"/>
    <brk id="121" max="16383" man="1"/>
    <brk id="181" max="16383" man="1"/>
    <brk id="266" max="16383" man="1"/>
  </rowBreaks>
  <drawing r:id="rId7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indexed="42"/>
  </sheetPr>
  <dimension ref="A1:Y1"/>
  <sheetViews>
    <sheetView view="pageBreakPreview" zoomScale="85" zoomScaleNormal="25" zoomScaleSheetLayoutView="85" workbookViewId="0">
      <selection activeCell="A21" sqref="A21"/>
    </sheetView>
  </sheetViews>
  <sheetFormatPr baseColWidth="10" defaultColWidth="9.1640625" defaultRowHeight="13" x14ac:dyDescent="0.15"/>
  <cols>
    <col min="1" max="16384" width="9.1640625" style="7"/>
  </cols>
  <sheetData>
    <row r="1" spans="1:25" ht="16" x14ac:dyDescent="0.2">
      <c r="A1" s="29" t="str">
        <f>'Crash Data'!A3</f>
        <v>Type 'Heading' Here</v>
      </c>
      <c r="M1" s="29" t="str">
        <f>A1</f>
        <v>Type 'Heading' Here</v>
      </c>
      <c r="Y1" s="29" t="str">
        <f>A1</f>
        <v>Type 'Heading' Here</v>
      </c>
    </row>
  </sheetData>
  <phoneticPr fontId="44" type="noConversion"/>
  <printOptions horizontalCentered="1" verticalCentered="1"/>
  <pageMargins left="0.25" right="0.25" top="0.25" bottom="0.25" header="0" footer="0"/>
  <pageSetup scale="89" orientation="portrait" r:id="rId1"/>
  <headerFooter alignWithMargins="0"/>
  <rowBreaks count="2" manualBreakCount="2">
    <brk id="67" max="35" man="1"/>
    <brk id="134" max="35" man="1"/>
  </rowBreaks>
  <colBreaks count="1" manualBreakCount="1">
    <brk id="12" max="200"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indexed="47"/>
  </sheetPr>
  <dimension ref="A1:GD1917"/>
  <sheetViews>
    <sheetView view="pageBreakPreview" topLeftCell="A89" zoomScale="70" zoomScaleNormal="70" zoomScaleSheetLayoutView="70" workbookViewId="0">
      <selection activeCell="D3" sqref="D3"/>
    </sheetView>
  </sheetViews>
  <sheetFormatPr baseColWidth="10" defaultColWidth="16.83203125" defaultRowHeight="13" x14ac:dyDescent="0.15"/>
  <cols>
    <col min="1" max="1" width="35.33203125" style="7" bestFit="1" customWidth="1"/>
    <col min="2" max="2" width="24.5" style="7" bestFit="1" customWidth="1"/>
    <col min="3" max="3" width="5.33203125" style="7" bestFit="1" customWidth="1"/>
    <col min="4" max="4" width="5.6640625" style="7" bestFit="1" customWidth="1"/>
    <col min="5" max="5" width="6.33203125" style="7" bestFit="1" customWidth="1"/>
    <col min="6" max="6" width="10.1640625" style="7" bestFit="1" customWidth="1"/>
    <col min="7" max="7" width="10" style="7" bestFit="1" customWidth="1"/>
    <col min="8" max="8" width="10.33203125" style="7" bestFit="1" customWidth="1"/>
    <col min="9" max="9" width="10.1640625" style="7" bestFit="1" customWidth="1"/>
    <col min="10" max="10" width="9.1640625" style="7" bestFit="1" customWidth="1"/>
    <col min="11" max="11" width="7.5" style="7" customWidth="1"/>
    <col min="12" max="32" width="9.1640625" style="7" customWidth="1"/>
    <col min="33" max="33" width="35.33203125" style="7" bestFit="1" customWidth="1"/>
    <col min="34" max="34" width="5.83203125" style="7" bestFit="1" customWidth="1"/>
    <col min="35" max="35" width="9.1640625" style="7" customWidth="1"/>
    <col min="36" max="36" width="35.33203125" style="7" bestFit="1" customWidth="1"/>
    <col min="37" max="37" width="27.1640625" style="7" bestFit="1" customWidth="1"/>
    <col min="38" max="38" width="11.1640625" style="7" bestFit="1" customWidth="1"/>
    <col min="39" max="40" width="10.83203125" style="7" customWidth="1"/>
    <col min="41" max="41" width="35.33203125" style="7" bestFit="1" customWidth="1"/>
    <col min="42" max="42" width="26.6640625" style="7" bestFit="1" customWidth="1"/>
    <col min="43" max="43" width="8.6640625" style="7" bestFit="1" customWidth="1"/>
    <col min="44" max="44" width="6.33203125" style="7" bestFit="1" customWidth="1"/>
    <col min="45" max="45" width="10.5" style="7" bestFit="1" customWidth="1"/>
    <col min="46" max="46" width="18.5" style="7" bestFit="1" customWidth="1"/>
    <col min="47" max="47" width="9.1640625" style="7" bestFit="1" customWidth="1"/>
    <col min="48" max="48" width="11.1640625" style="7" bestFit="1" customWidth="1"/>
    <col min="49" max="49" width="8.83203125" style="7" bestFit="1" customWidth="1"/>
    <col min="50" max="50" width="14.33203125" style="7" bestFit="1" customWidth="1"/>
    <col min="51" max="51" width="11.5" style="7" bestFit="1" customWidth="1"/>
    <col min="52" max="52" width="18.6640625" style="7" bestFit="1" customWidth="1"/>
    <col min="53" max="53" width="5.6640625" style="7" bestFit="1" customWidth="1"/>
    <col min="54" max="54" width="9.1640625" style="7" bestFit="1" customWidth="1"/>
    <col min="55" max="55" width="10.1640625" style="7" bestFit="1" customWidth="1"/>
    <col min="56" max="56" width="11.5" style="7" customWidth="1"/>
    <col min="57" max="57" width="7.5" style="7" customWidth="1"/>
    <col min="58" max="58" width="5.5" style="7" customWidth="1"/>
    <col min="59" max="59" width="28.33203125" style="7" customWidth="1"/>
    <col min="60" max="60" width="35.33203125" style="7" bestFit="1" customWidth="1"/>
    <col min="61" max="61" width="27.33203125" style="7" bestFit="1" customWidth="1"/>
    <col min="62" max="62" width="4.5" style="7" bestFit="1" customWidth="1"/>
    <col min="63" max="63" width="3.83203125" style="7" bestFit="1" customWidth="1"/>
    <col min="64" max="64" width="6" style="7" bestFit="1" customWidth="1"/>
    <col min="65" max="65" width="15.5" style="7" bestFit="1" customWidth="1"/>
    <col min="66" max="66" width="23.1640625" style="7" bestFit="1" customWidth="1"/>
    <col min="67" max="67" width="6" style="7" bestFit="1" customWidth="1"/>
    <col min="68" max="68" width="35.33203125" style="7" bestFit="1" customWidth="1"/>
    <col min="69" max="69" width="27.1640625" style="7" bestFit="1" customWidth="1"/>
    <col min="70" max="70" width="8.1640625" style="7" bestFit="1" customWidth="1"/>
    <col min="71" max="71" width="21.5" style="7" bestFit="1" customWidth="1"/>
    <col min="72" max="72" width="11.1640625" style="7" bestFit="1" customWidth="1"/>
    <col min="73" max="73" width="15.5" style="7" bestFit="1" customWidth="1"/>
    <col min="74" max="74" width="5.83203125" style="7" customWidth="1"/>
    <col min="75" max="75" width="7.5" style="7" customWidth="1"/>
    <col min="76" max="76" width="6.5" style="7" customWidth="1"/>
    <col min="77" max="77" width="9.1640625" style="7" customWidth="1"/>
    <col min="78" max="78" width="35.33203125" style="7" bestFit="1" customWidth="1"/>
    <col min="79" max="79" width="23.5" style="7" bestFit="1" customWidth="1"/>
    <col min="80" max="80" width="7.5" style="7" customWidth="1"/>
    <col min="81" max="81" width="12.33203125" style="7" customWidth="1"/>
    <col min="82" max="82" width="7.5" style="7" customWidth="1"/>
    <col min="83" max="83" width="9.1640625" style="7" customWidth="1"/>
    <col min="84" max="84" width="35.33203125" style="7" bestFit="1" customWidth="1"/>
    <col min="85" max="85" width="34.5" style="7" bestFit="1" customWidth="1"/>
    <col min="86" max="86" width="13" style="7" bestFit="1" customWidth="1"/>
    <col min="87" max="87" width="20.5" style="7" bestFit="1" customWidth="1"/>
    <col min="88" max="88" width="13" style="7" bestFit="1" customWidth="1"/>
    <col min="89" max="89" width="14" style="7" bestFit="1" customWidth="1"/>
    <col min="90" max="90" width="6" style="7" bestFit="1" customWidth="1"/>
    <col min="91" max="91" width="17.33203125" style="7" bestFit="1" customWidth="1"/>
    <col min="92" max="92" width="10.83203125" style="7" bestFit="1" customWidth="1"/>
    <col min="93" max="93" width="13.5" style="7" bestFit="1" customWidth="1"/>
    <col min="94" max="94" width="13.1640625" style="7" customWidth="1"/>
    <col min="95" max="95" width="27.5" style="7" bestFit="1" customWidth="1"/>
    <col min="96" max="96" width="14.5" style="7" bestFit="1" customWidth="1"/>
    <col min="97" max="97" width="16.5" style="7" bestFit="1" customWidth="1"/>
    <col min="98" max="98" width="13.1640625" style="7" bestFit="1" customWidth="1"/>
    <col min="99" max="99" width="20.6640625" style="7" bestFit="1" customWidth="1"/>
    <col min="100" max="100" width="16.83203125" style="7" bestFit="1" customWidth="1"/>
    <col min="101" max="101" width="17" style="7" customWidth="1"/>
    <col min="102" max="102" width="17.5" style="7" customWidth="1"/>
    <col min="103" max="103" width="18.33203125" style="7" customWidth="1"/>
    <col min="104" max="104" width="20.5" style="7" customWidth="1"/>
    <col min="105" max="105" width="7.6640625" style="7" customWidth="1"/>
    <col min="106" max="106" width="7.5" style="7" customWidth="1"/>
    <col min="107" max="107" width="18.33203125" style="7" customWidth="1"/>
    <col min="108" max="108" width="34.5" style="7" customWidth="1"/>
    <col min="109" max="109" width="26.1640625" style="7" customWidth="1"/>
    <col min="110" max="110" width="16.6640625" style="7" customWidth="1"/>
    <col min="111" max="111" width="35.33203125" style="7" bestFit="1" customWidth="1"/>
    <col min="112" max="112" width="17.5" style="7" bestFit="1" customWidth="1"/>
    <col min="113" max="113" width="18.5" style="7" bestFit="1" customWidth="1"/>
    <col min="114" max="114" width="15.83203125" style="7" bestFit="1" customWidth="1"/>
    <col min="115" max="115" width="31.1640625" style="7" bestFit="1" customWidth="1"/>
    <col min="116" max="116" width="15.5" style="7" bestFit="1" customWidth="1"/>
    <col min="117" max="117" width="19.1640625" style="7" bestFit="1" customWidth="1"/>
    <col min="118" max="118" width="15" style="7" bestFit="1" customWidth="1"/>
    <col min="119" max="119" width="18.6640625" style="7" bestFit="1" customWidth="1"/>
    <col min="120" max="120" width="31" style="7" bestFit="1" customWidth="1"/>
    <col min="121" max="121" width="36" style="7" bestFit="1" customWidth="1"/>
    <col min="122" max="122" width="17.1640625" style="7" bestFit="1" customWidth="1"/>
    <col min="123" max="123" width="18.6640625" style="7" bestFit="1" customWidth="1"/>
    <col min="124" max="124" width="18.5" style="7" bestFit="1" customWidth="1"/>
    <col min="125" max="125" width="10" style="7" bestFit="1" customWidth="1"/>
    <col min="126" max="126" width="7.5" style="7" customWidth="1"/>
    <col min="127" max="127" width="36.33203125" style="7" customWidth="1"/>
    <col min="128" max="128" width="9.6640625" style="7" customWidth="1"/>
    <col min="129" max="129" width="9.1640625" style="7" customWidth="1"/>
    <col min="130" max="130" width="35.33203125" style="7" bestFit="1" customWidth="1"/>
    <col min="131" max="131" width="23.83203125" style="7" bestFit="1" customWidth="1"/>
    <col min="132" max="132" width="11" style="7" bestFit="1" customWidth="1"/>
    <col min="133" max="133" width="10" style="7" bestFit="1" customWidth="1"/>
    <col min="134" max="134" width="11.1640625" style="7" bestFit="1" customWidth="1"/>
    <col min="135" max="135" width="13.83203125" style="7" bestFit="1" customWidth="1"/>
    <col min="136" max="136" width="11.6640625" style="7" bestFit="1" customWidth="1"/>
    <col min="137" max="137" width="11.5" style="7" bestFit="1" customWidth="1"/>
    <col min="138" max="138" width="8.1640625" style="7" customWidth="1"/>
    <col min="139" max="139" width="19.33203125" style="7" bestFit="1" customWidth="1"/>
    <col min="140" max="140" width="35.33203125" style="7" bestFit="1" customWidth="1"/>
    <col min="141" max="141" width="19.1640625" style="7" bestFit="1" customWidth="1"/>
    <col min="142" max="150" width="2.5" style="7" bestFit="1" customWidth="1"/>
    <col min="151" max="164" width="3.5" style="7" bestFit="1" customWidth="1"/>
    <col min="165" max="165" width="7.5" style="7" customWidth="1"/>
    <col min="166" max="166" width="9.1640625" style="7" customWidth="1"/>
    <col min="167" max="167" width="32.83203125" style="7" bestFit="1" customWidth="1"/>
    <col min="168" max="168" width="24.5" style="7" bestFit="1" customWidth="1"/>
    <col min="169" max="169" width="26.6640625" style="7" bestFit="1" customWidth="1"/>
    <col min="170" max="170" width="8.6640625" style="7" bestFit="1" customWidth="1"/>
    <col min="171" max="171" width="6.33203125" style="7" bestFit="1" customWidth="1"/>
    <col min="172" max="172" width="10.5" style="7" bestFit="1" customWidth="1"/>
    <col min="173" max="173" width="18.5" style="7" bestFit="1" customWidth="1"/>
    <col min="174" max="174" width="9.1640625" style="7" bestFit="1" customWidth="1"/>
    <col min="175" max="175" width="11.1640625" style="7" bestFit="1" customWidth="1"/>
    <col min="176" max="176" width="8.83203125" style="7" bestFit="1" customWidth="1"/>
    <col min="177" max="177" width="14.33203125" style="7" bestFit="1" customWidth="1"/>
    <col min="178" max="178" width="11.5" style="7" bestFit="1" customWidth="1"/>
    <col min="179" max="179" width="18.6640625" style="7" bestFit="1" customWidth="1"/>
    <col min="180" max="180" width="5.6640625" style="7" bestFit="1" customWidth="1"/>
    <col min="181" max="181" width="9.1640625" style="7" bestFit="1" customWidth="1"/>
    <col min="182" max="182" width="10.1640625" style="7" bestFit="1" customWidth="1"/>
    <col min="183" max="183" width="11.5" style="7" customWidth="1"/>
    <col min="184" max="184" width="7.5" style="7" customWidth="1"/>
    <col min="185" max="185" width="5.5" style="7" customWidth="1"/>
    <col min="186" max="186" width="28.33203125" style="7" customWidth="1"/>
    <col min="187" max="192" width="3.1640625" style="7" customWidth="1"/>
    <col min="193" max="215" width="17.5" style="7" bestFit="1" customWidth="1"/>
    <col min="216" max="216" width="22.1640625" style="7" bestFit="1" customWidth="1"/>
    <col min="217" max="234" width="18.1640625" style="7" bestFit="1" customWidth="1"/>
    <col min="235" max="236" width="18.1640625" style="7" customWidth="1"/>
    <col min="237" max="239" width="18.1640625" style="7" bestFit="1" customWidth="1"/>
    <col min="240" max="240" width="22.83203125" style="7" bestFit="1" customWidth="1"/>
    <col min="241" max="244" width="16.83203125" style="7" customWidth="1"/>
    <col min="245" max="16384" width="16.83203125" style="7"/>
  </cols>
  <sheetData>
    <row r="1" spans="1:186" ht="18" x14ac:dyDescent="0.2">
      <c r="A1" s="7" t="s">
        <v>174</v>
      </c>
      <c r="D1" s="18" t="str">
        <f>'Crash Data'!$A$3</f>
        <v>Type 'Heading' Here</v>
      </c>
      <c r="AG1" s="30" t="s">
        <v>173</v>
      </c>
      <c r="AJ1" s="30" t="s">
        <v>172</v>
      </c>
      <c r="AO1" s="30" t="s">
        <v>171</v>
      </c>
      <c r="BH1" s="30" t="s">
        <v>170</v>
      </c>
      <c r="BP1" s="30" t="s">
        <v>169</v>
      </c>
      <c r="BZ1" s="30" t="s">
        <v>168</v>
      </c>
      <c r="CF1" s="30" t="s">
        <v>167</v>
      </c>
      <c r="DG1" s="30" t="s">
        <v>166</v>
      </c>
      <c r="DY1" s="6"/>
      <c r="DZ1" s="30" t="s">
        <v>165</v>
      </c>
      <c r="EJ1" s="30" t="s">
        <v>164</v>
      </c>
      <c r="FK1" s="30" t="s">
        <v>163</v>
      </c>
    </row>
    <row r="2" spans="1:186" x14ac:dyDescent="0.15">
      <c r="A2" s="7" t="s">
        <v>162</v>
      </c>
      <c r="D2" s="23" t="s">
        <v>161</v>
      </c>
      <c r="AG2" s="464" t="s">
        <v>135</v>
      </c>
      <c r="AH2" s="450"/>
      <c r="AJ2" s="464" t="s">
        <v>135</v>
      </c>
      <c r="AK2" s="465" t="s">
        <v>32</v>
      </c>
      <c r="AL2"/>
      <c r="AM2"/>
      <c r="AN2"/>
      <c r="AO2" s="464" t="s">
        <v>135</v>
      </c>
      <c r="AP2" s="464" t="s">
        <v>30</v>
      </c>
      <c r="AQ2" s="457"/>
      <c r="AR2" s="457"/>
      <c r="AS2" s="457"/>
      <c r="AT2" s="457"/>
      <c r="AU2" s="457"/>
      <c r="AV2" s="457"/>
      <c r="AW2" s="457"/>
      <c r="AX2" s="457"/>
      <c r="AY2" s="457"/>
      <c r="AZ2" s="457"/>
      <c r="BA2" s="457"/>
      <c r="BB2" s="457"/>
      <c r="BC2" s="463"/>
      <c r="BD2"/>
      <c r="BE2"/>
      <c r="BF2"/>
      <c r="BG2"/>
      <c r="BH2" s="464" t="s">
        <v>135</v>
      </c>
      <c r="BI2" s="464" t="s">
        <v>34</v>
      </c>
      <c r="BJ2" s="457"/>
      <c r="BK2" s="457"/>
      <c r="BL2" s="457"/>
      <c r="BM2" s="457"/>
      <c r="BN2" s="457"/>
      <c r="BO2" s="463"/>
      <c r="BP2" s="464" t="s">
        <v>135</v>
      </c>
      <c r="BQ2" s="464" t="s">
        <v>29</v>
      </c>
      <c r="BR2" s="457"/>
      <c r="BS2" s="457"/>
      <c r="BT2" s="457"/>
      <c r="BU2" s="463"/>
      <c r="BV2"/>
      <c r="BW2"/>
      <c r="BZ2" s="464" t="s">
        <v>135</v>
      </c>
      <c r="CA2" s="465" t="s">
        <v>58</v>
      </c>
      <c r="CB2"/>
      <c r="CC2"/>
      <c r="CD2"/>
      <c r="CF2" s="464" t="s">
        <v>135</v>
      </c>
      <c r="CG2" s="464" t="s">
        <v>36</v>
      </c>
      <c r="CH2" s="457"/>
      <c r="CI2" s="457"/>
      <c r="CJ2" s="457"/>
      <c r="CK2" s="457"/>
      <c r="CL2" s="457"/>
      <c r="CM2" s="457"/>
      <c r="CN2" s="457"/>
      <c r="CO2" s="457"/>
      <c r="CP2" s="457"/>
      <c r="CQ2" s="457"/>
      <c r="CR2" s="457"/>
      <c r="CS2" s="457"/>
      <c r="CT2" s="457"/>
      <c r="CU2" s="457"/>
      <c r="CV2" s="463"/>
      <c r="CW2"/>
      <c r="CX2"/>
      <c r="CY2"/>
      <c r="CZ2"/>
      <c r="DA2"/>
      <c r="DB2"/>
      <c r="DC2"/>
      <c r="DD2"/>
      <c r="DE2"/>
      <c r="DF2"/>
      <c r="DG2" s="464" t="s">
        <v>135</v>
      </c>
      <c r="DH2" s="464" t="s">
        <v>37</v>
      </c>
      <c r="DI2" s="457"/>
      <c r="DJ2" s="457"/>
      <c r="DK2" s="457"/>
      <c r="DL2" s="457"/>
      <c r="DM2" s="457"/>
      <c r="DN2" s="457"/>
      <c r="DO2" s="457"/>
      <c r="DP2" s="457"/>
      <c r="DQ2" s="457"/>
      <c r="DR2" s="457"/>
      <c r="DS2" s="457"/>
      <c r="DT2" s="457"/>
      <c r="DU2" s="463"/>
      <c r="DV2"/>
      <c r="DW2"/>
      <c r="DX2"/>
      <c r="DZ2" s="464" t="s">
        <v>135</v>
      </c>
      <c r="EA2" s="464" t="s">
        <v>27</v>
      </c>
      <c r="EB2" s="457"/>
      <c r="EC2" s="457"/>
      <c r="ED2" s="457"/>
      <c r="EE2" s="457"/>
      <c r="EF2" s="457"/>
      <c r="EG2" s="463"/>
      <c r="EH2"/>
      <c r="EJ2" s="464" t="s">
        <v>135</v>
      </c>
      <c r="EK2" s="464" t="s">
        <v>28</v>
      </c>
      <c r="EL2" s="457"/>
      <c r="EM2" s="457"/>
      <c r="EN2" s="457"/>
      <c r="EO2" s="457"/>
      <c r="EP2" s="457"/>
      <c r="EQ2" s="457"/>
      <c r="ER2" s="457"/>
      <c r="ES2" s="457"/>
      <c r="ET2" s="457"/>
      <c r="EU2" s="457"/>
      <c r="EV2" s="457"/>
      <c r="EW2" s="457"/>
      <c r="EX2" s="457"/>
      <c r="EY2" s="457"/>
      <c r="EZ2" s="457"/>
      <c r="FA2" s="457"/>
      <c r="FB2" s="457"/>
      <c r="FC2" s="457"/>
      <c r="FD2" s="457"/>
      <c r="FE2" s="457"/>
      <c r="FF2" s="457"/>
      <c r="FG2" s="457"/>
      <c r="FH2" s="463"/>
      <c r="FI2"/>
      <c r="FK2" s="464" t="s">
        <v>135</v>
      </c>
      <c r="FL2" s="457"/>
      <c r="FM2" s="464" t="s">
        <v>30</v>
      </c>
      <c r="FN2" s="457"/>
      <c r="FO2" s="457"/>
      <c r="FP2" s="457"/>
      <c r="FQ2" s="457"/>
      <c r="FR2" s="457"/>
      <c r="FS2" s="457"/>
      <c r="FT2" s="457"/>
      <c r="FU2" s="457"/>
      <c r="FV2" s="457"/>
      <c r="FW2" s="457"/>
      <c r="FX2" s="457"/>
      <c r="FY2" s="457"/>
      <c r="FZ2" s="463"/>
      <c r="GA2"/>
      <c r="GB2"/>
      <c r="GC2"/>
      <c r="GD2"/>
    </row>
    <row r="3" spans="1:186" x14ac:dyDescent="0.15">
      <c r="AG3" s="464" t="s">
        <v>22</v>
      </c>
      <c r="AH3" s="450" t="s">
        <v>133</v>
      </c>
      <c r="AJ3" s="464" t="s">
        <v>22</v>
      </c>
      <c r="AK3" s="450" t="s">
        <v>6142</v>
      </c>
      <c r="AL3"/>
      <c r="AM3"/>
      <c r="AN3"/>
      <c r="AO3" s="464" t="s">
        <v>22</v>
      </c>
      <c r="AP3" s="449" t="s">
        <v>416</v>
      </c>
      <c r="AQ3" s="452" t="s">
        <v>438</v>
      </c>
      <c r="AR3" s="452" t="s">
        <v>211</v>
      </c>
      <c r="AS3" s="452" t="s">
        <v>209</v>
      </c>
      <c r="AT3" s="452" t="s">
        <v>402</v>
      </c>
      <c r="AU3" s="452" t="s">
        <v>390</v>
      </c>
      <c r="AV3" s="452" t="s">
        <v>202</v>
      </c>
      <c r="AW3" s="452" t="s">
        <v>230</v>
      </c>
      <c r="AX3" s="452" t="s">
        <v>210</v>
      </c>
      <c r="AY3" s="452" t="s">
        <v>313</v>
      </c>
      <c r="AZ3" s="452" t="s">
        <v>409</v>
      </c>
      <c r="BA3" s="452" t="s">
        <v>206</v>
      </c>
      <c r="BB3" s="452" t="s">
        <v>401</v>
      </c>
      <c r="BC3" s="453" t="s">
        <v>860</v>
      </c>
      <c r="BD3"/>
      <c r="BE3"/>
      <c r="BF3"/>
      <c r="BG3"/>
      <c r="BH3" s="464" t="s">
        <v>22</v>
      </c>
      <c r="BI3" s="449" t="s">
        <v>500</v>
      </c>
      <c r="BJ3" s="452" t="s">
        <v>225</v>
      </c>
      <c r="BK3" s="452" t="s">
        <v>501</v>
      </c>
      <c r="BL3" s="452" t="s">
        <v>430</v>
      </c>
      <c r="BM3" s="452" t="s">
        <v>6151</v>
      </c>
      <c r="BN3" s="452" t="s">
        <v>503</v>
      </c>
      <c r="BO3" s="453" t="s">
        <v>504</v>
      </c>
      <c r="BP3" s="464" t="s">
        <v>22</v>
      </c>
      <c r="BQ3" s="449" t="s">
        <v>506</v>
      </c>
      <c r="BR3" s="452" t="s">
        <v>404</v>
      </c>
      <c r="BS3" s="452" t="s">
        <v>505</v>
      </c>
      <c r="BT3" s="452" t="s">
        <v>6324</v>
      </c>
      <c r="BU3" s="453" t="s">
        <v>6151</v>
      </c>
      <c r="BV3"/>
      <c r="BW3"/>
      <c r="BZ3" s="464" t="s">
        <v>22</v>
      </c>
      <c r="CA3" s="450" t="s">
        <v>105</v>
      </c>
      <c r="CB3"/>
      <c r="CC3"/>
      <c r="CD3"/>
      <c r="CF3" s="464" t="s">
        <v>22</v>
      </c>
      <c r="CG3" s="449" t="s">
        <v>6331</v>
      </c>
      <c r="CH3" s="452" t="s">
        <v>6328</v>
      </c>
      <c r="CI3" s="452" t="s">
        <v>407</v>
      </c>
      <c r="CJ3" s="452" t="s">
        <v>425</v>
      </c>
      <c r="CK3" s="452" t="s">
        <v>6327</v>
      </c>
      <c r="CL3" s="452" t="s">
        <v>398</v>
      </c>
      <c r="CM3" s="452" t="s">
        <v>476</v>
      </c>
      <c r="CN3" s="452" t="s">
        <v>6335</v>
      </c>
      <c r="CO3" s="452" t="s">
        <v>457</v>
      </c>
      <c r="CP3" s="452" t="s">
        <v>440</v>
      </c>
      <c r="CQ3" s="452" t="s">
        <v>6512</v>
      </c>
      <c r="CR3" s="452" t="s">
        <v>6338</v>
      </c>
      <c r="CS3" s="452" t="s">
        <v>6330</v>
      </c>
      <c r="CT3" s="452" t="s">
        <v>451</v>
      </c>
      <c r="CU3" s="452" t="s">
        <v>6329</v>
      </c>
      <c r="CV3" s="453" t="s">
        <v>6334</v>
      </c>
      <c r="CW3"/>
      <c r="CX3"/>
      <c r="CY3"/>
      <c r="CZ3"/>
      <c r="DA3"/>
      <c r="DB3"/>
      <c r="DC3"/>
      <c r="DD3"/>
      <c r="DE3"/>
      <c r="DF3"/>
      <c r="DG3" s="464" t="s">
        <v>22</v>
      </c>
      <c r="DH3" s="449" t="s">
        <v>399</v>
      </c>
      <c r="DI3" s="452" t="s">
        <v>6356</v>
      </c>
      <c r="DJ3" s="452" t="s">
        <v>436</v>
      </c>
      <c r="DK3" s="452" t="s">
        <v>6358</v>
      </c>
      <c r="DL3" s="452" t="s">
        <v>6151</v>
      </c>
      <c r="DM3" s="452" t="s">
        <v>444</v>
      </c>
      <c r="DN3" s="452" t="s">
        <v>439</v>
      </c>
      <c r="DO3" s="452" t="s">
        <v>465</v>
      </c>
      <c r="DP3" s="452" t="s">
        <v>6361</v>
      </c>
      <c r="DQ3" s="452" t="s">
        <v>6357</v>
      </c>
      <c r="DR3" s="452" t="s">
        <v>435</v>
      </c>
      <c r="DS3" s="452" t="s">
        <v>463</v>
      </c>
      <c r="DT3" s="452" t="s">
        <v>408</v>
      </c>
      <c r="DU3" s="453" t="s">
        <v>473</v>
      </c>
      <c r="DV3"/>
      <c r="DW3"/>
      <c r="DX3"/>
      <c r="DZ3" s="464" t="s">
        <v>22</v>
      </c>
      <c r="EA3" s="449" t="s">
        <v>6448</v>
      </c>
      <c r="EB3" s="452" t="s">
        <v>6444</v>
      </c>
      <c r="EC3" s="452" t="s">
        <v>6443</v>
      </c>
      <c r="ED3" s="452" t="s">
        <v>6445</v>
      </c>
      <c r="EE3" s="452" t="s">
        <v>6446</v>
      </c>
      <c r="EF3" s="452" t="s">
        <v>6447</v>
      </c>
      <c r="EG3" s="453" t="s">
        <v>6449</v>
      </c>
      <c r="EH3"/>
      <c r="EJ3" s="464" t="s">
        <v>22</v>
      </c>
      <c r="EK3" s="449">
        <v>0</v>
      </c>
      <c r="EL3" s="452">
        <v>1</v>
      </c>
      <c r="EM3" s="452">
        <v>2</v>
      </c>
      <c r="EN3" s="452">
        <v>3</v>
      </c>
      <c r="EO3" s="452">
        <v>4</v>
      </c>
      <c r="EP3" s="452">
        <v>5</v>
      </c>
      <c r="EQ3" s="452">
        <v>6</v>
      </c>
      <c r="ER3" s="452">
        <v>7</v>
      </c>
      <c r="ES3" s="452">
        <v>8</v>
      </c>
      <c r="ET3" s="452">
        <v>9</v>
      </c>
      <c r="EU3" s="452">
        <v>10</v>
      </c>
      <c r="EV3" s="452">
        <v>11</v>
      </c>
      <c r="EW3" s="452">
        <v>12</v>
      </c>
      <c r="EX3" s="452">
        <v>13</v>
      </c>
      <c r="EY3" s="452">
        <v>14</v>
      </c>
      <c r="EZ3" s="452">
        <v>15</v>
      </c>
      <c r="FA3" s="452">
        <v>16</v>
      </c>
      <c r="FB3" s="452">
        <v>17</v>
      </c>
      <c r="FC3" s="452">
        <v>18</v>
      </c>
      <c r="FD3" s="452">
        <v>19</v>
      </c>
      <c r="FE3" s="452">
        <v>20</v>
      </c>
      <c r="FF3" s="452">
        <v>21</v>
      </c>
      <c r="FG3" s="452">
        <v>22</v>
      </c>
      <c r="FH3" s="453">
        <v>23</v>
      </c>
      <c r="FI3"/>
      <c r="FK3" s="464" t="s">
        <v>22</v>
      </c>
      <c r="FL3" s="464" t="s">
        <v>40</v>
      </c>
      <c r="FM3" s="449" t="s">
        <v>416</v>
      </c>
      <c r="FN3" s="452" t="s">
        <v>438</v>
      </c>
      <c r="FO3" s="452" t="s">
        <v>211</v>
      </c>
      <c r="FP3" s="452" t="s">
        <v>209</v>
      </c>
      <c r="FQ3" s="452" t="s">
        <v>402</v>
      </c>
      <c r="FR3" s="452" t="s">
        <v>390</v>
      </c>
      <c r="FS3" s="452" t="s">
        <v>202</v>
      </c>
      <c r="FT3" s="452" t="s">
        <v>230</v>
      </c>
      <c r="FU3" s="452" t="s">
        <v>210</v>
      </c>
      <c r="FV3" s="452" t="s">
        <v>313</v>
      </c>
      <c r="FW3" s="452" t="s">
        <v>409</v>
      </c>
      <c r="FX3" s="452" t="s">
        <v>206</v>
      </c>
      <c r="FY3" s="452" t="s">
        <v>401</v>
      </c>
      <c r="FZ3" s="453" t="s">
        <v>860</v>
      </c>
      <c r="GA3"/>
      <c r="GB3"/>
      <c r="GC3"/>
      <c r="GD3"/>
    </row>
    <row r="4" spans="1:186" x14ac:dyDescent="0.15">
      <c r="AG4" s="449">
        <v>0.54300000000000004</v>
      </c>
      <c r="AH4" s="450">
        <v>1</v>
      </c>
      <c r="AJ4" s="449">
        <v>0.54300000000000004</v>
      </c>
      <c r="AK4" s="450">
        <v>1</v>
      </c>
      <c r="AL4"/>
      <c r="AM4"/>
      <c r="AN4"/>
      <c r="AO4" s="449">
        <v>0.54300000000000004</v>
      </c>
      <c r="AP4" s="449"/>
      <c r="AQ4" s="452"/>
      <c r="AR4" s="452"/>
      <c r="AS4" s="452"/>
      <c r="AT4" s="452"/>
      <c r="AU4" s="452"/>
      <c r="AV4" s="452"/>
      <c r="AW4" s="452">
        <v>1</v>
      </c>
      <c r="AX4" s="452"/>
      <c r="AY4" s="452"/>
      <c r="AZ4" s="452"/>
      <c r="BA4" s="452"/>
      <c r="BB4" s="452"/>
      <c r="BC4" s="453"/>
      <c r="BD4"/>
      <c r="BE4"/>
      <c r="BF4"/>
      <c r="BG4"/>
      <c r="BH4" s="449">
        <v>0.54300000000000004</v>
      </c>
      <c r="BI4" s="449">
        <v>1</v>
      </c>
      <c r="BJ4" s="452"/>
      <c r="BK4" s="452"/>
      <c r="BL4" s="452"/>
      <c r="BM4" s="452"/>
      <c r="BN4" s="452"/>
      <c r="BO4" s="453"/>
      <c r="BP4" s="449">
        <v>0.54300000000000004</v>
      </c>
      <c r="BQ4" s="449"/>
      <c r="BR4" s="452">
        <v>1</v>
      </c>
      <c r="BS4" s="452"/>
      <c r="BT4" s="452"/>
      <c r="BU4" s="453"/>
      <c r="BV4"/>
      <c r="BW4"/>
      <c r="BZ4" s="449">
        <v>0.54300000000000004</v>
      </c>
      <c r="CA4" s="450">
        <v>1</v>
      </c>
      <c r="CB4"/>
      <c r="CC4"/>
      <c r="CD4"/>
      <c r="CF4" s="449">
        <v>0.54300000000000004</v>
      </c>
      <c r="CG4" s="449"/>
      <c r="CH4" s="452"/>
      <c r="CI4" s="452"/>
      <c r="CJ4" s="452"/>
      <c r="CK4" s="452">
        <v>1</v>
      </c>
      <c r="CL4" s="452"/>
      <c r="CM4" s="452"/>
      <c r="CN4" s="452"/>
      <c r="CO4" s="452"/>
      <c r="CP4" s="452"/>
      <c r="CQ4" s="452"/>
      <c r="CR4" s="452"/>
      <c r="CS4" s="452"/>
      <c r="CT4" s="452"/>
      <c r="CU4" s="452"/>
      <c r="CV4" s="453"/>
      <c r="CW4"/>
      <c r="CX4"/>
      <c r="CY4"/>
      <c r="CZ4"/>
      <c r="DA4"/>
      <c r="DB4"/>
      <c r="DC4"/>
      <c r="DD4"/>
      <c r="DE4"/>
      <c r="DF4"/>
      <c r="DG4" s="449">
        <v>0.54300000000000004</v>
      </c>
      <c r="DH4" s="449"/>
      <c r="DI4" s="452"/>
      <c r="DJ4" s="452">
        <v>1</v>
      </c>
      <c r="DK4" s="452"/>
      <c r="DL4" s="452"/>
      <c r="DM4" s="452"/>
      <c r="DN4" s="452"/>
      <c r="DO4" s="452"/>
      <c r="DP4" s="452"/>
      <c r="DQ4" s="452"/>
      <c r="DR4" s="452"/>
      <c r="DS4" s="452"/>
      <c r="DT4" s="452"/>
      <c r="DU4" s="453"/>
      <c r="DV4"/>
      <c r="DW4"/>
      <c r="DX4"/>
      <c r="DZ4" s="449">
        <v>0.54300000000000004</v>
      </c>
      <c r="EA4" s="449"/>
      <c r="EB4" s="452"/>
      <c r="EC4" s="452"/>
      <c r="ED4" s="452"/>
      <c r="EE4" s="452">
        <v>1</v>
      </c>
      <c r="EF4" s="452"/>
      <c r="EG4" s="453"/>
      <c r="EH4"/>
      <c r="EJ4" s="449">
        <v>0.54300000000000004</v>
      </c>
      <c r="EK4" s="449"/>
      <c r="EL4" s="452"/>
      <c r="EM4" s="452"/>
      <c r="EN4" s="452"/>
      <c r="EO4" s="452"/>
      <c r="EP4" s="452"/>
      <c r="EQ4" s="452"/>
      <c r="ER4" s="452"/>
      <c r="ES4" s="452"/>
      <c r="ET4" s="452"/>
      <c r="EU4" s="452"/>
      <c r="EV4" s="452"/>
      <c r="EW4" s="452"/>
      <c r="EX4" s="452"/>
      <c r="EY4" s="452"/>
      <c r="EZ4" s="452"/>
      <c r="FA4" s="452">
        <v>1</v>
      </c>
      <c r="FB4" s="452"/>
      <c r="FC4" s="452"/>
      <c r="FD4" s="452"/>
      <c r="FE4" s="452"/>
      <c r="FF4" s="452"/>
      <c r="FG4" s="452"/>
      <c r="FH4" s="453"/>
      <c r="FI4"/>
      <c r="FK4" s="449">
        <v>0.54300000000000004</v>
      </c>
      <c r="FL4" s="449" t="s">
        <v>410</v>
      </c>
      <c r="FM4" s="449"/>
      <c r="FN4" s="452"/>
      <c r="FO4" s="452"/>
      <c r="FP4" s="452"/>
      <c r="FQ4" s="452"/>
      <c r="FR4" s="452"/>
      <c r="FS4" s="452"/>
      <c r="FT4" s="452">
        <v>1</v>
      </c>
      <c r="FU4" s="452"/>
      <c r="FV4" s="452"/>
      <c r="FW4" s="452"/>
      <c r="FX4" s="452"/>
      <c r="FY4" s="452"/>
      <c r="FZ4" s="453"/>
      <c r="GA4"/>
      <c r="GB4"/>
      <c r="GC4"/>
      <c r="GD4"/>
    </row>
    <row r="5" spans="1:186" x14ac:dyDescent="0.15">
      <c r="AG5" s="455">
        <v>14.592000000000001</v>
      </c>
      <c r="AH5" s="556">
        <v>1</v>
      </c>
      <c r="AJ5" s="455">
        <v>14.592000000000001</v>
      </c>
      <c r="AK5" s="556">
        <v>1</v>
      </c>
      <c r="AL5"/>
      <c r="AM5"/>
      <c r="AN5"/>
      <c r="AO5" s="455">
        <v>14.592000000000001</v>
      </c>
      <c r="AP5" s="455"/>
      <c r="AQ5"/>
      <c r="AR5"/>
      <c r="AS5"/>
      <c r="AT5"/>
      <c r="AU5">
        <v>1</v>
      </c>
      <c r="AV5"/>
      <c r="AW5"/>
      <c r="AX5"/>
      <c r="AY5"/>
      <c r="AZ5"/>
      <c r="BA5"/>
      <c r="BB5"/>
      <c r="BC5" s="558"/>
      <c r="BD5"/>
      <c r="BE5"/>
      <c r="BF5"/>
      <c r="BG5"/>
      <c r="BH5" s="455">
        <v>14.592000000000001</v>
      </c>
      <c r="BI5" s="455">
        <v>1</v>
      </c>
      <c r="BJ5"/>
      <c r="BK5"/>
      <c r="BL5"/>
      <c r="BM5"/>
      <c r="BN5"/>
      <c r="BO5" s="558"/>
      <c r="BP5" s="455">
        <v>14.592000000000001</v>
      </c>
      <c r="BQ5" s="455"/>
      <c r="BR5"/>
      <c r="BS5">
        <v>1</v>
      </c>
      <c r="BT5"/>
      <c r="BU5" s="558"/>
      <c r="BV5"/>
      <c r="BW5"/>
      <c r="BZ5" s="455">
        <v>14.592000000000001</v>
      </c>
      <c r="CA5" s="556">
        <v>1</v>
      </c>
      <c r="CB5"/>
      <c r="CC5"/>
      <c r="CD5"/>
      <c r="CF5" s="455">
        <v>14.592000000000001</v>
      </c>
      <c r="CG5" s="455"/>
      <c r="CH5"/>
      <c r="CI5"/>
      <c r="CJ5"/>
      <c r="CK5"/>
      <c r="CL5"/>
      <c r="CM5"/>
      <c r="CN5"/>
      <c r="CO5"/>
      <c r="CP5"/>
      <c r="CQ5">
        <v>1</v>
      </c>
      <c r="CR5"/>
      <c r="CS5"/>
      <c r="CT5"/>
      <c r="CU5"/>
      <c r="CV5" s="558"/>
      <c r="CW5"/>
      <c r="CX5"/>
      <c r="CY5"/>
      <c r="CZ5"/>
      <c r="DA5"/>
      <c r="DB5"/>
      <c r="DC5"/>
      <c r="DD5"/>
      <c r="DE5"/>
      <c r="DF5"/>
      <c r="DG5" s="455">
        <v>14.592000000000001</v>
      </c>
      <c r="DH5" s="455">
        <v>1</v>
      </c>
      <c r="DI5"/>
      <c r="DJ5"/>
      <c r="DK5"/>
      <c r="DL5"/>
      <c r="DM5"/>
      <c r="DN5"/>
      <c r="DO5"/>
      <c r="DP5"/>
      <c r="DQ5"/>
      <c r="DR5"/>
      <c r="DS5"/>
      <c r="DT5"/>
      <c r="DU5" s="558"/>
      <c r="DV5"/>
      <c r="DW5"/>
      <c r="DX5"/>
      <c r="DZ5" s="455">
        <v>14.592000000000001</v>
      </c>
      <c r="EA5" s="455">
        <v>1</v>
      </c>
      <c r="EB5"/>
      <c r="EC5"/>
      <c r="ED5"/>
      <c r="EE5"/>
      <c r="EF5"/>
      <c r="EG5" s="558"/>
      <c r="EH5"/>
      <c r="EJ5" s="455">
        <v>14.592000000000001</v>
      </c>
      <c r="EK5" s="455"/>
      <c r="EL5">
        <v>1</v>
      </c>
      <c r="EM5"/>
      <c r="EN5"/>
      <c r="EO5"/>
      <c r="EP5"/>
      <c r="EQ5"/>
      <c r="ER5"/>
      <c r="ES5"/>
      <c r="ET5"/>
      <c r="EU5"/>
      <c r="EV5"/>
      <c r="EW5"/>
      <c r="EX5"/>
      <c r="EY5"/>
      <c r="EZ5"/>
      <c r="FA5"/>
      <c r="FB5"/>
      <c r="FC5"/>
      <c r="FD5"/>
      <c r="FE5"/>
      <c r="FF5"/>
      <c r="FG5"/>
      <c r="FH5" s="558"/>
      <c r="FI5"/>
      <c r="FK5" s="449" t="s">
        <v>6738</v>
      </c>
      <c r="FL5" s="457"/>
      <c r="FM5" s="449"/>
      <c r="FN5" s="452"/>
      <c r="FO5" s="452"/>
      <c r="FP5" s="452"/>
      <c r="FQ5" s="452"/>
      <c r="FR5" s="452"/>
      <c r="FS5" s="452"/>
      <c r="FT5" s="452">
        <v>1</v>
      </c>
      <c r="FU5" s="452"/>
      <c r="FV5" s="452"/>
      <c r="FW5" s="452"/>
      <c r="FX5" s="452"/>
      <c r="FY5" s="452"/>
      <c r="FZ5" s="453"/>
      <c r="GA5"/>
      <c r="GB5"/>
      <c r="GC5"/>
      <c r="GD5"/>
    </row>
    <row r="6" spans="1:186" x14ac:dyDescent="0.15">
      <c r="AG6" s="455"/>
      <c r="AH6" s="556">
        <v>20</v>
      </c>
      <c r="AJ6" s="455"/>
      <c r="AK6" s="556">
        <v>20</v>
      </c>
      <c r="AL6"/>
      <c r="AM6"/>
      <c r="AN6"/>
      <c r="AO6" s="455"/>
      <c r="AP6" s="455">
        <v>1</v>
      </c>
      <c r="AQ6">
        <v>5</v>
      </c>
      <c r="AR6">
        <v>7</v>
      </c>
      <c r="AS6">
        <v>4</v>
      </c>
      <c r="AT6">
        <v>1</v>
      </c>
      <c r="AU6"/>
      <c r="AV6"/>
      <c r="AW6"/>
      <c r="AX6">
        <v>1</v>
      </c>
      <c r="AY6">
        <v>1</v>
      </c>
      <c r="AZ6"/>
      <c r="BA6"/>
      <c r="BB6"/>
      <c r="BC6" s="558"/>
      <c r="BD6"/>
      <c r="BE6"/>
      <c r="BF6"/>
      <c r="BG6"/>
      <c r="BH6" s="455"/>
      <c r="BI6" s="455">
        <v>16</v>
      </c>
      <c r="BJ6">
        <v>4</v>
      </c>
      <c r="BK6"/>
      <c r="BL6"/>
      <c r="BM6"/>
      <c r="BN6"/>
      <c r="BO6" s="558"/>
      <c r="BP6" s="455"/>
      <c r="BQ6" s="455">
        <v>4</v>
      </c>
      <c r="BR6">
        <v>7</v>
      </c>
      <c r="BS6">
        <v>5</v>
      </c>
      <c r="BT6">
        <v>4</v>
      </c>
      <c r="BU6" s="558"/>
      <c r="BV6"/>
      <c r="BW6"/>
      <c r="BZ6" s="455"/>
      <c r="CA6" s="556">
        <v>20</v>
      </c>
      <c r="CB6"/>
      <c r="CC6"/>
      <c r="CD6"/>
      <c r="CF6" s="455"/>
      <c r="CG6" s="455"/>
      <c r="CH6">
        <v>4</v>
      </c>
      <c r="CI6">
        <v>3</v>
      </c>
      <c r="CJ6"/>
      <c r="CK6">
        <v>1</v>
      </c>
      <c r="CL6">
        <v>2</v>
      </c>
      <c r="CM6">
        <v>2</v>
      </c>
      <c r="CN6">
        <v>1</v>
      </c>
      <c r="CO6">
        <v>3</v>
      </c>
      <c r="CP6">
        <v>2</v>
      </c>
      <c r="CQ6"/>
      <c r="CR6"/>
      <c r="CS6">
        <v>1</v>
      </c>
      <c r="CT6">
        <v>1</v>
      </c>
      <c r="CU6"/>
      <c r="CV6" s="558"/>
      <c r="CW6"/>
      <c r="CX6"/>
      <c r="CY6"/>
      <c r="CZ6"/>
      <c r="DA6"/>
      <c r="DB6"/>
      <c r="DC6"/>
      <c r="DD6"/>
      <c r="DE6"/>
      <c r="DF6"/>
      <c r="DG6" s="455"/>
      <c r="DH6" s="455">
        <v>15</v>
      </c>
      <c r="DI6"/>
      <c r="DJ6">
        <v>1</v>
      </c>
      <c r="DK6">
        <v>1</v>
      </c>
      <c r="DL6">
        <v>2</v>
      </c>
      <c r="DM6"/>
      <c r="DN6"/>
      <c r="DO6">
        <v>1</v>
      </c>
      <c r="DP6"/>
      <c r="DQ6"/>
      <c r="DR6"/>
      <c r="DS6"/>
      <c r="DT6"/>
      <c r="DU6" s="558"/>
      <c r="DV6"/>
      <c r="DW6"/>
      <c r="DX6"/>
      <c r="DZ6" s="455"/>
      <c r="EA6" s="455">
        <v>6</v>
      </c>
      <c r="EB6">
        <v>2</v>
      </c>
      <c r="EC6">
        <v>2</v>
      </c>
      <c r="ED6">
        <v>1</v>
      </c>
      <c r="EE6">
        <v>4</v>
      </c>
      <c r="EF6">
        <v>4</v>
      </c>
      <c r="EG6" s="558">
        <v>1</v>
      </c>
      <c r="EH6"/>
      <c r="EJ6" s="455"/>
      <c r="EK6" s="455">
        <v>1</v>
      </c>
      <c r="EL6"/>
      <c r="EM6"/>
      <c r="EN6">
        <v>1</v>
      </c>
      <c r="EO6"/>
      <c r="EP6"/>
      <c r="EQ6"/>
      <c r="ER6"/>
      <c r="ES6">
        <v>1</v>
      </c>
      <c r="ET6"/>
      <c r="EU6"/>
      <c r="EV6">
        <v>3</v>
      </c>
      <c r="EW6"/>
      <c r="EX6"/>
      <c r="EY6">
        <v>1</v>
      </c>
      <c r="EZ6"/>
      <c r="FA6">
        <v>1</v>
      </c>
      <c r="FB6">
        <v>1</v>
      </c>
      <c r="FC6">
        <v>3</v>
      </c>
      <c r="FD6"/>
      <c r="FE6">
        <v>2</v>
      </c>
      <c r="FF6">
        <v>2</v>
      </c>
      <c r="FG6">
        <v>3</v>
      </c>
      <c r="FH6" s="558">
        <v>1</v>
      </c>
      <c r="FI6"/>
      <c r="FK6" s="449">
        <v>14.592000000000001</v>
      </c>
      <c r="FL6" s="449" t="s">
        <v>411</v>
      </c>
      <c r="FM6" s="449"/>
      <c r="FN6" s="452"/>
      <c r="FO6" s="452"/>
      <c r="FP6" s="452"/>
      <c r="FQ6" s="452"/>
      <c r="FR6" s="452">
        <v>1</v>
      </c>
      <c r="FS6" s="452"/>
      <c r="FT6" s="452"/>
      <c r="FU6" s="452"/>
      <c r="FV6" s="452"/>
      <c r="FW6" s="452"/>
      <c r="FX6" s="452"/>
      <c r="FY6" s="452"/>
      <c r="FZ6" s="453"/>
      <c r="GA6"/>
      <c r="GB6"/>
      <c r="GC6"/>
      <c r="GD6"/>
    </row>
    <row r="7" spans="1:186" x14ac:dyDescent="0.15">
      <c r="AA7" s="7" t="s">
        <v>149</v>
      </c>
      <c r="AG7" s="455">
        <v>0.373</v>
      </c>
      <c r="AH7" s="556">
        <v>1</v>
      </c>
      <c r="AJ7" s="455">
        <v>0.373</v>
      </c>
      <c r="AK7" s="556">
        <v>1</v>
      </c>
      <c r="AL7"/>
      <c r="AM7"/>
      <c r="AN7"/>
      <c r="AO7" s="455">
        <v>0.373</v>
      </c>
      <c r="AP7" s="455">
        <v>1</v>
      </c>
      <c r="AQ7"/>
      <c r="AR7"/>
      <c r="AS7"/>
      <c r="AT7"/>
      <c r="AU7"/>
      <c r="AV7"/>
      <c r="AW7"/>
      <c r="AX7"/>
      <c r="AY7"/>
      <c r="AZ7"/>
      <c r="BA7"/>
      <c r="BB7"/>
      <c r="BC7" s="558"/>
      <c r="BD7"/>
      <c r="BE7"/>
      <c r="BF7"/>
      <c r="BG7"/>
      <c r="BH7" s="455">
        <v>0.373</v>
      </c>
      <c r="BI7" s="455">
        <v>1</v>
      </c>
      <c r="BJ7"/>
      <c r="BK7"/>
      <c r="BL7"/>
      <c r="BM7"/>
      <c r="BN7"/>
      <c r="BO7" s="558"/>
      <c r="BP7" s="455">
        <v>0.373</v>
      </c>
      <c r="BQ7" s="455"/>
      <c r="BR7"/>
      <c r="BS7">
        <v>1</v>
      </c>
      <c r="BT7"/>
      <c r="BU7" s="558"/>
      <c r="BV7"/>
      <c r="BW7"/>
      <c r="BZ7" s="455">
        <v>0.373</v>
      </c>
      <c r="CA7" s="556">
        <v>1</v>
      </c>
      <c r="CB7"/>
      <c r="CC7"/>
      <c r="CD7"/>
      <c r="CF7" s="455">
        <v>0.373</v>
      </c>
      <c r="CG7" s="455">
        <v>1</v>
      </c>
      <c r="CH7"/>
      <c r="CI7"/>
      <c r="CJ7"/>
      <c r="CK7"/>
      <c r="CL7"/>
      <c r="CM7"/>
      <c r="CN7"/>
      <c r="CO7"/>
      <c r="CP7"/>
      <c r="CQ7"/>
      <c r="CR7"/>
      <c r="CS7"/>
      <c r="CT7"/>
      <c r="CU7"/>
      <c r="CV7" s="558"/>
      <c r="CW7"/>
      <c r="CX7"/>
      <c r="CY7"/>
      <c r="CZ7"/>
      <c r="DA7"/>
      <c r="DB7"/>
      <c r="DC7"/>
      <c r="DD7"/>
      <c r="DE7"/>
      <c r="DF7"/>
      <c r="DG7" s="455">
        <v>0.373</v>
      </c>
      <c r="DH7" s="455"/>
      <c r="DI7">
        <v>1</v>
      </c>
      <c r="DJ7"/>
      <c r="DK7"/>
      <c r="DL7"/>
      <c r="DM7"/>
      <c r="DN7"/>
      <c r="DO7"/>
      <c r="DP7"/>
      <c r="DQ7"/>
      <c r="DR7"/>
      <c r="DS7"/>
      <c r="DT7"/>
      <c r="DU7" s="558"/>
      <c r="DV7"/>
      <c r="DW7"/>
      <c r="DX7"/>
      <c r="DZ7" s="455">
        <v>0.373</v>
      </c>
      <c r="EA7" s="455">
        <v>1</v>
      </c>
      <c r="EB7"/>
      <c r="EC7"/>
      <c r="ED7"/>
      <c r="EE7"/>
      <c r="EF7"/>
      <c r="EG7" s="558"/>
      <c r="EH7"/>
      <c r="EJ7" s="455">
        <v>0.373</v>
      </c>
      <c r="EK7" s="455"/>
      <c r="EL7"/>
      <c r="EM7"/>
      <c r="EN7"/>
      <c r="EO7"/>
      <c r="EP7"/>
      <c r="EQ7"/>
      <c r="ER7"/>
      <c r="ES7"/>
      <c r="ET7"/>
      <c r="EU7"/>
      <c r="EV7"/>
      <c r="EW7"/>
      <c r="EX7"/>
      <c r="EY7"/>
      <c r="EZ7"/>
      <c r="FA7"/>
      <c r="FB7"/>
      <c r="FC7"/>
      <c r="FD7"/>
      <c r="FE7">
        <v>1</v>
      </c>
      <c r="FF7"/>
      <c r="FG7"/>
      <c r="FH7" s="558"/>
      <c r="FI7"/>
      <c r="FK7" s="449" t="s">
        <v>6752</v>
      </c>
      <c r="FL7" s="457"/>
      <c r="FM7" s="449"/>
      <c r="FN7" s="452"/>
      <c r="FO7" s="452"/>
      <c r="FP7" s="452"/>
      <c r="FQ7" s="452"/>
      <c r="FR7" s="452">
        <v>1</v>
      </c>
      <c r="FS7" s="452"/>
      <c r="FT7" s="452"/>
      <c r="FU7" s="452"/>
      <c r="FV7" s="452"/>
      <c r="FW7" s="452"/>
      <c r="FX7" s="452"/>
      <c r="FY7" s="452"/>
      <c r="FZ7" s="453"/>
      <c r="GA7"/>
      <c r="GB7"/>
      <c r="GC7"/>
      <c r="GD7"/>
    </row>
    <row r="8" spans="1:186" x14ac:dyDescent="0.15">
      <c r="AG8" s="455">
        <v>0.40699999999999997</v>
      </c>
      <c r="AH8" s="556">
        <v>1</v>
      </c>
      <c r="AJ8" s="455">
        <v>0.40699999999999997</v>
      </c>
      <c r="AK8" s="556">
        <v>1</v>
      </c>
      <c r="AL8"/>
      <c r="AM8"/>
      <c r="AN8"/>
      <c r="AO8" s="455">
        <v>0.40699999999999997</v>
      </c>
      <c r="AP8" s="455"/>
      <c r="AQ8"/>
      <c r="AR8"/>
      <c r="AS8"/>
      <c r="AT8"/>
      <c r="AU8"/>
      <c r="AV8"/>
      <c r="AW8"/>
      <c r="AX8"/>
      <c r="AY8"/>
      <c r="AZ8">
        <v>1</v>
      </c>
      <c r="BA8"/>
      <c r="BB8"/>
      <c r="BC8" s="558"/>
      <c r="BD8"/>
      <c r="BE8"/>
      <c r="BF8"/>
      <c r="BG8"/>
      <c r="BH8" s="455">
        <v>0.40699999999999997</v>
      </c>
      <c r="BI8" s="455"/>
      <c r="BJ8"/>
      <c r="BK8"/>
      <c r="BL8">
        <v>1</v>
      </c>
      <c r="BM8"/>
      <c r="BN8"/>
      <c r="BO8" s="558"/>
      <c r="BP8" s="455">
        <v>0.40699999999999997</v>
      </c>
      <c r="BQ8" s="455"/>
      <c r="BR8"/>
      <c r="BS8"/>
      <c r="BT8">
        <v>1</v>
      </c>
      <c r="BU8" s="558"/>
      <c r="BV8"/>
      <c r="BW8"/>
      <c r="BZ8" s="455">
        <v>0.40699999999999997</v>
      </c>
      <c r="CA8" s="556">
        <v>1</v>
      </c>
      <c r="CB8"/>
      <c r="CC8"/>
      <c r="CD8"/>
      <c r="CF8" s="455">
        <v>0.40699999999999997</v>
      </c>
      <c r="CG8" s="455">
        <v>1</v>
      </c>
      <c r="CH8"/>
      <c r="CI8"/>
      <c r="CJ8"/>
      <c r="CK8"/>
      <c r="CL8"/>
      <c r="CM8"/>
      <c r="CN8"/>
      <c r="CO8"/>
      <c r="CP8"/>
      <c r="CQ8"/>
      <c r="CR8"/>
      <c r="CS8"/>
      <c r="CT8"/>
      <c r="CU8"/>
      <c r="CV8" s="558"/>
      <c r="CW8"/>
      <c r="CX8"/>
      <c r="CY8"/>
      <c r="CZ8"/>
      <c r="DA8"/>
      <c r="DB8"/>
      <c r="DC8"/>
      <c r="DD8"/>
      <c r="DE8"/>
      <c r="DF8"/>
      <c r="DG8" s="455">
        <v>0.40699999999999997</v>
      </c>
      <c r="DH8" s="455">
        <v>1</v>
      </c>
      <c r="DI8"/>
      <c r="DJ8"/>
      <c r="DK8"/>
      <c r="DL8"/>
      <c r="DM8"/>
      <c r="DN8"/>
      <c r="DO8"/>
      <c r="DP8"/>
      <c r="DQ8"/>
      <c r="DR8"/>
      <c r="DS8"/>
      <c r="DT8"/>
      <c r="DU8" s="558"/>
      <c r="DV8"/>
      <c r="DW8"/>
      <c r="DX8"/>
      <c r="DZ8" s="455">
        <v>0.40699999999999997</v>
      </c>
      <c r="EA8" s="455">
        <v>1</v>
      </c>
      <c r="EB8"/>
      <c r="EC8"/>
      <c r="ED8"/>
      <c r="EE8"/>
      <c r="EF8"/>
      <c r="EG8" s="558"/>
      <c r="EH8"/>
      <c r="EJ8" s="455">
        <v>0.40699999999999997</v>
      </c>
      <c r="EK8" s="455"/>
      <c r="EL8"/>
      <c r="EM8"/>
      <c r="EN8"/>
      <c r="EO8"/>
      <c r="EP8"/>
      <c r="EQ8"/>
      <c r="ER8"/>
      <c r="ES8"/>
      <c r="ET8"/>
      <c r="EU8"/>
      <c r="EV8"/>
      <c r="EW8"/>
      <c r="EX8"/>
      <c r="EY8"/>
      <c r="EZ8"/>
      <c r="FA8"/>
      <c r="FB8">
        <v>1</v>
      </c>
      <c r="FC8"/>
      <c r="FD8"/>
      <c r="FE8"/>
      <c r="FF8"/>
      <c r="FG8"/>
      <c r="FH8" s="558"/>
      <c r="FI8"/>
      <c r="FK8" s="449" t="s">
        <v>6415</v>
      </c>
      <c r="FL8" s="449" t="s">
        <v>405</v>
      </c>
      <c r="FM8" s="449"/>
      <c r="FN8" s="452"/>
      <c r="FO8" s="452">
        <v>1</v>
      </c>
      <c r="FP8" s="452"/>
      <c r="FQ8" s="452"/>
      <c r="FR8" s="452"/>
      <c r="FS8" s="452"/>
      <c r="FT8" s="452"/>
      <c r="FU8" s="452"/>
      <c r="FV8" s="452"/>
      <c r="FW8" s="452"/>
      <c r="FX8" s="452"/>
      <c r="FY8" s="452"/>
      <c r="FZ8" s="453"/>
      <c r="GA8"/>
      <c r="GB8"/>
      <c r="GC8"/>
      <c r="GD8"/>
    </row>
    <row r="9" spans="1:186" x14ac:dyDescent="0.15">
      <c r="AG9" s="455">
        <v>35.491</v>
      </c>
      <c r="AH9" s="556">
        <v>1</v>
      </c>
      <c r="AJ9" s="455">
        <v>35.491</v>
      </c>
      <c r="AK9" s="556">
        <v>1</v>
      </c>
      <c r="AL9"/>
      <c r="AM9"/>
      <c r="AN9"/>
      <c r="AO9" s="455">
        <v>35.491</v>
      </c>
      <c r="AP9" s="455">
        <v>1</v>
      </c>
      <c r="AQ9"/>
      <c r="AR9"/>
      <c r="AS9"/>
      <c r="AT9"/>
      <c r="AU9"/>
      <c r="AV9"/>
      <c r="AW9"/>
      <c r="AX9"/>
      <c r="AY9"/>
      <c r="AZ9"/>
      <c r="BA9"/>
      <c r="BB9"/>
      <c r="BC9" s="558"/>
      <c r="BD9"/>
      <c r="BE9"/>
      <c r="BF9"/>
      <c r="BG9"/>
      <c r="BH9" s="455">
        <v>35.491</v>
      </c>
      <c r="BI9" s="455">
        <v>1</v>
      </c>
      <c r="BJ9"/>
      <c r="BK9"/>
      <c r="BL9"/>
      <c r="BM9"/>
      <c r="BN9"/>
      <c r="BO9" s="558"/>
      <c r="BP9" s="455">
        <v>35.491</v>
      </c>
      <c r="BQ9" s="455"/>
      <c r="BR9"/>
      <c r="BS9">
        <v>1</v>
      </c>
      <c r="BT9"/>
      <c r="BU9" s="558"/>
      <c r="BV9"/>
      <c r="BW9"/>
      <c r="BZ9" s="455">
        <v>35.491</v>
      </c>
      <c r="CA9" s="556">
        <v>1</v>
      </c>
      <c r="CB9"/>
      <c r="CC9"/>
      <c r="CD9"/>
      <c r="CF9" s="455">
        <v>35.491</v>
      </c>
      <c r="CG9" s="455">
        <v>1</v>
      </c>
      <c r="CH9"/>
      <c r="CI9"/>
      <c r="CJ9"/>
      <c r="CK9"/>
      <c r="CL9"/>
      <c r="CM9"/>
      <c r="CN9"/>
      <c r="CO9"/>
      <c r="CP9"/>
      <c r="CQ9"/>
      <c r="CR9"/>
      <c r="CS9"/>
      <c r="CT9"/>
      <c r="CU9"/>
      <c r="CV9" s="558"/>
      <c r="CW9"/>
      <c r="CX9"/>
      <c r="CY9"/>
      <c r="CZ9"/>
      <c r="DA9"/>
      <c r="DB9"/>
      <c r="DC9"/>
      <c r="DD9"/>
      <c r="DE9"/>
      <c r="DF9"/>
      <c r="DG9" s="455">
        <v>35.491</v>
      </c>
      <c r="DH9" s="455"/>
      <c r="DI9">
        <v>1</v>
      </c>
      <c r="DJ9"/>
      <c r="DK9"/>
      <c r="DL9"/>
      <c r="DM9"/>
      <c r="DN9"/>
      <c r="DO9"/>
      <c r="DP9"/>
      <c r="DQ9"/>
      <c r="DR9"/>
      <c r="DS9"/>
      <c r="DT9"/>
      <c r="DU9" s="558"/>
      <c r="DV9"/>
      <c r="DW9"/>
      <c r="DX9"/>
      <c r="DZ9" s="455">
        <v>35.491</v>
      </c>
      <c r="EA9" s="455"/>
      <c r="EB9"/>
      <c r="EC9"/>
      <c r="ED9"/>
      <c r="EE9"/>
      <c r="EF9"/>
      <c r="EG9" s="558">
        <v>1</v>
      </c>
      <c r="EH9"/>
      <c r="EJ9" s="455">
        <v>35.491</v>
      </c>
      <c r="EK9" s="455"/>
      <c r="EL9"/>
      <c r="EM9"/>
      <c r="EN9"/>
      <c r="EO9"/>
      <c r="EP9"/>
      <c r="EQ9"/>
      <c r="ER9"/>
      <c r="ES9"/>
      <c r="ET9"/>
      <c r="EU9"/>
      <c r="EV9"/>
      <c r="EW9"/>
      <c r="EX9"/>
      <c r="EY9"/>
      <c r="EZ9"/>
      <c r="FA9"/>
      <c r="FB9"/>
      <c r="FC9"/>
      <c r="FD9"/>
      <c r="FE9"/>
      <c r="FF9">
        <v>1</v>
      </c>
      <c r="FG9"/>
      <c r="FH9" s="558"/>
      <c r="FI9"/>
      <c r="FK9" s="458"/>
      <c r="FL9" s="455" t="s">
        <v>406</v>
      </c>
      <c r="FM9" s="455"/>
      <c r="FN9"/>
      <c r="FO9">
        <v>2</v>
      </c>
      <c r="FP9">
        <v>2</v>
      </c>
      <c r="FQ9"/>
      <c r="FR9"/>
      <c r="FS9"/>
      <c r="FT9"/>
      <c r="FU9">
        <v>1</v>
      </c>
      <c r="FV9"/>
      <c r="FW9"/>
      <c r="FX9"/>
      <c r="FY9"/>
      <c r="FZ9" s="558"/>
      <c r="GA9"/>
      <c r="GB9"/>
      <c r="GC9"/>
      <c r="GD9"/>
    </row>
    <row r="10" spans="1:186" x14ac:dyDescent="0.15">
      <c r="AG10" s="455">
        <v>3.1160000000000001</v>
      </c>
      <c r="AH10" s="556">
        <v>1</v>
      </c>
      <c r="AJ10" s="455">
        <v>3.1160000000000001</v>
      </c>
      <c r="AK10" s="556">
        <v>1</v>
      </c>
      <c r="AL10"/>
      <c r="AM10"/>
      <c r="AN10"/>
      <c r="AO10" s="455">
        <v>3.1160000000000001</v>
      </c>
      <c r="AP10" s="455"/>
      <c r="AQ10">
        <v>1</v>
      </c>
      <c r="AR10"/>
      <c r="AS10"/>
      <c r="AT10"/>
      <c r="AU10"/>
      <c r="AV10"/>
      <c r="AW10"/>
      <c r="AX10"/>
      <c r="AY10"/>
      <c r="AZ10"/>
      <c r="BA10"/>
      <c r="BB10"/>
      <c r="BC10" s="558"/>
      <c r="BD10"/>
      <c r="BE10"/>
      <c r="BF10"/>
      <c r="BG10"/>
      <c r="BH10" s="455">
        <v>3.1160000000000001</v>
      </c>
      <c r="BI10" s="455"/>
      <c r="BJ10"/>
      <c r="BK10"/>
      <c r="BL10">
        <v>1</v>
      </c>
      <c r="BM10"/>
      <c r="BN10"/>
      <c r="BO10" s="558"/>
      <c r="BP10" s="455">
        <v>3.1160000000000001</v>
      </c>
      <c r="BQ10" s="455"/>
      <c r="BR10"/>
      <c r="BS10"/>
      <c r="BT10">
        <v>1</v>
      </c>
      <c r="BU10" s="558"/>
      <c r="BV10"/>
      <c r="BW10"/>
      <c r="BZ10" s="455">
        <v>3.1160000000000001</v>
      </c>
      <c r="CA10" s="556">
        <v>1</v>
      </c>
      <c r="CB10"/>
      <c r="CC10"/>
      <c r="CD10"/>
      <c r="CF10" s="455">
        <v>3.1160000000000001</v>
      </c>
      <c r="CG10" s="455"/>
      <c r="CH10">
        <v>1</v>
      </c>
      <c r="CI10"/>
      <c r="CJ10"/>
      <c r="CK10"/>
      <c r="CL10"/>
      <c r="CM10"/>
      <c r="CN10"/>
      <c r="CO10"/>
      <c r="CP10"/>
      <c r="CQ10"/>
      <c r="CR10"/>
      <c r="CS10"/>
      <c r="CT10"/>
      <c r="CU10"/>
      <c r="CV10" s="558"/>
      <c r="CW10"/>
      <c r="CX10"/>
      <c r="CY10"/>
      <c r="CZ10"/>
      <c r="DA10"/>
      <c r="DB10"/>
      <c r="DC10"/>
      <c r="DD10"/>
      <c r="DE10"/>
      <c r="DF10"/>
      <c r="DG10" s="455">
        <v>3.1160000000000001</v>
      </c>
      <c r="DH10" s="455">
        <v>1</v>
      </c>
      <c r="DI10"/>
      <c r="DJ10"/>
      <c r="DK10"/>
      <c r="DL10"/>
      <c r="DM10"/>
      <c r="DN10"/>
      <c r="DO10"/>
      <c r="DP10"/>
      <c r="DQ10"/>
      <c r="DR10"/>
      <c r="DS10"/>
      <c r="DT10"/>
      <c r="DU10" s="558"/>
      <c r="DV10"/>
      <c r="DW10"/>
      <c r="DX10"/>
      <c r="DZ10" s="455">
        <v>3.1160000000000001</v>
      </c>
      <c r="EA10" s="455"/>
      <c r="EB10"/>
      <c r="EC10"/>
      <c r="ED10">
        <v>1</v>
      </c>
      <c r="EE10"/>
      <c r="EF10"/>
      <c r="EG10" s="558"/>
      <c r="EH10"/>
      <c r="EJ10" s="455">
        <v>3.1160000000000001</v>
      </c>
      <c r="EK10" s="455"/>
      <c r="EL10"/>
      <c r="EM10"/>
      <c r="EN10"/>
      <c r="EO10"/>
      <c r="EP10"/>
      <c r="EQ10"/>
      <c r="ER10"/>
      <c r="ES10"/>
      <c r="ET10"/>
      <c r="EU10"/>
      <c r="EV10"/>
      <c r="EW10"/>
      <c r="EX10"/>
      <c r="EY10"/>
      <c r="EZ10"/>
      <c r="FA10"/>
      <c r="FB10">
        <v>1</v>
      </c>
      <c r="FC10"/>
      <c r="FD10"/>
      <c r="FE10"/>
      <c r="FF10"/>
      <c r="FG10"/>
      <c r="FH10" s="558"/>
      <c r="FI10"/>
      <c r="FK10" s="458"/>
      <c r="FL10" s="455" t="s">
        <v>410</v>
      </c>
      <c r="FM10" s="455"/>
      <c r="FN10">
        <v>2</v>
      </c>
      <c r="FO10"/>
      <c r="FP10">
        <v>1</v>
      </c>
      <c r="FQ10">
        <v>1</v>
      </c>
      <c r="FR10"/>
      <c r="FS10"/>
      <c r="FT10"/>
      <c r="FU10"/>
      <c r="FV10">
        <v>1</v>
      </c>
      <c r="FW10"/>
      <c r="FX10"/>
      <c r="FY10"/>
      <c r="FZ10" s="558"/>
      <c r="GA10"/>
      <c r="GB10"/>
      <c r="GC10"/>
      <c r="GD10"/>
    </row>
    <row r="11" spans="1:186" x14ac:dyDescent="0.15">
      <c r="AG11" s="455">
        <v>5.5069999999999997</v>
      </c>
      <c r="AH11" s="556">
        <v>1</v>
      </c>
      <c r="AJ11" s="455">
        <v>5.5069999999999997</v>
      </c>
      <c r="AK11" s="556">
        <v>1</v>
      </c>
      <c r="AL11"/>
      <c r="AM11"/>
      <c r="AN11"/>
      <c r="AO11" s="455">
        <v>5.5069999999999997</v>
      </c>
      <c r="AP11" s="455"/>
      <c r="AQ11"/>
      <c r="AR11"/>
      <c r="AS11"/>
      <c r="AT11"/>
      <c r="AU11"/>
      <c r="AV11"/>
      <c r="AW11"/>
      <c r="AX11"/>
      <c r="AY11">
        <v>1</v>
      </c>
      <c r="AZ11"/>
      <c r="BA11"/>
      <c r="BB11"/>
      <c r="BC11" s="558"/>
      <c r="BD11"/>
      <c r="BE11"/>
      <c r="BF11"/>
      <c r="BG11"/>
      <c r="BH11" s="455">
        <v>5.5069999999999997</v>
      </c>
      <c r="BI11" s="455"/>
      <c r="BJ11"/>
      <c r="BK11"/>
      <c r="BL11">
        <v>1</v>
      </c>
      <c r="BM11"/>
      <c r="BN11"/>
      <c r="BO11" s="558"/>
      <c r="BP11" s="455">
        <v>5.5069999999999997</v>
      </c>
      <c r="BQ11" s="455">
        <v>1</v>
      </c>
      <c r="BR11"/>
      <c r="BS11"/>
      <c r="BT11"/>
      <c r="BU11" s="558"/>
      <c r="BV11"/>
      <c r="BW11"/>
      <c r="BZ11" s="455">
        <v>5.5069999999999997</v>
      </c>
      <c r="CA11" s="556">
        <v>1</v>
      </c>
      <c r="CB11"/>
      <c r="CC11"/>
      <c r="CD11"/>
      <c r="CF11" s="455">
        <v>5.5069999999999997</v>
      </c>
      <c r="CG11" s="455"/>
      <c r="CH11"/>
      <c r="CI11"/>
      <c r="CJ11"/>
      <c r="CK11"/>
      <c r="CL11">
        <v>1</v>
      </c>
      <c r="CM11"/>
      <c r="CN11"/>
      <c r="CO11"/>
      <c r="CP11"/>
      <c r="CQ11"/>
      <c r="CR11"/>
      <c r="CS11"/>
      <c r="CT11"/>
      <c r="CU11"/>
      <c r="CV11" s="558"/>
      <c r="CW11"/>
      <c r="CX11"/>
      <c r="CY11"/>
      <c r="CZ11"/>
      <c r="DA11"/>
      <c r="DB11"/>
      <c r="DC11"/>
      <c r="DD11"/>
      <c r="DE11"/>
      <c r="DF11"/>
      <c r="DG11" s="455">
        <v>5.5069999999999997</v>
      </c>
      <c r="DH11" s="455">
        <v>1</v>
      </c>
      <c r="DI11"/>
      <c r="DJ11"/>
      <c r="DK11"/>
      <c r="DL11"/>
      <c r="DM11"/>
      <c r="DN11"/>
      <c r="DO11"/>
      <c r="DP11"/>
      <c r="DQ11"/>
      <c r="DR11"/>
      <c r="DS11"/>
      <c r="DT11"/>
      <c r="DU11" s="558"/>
      <c r="DV11"/>
      <c r="DW11"/>
      <c r="DX11"/>
      <c r="DZ11" s="455">
        <v>5.5069999999999997</v>
      </c>
      <c r="EA11" s="455"/>
      <c r="EB11">
        <v>1</v>
      </c>
      <c r="EC11"/>
      <c r="ED11"/>
      <c r="EE11"/>
      <c r="EF11"/>
      <c r="EG11" s="558"/>
      <c r="EH11"/>
      <c r="EJ11" s="455">
        <v>5.5069999999999997</v>
      </c>
      <c r="EK11" s="455"/>
      <c r="EL11"/>
      <c r="EM11"/>
      <c r="EN11"/>
      <c r="EO11"/>
      <c r="EP11"/>
      <c r="EQ11"/>
      <c r="ER11"/>
      <c r="ES11"/>
      <c r="ET11"/>
      <c r="EU11"/>
      <c r="EV11"/>
      <c r="EW11"/>
      <c r="EX11"/>
      <c r="EY11"/>
      <c r="EZ11"/>
      <c r="FA11"/>
      <c r="FB11"/>
      <c r="FC11">
        <v>1</v>
      </c>
      <c r="FD11"/>
      <c r="FE11"/>
      <c r="FF11"/>
      <c r="FG11"/>
      <c r="FH11" s="558"/>
      <c r="FI11"/>
      <c r="FK11" s="458"/>
      <c r="FL11" s="455" t="s">
        <v>411</v>
      </c>
      <c r="FM11" s="455"/>
      <c r="FN11">
        <v>2</v>
      </c>
      <c r="FO11"/>
      <c r="FP11">
        <v>1</v>
      </c>
      <c r="FQ11"/>
      <c r="FR11"/>
      <c r="FS11"/>
      <c r="FT11"/>
      <c r="FU11"/>
      <c r="FV11"/>
      <c r="FW11"/>
      <c r="FX11"/>
      <c r="FY11"/>
      <c r="FZ11" s="558"/>
      <c r="GA11"/>
      <c r="GB11"/>
      <c r="GC11"/>
      <c r="GD11"/>
    </row>
    <row r="12" spans="1:186" x14ac:dyDescent="0.15">
      <c r="AG12" s="455">
        <v>11.250999999999999</v>
      </c>
      <c r="AH12" s="556">
        <v>1</v>
      </c>
      <c r="AJ12" s="455">
        <v>11.250999999999999</v>
      </c>
      <c r="AK12" s="556">
        <v>1</v>
      </c>
      <c r="AL12"/>
      <c r="AM12"/>
      <c r="AN12"/>
      <c r="AO12" s="455">
        <v>11.250999999999999</v>
      </c>
      <c r="AP12" s="455"/>
      <c r="AQ12"/>
      <c r="AR12"/>
      <c r="AS12"/>
      <c r="AT12"/>
      <c r="AU12"/>
      <c r="AV12">
        <v>1</v>
      </c>
      <c r="AW12"/>
      <c r="AX12"/>
      <c r="AY12"/>
      <c r="AZ12"/>
      <c r="BA12"/>
      <c r="BB12"/>
      <c r="BC12" s="558"/>
      <c r="BD12"/>
      <c r="BE12"/>
      <c r="BF12"/>
      <c r="BG12"/>
      <c r="BH12" s="455">
        <v>11.250999999999999</v>
      </c>
      <c r="BI12" s="455">
        <v>1</v>
      </c>
      <c r="BJ12"/>
      <c r="BK12"/>
      <c r="BL12"/>
      <c r="BM12"/>
      <c r="BN12"/>
      <c r="BO12" s="558"/>
      <c r="BP12" s="455">
        <v>11.250999999999999</v>
      </c>
      <c r="BQ12" s="455">
        <v>1</v>
      </c>
      <c r="BR12"/>
      <c r="BS12"/>
      <c r="BT12"/>
      <c r="BU12" s="558"/>
      <c r="BV12"/>
      <c r="BW12"/>
      <c r="BZ12" s="455">
        <v>11.250999999999999</v>
      </c>
      <c r="CA12" s="556">
        <v>1</v>
      </c>
      <c r="CB12"/>
      <c r="CC12"/>
      <c r="CD12"/>
      <c r="CF12" s="455">
        <v>11.250999999999999</v>
      </c>
      <c r="CG12" s="455">
        <v>1</v>
      </c>
      <c r="CH12"/>
      <c r="CI12"/>
      <c r="CJ12"/>
      <c r="CK12"/>
      <c r="CL12"/>
      <c r="CM12"/>
      <c r="CN12"/>
      <c r="CO12"/>
      <c r="CP12"/>
      <c r="CQ12"/>
      <c r="CR12"/>
      <c r="CS12"/>
      <c r="CT12"/>
      <c r="CU12"/>
      <c r="CV12" s="558"/>
      <c r="CW12"/>
      <c r="CX12"/>
      <c r="CY12"/>
      <c r="CZ12"/>
      <c r="DA12"/>
      <c r="DB12"/>
      <c r="DC12"/>
      <c r="DD12"/>
      <c r="DE12"/>
      <c r="DF12"/>
      <c r="DG12" s="455">
        <v>11.250999999999999</v>
      </c>
      <c r="DH12" s="455">
        <v>1</v>
      </c>
      <c r="DI12"/>
      <c r="DJ12"/>
      <c r="DK12"/>
      <c r="DL12"/>
      <c r="DM12"/>
      <c r="DN12"/>
      <c r="DO12"/>
      <c r="DP12"/>
      <c r="DQ12"/>
      <c r="DR12"/>
      <c r="DS12"/>
      <c r="DT12"/>
      <c r="DU12" s="558"/>
      <c r="DV12"/>
      <c r="DW12"/>
      <c r="DX12"/>
      <c r="DZ12" s="455">
        <v>11.250999999999999</v>
      </c>
      <c r="EA12" s="455"/>
      <c r="EB12"/>
      <c r="EC12"/>
      <c r="ED12"/>
      <c r="EE12">
        <v>1</v>
      </c>
      <c r="EF12"/>
      <c r="EG12" s="558"/>
      <c r="EH12"/>
      <c r="EJ12" s="455">
        <v>11.250999999999999</v>
      </c>
      <c r="EK12" s="455"/>
      <c r="EL12"/>
      <c r="EM12"/>
      <c r="EN12">
        <v>1</v>
      </c>
      <c r="EO12"/>
      <c r="EP12"/>
      <c r="EQ12"/>
      <c r="ER12"/>
      <c r="ES12"/>
      <c r="ET12"/>
      <c r="EU12"/>
      <c r="EV12"/>
      <c r="EW12"/>
      <c r="EX12"/>
      <c r="EY12"/>
      <c r="EZ12"/>
      <c r="FA12"/>
      <c r="FB12"/>
      <c r="FC12"/>
      <c r="FD12"/>
      <c r="FE12"/>
      <c r="FF12"/>
      <c r="FG12"/>
      <c r="FH12" s="558"/>
      <c r="FI12"/>
      <c r="FK12" s="458"/>
      <c r="FL12" s="455" t="s">
        <v>445</v>
      </c>
      <c r="FM12" s="455"/>
      <c r="FN12">
        <v>1</v>
      </c>
      <c r="FO12">
        <v>1</v>
      </c>
      <c r="FP12"/>
      <c r="FQ12"/>
      <c r="FR12"/>
      <c r="FS12"/>
      <c r="FT12"/>
      <c r="FU12"/>
      <c r="FV12"/>
      <c r="FW12"/>
      <c r="FX12"/>
      <c r="FY12"/>
      <c r="FZ12" s="558"/>
      <c r="GA12"/>
      <c r="GB12"/>
      <c r="GC12"/>
      <c r="GD12"/>
    </row>
    <row r="13" spans="1:186" x14ac:dyDescent="0.15">
      <c r="AG13" s="455">
        <v>1.371</v>
      </c>
      <c r="AH13" s="556">
        <v>1</v>
      </c>
      <c r="AJ13" s="455">
        <v>1.371</v>
      </c>
      <c r="AK13" s="556">
        <v>1</v>
      </c>
      <c r="AL13"/>
      <c r="AM13"/>
      <c r="AN13"/>
      <c r="AO13" s="455">
        <v>1.371</v>
      </c>
      <c r="AP13" s="455">
        <v>1</v>
      </c>
      <c r="AQ13"/>
      <c r="AR13"/>
      <c r="AS13"/>
      <c r="AT13"/>
      <c r="AU13"/>
      <c r="AV13"/>
      <c r="AW13"/>
      <c r="AX13"/>
      <c r="AY13"/>
      <c r="AZ13"/>
      <c r="BA13"/>
      <c r="BB13"/>
      <c r="BC13" s="558"/>
      <c r="BD13"/>
      <c r="BE13"/>
      <c r="BF13"/>
      <c r="BG13"/>
      <c r="BH13" s="455">
        <v>1.371</v>
      </c>
      <c r="BI13" s="455">
        <v>1</v>
      </c>
      <c r="BJ13"/>
      <c r="BK13"/>
      <c r="BL13"/>
      <c r="BM13"/>
      <c r="BN13"/>
      <c r="BO13" s="558"/>
      <c r="BP13" s="455">
        <v>1.371</v>
      </c>
      <c r="BQ13" s="455"/>
      <c r="BR13"/>
      <c r="BS13">
        <v>1</v>
      </c>
      <c r="BT13"/>
      <c r="BU13" s="558"/>
      <c r="BV13"/>
      <c r="BW13"/>
      <c r="BZ13" s="455">
        <v>1.371</v>
      </c>
      <c r="CA13" s="556">
        <v>1</v>
      </c>
      <c r="CB13"/>
      <c r="CC13"/>
      <c r="CD13"/>
      <c r="CF13" s="455">
        <v>1.371</v>
      </c>
      <c r="CG13" s="455"/>
      <c r="CH13"/>
      <c r="CI13">
        <v>1</v>
      </c>
      <c r="CJ13"/>
      <c r="CK13"/>
      <c r="CL13"/>
      <c r="CM13"/>
      <c r="CN13"/>
      <c r="CO13"/>
      <c r="CP13"/>
      <c r="CQ13"/>
      <c r="CR13"/>
      <c r="CS13"/>
      <c r="CT13"/>
      <c r="CU13"/>
      <c r="CV13" s="558"/>
      <c r="CW13"/>
      <c r="CX13"/>
      <c r="CY13"/>
      <c r="CZ13"/>
      <c r="DA13"/>
      <c r="DB13"/>
      <c r="DC13"/>
      <c r="DD13"/>
      <c r="DE13"/>
      <c r="DF13"/>
      <c r="DG13" s="455">
        <v>1.371</v>
      </c>
      <c r="DH13" s="455"/>
      <c r="DI13">
        <v>1</v>
      </c>
      <c r="DJ13"/>
      <c r="DK13"/>
      <c r="DL13"/>
      <c r="DM13"/>
      <c r="DN13"/>
      <c r="DO13"/>
      <c r="DP13"/>
      <c r="DQ13"/>
      <c r="DR13"/>
      <c r="DS13"/>
      <c r="DT13"/>
      <c r="DU13" s="558"/>
      <c r="DV13"/>
      <c r="DW13"/>
      <c r="DX13"/>
      <c r="DZ13" s="455">
        <v>1.371</v>
      </c>
      <c r="EA13" s="455"/>
      <c r="EB13"/>
      <c r="EC13">
        <v>1</v>
      </c>
      <c r="ED13"/>
      <c r="EE13"/>
      <c r="EF13"/>
      <c r="EG13" s="558"/>
      <c r="EH13"/>
      <c r="EJ13" s="455">
        <v>1.371</v>
      </c>
      <c r="EK13" s="455"/>
      <c r="EL13"/>
      <c r="EM13"/>
      <c r="EN13"/>
      <c r="EO13"/>
      <c r="EP13"/>
      <c r="EQ13">
        <v>1</v>
      </c>
      <c r="ER13"/>
      <c r="ES13"/>
      <c r="ET13"/>
      <c r="EU13"/>
      <c r="EV13"/>
      <c r="EW13"/>
      <c r="EX13"/>
      <c r="EY13"/>
      <c r="EZ13"/>
      <c r="FA13"/>
      <c r="FB13"/>
      <c r="FC13"/>
      <c r="FD13"/>
      <c r="FE13"/>
      <c r="FF13"/>
      <c r="FG13"/>
      <c r="FH13" s="558"/>
      <c r="FI13"/>
      <c r="FK13" s="458"/>
      <c r="FL13" s="455" t="s">
        <v>396</v>
      </c>
      <c r="FM13" s="455"/>
      <c r="FN13"/>
      <c r="FO13">
        <v>2</v>
      </c>
      <c r="FP13"/>
      <c r="FQ13"/>
      <c r="FR13"/>
      <c r="FS13"/>
      <c r="FT13"/>
      <c r="FU13"/>
      <c r="FV13"/>
      <c r="FW13"/>
      <c r="FX13"/>
      <c r="FY13"/>
      <c r="FZ13" s="558"/>
      <c r="GA13"/>
      <c r="GB13"/>
      <c r="GC13"/>
      <c r="GD13"/>
    </row>
    <row r="14" spans="1:186" x14ac:dyDescent="0.15">
      <c r="AG14" s="455">
        <v>7.4370000000000003</v>
      </c>
      <c r="AH14" s="556">
        <v>1</v>
      </c>
      <c r="AJ14" s="455">
        <v>7.4370000000000003</v>
      </c>
      <c r="AK14" s="556">
        <v>1</v>
      </c>
      <c r="AL14"/>
      <c r="AM14"/>
      <c r="AN14"/>
      <c r="AO14" s="455">
        <v>7.4370000000000003</v>
      </c>
      <c r="AP14" s="455"/>
      <c r="AQ14"/>
      <c r="AR14"/>
      <c r="AS14"/>
      <c r="AT14"/>
      <c r="AU14"/>
      <c r="AV14"/>
      <c r="AW14">
        <v>1</v>
      </c>
      <c r="AX14"/>
      <c r="AY14"/>
      <c r="AZ14"/>
      <c r="BA14"/>
      <c r="BB14"/>
      <c r="BC14" s="558"/>
      <c r="BD14"/>
      <c r="BE14"/>
      <c r="BF14"/>
      <c r="BG14"/>
      <c r="BH14" s="455">
        <v>7.4370000000000003</v>
      </c>
      <c r="BI14" s="455">
        <v>1</v>
      </c>
      <c r="BJ14"/>
      <c r="BK14"/>
      <c r="BL14"/>
      <c r="BM14"/>
      <c r="BN14"/>
      <c r="BO14" s="558"/>
      <c r="BP14" s="455">
        <v>7.4370000000000003</v>
      </c>
      <c r="BQ14" s="455"/>
      <c r="BR14">
        <v>1</v>
      </c>
      <c r="BS14"/>
      <c r="BT14"/>
      <c r="BU14" s="558"/>
      <c r="BV14"/>
      <c r="BW14"/>
      <c r="BZ14" s="455">
        <v>7.4370000000000003</v>
      </c>
      <c r="CA14" s="556">
        <v>1</v>
      </c>
      <c r="CB14"/>
      <c r="CC14"/>
      <c r="CD14"/>
      <c r="CF14" s="455">
        <v>7.4370000000000003</v>
      </c>
      <c r="CG14" s="455"/>
      <c r="CH14"/>
      <c r="CI14"/>
      <c r="CJ14"/>
      <c r="CK14">
        <v>1</v>
      </c>
      <c r="CL14"/>
      <c r="CM14"/>
      <c r="CN14"/>
      <c r="CO14"/>
      <c r="CP14"/>
      <c r="CQ14"/>
      <c r="CR14"/>
      <c r="CS14"/>
      <c r="CT14"/>
      <c r="CU14"/>
      <c r="CV14" s="558"/>
      <c r="CW14"/>
      <c r="CX14"/>
      <c r="CY14"/>
      <c r="CZ14"/>
      <c r="DA14"/>
      <c r="DB14"/>
      <c r="DC14"/>
      <c r="DD14"/>
      <c r="DE14"/>
      <c r="DF14"/>
      <c r="DG14" s="455">
        <v>7.4370000000000003</v>
      </c>
      <c r="DH14" s="455"/>
      <c r="DI14"/>
      <c r="DJ14">
        <v>1</v>
      </c>
      <c r="DK14"/>
      <c r="DL14"/>
      <c r="DM14"/>
      <c r="DN14"/>
      <c r="DO14"/>
      <c r="DP14"/>
      <c r="DQ14"/>
      <c r="DR14"/>
      <c r="DS14"/>
      <c r="DT14"/>
      <c r="DU14" s="558"/>
      <c r="DV14"/>
      <c r="DW14"/>
      <c r="DX14"/>
      <c r="DZ14" s="455">
        <v>7.4370000000000003</v>
      </c>
      <c r="EA14" s="455"/>
      <c r="EB14"/>
      <c r="EC14"/>
      <c r="ED14">
        <v>1</v>
      </c>
      <c r="EE14"/>
      <c r="EF14"/>
      <c r="EG14" s="558"/>
      <c r="EH14"/>
      <c r="EJ14" s="455">
        <v>7.4370000000000003</v>
      </c>
      <c r="EK14" s="455"/>
      <c r="EL14"/>
      <c r="EM14"/>
      <c r="EN14"/>
      <c r="EO14"/>
      <c r="EP14"/>
      <c r="EQ14"/>
      <c r="ER14"/>
      <c r="ES14"/>
      <c r="ET14"/>
      <c r="EU14"/>
      <c r="EV14"/>
      <c r="EW14">
        <v>1</v>
      </c>
      <c r="EX14"/>
      <c r="EY14"/>
      <c r="EZ14"/>
      <c r="FA14"/>
      <c r="FB14"/>
      <c r="FC14"/>
      <c r="FD14"/>
      <c r="FE14"/>
      <c r="FF14"/>
      <c r="FG14"/>
      <c r="FH14" s="558"/>
      <c r="FI14"/>
      <c r="FK14" s="458"/>
      <c r="FL14" s="455" t="s">
        <v>446</v>
      </c>
      <c r="FM14" s="455">
        <v>1</v>
      </c>
      <c r="FN14"/>
      <c r="FO14">
        <v>1</v>
      </c>
      <c r="FP14"/>
      <c r="FQ14"/>
      <c r="FR14"/>
      <c r="FS14"/>
      <c r="FT14"/>
      <c r="FU14"/>
      <c r="FV14"/>
      <c r="FW14"/>
      <c r="FX14"/>
      <c r="FY14"/>
      <c r="FZ14" s="558"/>
      <c r="GA14"/>
      <c r="GB14"/>
      <c r="GC14"/>
      <c r="GD14"/>
    </row>
    <row r="15" spans="1:186" x14ac:dyDescent="0.15">
      <c r="AG15" s="455">
        <v>18.358000000000001</v>
      </c>
      <c r="AH15" s="556">
        <v>1</v>
      </c>
      <c r="AJ15" s="455">
        <v>18.358000000000001</v>
      </c>
      <c r="AK15" s="556">
        <v>1</v>
      </c>
      <c r="AL15"/>
      <c r="AM15"/>
      <c r="AN15"/>
      <c r="AO15" s="455">
        <v>18.358000000000001</v>
      </c>
      <c r="AP15" s="455"/>
      <c r="AQ15"/>
      <c r="AR15"/>
      <c r="AS15"/>
      <c r="AT15"/>
      <c r="AU15">
        <v>1</v>
      </c>
      <c r="AV15"/>
      <c r="AW15"/>
      <c r="AX15"/>
      <c r="AY15"/>
      <c r="AZ15"/>
      <c r="BA15"/>
      <c r="BB15"/>
      <c r="BC15" s="558"/>
      <c r="BD15"/>
      <c r="BE15"/>
      <c r="BF15"/>
      <c r="BG15"/>
      <c r="BH15" s="455">
        <v>18.358000000000001</v>
      </c>
      <c r="BI15" s="455"/>
      <c r="BJ15">
        <v>1</v>
      </c>
      <c r="BK15"/>
      <c r="BL15"/>
      <c r="BM15"/>
      <c r="BN15"/>
      <c r="BO15" s="558"/>
      <c r="BP15" s="455">
        <v>18.358000000000001</v>
      </c>
      <c r="BQ15" s="455"/>
      <c r="BR15"/>
      <c r="BS15">
        <v>1</v>
      </c>
      <c r="BT15"/>
      <c r="BU15" s="558"/>
      <c r="BV15"/>
      <c r="BW15"/>
      <c r="BZ15" s="455">
        <v>18.358000000000001</v>
      </c>
      <c r="CA15" s="556">
        <v>1</v>
      </c>
      <c r="CB15"/>
      <c r="CC15"/>
      <c r="CD15"/>
      <c r="CF15" s="455">
        <v>18.358000000000001</v>
      </c>
      <c r="CG15" s="455"/>
      <c r="CH15"/>
      <c r="CI15">
        <v>1</v>
      </c>
      <c r="CJ15"/>
      <c r="CK15"/>
      <c r="CL15"/>
      <c r="CM15"/>
      <c r="CN15"/>
      <c r="CO15"/>
      <c r="CP15"/>
      <c r="CQ15"/>
      <c r="CR15"/>
      <c r="CS15"/>
      <c r="CT15"/>
      <c r="CU15"/>
      <c r="CV15" s="558"/>
      <c r="CW15"/>
      <c r="CX15"/>
      <c r="CY15"/>
      <c r="CZ15"/>
      <c r="DA15"/>
      <c r="DB15"/>
      <c r="DC15"/>
      <c r="DD15"/>
      <c r="DE15"/>
      <c r="DF15"/>
      <c r="DG15" s="455">
        <v>18.358000000000001</v>
      </c>
      <c r="DH15" s="455">
        <v>1</v>
      </c>
      <c r="DI15"/>
      <c r="DJ15"/>
      <c r="DK15"/>
      <c r="DL15"/>
      <c r="DM15"/>
      <c r="DN15"/>
      <c r="DO15"/>
      <c r="DP15"/>
      <c r="DQ15"/>
      <c r="DR15"/>
      <c r="DS15"/>
      <c r="DT15"/>
      <c r="DU15" s="558"/>
      <c r="DV15"/>
      <c r="DW15"/>
      <c r="DX15"/>
      <c r="DZ15" s="455">
        <v>18.358000000000001</v>
      </c>
      <c r="EA15" s="455"/>
      <c r="EB15"/>
      <c r="EC15">
        <v>1</v>
      </c>
      <c r="ED15"/>
      <c r="EE15"/>
      <c r="EF15"/>
      <c r="EG15" s="558"/>
      <c r="EH15"/>
      <c r="EJ15" s="455">
        <v>18.358000000000001</v>
      </c>
      <c r="EK15" s="455"/>
      <c r="EL15"/>
      <c r="EM15"/>
      <c r="EN15">
        <v>1</v>
      </c>
      <c r="EO15"/>
      <c r="EP15"/>
      <c r="EQ15"/>
      <c r="ER15"/>
      <c r="ES15"/>
      <c r="ET15"/>
      <c r="EU15"/>
      <c r="EV15"/>
      <c r="EW15"/>
      <c r="EX15"/>
      <c r="EY15"/>
      <c r="EZ15"/>
      <c r="FA15"/>
      <c r="FB15"/>
      <c r="FC15"/>
      <c r="FD15"/>
      <c r="FE15"/>
      <c r="FF15"/>
      <c r="FG15"/>
      <c r="FH15" s="558"/>
      <c r="FI15"/>
      <c r="FK15" s="449" t="s">
        <v>6753</v>
      </c>
      <c r="FL15" s="457"/>
      <c r="FM15" s="449">
        <v>1</v>
      </c>
      <c r="FN15" s="452">
        <v>5</v>
      </c>
      <c r="FO15" s="452">
        <v>7</v>
      </c>
      <c r="FP15" s="452">
        <v>4</v>
      </c>
      <c r="FQ15" s="452">
        <v>1</v>
      </c>
      <c r="FR15" s="452"/>
      <c r="FS15" s="452"/>
      <c r="FT15" s="452"/>
      <c r="FU15" s="452">
        <v>1</v>
      </c>
      <c r="FV15" s="452">
        <v>1</v>
      </c>
      <c r="FW15" s="452"/>
      <c r="FX15" s="452"/>
      <c r="FY15" s="452"/>
      <c r="FZ15" s="453"/>
      <c r="GA15"/>
      <c r="GB15"/>
      <c r="GC15"/>
      <c r="GD15"/>
    </row>
    <row r="16" spans="1:186" x14ac:dyDescent="0.15">
      <c r="AG16" s="455">
        <v>2.097</v>
      </c>
      <c r="AH16" s="556">
        <v>1</v>
      </c>
      <c r="AJ16" s="455">
        <v>2.097</v>
      </c>
      <c r="AK16" s="556">
        <v>1</v>
      </c>
      <c r="AL16"/>
      <c r="AM16"/>
      <c r="AN16"/>
      <c r="AO16" s="455">
        <v>2.097</v>
      </c>
      <c r="AP16" s="455">
        <v>1</v>
      </c>
      <c r="AQ16"/>
      <c r="AR16"/>
      <c r="AS16"/>
      <c r="AT16"/>
      <c r="AU16"/>
      <c r="AV16"/>
      <c r="AW16"/>
      <c r="AX16"/>
      <c r="AY16"/>
      <c r="AZ16"/>
      <c r="BA16"/>
      <c r="BB16"/>
      <c r="BC16" s="558"/>
      <c r="BD16"/>
      <c r="BE16"/>
      <c r="BF16"/>
      <c r="BG16"/>
      <c r="BH16" s="455">
        <v>2.097</v>
      </c>
      <c r="BI16" s="455"/>
      <c r="BJ16">
        <v>1</v>
      </c>
      <c r="BK16"/>
      <c r="BL16"/>
      <c r="BM16"/>
      <c r="BN16"/>
      <c r="BO16" s="558"/>
      <c r="BP16" s="455">
        <v>2.097</v>
      </c>
      <c r="BQ16" s="455"/>
      <c r="BR16">
        <v>1</v>
      </c>
      <c r="BS16"/>
      <c r="BT16"/>
      <c r="BU16" s="558"/>
      <c r="BV16"/>
      <c r="BW16"/>
      <c r="BZ16" s="455">
        <v>2.097</v>
      </c>
      <c r="CA16" s="556">
        <v>1</v>
      </c>
      <c r="CB16"/>
      <c r="CC16"/>
      <c r="CD16"/>
      <c r="CF16" s="455">
        <v>2.097</v>
      </c>
      <c r="CG16" s="455"/>
      <c r="CH16"/>
      <c r="CI16"/>
      <c r="CJ16"/>
      <c r="CK16"/>
      <c r="CL16">
        <v>1</v>
      </c>
      <c r="CM16"/>
      <c r="CN16"/>
      <c r="CO16"/>
      <c r="CP16"/>
      <c r="CQ16"/>
      <c r="CR16"/>
      <c r="CS16"/>
      <c r="CT16"/>
      <c r="CU16"/>
      <c r="CV16" s="558"/>
      <c r="CW16"/>
      <c r="CX16"/>
      <c r="CY16"/>
      <c r="CZ16"/>
      <c r="DA16"/>
      <c r="DB16"/>
      <c r="DC16"/>
      <c r="DD16"/>
      <c r="DE16"/>
      <c r="DF16"/>
      <c r="DG16" s="455">
        <v>2.097</v>
      </c>
      <c r="DH16" s="455">
        <v>1</v>
      </c>
      <c r="DI16"/>
      <c r="DJ16"/>
      <c r="DK16"/>
      <c r="DL16"/>
      <c r="DM16"/>
      <c r="DN16"/>
      <c r="DO16"/>
      <c r="DP16"/>
      <c r="DQ16"/>
      <c r="DR16"/>
      <c r="DS16"/>
      <c r="DT16"/>
      <c r="DU16" s="558"/>
      <c r="DV16"/>
      <c r="DW16"/>
      <c r="DX16"/>
      <c r="DZ16" s="455">
        <v>2.097</v>
      </c>
      <c r="EA16" s="455"/>
      <c r="EB16">
        <v>1</v>
      </c>
      <c r="EC16"/>
      <c r="ED16"/>
      <c r="EE16"/>
      <c r="EF16"/>
      <c r="EG16" s="558"/>
      <c r="EH16"/>
      <c r="EJ16" s="455">
        <v>2.097</v>
      </c>
      <c r="EK16" s="455"/>
      <c r="EL16"/>
      <c r="EM16"/>
      <c r="EN16"/>
      <c r="EO16"/>
      <c r="EP16"/>
      <c r="EQ16"/>
      <c r="ER16"/>
      <c r="ES16"/>
      <c r="ET16"/>
      <c r="EU16">
        <v>1</v>
      </c>
      <c r="EV16"/>
      <c r="EW16"/>
      <c r="EX16"/>
      <c r="EY16"/>
      <c r="EZ16"/>
      <c r="FA16"/>
      <c r="FB16"/>
      <c r="FC16"/>
      <c r="FD16"/>
      <c r="FE16"/>
      <c r="FF16"/>
      <c r="FG16"/>
      <c r="FH16" s="558"/>
      <c r="FI16"/>
      <c r="FK16" s="449">
        <v>0.373</v>
      </c>
      <c r="FL16" s="449" t="s">
        <v>406</v>
      </c>
      <c r="FM16" s="449">
        <v>1</v>
      </c>
      <c r="FN16" s="452"/>
      <c r="FO16" s="452"/>
      <c r="FP16" s="452"/>
      <c r="FQ16" s="452"/>
      <c r="FR16" s="452"/>
      <c r="FS16" s="452"/>
      <c r="FT16" s="452"/>
      <c r="FU16" s="452"/>
      <c r="FV16" s="452"/>
      <c r="FW16" s="452"/>
      <c r="FX16" s="452"/>
      <c r="FY16" s="452"/>
      <c r="FZ16" s="453"/>
      <c r="GA16"/>
      <c r="GB16"/>
      <c r="GC16"/>
      <c r="GD16"/>
    </row>
    <row r="17" spans="1:186" x14ac:dyDescent="0.15">
      <c r="AG17" s="455">
        <v>0.32700000000000001</v>
      </c>
      <c r="AH17" s="556">
        <v>1</v>
      </c>
      <c r="AJ17" s="455">
        <v>0.32700000000000001</v>
      </c>
      <c r="AK17" s="556">
        <v>1</v>
      </c>
      <c r="AL17"/>
      <c r="AM17"/>
      <c r="AN17"/>
      <c r="AO17" s="455">
        <v>0.32700000000000001</v>
      </c>
      <c r="AP17" s="455"/>
      <c r="AQ17">
        <v>1</v>
      </c>
      <c r="AR17"/>
      <c r="AS17"/>
      <c r="AT17"/>
      <c r="AU17"/>
      <c r="AV17"/>
      <c r="AW17"/>
      <c r="AX17"/>
      <c r="AY17"/>
      <c r="AZ17"/>
      <c r="BA17"/>
      <c r="BB17"/>
      <c r="BC17" s="558"/>
      <c r="BD17"/>
      <c r="BE17"/>
      <c r="BF17"/>
      <c r="BG17"/>
      <c r="BH17" s="455">
        <v>0.32700000000000001</v>
      </c>
      <c r="BI17" s="455"/>
      <c r="BJ17">
        <v>1</v>
      </c>
      <c r="BK17"/>
      <c r="BL17"/>
      <c r="BM17"/>
      <c r="BN17"/>
      <c r="BO17" s="558"/>
      <c r="BP17" s="455">
        <v>0.32700000000000001</v>
      </c>
      <c r="BQ17" s="455"/>
      <c r="BR17">
        <v>1</v>
      </c>
      <c r="BS17"/>
      <c r="BT17"/>
      <c r="BU17" s="558"/>
      <c r="BV17"/>
      <c r="BW17"/>
      <c r="BZ17" s="455">
        <v>0.32700000000000001</v>
      </c>
      <c r="CA17" s="556">
        <v>1</v>
      </c>
      <c r="CB17"/>
      <c r="CC17"/>
      <c r="CD17"/>
      <c r="CF17" s="455">
        <v>0.32700000000000001</v>
      </c>
      <c r="CG17" s="455"/>
      <c r="CH17">
        <v>1</v>
      </c>
      <c r="CI17"/>
      <c r="CJ17"/>
      <c r="CK17"/>
      <c r="CL17"/>
      <c r="CM17"/>
      <c r="CN17"/>
      <c r="CO17"/>
      <c r="CP17"/>
      <c r="CQ17"/>
      <c r="CR17"/>
      <c r="CS17"/>
      <c r="CT17"/>
      <c r="CU17"/>
      <c r="CV17" s="558"/>
      <c r="CW17"/>
      <c r="CX17"/>
      <c r="CY17"/>
      <c r="CZ17"/>
      <c r="DA17"/>
      <c r="DB17"/>
      <c r="DC17"/>
      <c r="DD17"/>
      <c r="DE17"/>
      <c r="DF17"/>
      <c r="DG17" s="455">
        <v>0.32700000000000001</v>
      </c>
      <c r="DH17" s="455">
        <v>1</v>
      </c>
      <c r="DI17"/>
      <c r="DJ17"/>
      <c r="DK17"/>
      <c r="DL17"/>
      <c r="DM17"/>
      <c r="DN17"/>
      <c r="DO17"/>
      <c r="DP17"/>
      <c r="DQ17"/>
      <c r="DR17"/>
      <c r="DS17"/>
      <c r="DT17"/>
      <c r="DU17" s="558"/>
      <c r="DV17"/>
      <c r="DW17"/>
      <c r="DX17"/>
      <c r="DZ17" s="455">
        <v>0.32700000000000001</v>
      </c>
      <c r="EA17" s="455"/>
      <c r="EB17"/>
      <c r="EC17"/>
      <c r="ED17"/>
      <c r="EE17"/>
      <c r="EF17">
        <v>1</v>
      </c>
      <c r="EG17" s="558"/>
      <c r="EH17"/>
      <c r="EJ17" s="455">
        <v>0.32700000000000001</v>
      </c>
      <c r="EK17" s="455"/>
      <c r="EL17"/>
      <c r="EM17"/>
      <c r="EN17"/>
      <c r="EO17"/>
      <c r="EP17"/>
      <c r="EQ17"/>
      <c r="ER17"/>
      <c r="ES17"/>
      <c r="ET17"/>
      <c r="EU17"/>
      <c r="EV17">
        <v>1</v>
      </c>
      <c r="EW17"/>
      <c r="EX17"/>
      <c r="EY17"/>
      <c r="EZ17"/>
      <c r="FA17"/>
      <c r="FB17"/>
      <c r="FC17"/>
      <c r="FD17"/>
      <c r="FE17"/>
      <c r="FF17"/>
      <c r="FG17"/>
      <c r="FH17" s="558"/>
      <c r="FI17"/>
      <c r="FK17" s="449" t="s">
        <v>6754</v>
      </c>
      <c r="FL17" s="457"/>
      <c r="FM17" s="449">
        <v>1</v>
      </c>
      <c r="FN17" s="452"/>
      <c r="FO17" s="452"/>
      <c r="FP17" s="452"/>
      <c r="FQ17" s="452"/>
      <c r="FR17" s="452"/>
      <c r="FS17" s="452"/>
      <c r="FT17" s="452"/>
      <c r="FU17" s="452"/>
      <c r="FV17" s="452"/>
      <c r="FW17" s="452"/>
      <c r="FX17" s="452"/>
      <c r="FY17" s="452"/>
      <c r="FZ17" s="453"/>
      <c r="GA17"/>
      <c r="GB17"/>
      <c r="GC17"/>
      <c r="GD17"/>
    </row>
    <row r="18" spans="1:186" x14ac:dyDescent="0.15">
      <c r="AG18" s="455">
        <v>0.44800000000000001</v>
      </c>
      <c r="AH18" s="556">
        <v>1</v>
      </c>
      <c r="AJ18" s="455">
        <v>0.44800000000000001</v>
      </c>
      <c r="AK18" s="556">
        <v>1</v>
      </c>
      <c r="AL18"/>
      <c r="AM18"/>
      <c r="AN18"/>
      <c r="AO18" s="455">
        <v>0.44800000000000001</v>
      </c>
      <c r="AP18" s="455"/>
      <c r="AQ18"/>
      <c r="AR18"/>
      <c r="AS18"/>
      <c r="AT18"/>
      <c r="AU18"/>
      <c r="AV18"/>
      <c r="AW18"/>
      <c r="AX18"/>
      <c r="AY18"/>
      <c r="AZ18"/>
      <c r="BA18">
        <v>1</v>
      </c>
      <c r="BB18"/>
      <c r="BC18" s="558"/>
      <c r="BD18"/>
      <c r="BE18"/>
      <c r="BF18"/>
      <c r="BG18"/>
      <c r="BH18" s="455">
        <v>0.44800000000000001</v>
      </c>
      <c r="BI18" s="455"/>
      <c r="BJ18">
        <v>1</v>
      </c>
      <c r="BK18"/>
      <c r="BL18"/>
      <c r="BM18"/>
      <c r="BN18"/>
      <c r="BO18" s="558"/>
      <c r="BP18" s="455">
        <v>0.44800000000000001</v>
      </c>
      <c r="BQ18" s="455"/>
      <c r="BR18"/>
      <c r="BS18">
        <v>1</v>
      </c>
      <c r="BT18"/>
      <c r="BU18" s="558"/>
      <c r="BV18"/>
      <c r="BW18"/>
      <c r="BZ18" s="455">
        <v>0.44800000000000001</v>
      </c>
      <c r="CA18" s="556">
        <v>1</v>
      </c>
      <c r="CB18"/>
      <c r="CC18"/>
      <c r="CD18"/>
      <c r="CF18" s="455">
        <v>0.44800000000000001</v>
      </c>
      <c r="CG18" s="455"/>
      <c r="CH18"/>
      <c r="CI18"/>
      <c r="CJ18"/>
      <c r="CK18"/>
      <c r="CL18"/>
      <c r="CM18">
        <v>1</v>
      </c>
      <c r="CN18"/>
      <c r="CO18"/>
      <c r="CP18"/>
      <c r="CQ18"/>
      <c r="CR18"/>
      <c r="CS18"/>
      <c r="CT18"/>
      <c r="CU18"/>
      <c r="CV18" s="558"/>
      <c r="CW18"/>
      <c r="CX18"/>
      <c r="CY18"/>
      <c r="CZ18"/>
      <c r="DA18"/>
      <c r="DB18"/>
      <c r="DC18"/>
      <c r="DD18"/>
      <c r="DE18"/>
      <c r="DF18"/>
      <c r="DG18" s="455">
        <v>0.44800000000000001</v>
      </c>
      <c r="DH18" s="455"/>
      <c r="DI18"/>
      <c r="DJ18"/>
      <c r="DK18"/>
      <c r="DL18">
        <v>1</v>
      </c>
      <c r="DM18"/>
      <c r="DN18"/>
      <c r="DO18"/>
      <c r="DP18"/>
      <c r="DQ18"/>
      <c r="DR18"/>
      <c r="DS18"/>
      <c r="DT18"/>
      <c r="DU18" s="558"/>
      <c r="DV18"/>
      <c r="DW18"/>
      <c r="DX18"/>
      <c r="DZ18" s="455">
        <v>0.44800000000000001</v>
      </c>
      <c r="EA18" s="455">
        <v>1</v>
      </c>
      <c r="EB18"/>
      <c r="EC18"/>
      <c r="ED18"/>
      <c r="EE18"/>
      <c r="EF18"/>
      <c r="EG18" s="558"/>
      <c r="EH18"/>
      <c r="EJ18" s="455">
        <v>0.44800000000000001</v>
      </c>
      <c r="EK18" s="455"/>
      <c r="EL18"/>
      <c r="EM18"/>
      <c r="EN18"/>
      <c r="EO18"/>
      <c r="EP18">
        <v>1</v>
      </c>
      <c r="EQ18"/>
      <c r="ER18"/>
      <c r="ES18"/>
      <c r="ET18"/>
      <c r="EU18"/>
      <c r="EV18"/>
      <c r="EW18"/>
      <c r="EX18"/>
      <c r="EY18"/>
      <c r="EZ18"/>
      <c r="FA18"/>
      <c r="FB18"/>
      <c r="FC18"/>
      <c r="FD18"/>
      <c r="FE18"/>
      <c r="FF18"/>
      <c r="FG18"/>
      <c r="FH18" s="558"/>
      <c r="FI18"/>
      <c r="FK18" s="449">
        <v>0.40699999999999997</v>
      </c>
      <c r="FL18" s="449" t="s">
        <v>411</v>
      </c>
      <c r="FM18" s="449"/>
      <c r="FN18" s="452"/>
      <c r="FO18" s="452"/>
      <c r="FP18" s="452"/>
      <c r="FQ18" s="452"/>
      <c r="FR18" s="452"/>
      <c r="FS18" s="452"/>
      <c r="FT18" s="452"/>
      <c r="FU18" s="452"/>
      <c r="FV18" s="452"/>
      <c r="FW18" s="452">
        <v>1</v>
      </c>
      <c r="FX18" s="452"/>
      <c r="FY18" s="452"/>
      <c r="FZ18" s="453"/>
      <c r="GA18"/>
      <c r="GB18"/>
      <c r="GC18"/>
      <c r="GD18"/>
    </row>
    <row r="19" spans="1:186" x14ac:dyDescent="0.15">
      <c r="AG19" s="455">
        <v>10.111000000000001</v>
      </c>
      <c r="AH19" s="556">
        <v>1</v>
      </c>
      <c r="AJ19" s="455">
        <v>10.111000000000001</v>
      </c>
      <c r="AK19" s="556">
        <v>1</v>
      </c>
      <c r="AL19"/>
      <c r="AM19"/>
      <c r="AN19"/>
      <c r="AO19" s="455">
        <v>10.111000000000001</v>
      </c>
      <c r="AP19" s="455"/>
      <c r="AQ19">
        <v>1</v>
      </c>
      <c r="AR19"/>
      <c r="AS19"/>
      <c r="AT19"/>
      <c r="AU19"/>
      <c r="AV19"/>
      <c r="AW19"/>
      <c r="AX19"/>
      <c r="AY19"/>
      <c r="AZ19"/>
      <c r="BA19"/>
      <c r="BB19"/>
      <c r="BC19" s="558"/>
      <c r="BD19"/>
      <c r="BE19"/>
      <c r="BF19"/>
      <c r="BG19"/>
      <c r="BH19" s="455">
        <v>10.111000000000001</v>
      </c>
      <c r="BI19" s="455">
        <v>1</v>
      </c>
      <c r="BJ19"/>
      <c r="BK19"/>
      <c r="BL19"/>
      <c r="BM19"/>
      <c r="BN19"/>
      <c r="BO19" s="558"/>
      <c r="BP19" s="455">
        <v>10.111000000000001</v>
      </c>
      <c r="BQ19" s="455"/>
      <c r="BR19"/>
      <c r="BS19"/>
      <c r="BT19">
        <v>1</v>
      </c>
      <c r="BU19" s="558"/>
      <c r="BV19"/>
      <c r="BW19"/>
      <c r="BZ19" s="455">
        <v>10.111000000000001</v>
      </c>
      <c r="CA19" s="556">
        <v>1</v>
      </c>
      <c r="CB19"/>
      <c r="CC19"/>
      <c r="CD19"/>
      <c r="CF19" s="455">
        <v>10.111000000000001</v>
      </c>
      <c r="CG19" s="455"/>
      <c r="CH19">
        <v>1</v>
      </c>
      <c r="CI19"/>
      <c r="CJ19"/>
      <c r="CK19"/>
      <c r="CL19"/>
      <c r="CM19"/>
      <c r="CN19"/>
      <c r="CO19"/>
      <c r="CP19"/>
      <c r="CQ19"/>
      <c r="CR19"/>
      <c r="CS19"/>
      <c r="CT19"/>
      <c r="CU19"/>
      <c r="CV19" s="558"/>
      <c r="CW19"/>
      <c r="CX19"/>
      <c r="CY19"/>
      <c r="CZ19"/>
      <c r="DA19"/>
      <c r="DB19"/>
      <c r="DC19"/>
      <c r="DD19"/>
      <c r="DE19"/>
      <c r="DF19"/>
      <c r="DG19" s="455">
        <v>10.111000000000001</v>
      </c>
      <c r="DH19" s="455">
        <v>1</v>
      </c>
      <c r="DI19"/>
      <c r="DJ19"/>
      <c r="DK19"/>
      <c r="DL19"/>
      <c r="DM19"/>
      <c r="DN19"/>
      <c r="DO19"/>
      <c r="DP19"/>
      <c r="DQ19"/>
      <c r="DR19"/>
      <c r="DS19"/>
      <c r="DT19"/>
      <c r="DU19" s="558"/>
      <c r="DV19"/>
      <c r="DW19"/>
      <c r="DX19"/>
      <c r="DZ19" s="455">
        <v>10.111000000000001</v>
      </c>
      <c r="EA19" s="455"/>
      <c r="EB19"/>
      <c r="EC19"/>
      <c r="ED19"/>
      <c r="EE19">
        <v>1</v>
      </c>
      <c r="EF19"/>
      <c r="EG19" s="558"/>
      <c r="EH19"/>
      <c r="EJ19" s="455">
        <v>10.111000000000001</v>
      </c>
      <c r="EK19" s="455"/>
      <c r="EL19"/>
      <c r="EM19"/>
      <c r="EN19"/>
      <c r="EO19"/>
      <c r="EP19"/>
      <c r="EQ19"/>
      <c r="ER19"/>
      <c r="ES19"/>
      <c r="ET19"/>
      <c r="EU19"/>
      <c r="EV19"/>
      <c r="EW19"/>
      <c r="EX19"/>
      <c r="EY19"/>
      <c r="EZ19"/>
      <c r="FA19"/>
      <c r="FB19">
        <v>1</v>
      </c>
      <c r="FC19"/>
      <c r="FD19"/>
      <c r="FE19"/>
      <c r="FF19"/>
      <c r="FG19"/>
      <c r="FH19" s="558"/>
      <c r="FI19"/>
      <c r="FK19" s="449" t="s">
        <v>6755</v>
      </c>
      <c r="FL19" s="457"/>
      <c r="FM19" s="449"/>
      <c r="FN19" s="452"/>
      <c r="FO19" s="452"/>
      <c r="FP19" s="452"/>
      <c r="FQ19" s="452"/>
      <c r="FR19" s="452"/>
      <c r="FS19" s="452"/>
      <c r="FT19" s="452"/>
      <c r="FU19" s="452"/>
      <c r="FV19" s="452"/>
      <c r="FW19" s="452">
        <v>1</v>
      </c>
      <c r="FX19" s="452"/>
      <c r="FY19" s="452"/>
      <c r="FZ19" s="453"/>
      <c r="GA19"/>
      <c r="GB19"/>
      <c r="GC19"/>
      <c r="GD19"/>
    </row>
    <row r="20" spans="1:186" x14ac:dyDescent="0.15">
      <c r="AG20" s="455">
        <v>13.611000000000001</v>
      </c>
      <c r="AH20" s="556">
        <v>1</v>
      </c>
      <c r="AJ20" s="455">
        <v>13.611000000000001</v>
      </c>
      <c r="AK20" s="556">
        <v>1</v>
      </c>
      <c r="AL20"/>
      <c r="AM20"/>
      <c r="AN20"/>
      <c r="AO20" s="455">
        <v>13.611000000000001</v>
      </c>
      <c r="AP20" s="455"/>
      <c r="AQ20"/>
      <c r="AR20"/>
      <c r="AS20">
        <v>1</v>
      </c>
      <c r="AT20"/>
      <c r="AU20"/>
      <c r="AV20"/>
      <c r="AW20"/>
      <c r="AX20"/>
      <c r="AY20"/>
      <c r="AZ20"/>
      <c r="BA20"/>
      <c r="BB20"/>
      <c r="BC20" s="558"/>
      <c r="BD20"/>
      <c r="BE20"/>
      <c r="BF20"/>
      <c r="BG20"/>
      <c r="BH20" s="455">
        <v>13.611000000000001</v>
      </c>
      <c r="BI20" s="455">
        <v>1</v>
      </c>
      <c r="BJ20"/>
      <c r="BK20"/>
      <c r="BL20"/>
      <c r="BM20"/>
      <c r="BN20"/>
      <c r="BO20" s="558"/>
      <c r="BP20" s="455">
        <v>13.611000000000001</v>
      </c>
      <c r="BQ20" s="455">
        <v>1</v>
      </c>
      <c r="BR20"/>
      <c r="BS20"/>
      <c r="BT20"/>
      <c r="BU20" s="558"/>
      <c r="BV20"/>
      <c r="BW20"/>
      <c r="BZ20" s="455">
        <v>13.611000000000001</v>
      </c>
      <c r="CA20" s="556">
        <v>1</v>
      </c>
      <c r="CB20"/>
      <c r="CC20"/>
      <c r="CD20"/>
      <c r="CF20" s="455">
        <v>13.611000000000001</v>
      </c>
      <c r="CG20" s="455"/>
      <c r="CH20"/>
      <c r="CI20">
        <v>1</v>
      </c>
      <c r="CJ20"/>
      <c r="CK20"/>
      <c r="CL20"/>
      <c r="CM20"/>
      <c r="CN20"/>
      <c r="CO20"/>
      <c r="CP20"/>
      <c r="CQ20"/>
      <c r="CR20"/>
      <c r="CS20"/>
      <c r="CT20"/>
      <c r="CU20"/>
      <c r="CV20" s="558"/>
      <c r="CW20"/>
      <c r="CX20"/>
      <c r="CY20"/>
      <c r="CZ20"/>
      <c r="DA20"/>
      <c r="DB20"/>
      <c r="DC20"/>
      <c r="DD20"/>
      <c r="DE20"/>
      <c r="DF20"/>
      <c r="DG20" s="455">
        <v>13.611000000000001</v>
      </c>
      <c r="DH20" s="455"/>
      <c r="DI20"/>
      <c r="DJ20"/>
      <c r="DK20">
        <v>1</v>
      </c>
      <c r="DL20"/>
      <c r="DM20"/>
      <c r="DN20"/>
      <c r="DO20"/>
      <c r="DP20"/>
      <c r="DQ20"/>
      <c r="DR20"/>
      <c r="DS20"/>
      <c r="DT20"/>
      <c r="DU20" s="558"/>
      <c r="DV20"/>
      <c r="DW20"/>
      <c r="DX20"/>
      <c r="DZ20" s="455">
        <v>13.611000000000001</v>
      </c>
      <c r="EA20" s="455"/>
      <c r="EB20"/>
      <c r="EC20">
        <v>1</v>
      </c>
      <c r="ED20"/>
      <c r="EE20"/>
      <c r="EF20"/>
      <c r="EG20" s="558"/>
      <c r="EH20"/>
      <c r="EJ20" s="455">
        <v>13.611000000000001</v>
      </c>
      <c r="EK20" s="455"/>
      <c r="EL20"/>
      <c r="EM20"/>
      <c r="EN20"/>
      <c r="EO20"/>
      <c r="EP20">
        <v>1</v>
      </c>
      <c r="EQ20"/>
      <c r="ER20"/>
      <c r="ES20"/>
      <c r="ET20"/>
      <c r="EU20"/>
      <c r="EV20"/>
      <c r="EW20"/>
      <c r="EX20"/>
      <c r="EY20"/>
      <c r="EZ20"/>
      <c r="FA20"/>
      <c r="FB20"/>
      <c r="FC20"/>
      <c r="FD20"/>
      <c r="FE20"/>
      <c r="FF20"/>
      <c r="FG20"/>
      <c r="FH20" s="558"/>
      <c r="FI20"/>
      <c r="FK20" s="449">
        <v>35.491</v>
      </c>
      <c r="FL20" s="449" t="s">
        <v>411</v>
      </c>
      <c r="FM20" s="449">
        <v>1</v>
      </c>
      <c r="FN20" s="452"/>
      <c r="FO20" s="452"/>
      <c r="FP20" s="452"/>
      <c r="FQ20" s="452"/>
      <c r="FR20" s="452"/>
      <c r="FS20" s="452"/>
      <c r="FT20" s="452"/>
      <c r="FU20" s="452"/>
      <c r="FV20" s="452"/>
      <c r="FW20" s="452"/>
      <c r="FX20" s="452"/>
      <c r="FY20" s="452"/>
      <c r="FZ20" s="453"/>
      <c r="GA20"/>
      <c r="GB20"/>
      <c r="GC20"/>
      <c r="GD20"/>
    </row>
    <row r="21" spans="1:186" x14ac:dyDescent="0.15">
      <c r="AG21" s="455">
        <v>2.4590000000000001</v>
      </c>
      <c r="AH21" s="556">
        <v>1</v>
      </c>
      <c r="AJ21" s="455">
        <v>2.4590000000000001</v>
      </c>
      <c r="AK21" s="556">
        <v>1</v>
      </c>
      <c r="AL21"/>
      <c r="AM21"/>
      <c r="AN21"/>
      <c r="AO21" s="455">
        <v>2.4590000000000001</v>
      </c>
      <c r="AP21" s="455">
        <v>1</v>
      </c>
      <c r="AQ21"/>
      <c r="AR21"/>
      <c r="AS21"/>
      <c r="AT21"/>
      <c r="AU21"/>
      <c r="AV21"/>
      <c r="AW21"/>
      <c r="AX21"/>
      <c r="AY21"/>
      <c r="AZ21"/>
      <c r="BA21"/>
      <c r="BB21"/>
      <c r="BC21" s="558"/>
      <c r="BD21"/>
      <c r="BE21"/>
      <c r="BF21"/>
      <c r="BG21"/>
      <c r="BH21" s="455">
        <v>2.4590000000000001</v>
      </c>
      <c r="BI21" s="455"/>
      <c r="BJ21"/>
      <c r="BK21">
        <v>1</v>
      </c>
      <c r="BL21"/>
      <c r="BM21"/>
      <c r="BN21"/>
      <c r="BO21" s="558"/>
      <c r="BP21" s="455">
        <v>2.4590000000000001</v>
      </c>
      <c r="BQ21" s="455">
        <v>1</v>
      </c>
      <c r="BR21"/>
      <c r="BS21"/>
      <c r="BT21"/>
      <c r="BU21" s="558"/>
      <c r="BV21"/>
      <c r="BW21"/>
      <c r="BZ21" s="455">
        <v>2.4590000000000001</v>
      </c>
      <c r="CA21" s="556">
        <v>1</v>
      </c>
      <c r="CB21"/>
      <c r="CC21"/>
      <c r="CD21"/>
      <c r="CF21" s="455">
        <v>2.4590000000000001</v>
      </c>
      <c r="CG21" s="455">
        <v>1</v>
      </c>
      <c r="CH21"/>
      <c r="CI21"/>
      <c r="CJ21"/>
      <c r="CK21"/>
      <c r="CL21"/>
      <c r="CM21"/>
      <c r="CN21"/>
      <c r="CO21"/>
      <c r="CP21"/>
      <c r="CQ21"/>
      <c r="CR21"/>
      <c r="CS21"/>
      <c r="CT21"/>
      <c r="CU21"/>
      <c r="CV21" s="558"/>
      <c r="CW21"/>
      <c r="CX21"/>
      <c r="CY21"/>
      <c r="CZ21"/>
      <c r="DA21"/>
      <c r="DB21"/>
      <c r="DC21"/>
      <c r="DD21"/>
      <c r="DE21"/>
      <c r="DF21"/>
      <c r="DG21" s="455">
        <v>2.4590000000000001</v>
      </c>
      <c r="DH21" s="455">
        <v>1</v>
      </c>
      <c r="DI21"/>
      <c r="DJ21"/>
      <c r="DK21"/>
      <c r="DL21"/>
      <c r="DM21"/>
      <c r="DN21"/>
      <c r="DO21"/>
      <c r="DP21"/>
      <c r="DQ21"/>
      <c r="DR21"/>
      <c r="DS21"/>
      <c r="DT21"/>
      <c r="DU21" s="558"/>
      <c r="DV21"/>
      <c r="DW21"/>
      <c r="DX21"/>
      <c r="DZ21" s="455">
        <v>2.4590000000000001</v>
      </c>
      <c r="EA21" s="455"/>
      <c r="EB21"/>
      <c r="EC21">
        <v>1</v>
      </c>
      <c r="ED21"/>
      <c r="EE21"/>
      <c r="EF21"/>
      <c r="EG21" s="558"/>
      <c r="EH21"/>
      <c r="EJ21" s="455">
        <v>2.4590000000000001</v>
      </c>
      <c r="EK21" s="455"/>
      <c r="EL21"/>
      <c r="EM21"/>
      <c r="EN21"/>
      <c r="EO21"/>
      <c r="EP21"/>
      <c r="EQ21"/>
      <c r="ER21"/>
      <c r="ES21"/>
      <c r="ET21"/>
      <c r="EU21"/>
      <c r="EV21"/>
      <c r="EW21"/>
      <c r="EX21"/>
      <c r="EY21"/>
      <c r="EZ21"/>
      <c r="FA21"/>
      <c r="FB21"/>
      <c r="FC21"/>
      <c r="FD21"/>
      <c r="FE21">
        <v>1</v>
      </c>
      <c r="FF21"/>
      <c r="FG21"/>
      <c r="FH21" s="558"/>
      <c r="FI21"/>
      <c r="FK21" s="449" t="s">
        <v>6756</v>
      </c>
      <c r="FL21" s="457"/>
      <c r="FM21" s="449">
        <v>1</v>
      </c>
      <c r="FN21" s="452"/>
      <c r="FO21" s="452"/>
      <c r="FP21" s="452"/>
      <c r="FQ21" s="452"/>
      <c r="FR21" s="452"/>
      <c r="FS21" s="452"/>
      <c r="FT21" s="452"/>
      <c r="FU21" s="452"/>
      <c r="FV21" s="452"/>
      <c r="FW21" s="452"/>
      <c r="FX21" s="452"/>
      <c r="FY21" s="452"/>
      <c r="FZ21" s="453"/>
      <c r="GA21"/>
      <c r="GB21"/>
      <c r="GC21"/>
      <c r="GD21"/>
    </row>
    <row r="22" spans="1:186" x14ac:dyDescent="0.15">
      <c r="A22" s="6"/>
      <c r="AG22" s="455">
        <v>0.184</v>
      </c>
      <c r="AH22" s="556">
        <v>1</v>
      </c>
      <c r="AJ22" s="455">
        <v>0.184</v>
      </c>
      <c r="AK22" s="556">
        <v>1</v>
      </c>
      <c r="AL22"/>
      <c r="AM22"/>
      <c r="AN22"/>
      <c r="AO22" s="455">
        <v>0.184</v>
      </c>
      <c r="AP22" s="455">
        <v>1</v>
      </c>
      <c r="AQ22"/>
      <c r="AR22"/>
      <c r="AS22"/>
      <c r="AT22"/>
      <c r="AU22"/>
      <c r="AV22"/>
      <c r="AW22"/>
      <c r="AX22"/>
      <c r="AY22"/>
      <c r="AZ22"/>
      <c r="BA22"/>
      <c r="BB22"/>
      <c r="BC22" s="558"/>
      <c r="BD22"/>
      <c r="BE22"/>
      <c r="BF22"/>
      <c r="BG22"/>
      <c r="BH22" s="455">
        <v>0.184</v>
      </c>
      <c r="BI22" s="455">
        <v>1</v>
      </c>
      <c r="BJ22"/>
      <c r="BK22"/>
      <c r="BL22"/>
      <c r="BM22"/>
      <c r="BN22"/>
      <c r="BO22" s="558"/>
      <c r="BP22" s="455">
        <v>0.184</v>
      </c>
      <c r="BQ22" s="455">
        <v>1</v>
      </c>
      <c r="BR22"/>
      <c r="BS22"/>
      <c r="BT22"/>
      <c r="BU22" s="558"/>
      <c r="BV22"/>
      <c r="BW22"/>
      <c r="BZ22" s="455">
        <v>0.184</v>
      </c>
      <c r="CA22" s="556">
        <v>1</v>
      </c>
      <c r="CB22"/>
      <c r="CC22"/>
      <c r="CD22"/>
      <c r="CF22" s="455">
        <v>0.184</v>
      </c>
      <c r="CG22" s="455"/>
      <c r="CH22"/>
      <c r="CI22"/>
      <c r="CJ22"/>
      <c r="CK22"/>
      <c r="CL22"/>
      <c r="CM22"/>
      <c r="CN22"/>
      <c r="CO22"/>
      <c r="CP22"/>
      <c r="CQ22"/>
      <c r="CR22">
        <v>1</v>
      </c>
      <c r="CS22"/>
      <c r="CT22"/>
      <c r="CU22"/>
      <c r="CV22" s="558"/>
      <c r="CW22"/>
      <c r="CX22"/>
      <c r="CY22"/>
      <c r="CZ22"/>
      <c r="DA22"/>
      <c r="DB22"/>
      <c r="DC22"/>
      <c r="DD22"/>
      <c r="DE22"/>
      <c r="DF22"/>
      <c r="DG22" s="455">
        <v>0.184</v>
      </c>
      <c r="DH22" s="455"/>
      <c r="DI22"/>
      <c r="DJ22"/>
      <c r="DK22"/>
      <c r="DL22">
        <v>1</v>
      </c>
      <c r="DM22"/>
      <c r="DN22"/>
      <c r="DO22"/>
      <c r="DP22"/>
      <c r="DQ22"/>
      <c r="DR22"/>
      <c r="DS22"/>
      <c r="DT22"/>
      <c r="DU22" s="558"/>
      <c r="DV22"/>
      <c r="DW22"/>
      <c r="DX22"/>
      <c r="DZ22" s="455">
        <v>0.184</v>
      </c>
      <c r="EA22" s="455"/>
      <c r="EB22"/>
      <c r="EC22"/>
      <c r="ED22"/>
      <c r="EE22">
        <v>1</v>
      </c>
      <c r="EF22"/>
      <c r="EG22" s="558"/>
      <c r="EH22"/>
      <c r="EJ22" s="455">
        <v>0.184</v>
      </c>
      <c r="EK22" s="455"/>
      <c r="EL22">
        <v>1</v>
      </c>
      <c r="EM22"/>
      <c r="EN22"/>
      <c r="EO22"/>
      <c r="EP22"/>
      <c r="EQ22"/>
      <c r="ER22"/>
      <c r="ES22"/>
      <c r="ET22"/>
      <c r="EU22"/>
      <c r="EV22"/>
      <c r="EW22"/>
      <c r="EX22"/>
      <c r="EY22"/>
      <c r="EZ22"/>
      <c r="FA22"/>
      <c r="FB22"/>
      <c r="FC22"/>
      <c r="FD22"/>
      <c r="FE22"/>
      <c r="FF22"/>
      <c r="FG22"/>
      <c r="FH22" s="558"/>
      <c r="FI22"/>
      <c r="FK22" s="449">
        <v>3.1160000000000001</v>
      </c>
      <c r="FL22" s="449" t="s">
        <v>406</v>
      </c>
      <c r="FM22" s="449"/>
      <c r="FN22" s="452">
        <v>1</v>
      </c>
      <c r="FO22" s="452"/>
      <c r="FP22" s="452"/>
      <c r="FQ22" s="452"/>
      <c r="FR22" s="452"/>
      <c r="FS22" s="452"/>
      <c r="FT22" s="452"/>
      <c r="FU22" s="452"/>
      <c r="FV22" s="452"/>
      <c r="FW22" s="452"/>
      <c r="FX22" s="452"/>
      <c r="FY22" s="452"/>
      <c r="FZ22" s="453"/>
      <c r="GA22"/>
      <c r="GB22"/>
      <c r="GC22"/>
      <c r="GD22"/>
    </row>
    <row r="23" spans="1:186" x14ac:dyDescent="0.15">
      <c r="AG23" s="455">
        <v>7.8230000000000004</v>
      </c>
      <c r="AH23" s="556">
        <v>1</v>
      </c>
      <c r="AJ23" s="455">
        <v>7.8230000000000004</v>
      </c>
      <c r="AK23" s="556">
        <v>1</v>
      </c>
      <c r="AL23"/>
      <c r="AM23"/>
      <c r="AN23"/>
      <c r="AO23" s="455">
        <v>7.8230000000000004</v>
      </c>
      <c r="AP23" s="455">
        <v>1</v>
      </c>
      <c r="AQ23"/>
      <c r="AR23"/>
      <c r="AS23"/>
      <c r="AT23"/>
      <c r="AU23"/>
      <c r="AV23"/>
      <c r="AW23"/>
      <c r="AX23"/>
      <c r="AY23"/>
      <c r="AZ23"/>
      <c r="BA23"/>
      <c r="BB23"/>
      <c r="BC23" s="558"/>
      <c r="BD23"/>
      <c r="BE23"/>
      <c r="BF23"/>
      <c r="BG23"/>
      <c r="BH23" s="455">
        <v>7.8230000000000004</v>
      </c>
      <c r="BI23" s="455">
        <v>1</v>
      </c>
      <c r="BJ23"/>
      <c r="BK23"/>
      <c r="BL23"/>
      <c r="BM23"/>
      <c r="BN23"/>
      <c r="BO23" s="558"/>
      <c r="BP23" s="455">
        <v>7.8230000000000004</v>
      </c>
      <c r="BQ23" s="455"/>
      <c r="BR23"/>
      <c r="BS23">
        <v>1</v>
      </c>
      <c r="BT23"/>
      <c r="BU23" s="558"/>
      <c r="BV23"/>
      <c r="BW23"/>
      <c r="BZ23" s="455">
        <v>7.8230000000000004</v>
      </c>
      <c r="CA23" s="556">
        <v>1</v>
      </c>
      <c r="CB23"/>
      <c r="CC23"/>
      <c r="CD23"/>
      <c r="CF23" s="455">
        <v>7.8230000000000004</v>
      </c>
      <c r="CG23" s="455"/>
      <c r="CH23"/>
      <c r="CI23"/>
      <c r="CJ23"/>
      <c r="CK23"/>
      <c r="CL23">
        <v>1</v>
      </c>
      <c r="CM23"/>
      <c r="CN23"/>
      <c r="CO23"/>
      <c r="CP23"/>
      <c r="CQ23"/>
      <c r="CR23"/>
      <c r="CS23"/>
      <c r="CT23"/>
      <c r="CU23"/>
      <c r="CV23" s="558"/>
      <c r="CW23"/>
      <c r="CX23"/>
      <c r="CY23"/>
      <c r="CZ23"/>
      <c r="DA23"/>
      <c r="DB23"/>
      <c r="DC23"/>
      <c r="DD23"/>
      <c r="DE23"/>
      <c r="DF23"/>
      <c r="DG23" s="455">
        <v>7.8230000000000004</v>
      </c>
      <c r="DH23" s="455"/>
      <c r="DI23"/>
      <c r="DJ23"/>
      <c r="DK23"/>
      <c r="DL23">
        <v>1</v>
      </c>
      <c r="DM23"/>
      <c r="DN23"/>
      <c r="DO23"/>
      <c r="DP23"/>
      <c r="DQ23"/>
      <c r="DR23"/>
      <c r="DS23"/>
      <c r="DT23"/>
      <c r="DU23" s="558"/>
      <c r="DV23"/>
      <c r="DW23"/>
      <c r="DX23"/>
      <c r="DZ23" s="455">
        <v>7.8230000000000004</v>
      </c>
      <c r="EA23" s="455"/>
      <c r="EB23"/>
      <c r="EC23"/>
      <c r="ED23"/>
      <c r="EE23"/>
      <c r="EF23"/>
      <c r="EG23" s="558">
        <v>1</v>
      </c>
      <c r="EH23"/>
      <c r="EJ23" s="455">
        <v>7.8230000000000004</v>
      </c>
      <c r="EK23" s="455"/>
      <c r="EL23"/>
      <c r="EM23">
        <v>1</v>
      </c>
      <c r="EN23"/>
      <c r="EO23"/>
      <c r="EP23"/>
      <c r="EQ23"/>
      <c r="ER23"/>
      <c r="ES23"/>
      <c r="ET23"/>
      <c r="EU23"/>
      <c r="EV23"/>
      <c r="EW23"/>
      <c r="EX23"/>
      <c r="EY23"/>
      <c r="EZ23"/>
      <c r="FA23"/>
      <c r="FB23"/>
      <c r="FC23"/>
      <c r="FD23"/>
      <c r="FE23"/>
      <c r="FF23"/>
      <c r="FG23"/>
      <c r="FH23" s="558"/>
      <c r="FI23"/>
      <c r="FK23" s="449" t="s">
        <v>6757</v>
      </c>
      <c r="FL23" s="457"/>
      <c r="FM23" s="449"/>
      <c r="FN23" s="452">
        <v>1</v>
      </c>
      <c r="FO23" s="452"/>
      <c r="FP23" s="452"/>
      <c r="FQ23" s="452"/>
      <c r="FR23" s="452"/>
      <c r="FS23" s="452"/>
      <c r="FT23" s="452"/>
      <c r="FU23" s="452"/>
      <c r="FV23" s="452"/>
      <c r="FW23" s="452"/>
      <c r="FX23" s="452"/>
      <c r="FY23" s="452"/>
      <c r="FZ23" s="453"/>
      <c r="GA23"/>
      <c r="GB23"/>
      <c r="GC23"/>
      <c r="GD23"/>
    </row>
    <row r="24" spans="1:186" x14ac:dyDescent="0.15">
      <c r="AG24" s="455">
        <v>16.872</v>
      </c>
      <c r="AH24" s="556">
        <v>1</v>
      </c>
      <c r="AJ24" s="455">
        <v>16.872</v>
      </c>
      <c r="AK24" s="556">
        <v>1</v>
      </c>
      <c r="AL24"/>
      <c r="AM24"/>
      <c r="AN24"/>
      <c r="AO24" s="455">
        <v>16.872</v>
      </c>
      <c r="AP24" s="455"/>
      <c r="AQ24"/>
      <c r="AR24"/>
      <c r="AS24"/>
      <c r="AT24">
        <v>1</v>
      </c>
      <c r="AU24"/>
      <c r="AV24"/>
      <c r="AW24"/>
      <c r="AX24"/>
      <c r="AY24"/>
      <c r="AZ24"/>
      <c r="BA24"/>
      <c r="BB24"/>
      <c r="BC24" s="558"/>
      <c r="BD24"/>
      <c r="BE24"/>
      <c r="BF24"/>
      <c r="BG24"/>
      <c r="BH24" s="455">
        <v>16.872</v>
      </c>
      <c r="BI24" s="455"/>
      <c r="BJ24">
        <v>1</v>
      </c>
      <c r="BK24"/>
      <c r="BL24"/>
      <c r="BM24"/>
      <c r="BN24"/>
      <c r="BO24" s="558"/>
      <c r="BP24" s="455">
        <v>16.872</v>
      </c>
      <c r="BQ24" s="455"/>
      <c r="BR24"/>
      <c r="BS24">
        <v>1</v>
      </c>
      <c r="BT24"/>
      <c r="BU24" s="558"/>
      <c r="BV24"/>
      <c r="BW24"/>
      <c r="BZ24" s="455">
        <v>16.872</v>
      </c>
      <c r="CA24" s="556">
        <v>1</v>
      </c>
      <c r="CB24"/>
      <c r="CC24"/>
      <c r="CD24"/>
      <c r="CF24" s="455">
        <v>16.872</v>
      </c>
      <c r="CG24" s="455"/>
      <c r="CH24"/>
      <c r="CI24"/>
      <c r="CJ24"/>
      <c r="CK24"/>
      <c r="CL24"/>
      <c r="CM24"/>
      <c r="CN24"/>
      <c r="CO24"/>
      <c r="CP24"/>
      <c r="CQ24"/>
      <c r="CR24"/>
      <c r="CS24"/>
      <c r="CT24"/>
      <c r="CU24">
        <v>1</v>
      </c>
      <c r="CV24" s="558"/>
      <c r="CW24"/>
      <c r="CX24"/>
      <c r="CY24"/>
      <c r="CZ24"/>
      <c r="DA24"/>
      <c r="DB24"/>
      <c r="DC24"/>
      <c r="DD24"/>
      <c r="DE24"/>
      <c r="DF24"/>
      <c r="DG24" s="455">
        <v>16.872</v>
      </c>
      <c r="DH24" s="455"/>
      <c r="DI24"/>
      <c r="DJ24"/>
      <c r="DK24"/>
      <c r="DL24">
        <v>1</v>
      </c>
      <c r="DM24"/>
      <c r="DN24"/>
      <c r="DO24"/>
      <c r="DP24"/>
      <c r="DQ24"/>
      <c r="DR24"/>
      <c r="DS24"/>
      <c r="DT24"/>
      <c r="DU24" s="558"/>
      <c r="DV24"/>
      <c r="DW24"/>
      <c r="DX24"/>
      <c r="DZ24" s="455">
        <v>16.872</v>
      </c>
      <c r="EA24" s="455"/>
      <c r="EB24"/>
      <c r="EC24"/>
      <c r="ED24"/>
      <c r="EE24">
        <v>1</v>
      </c>
      <c r="EF24"/>
      <c r="EG24" s="558"/>
      <c r="EH24"/>
      <c r="EJ24" s="455">
        <v>16.872</v>
      </c>
      <c r="EK24" s="455"/>
      <c r="EL24"/>
      <c r="EM24"/>
      <c r="EN24"/>
      <c r="EO24"/>
      <c r="EP24"/>
      <c r="EQ24"/>
      <c r="ER24">
        <v>1</v>
      </c>
      <c r="ES24"/>
      <c r="ET24"/>
      <c r="EU24"/>
      <c r="EV24"/>
      <c r="EW24"/>
      <c r="EX24"/>
      <c r="EY24"/>
      <c r="EZ24"/>
      <c r="FA24"/>
      <c r="FB24"/>
      <c r="FC24"/>
      <c r="FD24"/>
      <c r="FE24"/>
      <c r="FF24"/>
      <c r="FG24"/>
      <c r="FH24" s="558"/>
      <c r="FI24"/>
      <c r="FK24" s="449">
        <v>5.5069999999999997</v>
      </c>
      <c r="FL24" s="449" t="s">
        <v>445</v>
      </c>
      <c r="FM24" s="449"/>
      <c r="FN24" s="452"/>
      <c r="FO24" s="452"/>
      <c r="FP24" s="452"/>
      <c r="FQ24" s="452"/>
      <c r="FR24" s="452"/>
      <c r="FS24" s="452"/>
      <c r="FT24" s="452"/>
      <c r="FU24" s="452"/>
      <c r="FV24" s="452">
        <v>1</v>
      </c>
      <c r="FW24" s="452"/>
      <c r="FX24" s="452"/>
      <c r="FY24" s="452"/>
      <c r="FZ24" s="453"/>
      <c r="GA24"/>
      <c r="GB24"/>
      <c r="GC24"/>
      <c r="GD24"/>
    </row>
    <row r="25" spans="1:186" x14ac:dyDescent="0.15">
      <c r="A25" s="30" t="s">
        <v>148</v>
      </c>
      <c r="AG25" s="455">
        <v>3.823</v>
      </c>
      <c r="AH25" s="556">
        <v>1</v>
      </c>
      <c r="AJ25" s="455">
        <v>3.823</v>
      </c>
      <c r="AK25" s="556">
        <v>1</v>
      </c>
      <c r="AL25"/>
      <c r="AM25"/>
      <c r="AN25"/>
      <c r="AO25" s="455">
        <v>3.823</v>
      </c>
      <c r="AP25" s="455">
        <v>1</v>
      </c>
      <c r="AQ25"/>
      <c r="AR25"/>
      <c r="AS25"/>
      <c r="AT25"/>
      <c r="AU25"/>
      <c r="AV25"/>
      <c r="AW25"/>
      <c r="AX25"/>
      <c r="AY25"/>
      <c r="AZ25"/>
      <c r="BA25"/>
      <c r="BB25"/>
      <c r="BC25" s="558"/>
      <c r="BD25"/>
      <c r="BE25"/>
      <c r="BF25"/>
      <c r="BG25"/>
      <c r="BH25" s="455">
        <v>3.823</v>
      </c>
      <c r="BI25" s="455">
        <v>1</v>
      </c>
      <c r="BJ25"/>
      <c r="BK25"/>
      <c r="BL25"/>
      <c r="BM25"/>
      <c r="BN25"/>
      <c r="BO25" s="558"/>
      <c r="BP25" s="455">
        <v>3.823</v>
      </c>
      <c r="BQ25" s="455"/>
      <c r="BR25"/>
      <c r="BS25">
        <v>1</v>
      </c>
      <c r="BT25"/>
      <c r="BU25" s="558"/>
      <c r="BV25"/>
      <c r="BW25"/>
      <c r="BZ25" s="455">
        <v>3.823</v>
      </c>
      <c r="CA25" s="556">
        <v>1</v>
      </c>
      <c r="CB25"/>
      <c r="CC25"/>
      <c r="CD25"/>
      <c r="CF25" s="455">
        <v>3.823</v>
      </c>
      <c r="CG25" s="455"/>
      <c r="CH25"/>
      <c r="CI25">
        <v>1</v>
      </c>
      <c r="CJ25"/>
      <c r="CK25"/>
      <c r="CL25"/>
      <c r="CM25"/>
      <c r="CN25"/>
      <c r="CO25"/>
      <c r="CP25"/>
      <c r="CQ25"/>
      <c r="CR25"/>
      <c r="CS25"/>
      <c r="CT25"/>
      <c r="CU25"/>
      <c r="CV25" s="558"/>
      <c r="CW25"/>
      <c r="CX25"/>
      <c r="CY25"/>
      <c r="CZ25"/>
      <c r="DA25"/>
      <c r="DB25"/>
      <c r="DC25"/>
      <c r="DD25"/>
      <c r="DE25"/>
      <c r="DF25"/>
      <c r="DG25" s="455">
        <v>3.823</v>
      </c>
      <c r="DH25" s="455">
        <v>1</v>
      </c>
      <c r="DI25"/>
      <c r="DJ25"/>
      <c r="DK25"/>
      <c r="DL25"/>
      <c r="DM25"/>
      <c r="DN25"/>
      <c r="DO25"/>
      <c r="DP25"/>
      <c r="DQ25"/>
      <c r="DR25"/>
      <c r="DS25"/>
      <c r="DT25"/>
      <c r="DU25" s="558"/>
      <c r="DV25"/>
      <c r="DW25"/>
      <c r="DX25"/>
      <c r="DZ25" s="455">
        <v>3.823</v>
      </c>
      <c r="EA25" s="455"/>
      <c r="EB25"/>
      <c r="EC25">
        <v>1</v>
      </c>
      <c r="ED25"/>
      <c r="EE25"/>
      <c r="EF25"/>
      <c r="EG25" s="558"/>
      <c r="EH25"/>
      <c r="EJ25" s="455">
        <v>3.823</v>
      </c>
      <c r="EK25" s="455"/>
      <c r="EL25"/>
      <c r="EM25">
        <v>1</v>
      </c>
      <c r="EN25"/>
      <c r="EO25"/>
      <c r="EP25"/>
      <c r="EQ25"/>
      <c r="ER25"/>
      <c r="ES25"/>
      <c r="ET25"/>
      <c r="EU25"/>
      <c r="EV25"/>
      <c r="EW25"/>
      <c r="EX25"/>
      <c r="EY25"/>
      <c r="EZ25"/>
      <c r="FA25"/>
      <c r="FB25"/>
      <c r="FC25"/>
      <c r="FD25"/>
      <c r="FE25"/>
      <c r="FF25"/>
      <c r="FG25"/>
      <c r="FH25" s="558"/>
      <c r="FI25"/>
      <c r="FK25" s="449" t="s">
        <v>6758</v>
      </c>
      <c r="FL25" s="457"/>
      <c r="FM25" s="449"/>
      <c r="FN25" s="452"/>
      <c r="FO25" s="452"/>
      <c r="FP25" s="452"/>
      <c r="FQ25" s="452"/>
      <c r="FR25" s="452"/>
      <c r="FS25" s="452"/>
      <c r="FT25" s="452"/>
      <c r="FU25" s="452"/>
      <c r="FV25" s="452">
        <v>1</v>
      </c>
      <c r="FW25" s="452"/>
      <c r="FX25" s="452"/>
      <c r="FY25" s="452"/>
      <c r="FZ25" s="453"/>
      <c r="GA25"/>
      <c r="GB25"/>
      <c r="GC25"/>
      <c r="GD25"/>
    </row>
    <row r="26" spans="1:186" x14ac:dyDescent="0.15">
      <c r="A26" s="30" t="s">
        <v>147</v>
      </c>
      <c r="AG26" s="455">
        <v>15.808999999999999</v>
      </c>
      <c r="AH26" s="556">
        <v>1</v>
      </c>
      <c r="AJ26" s="455">
        <v>15.808999999999999</v>
      </c>
      <c r="AK26" s="556">
        <v>1</v>
      </c>
      <c r="AL26"/>
      <c r="AM26"/>
      <c r="AN26"/>
      <c r="AO26" s="455">
        <v>15.808999999999999</v>
      </c>
      <c r="AP26" s="455">
        <v>1</v>
      </c>
      <c r="AQ26"/>
      <c r="AR26"/>
      <c r="AS26"/>
      <c r="AT26"/>
      <c r="AU26"/>
      <c r="AV26"/>
      <c r="AW26"/>
      <c r="AX26"/>
      <c r="AY26"/>
      <c r="AZ26"/>
      <c r="BA26"/>
      <c r="BB26"/>
      <c r="BC26" s="558"/>
      <c r="BD26"/>
      <c r="BE26"/>
      <c r="BF26"/>
      <c r="BG26"/>
      <c r="BH26" s="455">
        <v>15.808999999999999</v>
      </c>
      <c r="BI26" s="455">
        <v>1</v>
      </c>
      <c r="BJ26"/>
      <c r="BK26"/>
      <c r="BL26"/>
      <c r="BM26"/>
      <c r="BN26"/>
      <c r="BO26" s="558"/>
      <c r="BP26" s="455">
        <v>15.808999999999999</v>
      </c>
      <c r="BQ26" s="455"/>
      <c r="BR26"/>
      <c r="BS26">
        <v>1</v>
      </c>
      <c r="BT26"/>
      <c r="BU26" s="558"/>
      <c r="BV26"/>
      <c r="BW26"/>
      <c r="BZ26" s="455">
        <v>15.808999999999999</v>
      </c>
      <c r="CA26" s="556">
        <v>1</v>
      </c>
      <c r="CB26"/>
      <c r="CC26"/>
      <c r="CD26"/>
      <c r="CF26" s="455">
        <v>15.808999999999999</v>
      </c>
      <c r="CG26" s="455">
        <v>1</v>
      </c>
      <c r="CH26"/>
      <c r="CI26"/>
      <c r="CJ26"/>
      <c r="CK26"/>
      <c r="CL26"/>
      <c r="CM26"/>
      <c r="CN26"/>
      <c r="CO26"/>
      <c r="CP26"/>
      <c r="CQ26"/>
      <c r="CR26"/>
      <c r="CS26"/>
      <c r="CT26"/>
      <c r="CU26"/>
      <c r="CV26" s="558"/>
      <c r="CW26"/>
      <c r="CX26"/>
      <c r="CY26"/>
      <c r="CZ26"/>
      <c r="DA26"/>
      <c r="DB26"/>
      <c r="DC26"/>
      <c r="DD26"/>
      <c r="DE26"/>
      <c r="DF26"/>
      <c r="DG26" s="455">
        <v>15.808999999999999</v>
      </c>
      <c r="DH26" s="455">
        <v>1</v>
      </c>
      <c r="DI26"/>
      <c r="DJ26"/>
      <c r="DK26"/>
      <c r="DL26"/>
      <c r="DM26"/>
      <c r="DN26"/>
      <c r="DO26"/>
      <c r="DP26"/>
      <c r="DQ26"/>
      <c r="DR26"/>
      <c r="DS26"/>
      <c r="DT26"/>
      <c r="DU26" s="558"/>
      <c r="DV26"/>
      <c r="DW26"/>
      <c r="DX26"/>
      <c r="DZ26" s="455">
        <v>15.808999999999999</v>
      </c>
      <c r="EA26" s="455"/>
      <c r="EB26"/>
      <c r="EC26"/>
      <c r="ED26">
        <v>1</v>
      </c>
      <c r="EE26"/>
      <c r="EF26"/>
      <c r="EG26" s="558"/>
      <c r="EH26"/>
      <c r="EJ26" s="455">
        <v>15.808999999999999</v>
      </c>
      <c r="EK26" s="455"/>
      <c r="EL26">
        <v>1</v>
      </c>
      <c r="EM26"/>
      <c r="EN26"/>
      <c r="EO26"/>
      <c r="EP26"/>
      <c r="EQ26"/>
      <c r="ER26"/>
      <c r="ES26"/>
      <c r="ET26"/>
      <c r="EU26"/>
      <c r="EV26"/>
      <c r="EW26"/>
      <c r="EX26"/>
      <c r="EY26"/>
      <c r="EZ26"/>
      <c r="FA26"/>
      <c r="FB26"/>
      <c r="FC26"/>
      <c r="FD26"/>
      <c r="FE26"/>
      <c r="FF26"/>
      <c r="FG26"/>
      <c r="FH26" s="558"/>
      <c r="FI26"/>
      <c r="FK26" s="449">
        <v>11.250999999999999</v>
      </c>
      <c r="FL26" s="449" t="s">
        <v>396</v>
      </c>
      <c r="FM26" s="449"/>
      <c r="FN26" s="452"/>
      <c r="FO26" s="452"/>
      <c r="FP26" s="452"/>
      <c r="FQ26" s="452"/>
      <c r="FR26" s="452"/>
      <c r="FS26" s="452">
        <v>1</v>
      </c>
      <c r="FT26" s="452"/>
      <c r="FU26" s="452"/>
      <c r="FV26" s="452"/>
      <c r="FW26" s="452"/>
      <c r="FX26" s="452"/>
      <c r="FY26" s="452"/>
      <c r="FZ26" s="453"/>
      <c r="GA26"/>
      <c r="GB26"/>
      <c r="GC26"/>
      <c r="GD26"/>
    </row>
    <row r="27" spans="1:186" x14ac:dyDescent="0.15">
      <c r="A27" s="30" t="s">
        <v>146</v>
      </c>
      <c r="AG27" s="455">
        <v>2.8130000000000002</v>
      </c>
      <c r="AH27" s="556">
        <v>1</v>
      </c>
      <c r="AJ27" s="455">
        <v>2.8130000000000002</v>
      </c>
      <c r="AK27" s="556">
        <v>1</v>
      </c>
      <c r="AL27"/>
      <c r="AM27"/>
      <c r="AN27"/>
      <c r="AO27" s="455">
        <v>2.8130000000000002</v>
      </c>
      <c r="AP27" s="455"/>
      <c r="AQ27"/>
      <c r="AR27">
        <v>1</v>
      </c>
      <c r="AS27"/>
      <c r="AT27"/>
      <c r="AU27"/>
      <c r="AV27"/>
      <c r="AW27"/>
      <c r="AX27"/>
      <c r="AY27"/>
      <c r="AZ27"/>
      <c r="BA27"/>
      <c r="BB27"/>
      <c r="BC27" s="558"/>
      <c r="BD27"/>
      <c r="BE27"/>
      <c r="BF27"/>
      <c r="BG27"/>
      <c r="BH27" s="455">
        <v>2.8130000000000002</v>
      </c>
      <c r="BI27" s="455">
        <v>1</v>
      </c>
      <c r="BJ27"/>
      <c r="BK27"/>
      <c r="BL27"/>
      <c r="BM27"/>
      <c r="BN27"/>
      <c r="BO27" s="558"/>
      <c r="BP27" s="455">
        <v>2.8130000000000002</v>
      </c>
      <c r="BQ27" s="455"/>
      <c r="BR27">
        <v>1</v>
      </c>
      <c r="BS27"/>
      <c r="BT27"/>
      <c r="BU27" s="558"/>
      <c r="BV27"/>
      <c r="BW27"/>
      <c r="BZ27" s="455">
        <v>2.8130000000000002</v>
      </c>
      <c r="CA27" s="556">
        <v>1</v>
      </c>
      <c r="CB27"/>
      <c r="CC27"/>
      <c r="CD27"/>
      <c r="CF27" s="455">
        <v>2.8130000000000002</v>
      </c>
      <c r="CG27" s="455"/>
      <c r="CH27"/>
      <c r="CI27"/>
      <c r="CJ27"/>
      <c r="CK27"/>
      <c r="CL27"/>
      <c r="CM27"/>
      <c r="CN27"/>
      <c r="CO27">
        <v>1</v>
      </c>
      <c r="CP27"/>
      <c r="CQ27"/>
      <c r="CR27"/>
      <c r="CS27"/>
      <c r="CT27"/>
      <c r="CU27"/>
      <c r="CV27" s="558"/>
      <c r="CW27"/>
      <c r="CX27"/>
      <c r="CY27"/>
      <c r="CZ27"/>
      <c r="DA27"/>
      <c r="DB27"/>
      <c r="DC27"/>
      <c r="DD27"/>
      <c r="DE27"/>
      <c r="DF27"/>
      <c r="DG27" s="455">
        <v>2.8130000000000002</v>
      </c>
      <c r="DH27" s="455">
        <v>1</v>
      </c>
      <c r="DI27"/>
      <c r="DJ27"/>
      <c r="DK27"/>
      <c r="DL27"/>
      <c r="DM27"/>
      <c r="DN27"/>
      <c r="DO27"/>
      <c r="DP27"/>
      <c r="DQ27"/>
      <c r="DR27"/>
      <c r="DS27"/>
      <c r="DT27"/>
      <c r="DU27" s="558"/>
      <c r="DV27"/>
      <c r="DW27"/>
      <c r="DX27"/>
      <c r="DZ27" s="455">
        <v>2.8130000000000002</v>
      </c>
      <c r="EA27" s="455">
        <v>1</v>
      </c>
      <c r="EB27"/>
      <c r="EC27"/>
      <c r="ED27"/>
      <c r="EE27"/>
      <c r="EF27"/>
      <c r="EG27" s="558"/>
      <c r="EH27"/>
      <c r="EJ27" s="455">
        <v>2.8130000000000002</v>
      </c>
      <c r="EK27" s="455"/>
      <c r="EL27"/>
      <c r="EM27"/>
      <c r="EN27"/>
      <c r="EO27"/>
      <c r="EP27"/>
      <c r="EQ27"/>
      <c r="ER27"/>
      <c r="ES27"/>
      <c r="ET27"/>
      <c r="EU27"/>
      <c r="EV27"/>
      <c r="EW27"/>
      <c r="EX27"/>
      <c r="EY27"/>
      <c r="EZ27">
        <v>1</v>
      </c>
      <c r="FA27"/>
      <c r="FB27"/>
      <c r="FC27"/>
      <c r="FD27"/>
      <c r="FE27"/>
      <c r="FF27"/>
      <c r="FG27"/>
      <c r="FH27" s="558"/>
      <c r="FI27"/>
      <c r="FK27" s="449" t="s">
        <v>6759</v>
      </c>
      <c r="FL27" s="457"/>
      <c r="FM27" s="449"/>
      <c r="FN27" s="452"/>
      <c r="FO27" s="452"/>
      <c r="FP27" s="452"/>
      <c r="FQ27" s="452"/>
      <c r="FR27" s="452"/>
      <c r="FS27" s="452">
        <v>1</v>
      </c>
      <c r="FT27" s="452"/>
      <c r="FU27" s="452"/>
      <c r="FV27" s="452"/>
      <c r="FW27" s="452"/>
      <c r="FX27" s="452"/>
      <c r="FY27" s="452"/>
      <c r="FZ27" s="453"/>
      <c r="GA27"/>
      <c r="GB27"/>
      <c r="GC27"/>
      <c r="GD27"/>
    </row>
    <row r="28" spans="1:186" x14ac:dyDescent="0.15">
      <c r="A28" s="30" t="s">
        <v>145</v>
      </c>
      <c r="AG28" s="455">
        <v>11.831</v>
      </c>
      <c r="AH28" s="556">
        <v>1</v>
      </c>
      <c r="AJ28" s="455">
        <v>11.831</v>
      </c>
      <c r="AK28" s="556">
        <v>1</v>
      </c>
      <c r="AL28"/>
      <c r="AM28"/>
      <c r="AN28"/>
      <c r="AO28" s="455">
        <v>11.831</v>
      </c>
      <c r="AP28" s="455"/>
      <c r="AQ28"/>
      <c r="AR28"/>
      <c r="AS28"/>
      <c r="AT28">
        <v>1</v>
      </c>
      <c r="AU28"/>
      <c r="AV28"/>
      <c r="AW28"/>
      <c r="AX28"/>
      <c r="AY28"/>
      <c r="AZ28"/>
      <c r="BA28"/>
      <c r="BB28"/>
      <c r="BC28" s="558"/>
      <c r="BD28"/>
      <c r="BE28"/>
      <c r="BF28"/>
      <c r="BG28"/>
      <c r="BH28" s="455">
        <v>11.831</v>
      </c>
      <c r="BI28" s="455"/>
      <c r="BJ28">
        <v>1</v>
      </c>
      <c r="BK28"/>
      <c r="BL28"/>
      <c r="BM28"/>
      <c r="BN28"/>
      <c r="BO28" s="558"/>
      <c r="BP28" s="455">
        <v>11.831</v>
      </c>
      <c r="BQ28" s="455"/>
      <c r="BR28"/>
      <c r="BS28">
        <v>1</v>
      </c>
      <c r="BT28"/>
      <c r="BU28" s="558"/>
      <c r="BV28"/>
      <c r="BW28"/>
      <c r="BZ28" s="455">
        <v>11.831</v>
      </c>
      <c r="CA28" s="556">
        <v>1</v>
      </c>
      <c r="CB28"/>
      <c r="CC28"/>
      <c r="CD28"/>
      <c r="CF28" s="455">
        <v>11.831</v>
      </c>
      <c r="CG28" s="455"/>
      <c r="CH28"/>
      <c r="CI28"/>
      <c r="CJ28">
        <v>1</v>
      </c>
      <c r="CK28"/>
      <c r="CL28"/>
      <c r="CM28"/>
      <c r="CN28"/>
      <c r="CO28"/>
      <c r="CP28"/>
      <c r="CQ28"/>
      <c r="CR28"/>
      <c r="CS28"/>
      <c r="CT28"/>
      <c r="CU28"/>
      <c r="CV28" s="558"/>
      <c r="CW28"/>
      <c r="CX28"/>
      <c r="CY28"/>
      <c r="CZ28"/>
      <c r="DA28"/>
      <c r="DB28"/>
      <c r="DC28"/>
      <c r="DD28"/>
      <c r="DE28"/>
      <c r="DF28"/>
      <c r="DG28" s="455">
        <v>11.831</v>
      </c>
      <c r="DH28" s="455">
        <v>1</v>
      </c>
      <c r="DI28"/>
      <c r="DJ28"/>
      <c r="DK28"/>
      <c r="DL28"/>
      <c r="DM28"/>
      <c r="DN28"/>
      <c r="DO28"/>
      <c r="DP28"/>
      <c r="DQ28"/>
      <c r="DR28"/>
      <c r="DS28"/>
      <c r="DT28"/>
      <c r="DU28" s="558"/>
      <c r="DV28"/>
      <c r="DW28"/>
      <c r="DX28"/>
      <c r="DZ28" s="455">
        <v>11.831</v>
      </c>
      <c r="EA28" s="455">
        <v>1</v>
      </c>
      <c r="EB28"/>
      <c r="EC28"/>
      <c r="ED28"/>
      <c r="EE28"/>
      <c r="EF28"/>
      <c r="EG28" s="558"/>
      <c r="EH28"/>
      <c r="EJ28" s="455">
        <v>11.831</v>
      </c>
      <c r="EK28" s="455"/>
      <c r="EL28"/>
      <c r="EM28"/>
      <c r="EN28"/>
      <c r="EO28"/>
      <c r="EP28"/>
      <c r="EQ28"/>
      <c r="ER28"/>
      <c r="ES28"/>
      <c r="ET28"/>
      <c r="EU28"/>
      <c r="EV28"/>
      <c r="EW28"/>
      <c r="EX28"/>
      <c r="EY28"/>
      <c r="EZ28"/>
      <c r="FA28"/>
      <c r="FB28"/>
      <c r="FC28"/>
      <c r="FD28"/>
      <c r="FE28"/>
      <c r="FF28">
        <v>1</v>
      </c>
      <c r="FG28"/>
      <c r="FH28" s="558"/>
      <c r="FI28"/>
      <c r="FK28" s="449">
        <v>1.371</v>
      </c>
      <c r="FL28" s="449" t="s">
        <v>405</v>
      </c>
      <c r="FM28" s="449">
        <v>1</v>
      </c>
      <c r="FN28" s="452"/>
      <c r="FO28" s="452"/>
      <c r="FP28" s="452"/>
      <c r="FQ28" s="452"/>
      <c r="FR28" s="452"/>
      <c r="FS28" s="452"/>
      <c r="FT28" s="452"/>
      <c r="FU28" s="452"/>
      <c r="FV28" s="452"/>
      <c r="FW28" s="452"/>
      <c r="FX28" s="452"/>
      <c r="FY28" s="452"/>
      <c r="FZ28" s="453"/>
      <c r="GA28"/>
      <c r="GB28"/>
      <c r="GC28"/>
      <c r="GD28"/>
    </row>
    <row r="29" spans="1:186" x14ac:dyDescent="0.15">
      <c r="A29" s="30" t="s">
        <v>144</v>
      </c>
      <c r="AG29" s="455">
        <v>23.587</v>
      </c>
      <c r="AH29" s="556">
        <v>1</v>
      </c>
      <c r="AJ29" s="455">
        <v>23.587</v>
      </c>
      <c r="AK29" s="556">
        <v>1</v>
      </c>
      <c r="AL29"/>
      <c r="AM29"/>
      <c r="AN29"/>
      <c r="AO29" s="455">
        <v>23.587</v>
      </c>
      <c r="AP29" s="455">
        <v>1</v>
      </c>
      <c r="AQ29"/>
      <c r="AR29"/>
      <c r="AS29"/>
      <c r="AT29"/>
      <c r="AU29"/>
      <c r="AV29"/>
      <c r="AW29"/>
      <c r="AX29"/>
      <c r="AY29"/>
      <c r="AZ29"/>
      <c r="BA29"/>
      <c r="BB29"/>
      <c r="BC29" s="558"/>
      <c r="BD29"/>
      <c r="BE29"/>
      <c r="BF29"/>
      <c r="BG29"/>
      <c r="BH29" s="455">
        <v>23.587</v>
      </c>
      <c r="BI29" s="455"/>
      <c r="BJ29">
        <v>1</v>
      </c>
      <c r="BK29"/>
      <c r="BL29"/>
      <c r="BM29"/>
      <c r="BN29"/>
      <c r="BO29" s="558"/>
      <c r="BP29" s="455">
        <v>23.587</v>
      </c>
      <c r="BQ29" s="455"/>
      <c r="BR29">
        <v>1</v>
      </c>
      <c r="BS29"/>
      <c r="BT29"/>
      <c r="BU29" s="558"/>
      <c r="BV29"/>
      <c r="BW29"/>
      <c r="BZ29" s="455">
        <v>23.587</v>
      </c>
      <c r="CA29" s="556">
        <v>1</v>
      </c>
      <c r="CB29"/>
      <c r="CC29"/>
      <c r="CD29"/>
      <c r="CF29" s="455">
        <v>23.587</v>
      </c>
      <c r="CG29" s="455"/>
      <c r="CH29"/>
      <c r="CI29">
        <v>1</v>
      </c>
      <c r="CJ29"/>
      <c r="CK29"/>
      <c r="CL29"/>
      <c r="CM29"/>
      <c r="CN29"/>
      <c r="CO29"/>
      <c r="CP29"/>
      <c r="CQ29"/>
      <c r="CR29"/>
      <c r="CS29"/>
      <c r="CT29"/>
      <c r="CU29"/>
      <c r="CV29" s="558"/>
      <c r="CW29"/>
      <c r="CX29"/>
      <c r="CY29"/>
      <c r="CZ29"/>
      <c r="DA29"/>
      <c r="DB29"/>
      <c r="DC29"/>
      <c r="DD29"/>
      <c r="DE29"/>
      <c r="DF29"/>
      <c r="DG29" s="455">
        <v>23.587</v>
      </c>
      <c r="DH29" s="455">
        <v>1</v>
      </c>
      <c r="DI29"/>
      <c r="DJ29"/>
      <c r="DK29"/>
      <c r="DL29"/>
      <c r="DM29"/>
      <c r="DN29"/>
      <c r="DO29"/>
      <c r="DP29"/>
      <c r="DQ29"/>
      <c r="DR29"/>
      <c r="DS29"/>
      <c r="DT29"/>
      <c r="DU29" s="558"/>
      <c r="DV29"/>
      <c r="DW29"/>
      <c r="DX29"/>
      <c r="DZ29" s="455">
        <v>23.587</v>
      </c>
      <c r="EA29" s="455">
        <v>1</v>
      </c>
      <c r="EB29"/>
      <c r="EC29"/>
      <c r="ED29"/>
      <c r="EE29"/>
      <c r="EF29"/>
      <c r="EG29" s="558"/>
      <c r="EH29"/>
      <c r="EJ29" s="455">
        <v>23.587</v>
      </c>
      <c r="EK29" s="455"/>
      <c r="EL29"/>
      <c r="EM29"/>
      <c r="EN29"/>
      <c r="EO29"/>
      <c r="EP29"/>
      <c r="EQ29"/>
      <c r="ER29"/>
      <c r="ES29"/>
      <c r="ET29"/>
      <c r="EU29"/>
      <c r="EV29"/>
      <c r="EW29">
        <v>1</v>
      </c>
      <c r="EX29"/>
      <c r="EY29"/>
      <c r="EZ29"/>
      <c r="FA29"/>
      <c r="FB29"/>
      <c r="FC29"/>
      <c r="FD29"/>
      <c r="FE29"/>
      <c r="FF29"/>
      <c r="FG29"/>
      <c r="FH29" s="558"/>
      <c r="FI29"/>
      <c r="FK29" s="449" t="s">
        <v>6760</v>
      </c>
      <c r="FL29" s="457"/>
      <c r="FM29" s="449">
        <v>1</v>
      </c>
      <c r="FN29" s="452"/>
      <c r="FO29" s="452"/>
      <c r="FP29" s="452"/>
      <c r="FQ29" s="452"/>
      <c r="FR29" s="452"/>
      <c r="FS29" s="452"/>
      <c r="FT29" s="452"/>
      <c r="FU29" s="452"/>
      <c r="FV29" s="452"/>
      <c r="FW29" s="452"/>
      <c r="FX29" s="452"/>
      <c r="FY29" s="452"/>
      <c r="FZ29" s="453"/>
      <c r="GA29"/>
      <c r="GB29"/>
      <c r="GC29"/>
      <c r="GD29"/>
    </row>
    <row r="30" spans="1:186" x14ac:dyDescent="0.15">
      <c r="A30" s="30" t="s">
        <v>143</v>
      </c>
      <c r="AG30" s="455">
        <v>8.6389999999999993</v>
      </c>
      <c r="AH30" s="556">
        <v>1</v>
      </c>
      <c r="AJ30" s="455">
        <v>8.6389999999999993</v>
      </c>
      <c r="AK30" s="556">
        <v>1</v>
      </c>
      <c r="AL30"/>
      <c r="AM30"/>
      <c r="AN30"/>
      <c r="AO30" s="455">
        <v>8.6389999999999993</v>
      </c>
      <c r="AP30" s="455"/>
      <c r="AQ30">
        <v>1</v>
      </c>
      <c r="AR30"/>
      <c r="AS30"/>
      <c r="AT30"/>
      <c r="AU30"/>
      <c r="AV30"/>
      <c r="AW30"/>
      <c r="AX30"/>
      <c r="AY30"/>
      <c r="AZ30"/>
      <c r="BA30"/>
      <c r="BB30"/>
      <c r="BC30" s="558"/>
      <c r="BD30"/>
      <c r="BE30"/>
      <c r="BF30"/>
      <c r="BG30"/>
      <c r="BH30" s="455">
        <v>8.6389999999999993</v>
      </c>
      <c r="BI30" s="455">
        <v>1</v>
      </c>
      <c r="BJ30"/>
      <c r="BK30"/>
      <c r="BL30"/>
      <c r="BM30"/>
      <c r="BN30"/>
      <c r="BO30" s="558"/>
      <c r="BP30" s="455">
        <v>8.6389999999999993</v>
      </c>
      <c r="BQ30" s="455"/>
      <c r="BR30"/>
      <c r="BS30">
        <v>1</v>
      </c>
      <c r="BT30"/>
      <c r="BU30" s="558"/>
      <c r="BV30"/>
      <c r="BW30"/>
      <c r="BZ30" s="455">
        <v>8.6389999999999993</v>
      </c>
      <c r="CA30" s="556">
        <v>1</v>
      </c>
      <c r="CB30"/>
      <c r="CC30"/>
      <c r="CD30"/>
      <c r="CF30" s="455">
        <v>8.6389999999999993</v>
      </c>
      <c r="CG30" s="455"/>
      <c r="CH30"/>
      <c r="CI30"/>
      <c r="CJ30"/>
      <c r="CK30"/>
      <c r="CL30"/>
      <c r="CM30"/>
      <c r="CN30">
        <v>1</v>
      </c>
      <c r="CO30"/>
      <c r="CP30"/>
      <c r="CQ30"/>
      <c r="CR30"/>
      <c r="CS30"/>
      <c r="CT30"/>
      <c r="CU30"/>
      <c r="CV30" s="558"/>
      <c r="CW30"/>
      <c r="CX30"/>
      <c r="CY30"/>
      <c r="CZ30"/>
      <c r="DA30"/>
      <c r="DB30"/>
      <c r="DC30"/>
      <c r="DD30"/>
      <c r="DE30"/>
      <c r="DF30"/>
      <c r="DG30" s="455">
        <v>8.6389999999999993</v>
      </c>
      <c r="DH30" s="455">
        <v>1</v>
      </c>
      <c r="DI30"/>
      <c r="DJ30"/>
      <c r="DK30"/>
      <c r="DL30"/>
      <c r="DM30"/>
      <c r="DN30"/>
      <c r="DO30"/>
      <c r="DP30"/>
      <c r="DQ30"/>
      <c r="DR30"/>
      <c r="DS30"/>
      <c r="DT30"/>
      <c r="DU30" s="558"/>
      <c r="DV30"/>
      <c r="DW30"/>
      <c r="DX30"/>
      <c r="DZ30" s="455">
        <v>8.6389999999999993</v>
      </c>
      <c r="EA30" s="455"/>
      <c r="EB30"/>
      <c r="EC30"/>
      <c r="ED30"/>
      <c r="EE30">
        <v>1</v>
      </c>
      <c r="EF30"/>
      <c r="EG30" s="558"/>
      <c r="EH30"/>
      <c r="EJ30" s="455">
        <v>8.6389999999999993</v>
      </c>
      <c r="EK30" s="455"/>
      <c r="EL30"/>
      <c r="EM30">
        <v>1</v>
      </c>
      <c r="EN30"/>
      <c r="EO30"/>
      <c r="EP30"/>
      <c r="EQ30"/>
      <c r="ER30"/>
      <c r="ES30"/>
      <c r="ET30"/>
      <c r="EU30"/>
      <c r="EV30"/>
      <c r="EW30"/>
      <c r="EX30"/>
      <c r="EY30"/>
      <c r="EZ30"/>
      <c r="FA30"/>
      <c r="FB30"/>
      <c r="FC30"/>
      <c r="FD30"/>
      <c r="FE30"/>
      <c r="FF30"/>
      <c r="FG30"/>
      <c r="FH30" s="558"/>
      <c r="FI30"/>
      <c r="FK30" s="449">
        <v>7.4370000000000003</v>
      </c>
      <c r="FL30" s="449" t="s">
        <v>411</v>
      </c>
      <c r="FM30" s="449"/>
      <c r="FN30" s="452"/>
      <c r="FO30" s="452"/>
      <c r="FP30" s="452"/>
      <c r="FQ30" s="452"/>
      <c r="FR30" s="452"/>
      <c r="FS30" s="452"/>
      <c r="FT30" s="452">
        <v>1</v>
      </c>
      <c r="FU30" s="452"/>
      <c r="FV30" s="452"/>
      <c r="FW30" s="452"/>
      <c r="FX30" s="452"/>
      <c r="FY30" s="452"/>
      <c r="FZ30" s="453"/>
      <c r="GA30"/>
      <c r="GB30"/>
      <c r="GC30"/>
      <c r="GD30"/>
    </row>
    <row r="31" spans="1:186" x14ac:dyDescent="0.15">
      <c r="A31" s="30" t="s">
        <v>142</v>
      </c>
      <c r="AG31" s="455">
        <v>0.52</v>
      </c>
      <c r="AH31" s="556">
        <v>1</v>
      </c>
      <c r="AJ31" s="455">
        <v>0.52</v>
      </c>
      <c r="AK31" s="556">
        <v>1</v>
      </c>
      <c r="AL31"/>
      <c r="AM31"/>
      <c r="AN31"/>
      <c r="AO31" s="455">
        <v>0.52</v>
      </c>
      <c r="AP31" s="455"/>
      <c r="AQ31"/>
      <c r="AR31"/>
      <c r="AS31"/>
      <c r="AT31"/>
      <c r="AU31"/>
      <c r="AV31"/>
      <c r="AW31"/>
      <c r="AX31"/>
      <c r="AY31">
        <v>1</v>
      </c>
      <c r="AZ31"/>
      <c r="BA31"/>
      <c r="BB31"/>
      <c r="BC31" s="558"/>
      <c r="BD31"/>
      <c r="BE31"/>
      <c r="BF31"/>
      <c r="BG31"/>
      <c r="BH31" s="455">
        <v>0.52</v>
      </c>
      <c r="BI31" s="455">
        <v>1</v>
      </c>
      <c r="BJ31"/>
      <c r="BK31"/>
      <c r="BL31"/>
      <c r="BM31"/>
      <c r="BN31"/>
      <c r="BO31" s="558"/>
      <c r="BP31" s="455">
        <v>0.52</v>
      </c>
      <c r="BQ31" s="455"/>
      <c r="BR31">
        <v>1</v>
      </c>
      <c r="BS31"/>
      <c r="BT31"/>
      <c r="BU31" s="558"/>
      <c r="BV31"/>
      <c r="BW31"/>
      <c r="BZ31" s="455">
        <v>0.52</v>
      </c>
      <c r="CA31" s="556">
        <v>1</v>
      </c>
      <c r="CB31"/>
      <c r="CC31"/>
      <c r="CD31"/>
      <c r="CF31" s="455">
        <v>0.52</v>
      </c>
      <c r="CG31" s="455"/>
      <c r="CH31"/>
      <c r="CI31"/>
      <c r="CJ31"/>
      <c r="CK31"/>
      <c r="CL31"/>
      <c r="CM31">
        <v>1</v>
      </c>
      <c r="CN31"/>
      <c r="CO31"/>
      <c r="CP31"/>
      <c r="CQ31"/>
      <c r="CR31"/>
      <c r="CS31"/>
      <c r="CT31"/>
      <c r="CU31"/>
      <c r="CV31" s="558"/>
      <c r="CW31"/>
      <c r="CX31"/>
      <c r="CY31"/>
      <c r="CZ31"/>
      <c r="DA31"/>
      <c r="DB31"/>
      <c r="DC31"/>
      <c r="DD31"/>
      <c r="DE31"/>
      <c r="DF31"/>
      <c r="DG31" s="455">
        <v>0.52</v>
      </c>
      <c r="DH31" s="455"/>
      <c r="DI31"/>
      <c r="DJ31"/>
      <c r="DK31"/>
      <c r="DL31"/>
      <c r="DM31"/>
      <c r="DN31"/>
      <c r="DO31"/>
      <c r="DP31"/>
      <c r="DQ31"/>
      <c r="DR31"/>
      <c r="DS31"/>
      <c r="DT31"/>
      <c r="DU31" s="558">
        <v>1</v>
      </c>
      <c r="DV31"/>
      <c r="DW31"/>
      <c r="DX31"/>
      <c r="DZ31" s="455">
        <v>0.52</v>
      </c>
      <c r="EA31" s="455"/>
      <c r="EB31"/>
      <c r="EC31"/>
      <c r="ED31"/>
      <c r="EE31">
        <v>1</v>
      </c>
      <c r="EF31"/>
      <c r="EG31" s="558"/>
      <c r="EH31"/>
      <c r="EJ31" s="455">
        <v>0.52</v>
      </c>
      <c r="EK31" s="455"/>
      <c r="EL31"/>
      <c r="EM31"/>
      <c r="EN31"/>
      <c r="EO31"/>
      <c r="EP31"/>
      <c r="EQ31"/>
      <c r="ER31"/>
      <c r="ES31"/>
      <c r="ET31"/>
      <c r="EU31"/>
      <c r="EV31"/>
      <c r="EW31">
        <v>1</v>
      </c>
      <c r="EX31"/>
      <c r="EY31"/>
      <c r="EZ31"/>
      <c r="FA31"/>
      <c r="FB31"/>
      <c r="FC31"/>
      <c r="FD31"/>
      <c r="FE31"/>
      <c r="FF31"/>
      <c r="FG31"/>
      <c r="FH31" s="558"/>
      <c r="FI31"/>
      <c r="FK31" s="449" t="s">
        <v>6761</v>
      </c>
      <c r="FL31" s="457"/>
      <c r="FM31" s="449"/>
      <c r="FN31" s="452"/>
      <c r="FO31" s="452"/>
      <c r="FP31" s="452"/>
      <c r="FQ31" s="452"/>
      <c r="FR31" s="452"/>
      <c r="FS31" s="452"/>
      <c r="FT31" s="452">
        <v>1</v>
      </c>
      <c r="FU31" s="452"/>
      <c r="FV31" s="452"/>
      <c r="FW31" s="452"/>
      <c r="FX31" s="452"/>
      <c r="FY31" s="452"/>
      <c r="FZ31" s="453"/>
      <c r="GA31"/>
      <c r="GB31"/>
      <c r="GC31"/>
      <c r="GD31"/>
    </row>
    <row r="32" spans="1:186" x14ac:dyDescent="0.15">
      <c r="A32" s="30" t="s">
        <v>141</v>
      </c>
      <c r="AG32" s="455">
        <v>20.460999999999999</v>
      </c>
      <c r="AH32" s="556">
        <v>1</v>
      </c>
      <c r="AJ32" s="455">
        <v>20.460999999999999</v>
      </c>
      <c r="AK32" s="556">
        <v>1</v>
      </c>
      <c r="AL32"/>
      <c r="AM32"/>
      <c r="AN32"/>
      <c r="AO32" s="455">
        <v>20.460999999999999</v>
      </c>
      <c r="AP32" s="455"/>
      <c r="AQ32">
        <v>1</v>
      </c>
      <c r="AR32"/>
      <c r="AS32"/>
      <c r="AT32"/>
      <c r="AU32"/>
      <c r="AV32"/>
      <c r="AW32"/>
      <c r="AX32"/>
      <c r="AY32"/>
      <c r="AZ32"/>
      <c r="BA32"/>
      <c r="BB32"/>
      <c r="BC32" s="558"/>
      <c r="BD32"/>
      <c r="BE32"/>
      <c r="BF32"/>
      <c r="BG32"/>
      <c r="BH32" s="455">
        <v>20.460999999999999</v>
      </c>
      <c r="BI32" s="455">
        <v>1</v>
      </c>
      <c r="BJ32"/>
      <c r="BK32"/>
      <c r="BL32"/>
      <c r="BM32"/>
      <c r="BN32"/>
      <c r="BO32" s="558"/>
      <c r="BP32" s="455">
        <v>20.460999999999999</v>
      </c>
      <c r="BQ32" s="455"/>
      <c r="BR32"/>
      <c r="BS32">
        <v>1</v>
      </c>
      <c r="BT32"/>
      <c r="BU32" s="558"/>
      <c r="BV32"/>
      <c r="BW32"/>
      <c r="BZ32" s="455">
        <v>20.460999999999999</v>
      </c>
      <c r="CA32" s="556">
        <v>1</v>
      </c>
      <c r="CB32"/>
      <c r="CC32"/>
      <c r="CD32"/>
      <c r="CF32" s="455">
        <v>20.460999999999999</v>
      </c>
      <c r="CG32" s="455"/>
      <c r="CH32"/>
      <c r="CI32"/>
      <c r="CJ32"/>
      <c r="CK32"/>
      <c r="CL32"/>
      <c r="CM32"/>
      <c r="CN32">
        <v>1</v>
      </c>
      <c r="CO32"/>
      <c r="CP32"/>
      <c r="CQ32"/>
      <c r="CR32"/>
      <c r="CS32"/>
      <c r="CT32"/>
      <c r="CU32"/>
      <c r="CV32" s="558"/>
      <c r="CW32"/>
      <c r="CX32"/>
      <c r="CY32"/>
      <c r="CZ32"/>
      <c r="DA32"/>
      <c r="DB32"/>
      <c r="DC32"/>
      <c r="DD32"/>
      <c r="DE32"/>
      <c r="DF32"/>
      <c r="DG32" s="455">
        <v>20.460999999999999</v>
      </c>
      <c r="DH32" s="455"/>
      <c r="DI32">
        <v>1</v>
      </c>
      <c r="DJ32"/>
      <c r="DK32"/>
      <c r="DL32"/>
      <c r="DM32"/>
      <c r="DN32"/>
      <c r="DO32"/>
      <c r="DP32"/>
      <c r="DQ32"/>
      <c r="DR32"/>
      <c r="DS32"/>
      <c r="DT32"/>
      <c r="DU32" s="558"/>
      <c r="DV32"/>
      <c r="DW32"/>
      <c r="DX32"/>
      <c r="DZ32" s="455">
        <v>20.460999999999999</v>
      </c>
      <c r="EA32" s="455">
        <v>1</v>
      </c>
      <c r="EB32"/>
      <c r="EC32"/>
      <c r="ED32"/>
      <c r="EE32"/>
      <c r="EF32"/>
      <c r="EG32" s="558"/>
      <c r="EH32"/>
      <c r="EJ32" s="455">
        <v>20.460999999999999</v>
      </c>
      <c r="EK32" s="455">
        <v>1</v>
      </c>
      <c r="EL32"/>
      <c r="EM32"/>
      <c r="EN32"/>
      <c r="EO32"/>
      <c r="EP32"/>
      <c r="EQ32"/>
      <c r="ER32"/>
      <c r="ES32"/>
      <c r="ET32"/>
      <c r="EU32"/>
      <c r="EV32"/>
      <c r="EW32"/>
      <c r="EX32"/>
      <c r="EY32"/>
      <c r="EZ32"/>
      <c r="FA32"/>
      <c r="FB32"/>
      <c r="FC32"/>
      <c r="FD32"/>
      <c r="FE32"/>
      <c r="FF32"/>
      <c r="FG32"/>
      <c r="FH32" s="558"/>
      <c r="FI32"/>
      <c r="FK32" s="449">
        <v>18.358000000000001</v>
      </c>
      <c r="FL32" s="449" t="s">
        <v>411</v>
      </c>
      <c r="FM32" s="449"/>
      <c r="FN32" s="452"/>
      <c r="FO32" s="452"/>
      <c r="FP32" s="452"/>
      <c r="FQ32" s="452"/>
      <c r="FR32" s="452">
        <v>1</v>
      </c>
      <c r="FS32" s="452"/>
      <c r="FT32" s="452"/>
      <c r="FU32" s="452"/>
      <c r="FV32" s="452"/>
      <c r="FW32" s="452"/>
      <c r="FX32" s="452"/>
      <c r="FY32" s="452"/>
      <c r="FZ32" s="453"/>
      <c r="GA32"/>
      <c r="GB32"/>
      <c r="GC32"/>
      <c r="GD32"/>
    </row>
    <row r="33" spans="1:186" x14ac:dyDescent="0.15">
      <c r="A33" s="30" t="s">
        <v>140</v>
      </c>
      <c r="AG33" s="455">
        <v>1.444</v>
      </c>
      <c r="AH33" s="556">
        <v>1</v>
      </c>
      <c r="AJ33" s="455">
        <v>1.444</v>
      </c>
      <c r="AK33" s="556">
        <v>1</v>
      </c>
      <c r="AL33"/>
      <c r="AM33"/>
      <c r="AN33"/>
      <c r="AO33" s="455">
        <v>1.444</v>
      </c>
      <c r="AP33" s="455"/>
      <c r="AQ33"/>
      <c r="AR33"/>
      <c r="AS33"/>
      <c r="AT33"/>
      <c r="AU33"/>
      <c r="AV33"/>
      <c r="AW33"/>
      <c r="AX33">
        <v>1</v>
      </c>
      <c r="AY33"/>
      <c r="AZ33"/>
      <c r="BA33"/>
      <c r="BB33"/>
      <c r="BC33" s="558"/>
      <c r="BD33"/>
      <c r="BE33"/>
      <c r="BF33"/>
      <c r="BG33"/>
      <c r="BH33" s="455">
        <v>1.444</v>
      </c>
      <c r="BI33" s="455"/>
      <c r="BJ33">
        <v>1</v>
      </c>
      <c r="BK33"/>
      <c r="BL33"/>
      <c r="BM33"/>
      <c r="BN33"/>
      <c r="BO33" s="558"/>
      <c r="BP33" s="455">
        <v>1.444</v>
      </c>
      <c r="BQ33" s="455"/>
      <c r="BR33"/>
      <c r="BS33">
        <v>1</v>
      </c>
      <c r="BT33"/>
      <c r="BU33" s="558"/>
      <c r="BV33"/>
      <c r="BW33"/>
      <c r="BZ33" s="455">
        <v>1.444</v>
      </c>
      <c r="CA33" s="556">
        <v>1</v>
      </c>
      <c r="CB33"/>
      <c r="CC33"/>
      <c r="CD33"/>
      <c r="CF33" s="455">
        <v>1.444</v>
      </c>
      <c r="CG33" s="455">
        <v>1</v>
      </c>
      <c r="CH33"/>
      <c r="CI33"/>
      <c r="CJ33"/>
      <c r="CK33"/>
      <c r="CL33"/>
      <c r="CM33"/>
      <c r="CN33"/>
      <c r="CO33"/>
      <c r="CP33"/>
      <c r="CQ33"/>
      <c r="CR33"/>
      <c r="CS33"/>
      <c r="CT33"/>
      <c r="CU33"/>
      <c r="CV33" s="558"/>
      <c r="CW33"/>
      <c r="CX33"/>
      <c r="CY33"/>
      <c r="CZ33"/>
      <c r="DA33"/>
      <c r="DB33"/>
      <c r="DC33"/>
      <c r="DD33"/>
      <c r="DE33"/>
      <c r="DF33"/>
      <c r="DG33" s="455">
        <v>1.444</v>
      </c>
      <c r="DH33" s="455">
        <v>1</v>
      </c>
      <c r="DI33"/>
      <c r="DJ33"/>
      <c r="DK33"/>
      <c r="DL33"/>
      <c r="DM33"/>
      <c r="DN33"/>
      <c r="DO33"/>
      <c r="DP33"/>
      <c r="DQ33"/>
      <c r="DR33"/>
      <c r="DS33"/>
      <c r="DT33"/>
      <c r="DU33" s="558"/>
      <c r="DV33"/>
      <c r="DW33"/>
      <c r="DX33"/>
      <c r="DZ33" s="455">
        <v>1.444</v>
      </c>
      <c r="EA33" s="455"/>
      <c r="EB33"/>
      <c r="EC33">
        <v>1</v>
      </c>
      <c r="ED33"/>
      <c r="EE33"/>
      <c r="EF33"/>
      <c r="EG33" s="558"/>
      <c r="EH33"/>
      <c r="EJ33" s="455">
        <v>1.444</v>
      </c>
      <c r="EK33" s="455"/>
      <c r="EL33"/>
      <c r="EM33"/>
      <c r="EN33"/>
      <c r="EO33"/>
      <c r="EP33"/>
      <c r="EQ33"/>
      <c r="ER33"/>
      <c r="ES33"/>
      <c r="ET33"/>
      <c r="EU33"/>
      <c r="EV33"/>
      <c r="EW33"/>
      <c r="EX33"/>
      <c r="EY33"/>
      <c r="EZ33"/>
      <c r="FA33"/>
      <c r="FB33"/>
      <c r="FC33"/>
      <c r="FD33">
        <v>1</v>
      </c>
      <c r="FE33"/>
      <c r="FF33"/>
      <c r="FG33"/>
      <c r="FH33" s="558"/>
      <c r="FI33"/>
      <c r="FK33" s="449" t="s">
        <v>6762</v>
      </c>
      <c r="FL33" s="457"/>
      <c r="FM33" s="449"/>
      <c r="FN33" s="452"/>
      <c r="FO33" s="452"/>
      <c r="FP33" s="452"/>
      <c r="FQ33" s="452"/>
      <c r="FR33" s="452">
        <v>1</v>
      </c>
      <c r="FS33" s="452"/>
      <c r="FT33" s="452"/>
      <c r="FU33" s="452"/>
      <c r="FV33" s="452"/>
      <c r="FW33" s="452"/>
      <c r="FX33" s="452"/>
      <c r="FY33" s="452"/>
      <c r="FZ33" s="453"/>
      <c r="GA33"/>
      <c r="GB33"/>
      <c r="GC33"/>
      <c r="GD33"/>
    </row>
    <row r="34" spans="1:186" x14ac:dyDescent="0.15">
      <c r="A34" s="30" t="s">
        <v>139</v>
      </c>
      <c r="AG34" s="455">
        <v>1.708</v>
      </c>
      <c r="AH34" s="556">
        <v>1</v>
      </c>
      <c r="AJ34" s="455">
        <v>1.708</v>
      </c>
      <c r="AK34" s="556">
        <v>1</v>
      </c>
      <c r="AL34"/>
      <c r="AM34"/>
      <c r="AN34"/>
      <c r="AO34" s="455">
        <v>1.708</v>
      </c>
      <c r="AP34" s="455"/>
      <c r="AQ34"/>
      <c r="AR34"/>
      <c r="AS34">
        <v>1</v>
      </c>
      <c r="AT34"/>
      <c r="AU34"/>
      <c r="AV34"/>
      <c r="AW34"/>
      <c r="AX34"/>
      <c r="AY34"/>
      <c r="AZ34"/>
      <c r="BA34"/>
      <c r="BB34"/>
      <c r="BC34" s="558"/>
      <c r="BD34"/>
      <c r="BE34"/>
      <c r="BF34"/>
      <c r="BG34"/>
      <c r="BH34" s="455">
        <v>1.708</v>
      </c>
      <c r="BI34" s="455">
        <v>1</v>
      </c>
      <c r="BJ34"/>
      <c r="BK34"/>
      <c r="BL34"/>
      <c r="BM34"/>
      <c r="BN34"/>
      <c r="BO34" s="558"/>
      <c r="BP34" s="455">
        <v>1.708</v>
      </c>
      <c r="BQ34" s="455"/>
      <c r="BR34"/>
      <c r="BS34">
        <v>1</v>
      </c>
      <c r="BT34"/>
      <c r="BU34" s="558"/>
      <c r="BV34"/>
      <c r="BW34"/>
      <c r="BZ34" s="455">
        <v>1.708</v>
      </c>
      <c r="CA34" s="556">
        <v>1</v>
      </c>
      <c r="CB34"/>
      <c r="CC34"/>
      <c r="CD34"/>
      <c r="CF34" s="455">
        <v>1.708</v>
      </c>
      <c r="CG34" s="455"/>
      <c r="CH34"/>
      <c r="CI34">
        <v>1</v>
      </c>
      <c r="CJ34"/>
      <c r="CK34"/>
      <c r="CL34"/>
      <c r="CM34"/>
      <c r="CN34"/>
      <c r="CO34"/>
      <c r="CP34"/>
      <c r="CQ34"/>
      <c r="CR34"/>
      <c r="CS34"/>
      <c r="CT34"/>
      <c r="CU34"/>
      <c r="CV34" s="558"/>
      <c r="CW34"/>
      <c r="CX34"/>
      <c r="CY34"/>
      <c r="CZ34"/>
      <c r="DA34"/>
      <c r="DB34"/>
      <c r="DC34"/>
      <c r="DD34"/>
      <c r="DE34"/>
      <c r="DF34"/>
      <c r="DG34" s="455">
        <v>1.708</v>
      </c>
      <c r="DH34" s="455"/>
      <c r="DI34"/>
      <c r="DJ34"/>
      <c r="DK34">
        <v>1</v>
      </c>
      <c r="DL34"/>
      <c r="DM34"/>
      <c r="DN34"/>
      <c r="DO34"/>
      <c r="DP34"/>
      <c r="DQ34"/>
      <c r="DR34"/>
      <c r="DS34"/>
      <c r="DT34"/>
      <c r="DU34" s="558"/>
      <c r="DV34"/>
      <c r="DW34"/>
      <c r="DX34"/>
      <c r="DZ34" s="455">
        <v>1.708</v>
      </c>
      <c r="EA34" s="455"/>
      <c r="EB34"/>
      <c r="EC34"/>
      <c r="ED34"/>
      <c r="EE34"/>
      <c r="EF34"/>
      <c r="EG34" s="558">
        <v>1</v>
      </c>
      <c r="EH34"/>
      <c r="EJ34" s="455">
        <v>1.708</v>
      </c>
      <c r="EK34" s="455"/>
      <c r="EL34"/>
      <c r="EM34"/>
      <c r="EN34"/>
      <c r="EO34"/>
      <c r="EP34"/>
      <c r="EQ34">
        <v>1</v>
      </c>
      <c r="ER34"/>
      <c r="ES34"/>
      <c r="ET34"/>
      <c r="EU34"/>
      <c r="EV34"/>
      <c r="EW34"/>
      <c r="EX34"/>
      <c r="EY34"/>
      <c r="EZ34"/>
      <c r="FA34"/>
      <c r="FB34"/>
      <c r="FC34"/>
      <c r="FD34"/>
      <c r="FE34"/>
      <c r="FF34"/>
      <c r="FG34"/>
      <c r="FH34" s="558"/>
      <c r="FI34"/>
      <c r="FK34" s="449">
        <v>2.097</v>
      </c>
      <c r="FL34" s="449" t="s">
        <v>405</v>
      </c>
      <c r="FM34" s="449">
        <v>1</v>
      </c>
      <c r="FN34" s="452"/>
      <c r="FO34" s="452"/>
      <c r="FP34" s="452"/>
      <c r="FQ34" s="452"/>
      <c r="FR34" s="452"/>
      <c r="FS34" s="452"/>
      <c r="FT34" s="452"/>
      <c r="FU34" s="452"/>
      <c r="FV34" s="452"/>
      <c r="FW34" s="452"/>
      <c r="FX34" s="452"/>
      <c r="FY34" s="452"/>
      <c r="FZ34" s="453"/>
      <c r="GA34"/>
      <c r="GB34"/>
      <c r="GC34"/>
      <c r="GD34"/>
    </row>
    <row r="35" spans="1:186" x14ac:dyDescent="0.15">
      <c r="A35" s="30" t="s">
        <v>138</v>
      </c>
      <c r="AG35" s="455">
        <v>2.2149999999999999</v>
      </c>
      <c r="AH35" s="556">
        <v>1</v>
      </c>
      <c r="AJ35" s="455">
        <v>2.2149999999999999</v>
      </c>
      <c r="AK35" s="556">
        <v>1</v>
      </c>
      <c r="AL35"/>
      <c r="AM35"/>
      <c r="AN35"/>
      <c r="AO35" s="455">
        <v>2.2149999999999999</v>
      </c>
      <c r="AP35" s="455"/>
      <c r="AQ35"/>
      <c r="AR35">
        <v>1</v>
      </c>
      <c r="AS35"/>
      <c r="AT35"/>
      <c r="AU35"/>
      <c r="AV35"/>
      <c r="AW35"/>
      <c r="AX35"/>
      <c r="AY35"/>
      <c r="AZ35"/>
      <c r="BA35"/>
      <c r="BB35"/>
      <c r="BC35" s="558"/>
      <c r="BD35"/>
      <c r="BE35"/>
      <c r="BF35"/>
      <c r="BG35"/>
      <c r="BH35" s="455">
        <v>2.2149999999999999</v>
      </c>
      <c r="BI35" s="455"/>
      <c r="BJ35"/>
      <c r="BK35">
        <v>1</v>
      </c>
      <c r="BL35"/>
      <c r="BM35"/>
      <c r="BN35"/>
      <c r="BO35" s="558"/>
      <c r="BP35" s="455">
        <v>2.2149999999999999</v>
      </c>
      <c r="BQ35" s="455"/>
      <c r="BR35"/>
      <c r="BS35">
        <v>1</v>
      </c>
      <c r="BT35"/>
      <c r="BU35" s="558"/>
      <c r="BV35"/>
      <c r="BW35"/>
      <c r="BZ35" s="455">
        <v>2.2149999999999999</v>
      </c>
      <c r="CA35" s="556">
        <v>1</v>
      </c>
      <c r="CB35"/>
      <c r="CC35"/>
      <c r="CD35"/>
      <c r="CF35" s="455">
        <v>2.2149999999999999</v>
      </c>
      <c r="CG35" s="455"/>
      <c r="CH35"/>
      <c r="CI35"/>
      <c r="CJ35"/>
      <c r="CK35"/>
      <c r="CL35"/>
      <c r="CM35"/>
      <c r="CN35"/>
      <c r="CO35"/>
      <c r="CP35">
        <v>1</v>
      </c>
      <c r="CQ35"/>
      <c r="CR35"/>
      <c r="CS35"/>
      <c r="CT35"/>
      <c r="CU35"/>
      <c r="CV35" s="558"/>
      <c r="CW35"/>
      <c r="CX35"/>
      <c r="CY35"/>
      <c r="CZ35"/>
      <c r="DA35"/>
      <c r="DB35"/>
      <c r="DC35"/>
      <c r="DD35"/>
      <c r="DE35"/>
      <c r="DF35"/>
      <c r="DG35" s="455">
        <v>2.2149999999999999</v>
      </c>
      <c r="DH35" s="455">
        <v>1</v>
      </c>
      <c r="DI35"/>
      <c r="DJ35"/>
      <c r="DK35"/>
      <c r="DL35"/>
      <c r="DM35"/>
      <c r="DN35"/>
      <c r="DO35"/>
      <c r="DP35"/>
      <c r="DQ35"/>
      <c r="DR35"/>
      <c r="DS35"/>
      <c r="DT35"/>
      <c r="DU35" s="558"/>
      <c r="DV35"/>
      <c r="DW35"/>
      <c r="DX35"/>
      <c r="DZ35" s="455">
        <v>2.2149999999999999</v>
      </c>
      <c r="EA35" s="455"/>
      <c r="EB35"/>
      <c r="EC35"/>
      <c r="ED35"/>
      <c r="EE35">
        <v>1</v>
      </c>
      <c r="EF35"/>
      <c r="EG35" s="558"/>
      <c r="EH35"/>
      <c r="EJ35" s="455">
        <v>2.2149999999999999</v>
      </c>
      <c r="EK35" s="455"/>
      <c r="EL35"/>
      <c r="EM35"/>
      <c r="EN35"/>
      <c r="EO35"/>
      <c r="EP35"/>
      <c r="EQ35"/>
      <c r="ER35"/>
      <c r="ES35"/>
      <c r="ET35"/>
      <c r="EU35"/>
      <c r="EV35"/>
      <c r="EW35"/>
      <c r="EX35"/>
      <c r="EY35"/>
      <c r="EZ35"/>
      <c r="FA35"/>
      <c r="FB35"/>
      <c r="FC35"/>
      <c r="FD35"/>
      <c r="FE35"/>
      <c r="FF35">
        <v>1</v>
      </c>
      <c r="FG35"/>
      <c r="FH35" s="558"/>
      <c r="FI35"/>
      <c r="FK35" s="449" t="s">
        <v>6763</v>
      </c>
      <c r="FL35" s="457"/>
      <c r="FM35" s="449">
        <v>1</v>
      </c>
      <c r="FN35" s="452"/>
      <c r="FO35" s="452"/>
      <c r="FP35" s="452"/>
      <c r="FQ35" s="452"/>
      <c r="FR35" s="452"/>
      <c r="FS35" s="452"/>
      <c r="FT35" s="452"/>
      <c r="FU35" s="452"/>
      <c r="FV35" s="452"/>
      <c r="FW35" s="452"/>
      <c r="FX35" s="452"/>
      <c r="FY35" s="452"/>
      <c r="FZ35" s="453"/>
      <c r="GA35"/>
      <c r="GB35"/>
      <c r="GC35"/>
      <c r="GD35"/>
    </row>
    <row r="36" spans="1:186" x14ac:dyDescent="0.15">
      <c r="A36" s="30" t="s">
        <v>137</v>
      </c>
      <c r="AG36" s="455">
        <v>1.1140000000000001</v>
      </c>
      <c r="AH36" s="556">
        <v>1</v>
      </c>
      <c r="AJ36" s="455">
        <v>1.1140000000000001</v>
      </c>
      <c r="AK36" s="556">
        <v>1</v>
      </c>
      <c r="AL36"/>
      <c r="AM36"/>
      <c r="AN36"/>
      <c r="AO36" s="455">
        <v>1.1140000000000001</v>
      </c>
      <c r="AP36" s="455"/>
      <c r="AQ36"/>
      <c r="AR36"/>
      <c r="AS36"/>
      <c r="AT36"/>
      <c r="AU36"/>
      <c r="AV36"/>
      <c r="AW36"/>
      <c r="AX36"/>
      <c r="AY36"/>
      <c r="AZ36"/>
      <c r="BA36">
        <v>1</v>
      </c>
      <c r="BB36"/>
      <c r="BC36" s="558"/>
      <c r="BD36"/>
      <c r="BE36"/>
      <c r="BF36"/>
      <c r="BG36"/>
      <c r="BH36" s="455">
        <v>1.1140000000000001</v>
      </c>
      <c r="BI36" s="455">
        <v>1</v>
      </c>
      <c r="BJ36"/>
      <c r="BK36"/>
      <c r="BL36"/>
      <c r="BM36"/>
      <c r="BN36"/>
      <c r="BO36" s="558"/>
      <c r="BP36" s="455">
        <v>1.1140000000000001</v>
      </c>
      <c r="BQ36" s="455">
        <v>1</v>
      </c>
      <c r="BR36"/>
      <c r="BS36"/>
      <c r="BT36"/>
      <c r="BU36" s="558"/>
      <c r="BV36"/>
      <c r="BW36"/>
      <c r="BZ36" s="455">
        <v>1.1140000000000001</v>
      </c>
      <c r="CA36" s="556">
        <v>1</v>
      </c>
      <c r="CB36"/>
      <c r="CC36"/>
      <c r="CD36"/>
      <c r="CF36" s="455">
        <v>1.1140000000000001</v>
      </c>
      <c r="CG36" s="455"/>
      <c r="CH36"/>
      <c r="CI36"/>
      <c r="CJ36"/>
      <c r="CK36"/>
      <c r="CL36"/>
      <c r="CM36">
        <v>1</v>
      </c>
      <c r="CN36"/>
      <c r="CO36"/>
      <c r="CP36"/>
      <c r="CQ36"/>
      <c r="CR36"/>
      <c r="CS36"/>
      <c r="CT36"/>
      <c r="CU36"/>
      <c r="CV36" s="558"/>
      <c r="CW36"/>
      <c r="CX36"/>
      <c r="CY36"/>
      <c r="CZ36"/>
      <c r="DA36"/>
      <c r="DB36"/>
      <c r="DC36"/>
      <c r="DD36"/>
      <c r="DE36"/>
      <c r="DF36"/>
      <c r="DG36" s="455">
        <v>1.1140000000000001</v>
      </c>
      <c r="DH36" s="455">
        <v>1</v>
      </c>
      <c r="DI36"/>
      <c r="DJ36"/>
      <c r="DK36"/>
      <c r="DL36"/>
      <c r="DM36"/>
      <c r="DN36"/>
      <c r="DO36"/>
      <c r="DP36"/>
      <c r="DQ36"/>
      <c r="DR36"/>
      <c r="DS36"/>
      <c r="DT36"/>
      <c r="DU36" s="558"/>
      <c r="DV36"/>
      <c r="DW36"/>
      <c r="DX36"/>
      <c r="DZ36" s="455">
        <v>1.1140000000000001</v>
      </c>
      <c r="EA36" s="455"/>
      <c r="EB36"/>
      <c r="EC36"/>
      <c r="ED36">
        <v>1</v>
      </c>
      <c r="EE36"/>
      <c r="EF36"/>
      <c r="EG36" s="558"/>
      <c r="EH36"/>
      <c r="EJ36" s="455">
        <v>1.1140000000000001</v>
      </c>
      <c r="EK36" s="455"/>
      <c r="EL36"/>
      <c r="EM36">
        <v>1</v>
      </c>
      <c r="EN36"/>
      <c r="EO36"/>
      <c r="EP36"/>
      <c r="EQ36"/>
      <c r="ER36"/>
      <c r="ES36"/>
      <c r="ET36"/>
      <c r="EU36"/>
      <c r="EV36"/>
      <c r="EW36"/>
      <c r="EX36"/>
      <c r="EY36"/>
      <c r="EZ36"/>
      <c r="FA36"/>
      <c r="FB36"/>
      <c r="FC36"/>
      <c r="FD36"/>
      <c r="FE36"/>
      <c r="FF36"/>
      <c r="FG36"/>
      <c r="FH36" s="558"/>
      <c r="FI36"/>
      <c r="FK36" s="449">
        <v>0.32700000000000001</v>
      </c>
      <c r="FL36" s="449" t="s">
        <v>406</v>
      </c>
      <c r="FM36" s="449"/>
      <c r="FN36" s="452">
        <v>1</v>
      </c>
      <c r="FO36" s="452"/>
      <c r="FP36" s="452"/>
      <c r="FQ36" s="452"/>
      <c r="FR36" s="452"/>
      <c r="FS36" s="452"/>
      <c r="FT36" s="452"/>
      <c r="FU36" s="452"/>
      <c r="FV36" s="452"/>
      <c r="FW36" s="452"/>
      <c r="FX36" s="452"/>
      <c r="FY36" s="452"/>
      <c r="FZ36" s="453"/>
      <c r="GA36"/>
      <c r="GB36"/>
      <c r="GC36"/>
      <c r="GD36"/>
    </row>
    <row r="37" spans="1:186" x14ac:dyDescent="0.15">
      <c r="AG37" s="455">
        <v>2.028</v>
      </c>
      <c r="AH37" s="556">
        <v>1</v>
      </c>
      <c r="AJ37" s="455">
        <v>2.028</v>
      </c>
      <c r="AK37" s="556">
        <v>1</v>
      </c>
      <c r="AL37"/>
      <c r="AM37"/>
      <c r="AN37"/>
      <c r="AO37" s="455">
        <v>2.028</v>
      </c>
      <c r="AP37" s="455"/>
      <c r="AQ37"/>
      <c r="AR37"/>
      <c r="AS37"/>
      <c r="AT37">
        <v>1</v>
      </c>
      <c r="AU37"/>
      <c r="AV37"/>
      <c r="AW37"/>
      <c r="AX37"/>
      <c r="AY37"/>
      <c r="AZ37"/>
      <c r="BA37"/>
      <c r="BB37"/>
      <c r="BC37" s="558"/>
      <c r="BD37"/>
      <c r="BE37"/>
      <c r="BF37"/>
      <c r="BG37"/>
      <c r="BH37" s="455">
        <v>2.028</v>
      </c>
      <c r="BI37" s="455"/>
      <c r="BJ37">
        <v>1</v>
      </c>
      <c r="BK37"/>
      <c r="BL37"/>
      <c r="BM37"/>
      <c r="BN37"/>
      <c r="BO37" s="558"/>
      <c r="BP37" s="455">
        <v>2.028</v>
      </c>
      <c r="BQ37" s="455"/>
      <c r="BR37"/>
      <c r="BS37">
        <v>1</v>
      </c>
      <c r="BT37"/>
      <c r="BU37" s="558"/>
      <c r="BV37"/>
      <c r="BW37"/>
      <c r="BZ37" s="455">
        <v>2.028</v>
      </c>
      <c r="CA37" s="556">
        <v>1</v>
      </c>
      <c r="CB37"/>
      <c r="CC37"/>
      <c r="CD37"/>
      <c r="CF37" s="455">
        <v>2.028</v>
      </c>
      <c r="CG37" s="455"/>
      <c r="CH37"/>
      <c r="CI37">
        <v>1</v>
      </c>
      <c r="CJ37"/>
      <c r="CK37"/>
      <c r="CL37"/>
      <c r="CM37"/>
      <c r="CN37"/>
      <c r="CO37"/>
      <c r="CP37"/>
      <c r="CQ37"/>
      <c r="CR37"/>
      <c r="CS37"/>
      <c r="CT37"/>
      <c r="CU37"/>
      <c r="CV37" s="558"/>
      <c r="CW37"/>
      <c r="CX37"/>
      <c r="CY37"/>
      <c r="CZ37"/>
      <c r="DA37"/>
      <c r="DB37"/>
      <c r="DC37"/>
      <c r="DD37"/>
      <c r="DE37"/>
      <c r="DF37"/>
      <c r="DG37" s="455">
        <v>2.028</v>
      </c>
      <c r="DH37" s="455">
        <v>1</v>
      </c>
      <c r="DI37"/>
      <c r="DJ37"/>
      <c r="DK37"/>
      <c r="DL37"/>
      <c r="DM37"/>
      <c r="DN37"/>
      <c r="DO37"/>
      <c r="DP37"/>
      <c r="DQ37"/>
      <c r="DR37"/>
      <c r="DS37"/>
      <c r="DT37"/>
      <c r="DU37" s="558"/>
      <c r="DV37"/>
      <c r="DW37"/>
      <c r="DX37"/>
      <c r="DZ37" s="455">
        <v>2.028</v>
      </c>
      <c r="EA37" s="455"/>
      <c r="EB37"/>
      <c r="EC37"/>
      <c r="ED37"/>
      <c r="EE37"/>
      <c r="EF37"/>
      <c r="EG37" s="558">
        <v>1</v>
      </c>
      <c r="EH37"/>
      <c r="EJ37" s="455">
        <v>2.028</v>
      </c>
      <c r="EK37" s="455"/>
      <c r="EL37"/>
      <c r="EM37"/>
      <c r="EN37"/>
      <c r="EO37"/>
      <c r="EP37"/>
      <c r="EQ37"/>
      <c r="ER37"/>
      <c r="ES37"/>
      <c r="ET37"/>
      <c r="EU37"/>
      <c r="EV37"/>
      <c r="EW37"/>
      <c r="EX37"/>
      <c r="EY37"/>
      <c r="EZ37"/>
      <c r="FA37"/>
      <c r="FB37"/>
      <c r="FC37">
        <v>1</v>
      </c>
      <c r="FD37"/>
      <c r="FE37"/>
      <c r="FF37"/>
      <c r="FG37"/>
      <c r="FH37" s="558"/>
      <c r="FI37"/>
      <c r="FK37" s="449" t="s">
        <v>6764</v>
      </c>
      <c r="FL37" s="457"/>
      <c r="FM37" s="449"/>
      <c r="FN37" s="452">
        <v>1</v>
      </c>
      <c r="FO37" s="452"/>
      <c r="FP37" s="452"/>
      <c r="FQ37" s="452"/>
      <c r="FR37" s="452"/>
      <c r="FS37" s="452"/>
      <c r="FT37" s="452"/>
      <c r="FU37" s="452"/>
      <c r="FV37" s="452"/>
      <c r="FW37" s="452"/>
      <c r="FX37" s="452"/>
      <c r="FY37" s="452"/>
      <c r="FZ37" s="453"/>
      <c r="GA37"/>
      <c r="GB37"/>
      <c r="GC37"/>
      <c r="GD37"/>
    </row>
    <row r="38" spans="1:186" x14ac:dyDescent="0.15">
      <c r="AG38" s="455">
        <v>3.0000000000000001E-3</v>
      </c>
      <c r="AH38" s="556">
        <v>2</v>
      </c>
      <c r="AJ38" s="455">
        <v>3.0000000000000001E-3</v>
      </c>
      <c r="AK38" s="556">
        <v>2</v>
      </c>
      <c r="AL38"/>
      <c r="AM38"/>
      <c r="AN38"/>
      <c r="AO38" s="455">
        <v>3.0000000000000001E-3</v>
      </c>
      <c r="AP38" s="455">
        <v>1</v>
      </c>
      <c r="AQ38"/>
      <c r="AR38"/>
      <c r="AS38"/>
      <c r="AT38"/>
      <c r="AU38"/>
      <c r="AV38"/>
      <c r="AW38"/>
      <c r="AX38"/>
      <c r="AY38"/>
      <c r="AZ38">
        <v>1</v>
      </c>
      <c r="BA38"/>
      <c r="BB38"/>
      <c r="BC38" s="558"/>
      <c r="BD38"/>
      <c r="BE38"/>
      <c r="BF38"/>
      <c r="BG38"/>
      <c r="BH38" s="455">
        <v>3.0000000000000001E-3</v>
      </c>
      <c r="BI38" s="455">
        <v>1</v>
      </c>
      <c r="BJ38"/>
      <c r="BK38"/>
      <c r="BL38"/>
      <c r="BM38"/>
      <c r="BN38"/>
      <c r="BO38" s="558">
        <v>1</v>
      </c>
      <c r="BP38" s="455">
        <v>3.0000000000000001E-3</v>
      </c>
      <c r="BQ38" s="455"/>
      <c r="BR38">
        <v>1</v>
      </c>
      <c r="BS38">
        <v>1</v>
      </c>
      <c r="BT38"/>
      <c r="BU38" s="558"/>
      <c r="BV38"/>
      <c r="BW38"/>
      <c r="BZ38" s="455">
        <v>3.0000000000000001E-3</v>
      </c>
      <c r="CA38" s="556">
        <v>2</v>
      </c>
      <c r="CB38"/>
      <c r="CC38"/>
      <c r="CD38"/>
      <c r="CF38" s="455">
        <v>3.0000000000000001E-3</v>
      </c>
      <c r="CG38" s="455"/>
      <c r="CH38"/>
      <c r="CI38"/>
      <c r="CJ38">
        <v>2</v>
      </c>
      <c r="CK38"/>
      <c r="CL38"/>
      <c r="CM38"/>
      <c r="CN38"/>
      <c r="CO38"/>
      <c r="CP38"/>
      <c r="CQ38"/>
      <c r="CR38"/>
      <c r="CS38"/>
      <c r="CT38"/>
      <c r="CU38"/>
      <c r="CV38" s="558"/>
      <c r="CW38"/>
      <c r="CX38"/>
      <c r="CY38"/>
      <c r="CZ38"/>
      <c r="DA38"/>
      <c r="DB38"/>
      <c r="DC38"/>
      <c r="DD38"/>
      <c r="DE38"/>
      <c r="DF38"/>
      <c r="DG38" s="455">
        <v>3.0000000000000001E-3</v>
      </c>
      <c r="DH38" s="455">
        <v>1</v>
      </c>
      <c r="DI38">
        <v>1</v>
      </c>
      <c r="DJ38"/>
      <c r="DK38"/>
      <c r="DL38"/>
      <c r="DM38"/>
      <c r="DN38"/>
      <c r="DO38"/>
      <c r="DP38"/>
      <c r="DQ38"/>
      <c r="DR38"/>
      <c r="DS38"/>
      <c r="DT38"/>
      <c r="DU38" s="558"/>
      <c r="DV38"/>
      <c r="DW38"/>
      <c r="DX38"/>
      <c r="DZ38" s="455">
        <v>3.0000000000000001E-3</v>
      </c>
      <c r="EA38" s="455"/>
      <c r="EB38"/>
      <c r="EC38">
        <v>1</v>
      </c>
      <c r="ED38">
        <v>1</v>
      </c>
      <c r="EE38"/>
      <c r="EF38"/>
      <c r="EG38" s="558"/>
      <c r="EH38"/>
      <c r="EJ38" s="455">
        <v>3.0000000000000001E-3</v>
      </c>
      <c r="EK38" s="455"/>
      <c r="EL38"/>
      <c r="EM38"/>
      <c r="EN38"/>
      <c r="EO38">
        <v>1</v>
      </c>
      <c r="EP38"/>
      <c r="EQ38"/>
      <c r="ER38"/>
      <c r="ES38"/>
      <c r="ET38"/>
      <c r="EU38"/>
      <c r="EV38"/>
      <c r="EW38">
        <v>1</v>
      </c>
      <c r="EX38"/>
      <c r="EY38"/>
      <c r="EZ38"/>
      <c r="FA38"/>
      <c r="FB38"/>
      <c r="FC38"/>
      <c r="FD38"/>
      <c r="FE38"/>
      <c r="FF38"/>
      <c r="FG38"/>
      <c r="FH38" s="558"/>
      <c r="FI38"/>
      <c r="FK38" s="449">
        <v>0.44800000000000001</v>
      </c>
      <c r="FL38" s="449" t="s">
        <v>397</v>
      </c>
      <c r="FM38" s="449"/>
      <c r="FN38" s="452"/>
      <c r="FO38" s="452"/>
      <c r="FP38" s="452"/>
      <c r="FQ38" s="452"/>
      <c r="FR38" s="452"/>
      <c r="FS38" s="452"/>
      <c r="FT38" s="452"/>
      <c r="FU38" s="452"/>
      <c r="FV38" s="452"/>
      <c r="FW38" s="452"/>
      <c r="FX38" s="452">
        <v>1</v>
      </c>
      <c r="FY38" s="452"/>
      <c r="FZ38" s="453"/>
      <c r="GA38"/>
      <c r="GB38"/>
      <c r="GC38"/>
      <c r="GD38"/>
    </row>
    <row r="39" spans="1:186" x14ac:dyDescent="0.15">
      <c r="AG39" s="455">
        <v>28.84</v>
      </c>
      <c r="AH39" s="556">
        <v>1</v>
      </c>
      <c r="AJ39" s="455">
        <v>28.84</v>
      </c>
      <c r="AK39" s="556">
        <v>1</v>
      </c>
      <c r="AL39"/>
      <c r="AM39"/>
      <c r="AN39"/>
      <c r="AO39" s="455">
        <v>28.84</v>
      </c>
      <c r="AP39" s="455"/>
      <c r="AQ39"/>
      <c r="AR39">
        <v>1</v>
      </c>
      <c r="AS39"/>
      <c r="AT39"/>
      <c r="AU39"/>
      <c r="AV39"/>
      <c r="AW39"/>
      <c r="AX39"/>
      <c r="AY39"/>
      <c r="AZ39"/>
      <c r="BA39"/>
      <c r="BB39"/>
      <c r="BC39" s="558"/>
      <c r="BD39"/>
      <c r="BE39"/>
      <c r="BF39"/>
      <c r="BG39"/>
      <c r="BH39" s="455">
        <v>28.84</v>
      </c>
      <c r="BI39" s="455">
        <v>1</v>
      </c>
      <c r="BJ39"/>
      <c r="BK39"/>
      <c r="BL39"/>
      <c r="BM39"/>
      <c r="BN39"/>
      <c r="BO39" s="558"/>
      <c r="BP39" s="455">
        <v>28.84</v>
      </c>
      <c r="BQ39" s="455"/>
      <c r="BR39">
        <v>1</v>
      </c>
      <c r="BS39"/>
      <c r="BT39"/>
      <c r="BU39" s="558"/>
      <c r="BV39"/>
      <c r="BW39"/>
      <c r="BZ39" s="455">
        <v>28.84</v>
      </c>
      <c r="CA39" s="556">
        <v>1</v>
      </c>
      <c r="CB39"/>
      <c r="CC39"/>
      <c r="CD39"/>
      <c r="CF39" s="455">
        <v>28.84</v>
      </c>
      <c r="CG39" s="455"/>
      <c r="CH39"/>
      <c r="CI39"/>
      <c r="CJ39"/>
      <c r="CK39"/>
      <c r="CL39"/>
      <c r="CM39"/>
      <c r="CN39"/>
      <c r="CO39">
        <v>1</v>
      </c>
      <c r="CP39"/>
      <c r="CQ39"/>
      <c r="CR39"/>
      <c r="CS39"/>
      <c r="CT39"/>
      <c r="CU39"/>
      <c r="CV39" s="558"/>
      <c r="CW39"/>
      <c r="CX39"/>
      <c r="CY39"/>
      <c r="CZ39"/>
      <c r="DA39"/>
      <c r="DB39"/>
      <c r="DC39"/>
      <c r="DD39"/>
      <c r="DE39"/>
      <c r="DF39"/>
      <c r="DG39" s="455">
        <v>28.84</v>
      </c>
      <c r="DH39" s="455"/>
      <c r="DI39"/>
      <c r="DJ39"/>
      <c r="DK39"/>
      <c r="DL39"/>
      <c r="DM39">
        <v>1</v>
      </c>
      <c r="DN39"/>
      <c r="DO39"/>
      <c r="DP39"/>
      <c r="DQ39"/>
      <c r="DR39"/>
      <c r="DS39"/>
      <c r="DT39"/>
      <c r="DU39" s="558"/>
      <c r="DV39"/>
      <c r="DW39"/>
      <c r="DX39"/>
      <c r="DZ39" s="455">
        <v>28.84</v>
      </c>
      <c r="EA39" s="455"/>
      <c r="EB39"/>
      <c r="EC39"/>
      <c r="ED39"/>
      <c r="EE39"/>
      <c r="EF39"/>
      <c r="EG39" s="558">
        <v>1</v>
      </c>
      <c r="EH39"/>
      <c r="EJ39" s="455">
        <v>28.84</v>
      </c>
      <c r="EK39" s="455"/>
      <c r="EL39"/>
      <c r="EM39"/>
      <c r="EN39"/>
      <c r="EO39"/>
      <c r="EP39"/>
      <c r="EQ39"/>
      <c r="ER39"/>
      <c r="ES39"/>
      <c r="ET39"/>
      <c r="EU39"/>
      <c r="EV39">
        <v>1</v>
      </c>
      <c r="EW39"/>
      <c r="EX39"/>
      <c r="EY39"/>
      <c r="EZ39"/>
      <c r="FA39"/>
      <c r="FB39"/>
      <c r="FC39"/>
      <c r="FD39"/>
      <c r="FE39"/>
      <c r="FF39"/>
      <c r="FG39"/>
      <c r="FH39" s="558"/>
      <c r="FI39"/>
      <c r="FK39" s="449" t="s">
        <v>6765</v>
      </c>
      <c r="FL39" s="457"/>
      <c r="FM39" s="449"/>
      <c r="FN39" s="452"/>
      <c r="FO39" s="452"/>
      <c r="FP39" s="452"/>
      <c r="FQ39" s="452"/>
      <c r="FR39" s="452"/>
      <c r="FS39" s="452"/>
      <c r="FT39" s="452"/>
      <c r="FU39" s="452"/>
      <c r="FV39" s="452"/>
      <c r="FW39" s="452"/>
      <c r="FX39" s="452">
        <v>1</v>
      </c>
      <c r="FY39" s="452"/>
      <c r="FZ39" s="453"/>
      <c r="GA39"/>
      <c r="GB39"/>
      <c r="GC39"/>
      <c r="GD39"/>
    </row>
    <row r="40" spans="1:186" x14ac:dyDescent="0.15">
      <c r="AG40" s="455">
        <v>4.633</v>
      </c>
      <c r="AH40" s="556">
        <v>1</v>
      </c>
      <c r="AJ40" s="455">
        <v>4.633</v>
      </c>
      <c r="AK40" s="556">
        <v>1</v>
      </c>
      <c r="AL40"/>
      <c r="AM40"/>
      <c r="AN40"/>
      <c r="AO40" s="455">
        <v>4.633</v>
      </c>
      <c r="AP40" s="455"/>
      <c r="AQ40"/>
      <c r="AR40"/>
      <c r="AS40"/>
      <c r="AT40"/>
      <c r="AU40">
        <v>1</v>
      </c>
      <c r="AV40"/>
      <c r="AW40"/>
      <c r="AX40"/>
      <c r="AY40"/>
      <c r="AZ40"/>
      <c r="BA40"/>
      <c r="BB40"/>
      <c r="BC40" s="558"/>
      <c r="BD40"/>
      <c r="BE40"/>
      <c r="BF40"/>
      <c r="BG40"/>
      <c r="BH40" s="455">
        <v>4.633</v>
      </c>
      <c r="BI40" s="455">
        <v>1</v>
      </c>
      <c r="BJ40"/>
      <c r="BK40"/>
      <c r="BL40"/>
      <c r="BM40"/>
      <c r="BN40"/>
      <c r="BO40" s="558"/>
      <c r="BP40" s="455">
        <v>4.633</v>
      </c>
      <c r="BQ40" s="455"/>
      <c r="BR40"/>
      <c r="BS40">
        <v>1</v>
      </c>
      <c r="BT40"/>
      <c r="BU40" s="558"/>
      <c r="BV40"/>
      <c r="BW40"/>
      <c r="BZ40" s="455">
        <v>4.633</v>
      </c>
      <c r="CA40" s="556">
        <v>1</v>
      </c>
      <c r="CB40"/>
      <c r="CC40"/>
      <c r="CD40"/>
      <c r="CF40" s="455">
        <v>4.633</v>
      </c>
      <c r="CG40" s="455"/>
      <c r="CH40"/>
      <c r="CI40"/>
      <c r="CJ40"/>
      <c r="CK40"/>
      <c r="CL40"/>
      <c r="CM40"/>
      <c r="CN40"/>
      <c r="CO40"/>
      <c r="CP40"/>
      <c r="CQ40"/>
      <c r="CR40">
        <v>1</v>
      </c>
      <c r="CS40"/>
      <c r="CT40"/>
      <c r="CU40"/>
      <c r="CV40" s="558"/>
      <c r="CW40"/>
      <c r="CX40"/>
      <c r="CY40"/>
      <c r="CZ40"/>
      <c r="DA40"/>
      <c r="DB40"/>
      <c r="DC40"/>
      <c r="DD40"/>
      <c r="DE40"/>
      <c r="DF40"/>
      <c r="DG40" s="455">
        <v>4.633</v>
      </c>
      <c r="DH40" s="455">
        <v>1</v>
      </c>
      <c r="DI40"/>
      <c r="DJ40"/>
      <c r="DK40"/>
      <c r="DL40"/>
      <c r="DM40"/>
      <c r="DN40"/>
      <c r="DO40"/>
      <c r="DP40"/>
      <c r="DQ40"/>
      <c r="DR40"/>
      <c r="DS40"/>
      <c r="DT40"/>
      <c r="DU40" s="558"/>
      <c r="DV40"/>
      <c r="DW40"/>
      <c r="DX40"/>
      <c r="DZ40" s="455">
        <v>4.633</v>
      </c>
      <c r="EA40" s="455"/>
      <c r="EB40">
        <v>1</v>
      </c>
      <c r="EC40"/>
      <c r="ED40"/>
      <c r="EE40"/>
      <c r="EF40"/>
      <c r="EG40" s="558"/>
      <c r="EH40"/>
      <c r="EJ40" s="455">
        <v>4.633</v>
      </c>
      <c r="EK40" s="455"/>
      <c r="EL40"/>
      <c r="EM40"/>
      <c r="EN40"/>
      <c r="EO40"/>
      <c r="EP40"/>
      <c r="EQ40"/>
      <c r="ER40"/>
      <c r="ES40"/>
      <c r="ET40"/>
      <c r="EU40"/>
      <c r="EV40"/>
      <c r="EW40"/>
      <c r="EX40"/>
      <c r="EY40"/>
      <c r="EZ40"/>
      <c r="FA40"/>
      <c r="FB40"/>
      <c r="FC40"/>
      <c r="FD40"/>
      <c r="FE40"/>
      <c r="FF40"/>
      <c r="FG40"/>
      <c r="FH40" s="558">
        <v>1</v>
      </c>
      <c r="FI40"/>
      <c r="FK40" s="449">
        <v>10.111000000000001</v>
      </c>
      <c r="FL40" s="449" t="s">
        <v>397</v>
      </c>
      <c r="FM40" s="449"/>
      <c r="FN40" s="452">
        <v>1</v>
      </c>
      <c r="FO40" s="452"/>
      <c r="FP40" s="452"/>
      <c r="FQ40" s="452"/>
      <c r="FR40" s="452"/>
      <c r="FS40" s="452"/>
      <c r="FT40" s="452"/>
      <c r="FU40" s="452"/>
      <c r="FV40" s="452"/>
      <c r="FW40" s="452"/>
      <c r="FX40" s="452"/>
      <c r="FY40" s="452"/>
      <c r="FZ40" s="453"/>
      <c r="GA40"/>
      <c r="GB40"/>
      <c r="GC40"/>
      <c r="GD40"/>
    </row>
    <row r="41" spans="1:186" x14ac:dyDescent="0.15">
      <c r="AG41" s="455">
        <v>1.94</v>
      </c>
      <c r="AH41" s="556">
        <v>1</v>
      </c>
      <c r="AJ41" s="455">
        <v>1.94</v>
      </c>
      <c r="AK41" s="556">
        <v>1</v>
      </c>
      <c r="AL41"/>
      <c r="AM41"/>
      <c r="AN41"/>
      <c r="AO41" s="455">
        <v>1.94</v>
      </c>
      <c r="AP41" s="455"/>
      <c r="AQ41"/>
      <c r="AR41"/>
      <c r="AS41"/>
      <c r="AT41"/>
      <c r="AU41"/>
      <c r="AV41"/>
      <c r="AW41">
        <v>1</v>
      </c>
      <c r="AX41"/>
      <c r="AY41"/>
      <c r="AZ41"/>
      <c r="BA41"/>
      <c r="BB41"/>
      <c r="BC41" s="558"/>
      <c r="BD41"/>
      <c r="BE41"/>
      <c r="BF41"/>
      <c r="BG41"/>
      <c r="BH41" s="455">
        <v>1.94</v>
      </c>
      <c r="BI41" s="455"/>
      <c r="BJ41">
        <v>1</v>
      </c>
      <c r="BK41"/>
      <c r="BL41"/>
      <c r="BM41"/>
      <c r="BN41"/>
      <c r="BO41" s="558"/>
      <c r="BP41" s="455">
        <v>1.94</v>
      </c>
      <c r="BQ41" s="455"/>
      <c r="BR41"/>
      <c r="BS41">
        <v>1</v>
      </c>
      <c r="BT41"/>
      <c r="BU41" s="558"/>
      <c r="BV41"/>
      <c r="BW41"/>
      <c r="BZ41" s="455">
        <v>1.94</v>
      </c>
      <c r="CA41" s="556">
        <v>1</v>
      </c>
      <c r="CB41"/>
      <c r="CC41"/>
      <c r="CD41"/>
      <c r="CF41" s="455">
        <v>1.94</v>
      </c>
      <c r="CG41" s="455"/>
      <c r="CH41"/>
      <c r="CI41"/>
      <c r="CJ41"/>
      <c r="CK41">
        <v>1</v>
      </c>
      <c r="CL41"/>
      <c r="CM41"/>
      <c r="CN41"/>
      <c r="CO41"/>
      <c r="CP41"/>
      <c r="CQ41"/>
      <c r="CR41"/>
      <c r="CS41"/>
      <c r="CT41"/>
      <c r="CU41"/>
      <c r="CV41" s="558"/>
      <c r="CW41"/>
      <c r="CX41"/>
      <c r="CY41"/>
      <c r="CZ41"/>
      <c r="DA41"/>
      <c r="DB41"/>
      <c r="DC41"/>
      <c r="DD41"/>
      <c r="DE41"/>
      <c r="DF41"/>
      <c r="DG41" s="455">
        <v>1.94</v>
      </c>
      <c r="DH41" s="455"/>
      <c r="DI41"/>
      <c r="DJ41">
        <v>1</v>
      </c>
      <c r="DK41"/>
      <c r="DL41"/>
      <c r="DM41"/>
      <c r="DN41"/>
      <c r="DO41"/>
      <c r="DP41"/>
      <c r="DQ41"/>
      <c r="DR41"/>
      <c r="DS41"/>
      <c r="DT41"/>
      <c r="DU41" s="558"/>
      <c r="DV41"/>
      <c r="DW41"/>
      <c r="DX41"/>
      <c r="DZ41" s="455">
        <v>1.94</v>
      </c>
      <c r="EA41" s="455"/>
      <c r="EB41"/>
      <c r="EC41">
        <v>1</v>
      </c>
      <c r="ED41"/>
      <c r="EE41"/>
      <c r="EF41"/>
      <c r="EG41" s="558"/>
      <c r="EH41"/>
      <c r="EJ41" s="455">
        <v>1.94</v>
      </c>
      <c r="EK41" s="455"/>
      <c r="EL41">
        <v>1</v>
      </c>
      <c r="EM41"/>
      <c r="EN41"/>
      <c r="EO41"/>
      <c r="EP41"/>
      <c r="EQ41"/>
      <c r="ER41"/>
      <c r="ES41"/>
      <c r="ET41"/>
      <c r="EU41"/>
      <c r="EV41"/>
      <c r="EW41"/>
      <c r="EX41"/>
      <c r="EY41"/>
      <c r="EZ41"/>
      <c r="FA41"/>
      <c r="FB41"/>
      <c r="FC41"/>
      <c r="FD41"/>
      <c r="FE41"/>
      <c r="FF41"/>
      <c r="FG41"/>
      <c r="FH41" s="558"/>
      <c r="FI41"/>
      <c r="FK41" s="449" t="s">
        <v>6766</v>
      </c>
      <c r="FL41" s="457"/>
      <c r="FM41" s="449"/>
      <c r="FN41" s="452">
        <v>1</v>
      </c>
      <c r="FO41" s="452"/>
      <c r="FP41" s="452"/>
      <c r="FQ41" s="452"/>
      <c r="FR41" s="452"/>
      <c r="FS41" s="452"/>
      <c r="FT41" s="452"/>
      <c r="FU41" s="452"/>
      <c r="FV41" s="452"/>
      <c r="FW41" s="452"/>
      <c r="FX41" s="452"/>
      <c r="FY41" s="452"/>
      <c r="FZ41" s="453"/>
      <c r="GA41"/>
      <c r="GB41"/>
      <c r="GC41"/>
      <c r="GD41"/>
    </row>
    <row r="42" spans="1:186" x14ac:dyDescent="0.15">
      <c r="AG42" s="455">
        <v>18.082999999999998</v>
      </c>
      <c r="AH42" s="556">
        <v>1</v>
      </c>
      <c r="AJ42" s="455">
        <v>18.082999999999998</v>
      </c>
      <c r="AK42" s="556">
        <v>1</v>
      </c>
      <c r="AL42"/>
      <c r="AM42"/>
      <c r="AN42"/>
      <c r="AO42" s="455">
        <v>18.082999999999998</v>
      </c>
      <c r="AP42" s="455"/>
      <c r="AQ42">
        <v>1</v>
      </c>
      <c r="AR42"/>
      <c r="AS42"/>
      <c r="AT42"/>
      <c r="AU42"/>
      <c r="AV42"/>
      <c r="AW42"/>
      <c r="AX42"/>
      <c r="AY42"/>
      <c r="AZ42"/>
      <c r="BA42"/>
      <c r="BB42"/>
      <c r="BC42" s="558"/>
      <c r="BD42"/>
      <c r="BE42"/>
      <c r="BF42"/>
      <c r="BG42"/>
      <c r="BH42" s="455">
        <v>18.082999999999998</v>
      </c>
      <c r="BI42" s="455">
        <v>1</v>
      </c>
      <c r="BJ42"/>
      <c r="BK42"/>
      <c r="BL42"/>
      <c r="BM42"/>
      <c r="BN42"/>
      <c r="BO42" s="558"/>
      <c r="BP42" s="455">
        <v>18.082999999999998</v>
      </c>
      <c r="BQ42" s="455">
        <v>1</v>
      </c>
      <c r="BR42"/>
      <c r="BS42"/>
      <c r="BT42"/>
      <c r="BU42" s="558"/>
      <c r="BV42"/>
      <c r="BW42"/>
      <c r="BZ42" s="455">
        <v>18.082999999999998</v>
      </c>
      <c r="CA42" s="556">
        <v>1</v>
      </c>
      <c r="CB42"/>
      <c r="CC42"/>
      <c r="CD42"/>
      <c r="CF42" s="455">
        <v>18.082999999999998</v>
      </c>
      <c r="CG42" s="455"/>
      <c r="CH42">
        <v>1</v>
      </c>
      <c r="CI42"/>
      <c r="CJ42"/>
      <c r="CK42"/>
      <c r="CL42"/>
      <c r="CM42"/>
      <c r="CN42"/>
      <c r="CO42"/>
      <c r="CP42"/>
      <c r="CQ42"/>
      <c r="CR42"/>
      <c r="CS42"/>
      <c r="CT42"/>
      <c r="CU42"/>
      <c r="CV42" s="558"/>
      <c r="CW42"/>
      <c r="CX42"/>
      <c r="CY42"/>
      <c r="CZ42"/>
      <c r="DA42"/>
      <c r="DB42"/>
      <c r="DC42"/>
      <c r="DD42"/>
      <c r="DE42"/>
      <c r="DF42"/>
      <c r="DG42" s="455">
        <v>18.082999999999998</v>
      </c>
      <c r="DH42" s="455">
        <v>1</v>
      </c>
      <c r="DI42"/>
      <c r="DJ42"/>
      <c r="DK42"/>
      <c r="DL42"/>
      <c r="DM42"/>
      <c r="DN42"/>
      <c r="DO42"/>
      <c r="DP42"/>
      <c r="DQ42"/>
      <c r="DR42"/>
      <c r="DS42"/>
      <c r="DT42"/>
      <c r="DU42" s="558"/>
      <c r="DV42"/>
      <c r="DW42"/>
      <c r="DX42"/>
      <c r="DZ42" s="455">
        <v>18.082999999999998</v>
      </c>
      <c r="EA42" s="455">
        <v>1</v>
      </c>
      <c r="EB42"/>
      <c r="EC42"/>
      <c r="ED42"/>
      <c r="EE42"/>
      <c r="EF42"/>
      <c r="EG42" s="558"/>
      <c r="EH42"/>
      <c r="EJ42" s="455">
        <v>18.082999999999998</v>
      </c>
      <c r="EK42" s="455"/>
      <c r="EL42"/>
      <c r="EM42"/>
      <c r="EN42"/>
      <c r="EO42"/>
      <c r="EP42"/>
      <c r="EQ42"/>
      <c r="ER42"/>
      <c r="ES42"/>
      <c r="ET42"/>
      <c r="EU42"/>
      <c r="EV42"/>
      <c r="EW42"/>
      <c r="EX42"/>
      <c r="EY42"/>
      <c r="EZ42"/>
      <c r="FA42"/>
      <c r="FB42"/>
      <c r="FC42">
        <v>1</v>
      </c>
      <c r="FD42"/>
      <c r="FE42"/>
      <c r="FF42"/>
      <c r="FG42"/>
      <c r="FH42" s="558"/>
      <c r="FI42"/>
      <c r="FK42" s="449">
        <v>13.611000000000001</v>
      </c>
      <c r="FL42" s="449" t="s">
        <v>411</v>
      </c>
      <c r="FM42" s="449"/>
      <c r="FN42" s="452"/>
      <c r="FO42" s="452"/>
      <c r="FP42" s="452">
        <v>1</v>
      </c>
      <c r="FQ42" s="452"/>
      <c r="FR42" s="452"/>
      <c r="FS42" s="452"/>
      <c r="FT42" s="452"/>
      <c r="FU42" s="452"/>
      <c r="FV42" s="452"/>
      <c r="FW42" s="452"/>
      <c r="FX42" s="452"/>
      <c r="FY42" s="452"/>
      <c r="FZ42" s="453"/>
      <c r="GA42"/>
      <c r="GB42"/>
      <c r="GC42"/>
      <c r="GD42"/>
    </row>
    <row r="43" spans="1:186" x14ac:dyDescent="0.15">
      <c r="AG43" s="455">
        <v>6.0579999999999998</v>
      </c>
      <c r="AH43" s="556">
        <v>1</v>
      </c>
      <c r="AJ43" s="455">
        <v>6.0579999999999998</v>
      </c>
      <c r="AK43" s="556">
        <v>1</v>
      </c>
      <c r="AL43"/>
      <c r="AM43"/>
      <c r="AN43"/>
      <c r="AO43" s="455">
        <v>6.0579999999999998</v>
      </c>
      <c r="AP43" s="455"/>
      <c r="AQ43">
        <v>1</v>
      </c>
      <c r="AR43"/>
      <c r="AS43"/>
      <c r="AT43"/>
      <c r="AU43"/>
      <c r="AV43"/>
      <c r="AW43"/>
      <c r="AX43"/>
      <c r="AY43"/>
      <c r="AZ43"/>
      <c r="BA43"/>
      <c r="BB43"/>
      <c r="BC43" s="558"/>
      <c r="BD43"/>
      <c r="BE43"/>
      <c r="BF43"/>
      <c r="BG43"/>
      <c r="BH43" s="455">
        <v>6.0579999999999998</v>
      </c>
      <c r="BI43" s="455">
        <v>1</v>
      </c>
      <c r="BJ43"/>
      <c r="BK43"/>
      <c r="BL43"/>
      <c r="BM43"/>
      <c r="BN43"/>
      <c r="BO43" s="558"/>
      <c r="BP43" s="455">
        <v>6.0579999999999998</v>
      </c>
      <c r="BQ43" s="455">
        <v>1</v>
      </c>
      <c r="BR43"/>
      <c r="BS43"/>
      <c r="BT43"/>
      <c r="BU43" s="558"/>
      <c r="BV43"/>
      <c r="BW43"/>
      <c r="BZ43" s="455">
        <v>6.0579999999999998</v>
      </c>
      <c r="CA43" s="556">
        <v>1</v>
      </c>
      <c r="CB43"/>
      <c r="CC43"/>
      <c r="CD43"/>
      <c r="CF43" s="455">
        <v>6.0579999999999998</v>
      </c>
      <c r="CG43" s="455"/>
      <c r="CH43">
        <v>1</v>
      </c>
      <c r="CI43"/>
      <c r="CJ43"/>
      <c r="CK43"/>
      <c r="CL43"/>
      <c r="CM43"/>
      <c r="CN43"/>
      <c r="CO43"/>
      <c r="CP43"/>
      <c r="CQ43"/>
      <c r="CR43"/>
      <c r="CS43"/>
      <c r="CT43"/>
      <c r="CU43"/>
      <c r="CV43" s="558"/>
      <c r="CW43"/>
      <c r="CX43"/>
      <c r="CY43"/>
      <c r="CZ43"/>
      <c r="DA43"/>
      <c r="DB43"/>
      <c r="DC43"/>
      <c r="DD43"/>
      <c r="DE43"/>
      <c r="DF43"/>
      <c r="DG43" s="455">
        <v>6.0579999999999998</v>
      </c>
      <c r="DH43" s="455">
        <v>1</v>
      </c>
      <c r="DI43"/>
      <c r="DJ43"/>
      <c r="DK43"/>
      <c r="DL43"/>
      <c r="DM43"/>
      <c r="DN43"/>
      <c r="DO43"/>
      <c r="DP43"/>
      <c r="DQ43"/>
      <c r="DR43"/>
      <c r="DS43"/>
      <c r="DT43"/>
      <c r="DU43" s="558"/>
      <c r="DV43"/>
      <c r="DW43"/>
      <c r="DX43"/>
      <c r="DZ43" s="455">
        <v>6.0579999999999998</v>
      </c>
      <c r="EA43" s="455"/>
      <c r="EB43"/>
      <c r="EC43"/>
      <c r="ED43"/>
      <c r="EE43"/>
      <c r="EF43">
        <v>1</v>
      </c>
      <c r="EG43" s="558"/>
      <c r="EH43"/>
      <c r="EJ43" s="455">
        <v>6.0579999999999998</v>
      </c>
      <c r="EK43" s="455"/>
      <c r="EL43"/>
      <c r="EM43"/>
      <c r="EN43"/>
      <c r="EO43"/>
      <c r="EP43"/>
      <c r="EQ43">
        <v>1</v>
      </c>
      <c r="ER43"/>
      <c r="ES43"/>
      <c r="ET43"/>
      <c r="EU43"/>
      <c r="EV43"/>
      <c r="EW43"/>
      <c r="EX43"/>
      <c r="EY43"/>
      <c r="EZ43"/>
      <c r="FA43"/>
      <c r="FB43"/>
      <c r="FC43"/>
      <c r="FD43"/>
      <c r="FE43"/>
      <c r="FF43"/>
      <c r="FG43"/>
      <c r="FH43" s="558"/>
      <c r="FI43"/>
      <c r="FK43" s="449" t="s">
        <v>6767</v>
      </c>
      <c r="FL43" s="457"/>
      <c r="FM43" s="449"/>
      <c r="FN43" s="452"/>
      <c r="FO43" s="452"/>
      <c r="FP43" s="452">
        <v>1</v>
      </c>
      <c r="FQ43" s="452"/>
      <c r="FR43" s="452"/>
      <c r="FS43" s="452"/>
      <c r="FT43" s="452"/>
      <c r="FU43" s="452"/>
      <c r="FV43" s="452"/>
      <c r="FW43" s="452"/>
      <c r="FX43" s="452"/>
      <c r="FY43" s="452"/>
      <c r="FZ43" s="453"/>
      <c r="GA43"/>
      <c r="GB43"/>
      <c r="GC43"/>
      <c r="GD43"/>
    </row>
    <row r="44" spans="1:186" x14ac:dyDescent="0.15">
      <c r="AG44" s="455">
        <v>4.2110000000000003</v>
      </c>
      <c r="AH44" s="556">
        <v>1</v>
      </c>
      <c r="AJ44" s="455">
        <v>4.2110000000000003</v>
      </c>
      <c r="AK44" s="556">
        <v>1</v>
      </c>
      <c r="AL44"/>
      <c r="AM44"/>
      <c r="AN44"/>
      <c r="AO44" s="455">
        <v>4.2110000000000003</v>
      </c>
      <c r="AP44" s="455">
        <v>1</v>
      </c>
      <c r="AQ44"/>
      <c r="AR44"/>
      <c r="AS44"/>
      <c r="AT44"/>
      <c r="AU44"/>
      <c r="AV44"/>
      <c r="AW44"/>
      <c r="AX44"/>
      <c r="AY44"/>
      <c r="AZ44"/>
      <c r="BA44"/>
      <c r="BB44"/>
      <c r="BC44" s="558"/>
      <c r="BD44"/>
      <c r="BE44"/>
      <c r="BF44"/>
      <c r="BG44"/>
      <c r="BH44" s="455">
        <v>4.2110000000000003</v>
      </c>
      <c r="BI44" s="455"/>
      <c r="BJ44"/>
      <c r="BK44">
        <v>1</v>
      </c>
      <c r="BL44"/>
      <c r="BM44"/>
      <c r="BN44"/>
      <c r="BO44" s="558"/>
      <c r="BP44" s="455">
        <v>4.2110000000000003</v>
      </c>
      <c r="BQ44" s="455">
        <v>1</v>
      </c>
      <c r="BR44"/>
      <c r="BS44"/>
      <c r="BT44"/>
      <c r="BU44" s="558"/>
      <c r="BV44"/>
      <c r="BW44"/>
      <c r="BZ44" s="455">
        <v>4.2110000000000003</v>
      </c>
      <c r="CA44" s="556">
        <v>1</v>
      </c>
      <c r="CB44"/>
      <c r="CC44"/>
      <c r="CD44"/>
      <c r="CF44" s="455">
        <v>4.2110000000000003</v>
      </c>
      <c r="CG44" s="455"/>
      <c r="CH44"/>
      <c r="CI44"/>
      <c r="CJ44">
        <v>1</v>
      </c>
      <c r="CK44"/>
      <c r="CL44"/>
      <c r="CM44"/>
      <c r="CN44"/>
      <c r="CO44"/>
      <c r="CP44"/>
      <c r="CQ44"/>
      <c r="CR44"/>
      <c r="CS44"/>
      <c r="CT44"/>
      <c r="CU44"/>
      <c r="CV44" s="558"/>
      <c r="CW44"/>
      <c r="CX44"/>
      <c r="CY44"/>
      <c r="CZ44"/>
      <c r="DA44"/>
      <c r="DB44"/>
      <c r="DC44"/>
      <c r="DD44"/>
      <c r="DE44"/>
      <c r="DF44"/>
      <c r="DG44" s="455">
        <v>4.2110000000000003</v>
      </c>
      <c r="DH44" s="455"/>
      <c r="DI44"/>
      <c r="DJ44"/>
      <c r="DK44"/>
      <c r="DL44"/>
      <c r="DM44"/>
      <c r="DN44"/>
      <c r="DO44"/>
      <c r="DP44"/>
      <c r="DQ44"/>
      <c r="DR44"/>
      <c r="DS44">
        <v>1</v>
      </c>
      <c r="DT44"/>
      <c r="DU44" s="558"/>
      <c r="DV44"/>
      <c r="DW44"/>
      <c r="DX44"/>
      <c r="DZ44" s="455">
        <v>4.2110000000000003</v>
      </c>
      <c r="EA44" s="455"/>
      <c r="EB44"/>
      <c r="EC44"/>
      <c r="ED44"/>
      <c r="EE44"/>
      <c r="EF44">
        <v>1</v>
      </c>
      <c r="EG44" s="558"/>
      <c r="EH44"/>
      <c r="EJ44" s="455">
        <v>4.2110000000000003</v>
      </c>
      <c r="EK44" s="455"/>
      <c r="EL44"/>
      <c r="EM44"/>
      <c r="EN44"/>
      <c r="EO44"/>
      <c r="EP44"/>
      <c r="EQ44"/>
      <c r="ER44"/>
      <c r="ES44"/>
      <c r="ET44"/>
      <c r="EU44"/>
      <c r="EV44"/>
      <c r="EW44"/>
      <c r="EX44"/>
      <c r="EY44"/>
      <c r="EZ44"/>
      <c r="FA44"/>
      <c r="FB44">
        <v>1</v>
      </c>
      <c r="FC44"/>
      <c r="FD44"/>
      <c r="FE44"/>
      <c r="FF44"/>
      <c r="FG44"/>
      <c r="FH44" s="558"/>
      <c r="FI44"/>
      <c r="FK44" s="449">
        <v>2.4590000000000001</v>
      </c>
      <c r="FL44" s="449" t="s">
        <v>405</v>
      </c>
      <c r="FM44" s="449">
        <v>1</v>
      </c>
      <c r="FN44" s="452"/>
      <c r="FO44" s="452"/>
      <c r="FP44" s="452"/>
      <c r="FQ44" s="452"/>
      <c r="FR44" s="452"/>
      <c r="FS44" s="452"/>
      <c r="FT44" s="452"/>
      <c r="FU44" s="452"/>
      <c r="FV44" s="452"/>
      <c r="FW44" s="452"/>
      <c r="FX44" s="452"/>
      <c r="FY44" s="452"/>
      <c r="FZ44" s="453"/>
      <c r="GA44"/>
      <c r="GB44"/>
      <c r="GC44"/>
      <c r="GD44"/>
    </row>
    <row r="45" spans="1:186" x14ac:dyDescent="0.15">
      <c r="AG45" s="455">
        <v>23.103999999999999</v>
      </c>
      <c r="AH45" s="556">
        <v>1</v>
      </c>
      <c r="AJ45" s="455">
        <v>23.103999999999999</v>
      </c>
      <c r="AK45" s="556">
        <v>1</v>
      </c>
      <c r="AL45"/>
      <c r="AM45"/>
      <c r="AN45"/>
      <c r="AO45" s="455">
        <v>23.103999999999999</v>
      </c>
      <c r="AP45" s="455"/>
      <c r="AQ45"/>
      <c r="AR45"/>
      <c r="AS45">
        <v>1</v>
      </c>
      <c r="AT45"/>
      <c r="AU45"/>
      <c r="AV45"/>
      <c r="AW45"/>
      <c r="AX45"/>
      <c r="AY45"/>
      <c r="AZ45"/>
      <c r="BA45"/>
      <c r="BB45"/>
      <c r="BC45" s="558"/>
      <c r="BD45"/>
      <c r="BE45"/>
      <c r="BF45"/>
      <c r="BG45"/>
      <c r="BH45" s="455">
        <v>23.103999999999999</v>
      </c>
      <c r="BI45" s="455">
        <v>1</v>
      </c>
      <c r="BJ45"/>
      <c r="BK45"/>
      <c r="BL45"/>
      <c r="BM45"/>
      <c r="BN45"/>
      <c r="BO45" s="558"/>
      <c r="BP45" s="455">
        <v>23.103999999999999</v>
      </c>
      <c r="BQ45" s="455"/>
      <c r="BR45"/>
      <c r="BS45">
        <v>1</v>
      </c>
      <c r="BT45"/>
      <c r="BU45" s="558"/>
      <c r="BV45"/>
      <c r="BW45"/>
      <c r="BZ45" s="455">
        <v>23.103999999999999</v>
      </c>
      <c r="CA45" s="556">
        <v>1</v>
      </c>
      <c r="CB45"/>
      <c r="CC45"/>
      <c r="CD45"/>
      <c r="CF45" s="455">
        <v>23.103999999999999</v>
      </c>
      <c r="CG45" s="455"/>
      <c r="CH45"/>
      <c r="CI45"/>
      <c r="CJ45"/>
      <c r="CK45"/>
      <c r="CL45"/>
      <c r="CM45"/>
      <c r="CN45"/>
      <c r="CO45"/>
      <c r="CP45"/>
      <c r="CQ45"/>
      <c r="CR45">
        <v>1</v>
      </c>
      <c r="CS45"/>
      <c r="CT45"/>
      <c r="CU45"/>
      <c r="CV45" s="558"/>
      <c r="CW45"/>
      <c r="CX45"/>
      <c r="CY45"/>
      <c r="CZ45"/>
      <c r="DA45"/>
      <c r="DB45"/>
      <c r="DC45"/>
      <c r="DD45"/>
      <c r="DE45"/>
      <c r="DF45"/>
      <c r="DG45" s="455">
        <v>23.103999999999999</v>
      </c>
      <c r="DH45" s="455"/>
      <c r="DI45"/>
      <c r="DJ45"/>
      <c r="DK45"/>
      <c r="DL45">
        <v>1</v>
      </c>
      <c r="DM45"/>
      <c r="DN45"/>
      <c r="DO45"/>
      <c r="DP45"/>
      <c r="DQ45"/>
      <c r="DR45"/>
      <c r="DS45"/>
      <c r="DT45"/>
      <c r="DU45" s="558"/>
      <c r="DV45"/>
      <c r="DW45"/>
      <c r="DX45"/>
      <c r="DZ45" s="455">
        <v>23.103999999999999</v>
      </c>
      <c r="EA45" s="455"/>
      <c r="EB45"/>
      <c r="EC45"/>
      <c r="ED45"/>
      <c r="EE45">
        <v>1</v>
      </c>
      <c r="EF45"/>
      <c r="EG45" s="558"/>
      <c r="EH45"/>
      <c r="EJ45" s="455">
        <v>23.103999999999999</v>
      </c>
      <c r="EK45" s="455"/>
      <c r="EL45"/>
      <c r="EM45"/>
      <c r="EN45">
        <v>1</v>
      </c>
      <c r="EO45"/>
      <c r="EP45"/>
      <c r="EQ45"/>
      <c r="ER45"/>
      <c r="ES45"/>
      <c r="ET45"/>
      <c r="EU45"/>
      <c r="EV45"/>
      <c r="EW45"/>
      <c r="EX45"/>
      <c r="EY45"/>
      <c r="EZ45"/>
      <c r="FA45"/>
      <c r="FB45"/>
      <c r="FC45"/>
      <c r="FD45"/>
      <c r="FE45"/>
      <c r="FF45"/>
      <c r="FG45"/>
      <c r="FH45" s="558"/>
      <c r="FI45"/>
      <c r="FK45" s="449" t="s">
        <v>6768</v>
      </c>
      <c r="FL45" s="457"/>
      <c r="FM45" s="449">
        <v>1</v>
      </c>
      <c r="FN45" s="452"/>
      <c r="FO45" s="452"/>
      <c r="FP45" s="452"/>
      <c r="FQ45" s="452"/>
      <c r="FR45" s="452"/>
      <c r="FS45" s="452"/>
      <c r="FT45" s="452"/>
      <c r="FU45" s="452"/>
      <c r="FV45" s="452"/>
      <c r="FW45" s="452"/>
      <c r="FX45" s="452"/>
      <c r="FY45" s="452"/>
      <c r="FZ45" s="453"/>
      <c r="GA45"/>
      <c r="GB45"/>
      <c r="GC45"/>
      <c r="GD45"/>
    </row>
    <row r="46" spans="1:186" x14ac:dyDescent="0.15">
      <c r="AG46" s="455">
        <v>6.1440000000000001</v>
      </c>
      <c r="AH46" s="556">
        <v>1</v>
      </c>
      <c r="AJ46" s="455">
        <v>6.1440000000000001</v>
      </c>
      <c r="AK46" s="556">
        <v>1</v>
      </c>
      <c r="AL46"/>
      <c r="AM46"/>
      <c r="AN46"/>
      <c r="AO46" s="455">
        <v>6.1440000000000001</v>
      </c>
      <c r="AP46" s="455"/>
      <c r="AQ46"/>
      <c r="AR46"/>
      <c r="AS46">
        <v>1</v>
      </c>
      <c r="AT46"/>
      <c r="AU46"/>
      <c r="AV46"/>
      <c r="AW46"/>
      <c r="AX46"/>
      <c r="AY46"/>
      <c r="AZ46"/>
      <c r="BA46"/>
      <c r="BB46"/>
      <c r="BC46" s="558"/>
      <c r="BD46"/>
      <c r="BE46"/>
      <c r="BF46"/>
      <c r="BG46"/>
      <c r="BH46" s="455">
        <v>6.1440000000000001</v>
      </c>
      <c r="BI46" s="455">
        <v>1</v>
      </c>
      <c r="BJ46"/>
      <c r="BK46"/>
      <c r="BL46"/>
      <c r="BM46"/>
      <c r="BN46"/>
      <c r="BO46" s="558"/>
      <c r="BP46" s="455">
        <v>6.1440000000000001</v>
      </c>
      <c r="BQ46" s="455">
        <v>1</v>
      </c>
      <c r="BR46"/>
      <c r="BS46"/>
      <c r="BT46"/>
      <c r="BU46" s="558"/>
      <c r="BV46"/>
      <c r="BW46"/>
      <c r="BZ46" s="455">
        <v>6.1440000000000001</v>
      </c>
      <c r="CA46" s="556">
        <v>1</v>
      </c>
      <c r="CB46"/>
      <c r="CC46"/>
      <c r="CD46"/>
      <c r="CF46" s="455">
        <v>6.1440000000000001</v>
      </c>
      <c r="CG46" s="455"/>
      <c r="CH46"/>
      <c r="CI46">
        <v>1</v>
      </c>
      <c r="CJ46"/>
      <c r="CK46"/>
      <c r="CL46"/>
      <c r="CM46"/>
      <c r="CN46"/>
      <c r="CO46"/>
      <c r="CP46"/>
      <c r="CQ46"/>
      <c r="CR46"/>
      <c r="CS46"/>
      <c r="CT46"/>
      <c r="CU46"/>
      <c r="CV46" s="558"/>
      <c r="CW46"/>
      <c r="CX46"/>
      <c r="CY46"/>
      <c r="CZ46"/>
      <c r="DA46"/>
      <c r="DB46"/>
      <c r="DC46"/>
      <c r="DD46"/>
      <c r="DE46"/>
      <c r="DF46"/>
      <c r="DG46" s="455">
        <v>6.1440000000000001</v>
      </c>
      <c r="DH46" s="455"/>
      <c r="DI46"/>
      <c r="DJ46"/>
      <c r="DK46"/>
      <c r="DL46"/>
      <c r="DM46"/>
      <c r="DN46"/>
      <c r="DO46"/>
      <c r="DP46"/>
      <c r="DQ46">
        <v>1</v>
      </c>
      <c r="DR46"/>
      <c r="DS46"/>
      <c r="DT46"/>
      <c r="DU46" s="558"/>
      <c r="DV46"/>
      <c r="DW46"/>
      <c r="DX46"/>
      <c r="DZ46" s="455">
        <v>6.1440000000000001</v>
      </c>
      <c r="EA46" s="455"/>
      <c r="EB46"/>
      <c r="EC46"/>
      <c r="ED46"/>
      <c r="EE46"/>
      <c r="EF46"/>
      <c r="EG46" s="558">
        <v>1</v>
      </c>
      <c r="EH46"/>
      <c r="EJ46" s="455">
        <v>6.1440000000000001</v>
      </c>
      <c r="EK46" s="455"/>
      <c r="EL46"/>
      <c r="EM46"/>
      <c r="EN46"/>
      <c r="EO46"/>
      <c r="EP46"/>
      <c r="EQ46"/>
      <c r="ER46"/>
      <c r="ES46"/>
      <c r="ET46"/>
      <c r="EU46"/>
      <c r="EV46"/>
      <c r="EW46"/>
      <c r="EX46"/>
      <c r="EY46"/>
      <c r="EZ46"/>
      <c r="FA46"/>
      <c r="FB46"/>
      <c r="FC46"/>
      <c r="FD46"/>
      <c r="FE46">
        <v>1</v>
      </c>
      <c r="FF46"/>
      <c r="FG46"/>
      <c r="FH46" s="558"/>
      <c r="FI46"/>
      <c r="FK46" s="449">
        <v>0.184</v>
      </c>
      <c r="FL46" s="449" t="s">
        <v>410</v>
      </c>
      <c r="FM46" s="449">
        <v>1</v>
      </c>
      <c r="FN46" s="452"/>
      <c r="FO46" s="452"/>
      <c r="FP46" s="452"/>
      <c r="FQ46" s="452"/>
      <c r="FR46" s="452"/>
      <c r="FS46" s="452"/>
      <c r="FT46" s="452"/>
      <c r="FU46" s="452"/>
      <c r="FV46" s="452"/>
      <c r="FW46" s="452"/>
      <c r="FX46" s="452"/>
      <c r="FY46" s="452"/>
      <c r="FZ46" s="453"/>
      <c r="GA46"/>
      <c r="GB46"/>
      <c r="GC46"/>
      <c r="GD46"/>
    </row>
    <row r="47" spans="1:186" x14ac:dyDescent="0.15">
      <c r="AG47" s="455">
        <v>25.721</v>
      </c>
      <c r="AH47" s="556">
        <v>1</v>
      </c>
      <c r="AJ47" s="455">
        <v>25.721</v>
      </c>
      <c r="AK47" s="556">
        <v>1</v>
      </c>
      <c r="AL47"/>
      <c r="AM47"/>
      <c r="AN47"/>
      <c r="AO47" s="455">
        <v>25.721</v>
      </c>
      <c r="AP47" s="455"/>
      <c r="AQ47"/>
      <c r="AR47">
        <v>1</v>
      </c>
      <c r="AS47"/>
      <c r="AT47"/>
      <c r="AU47"/>
      <c r="AV47"/>
      <c r="AW47"/>
      <c r="AX47"/>
      <c r="AY47"/>
      <c r="AZ47"/>
      <c r="BA47"/>
      <c r="BB47"/>
      <c r="BC47" s="558"/>
      <c r="BD47"/>
      <c r="BE47"/>
      <c r="BF47"/>
      <c r="BG47"/>
      <c r="BH47" s="455">
        <v>25.721</v>
      </c>
      <c r="BI47" s="455">
        <v>1</v>
      </c>
      <c r="BJ47"/>
      <c r="BK47"/>
      <c r="BL47"/>
      <c r="BM47"/>
      <c r="BN47"/>
      <c r="BO47" s="558"/>
      <c r="BP47" s="455">
        <v>25.721</v>
      </c>
      <c r="BQ47" s="455"/>
      <c r="BR47"/>
      <c r="BS47">
        <v>1</v>
      </c>
      <c r="BT47"/>
      <c r="BU47" s="558"/>
      <c r="BV47"/>
      <c r="BW47"/>
      <c r="BZ47" s="455">
        <v>25.721</v>
      </c>
      <c r="CA47" s="556">
        <v>1</v>
      </c>
      <c r="CB47"/>
      <c r="CC47"/>
      <c r="CD47"/>
      <c r="CF47" s="455">
        <v>25.721</v>
      </c>
      <c r="CG47" s="455"/>
      <c r="CH47"/>
      <c r="CI47"/>
      <c r="CJ47"/>
      <c r="CK47"/>
      <c r="CL47"/>
      <c r="CM47"/>
      <c r="CN47">
        <v>1</v>
      </c>
      <c r="CO47"/>
      <c r="CP47"/>
      <c r="CQ47"/>
      <c r="CR47"/>
      <c r="CS47"/>
      <c r="CT47"/>
      <c r="CU47"/>
      <c r="CV47" s="558"/>
      <c r="CW47"/>
      <c r="CX47"/>
      <c r="CY47"/>
      <c r="CZ47"/>
      <c r="DA47"/>
      <c r="DB47"/>
      <c r="DC47"/>
      <c r="DD47"/>
      <c r="DE47"/>
      <c r="DF47"/>
      <c r="DG47" s="455">
        <v>25.721</v>
      </c>
      <c r="DH47" s="455">
        <v>1</v>
      </c>
      <c r="DI47"/>
      <c r="DJ47"/>
      <c r="DK47"/>
      <c r="DL47"/>
      <c r="DM47"/>
      <c r="DN47"/>
      <c r="DO47"/>
      <c r="DP47"/>
      <c r="DQ47"/>
      <c r="DR47"/>
      <c r="DS47"/>
      <c r="DT47"/>
      <c r="DU47" s="558"/>
      <c r="DV47"/>
      <c r="DW47"/>
      <c r="DX47"/>
      <c r="DZ47" s="455">
        <v>25.721</v>
      </c>
      <c r="EA47" s="455"/>
      <c r="EB47"/>
      <c r="EC47"/>
      <c r="ED47"/>
      <c r="EE47"/>
      <c r="EF47">
        <v>1</v>
      </c>
      <c r="EG47" s="558"/>
      <c r="EH47"/>
      <c r="EJ47" s="455">
        <v>25.721</v>
      </c>
      <c r="EK47" s="455"/>
      <c r="EL47"/>
      <c r="EM47"/>
      <c r="EN47"/>
      <c r="EO47"/>
      <c r="EP47"/>
      <c r="EQ47"/>
      <c r="ER47"/>
      <c r="ES47"/>
      <c r="ET47"/>
      <c r="EU47"/>
      <c r="EV47"/>
      <c r="EW47"/>
      <c r="EX47"/>
      <c r="EY47"/>
      <c r="EZ47"/>
      <c r="FA47"/>
      <c r="FB47"/>
      <c r="FC47"/>
      <c r="FD47"/>
      <c r="FE47">
        <v>1</v>
      </c>
      <c r="FF47"/>
      <c r="FG47"/>
      <c r="FH47" s="558"/>
      <c r="FI47"/>
      <c r="FK47" s="449" t="s">
        <v>6769</v>
      </c>
      <c r="FL47" s="457"/>
      <c r="FM47" s="449">
        <v>1</v>
      </c>
      <c r="FN47" s="452"/>
      <c r="FO47" s="452"/>
      <c r="FP47" s="452"/>
      <c r="FQ47" s="452"/>
      <c r="FR47" s="452"/>
      <c r="FS47" s="452"/>
      <c r="FT47" s="452"/>
      <c r="FU47" s="452"/>
      <c r="FV47" s="452"/>
      <c r="FW47" s="452"/>
      <c r="FX47" s="452"/>
      <c r="FY47" s="452"/>
      <c r="FZ47" s="453"/>
      <c r="GA47"/>
      <c r="GB47"/>
      <c r="GC47"/>
      <c r="GD47"/>
    </row>
    <row r="48" spans="1:186" x14ac:dyDescent="0.15">
      <c r="AG48" s="455">
        <v>0.51600000000000001</v>
      </c>
      <c r="AH48" s="556">
        <v>1</v>
      </c>
      <c r="AJ48" s="455">
        <v>0.51600000000000001</v>
      </c>
      <c r="AK48" s="556">
        <v>1</v>
      </c>
      <c r="AL48"/>
      <c r="AM48"/>
      <c r="AN48"/>
      <c r="AO48" s="455">
        <v>0.51600000000000001</v>
      </c>
      <c r="AP48" s="455">
        <v>1</v>
      </c>
      <c r="AQ48"/>
      <c r="AR48"/>
      <c r="AS48"/>
      <c r="AT48"/>
      <c r="AU48"/>
      <c r="AV48"/>
      <c r="AW48"/>
      <c r="AX48"/>
      <c r="AY48"/>
      <c r="AZ48"/>
      <c r="BA48"/>
      <c r="BB48"/>
      <c r="BC48" s="558"/>
      <c r="BD48"/>
      <c r="BE48"/>
      <c r="BF48"/>
      <c r="BG48"/>
      <c r="BH48" s="455">
        <v>0.51600000000000001</v>
      </c>
      <c r="BI48" s="455"/>
      <c r="BJ48">
        <v>1</v>
      </c>
      <c r="BK48"/>
      <c r="BL48"/>
      <c r="BM48"/>
      <c r="BN48"/>
      <c r="BO48" s="558"/>
      <c r="BP48" s="455">
        <v>0.51600000000000001</v>
      </c>
      <c r="BQ48" s="455"/>
      <c r="BR48">
        <v>1</v>
      </c>
      <c r="BS48"/>
      <c r="BT48"/>
      <c r="BU48" s="558"/>
      <c r="BV48"/>
      <c r="BW48"/>
      <c r="BZ48" s="455">
        <v>0.51600000000000001</v>
      </c>
      <c r="CA48" s="556">
        <v>1</v>
      </c>
      <c r="CB48"/>
      <c r="CC48"/>
      <c r="CD48"/>
      <c r="CF48" s="455">
        <v>0.51600000000000001</v>
      </c>
      <c r="CG48" s="455"/>
      <c r="CH48">
        <v>1</v>
      </c>
      <c r="CI48"/>
      <c r="CJ48"/>
      <c r="CK48"/>
      <c r="CL48"/>
      <c r="CM48"/>
      <c r="CN48"/>
      <c r="CO48"/>
      <c r="CP48"/>
      <c r="CQ48"/>
      <c r="CR48"/>
      <c r="CS48"/>
      <c r="CT48"/>
      <c r="CU48"/>
      <c r="CV48" s="558"/>
      <c r="CW48"/>
      <c r="CX48"/>
      <c r="CY48"/>
      <c r="CZ48"/>
      <c r="DA48"/>
      <c r="DB48"/>
      <c r="DC48"/>
      <c r="DD48"/>
      <c r="DE48"/>
      <c r="DF48"/>
      <c r="DG48" s="455">
        <v>0.51600000000000001</v>
      </c>
      <c r="DH48" s="455">
        <v>1</v>
      </c>
      <c r="DI48"/>
      <c r="DJ48"/>
      <c r="DK48"/>
      <c r="DL48"/>
      <c r="DM48"/>
      <c r="DN48"/>
      <c r="DO48"/>
      <c r="DP48"/>
      <c r="DQ48"/>
      <c r="DR48"/>
      <c r="DS48"/>
      <c r="DT48"/>
      <c r="DU48" s="558"/>
      <c r="DV48"/>
      <c r="DW48"/>
      <c r="DX48"/>
      <c r="DZ48" s="455">
        <v>0.51600000000000001</v>
      </c>
      <c r="EA48" s="455">
        <v>1</v>
      </c>
      <c r="EB48"/>
      <c r="EC48"/>
      <c r="ED48"/>
      <c r="EE48"/>
      <c r="EF48"/>
      <c r="EG48" s="558"/>
      <c r="EH48"/>
      <c r="EJ48" s="455">
        <v>0.51600000000000001</v>
      </c>
      <c r="EK48" s="455"/>
      <c r="EL48"/>
      <c r="EM48"/>
      <c r="EN48"/>
      <c r="EO48"/>
      <c r="EP48"/>
      <c r="EQ48"/>
      <c r="ER48"/>
      <c r="ES48"/>
      <c r="ET48">
        <v>1</v>
      </c>
      <c r="EU48"/>
      <c r="EV48"/>
      <c r="EW48"/>
      <c r="EX48"/>
      <c r="EY48"/>
      <c r="EZ48"/>
      <c r="FA48"/>
      <c r="FB48"/>
      <c r="FC48"/>
      <c r="FD48"/>
      <c r="FE48"/>
      <c r="FF48"/>
      <c r="FG48"/>
      <c r="FH48" s="558"/>
      <c r="FI48"/>
      <c r="FK48" s="449">
        <v>7.8230000000000004</v>
      </c>
      <c r="FL48" s="449" t="s">
        <v>401</v>
      </c>
      <c r="FM48" s="449">
        <v>1</v>
      </c>
      <c r="FN48" s="452"/>
      <c r="FO48" s="452"/>
      <c r="FP48" s="452"/>
      <c r="FQ48" s="452"/>
      <c r="FR48" s="452"/>
      <c r="FS48" s="452"/>
      <c r="FT48" s="452"/>
      <c r="FU48" s="452"/>
      <c r="FV48" s="452"/>
      <c r="FW48" s="452"/>
      <c r="FX48" s="452"/>
      <c r="FY48" s="452"/>
      <c r="FZ48" s="453"/>
      <c r="GA48"/>
      <c r="GB48"/>
      <c r="GC48"/>
      <c r="GD48"/>
    </row>
    <row r="49" spans="4:186" x14ac:dyDescent="0.15">
      <c r="AG49" s="455">
        <v>0.14099999999999999</v>
      </c>
      <c r="AH49" s="556">
        <v>1</v>
      </c>
      <c r="AJ49" s="455">
        <v>0.14099999999999999</v>
      </c>
      <c r="AK49" s="556">
        <v>1</v>
      </c>
      <c r="AL49"/>
      <c r="AM49"/>
      <c r="AN49"/>
      <c r="AO49" s="455">
        <v>0.14099999999999999</v>
      </c>
      <c r="AP49" s="455"/>
      <c r="AQ49">
        <v>1</v>
      </c>
      <c r="AR49"/>
      <c r="AS49"/>
      <c r="AT49"/>
      <c r="AU49"/>
      <c r="AV49"/>
      <c r="AW49"/>
      <c r="AX49"/>
      <c r="AY49"/>
      <c r="AZ49"/>
      <c r="BA49"/>
      <c r="BB49"/>
      <c r="BC49" s="558"/>
      <c r="BD49"/>
      <c r="BE49"/>
      <c r="BF49"/>
      <c r="BG49"/>
      <c r="BH49" s="455">
        <v>0.14099999999999999</v>
      </c>
      <c r="BI49" s="455">
        <v>1</v>
      </c>
      <c r="BJ49"/>
      <c r="BK49"/>
      <c r="BL49"/>
      <c r="BM49"/>
      <c r="BN49"/>
      <c r="BO49" s="558"/>
      <c r="BP49" s="455">
        <v>0.14099999999999999</v>
      </c>
      <c r="BQ49" s="455"/>
      <c r="BR49"/>
      <c r="BS49">
        <v>1</v>
      </c>
      <c r="BT49"/>
      <c r="BU49" s="558"/>
      <c r="BV49"/>
      <c r="BW49"/>
      <c r="BZ49" s="455">
        <v>0.14099999999999999</v>
      </c>
      <c r="CA49" s="556">
        <v>1</v>
      </c>
      <c r="CB49"/>
      <c r="CC49"/>
      <c r="CD49"/>
      <c r="CF49" s="455">
        <v>0.14099999999999999</v>
      </c>
      <c r="CG49" s="455"/>
      <c r="CH49">
        <v>1</v>
      </c>
      <c r="CI49"/>
      <c r="CJ49"/>
      <c r="CK49"/>
      <c r="CL49"/>
      <c r="CM49"/>
      <c r="CN49"/>
      <c r="CO49"/>
      <c r="CP49"/>
      <c r="CQ49"/>
      <c r="CR49"/>
      <c r="CS49"/>
      <c r="CT49"/>
      <c r="CU49"/>
      <c r="CV49" s="558"/>
      <c r="CW49"/>
      <c r="CX49"/>
      <c r="CY49"/>
      <c r="CZ49"/>
      <c r="DA49"/>
      <c r="DB49"/>
      <c r="DC49"/>
      <c r="DD49"/>
      <c r="DE49"/>
      <c r="DF49"/>
      <c r="DG49" s="455">
        <v>0.14099999999999999</v>
      </c>
      <c r="DH49" s="455">
        <v>1</v>
      </c>
      <c r="DI49"/>
      <c r="DJ49"/>
      <c r="DK49"/>
      <c r="DL49"/>
      <c r="DM49"/>
      <c r="DN49"/>
      <c r="DO49"/>
      <c r="DP49"/>
      <c r="DQ49"/>
      <c r="DR49"/>
      <c r="DS49"/>
      <c r="DT49"/>
      <c r="DU49" s="558"/>
      <c r="DV49"/>
      <c r="DW49"/>
      <c r="DX49"/>
      <c r="DZ49" s="455">
        <v>0.14099999999999999</v>
      </c>
      <c r="EA49" s="455">
        <v>1</v>
      </c>
      <c r="EB49"/>
      <c r="EC49"/>
      <c r="ED49"/>
      <c r="EE49"/>
      <c r="EF49"/>
      <c r="EG49" s="558"/>
      <c r="EH49"/>
      <c r="EJ49" s="455">
        <v>0.14099999999999999</v>
      </c>
      <c r="EK49" s="455"/>
      <c r="EL49"/>
      <c r="EM49"/>
      <c r="EN49"/>
      <c r="EO49"/>
      <c r="EP49"/>
      <c r="EQ49"/>
      <c r="ER49"/>
      <c r="ES49"/>
      <c r="ET49"/>
      <c r="EU49"/>
      <c r="EV49"/>
      <c r="EW49"/>
      <c r="EX49"/>
      <c r="EY49"/>
      <c r="EZ49"/>
      <c r="FA49"/>
      <c r="FB49"/>
      <c r="FC49"/>
      <c r="FD49"/>
      <c r="FE49"/>
      <c r="FF49"/>
      <c r="FG49"/>
      <c r="FH49" s="558">
        <v>1</v>
      </c>
      <c r="FI49"/>
      <c r="FK49" s="449" t="s">
        <v>6770</v>
      </c>
      <c r="FL49" s="457"/>
      <c r="FM49" s="449">
        <v>1</v>
      </c>
      <c r="FN49" s="452"/>
      <c r="FO49" s="452"/>
      <c r="FP49" s="452"/>
      <c r="FQ49" s="452"/>
      <c r="FR49" s="452"/>
      <c r="FS49" s="452"/>
      <c r="FT49" s="452"/>
      <c r="FU49" s="452"/>
      <c r="FV49" s="452"/>
      <c r="FW49" s="452"/>
      <c r="FX49" s="452"/>
      <c r="FY49" s="452"/>
      <c r="FZ49" s="453"/>
      <c r="GA49"/>
      <c r="GB49"/>
      <c r="GC49"/>
      <c r="GD49"/>
    </row>
    <row r="50" spans="4:186" x14ac:dyDescent="0.15">
      <c r="AG50" s="455">
        <v>4.9729999999999999</v>
      </c>
      <c r="AH50" s="556">
        <v>1</v>
      </c>
      <c r="AJ50" s="455">
        <v>4.9729999999999999</v>
      </c>
      <c r="AK50" s="556">
        <v>1</v>
      </c>
      <c r="AL50"/>
      <c r="AM50"/>
      <c r="AN50"/>
      <c r="AO50" s="455">
        <v>4.9729999999999999</v>
      </c>
      <c r="AP50" s="455">
        <v>1</v>
      </c>
      <c r="AQ50"/>
      <c r="AR50"/>
      <c r="AS50"/>
      <c r="AT50"/>
      <c r="AU50"/>
      <c r="AV50"/>
      <c r="AW50"/>
      <c r="AX50"/>
      <c r="AY50"/>
      <c r="AZ50"/>
      <c r="BA50"/>
      <c r="BB50"/>
      <c r="BC50" s="558"/>
      <c r="BD50"/>
      <c r="BE50"/>
      <c r="BF50"/>
      <c r="BG50"/>
      <c r="BH50" s="455">
        <v>4.9729999999999999</v>
      </c>
      <c r="BI50" s="455">
        <v>1</v>
      </c>
      <c r="BJ50"/>
      <c r="BK50"/>
      <c r="BL50"/>
      <c r="BM50"/>
      <c r="BN50"/>
      <c r="BO50" s="558"/>
      <c r="BP50" s="455">
        <v>4.9729999999999999</v>
      </c>
      <c r="BQ50" s="455">
        <v>1</v>
      </c>
      <c r="BR50"/>
      <c r="BS50"/>
      <c r="BT50"/>
      <c r="BU50" s="558"/>
      <c r="BV50"/>
      <c r="BW50"/>
      <c r="BZ50" s="455">
        <v>4.9729999999999999</v>
      </c>
      <c r="CA50" s="556">
        <v>1</v>
      </c>
      <c r="CB50"/>
      <c r="CC50"/>
      <c r="CD50"/>
      <c r="CF50" s="455">
        <v>4.9729999999999999</v>
      </c>
      <c r="CG50" s="455">
        <v>1</v>
      </c>
      <c r="CH50"/>
      <c r="CI50"/>
      <c r="CJ50"/>
      <c r="CK50"/>
      <c r="CL50"/>
      <c r="CM50"/>
      <c r="CN50"/>
      <c r="CO50"/>
      <c r="CP50"/>
      <c r="CQ50"/>
      <c r="CR50"/>
      <c r="CS50"/>
      <c r="CT50"/>
      <c r="CU50"/>
      <c r="CV50" s="558"/>
      <c r="CW50"/>
      <c r="CX50"/>
      <c r="CY50"/>
      <c r="CZ50"/>
      <c r="DA50"/>
      <c r="DB50"/>
      <c r="DC50"/>
      <c r="DD50"/>
      <c r="DE50"/>
      <c r="DF50"/>
      <c r="DG50" s="455">
        <v>4.9729999999999999</v>
      </c>
      <c r="DH50" s="455"/>
      <c r="DI50">
        <v>1</v>
      </c>
      <c r="DJ50"/>
      <c r="DK50"/>
      <c r="DL50"/>
      <c r="DM50"/>
      <c r="DN50"/>
      <c r="DO50"/>
      <c r="DP50"/>
      <c r="DQ50"/>
      <c r="DR50"/>
      <c r="DS50"/>
      <c r="DT50"/>
      <c r="DU50" s="558"/>
      <c r="DV50"/>
      <c r="DW50"/>
      <c r="DX50"/>
      <c r="DZ50" s="455">
        <v>4.9729999999999999</v>
      </c>
      <c r="EA50" s="455"/>
      <c r="EB50"/>
      <c r="EC50"/>
      <c r="ED50"/>
      <c r="EE50"/>
      <c r="EF50"/>
      <c r="EG50" s="558">
        <v>1</v>
      </c>
      <c r="EH50"/>
      <c r="EJ50" s="455">
        <v>4.9729999999999999</v>
      </c>
      <c r="EK50" s="455"/>
      <c r="EL50"/>
      <c r="EM50"/>
      <c r="EN50"/>
      <c r="EO50"/>
      <c r="EP50"/>
      <c r="EQ50"/>
      <c r="ER50"/>
      <c r="ES50"/>
      <c r="ET50"/>
      <c r="EU50"/>
      <c r="EV50"/>
      <c r="EW50"/>
      <c r="EX50"/>
      <c r="EY50"/>
      <c r="EZ50"/>
      <c r="FA50"/>
      <c r="FB50"/>
      <c r="FC50"/>
      <c r="FD50"/>
      <c r="FE50"/>
      <c r="FF50"/>
      <c r="FG50">
        <v>1</v>
      </c>
      <c r="FH50" s="558"/>
      <c r="FI50"/>
      <c r="FK50" s="449">
        <v>16.872</v>
      </c>
      <c r="FL50" s="449" t="s">
        <v>410</v>
      </c>
      <c r="FM50" s="449"/>
      <c r="FN50" s="452"/>
      <c r="FO50" s="452"/>
      <c r="FP50" s="452"/>
      <c r="FQ50" s="452">
        <v>1</v>
      </c>
      <c r="FR50" s="452"/>
      <c r="FS50" s="452"/>
      <c r="FT50" s="452"/>
      <c r="FU50" s="452"/>
      <c r="FV50" s="452"/>
      <c r="FW50" s="452"/>
      <c r="FX50" s="452"/>
      <c r="FY50" s="452"/>
      <c r="FZ50" s="453"/>
      <c r="GA50"/>
      <c r="GB50"/>
      <c r="GC50"/>
      <c r="GD50"/>
    </row>
    <row r="51" spans="4:186" x14ac:dyDescent="0.15">
      <c r="AG51" s="455">
        <v>0</v>
      </c>
      <c r="AH51" s="556">
        <v>1</v>
      </c>
      <c r="AJ51" s="455">
        <v>0</v>
      </c>
      <c r="AK51" s="556">
        <v>1</v>
      </c>
      <c r="AL51"/>
      <c r="AM51"/>
      <c r="AN51"/>
      <c r="AO51" s="455">
        <v>0</v>
      </c>
      <c r="AP51" s="455"/>
      <c r="AQ51"/>
      <c r="AR51">
        <v>1</v>
      </c>
      <c r="AS51"/>
      <c r="AT51"/>
      <c r="AU51"/>
      <c r="AV51"/>
      <c r="AW51"/>
      <c r="AX51"/>
      <c r="AY51"/>
      <c r="AZ51"/>
      <c r="BA51"/>
      <c r="BB51"/>
      <c r="BC51" s="558"/>
      <c r="BD51"/>
      <c r="BE51"/>
      <c r="BF51"/>
      <c r="BG51"/>
      <c r="BH51" s="455">
        <v>0</v>
      </c>
      <c r="BI51" s="455"/>
      <c r="BJ51">
        <v>1</v>
      </c>
      <c r="BK51"/>
      <c r="BL51"/>
      <c r="BM51"/>
      <c r="BN51"/>
      <c r="BO51" s="558"/>
      <c r="BP51" s="455">
        <v>0</v>
      </c>
      <c r="BQ51" s="455">
        <v>1</v>
      </c>
      <c r="BR51"/>
      <c r="BS51"/>
      <c r="BT51"/>
      <c r="BU51" s="558"/>
      <c r="BV51"/>
      <c r="BW51"/>
      <c r="BZ51" s="455">
        <v>0</v>
      </c>
      <c r="CA51" s="556">
        <v>1</v>
      </c>
      <c r="CB51"/>
      <c r="CC51"/>
      <c r="CD51"/>
      <c r="CF51" s="455">
        <v>0</v>
      </c>
      <c r="CG51" s="455"/>
      <c r="CH51">
        <v>1</v>
      </c>
      <c r="CI51"/>
      <c r="CJ51"/>
      <c r="CK51"/>
      <c r="CL51"/>
      <c r="CM51"/>
      <c r="CN51"/>
      <c r="CO51"/>
      <c r="CP51"/>
      <c r="CQ51"/>
      <c r="CR51"/>
      <c r="CS51"/>
      <c r="CT51"/>
      <c r="CU51"/>
      <c r="CV51" s="558"/>
      <c r="CW51"/>
      <c r="CX51"/>
      <c r="CY51"/>
      <c r="CZ51"/>
      <c r="DA51"/>
      <c r="DB51"/>
      <c r="DC51"/>
      <c r="DD51"/>
      <c r="DE51"/>
      <c r="DF51"/>
      <c r="DG51" s="455">
        <v>0</v>
      </c>
      <c r="DH51" s="455">
        <v>1</v>
      </c>
      <c r="DI51"/>
      <c r="DJ51"/>
      <c r="DK51"/>
      <c r="DL51"/>
      <c r="DM51"/>
      <c r="DN51"/>
      <c r="DO51"/>
      <c r="DP51"/>
      <c r="DQ51"/>
      <c r="DR51"/>
      <c r="DS51"/>
      <c r="DT51"/>
      <c r="DU51" s="558"/>
      <c r="DV51"/>
      <c r="DW51"/>
      <c r="DX51"/>
      <c r="DZ51" s="455">
        <v>0</v>
      </c>
      <c r="EA51" s="455"/>
      <c r="EB51"/>
      <c r="EC51"/>
      <c r="ED51">
        <v>1</v>
      </c>
      <c r="EE51"/>
      <c r="EF51"/>
      <c r="EG51" s="558"/>
      <c r="EH51"/>
      <c r="EJ51" s="455">
        <v>0</v>
      </c>
      <c r="EK51" s="455"/>
      <c r="EL51"/>
      <c r="EM51"/>
      <c r="EN51"/>
      <c r="EO51"/>
      <c r="EP51">
        <v>1</v>
      </c>
      <c r="EQ51"/>
      <c r="ER51"/>
      <c r="ES51"/>
      <c r="ET51"/>
      <c r="EU51"/>
      <c r="EV51"/>
      <c r="EW51"/>
      <c r="EX51"/>
      <c r="EY51"/>
      <c r="EZ51"/>
      <c r="FA51"/>
      <c r="FB51"/>
      <c r="FC51"/>
      <c r="FD51"/>
      <c r="FE51"/>
      <c r="FF51"/>
      <c r="FG51"/>
      <c r="FH51" s="558"/>
      <c r="FI51"/>
      <c r="FK51" s="449" t="s">
        <v>6771</v>
      </c>
      <c r="FL51" s="457"/>
      <c r="FM51" s="449"/>
      <c r="FN51" s="452"/>
      <c r="FO51" s="452"/>
      <c r="FP51" s="452"/>
      <c r="FQ51" s="452">
        <v>1</v>
      </c>
      <c r="FR51" s="452"/>
      <c r="FS51" s="452"/>
      <c r="FT51" s="452"/>
      <c r="FU51" s="452"/>
      <c r="FV51" s="452"/>
      <c r="FW51" s="452"/>
      <c r="FX51" s="452"/>
      <c r="FY51" s="452"/>
      <c r="FZ51" s="453"/>
      <c r="GA51"/>
      <c r="GB51"/>
      <c r="GC51"/>
      <c r="GD51"/>
    </row>
    <row r="52" spans="4:186" x14ac:dyDescent="0.15">
      <c r="AG52" s="455">
        <v>4.0270000000000001</v>
      </c>
      <c r="AH52" s="556">
        <v>1</v>
      </c>
      <c r="AJ52" s="455">
        <v>4.0270000000000001</v>
      </c>
      <c r="AK52" s="556">
        <v>1</v>
      </c>
      <c r="AL52"/>
      <c r="AM52"/>
      <c r="AN52"/>
      <c r="AO52" s="455">
        <v>4.0270000000000001</v>
      </c>
      <c r="AP52" s="455">
        <v>1</v>
      </c>
      <c r="AQ52"/>
      <c r="AR52"/>
      <c r="AS52"/>
      <c r="AT52"/>
      <c r="AU52"/>
      <c r="AV52"/>
      <c r="AW52"/>
      <c r="AX52"/>
      <c r="AY52"/>
      <c r="AZ52"/>
      <c r="BA52"/>
      <c r="BB52"/>
      <c r="BC52" s="558"/>
      <c r="BD52"/>
      <c r="BE52"/>
      <c r="BF52"/>
      <c r="BG52"/>
      <c r="BH52" s="455">
        <v>4.0270000000000001</v>
      </c>
      <c r="BI52" s="455">
        <v>1</v>
      </c>
      <c r="BJ52"/>
      <c r="BK52"/>
      <c r="BL52"/>
      <c r="BM52"/>
      <c r="BN52"/>
      <c r="BO52" s="558"/>
      <c r="BP52" s="455">
        <v>4.0270000000000001</v>
      </c>
      <c r="BQ52" s="455"/>
      <c r="BR52"/>
      <c r="BS52">
        <v>1</v>
      </c>
      <c r="BT52"/>
      <c r="BU52" s="558"/>
      <c r="BV52"/>
      <c r="BW52"/>
      <c r="BZ52" s="455">
        <v>4.0270000000000001</v>
      </c>
      <c r="CA52" s="556">
        <v>1</v>
      </c>
      <c r="CB52"/>
      <c r="CC52"/>
      <c r="CD52"/>
      <c r="CF52" s="455">
        <v>4.0270000000000001</v>
      </c>
      <c r="CG52" s="455"/>
      <c r="CH52"/>
      <c r="CI52">
        <v>1</v>
      </c>
      <c r="CJ52"/>
      <c r="CK52"/>
      <c r="CL52"/>
      <c r="CM52"/>
      <c r="CN52"/>
      <c r="CO52"/>
      <c r="CP52"/>
      <c r="CQ52"/>
      <c r="CR52"/>
      <c r="CS52"/>
      <c r="CT52"/>
      <c r="CU52"/>
      <c r="CV52" s="558"/>
      <c r="CW52"/>
      <c r="CX52"/>
      <c r="CY52"/>
      <c r="CZ52"/>
      <c r="DA52"/>
      <c r="DB52"/>
      <c r="DC52"/>
      <c r="DD52"/>
      <c r="DE52"/>
      <c r="DF52"/>
      <c r="DG52" s="455">
        <v>4.0270000000000001</v>
      </c>
      <c r="DH52" s="455"/>
      <c r="DI52">
        <v>1</v>
      </c>
      <c r="DJ52"/>
      <c r="DK52"/>
      <c r="DL52"/>
      <c r="DM52"/>
      <c r="DN52"/>
      <c r="DO52"/>
      <c r="DP52"/>
      <c r="DQ52"/>
      <c r="DR52"/>
      <c r="DS52"/>
      <c r="DT52"/>
      <c r="DU52" s="558"/>
      <c r="DV52"/>
      <c r="DW52"/>
      <c r="DX52"/>
      <c r="DZ52" s="455">
        <v>4.0270000000000001</v>
      </c>
      <c r="EA52" s="455"/>
      <c r="EB52">
        <v>1</v>
      </c>
      <c r="EC52"/>
      <c r="ED52"/>
      <c r="EE52"/>
      <c r="EF52"/>
      <c r="EG52" s="558"/>
      <c r="EH52"/>
      <c r="EJ52" s="455">
        <v>4.0270000000000001</v>
      </c>
      <c r="EK52" s="455">
        <v>1</v>
      </c>
      <c r="EL52"/>
      <c r="EM52"/>
      <c r="EN52"/>
      <c r="EO52"/>
      <c r="EP52"/>
      <c r="EQ52"/>
      <c r="ER52"/>
      <c r="ES52"/>
      <c r="ET52"/>
      <c r="EU52"/>
      <c r="EV52"/>
      <c r="EW52"/>
      <c r="EX52"/>
      <c r="EY52"/>
      <c r="EZ52"/>
      <c r="FA52"/>
      <c r="FB52"/>
      <c r="FC52"/>
      <c r="FD52"/>
      <c r="FE52"/>
      <c r="FF52"/>
      <c r="FG52"/>
      <c r="FH52" s="558"/>
      <c r="FI52"/>
      <c r="FK52" s="449">
        <v>3.823</v>
      </c>
      <c r="FL52" s="449" t="s">
        <v>446</v>
      </c>
      <c r="FM52" s="449">
        <v>1</v>
      </c>
      <c r="FN52" s="452"/>
      <c r="FO52" s="452"/>
      <c r="FP52" s="452"/>
      <c r="FQ52" s="452"/>
      <c r="FR52" s="452"/>
      <c r="FS52" s="452"/>
      <c r="FT52" s="452"/>
      <c r="FU52" s="452"/>
      <c r="FV52" s="452"/>
      <c r="FW52" s="452"/>
      <c r="FX52" s="452"/>
      <c r="FY52" s="452"/>
      <c r="FZ52" s="453"/>
      <c r="GA52"/>
      <c r="GB52"/>
      <c r="GC52"/>
      <c r="GD52"/>
    </row>
    <row r="53" spans="4:186" x14ac:dyDescent="0.15">
      <c r="AG53" s="455">
        <v>0.316</v>
      </c>
      <c r="AH53" s="556">
        <v>1</v>
      </c>
      <c r="AJ53" s="455">
        <v>0.316</v>
      </c>
      <c r="AK53" s="556">
        <v>1</v>
      </c>
      <c r="AL53"/>
      <c r="AM53"/>
      <c r="AN53"/>
      <c r="AO53" s="455">
        <v>0.316</v>
      </c>
      <c r="AP53" s="455">
        <v>1</v>
      </c>
      <c r="AQ53"/>
      <c r="AR53"/>
      <c r="AS53"/>
      <c r="AT53"/>
      <c r="AU53"/>
      <c r="AV53"/>
      <c r="AW53"/>
      <c r="AX53"/>
      <c r="AY53"/>
      <c r="AZ53"/>
      <c r="BA53"/>
      <c r="BB53"/>
      <c r="BC53" s="558"/>
      <c r="BD53"/>
      <c r="BE53"/>
      <c r="BF53"/>
      <c r="BG53"/>
      <c r="BH53" s="455">
        <v>0.316</v>
      </c>
      <c r="BI53" s="455">
        <v>1</v>
      </c>
      <c r="BJ53"/>
      <c r="BK53"/>
      <c r="BL53"/>
      <c r="BM53"/>
      <c r="BN53"/>
      <c r="BO53" s="558"/>
      <c r="BP53" s="455">
        <v>0.316</v>
      </c>
      <c r="BQ53" s="455"/>
      <c r="BR53">
        <v>1</v>
      </c>
      <c r="BS53"/>
      <c r="BT53"/>
      <c r="BU53" s="558"/>
      <c r="BV53"/>
      <c r="BW53"/>
      <c r="BZ53" s="455">
        <v>0.316</v>
      </c>
      <c r="CA53" s="556">
        <v>1</v>
      </c>
      <c r="CB53"/>
      <c r="CC53"/>
      <c r="CD53"/>
      <c r="CF53" s="455">
        <v>0.316</v>
      </c>
      <c r="CG53" s="455">
        <v>1</v>
      </c>
      <c r="CH53"/>
      <c r="CI53"/>
      <c r="CJ53"/>
      <c r="CK53"/>
      <c r="CL53"/>
      <c r="CM53"/>
      <c r="CN53"/>
      <c r="CO53"/>
      <c r="CP53"/>
      <c r="CQ53"/>
      <c r="CR53"/>
      <c r="CS53"/>
      <c r="CT53"/>
      <c r="CU53"/>
      <c r="CV53" s="558"/>
      <c r="CW53"/>
      <c r="CX53"/>
      <c r="CY53"/>
      <c r="CZ53"/>
      <c r="DA53"/>
      <c r="DB53"/>
      <c r="DC53"/>
      <c r="DD53"/>
      <c r="DE53"/>
      <c r="DF53"/>
      <c r="DG53" s="455">
        <v>0.316</v>
      </c>
      <c r="DH53" s="455"/>
      <c r="DI53">
        <v>1</v>
      </c>
      <c r="DJ53"/>
      <c r="DK53"/>
      <c r="DL53"/>
      <c r="DM53"/>
      <c r="DN53"/>
      <c r="DO53"/>
      <c r="DP53"/>
      <c r="DQ53"/>
      <c r="DR53"/>
      <c r="DS53"/>
      <c r="DT53"/>
      <c r="DU53" s="558"/>
      <c r="DV53"/>
      <c r="DW53"/>
      <c r="DX53"/>
      <c r="DZ53" s="455">
        <v>0.316</v>
      </c>
      <c r="EA53" s="455"/>
      <c r="EB53"/>
      <c r="EC53">
        <v>1</v>
      </c>
      <c r="ED53"/>
      <c r="EE53"/>
      <c r="EF53"/>
      <c r="EG53" s="558"/>
      <c r="EH53"/>
      <c r="EJ53" s="455">
        <v>0.316</v>
      </c>
      <c r="EK53" s="455"/>
      <c r="EL53"/>
      <c r="EM53"/>
      <c r="EN53"/>
      <c r="EO53"/>
      <c r="EP53"/>
      <c r="EQ53"/>
      <c r="ER53"/>
      <c r="ES53"/>
      <c r="ET53"/>
      <c r="EU53"/>
      <c r="EV53"/>
      <c r="EW53">
        <v>1</v>
      </c>
      <c r="EX53"/>
      <c r="EY53"/>
      <c r="EZ53"/>
      <c r="FA53"/>
      <c r="FB53"/>
      <c r="FC53"/>
      <c r="FD53"/>
      <c r="FE53"/>
      <c r="FF53"/>
      <c r="FG53"/>
      <c r="FH53" s="558"/>
      <c r="FI53"/>
      <c r="FK53" s="449" t="s">
        <v>6772</v>
      </c>
      <c r="FL53" s="457"/>
      <c r="FM53" s="449">
        <v>1</v>
      </c>
      <c r="FN53" s="452"/>
      <c r="FO53" s="452"/>
      <c r="FP53" s="452"/>
      <c r="FQ53" s="452"/>
      <c r="FR53" s="452"/>
      <c r="FS53" s="452"/>
      <c r="FT53" s="452"/>
      <c r="FU53" s="452"/>
      <c r="FV53" s="452"/>
      <c r="FW53" s="452"/>
      <c r="FX53" s="452"/>
      <c r="FY53" s="452"/>
      <c r="FZ53" s="453"/>
      <c r="GA53"/>
      <c r="GB53"/>
      <c r="GC53"/>
      <c r="GD53"/>
    </row>
    <row r="54" spans="4:186" x14ac:dyDescent="0.15">
      <c r="AG54" s="455">
        <v>11.082000000000001</v>
      </c>
      <c r="AH54" s="556">
        <v>1</v>
      </c>
      <c r="AJ54" s="455">
        <v>11.082000000000001</v>
      </c>
      <c r="AK54" s="556">
        <v>1</v>
      </c>
      <c r="AL54"/>
      <c r="AM54"/>
      <c r="AN54"/>
      <c r="AO54" s="455">
        <v>11.082000000000001</v>
      </c>
      <c r="AP54" s="455"/>
      <c r="AQ54"/>
      <c r="AR54">
        <v>1</v>
      </c>
      <c r="AS54"/>
      <c r="AT54"/>
      <c r="AU54"/>
      <c r="AV54"/>
      <c r="AW54"/>
      <c r="AX54"/>
      <c r="AY54"/>
      <c r="AZ54"/>
      <c r="BA54"/>
      <c r="BB54"/>
      <c r="BC54" s="558"/>
      <c r="BD54"/>
      <c r="BE54"/>
      <c r="BF54"/>
      <c r="BG54"/>
      <c r="BH54" s="455">
        <v>11.082000000000001</v>
      </c>
      <c r="BI54" s="455">
        <v>1</v>
      </c>
      <c r="BJ54"/>
      <c r="BK54"/>
      <c r="BL54"/>
      <c r="BM54"/>
      <c r="BN54"/>
      <c r="BO54" s="558"/>
      <c r="BP54" s="455">
        <v>11.082000000000001</v>
      </c>
      <c r="BQ54" s="455"/>
      <c r="BR54"/>
      <c r="BS54">
        <v>1</v>
      </c>
      <c r="BT54"/>
      <c r="BU54" s="558"/>
      <c r="BV54"/>
      <c r="BW54"/>
      <c r="BZ54" s="455">
        <v>11.082000000000001</v>
      </c>
      <c r="CA54" s="556">
        <v>1</v>
      </c>
      <c r="CB54"/>
      <c r="CC54"/>
      <c r="CD54"/>
      <c r="CF54" s="455">
        <v>11.082000000000001</v>
      </c>
      <c r="CG54" s="455"/>
      <c r="CH54"/>
      <c r="CI54"/>
      <c r="CJ54">
        <v>1</v>
      </c>
      <c r="CK54"/>
      <c r="CL54"/>
      <c r="CM54"/>
      <c r="CN54"/>
      <c r="CO54"/>
      <c r="CP54"/>
      <c r="CQ54"/>
      <c r="CR54"/>
      <c r="CS54"/>
      <c r="CT54"/>
      <c r="CU54"/>
      <c r="CV54" s="558"/>
      <c r="CW54"/>
      <c r="CX54"/>
      <c r="CY54"/>
      <c r="CZ54"/>
      <c r="DA54"/>
      <c r="DB54"/>
      <c r="DC54"/>
      <c r="DD54"/>
      <c r="DE54"/>
      <c r="DF54"/>
      <c r="DG54" s="455">
        <v>11.082000000000001</v>
      </c>
      <c r="DH54" s="455"/>
      <c r="DI54">
        <v>1</v>
      </c>
      <c r="DJ54"/>
      <c r="DK54"/>
      <c r="DL54"/>
      <c r="DM54"/>
      <c r="DN54"/>
      <c r="DO54"/>
      <c r="DP54"/>
      <c r="DQ54"/>
      <c r="DR54"/>
      <c r="DS54"/>
      <c r="DT54"/>
      <c r="DU54" s="558"/>
      <c r="DV54"/>
      <c r="DW54"/>
      <c r="DX54"/>
      <c r="DZ54" s="455">
        <v>11.082000000000001</v>
      </c>
      <c r="EA54" s="455"/>
      <c r="EB54"/>
      <c r="EC54">
        <v>1</v>
      </c>
      <c r="ED54"/>
      <c r="EE54"/>
      <c r="EF54"/>
      <c r="EG54" s="558"/>
      <c r="EH54"/>
      <c r="EJ54" s="455">
        <v>11.082000000000001</v>
      </c>
      <c r="EK54" s="455"/>
      <c r="EL54"/>
      <c r="EM54"/>
      <c r="EN54"/>
      <c r="EO54"/>
      <c r="EP54"/>
      <c r="EQ54"/>
      <c r="ER54"/>
      <c r="ES54"/>
      <c r="ET54"/>
      <c r="EU54"/>
      <c r="EV54"/>
      <c r="EW54"/>
      <c r="EX54"/>
      <c r="EY54"/>
      <c r="EZ54"/>
      <c r="FA54"/>
      <c r="FB54"/>
      <c r="FC54"/>
      <c r="FD54"/>
      <c r="FE54">
        <v>1</v>
      </c>
      <c r="FF54"/>
      <c r="FG54"/>
      <c r="FH54" s="558"/>
      <c r="FI54"/>
      <c r="FK54" s="449">
        <v>15.808999999999999</v>
      </c>
      <c r="FL54" s="449" t="s">
        <v>411</v>
      </c>
      <c r="FM54" s="449">
        <v>1</v>
      </c>
      <c r="FN54" s="452"/>
      <c r="FO54" s="452"/>
      <c r="FP54" s="452"/>
      <c r="FQ54" s="452"/>
      <c r="FR54" s="452"/>
      <c r="FS54" s="452"/>
      <c r="FT54" s="452"/>
      <c r="FU54" s="452"/>
      <c r="FV54" s="452"/>
      <c r="FW54" s="452"/>
      <c r="FX54" s="452"/>
      <c r="FY54" s="452"/>
      <c r="FZ54" s="453"/>
      <c r="GA54"/>
      <c r="GB54"/>
      <c r="GC54"/>
      <c r="GD54"/>
    </row>
    <row r="55" spans="4:186" x14ac:dyDescent="0.15">
      <c r="AG55" s="455">
        <v>5.4429999999999996</v>
      </c>
      <c r="AH55" s="556">
        <v>1</v>
      </c>
      <c r="AJ55" s="455">
        <v>5.4429999999999996</v>
      </c>
      <c r="AK55" s="556">
        <v>1</v>
      </c>
      <c r="AL55"/>
      <c r="AM55"/>
      <c r="AN55"/>
      <c r="AO55" s="455">
        <v>5.4429999999999996</v>
      </c>
      <c r="AP55" s="455">
        <v>1</v>
      </c>
      <c r="AQ55"/>
      <c r="AR55"/>
      <c r="AS55"/>
      <c r="AT55"/>
      <c r="AU55"/>
      <c r="AV55"/>
      <c r="AW55"/>
      <c r="AX55"/>
      <c r="AY55"/>
      <c r="AZ55"/>
      <c r="BA55"/>
      <c r="BB55"/>
      <c r="BC55" s="558"/>
      <c r="BD55"/>
      <c r="BE55"/>
      <c r="BF55"/>
      <c r="BG55"/>
      <c r="BH55" s="455">
        <v>5.4429999999999996</v>
      </c>
      <c r="BI55" s="455">
        <v>1</v>
      </c>
      <c r="BJ55"/>
      <c r="BK55"/>
      <c r="BL55"/>
      <c r="BM55"/>
      <c r="BN55"/>
      <c r="BO55" s="558"/>
      <c r="BP55" s="455">
        <v>5.4429999999999996</v>
      </c>
      <c r="BQ55" s="455">
        <v>1</v>
      </c>
      <c r="BR55"/>
      <c r="BS55"/>
      <c r="BT55"/>
      <c r="BU55" s="558"/>
      <c r="BV55"/>
      <c r="BW55"/>
      <c r="BZ55" s="455">
        <v>5.4429999999999996</v>
      </c>
      <c r="CA55" s="556">
        <v>1</v>
      </c>
      <c r="CB55"/>
      <c r="CC55"/>
      <c r="CD55"/>
      <c r="CF55" s="455">
        <v>5.4429999999999996</v>
      </c>
      <c r="CG55" s="455"/>
      <c r="CH55"/>
      <c r="CI55"/>
      <c r="CJ55"/>
      <c r="CK55"/>
      <c r="CL55">
        <v>1</v>
      </c>
      <c r="CM55"/>
      <c r="CN55"/>
      <c r="CO55"/>
      <c r="CP55"/>
      <c r="CQ55"/>
      <c r="CR55"/>
      <c r="CS55"/>
      <c r="CT55"/>
      <c r="CU55"/>
      <c r="CV55" s="558"/>
      <c r="CW55"/>
      <c r="CX55"/>
      <c r="CY55"/>
      <c r="CZ55"/>
      <c r="DA55"/>
      <c r="DB55"/>
      <c r="DC55"/>
      <c r="DD55"/>
      <c r="DE55"/>
      <c r="DF55"/>
      <c r="DG55" s="455">
        <v>5.4429999999999996</v>
      </c>
      <c r="DH55" s="455">
        <v>1</v>
      </c>
      <c r="DI55"/>
      <c r="DJ55"/>
      <c r="DK55"/>
      <c r="DL55"/>
      <c r="DM55"/>
      <c r="DN55"/>
      <c r="DO55"/>
      <c r="DP55"/>
      <c r="DQ55"/>
      <c r="DR55"/>
      <c r="DS55"/>
      <c r="DT55"/>
      <c r="DU55" s="558"/>
      <c r="DV55"/>
      <c r="DW55"/>
      <c r="DX55"/>
      <c r="DZ55" s="455">
        <v>5.4429999999999996</v>
      </c>
      <c r="EA55" s="455"/>
      <c r="EB55"/>
      <c r="EC55"/>
      <c r="ED55">
        <v>1</v>
      </c>
      <c r="EE55"/>
      <c r="EF55"/>
      <c r="EG55" s="558"/>
      <c r="EH55"/>
      <c r="EJ55" s="455">
        <v>5.4429999999999996</v>
      </c>
      <c r="EK55" s="455"/>
      <c r="EL55"/>
      <c r="EM55"/>
      <c r="EN55"/>
      <c r="EO55"/>
      <c r="EP55"/>
      <c r="EQ55"/>
      <c r="ER55"/>
      <c r="ES55"/>
      <c r="ET55"/>
      <c r="EU55"/>
      <c r="EV55"/>
      <c r="EW55"/>
      <c r="EX55"/>
      <c r="EY55"/>
      <c r="EZ55"/>
      <c r="FA55"/>
      <c r="FB55"/>
      <c r="FC55"/>
      <c r="FD55">
        <v>1</v>
      </c>
      <c r="FE55"/>
      <c r="FF55"/>
      <c r="FG55"/>
      <c r="FH55" s="558"/>
      <c r="FI55"/>
      <c r="FK55" s="449" t="s">
        <v>6773</v>
      </c>
      <c r="FL55" s="457"/>
      <c r="FM55" s="449">
        <v>1</v>
      </c>
      <c r="FN55" s="452"/>
      <c r="FO55" s="452"/>
      <c r="FP55" s="452"/>
      <c r="FQ55" s="452"/>
      <c r="FR55" s="452"/>
      <c r="FS55" s="452"/>
      <c r="FT55" s="452"/>
      <c r="FU55" s="452"/>
      <c r="FV55" s="452"/>
      <c r="FW55" s="452"/>
      <c r="FX55" s="452"/>
      <c r="FY55" s="452"/>
      <c r="FZ55" s="453"/>
      <c r="GA55"/>
      <c r="GB55"/>
      <c r="GC55"/>
      <c r="GD55"/>
    </row>
    <row r="56" spans="4:186" x14ac:dyDescent="0.15">
      <c r="AG56" s="455">
        <v>7.5869999999999997</v>
      </c>
      <c r="AH56" s="556">
        <v>1</v>
      </c>
      <c r="AJ56" s="455">
        <v>7.5869999999999997</v>
      </c>
      <c r="AK56" s="556">
        <v>1</v>
      </c>
      <c r="AL56"/>
      <c r="AM56"/>
      <c r="AN56"/>
      <c r="AO56" s="455">
        <v>7.5869999999999997</v>
      </c>
      <c r="AP56" s="455"/>
      <c r="AQ56"/>
      <c r="AR56"/>
      <c r="AS56"/>
      <c r="AT56"/>
      <c r="AU56"/>
      <c r="AV56"/>
      <c r="AW56"/>
      <c r="AX56"/>
      <c r="AY56"/>
      <c r="AZ56">
        <v>1</v>
      </c>
      <c r="BA56"/>
      <c r="BB56"/>
      <c r="BC56" s="558"/>
      <c r="BD56"/>
      <c r="BE56"/>
      <c r="BF56"/>
      <c r="BG56"/>
      <c r="BH56" s="455">
        <v>7.5869999999999997</v>
      </c>
      <c r="BI56" s="455">
        <v>1</v>
      </c>
      <c r="BJ56"/>
      <c r="BK56"/>
      <c r="BL56"/>
      <c r="BM56"/>
      <c r="BN56"/>
      <c r="BO56" s="558"/>
      <c r="BP56" s="455">
        <v>7.5869999999999997</v>
      </c>
      <c r="BQ56" s="455"/>
      <c r="BR56">
        <v>1</v>
      </c>
      <c r="BS56"/>
      <c r="BT56"/>
      <c r="BU56" s="558"/>
      <c r="BV56"/>
      <c r="BW56"/>
      <c r="BZ56" s="455">
        <v>7.5869999999999997</v>
      </c>
      <c r="CA56" s="556">
        <v>1</v>
      </c>
      <c r="CB56"/>
      <c r="CC56"/>
      <c r="CD56"/>
      <c r="CF56" s="455">
        <v>7.5869999999999997</v>
      </c>
      <c r="CG56" s="455"/>
      <c r="CH56"/>
      <c r="CI56"/>
      <c r="CJ56">
        <v>1</v>
      </c>
      <c r="CK56"/>
      <c r="CL56"/>
      <c r="CM56"/>
      <c r="CN56"/>
      <c r="CO56"/>
      <c r="CP56"/>
      <c r="CQ56"/>
      <c r="CR56"/>
      <c r="CS56"/>
      <c r="CT56"/>
      <c r="CU56"/>
      <c r="CV56" s="558"/>
      <c r="CW56"/>
      <c r="CX56"/>
      <c r="CY56"/>
      <c r="CZ56"/>
      <c r="DA56"/>
      <c r="DB56"/>
      <c r="DC56"/>
      <c r="DD56"/>
      <c r="DE56"/>
      <c r="DF56"/>
      <c r="DG56" s="455">
        <v>7.5869999999999997</v>
      </c>
      <c r="DH56" s="455"/>
      <c r="DI56">
        <v>1</v>
      </c>
      <c r="DJ56"/>
      <c r="DK56"/>
      <c r="DL56"/>
      <c r="DM56"/>
      <c r="DN56"/>
      <c r="DO56"/>
      <c r="DP56"/>
      <c r="DQ56"/>
      <c r="DR56"/>
      <c r="DS56"/>
      <c r="DT56"/>
      <c r="DU56" s="558"/>
      <c r="DV56"/>
      <c r="DW56"/>
      <c r="DX56"/>
      <c r="DZ56" s="455">
        <v>7.5869999999999997</v>
      </c>
      <c r="EA56" s="455"/>
      <c r="EB56"/>
      <c r="EC56">
        <v>1</v>
      </c>
      <c r="ED56"/>
      <c r="EE56"/>
      <c r="EF56"/>
      <c r="EG56" s="558"/>
      <c r="EH56"/>
      <c r="EJ56" s="455">
        <v>7.5869999999999997</v>
      </c>
      <c r="EK56" s="455"/>
      <c r="EL56"/>
      <c r="EM56"/>
      <c r="EN56"/>
      <c r="EO56"/>
      <c r="EP56"/>
      <c r="EQ56"/>
      <c r="ER56"/>
      <c r="ES56"/>
      <c r="ET56"/>
      <c r="EU56"/>
      <c r="EV56"/>
      <c r="EW56"/>
      <c r="EX56"/>
      <c r="EY56"/>
      <c r="EZ56"/>
      <c r="FA56"/>
      <c r="FB56">
        <v>1</v>
      </c>
      <c r="FC56"/>
      <c r="FD56"/>
      <c r="FE56"/>
      <c r="FF56"/>
      <c r="FG56"/>
      <c r="FH56" s="558"/>
      <c r="FI56"/>
      <c r="FK56" s="449">
        <v>2.8130000000000002</v>
      </c>
      <c r="FL56" s="449" t="s">
        <v>405</v>
      </c>
      <c r="FM56" s="449"/>
      <c r="FN56" s="452"/>
      <c r="FO56" s="452">
        <v>1</v>
      </c>
      <c r="FP56" s="452"/>
      <c r="FQ56" s="452"/>
      <c r="FR56" s="452"/>
      <c r="FS56" s="452"/>
      <c r="FT56" s="452"/>
      <c r="FU56" s="452"/>
      <c r="FV56" s="452"/>
      <c r="FW56" s="452"/>
      <c r="FX56" s="452"/>
      <c r="FY56" s="452"/>
      <c r="FZ56" s="453"/>
      <c r="GA56"/>
      <c r="GB56"/>
      <c r="GC56"/>
      <c r="GD56"/>
    </row>
    <row r="57" spans="4:186" x14ac:dyDescent="0.15">
      <c r="AG57" s="455">
        <v>2.282</v>
      </c>
      <c r="AH57" s="556">
        <v>1</v>
      </c>
      <c r="AJ57" s="455">
        <v>2.282</v>
      </c>
      <c r="AK57" s="556">
        <v>1</v>
      </c>
      <c r="AL57"/>
      <c r="AM57"/>
      <c r="AN57"/>
      <c r="AO57" s="455">
        <v>2.282</v>
      </c>
      <c r="AP57" s="455">
        <v>1</v>
      </c>
      <c r="AQ57"/>
      <c r="AR57"/>
      <c r="AS57"/>
      <c r="AT57"/>
      <c r="AU57"/>
      <c r="AV57"/>
      <c r="AW57"/>
      <c r="AX57"/>
      <c r="AY57"/>
      <c r="AZ57"/>
      <c r="BA57"/>
      <c r="BB57"/>
      <c r="BC57" s="558"/>
      <c r="BD57"/>
      <c r="BE57"/>
      <c r="BF57"/>
      <c r="BG57"/>
      <c r="BH57" s="455">
        <v>2.282</v>
      </c>
      <c r="BI57" s="455"/>
      <c r="BJ57"/>
      <c r="BK57">
        <v>1</v>
      </c>
      <c r="BL57"/>
      <c r="BM57"/>
      <c r="BN57"/>
      <c r="BO57" s="558"/>
      <c r="BP57" s="455">
        <v>2.282</v>
      </c>
      <c r="BQ57" s="455"/>
      <c r="BR57">
        <v>1</v>
      </c>
      <c r="BS57"/>
      <c r="BT57"/>
      <c r="BU57" s="558"/>
      <c r="BV57"/>
      <c r="BW57"/>
      <c r="BZ57" s="455">
        <v>2.282</v>
      </c>
      <c r="CA57" s="556">
        <v>1</v>
      </c>
      <c r="CB57"/>
      <c r="CC57"/>
      <c r="CD57"/>
      <c r="CF57" s="455">
        <v>2.282</v>
      </c>
      <c r="CG57" s="455"/>
      <c r="CH57"/>
      <c r="CI57"/>
      <c r="CJ57">
        <v>1</v>
      </c>
      <c r="CK57"/>
      <c r="CL57"/>
      <c r="CM57"/>
      <c r="CN57"/>
      <c r="CO57"/>
      <c r="CP57"/>
      <c r="CQ57"/>
      <c r="CR57"/>
      <c r="CS57"/>
      <c r="CT57"/>
      <c r="CU57"/>
      <c r="CV57" s="558"/>
      <c r="CW57"/>
      <c r="CX57"/>
      <c r="CY57"/>
      <c r="CZ57"/>
      <c r="DA57"/>
      <c r="DB57"/>
      <c r="DC57"/>
      <c r="DD57"/>
      <c r="DE57"/>
      <c r="DF57"/>
      <c r="DG57" s="455">
        <v>2.282</v>
      </c>
      <c r="DH57" s="455">
        <v>1</v>
      </c>
      <c r="DI57"/>
      <c r="DJ57"/>
      <c r="DK57"/>
      <c r="DL57"/>
      <c r="DM57"/>
      <c r="DN57"/>
      <c r="DO57"/>
      <c r="DP57"/>
      <c r="DQ57"/>
      <c r="DR57"/>
      <c r="DS57"/>
      <c r="DT57"/>
      <c r="DU57" s="558"/>
      <c r="DV57"/>
      <c r="DW57"/>
      <c r="DX57"/>
      <c r="DZ57" s="455">
        <v>2.282</v>
      </c>
      <c r="EA57" s="455"/>
      <c r="EB57"/>
      <c r="EC57">
        <v>1</v>
      </c>
      <c r="ED57"/>
      <c r="EE57"/>
      <c r="EF57"/>
      <c r="EG57" s="558"/>
      <c r="EH57"/>
      <c r="EJ57" s="455">
        <v>2.282</v>
      </c>
      <c r="EK57" s="455"/>
      <c r="EL57"/>
      <c r="EM57"/>
      <c r="EN57"/>
      <c r="EO57"/>
      <c r="EP57"/>
      <c r="EQ57"/>
      <c r="ER57"/>
      <c r="ES57"/>
      <c r="ET57"/>
      <c r="EU57"/>
      <c r="EV57"/>
      <c r="EW57"/>
      <c r="EX57"/>
      <c r="EY57"/>
      <c r="EZ57"/>
      <c r="FA57"/>
      <c r="FB57">
        <v>1</v>
      </c>
      <c r="FC57"/>
      <c r="FD57"/>
      <c r="FE57"/>
      <c r="FF57"/>
      <c r="FG57"/>
      <c r="FH57" s="558"/>
      <c r="FI57"/>
      <c r="FK57" s="449" t="s">
        <v>6774</v>
      </c>
      <c r="FL57" s="457"/>
      <c r="FM57" s="449"/>
      <c r="FN57" s="452"/>
      <c r="FO57" s="452">
        <v>1</v>
      </c>
      <c r="FP57" s="452"/>
      <c r="FQ57" s="452"/>
      <c r="FR57" s="452"/>
      <c r="FS57" s="452"/>
      <c r="FT57" s="452"/>
      <c r="FU57" s="452"/>
      <c r="FV57" s="452"/>
      <c r="FW57" s="452"/>
      <c r="FX57" s="452"/>
      <c r="FY57" s="452"/>
      <c r="FZ57" s="453"/>
      <c r="GA57"/>
      <c r="GB57"/>
      <c r="GC57"/>
      <c r="GD57"/>
    </row>
    <row r="58" spans="4:186" ht="18" x14ac:dyDescent="0.2">
      <c r="D58" s="18" t="str">
        <f>$D$1</f>
        <v>Type 'Heading' Here</v>
      </c>
      <c r="AG58" s="455">
        <v>3.7250000000000001</v>
      </c>
      <c r="AH58" s="556">
        <v>1</v>
      </c>
      <c r="AJ58" s="455">
        <v>3.7250000000000001</v>
      </c>
      <c r="AK58" s="556">
        <v>1</v>
      </c>
      <c r="AL58"/>
      <c r="AM58"/>
      <c r="AN58"/>
      <c r="AO58" s="455">
        <v>3.7250000000000001</v>
      </c>
      <c r="AP58" s="455"/>
      <c r="AQ58"/>
      <c r="AR58">
        <v>1</v>
      </c>
      <c r="AS58"/>
      <c r="AT58"/>
      <c r="AU58"/>
      <c r="AV58"/>
      <c r="AW58"/>
      <c r="AX58"/>
      <c r="AY58"/>
      <c r="AZ58"/>
      <c r="BA58"/>
      <c r="BB58"/>
      <c r="BC58" s="558"/>
      <c r="BD58"/>
      <c r="BE58"/>
      <c r="BF58"/>
      <c r="BG58"/>
      <c r="BH58" s="455">
        <v>3.7250000000000001</v>
      </c>
      <c r="BI58" s="455">
        <v>1</v>
      </c>
      <c r="BJ58"/>
      <c r="BK58"/>
      <c r="BL58"/>
      <c r="BM58"/>
      <c r="BN58"/>
      <c r="BO58" s="558"/>
      <c r="BP58" s="455">
        <v>3.7250000000000001</v>
      </c>
      <c r="BQ58" s="455"/>
      <c r="BR58">
        <v>1</v>
      </c>
      <c r="BS58"/>
      <c r="BT58"/>
      <c r="BU58" s="558"/>
      <c r="BV58"/>
      <c r="BW58"/>
      <c r="BZ58" s="455">
        <v>3.7250000000000001</v>
      </c>
      <c r="CA58" s="556">
        <v>1</v>
      </c>
      <c r="CB58"/>
      <c r="CC58"/>
      <c r="CD58"/>
      <c r="CF58" s="455">
        <v>3.7250000000000001</v>
      </c>
      <c r="CG58" s="455"/>
      <c r="CH58"/>
      <c r="CI58"/>
      <c r="CJ58"/>
      <c r="CK58">
        <v>1</v>
      </c>
      <c r="CL58"/>
      <c r="CM58"/>
      <c r="CN58"/>
      <c r="CO58"/>
      <c r="CP58"/>
      <c r="CQ58"/>
      <c r="CR58"/>
      <c r="CS58"/>
      <c r="CT58"/>
      <c r="CU58"/>
      <c r="CV58" s="558"/>
      <c r="CW58"/>
      <c r="CX58"/>
      <c r="CY58"/>
      <c r="CZ58"/>
      <c r="DA58"/>
      <c r="DB58"/>
      <c r="DC58"/>
      <c r="DD58"/>
      <c r="DE58"/>
      <c r="DF58"/>
      <c r="DG58" s="455">
        <v>3.7250000000000001</v>
      </c>
      <c r="DH58" s="455">
        <v>1</v>
      </c>
      <c r="DI58"/>
      <c r="DJ58"/>
      <c r="DK58"/>
      <c r="DL58"/>
      <c r="DM58"/>
      <c r="DN58"/>
      <c r="DO58"/>
      <c r="DP58"/>
      <c r="DQ58"/>
      <c r="DR58"/>
      <c r="DS58"/>
      <c r="DT58"/>
      <c r="DU58" s="558"/>
      <c r="DV58"/>
      <c r="DW58"/>
      <c r="DX58"/>
      <c r="DZ58" s="455">
        <v>3.7250000000000001</v>
      </c>
      <c r="EA58" s="455"/>
      <c r="EB58"/>
      <c r="EC58"/>
      <c r="ED58">
        <v>1</v>
      </c>
      <c r="EE58"/>
      <c r="EF58"/>
      <c r="EG58" s="558"/>
      <c r="EH58"/>
      <c r="EJ58" s="455">
        <v>3.7250000000000001</v>
      </c>
      <c r="EK58" s="455"/>
      <c r="EL58"/>
      <c r="EM58"/>
      <c r="EN58"/>
      <c r="EO58"/>
      <c r="EP58"/>
      <c r="EQ58"/>
      <c r="ER58"/>
      <c r="ES58"/>
      <c r="ET58"/>
      <c r="EU58">
        <v>1</v>
      </c>
      <c r="EV58"/>
      <c r="EW58"/>
      <c r="EX58"/>
      <c r="EY58"/>
      <c r="EZ58"/>
      <c r="FA58"/>
      <c r="FB58"/>
      <c r="FC58"/>
      <c r="FD58"/>
      <c r="FE58"/>
      <c r="FF58"/>
      <c r="FG58"/>
      <c r="FH58" s="558"/>
      <c r="FI58"/>
      <c r="FK58" s="449">
        <v>11.831</v>
      </c>
      <c r="FL58" s="449" t="s">
        <v>410</v>
      </c>
      <c r="FM58" s="449"/>
      <c r="FN58" s="452"/>
      <c r="FO58" s="452"/>
      <c r="FP58" s="452"/>
      <c r="FQ58" s="452">
        <v>1</v>
      </c>
      <c r="FR58" s="452"/>
      <c r="FS58" s="452"/>
      <c r="FT58" s="452"/>
      <c r="FU58" s="452"/>
      <c r="FV58" s="452"/>
      <c r="FW58" s="452"/>
      <c r="FX58" s="452"/>
      <c r="FY58" s="452"/>
      <c r="FZ58" s="453"/>
      <c r="GA58"/>
      <c r="GB58"/>
      <c r="GC58"/>
      <c r="GD58"/>
    </row>
    <row r="59" spans="4:186" x14ac:dyDescent="0.15">
      <c r="D59" s="23" t="s">
        <v>160</v>
      </c>
      <c r="AG59" s="455">
        <v>4.2439999999999998</v>
      </c>
      <c r="AH59" s="556">
        <v>1</v>
      </c>
      <c r="AJ59" s="455">
        <v>4.2439999999999998</v>
      </c>
      <c r="AK59" s="556">
        <v>1</v>
      </c>
      <c r="AL59"/>
      <c r="AM59"/>
      <c r="AN59"/>
      <c r="AO59" s="455">
        <v>4.2439999999999998</v>
      </c>
      <c r="AP59" s="455"/>
      <c r="AQ59">
        <v>1</v>
      </c>
      <c r="AR59"/>
      <c r="AS59"/>
      <c r="AT59"/>
      <c r="AU59"/>
      <c r="AV59"/>
      <c r="AW59"/>
      <c r="AX59"/>
      <c r="AY59"/>
      <c r="AZ59"/>
      <c r="BA59"/>
      <c r="BB59"/>
      <c r="BC59" s="558"/>
      <c r="BD59"/>
      <c r="BE59"/>
      <c r="BF59"/>
      <c r="BG59"/>
      <c r="BH59" s="455">
        <v>4.2439999999999998</v>
      </c>
      <c r="BI59" s="455">
        <v>1</v>
      </c>
      <c r="BJ59"/>
      <c r="BK59"/>
      <c r="BL59"/>
      <c r="BM59"/>
      <c r="BN59"/>
      <c r="BO59" s="558"/>
      <c r="BP59" s="455">
        <v>4.2439999999999998</v>
      </c>
      <c r="BQ59" s="455"/>
      <c r="BR59">
        <v>1</v>
      </c>
      <c r="BS59"/>
      <c r="BT59"/>
      <c r="BU59" s="558"/>
      <c r="BV59"/>
      <c r="BW59"/>
      <c r="BZ59" s="455">
        <v>4.2439999999999998</v>
      </c>
      <c r="CA59" s="556">
        <v>1</v>
      </c>
      <c r="CB59"/>
      <c r="CC59"/>
      <c r="CD59"/>
      <c r="CF59" s="455">
        <v>4.2439999999999998</v>
      </c>
      <c r="CG59" s="455"/>
      <c r="CH59">
        <v>1</v>
      </c>
      <c r="CI59"/>
      <c r="CJ59"/>
      <c r="CK59"/>
      <c r="CL59"/>
      <c r="CM59"/>
      <c r="CN59"/>
      <c r="CO59"/>
      <c r="CP59"/>
      <c r="CQ59"/>
      <c r="CR59"/>
      <c r="CS59"/>
      <c r="CT59"/>
      <c r="CU59"/>
      <c r="CV59" s="558"/>
      <c r="CW59"/>
      <c r="CX59"/>
      <c r="CY59"/>
      <c r="CZ59"/>
      <c r="DA59"/>
      <c r="DB59"/>
      <c r="DC59"/>
      <c r="DD59"/>
      <c r="DE59"/>
      <c r="DF59"/>
      <c r="DG59" s="455">
        <v>4.2439999999999998</v>
      </c>
      <c r="DH59" s="455">
        <v>1</v>
      </c>
      <c r="DI59"/>
      <c r="DJ59"/>
      <c r="DK59"/>
      <c r="DL59"/>
      <c r="DM59"/>
      <c r="DN59"/>
      <c r="DO59"/>
      <c r="DP59"/>
      <c r="DQ59"/>
      <c r="DR59"/>
      <c r="DS59"/>
      <c r="DT59"/>
      <c r="DU59" s="558"/>
      <c r="DV59"/>
      <c r="DW59"/>
      <c r="DX59"/>
      <c r="DZ59" s="455">
        <v>4.2439999999999998</v>
      </c>
      <c r="EA59" s="455">
        <v>1</v>
      </c>
      <c r="EB59"/>
      <c r="EC59"/>
      <c r="ED59"/>
      <c r="EE59"/>
      <c r="EF59"/>
      <c r="EG59" s="558"/>
      <c r="EH59"/>
      <c r="EJ59" s="455">
        <v>4.2439999999999998</v>
      </c>
      <c r="EK59" s="455"/>
      <c r="EL59"/>
      <c r="EM59"/>
      <c r="EN59"/>
      <c r="EO59"/>
      <c r="EP59"/>
      <c r="EQ59"/>
      <c r="ER59"/>
      <c r="ES59"/>
      <c r="ET59"/>
      <c r="EU59"/>
      <c r="EV59"/>
      <c r="EW59">
        <v>1</v>
      </c>
      <c r="EX59"/>
      <c r="EY59"/>
      <c r="EZ59"/>
      <c r="FA59"/>
      <c r="FB59"/>
      <c r="FC59"/>
      <c r="FD59"/>
      <c r="FE59"/>
      <c r="FF59"/>
      <c r="FG59"/>
      <c r="FH59" s="558"/>
      <c r="FI59"/>
      <c r="FK59" s="449" t="s">
        <v>6775</v>
      </c>
      <c r="FL59" s="457"/>
      <c r="FM59" s="449"/>
      <c r="FN59" s="452"/>
      <c r="FO59" s="452"/>
      <c r="FP59" s="452"/>
      <c r="FQ59" s="452">
        <v>1</v>
      </c>
      <c r="FR59" s="452"/>
      <c r="FS59" s="452"/>
      <c r="FT59" s="452"/>
      <c r="FU59" s="452"/>
      <c r="FV59" s="452"/>
      <c r="FW59" s="452"/>
      <c r="FX59" s="452"/>
      <c r="FY59" s="452"/>
      <c r="FZ59" s="453"/>
      <c r="GA59"/>
      <c r="GB59"/>
      <c r="GC59"/>
      <c r="GD59"/>
    </row>
    <row r="60" spans="4:186" x14ac:dyDescent="0.15">
      <c r="AG60" s="455">
        <v>17.143999999999998</v>
      </c>
      <c r="AH60" s="556">
        <v>1</v>
      </c>
      <c r="AJ60" s="455">
        <v>17.143999999999998</v>
      </c>
      <c r="AK60" s="556">
        <v>1</v>
      </c>
      <c r="AL60"/>
      <c r="AM60"/>
      <c r="AN60"/>
      <c r="AO60" s="455">
        <v>17.143999999999998</v>
      </c>
      <c r="AP60" s="455"/>
      <c r="AQ60">
        <v>1</v>
      </c>
      <c r="AR60"/>
      <c r="AS60"/>
      <c r="AT60"/>
      <c r="AU60"/>
      <c r="AV60"/>
      <c r="AW60"/>
      <c r="AX60"/>
      <c r="AY60"/>
      <c r="AZ60"/>
      <c r="BA60"/>
      <c r="BB60"/>
      <c r="BC60" s="558"/>
      <c r="BD60"/>
      <c r="BE60"/>
      <c r="BF60"/>
      <c r="BG60"/>
      <c r="BH60" s="455">
        <v>17.143999999999998</v>
      </c>
      <c r="BI60" s="455">
        <v>1</v>
      </c>
      <c r="BJ60"/>
      <c r="BK60"/>
      <c r="BL60"/>
      <c r="BM60"/>
      <c r="BN60"/>
      <c r="BO60" s="558"/>
      <c r="BP60" s="455">
        <v>17.143999999999998</v>
      </c>
      <c r="BQ60" s="455"/>
      <c r="BR60">
        <v>1</v>
      </c>
      <c r="BS60"/>
      <c r="BT60"/>
      <c r="BU60" s="558"/>
      <c r="BV60"/>
      <c r="BW60"/>
      <c r="BZ60" s="455">
        <v>17.143999999999998</v>
      </c>
      <c r="CA60" s="556">
        <v>1</v>
      </c>
      <c r="CB60"/>
      <c r="CC60"/>
      <c r="CD60"/>
      <c r="CF60" s="455">
        <v>17.143999999999998</v>
      </c>
      <c r="CG60" s="455"/>
      <c r="CH60"/>
      <c r="CI60"/>
      <c r="CJ60">
        <v>1</v>
      </c>
      <c r="CK60"/>
      <c r="CL60"/>
      <c r="CM60"/>
      <c r="CN60"/>
      <c r="CO60"/>
      <c r="CP60"/>
      <c r="CQ60"/>
      <c r="CR60"/>
      <c r="CS60"/>
      <c r="CT60"/>
      <c r="CU60"/>
      <c r="CV60" s="558"/>
      <c r="CW60"/>
      <c r="CX60"/>
      <c r="CY60"/>
      <c r="CZ60"/>
      <c r="DA60"/>
      <c r="DB60"/>
      <c r="DC60"/>
      <c r="DD60"/>
      <c r="DE60"/>
      <c r="DF60"/>
      <c r="DG60" s="455">
        <v>17.143999999999998</v>
      </c>
      <c r="DH60" s="455"/>
      <c r="DI60">
        <v>1</v>
      </c>
      <c r="DJ60"/>
      <c r="DK60"/>
      <c r="DL60"/>
      <c r="DM60"/>
      <c r="DN60"/>
      <c r="DO60"/>
      <c r="DP60"/>
      <c r="DQ60"/>
      <c r="DR60"/>
      <c r="DS60"/>
      <c r="DT60"/>
      <c r="DU60" s="558"/>
      <c r="DV60"/>
      <c r="DW60"/>
      <c r="DX60"/>
      <c r="DZ60" s="455">
        <v>17.143999999999998</v>
      </c>
      <c r="EA60" s="455"/>
      <c r="EB60"/>
      <c r="EC60">
        <v>1</v>
      </c>
      <c r="ED60"/>
      <c r="EE60"/>
      <c r="EF60"/>
      <c r="EG60" s="558"/>
      <c r="EH60"/>
      <c r="EJ60" s="455">
        <v>17.143999999999998</v>
      </c>
      <c r="EK60" s="455"/>
      <c r="EL60"/>
      <c r="EM60"/>
      <c r="EN60"/>
      <c r="EO60"/>
      <c r="EP60"/>
      <c r="EQ60"/>
      <c r="ER60"/>
      <c r="ES60"/>
      <c r="ET60">
        <v>1</v>
      </c>
      <c r="EU60"/>
      <c r="EV60"/>
      <c r="EW60"/>
      <c r="EX60"/>
      <c r="EY60"/>
      <c r="EZ60"/>
      <c r="FA60"/>
      <c r="FB60"/>
      <c r="FC60"/>
      <c r="FD60"/>
      <c r="FE60"/>
      <c r="FF60"/>
      <c r="FG60"/>
      <c r="FH60" s="558"/>
      <c r="FI60"/>
      <c r="FK60" s="449">
        <v>23.587</v>
      </c>
      <c r="FL60" s="449" t="s">
        <v>406</v>
      </c>
      <c r="FM60" s="449">
        <v>1</v>
      </c>
      <c r="FN60" s="452"/>
      <c r="FO60" s="452"/>
      <c r="FP60" s="452"/>
      <c r="FQ60" s="452"/>
      <c r="FR60" s="452"/>
      <c r="FS60" s="452"/>
      <c r="FT60" s="452"/>
      <c r="FU60" s="452"/>
      <c r="FV60" s="452"/>
      <c r="FW60" s="452"/>
      <c r="FX60" s="452"/>
      <c r="FY60" s="452"/>
      <c r="FZ60" s="453"/>
      <c r="GA60"/>
      <c r="GB60"/>
      <c r="GC60"/>
      <c r="GD60"/>
    </row>
    <row r="61" spans="4:186" x14ac:dyDescent="0.15">
      <c r="AG61" s="455">
        <v>1.9419999999999999</v>
      </c>
      <c r="AH61" s="556">
        <v>1</v>
      </c>
      <c r="AJ61" s="455">
        <v>1.9419999999999999</v>
      </c>
      <c r="AK61" s="556">
        <v>1</v>
      </c>
      <c r="AL61"/>
      <c r="AM61"/>
      <c r="AN61"/>
      <c r="AO61" s="455">
        <v>1.9419999999999999</v>
      </c>
      <c r="AP61" s="455">
        <v>1</v>
      </c>
      <c r="AQ61"/>
      <c r="AR61"/>
      <c r="AS61"/>
      <c r="AT61"/>
      <c r="AU61"/>
      <c r="AV61"/>
      <c r="AW61"/>
      <c r="AX61"/>
      <c r="AY61"/>
      <c r="AZ61"/>
      <c r="BA61"/>
      <c r="BB61"/>
      <c r="BC61" s="558"/>
      <c r="BD61"/>
      <c r="BE61"/>
      <c r="BF61"/>
      <c r="BG61"/>
      <c r="BH61" s="455">
        <v>1.9419999999999999</v>
      </c>
      <c r="BI61" s="455"/>
      <c r="BJ61"/>
      <c r="BK61"/>
      <c r="BL61"/>
      <c r="BM61"/>
      <c r="BN61">
        <v>1</v>
      </c>
      <c r="BO61" s="558"/>
      <c r="BP61" s="455">
        <v>1.9419999999999999</v>
      </c>
      <c r="BQ61" s="455"/>
      <c r="BR61"/>
      <c r="BS61">
        <v>1</v>
      </c>
      <c r="BT61"/>
      <c r="BU61" s="558"/>
      <c r="BV61"/>
      <c r="BW61"/>
      <c r="BZ61" s="455">
        <v>1.9419999999999999</v>
      </c>
      <c r="CA61" s="556">
        <v>1</v>
      </c>
      <c r="CB61"/>
      <c r="CC61"/>
      <c r="CD61"/>
      <c r="CF61" s="455">
        <v>1.9419999999999999</v>
      </c>
      <c r="CG61" s="455"/>
      <c r="CH61"/>
      <c r="CI61"/>
      <c r="CJ61"/>
      <c r="CK61"/>
      <c r="CL61">
        <v>1</v>
      </c>
      <c r="CM61"/>
      <c r="CN61"/>
      <c r="CO61"/>
      <c r="CP61"/>
      <c r="CQ61"/>
      <c r="CR61"/>
      <c r="CS61"/>
      <c r="CT61"/>
      <c r="CU61"/>
      <c r="CV61" s="558"/>
      <c r="CW61"/>
      <c r="CX61"/>
      <c r="CY61"/>
      <c r="CZ61"/>
      <c r="DA61"/>
      <c r="DB61"/>
      <c r="DC61"/>
      <c r="DD61"/>
      <c r="DE61"/>
      <c r="DF61"/>
      <c r="DG61" s="455">
        <v>1.9419999999999999</v>
      </c>
      <c r="DH61" s="455"/>
      <c r="DI61">
        <v>1</v>
      </c>
      <c r="DJ61"/>
      <c r="DK61"/>
      <c r="DL61"/>
      <c r="DM61"/>
      <c r="DN61"/>
      <c r="DO61"/>
      <c r="DP61"/>
      <c r="DQ61"/>
      <c r="DR61"/>
      <c r="DS61"/>
      <c r="DT61"/>
      <c r="DU61" s="558"/>
      <c r="DV61"/>
      <c r="DW61"/>
      <c r="DX61"/>
      <c r="DZ61" s="455">
        <v>1.9419999999999999</v>
      </c>
      <c r="EA61" s="455"/>
      <c r="EB61"/>
      <c r="EC61"/>
      <c r="ED61"/>
      <c r="EE61">
        <v>1</v>
      </c>
      <c r="EF61"/>
      <c r="EG61" s="558"/>
      <c r="EH61"/>
      <c r="EJ61" s="455">
        <v>1.9419999999999999</v>
      </c>
      <c r="EK61" s="455"/>
      <c r="EL61"/>
      <c r="EM61"/>
      <c r="EN61"/>
      <c r="EO61"/>
      <c r="EP61"/>
      <c r="EQ61"/>
      <c r="ER61"/>
      <c r="ES61"/>
      <c r="ET61"/>
      <c r="EU61"/>
      <c r="EV61"/>
      <c r="EW61"/>
      <c r="EX61"/>
      <c r="EY61"/>
      <c r="EZ61"/>
      <c r="FA61"/>
      <c r="FB61"/>
      <c r="FC61"/>
      <c r="FD61">
        <v>1</v>
      </c>
      <c r="FE61"/>
      <c r="FF61"/>
      <c r="FG61"/>
      <c r="FH61" s="558"/>
      <c r="FI61"/>
      <c r="FK61" s="449" t="s">
        <v>6776</v>
      </c>
      <c r="FL61" s="457"/>
      <c r="FM61" s="449">
        <v>1</v>
      </c>
      <c r="FN61" s="452"/>
      <c r="FO61" s="452"/>
      <c r="FP61" s="452"/>
      <c r="FQ61" s="452"/>
      <c r="FR61" s="452"/>
      <c r="FS61" s="452"/>
      <c r="FT61" s="452"/>
      <c r="FU61" s="452"/>
      <c r="FV61" s="452"/>
      <c r="FW61" s="452"/>
      <c r="FX61" s="452"/>
      <c r="FY61" s="452"/>
      <c r="FZ61" s="453"/>
      <c r="GA61"/>
      <c r="GB61"/>
      <c r="GC61"/>
      <c r="GD61"/>
    </row>
    <row r="62" spans="4:186" x14ac:dyDescent="0.15">
      <c r="AG62" s="455">
        <v>23.067</v>
      </c>
      <c r="AH62" s="556">
        <v>1</v>
      </c>
      <c r="AJ62" s="455">
        <v>23.067</v>
      </c>
      <c r="AK62" s="556">
        <v>1</v>
      </c>
      <c r="AL62"/>
      <c r="AM62"/>
      <c r="AN62"/>
      <c r="AO62" s="455">
        <v>23.067</v>
      </c>
      <c r="AP62" s="455"/>
      <c r="AQ62"/>
      <c r="AR62">
        <v>1</v>
      </c>
      <c r="AS62"/>
      <c r="AT62"/>
      <c r="AU62"/>
      <c r="AV62"/>
      <c r="AW62"/>
      <c r="AX62"/>
      <c r="AY62"/>
      <c r="AZ62"/>
      <c r="BA62"/>
      <c r="BB62"/>
      <c r="BC62" s="558"/>
      <c r="BD62"/>
      <c r="BE62"/>
      <c r="BF62"/>
      <c r="BG62"/>
      <c r="BH62" s="455">
        <v>23.067</v>
      </c>
      <c r="BI62" s="455">
        <v>1</v>
      </c>
      <c r="BJ62"/>
      <c r="BK62"/>
      <c r="BL62"/>
      <c r="BM62"/>
      <c r="BN62"/>
      <c r="BO62" s="558"/>
      <c r="BP62" s="455">
        <v>23.067</v>
      </c>
      <c r="BQ62" s="455"/>
      <c r="BR62"/>
      <c r="BS62">
        <v>1</v>
      </c>
      <c r="BT62"/>
      <c r="BU62" s="558"/>
      <c r="BV62"/>
      <c r="BW62"/>
      <c r="BZ62" s="455">
        <v>23.067</v>
      </c>
      <c r="CA62" s="556">
        <v>1</v>
      </c>
      <c r="CB62"/>
      <c r="CC62"/>
      <c r="CD62"/>
      <c r="CF62" s="455">
        <v>23.067</v>
      </c>
      <c r="CG62" s="455"/>
      <c r="CH62"/>
      <c r="CI62">
        <v>1</v>
      </c>
      <c r="CJ62"/>
      <c r="CK62"/>
      <c r="CL62"/>
      <c r="CM62"/>
      <c r="CN62"/>
      <c r="CO62"/>
      <c r="CP62"/>
      <c r="CQ62"/>
      <c r="CR62"/>
      <c r="CS62"/>
      <c r="CT62"/>
      <c r="CU62"/>
      <c r="CV62" s="558"/>
      <c r="CW62"/>
      <c r="CX62"/>
      <c r="CY62"/>
      <c r="CZ62"/>
      <c r="DA62"/>
      <c r="DB62"/>
      <c r="DC62"/>
      <c r="DD62"/>
      <c r="DE62"/>
      <c r="DF62"/>
      <c r="DG62" s="455">
        <v>23.067</v>
      </c>
      <c r="DH62" s="455"/>
      <c r="DI62"/>
      <c r="DJ62"/>
      <c r="DK62"/>
      <c r="DL62">
        <v>1</v>
      </c>
      <c r="DM62"/>
      <c r="DN62"/>
      <c r="DO62"/>
      <c r="DP62"/>
      <c r="DQ62"/>
      <c r="DR62"/>
      <c r="DS62"/>
      <c r="DT62"/>
      <c r="DU62" s="558"/>
      <c r="DV62"/>
      <c r="DW62"/>
      <c r="DX62"/>
      <c r="DZ62" s="455">
        <v>23.067</v>
      </c>
      <c r="EA62" s="455"/>
      <c r="EB62">
        <v>1</v>
      </c>
      <c r="EC62"/>
      <c r="ED62"/>
      <c r="EE62"/>
      <c r="EF62"/>
      <c r="EG62" s="558"/>
      <c r="EH62"/>
      <c r="EJ62" s="455">
        <v>23.067</v>
      </c>
      <c r="EK62" s="455"/>
      <c r="EL62">
        <v>1</v>
      </c>
      <c r="EM62"/>
      <c r="EN62"/>
      <c r="EO62"/>
      <c r="EP62"/>
      <c r="EQ62"/>
      <c r="ER62"/>
      <c r="ES62"/>
      <c r="ET62"/>
      <c r="EU62"/>
      <c r="EV62"/>
      <c r="EW62"/>
      <c r="EX62"/>
      <c r="EY62"/>
      <c r="EZ62"/>
      <c r="FA62"/>
      <c r="FB62"/>
      <c r="FC62"/>
      <c r="FD62"/>
      <c r="FE62"/>
      <c r="FF62"/>
      <c r="FG62"/>
      <c r="FH62" s="558"/>
      <c r="FI62"/>
      <c r="FK62" s="449">
        <v>8.6389999999999993</v>
      </c>
      <c r="FL62" s="449" t="s">
        <v>410</v>
      </c>
      <c r="FM62" s="449"/>
      <c r="FN62" s="452">
        <v>1</v>
      </c>
      <c r="FO62" s="452"/>
      <c r="FP62" s="452"/>
      <c r="FQ62" s="452"/>
      <c r="FR62" s="452"/>
      <c r="FS62" s="452"/>
      <c r="FT62" s="452"/>
      <c r="FU62" s="452"/>
      <c r="FV62" s="452"/>
      <c r="FW62" s="452"/>
      <c r="FX62" s="452"/>
      <c r="FY62" s="452"/>
      <c r="FZ62" s="453"/>
      <c r="GA62"/>
      <c r="GB62"/>
      <c r="GC62"/>
      <c r="GD62"/>
    </row>
    <row r="63" spans="4:186" x14ac:dyDescent="0.15">
      <c r="AG63" s="455">
        <v>7.952</v>
      </c>
      <c r="AH63" s="556">
        <v>1</v>
      </c>
      <c r="AJ63" s="455">
        <v>7.952</v>
      </c>
      <c r="AK63" s="556">
        <v>1</v>
      </c>
      <c r="AL63"/>
      <c r="AM63"/>
      <c r="AN63"/>
      <c r="AO63" s="455">
        <v>7.952</v>
      </c>
      <c r="AP63" s="455">
        <v>1</v>
      </c>
      <c r="AQ63"/>
      <c r="AR63"/>
      <c r="AS63"/>
      <c r="AT63"/>
      <c r="AU63"/>
      <c r="AV63"/>
      <c r="AW63"/>
      <c r="AX63"/>
      <c r="AY63"/>
      <c r="AZ63"/>
      <c r="BA63"/>
      <c r="BB63"/>
      <c r="BC63" s="558"/>
      <c r="BD63"/>
      <c r="BE63"/>
      <c r="BF63"/>
      <c r="BG63"/>
      <c r="BH63" s="455">
        <v>7.952</v>
      </c>
      <c r="BI63" s="455">
        <v>1</v>
      </c>
      <c r="BJ63"/>
      <c r="BK63"/>
      <c r="BL63"/>
      <c r="BM63"/>
      <c r="BN63"/>
      <c r="BO63" s="558"/>
      <c r="BP63" s="455">
        <v>7.952</v>
      </c>
      <c r="BQ63" s="455"/>
      <c r="BR63"/>
      <c r="BS63">
        <v>1</v>
      </c>
      <c r="BT63"/>
      <c r="BU63" s="558"/>
      <c r="BV63"/>
      <c r="BW63"/>
      <c r="BZ63" s="455">
        <v>7.952</v>
      </c>
      <c r="CA63" s="556">
        <v>1</v>
      </c>
      <c r="CB63"/>
      <c r="CC63"/>
      <c r="CD63"/>
      <c r="CF63" s="455">
        <v>7.952</v>
      </c>
      <c r="CG63" s="455"/>
      <c r="CH63"/>
      <c r="CI63"/>
      <c r="CJ63"/>
      <c r="CK63"/>
      <c r="CL63">
        <v>1</v>
      </c>
      <c r="CM63"/>
      <c r="CN63"/>
      <c r="CO63"/>
      <c r="CP63"/>
      <c r="CQ63"/>
      <c r="CR63"/>
      <c r="CS63"/>
      <c r="CT63"/>
      <c r="CU63"/>
      <c r="CV63" s="558"/>
      <c r="CW63"/>
      <c r="CX63"/>
      <c r="CY63"/>
      <c r="CZ63"/>
      <c r="DA63"/>
      <c r="DB63"/>
      <c r="DC63"/>
      <c r="DD63"/>
      <c r="DE63"/>
      <c r="DF63"/>
      <c r="DG63" s="455">
        <v>7.952</v>
      </c>
      <c r="DH63" s="455"/>
      <c r="DI63">
        <v>1</v>
      </c>
      <c r="DJ63"/>
      <c r="DK63"/>
      <c r="DL63"/>
      <c r="DM63"/>
      <c r="DN63"/>
      <c r="DO63"/>
      <c r="DP63"/>
      <c r="DQ63"/>
      <c r="DR63"/>
      <c r="DS63"/>
      <c r="DT63"/>
      <c r="DU63" s="558"/>
      <c r="DV63"/>
      <c r="DW63"/>
      <c r="DX63"/>
      <c r="DZ63" s="455">
        <v>7.952</v>
      </c>
      <c r="EA63" s="455">
        <v>1</v>
      </c>
      <c r="EB63"/>
      <c r="EC63"/>
      <c r="ED63"/>
      <c r="EE63"/>
      <c r="EF63"/>
      <c r="EG63" s="558"/>
      <c r="EH63"/>
      <c r="EJ63" s="455">
        <v>7.952</v>
      </c>
      <c r="EK63" s="455"/>
      <c r="EL63"/>
      <c r="EM63"/>
      <c r="EN63"/>
      <c r="EO63"/>
      <c r="EP63">
        <v>1</v>
      </c>
      <c r="EQ63"/>
      <c r="ER63"/>
      <c r="ES63"/>
      <c r="ET63"/>
      <c r="EU63"/>
      <c r="EV63"/>
      <c r="EW63"/>
      <c r="EX63"/>
      <c r="EY63"/>
      <c r="EZ63"/>
      <c r="FA63"/>
      <c r="FB63"/>
      <c r="FC63"/>
      <c r="FD63"/>
      <c r="FE63"/>
      <c r="FF63"/>
      <c r="FG63"/>
      <c r="FH63" s="558"/>
      <c r="FI63"/>
      <c r="FK63" s="449" t="s">
        <v>6777</v>
      </c>
      <c r="FL63" s="457"/>
      <c r="FM63" s="449"/>
      <c r="FN63" s="452">
        <v>1</v>
      </c>
      <c r="FO63" s="452"/>
      <c r="FP63" s="452"/>
      <c r="FQ63" s="452"/>
      <c r="FR63" s="452"/>
      <c r="FS63" s="452"/>
      <c r="FT63" s="452"/>
      <c r="FU63" s="452"/>
      <c r="FV63" s="452"/>
      <c r="FW63" s="452"/>
      <c r="FX63" s="452"/>
      <c r="FY63" s="452"/>
      <c r="FZ63" s="453"/>
      <c r="GA63"/>
      <c r="GB63"/>
      <c r="GC63"/>
      <c r="GD63"/>
    </row>
    <row r="64" spans="4:186" x14ac:dyDescent="0.15">
      <c r="AG64" s="455">
        <v>5.2009999999999996</v>
      </c>
      <c r="AH64" s="556">
        <v>1</v>
      </c>
      <c r="AJ64" s="455">
        <v>5.2009999999999996</v>
      </c>
      <c r="AK64" s="556">
        <v>1</v>
      </c>
      <c r="AL64"/>
      <c r="AM64"/>
      <c r="AN64"/>
      <c r="AO64" s="455">
        <v>5.2009999999999996</v>
      </c>
      <c r="AP64" s="455"/>
      <c r="AQ64"/>
      <c r="AR64"/>
      <c r="AS64"/>
      <c r="AT64"/>
      <c r="AU64"/>
      <c r="AV64"/>
      <c r="AW64"/>
      <c r="AX64"/>
      <c r="AY64"/>
      <c r="AZ64"/>
      <c r="BA64"/>
      <c r="BB64">
        <v>1</v>
      </c>
      <c r="BC64" s="558"/>
      <c r="BD64"/>
      <c r="BE64"/>
      <c r="BF64"/>
      <c r="BG64"/>
      <c r="BH64" s="455">
        <v>5.2009999999999996</v>
      </c>
      <c r="BI64" s="455">
        <v>1</v>
      </c>
      <c r="BJ64"/>
      <c r="BK64"/>
      <c r="BL64"/>
      <c r="BM64"/>
      <c r="BN64"/>
      <c r="BO64" s="558"/>
      <c r="BP64" s="455">
        <v>5.2009999999999996</v>
      </c>
      <c r="BQ64" s="455"/>
      <c r="BR64">
        <v>1</v>
      </c>
      <c r="BS64"/>
      <c r="BT64"/>
      <c r="BU64" s="558"/>
      <c r="BV64"/>
      <c r="BW64"/>
      <c r="BZ64" s="455">
        <v>5.2009999999999996</v>
      </c>
      <c r="CA64" s="556">
        <v>1</v>
      </c>
      <c r="CB64"/>
      <c r="CC64"/>
      <c r="CD64"/>
      <c r="CF64" s="455">
        <v>5.2009999999999996</v>
      </c>
      <c r="CG64" s="455"/>
      <c r="CH64"/>
      <c r="CI64">
        <v>1</v>
      </c>
      <c r="CJ64"/>
      <c r="CK64"/>
      <c r="CL64"/>
      <c r="CM64"/>
      <c r="CN64"/>
      <c r="CO64"/>
      <c r="CP64"/>
      <c r="CQ64"/>
      <c r="CR64"/>
      <c r="CS64"/>
      <c r="CT64"/>
      <c r="CU64"/>
      <c r="CV64" s="558"/>
      <c r="CW64"/>
      <c r="CX64"/>
      <c r="CY64"/>
      <c r="CZ64"/>
      <c r="DA64"/>
      <c r="DB64"/>
      <c r="DC64"/>
      <c r="DD64"/>
      <c r="DE64"/>
      <c r="DF64"/>
      <c r="DG64" s="455">
        <v>5.2009999999999996</v>
      </c>
      <c r="DH64" s="455">
        <v>1</v>
      </c>
      <c r="DI64"/>
      <c r="DJ64"/>
      <c r="DK64"/>
      <c r="DL64"/>
      <c r="DM64"/>
      <c r="DN64"/>
      <c r="DO64"/>
      <c r="DP64"/>
      <c r="DQ64"/>
      <c r="DR64"/>
      <c r="DS64"/>
      <c r="DT64"/>
      <c r="DU64" s="558"/>
      <c r="DV64"/>
      <c r="DW64"/>
      <c r="DX64"/>
      <c r="DZ64" s="455">
        <v>5.2009999999999996</v>
      </c>
      <c r="EA64" s="455"/>
      <c r="EB64"/>
      <c r="EC64">
        <v>1</v>
      </c>
      <c r="ED64"/>
      <c r="EE64"/>
      <c r="EF64"/>
      <c r="EG64" s="558"/>
      <c r="EH64"/>
      <c r="EJ64" s="455">
        <v>5.2009999999999996</v>
      </c>
      <c r="EK64" s="455"/>
      <c r="EL64"/>
      <c r="EM64"/>
      <c r="EN64"/>
      <c r="EO64"/>
      <c r="EP64"/>
      <c r="EQ64"/>
      <c r="ER64"/>
      <c r="ES64"/>
      <c r="ET64"/>
      <c r="EU64"/>
      <c r="EV64"/>
      <c r="EW64"/>
      <c r="EX64"/>
      <c r="EY64"/>
      <c r="EZ64">
        <v>1</v>
      </c>
      <c r="FA64"/>
      <c r="FB64"/>
      <c r="FC64"/>
      <c r="FD64"/>
      <c r="FE64"/>
      <c r="FF64"/>
      <c r="FG64"/>
      <c r="FH64" s="558"/>
      <c r="FI64"/>
      <c r="FK64" s="449">
        <v>0.52</v>
      </c>
      <c r="FL64" s="449" t="s">
        <v>446</v>
      </c>
      <c r="FM64" s="449"/>
      <c r="FN64" s="452"/>
      <c r="FO64" s="452"/>
      <c r="FP64" s="452"/>
      <c r="FQ64" s="452"/>
      <c r="FR64" s="452"/>
      <c r="FS64" s="452"/>
      <c r="FT64" s="452"/>
      <c r="FU64" s="452"/>
      <c r="FV64" s="452">
        <v>1</v>
      </c>
      <c r="FW64" s="452"/>
      <c r="FX64" s="452"/>
      <c r="FY64" s="452"/>
      <c r="FZ64" s="453"/>
      <c r="GA64"/>
      <c r="GB64"/>
      <c r="GC64"/>
      <c r="GD64"/>
    </row>
    <row r="65" spans="27:186" x14ac:dyDescent="0.15">
      <c r="AG65" s="455">
        <v>1.3979999999999999</v>
      </c>
      <c r="AH65" s="556">
        <v>1</v>
      </c>
      <c r="AJ65" s="455">
        <v>1.3979999999999999</v>
      </c>
      <c r="AK65" s="556">
        <v>1</v>
      </c>
      <c r="AL65"/>
      <c r="AM65"/>
      <c r="AN65"/>
      <c r="AO65" s="455">
        <v>1.3979999999999999</v>
      </c>
      <c r="AP65" s="455"/>
      <c r="AQ65"/>
      <c r="AR65"/>
      <c r="AS65">
        <v>1</v>
      </c>
      <c r="AT65"/>
      <c r="AU65"/>
      <c r="AV65"/>
      <c r="AW65"/>
      <c r="AX65"/>
      <c r="AY65"/>
      <c r="AZ65"/>
      <c r="BA65"/>
      <c r="BB65"/>
      <c r="BC65" s="558"/>
      <c r="BD65"/>
      <c r="BE65"/>
      <c r="BF65"/>
      <c r="BG65"/>
      <c r="BH65" s="455">
        <v>1.3979999999999999</v>
      </c>
      <c r="BI65" s="455">
        <v>1</v>
      </c>
      <c r="BJ65"/>
      <c r="BK65"/>
      <c r="BL65"/>
      <c r="BM65"/>
      <c r="BN65"/>
      <c r="BO65" s="558"/>
      <c r="BP65" s="455">
        <v>1.3979999999999999</v>
      </c>
      <c r="BQ65" s="455"/>
      <c r="BR65">
        <v>1</v>
      </c>
      <c r="BS65"/>
      <c r="BT65"/>
      <c r="BU65" s="558"/>
      <c r="BV65"/>
      <c r="BW65"/>
      <c r="BZ65" s="455">
        <v>1.3979999999999999</v>
      </c>
      <c r="CA65" s="556">
        <v>1</v>
      </c>
      <c r="CB65"/>
      <c r="CC65"/>
      <c r="CD65"/>
      <c r="CF65" s="455">
        <v>1.3979999999999999</v>
      </c>
      <c r="CG65" s="455"/>
      <c r="CH65"/>
      <c r="CI65"/>
      <c r="CJ65"/>
      <c r="CK65"/>
      <c r="CL65"/>
      <c r="CM65"/>
      <c r="CN65"/>
      <c r="CO65"/>
      <c r="CP65"/>
      <c r="CQ65"/>
      <c r="CR65"/>
      <c r="CS65"/>
      <c r="CT65"/>
      <c r="CU65"/>
      <c r="CV65" s="558">
        <v>1</v>
      </c>
      <c r="CW65"/>
      <c r="CX65"/>
      <c r="CY65"/>
      <c r="CZ65"/>
      <c r="DA65"/>
      <c r="DB65"/>
      <c r="DC65"/>
      <c r="DD65"/>
      <c r="DE65"/>
      <c r="DF65"/>
      <c r="DG65" s="455">
        <v>1.3979999999999999</v>
      </c>
      <c r="DH65" s="455">
        <v>1</v>
      </c>
      <c r="DI65"/>
      <c r="DJ65"/>
      <c r="DK65"/>
      <c r="DL65"/>
      <c r="DM65"/>
      <c r="DN65"/>
      <c r="DO65"/>
      <c r="DP65"/>
      <c r="DQ65"/>
      <c r="DR65"/>
      <c r="DS65"/>
      <c r="DT65"/>
      <c r="DU65" s="558"/>
      <c r="DV65"/>
      <c r="DW65"/>
      <c r="DX65"/>
      <c r="DZ65" s="455">
        <v>1.3979999999999999</v>
      </c>
      <c r="EA65" s="455"/>
      <c r="EB65"/>
      <c r="EC65"/>
      <c r="ED65"/>
      <c r="EE65">
        <v>1</v>
      </c>
      <c r="EF65"/>
      <c r="EG65" s="558"/>
      <c r="EH65"/>
      <c r="EJ65" s="455">
        <v>1.3979999999999999</v>
      </c>
      <c r="EK65" s="455"/>
      <c r="EL65"/>
      <c r="EM65"/>
      <c r="EN65"/>
      <c r="EO65"/>
      <c r="EP65"/>
      <c r="EQ65"/>
      <c r="ER65"/>
      <c r="ES65"/>
      <c r="ET65"/>
      <c r="EU65"/>
      <c r="EV65"/>
      <c r="EW65"/>
      <c r="EX65"/>
      <c r="EY65"/>
      <c r="EZ65"/>
      <c r="FA65">
        <v>1</v>
      </c>
      <c r="FB65"/>
      <c r="FC65"/>
      <c r="FD65"/>
      <c r="FE65"/>
      <c r="FF65"/>
      <c r="FG65"/>
      <c r="FH65" s="558"/>
      <c r="FI65"/>
      <c r="FK65" s="449" t="s">
        <v>6778</v>
      </c>
      <c r="FL65" s="457"/>
      <c r="FM65" s="449"/>
      <c r="FN65" s="452"/>
      <c r="FO65" s="452"/>
      <c r="FP65" s="452"/>
      <c r="FQ65" s="452"/>
      <c r="FR65" s="452"/>
      <c r="FS65" s="452"/>
      <c r="FT65" s="452"/>
      <c r="FU65" s="452"/>
      <c r="FV65" s="452">
        <v>1</v>
      </c>
      <c r="FW65" s="452"/>
      <c r="FX65" s="452"/>
      <c r="FY65" s="452"/>
      <c r="FZ65" s="453"/>
      <c r="GA65"/>
      <c r="GB65"/>
      <c r="GC65"/>
      <c r="GD65"/>
    </row>
    <row r="66" spans="27:186" x14ac:dyDescent="0.15">
      <c r="AA66" s="7" t="s">
        <v>149</v>
      </c>
      <c r="AG66" s="455">
        <v>0.84299999999999997</v>
      </c>
      <c r="AH66" s="556">
        <v>1</v>
      </c>
      <c r="AJ66" s="455">
        <v>0.84299999999999997</v>
      </c>
      <c r="AK66" s="556">
        <v>1</v>
      </c>
      <c r="AL66"/>
      <c r="AM66"/>
      <c r="AN66"/>
      <c r="AO66" s="455">
        <v>0.84299999999999997</v>
      </c>
      <c r="AP66" s="455"/>
      <c r="AQ66"/>
      <c r="AR66"/>
      <c r="AS66"/>
      <c r="AT66"/>
      <c r="AU66"/>
      <c r="AV66"/>
      <c r="AW66"/>
      <c r="AX66">
        <v>1</v>
      </c>
      <c r="AY66"/>
      <c r="AZ66"/>
      <c r="BA66"/>
      <c r="BB66"/>
      <c r="BC66" s="558"/>
      <c r="BD66"/>
      <c r="BE66"/>
      <c r="BF66"/>
      <c r="BG66"/>
      <c r="BH66" s="455">
        <v>0.84299999999999997</v>
      </c>
      <c r="BI66" s="455">
        <v>1</v>
      </c>
      <c r="BJ66"/>
      <c r="BK66"/>
      <c r="BL66"/>
      <c r="BM66"/>
      <c r="BN66"/>
      <c r="BO66" s="558"/>
      <c r="BP66" s="455">
        <v>0.84299999999999997</v>
      </c>
      <c r="BQ66" s="455"/>
      <c r="BR66"/>
      <c r="BS66">
        <v>1</v>
      </c>
      <c r="BT66"/>
      <c r="BU66" s="558"/>
      <c r="BV66"/>
      <c r="BW66"/>
      <c r="BZ66" s="455">
        <v>0.84299999999999997</v>
      </c>
      <c r="CA66" s="556">
        <v>1</v>
      </c>
      <c r="CB66"/>
      <c r="CC66"/>
      <c r="CD66"/>
      <c r="CF66" s="455">
        <v>0.84299999999999997</v>
      </c>
      <c r="CG66" s="455"/>
      <c r="CH66"/>
      <c r="CI66"/>
      <c r="CJ66">
        <v>1</v>
      </c>
      <c r="CK66"/>
      <c r="CL66"/>
      <c r="CM66"/>
      <c r="CN66"/>
      <c r="CO66"/>
      <c r="CP66"/>
      <c r="CQ66"/>
      <c r="CR66"/>
      <c r="CS66"/>
      <c r="CT66"/>
      <c r="CU66"/>
      <c r="CV66" s="558"/>
      <c r="CW66"/>
      <c r="CX66"/>
      <c r="CY66"/>
      <c r="CZ66"/>
      <c r="DA66"/>
      <c r="DB66"/>
      <c r="DC66"/>
      <c r="DD66"/>
      <c r="DE66"/>
      <c r="DF66"/>
      <c r="DG66" s="455">
        <v>0.84299999999999997</v>
      </c>
      <c r="DH66" s="455">
        <v>1</v>
      </c>
      <c r="DI66"/>
      <c r="DJ66"/>
      <c r="DK66"/>
      <c r="DL66"/>
      <c r="DM66"/>
      <c r="DN66"/>
      <c r="DO66"/>
      <c r="DP66"/>
      <c r="DQ66"/>
      <c r="DR66"/>
      <c r="DS66"/>
      <c r="DT66"/>
      <c r="DU66" s="558"/>
      <c r="DV66"/>
      <c r="DW66"/>
      <c r="DX66"/>
      <c r="DZ66" s="455">
        <v>0.84299999999999997</v>
      </c>
      <c r="EA66" s="455"/>
      <c r="EB66"/>
      <c r="EC66"/>
      <c r="ED66"/>
      <c r="EE66">
        <v>1</v>
      </c>
      <c r="EF66"/>
      <c r="EG66" s="558"/>
      <c r="EH66"/>
      <c r="EJ66" s="455">
        <v>0.84299999999999997</v>
      </c>
      <c r="EK66" s="455">
        <v>1</v>
      </c>
      <c r="EL66"/>
      <c r="EM66"/>
      <c r="EN66"/>
      <c r="EO66"/>
      <c r="EP66"/>
      <c r="EQ66"/>
      <c r="ER66"/>
      <c r="ES66"/>
      <c r="ET66"/>
      <c r="EU66"/>
      <c r="EV66"/>
      <c r="EW66"/>
      <c r="EX66"/>
      <c r="EY66"/>
      <c r="EZ66"/>
      <c r="FA66"/>
      <c r="FB66"/>
      <c r="FC66"/>
      <c r="FD66"/>
      <c r="FE66"/>
      <c r="FF66"/>
      <c r="FG66"/>
      <c r="FH66" s="558"/>
      <c r="FI66"/>
      <c r="FK66" s="449">
        <v>20.460999999999999</v>
      </c>
      <c r="FL66" s="449" t="s">
        <v>410</v>
      </c>
      <c r="FM66" s="449"/>
      <c r="FN66" s="452">
        <v>1</v>
      </c>
      <c r="FO66" s="452"/>
      <c r="FP66" s="452"/>
      <c r="FQ66" s="452"/>
      <c r="FR66" s="452"/>
      <c r="FS66" s="452"/>
      <c r="FT66" s="452"/>
      <c r="FU66" s="452"/>
      <c r="FV66" s="452"/>
      <c r="FW66" s="452"/>
      <c r="FX66" s="452"/>
      <c r="FY66" s="452"/>
      <c r="FZ66" s="453"/>
      <c r="GA66"/>
      <c r="GB66"/>
      <c r="GC66"/>
      <c r="GD66"/>
    </row>
    <row r="67" spans="27:186" x14ac:dyDescent="0.15">
      <c r="AG67" s="455">
        <v>9.83</v>
      </c>
      <c r="AH67" s="556">
        <v>1</v>
      </c>
      <c r="AJ67" s="455">
        <v>9.83</v>
      </c>
      <c r="AK67" s="556">
        <v>1</v>
      </c>
      <c r="AL67"/>
      <c r="AM67"/>
      <c r="AN67"/>
      <c r="AO67" s="455">
        <v>9.83</v>
      </c>
      <c r="AP67" s="455">
        <v>1</v>
      </c>
      <c r="AQ67"/>
      <c r="AR67"/>
      <c r="AS67"/>
      <c r="AT67"/>
      <c r="AU67"/>
      <c r="AV67"/>
      <c r="AW67"/>
      <c r="AX67"/>
      <c r="AY67"/>
      <c r="AZ67"/>
      <c r="BA67"/>
      <c r="BB67"/>
      <c r="BC67" s="558"/>
      <c r="BD67"/>
      <c r="BE67"/>
      <c r="BF67"/>
      <c r="BG67"/>
      <c r="BH67" s="455">
        <v>9.83</v>
      </c>
      <c r="BI67" s="455"/>
      <c r="BJ67">
        <v>1</v>
      </c>
      <c r="BK67"/>
      <c r="BL67"/>
      <c r="BM67"/>
      <c r="BN67"/>
      <c r="BO67" s="558"/>
      <c r="BP67" s="455">
        <v>9.83</v>
      </c>
      <c r="BQ67" s="455"/>
      <c r="BR67"/>
      <c r="BS67">
        <v>1</v>
      </c>
      <c r="BT67"/>
      <c r="BU67" s="558"/>
      <c r="BV67"/>
      <c r="BW67"/>
      <c r="BZ67" s="455">
        <v>9.83</v>
      </c>
      <c r="CA67" s="556">
        <v>1</v>
      </c>
      <c r="CB67"/>
      <c r="CC67"/>
      <c r="CD67"/>
      <c r="CF67" s="455">
        <v>9.83</v>
      </c>
      <c r="CG67" s="455">
        <v>1</v>
      </c>
      <c r="CH67"/>
      <c r="CI67"/>
      <c r="CJ67"/>
      <c r="CK67"/>
      <c r="CL67"/>
      <c r="CM67"/>
      <c r="CN67"/>
      <c r="CO67"/>
      <c r="CP67"/>
      <c r="CQ67"/>
      <c r="CR67"/>
      <c r="CS67"/>
      <c r="CT67"/>
      <c r="CU67"/>
      <c r="CV67" s="558"/>
      <c r="CW67"/>
      <c r="CX67"/>
      <c r="CY67"/>
      <c r="CZ67"/>
      <c r="DA67"/>
      <c r="DB67"/>
      <c r="DC67"/>
      <c r="DD67"/>
      <c r="DE67"/>
      <c r="DF67"/>
      <c r="DG67" s="455">
        <v>9.83</v>
      </c>
      <c r="DH67" s="455">
        <v>1</v>
      </c>
      <c r="DI67"/>
      <c r="DJ67"/>
      <c r="DK67"/>
      <c r="DL67"/>
      <c r="DM67"/>
      <c r="DN67"/>
      <c r="DO67"/>
      <c r="DP67"/>
      <c r="DQ67"/>
      <c r="DR67"/>
      <c r="DS67"/>
      <c r="DT67"/>
      <c r="DU67" s="558"/>
      <c r="DV67"/>
      <c r="DW67"/>
      <c r="DX67"/>
      <c r="DZ67" s="455">
        <v>9.83</v>
      </c>
      <c r="EA67" s="455"/>
      <c r="EB67"/>
      <c r="EC67">
        <v>1</v>
      </c>
      <c r="ED67"/>
      <c r="EE67"/>
      <c r="EF67"/>
      <c r="EG67" s="558"/>
      <c r="EH67"/>
      <c r="EJ67" s="455">
        <v>9.83</v>
      </c>
      <c r="EK67" s="455"/>
      <c r="EL67"/>
      <c r="EM67"/>
      <c r="EN67"/>
      <c r="EO67"/>
      <c r="EP67">
        <v>1</v>
      </c>
      <c r="EQ67"/>
      <c r="ER67"/>
      <c r="ES67"/>
      <c r="ET67"/>
      <c r="EU67"/>
      <c r="EV67"/>
      <c r="EW67"/>
      <c r="EX67"/>
      <c r="EY67"/>
      <c r="EZ67"/>
      <c r="FA67"/>
      <c r="FB67"/>
      <c r="FC67"/>
      <c r="FD67"/>
      <c r="FE67"/>
      <c r="FF67"/>
      <c r="FG67"/>
      <c r="FH67" s="558"/>
      <c r="FI67"/>
      <c r="FK67" s="449" t="s">
        <v>6779</v>
      </c>
      <c r="FL67" s="457"/>
      <c r="FM67" s="449"/>
      <c r="FN67" s="452">
        <v>1</v>
      </c>
      <c r="FO67" s="452"/>
      <c r="FP67" s="452"/>
      <c r="FQ67" s="452"/>
      <c r="FR67" s="452"/>
      <c r="FS67" s="452"/>
      <c r="FT67" s="452"/>
      <c r="FU67" s="452"/>
      <c r="FV67" s="452"/>
      <c r="FW67" s="452"/>
      <c r="FX67" s="452"/>
      <c r="FY67" s="452"/>
      <c r="FZ67" s="453"/>
      <c r="GA67"/>
      <c r="GB67"/>
      <c r="GC67"/>
      <c r="GD67"/>
    </row>
    <row r="68" spans="27:186" x14ac:dyDescent="0.15">
      <c r="AG68" s="455">
        <v>2.6629999999999998</v>
      </c>
      <c r="AH68" s="556">
        <v>1</v>
      </c>
      <c r="AJ68" s="455">
        <v>2.6629999999999998</v>
      </c>
      <c r="AK68" s="556">
        <v>1</v>
      </c>
      <c r="AL68"/>
      <c r="AM68"/>
      <c r="AN68"/>
      <c r="AO68" s="455">
        <v>2.6629999999999998</v>
      </c>
      <c r="AP68" s="455">
        <v>1</v>
      </c>
      <c r="AQ68"/>
      <c r="AR68"/>
      <c r="AS68"/>
      <c r="AT68"/>
      <c r="AU68"/>
      <c r="AV68"/>
      <c r="AW68"/>
      <c r="AX68"/>
      <c r="AY68"/>
      <c r="AZ68"/>
      <c r="BA68"/>
      <c r="BB68"/>
      <c r="BC68" s="558"/>
      <c r="BD68"/>
      <c r="BE68"/>
      <c r="BF68"/>
      <c r="BG68"/>
      <c r="BH68" s="455">
        <v>2.6629999999999998</v>
      </c>
      <c r="BI68" s="455">
        <v>1</v>
      </c>
      <c r="BJ68"/>
      <c r="BK68"/>
      <c r="BL68"/>
      <c r="BM68"/>
      <c r="BN68"/>
      <c r="BO68" s="558"/>
      <c r="BP68" s="455">
        <v>2.6629999999999998</v>
      </c>
      <c r="BQ68" s="455"/>
      <c r="BR68">
        <v>1</v>
      </c>
      <c r="BS68"/>
      <c r="BT68"/>
      <c r="BU68" s="558"/>
      <c r="BV68"/>
      <c r="BW68"/>
      <c r="BZ68" s="455">
        <v>2.6629999999999998</v>
      </c>
      <c r="CA68" s="556">
        <v>1</v>
      </c>
      <c r="CB68"/>
      <c r="CC68"/>
      <c r="CD68"/>
      <c r="CF68" s="455">
        <v>2.6629999999999998</v>
      </c>
      <c r="CG68" s="455"/>
      <c r="CH68"/>
      <c r="CI68">
        <v>1</v>
      </c>
      <c r="CJ68"/>
      <c r="CK68"/>
      <c r="CL68"/>
      <c r="CM68"/>
      <c r="CN68"/>
      <c r="CO68"/>
      <c r="CP68"/>
      <c r="CQ68"/>
      <c r="CR68"/>
      <c r="CS68"/>
      <c r="CT68"/>
      <c r="CU68"/>
      <c r="CV68" s="558"/>
      <c r="CW68"/>
      <c r="CX68"/>
      <c r="CY68"/>
      <c r="CZ68"/>
      <c r="DA68"/>
      <c r="DB68"/>
      <c r="DC68"/>
      <c r="DD68"/>
      <c r="DE68"/>
      <c r="DF68"/>
      <c r="DG68" s="455">
        <v>2.6629999999999998</v>
      </c>
      <c r="DH68" s="455">
        <v>1</v>
      </c>
      <c r="DI68"/>
      <c r="DJ68"/>
      <c r="DK68"/>
      <c r="DL68"/>
      <c r="DM68"/>
      <c r="DN68"/>
      <c r="DO68"/>
      <c r="DP68"/>
      <c r="DQ68"/>
      <c r="DR68"/>
      <c r="DS68"/>
      <c r="DT68"/>
      <c r="DU68" s="558"/>
      <c r="DV68"/>
      <c r="DW68"/>
      <c r="DX68"/>
      <c r="DZ68" s="455">
        <v>2.6629999999999998</v>
      </c>
      <c r="EA68" s="455"/>
      <c r="EB68"/>
      <c r="EC68"/>
      <c r="ED68"/>
      <c r="EE68"/>
      <c r="EF68"/>
      <c r="EG68" s="558">
        <v>1</v>
      </c>
      <c r="EH68"/>
      <c r="EJ68" s="455">
        <v>2.6629999999999998</v>
      </c>
      <c r="EK68" s="455"/>
      <c r="EL68"/>
      <c r="EM68"/>
      <c r="EN68"/>
      <c r="EO68"/>
      <c r="EP68"/>
      <c r="EQ68"/>
      <c r="ER68"/>
      <c r="ES68"/>
      <c r="ET68"/>
      <c r="EU68"/>
      <c r="EV68"/>
      <c r="EW68"/>
      <c r="EX68"/>
      <c r="EY68"/>
      <c r="EZ68">
        <v>1</v>
      </c>
      <c r="FA68"/>
      <c r="FB68"/>
      <c r="FC68"/>
      <c r="FD68"/>
      <c r="FE68"/>
      <c r="FF68"/>
      <c r="FG68"/>
      <c r="FH68" s="558"/>
      <c r="FI68"/>
      <c r="FK68" s="449">
        <v>1.444</v>
      </c>
      <c r="FL68" s="449" t="s">
        <v>405</v>
      </c>
      <c r="FM68" s="449"/>
      <c r="FN68" s="452"/>
      <c r="FO68" s="452"/>
      <c r="FP68" s="452"/>
      <c r="FQ68" s="452"/>
      <c r="FR68" s="452"/>
      <c r="FS68" s="452"/>
      <c r="FT68" s="452"/>
      <c r="FU68" s="452">
        <v>1</v>
      </c>
      <c r="FV68" s="452"/>
      <c r="FW68" s="452"/>
      <c r="FX68" s="452"/>
      <c r="FY68" s="452"/>
      <c r="FZ68" s="453"/>
      <c r="GA68"/>
      <c r="GB68"/>
      <c r="GC68"/>
      <c r="GD68"/>
    </row>
    <row r="69" spans="27:186" x14ac:dyDescent="0.15">
      <c r="AG69" s="455">
        <v>0.32500000000000001</v>
      </c>
      <c r="AH69" s="556">
        <v>1</v>
      </c>
      <c r="AJ69" s="455">
        <v>0.32500000000000001</v>
      </c>
      <c r="AK69" s="556">
        <v>1</v>
      </c>
      <c r="AL69"/>
      <c r="AM69"/>
      <c r="AN69"/>
      <c r="AO69" s="455">
        <v>0.32500000000000001</v>
      </c>
      <c r="AP69" s="455"/>
      <c r="AQ69">
        <v>1</v>
      </c>
      <c r="AR69"/>
      <c r="AS69"/>
      <c r="AT69"/>
      <c r="AU69"/>
      <c r="AV69"/>
      <c r="AW69"/>
      <c r="AX69"/>
      <c r="AY69"/>
      <c r="AZ69"/>
      <c r="BA69"/>
      <c r="BB69"/>
      <c r="BC69" s="558"/>
      <c r="BD69"/>
      <c r="BE69"/>
      <c r="BF69"/>
      <c r="BG69"/>
      <c r="BH69" s="455">
        <v>0.32500000000000001</v>
      </c>
      <c r="BI69" s="455">
        <v>1</v>
      </c>
      <c r="BJ69"/>
      <c r="BK69"/>
      <c r="BL69"/>
      <c r="BM69"/>
      <c r="BN69"/>
      <c r="BO69" s="558"/>
      <c r="BP69" s="455">
        <v>0.32500000000000001</v>
      </c>
      <c r="BQ69" s="455"/>
      <c r="BR69"/>
      <c r="BS69">
        <v>1</v>
      </c>
      <c r="BT69"/>
      <c r="BU69" s="558"/>
      <c r="BV69"/>
      <c r="BW69"/>
      <c r="BZ69" s="455">
        <v>0.32500000000000001</v>
      </c>
      <c r="CA69" s="556">
        <v>1</v>
      </c>
      <c r="CB69"/>
      <c r="CC69"/>
      <c r="CD69"/>
      <c r="CF69" s="455">
        <v>0.32500000000000001</v>
      </c>
      <c r="CG69" s="455"/>
      <c r="CH69">
        <v>1</v>
      </c>
      <c r="CI69"/>
      <c r="CJ69"/>
      <c r="CK69"/>
      <c r="CL69"/>
      <c r="CM69"/>
      <c r="CN69"/>
      <c r="CO69"/>
      <c r="CP69"/>
      <c r="CQ69"/>
      <c r="CR69"/>
      <c r="CS69"/>
      <c r="CT69"/>
      <c r="CU69"/>
      <c r="CV69" s="558"/>
      <c r="CW69"/>
      <c r="CX69"/>
      <c r="CY69"/>
      <c r="CZ69"/>
      <c r="DA69"/>
      <c r="DB69"/>
      <c r="DC69"/>
      <c r="DD69"/>
      <c r="DE69"/>
      <c r="DF69"/>
      <c r="DG69" s="455">
        <v>0.32500000000000001</v>
      </c>
      <c r="DH69" s="455">
        <v>1</v>
      </c>
      <c r="DI69"/>
      <c r="DJ69"/>
      <c r="DK69"/>
      <c r="DL69"/>
      <c r="DM69"/>
      <c r="DN69"/>
      <c r="DO69"/>
      <c r="DP69"/>
      <c r="DQ69"/>
      <c r="DR69"/>
      <c r="DS69"/>
      <c r="DT69"/>
      <c r="DU69" s="558"/>
      <c r="DV69"/>
      <c r="DW69"/>
      <c r="DX69"/>
      <c r="DZ69" s="455">
        <v>0.32500000000000001</v>
      </c>
      <c r="EA69" s="455"/>
      <c r="EB69"/>
      <c r="EC69"/>
      <c r="ED69"/>
      <c r="EE69"/>
      <c r="EF69"/>
      <c r="EG69" s="558">
        <v>1</v>
      </c>
      <c r="EH69"/>
      <c r="EJ69" s="455">
        <v>0.32500000000000001</v>
      </c>
      <c r="EK69" s="455"/>
      <c r="EL69"/>
      <c r="EM69"/>
      <c r="EN69"/>
      <c r="EO69"/>
      <c r="EP69">
        <v>1</v>
      </c>
      <c r="EQ69"/>
      <c r="ER69"/>
      <c r="ES69"/>
      <c r="ET69"/>
      <c r="EU69"/>
      <c r="EV69"/>
      <c r="EW69"/>
      <c r="EX69"/>
      <c r="EY69"/>
      <c r="EZ69"/>
      <c r="FA69"/>
      <c r="FB69"/>
      <c r="FC69"/>
      <c r="FD69"/>
      <c r="FE69"/>
      <c r="FF69"/>
      <c r="FG69"/>
      <c r="FH69" s="558"/>
      <c r="FI69"/>
      <c r="FK69" s="449" t="s">
        <v>6780</v>
      </c>
      <c r="FL69" s="457"/>
      <c r="FM69" s="449"/>
      <c r="FN69" s="452"/>
      <c r="FO69" s="452"/>
      <c r="FP69" s="452"/>
      <c r="FQ69" s="452"/>
      <c r="FR69" s="452"/>
      <c r="FS69" s="452"/>
      <c r="FT69" s="452"/>
      <c r="FU69" s="452">
        <v>1</v>
      </c>
      <c r="FV69" s="452"/>
      <c r="FW69" s="452"/>
      <c r="FX69" s="452"/>
      <c r="FY69" s="452"/>
      <c r="FZ69" s="453"/>
      <c r="GA69"/>
      <c r="GB69"/>
      <c r="GC69"/>
      <c r="GD69"/>
    </row>
    <row r="70" spans="27:186" x14ac:dyDescent="0.15">
      <c r="AG70" s="455">
        <v>0.35</v>
      </c>
      <c r="AH70" s="556">
        <v>1</v>
      </c>
      <c r="AJ70" s="455">
        <v>0.35</v>
      </c>
      <c r="AK70" s="556">
        <v>1</v>
      </c>
      <c r="AL70"/>
      <c r="AM70"/>
      <c r="AN70"/>
      <c r="AO70" s="455">
        <v>0.35</v>
      </c>
      <c r="AP70" s="455">
        <v>1</v>
      </c>
      <c r="AQ70"/>
      <c r="AR70"/>
      <c r="AS70"/>
      <c r="AT70"/>
      <c r="AU70"/>
      <c r="AV70"/>
      <c r="AW70"/>
      <c r="AX70"/>
      <c r="AY70"/>
      <c r="AZ70"/>
      <c r="BA70"/>
      <c r="BB70"/>
      <c r="BC70" s="558"/>
      <c r="BD70"/>
      <c r="BE70"/>
      <c r="BF70"/>
      <c r="BG70"/>
      <c r="BH70" s="455">
        <v>0.35</v>
      </c>
      <c r="BI70" s="455">
        <v>1</v>
      </c>
      <c r="BJ70"/>
      <c r="BK70"/>
      <c r="BL70"/>
      <c r="BM70"/>
      <c r="BN70"/>
      <c r="BO70" s="558"/>
      <c r="BP70" s="455">
        <v>0.35</v>
      </c>
      <c r="BQ70" s="455"/>
      <c r="BR70">
        <v>1</v>
      </c>
      <c r="BS70"/>
      <c r="BT70"/>
      <c r="BU70" s="558"/>
      <c r="BV70"/>
      <c r="BW70"/>
      <c r="BZ70" s="455">
        <v>0.35</v>
      </c>
      <c r="CA70" s="556">
        <v>1</v>
      </c>
      <c r="CB70"/>
      <c r="CC70"/>
      <c r="CD70"/>
      <c r="CF70" s="455">
        <v>0.35</v>
      </c>
      <c r="CG70" s="455">
        <v>1</v>
      </c>
      <c r="CH70"/>
      <c r="CI70"/>
      <c r="CJ70"/>
      <c r="CK70"/>
      <c r="CL70"/>
      <c r="CM70"/>
      <c r="CN70"/>
      <c r="CO70"/>
      <c r="CP70"/>
      <c r="CQ70"/>
      <c r="CR70"/>
      <c r="CS70"/>
      <c r="CT70"/>
      <c r="CU70"/>
      <c r="CV70" s="558"/>
      <c r="CW70"/>
      <c r="CX70"/>
      <c r="CY70"/>
      <c r="CZ70"/>
      <c r="DA70"/>
      <c r="DB70"/>
      <c r="DC70"/>
      <c r="DD70"/>
      <c r="DE70"/>
      <c r="DF70"/>
      <c r="DG70" s="455">
        <v>0.35</v>
      </c>
      <c r="DH70" s="455">
        <v>1</v>
      </c>
      <c r="DI70"/>
      <c r="DJ70"/>
      <c r="DK70"/>
      <c r="DL70"/>
      <c r="DM70"/>
      <c r="DN70"/>
      <c r="DO70"/>
      <c r="DP70"/>
      <c r="DQ70"/>
      <c r="DR70"/>
      <c r="DS70"/>
      <c r="DT70"/>
      <c r="DU70" s="558"/>
      <c r="DV70"/>
      <c r="DW70"/>
      <c r="DX70"/>
      <c r="DZ70" s="455">
        <v>0.35</v>
      </c>
      <c r="EA70" s="455"/>
      <c r="EB70"/>
      <c r="EC70"/>
      <c r="ED70"/>
      <c r="EE70"/>
      <c r="EF70">
        <v>1</v>
      </c>
      <c r="EG70" s="558"/>
      <c r="EH70"/>
      <c r="EJ70" s="455">
        <v>0.35</v>
      </c>
      <c r="EK70" s="455"/>
      <c r="EL70"/>
      <c r="EM70"/>
      <c r="EN70"/>
      <c r="EO70"/>
      <c r="EP70"/>
      <c r="EQ70"/>
      <c r="ER70"/>
      <c r="ES70"/>
      <c r="ET70"/>
      <c r="EU70"/>
      <c r="EV70"/>
      <c r="EW70">
        <v>1</v>
      </c>
      <c r="EX70"/>
      <c r="EY70"/>
      <c r="EZ70"/>
      <c r="FA70"/>
      <c r="FB70"/>
      <c r="FC70"/>
      <c r="FD70"/>
      <c r="FE70"/>
      <c r="FF70"/>
      <c r="FG70"/>
      <c r="FH70" s="558"/>
      <c r="FI70"/>
      <c r="FK70" s="449">
        <v>1.708</v>
      </c>
      <c r="FL70" s="449" t="s">
        <v>405</v>
      </c>
      <c r="FM70" s="449"/>
      <c r="FN70" s="452"/>
      <c r="FO70" s="452"/>
      <c r="FP70" s="452">
        <v>1</v>
      </c>
      <c r="FQ70" s="452"/>
      <c r="FR70" s="452"/>
      <c r="FS70" s="452"/>
      <c r="FT70" s="452"/>
      <c r="FU70" s="452"/>
      <c r="FV70" s="452"/>
      <c r="FW70" s="452"/>
      <c r="FX70" s="452"/>
      <c r="FY70" s="452"/>
      <c r="FZ70" s="453"/>
      <c r="GA70"/>
      <c r="GB70"/>
      <c r="GC70"/>
      <c r="GD70"/>
    </row>
    <row r="71" spans="27:186" x14ac:dyDescent="0.15">
      <c r="AG71" s="455">
        <v>22.463999999999999</v>
      </c>
      <c r="AH71" s="556">
        <v>1</v>
      </c>
      <c r="AJ71" s="455">
        <v>22.463999999999999</v>
      </c>
      <c r="AK71" s="556">
        <v>1</v>
      </c>
      <c r="AL71"/>
      <c r="AM71"/>
      <c r="AN71"/>
      <c r="AO71" s="455">
        <v>22.463999999999999</v>
      </c>
      <c r="AP71" s="455"/>
      <c r="AQ71"/>
      <c r="AR71"/>
      <c r="AS71">
        <v>1</v>
      </c>
      <c r="AT71"/>
      <c r="AU71"/>
      <c r="AV71"/>
      <c r="AW71"/>
      <c r="AX71"/>
      <c r="AY71"/>
      <c r="AZ71"/>
      <c r="BA71"/>
      <c r="BB71"/>
      <c r="BC71" s="558"/>
      <c r="BD71"/>
      <c r="BE71"/>
      <c r="BF71"/>
      <c r="BG71"/>
      <c r="BH71" s="455">
        <v>22.463999999999999</v>
      </c>
      <c r="BI71" s="455"/>
      <c r="BJ71">
        <v>1</v>
      </c>
      <c r="BK71"/>
      <c r="BL71"/>
      <c r="BM71"/>
      <c r="BN71"/>
      <c r="BO71" s="558"/>
      <c r="BP71" s="455">
        <v>22.463999999999999</v>
      </c>
      <c r="BQ71" s="455"/>
      <c r="BR71"/>
      <c r="BS71">
        <v>1</v>
      </c>
      <c r="BT71"/>
      <c r="BU71" s="558"/>
      <c r="BV71"/>
      <c r="BW71"/>
      <c r="BZ71" s="455">
        <v>22.463999999999999</v>
      </c>
      <c r="CA71" s="556">
        <v>1</v>
      </c>
      <c r="CB71"/>
      <c r="CC71"/>
      <c r="CD71"/>
      <c r="CF71" s="455">
        <v>22.463999999999999</v>
      </c>
      <c r="CG71" s="455"/>
      <c r="CH71"/>
      <c r="CI71">
        <v>1</v>
      </c>
      <c r="CJ71"/>
      <c r="CK71"/>
      <c r="CL71"/>
      <c r="CM71"/>
      <c r="CN71"/>
      <c r="CO71"/>
      <c r="CP71"/>
      <c r="CQ71"/>
      <c r="CR71"/>
      <c r="CS71"/>
      <c r="CT71"/>
      <c r="CU71"/>
      <c r="CV71" s="558"/>
      <c r="CW71"/>
      <c r="CX71"/>
      <c r="CY71"/>
      <c r="CZ71"/>
      <c r="DA71"/>
      <c r="DB71"/>
      <c r="DC71"/>
      <c r="DD71"/>
      <c r="DE71"/>
      <c r="DF71"/>
      <c r="DG71" s="455">
        <v>22.463999999999999</v>
      </c>
      <c r="DH71" s="455"/>
      <c r="DI71"/>
      <c r="DJ71"/>
      <c r="DK71"/>
      <c r="DL71"/>
      <c r="DM71"/>
      <c r="DN71"/>
      <c r="DO71"/>
      <c r="DP71">
        <v>1</v>
      </c>
      <c r="DQ71"/>
      <c r="DR71"/>
      <c r="DS71"/>
      <c r="DT71"/>
      <c r="DU71" s="558"/>
      <c r="DV71"/>
      <c r="DW71"/>
      <c r="DX71"/>
      <c r="DZ71" s="455">
        <v>22.463999999999999</v>
      </c>
      <c r="EA71" s="455"/>
      <c r="EB71"/>
      <c r="EC71">
        <v>1</v>
      </c>
      <c r="ED71"/>
      <c r="EE71"/>
      <c r="EF71"/>
      <c r="EG71" s="558"/>
      <c r="EH71"/>
      <c r="EJ71" s="455">
        <v>22.463999999999999</v>
      </c>
      <c r="EK71" s="455"/>
      <c r="EL71"/>
      <c r="EM71"/>
      <c r="EN71">
        <v>1</v>
      </c>
      <c r="EO71"/>
      <c r="EP71"/>
      <c r="EQ71"/>
      <c r="ER71"/>
      <c r="ES71"/>
      <c r="ET71"/>
      <c r="EU71"/>
      <c r="EV71"/>
      <c r="EW71"/>
      <c r="EX71"/>
      <c r="EY71"/>
      <c r="EZ71"/>
      <c r="FA71"/>
      <c r="FB71"/>
      <c r="FC71"/>
      <c r="FD71"/>
      <c r="FE71"/>
      <c r="FF71"/>
      <c r="FG71"/>
      <c r="FH71" s="558"/>
      <c r="FI71"/>
      <c r="FK71" s="449" t="s">
        <v>6781</v>
      </c>
      <c r="FL71" s="457"/>
      <c r="FM71" s="449"/>
      <c r="FN71" s="452"/>
      <c r="FO71" s="452"/>
      <c r="FP71" s="452">
        <v>1</v>
      </c>
      <c r="FQ71" s="452"/>
      <c r="FR71" s="452"/>
      <c r="FS71" s="452"/>
      <c r="FT71" s="452"/>
      <c r="FU71" s="452"/>
      <c r="FV71" s="452"/>
      <c r="FW71" s="452"/>
      <c r="FX71" s="452"/>
      <c r="FY71" s="452"/>
      <c r="FZ71" s="453"/>
      <c r="GA71"/>
      <c r="GB71"/>
      <c r="GC71"/>
      <c r="GD71"/>
    </row>
    <row r="72" spans="27:186" x14ac:dyDescent="0.15">
      <c r="AG72" s="455">
        <v>3.6789999999999998</v>
      </c>
      <c r="AH72" s="556">
        <v>1</v>
      </c>
      <c r="AJ72" s="455">
        <v>3.6789999999999998</v>
      </c>
      <c r="AK72" s="556">
        <v>1</v>
      </c>
      <c r="AL72"/>
      <c r="AM72"/>
      <c r="AN72"/>
      <c r="AO72" s="455">
        <v>3.6789999999999998</v>
      </c>
      <c r="AP72" s="455"/>
      <c r="AQ72"/>
      <c r="AR72"/>
      <c r="AS72">
        <v>1</v>
      </c>
      <c r="AT72"/>
      <c r="AU72"/>
      <c r="AV72"/>
      <c r="AW72"/>
      <c r="AX72"/>
      <c r="AY72"/>
      <c r="AZ72"/>
      <c r="BA72"/>
      <c r="BB72"/>
      <c r="BC72" s="558"/>
      <c r="BD72"/>
      <c r="BE72"/>
      <c r="BF72"/>
      <c r="BG72"/>
      <c r="BH72" s="455">
        <v>3.6789999999999998</v>
      </c>
      <c r="BI72" s="455"/>
      <c r="BJ72">
        <v>1</v>
      </c>
      <c r="BK72"/>
      <c r="BL72"/>
      <c r="BM72"/>
      <c r="BN72"/>
      <c r="BO72" s="558"/>
      <c r="BP72" s="455">
        <v>3.6789999999999998</v>
      </c>
      <c r="BQ72" s="455"/>
      <c r="BR72"/>
      <c r="BS72">
        <v>1</v>
      </c>
      <c r="BT72"/>
      <c r="BU72" s="558"/>
      <c r="BV72"/>
      <c r="BW72"/>
      <c r="BZ72" s="455">
        <v>3.6789999999999998</v>
      </c>
      <c r="CA72" s="556">
        <v>1</v>
      </c>
      <c r="CB72"/>
      <c r="CC72"/>
      <c r="CD72"/>
      <c r="CF72" s="455">
        <v>3.6789999999999998</v>
      </c>
      <c r="CG72" s="455"/>
      <c r="CH72"/>
      <c r="CI72"/>
      <c r="CJ72"/>
      <c r="CK72"/>
      <c r="CL72"/>
      <c r="CM72">
        <v>1</v>
      </c>
      <c r="CN72"/>
      <c r="CO72"/>
      <c r="CP72"/>
      <c r="CQ72"/>
      <c r="CR72"/>
      <c r="CS72"/>
      <c r="CT72"/>
      <c r="CU72"/>
      <c r="CV72" s="558"/>
      <c r="CW72"/>
      <c r="CX72"/>
      <c r="CY72"/>
      <c r="CZ72"/>
      <c r="DA72"/>
      <c r="DB72"/>
      <c r="DC72"/>
      <c r="DD72"/>
      <c r="DE72"/>
      <c r="DF72"/>
      <c r="DG72" s="455">
        <v>3.6789999999999998</v>
      </c>
      <c r="DH72" s="455"/>
      <c r="DI72"/>
      <c r="DJ72"/>
      <c r="DK72">
        <v>1</v>
      </c>
      <c r="DL72"/>
      <c r="DM72"/>
      <c r="DN72"/>
      <c r="DO72"/>
      <c r="DP72"/>
      <c r="DQ72"/>
      <c r="DR72"/>
      <c r="DS72"/>
      <c r="DT72"/>
      <c r="DU72" s="558"/>
      <c r="DV72"/>
      <c r="DW72"/>
      <c r="DX72"/>
      <c r="DZ72" s="455">
        <v>3.6789999999999998</v>
      </c>
      <c r="EA72" s="455"/>
      <c r="EB72"/>
      <c r="EC72">
        <v>1</v>
      </c>
      <c r="ED72"/>
      <c r="EE72"/>
      <c r="EF72"/>
      <c r="EG72" s="558"/>
      <c r="EH72"/>
      <c r="EJ72" s="455">
        <v>3.6789999999999998</v>
      </c>
      <c r="EK72" s="455"/>
      <c r="EL72"/>
      <c r="EM72"/>
      <c r="EN72"/>
      <c r="EO72"/>
      <c r="EP72"/>
      <c r="EQ72"/>
      <c r="ER72"/>
      <c r="ES72"/>
      <c r="ET72"/>
      <c r="EU72"/>
      <c r="EV72"/>
      <c r="EW72"/>
      <c r="EX72"/>
      <c r="EY72"/>
      <c r="EZ72"/>
      <c r="FA72"/>
      <c r="FB72"/>
      <c r="FC72"/>
      <c r="FD72"/>
      <c r="FE72">
        <v>1</v>
      </c>
      <c r="FF72"/>
      <c r="FG72"/>
      <c r="FH72" s="558"/>
      <c r="FI72"/>
      <c r="FK72" s="449">
        <v>2.2149999999999999</v>
      </c>
      <c r="FL72" s="449" t="s">
        <v>406</v>
      </c>
      <c r="FM72" s="449"/>
      <c r="FN72" s="452"/>
      <c r="FO72" s="452">
        <v>1</v>
      </c>
      <c r="FP72" s="452"/>
      <c r="FQ72" s="452"/>
      <c r="FR72" s="452"/>
      <c r="FS72" s="452"/>
      <c r="FT72" s="452"/>
      <c r="FU72" s="452"/>
      <c r="FV72" s="452"/>
      <c r="FW72" s="452"/>
      <c r="FX72" s="452"/>
      <c r="FY72" s="452"/>
      <c r="FZ72" s="453"/>
      <c r="GA72"/>
      <c r="GB72"/>
      <c r="GC72"/>
      <c r="GD72"/>
    </row>
    <row r="73" spans="27:186" x14ac:dyDescent="0.15">
      <c r="AG73" s="455">
        <v>8.7590000000000003</v>
      </c>
      <c r="AH73" s="556">
        <v>1</v>
      </c>
      <c r="AJ73" s="455">
        <v>8.7590000000000003</v>
      </c>
      <c r="AK73" s="556">
        <v>1</v>
      </c>
      <c r="AL73"/>
      <c r="AM73"/>
      <c r="AN73"/>
      <c r="AO73" s="455">
        <v>8.7590000000000003</v>
      </c>
      <c r="AP73" s="455"/>
      <c r="AQ73">
        <v>1</v>
      </c>
      <c r="AR73"/>
      <c r="AS73"/>
      <c r="AT73"/>
      <c r="AU73"/>
      <c r="AV73"/>
      <c r="AW73"/>
      <c r="AX73"/>
      <c r="AY73"/>
      <c r="AZ73"/>
      <c r="BA73"/>
      <c r="BB73"/>
      <c r="BC73" s="558"/>
      <c r="BD73"/>
      <c r="BE73"/>
      <c r="BF73"/>
      <c r="BG73"/>
      <c r="BH73" s="455">
        <v>8.7590000000000003</v>
      </c>
      <c r="BI73" s="455">
        <v>1</v>
      </c>
      <c r="BJ73"/>
      <c r="BK73"/>
      <c r="BL73"/>
      <c r="BM73"/>
      <c r="BN73"/>
      <c r="BO73" s="558"/>
      <c r="BP73" s="455">
        <v>8.7590000000000003</v>
      </c>
      <c r="BQ73" s="455"/>
      <c r="BR73">
        <v>1</v>
      </c>
      <c r="BS73"/>
      <c r="BT73"/>
      <c r="BU73" s="558"/>
      <c r="BV73"/>
      <c r="BW73"/>
      <c r="BZ73" s="455">
        <v>8.7590000000000003</v>
      </c>
      <c r="CA73" s="556">
        <v>1</v>
      </c>
      <c r="CB73"/>
      <c r="CC73"/>
      <c r="CD73"/>
      <c r="CF73" s="455">
        <v>8.7590000000000003</v>
      </c>
      <c r="CG73" s="455"/>
      <c r="CH73">
        <v>1</v>
      </c>
      <c r="CI73"/>
      <c r="CJ73"/>
      <c r="CK73"/>
      <c r="CL73"/>
      <c r="CM73"/>
      <c r="CN73"/>
      <c r="CO73"/>
      <c r="CP73"/>
      <c r="CQ73"/>
      <c r="CR73"/>
      <c r="CS73"/>
      <c r="CT73"/>
      <c r="CU73"/>
      <c r="CV73" s="558"/>
      <c r="CW73"/>
      <c r="CX73"/>
      <c r="CY73"/>
      <c r="CZ73"/>
      <c r="DA73"/>
      <c r="DB73"/>
      <c r="DC73"/>
      <c r="DD73"/>
      <c r="DE73"/>
      <c r="DF73"/>
      <c r="DG73" s="455">
        <v>8.7590000000000003</v>
      </c>
      <c r="DH73" s="455">
        <v>1</v>
      </c>
      <c r="DI73"/>
      <c r="DJ73"/>
      <c r="DK73"/>
      <c r="DL73"/>
      <c r="DM73"/>
      <c r="DN73"/>
      <c r="DO73"/>
      <c r="DP73"/>
      <c r="DQ73"/>
      <c r="DR73"/>
      <c r="DS73"/>
      <c r="DT73"/>
      <c r="DU73" s="558"/>
      <c r="DV73"/>
      <c r="DW73"/>
      <c r="DX73"/>
      <c r="DZ73" s="455">
        <v>8.7590000000000003</v>
      </c>
      <c r="EA73" s="455"/>
      <c r="EB73"/>
      <c r="EC73"/>
      <c r="ED73"/>
      <c r="EE73">
        <v>1</v>
      </c>
      <c r="EF73"/>
      <c r="EG73" s="558"/>
      <c r="EH73"/>
      <c r="EJ73" s="455">
        <v>8.7590000000000003</v>
      </c>
      <c r="EK73" s="455"/>
      <c r="EL73"/>
      <c r="EM73"/>
      <c r="EN73"/>
      <c r="EO73"/>
      <c r="EP73"/>
      <c r="EQ73"/>
      <c r="ER73"/>
      <c r="ES73">
        <v>1</v>
      </c>
      <c r="ET73"/>
      <c r="EU73"/>
      <c r="EV73"/>
      <c r="EW73"/>
      <c r="EX73"/>
      <c r="EY73"/>
      <c r="EZ73"/>
      <c r="FA73"/>
      <c r="FB73"/>
      <c r="FC73"/>
      <c r="FD73"/>
      <c r="FE73"/>
      <c r="FF73"/>
      <c r="FG73"/>
      <c r="FH73" s="558"/>
      <c r="FI73"/>
      <c r="FK73" s="449" t="s">
        <v>6782</v>
      </c>
      <c r="FL73" s="457"/>
      <c r="FM73" s="449"/>
      <c r="FN73" s="452"/>
      <c r="FO73" s="452">
        <v>1</v>
      </c>
      <c r="FP73" s="452"/>
      <c r="FQ73" s="452"/>
      <c r="FR73" s="452"/>
      <c r="FS73" s="452"/>
      <c r="FT73" s="452"/>
      <c r="FU73" s="452"/>
      <c r="FV73" s="452"/>
      <c r="FW73" s="452"/>
      <c r="FX73" s="452"/>
      <c r="FY73" s="452"/>
      <c r="FZ73" s="453"/>
      <c r="GA73"/>
      <c r="GB73"/>
      <c r="GC73"/>
      <c r="GD73"/>
    </row>
    <row r="74" spans="27:186" x14ac:dyDescent="0.15">
      <c r="AG74" s="455">
        <v>17.724</v>
      </c>
      <c r="AH74" s="556">
        <v>1</v>
      </c>
      <c r="AJ74" s="455">
        <v>17.724</v>
      </c>
      <c r="AK74" s="556">
        <v>1</v>
      </c>
      <c r="AL74"/>
      <c r="AM74"/>
      <c r="AN74"/>
      <c r="AO74" s="455">
        <v>17.724</v>
      </c>
      <c r="AP74" s="455"/>
      <c r="AQ74"/>
      <c r="AR74"/>
      <c r="AS74"/>
      <c r="AT74">
        <v>1</v>
      </c>
      <c r="AU74"/>
      <c r="AV74"/>
      <c r="AW74"/>
      <c r="AX74"/>
      <c r="AY74"/>
      <c r="AZ74"/>
      <c r="BA74"/>
      <c r="BB74"/>
      <c r="BC74" s="558"/>
      <c r="BD74"/>
      <c r="BE74"/>
      <c r="BF74"/>
      <c r="BG74"/>
      <c r="BH74" s="455">
        <v>17.724</v>
      </c>
      <c r="BI74" s="455">
        <v>1</v>
      </c>
      <c r="BJ74"/>
      <c r="BK74"/>
      <c r="BL74"/>
      <c r="BM74"/>
      <c r="BN74"/>
      <c r="BO74" s="558"/>
      <c r="BP74" s="455">
        <v>17.724</v>
      </c>
      <c r="BQ74" s="455">
        <v>1</v>
      </c>
      <c r="BR74"/>
      <c r="BS74"/>
      <c r="BT74"/>
      <c r="BU74" s="558"/>
      <c r="BV74"/>
      <c r="BW74"/>
      <c r="BZ74" s="455">
        <v>17.724</v>
      </c>
      <c r="CA74" s="556">
        <v>1</v>
      </c>
      <c r="CB74"/>
      <c r="CC74"/>
      <c r="CD74"/>
      <c r="CF74" s="455">
        <v>17.724</v>
      </c>
      <c r="CG74" s="455"/>
      <c r="CH74"/>
      <c r="CI74">
        <v>1</v>
      </c>
      <c r="CJ74"/>
      <c r="CK74"/>
      <c r="CL74"/>
      <c r="CM74"/>
      <c r="CN74"/>
      <c r="CO74"/>
      <c r="CP74"/>
      <c r="CQ74"/>
      <c r="CR74"/>
      <c r="CS74"/>
      <c r="CT74"/>
      <c r="CU74"/>
      <c r="CV74" s="558"/>
      <c r="CW74"/>
      <c r="CX74"/>
      <c r="CY74"/>
      <c r="CZ74"/>
      <c r="DA74"/>
      <c r="DB74"/>
      <c r="DC74"/>
      <c r="DD74"/>
      <c r="DE74"/>
      <c r="DF74"/>
      <c r="DG74" s="455">
        <v>17.724</v>
      </c>
      <c r="DH74" s="455"/>
      <c r="DI74"/>
      <c r="DJ74"/>
      <c r="DK74"/>
      <c r="DL74">
        <v>1</v>
      </c>
      <c r="DM74"/>
      <c r="DN74"/>
      <c r="DO74"/>
      <c r="DP74"/>
      <c r="DQ74"/>
      <c r="DR74"/>
      <c r="DS74"/>
      <c r="DT74"/>
      <c r="DU74" s="558"/>
      <c r="DV74"/>
      <c r="DW74"/>
      <c r="DX74"/>
      <c r="DZ74" s="455">
        <v>17.724</v>
      </c>
      <c r="EA74" s="455"/>
      <c r="EB74"/>
      <c r="EC74">
        <v>1</v>
      </c>
      <c r="ED74"/>
      <c r="EE74"/>
      <c r="EF74"/>
      <c r="EG74" s="558"/>
      <c r="EH74"/>
      <c r="EJ74" s="455">
        <v>17.724</v>
      </c>
      <c r="EK74" s="455"/>
      <c r="EL74">
        <v>1</v>
      </c>
      <c r="EM74"/>
      <c r="EN74"/>
      <c r="EO74"/>
      <c r="EP74"/>
      <c r="EQ74"/>
      <c r="ER74"/>
      <c r="ES74"/>
      <c r="ET74"/>
      <c r="EU74"/>
      <c r="EV74"/>
      <c r="EW74"/>
      <c r="EX74"/>
      <c r="EY74"/>
      <c r="EZ74"/>
      <c r="FA74"/>
      <c r="FB74"/>
      <c r="FC74"/>
      <c r="FD74"/>
      <c r="FE74"/>
      <c r="FF74"/>
      <c r="FG74"/>
      <c r="FH74" s="558"/>
      <c r="FI74"/>
      <c r="FK74" s="449">
        <v>1.1140000000000001</v>
      </c>
      <c r="FL74" s="449" t="s">
        <v>406</v>
      </c>
      <c r="FM74" s="449"/>
      <c r="FN74" s="452"/>
      <c r="FO74" s="452"/>
      <c r="FP74" s="452"/>
      <c r="FQ74" s="452"/>
      <c r="FR74" s="452"/>
      <c r="FS74" s="452"/>
      <c r="FT74" s="452"/>
      <c r="FU74" s="452"/>
      <c r="FV74" s="452"/>
      <c r="FW74" s="452"/>
      <c r="FX74" s="452">
        <v>1</v>
      </c>
      <c r="FY74" s="452"/>
      <c r="FZ74" s="453"/>
      <c r="GA74"/>
      <c r="GB74"/>
      <c r="GC74"/>
      <c r="GD74"/>
    </row>
    <row r="75" spans="27:186" x14ac:dyDescent="0.15">
      <c r="AG75" s="455">
        <v>19.574000000000002</v>
      </c>
      <c r="AH75" s="556">
        <v>1</v>
      </c>
      <c r="AJ75" s="455">
        <v>19.574000000000002</v>
      </c>
      <c r="AK75" s="556">
        <v>1</v>
      </c>
      <c r="AL75"/>
      <c r="AM75"/>
      <c r="AN75"/>
      <c r="AO75" s="455">
        <v>19.574000000000002</v>
      </c>
      <c r="AP75" s="455"/>
      <c r="AQ75"/>
      <c r="AR75"/>
      <c r="AS75"/>
      <c r="AT75"/>
      <c r="AU75"/>
      <c r="AV75"/>
      <c r="AW75">
        <v>1</v>
      </c>
      <c r="AX75"/>
      <c r="AY75"/>
      <c r="AZ75"/>
      <c r="BA75"/>
      <c r="BB75"/>
      <c r="BC75" s="558"/>
      <c r="BD75"/>
      <c r="BE75"/>
      <c r="BF75"/>
      <c r="BG75"/>
      <c r="BH75" s="455">
        <v>19.574000000000002</v>
      </c>
      <c r="BI75" s="455">
        <v>1</v>
      </c>
      <c r="BJ75"/>
      <c r="BK75"/>
      <c r="BL75"/>
      <c r="BM75"/>
      <c r="BN75"/>
      <c r="BO75" s="558"/>
      <c r="BP75" s="455">
        <v>19.574000000000002</v>
      </c>
      <c r="BQ75" s="455"/>
      <c r="BR75">
        <v>1</v>
      </c>
      <c r="BS75"/>
      <c r="BT75"/>
      <c r="BU75" s="558"/>
      <c r="BV75"/>
      <c r="BW75"/>
      <c r="BZ75" s="455">
        <v>19.574000000000002</v>
      </c>
      <c r="CA75" s="556">
        <v>1</v>
      </c>
      <c r="CB75"/>
      <c r="CC75"/>
      <c r="CD75"/>
      <c r="CF75" s="455">
        <v>19.574000000000002</v>
      </c>
      <c r="CG75" s="455"/>
      <c r="CH75"/>
      <c r="CI75"/>
      <c r="CJ75"/>
      <c r="CK75">
        <v>1</v>
      </c>
      <c r="CL75"/>
      <c r="CM75"/>
      <c r="CN75"/>
      <c r="CO75"/>
      <c r="CP75"/>
      <c r="CQ75"/>
      <c r="CR75"/>
      <c r="CS75"/>
      <c r="CT75"/>
      <c r="CU75"/>
      <c r="CV75" s="558"/>
      <c r="CW75"/>
      <c r="CX75"/>
      <c r="CY75"/>
      <c r="CZ75"/>
      <c r="DA75"/>
      <c r="DB75"/>
      <c r="DC75"/>
      <c r="DD75"/>
      <c r="DE75"/>
      <c r="DF75"/>
      <c r="DG75" s="455">
        <v>19.574000000000002</v>
      </c>
      <c r="DH75" s="455"/>
      <c r="DI75"/>
      <c r="DJ75">
        <v>1</v>
      </c>
      <c r="DK75"/>
      <c r="DL75"/>
      <c r="DM75"/>
      <c r="DN75"/>
      <c r="DO75"/>
      <c r="DP75"/>
      <c r="DQ75"/>
      <c r="DR75"/>
      <c r="DS75"/>
      <c r="DT75"/>
      <c r="DU75" s="558"/>
      <c r="DV75"/>
      <c r="DW75"/>
      <c r="DX75"/>
      <c r="DZ75" s="455">
        <v>19.574000000000002</v>
      </c>
      <c r="EA75" s="455"/>
      <c r="EB75"/>
      <c r="EC75"/>
      <c r="ED75"/>
      <c r="EE75"/>
      <c r="EF75">
        <v>1</v>
      </c>
      <c r="EG75" s="558"/>
      <c r="EH75"/>
      <c r="EJ75" s="455">
        <v>19.574000000000002</v>
      </c>
      <c r="EK75" s="455"/>
      <c r="EL75"/>
      <c r="EM75"/>
      <c r="EN75"/>
      <c r="EO75"/>
      <c r="EP75"/>
      <c r="EQ75"/>
      <c r="ER75"/>
      <c r="ES75"/>
      <c r="ET75"/>
      <c r="EU75"/>
      <c r="EV75"/>
      <c r="EW75"/>
      <c r="EX75"/>
      <c r="EY75"/>
      <c r="EZ75"/>
      <c r="FA75"/>
      <c r="FB75"/>
      <c r="FC75"/>
      <c r="FD75">
        <v>1</v>
      </c>
      <c r="FE75"/>
      <c r="FF75"/>
      <c r="FG75"/>
      <c r="FH75" s="558"/>
      <c r="FI75"/>
      <c r="FK75" s="449" t="s">
        <v>6783</v>
      </c>
      <c r="FL75" s="457"/>
      <c r="FM75" s="449"/>
      <c r="FN75" s="452"/>
      <c r="FO75" s="452"/>
      <c r="FP75" s="452"/>
      <c r="FQ75" s="452"/>
      <c r="FR75" s="452"/>
      <c r="FS75" s="452"/>
      <c r="FT75" s="452"/>
      <c r="FU75" s="452"/>
      <c r="FV75" s="452"/>
      <c r="FW75" s="452"/>
      <c r="FX75" s="452">
        <v>1</v>
      </c>
      <c r="FY75" s="452"/>
      <c r="FZ75" s="453"/>
      <c r="GA75"/>
      <c r="GB75"/>
      <c r="GC75"/>
      <c r="GD75"/>
    </row>
    <row r="76" spans="27:186" x14ac:dyDescent="0.15">
      <c r="AG76" s="455">
        <v>0.79600000000000004</v>
      </c>
      <c r="AH76" s="556">
        <v>1</v>
      </c>
      <c r="AJ76" s="455">
        <v>0.79600000000000004</v>
      </c>
      <c r="AK76" s="556">
        <v>1</v>
      </c>
      <c r="AL76"/>
      <c r="AM76"/>
      <c r="AN76"/>
      <c r="AO76" s="455">
        <v>0.79600000000000004</v>
      </c>
      <c r="AP76" s="455"/>
      <c r="AQ76"/>
      <c r="AR76"/>
      <c r="AS76"/>
      <c r="AT76">
        <v>1</v>
      </c>
      <c r="AU76"/>
      <c r="AV76"/>
      <c r="AW76"/>
      <c r="AX76"/>
      <c r="AY76"/>
      <c r="AZ76"/>
      <c r="BA76"/>
      <c r="BB76"/>
      <c r="BC76" s="558"/>
      <c r="BD76"/>
      <c r="BE76"/>
      <c r="BF76"/>
      <c r="BG76"/>
      <c r="BH76" s="455">
        <v>0.79600000000000004</v>
      </c>
      <c r="BI76" s="455">
        <v>1</v>
      </c>
      <c r="BJ76"/>
      <c r="BK76"/>
      <c r="BL76"/>
      <c r="BM76"/>
      <c r="BN76"/>
      <c r="BO76" s="558"/>
      <c r="BP76" s="455">
        <v>0.79600000000000004</v>
      </c>
      <c r="BQ76" s="455">
        <v>1</v>
      </c>
      <c r="BR76"/>
      <c r="BS76"/>
      <c r="BT76"/>
      <c r="BU76" s="558"/>
      <c r="BV76"/>
      <c r="BW76"/>
      <c r="BZ76" s="455">
        <v>0.79600000000000004</v>
      </c>
      <c r="CA76" s="556">
        <v>1</v>
      </c>
      <c r="CB76"/>
      <c r="CC76"/>
      <c r="CD76"/>
      <c r="CF76" s="455">
        <v>0.79600000000000004</v>
      </c>
      <c r="CG76" s="455"/>
      <c r="CH76"/>
      <c r="CI76"/>
      <c r="CJ76"/>
      <c r="CK76"/>
      <c r="CL76"/>
      <c r="CM76"/>
      <c r="CN76"/>
      <c r="CO76"/>
      <c r="CP76"/>
      <c r="CQ76"/>
      <c r="CR76"/>
      <c r="CS76">
        <v>1</v>
      </c>
      <c r="CT76"/>
      <c r="CU76"/>
      <c r="CV76" s="558"/>
      <c r="CW76"/>
      <c r="CX76"/>
      <c r="CY76"/>
      <c r="CZ76"/>
      <c r="DA76"/>
      <c r="DB76"/>
      <c r="DC76"/>
      <c r="DD76"/>
      <c r="DE76"/>
      <c r="DF76"/>
      <c r="DG76" s="455">
        <v>0.79600000000000004</v>
      </c>
      <c r="DH76" s="455">
        <v>1</v>
      </c>
      <c r="DI76"/>
      <c r="DJ76"/>
      <c r="DK76"/>
      <c r="DL76"/>
      <c r="DM76"/>
      <c r="DN76"/>
      <c r="DO76"/>
      <c r="DP76"/>
      <c r="DQ76"/>
      <c r="DR76"/>
      <c r="DS76"/>
      <c r="DT76"/>
      <c r="DU76" s="558"/>
      <c r="DV76"/>
      <c r="DW76"/>
      <c r="DX76"/>
      <c r="DZ76" s="455">
        <v>0.79600000000000004</v>
      </c>
      <c r="EA76" s="455"/>
      <c r="EB76"/>
      <c r="EC76"/>
      <c r="ED76">
        <v>1</v>
      </c>
      <c r="EE76"/>
      <c r="EF76"/>
      <c r="EG76" s="558"/>
      <c r="EH76"/>
      <c r="EJ76" s="455">
        <v>0.79600000000000004</v>
      </c>
      <c r="EK76" s="455"/>
      <c r="EL76"/>
      <c r="EM76"/>
      <c r="EN76"/>
      <c r="EO76"/>
      <c r="EP76"/>
      <c r="EQ76"/>
      <c r="ER76"/>
      <c r="ES76"/>
      <c r="ET76"/>
      <c r="EU76"/>
      <c r="EV76"/>
      <c r="EW76"/>
      <c r="EX76"/>
      <c r="EY76"/>
      <c r="EZ76"/>
      <c r="FA76"/>
      <c r="FB76"/>
      <c r="FC76"/>
      <c r="FD76">
        <v>1</v>
      </c>
      <c r="FE76"/>
      <c r="FF76"/>
      <c r="FG76"/>
      <c r="FH76" s="558"/>
      <c r="FI76"/>
      <c r="FK76" s="449">
        <v>2.028</v>
      </c>
      <c r="FL76" s="449" t="s">
        <v>410</v>
      </c>
      <c r="FM76" s="449"/>
      <c r="FN76" s="452"/>
      <c r="FO76" s="452"/>
      <c r="FP76" s="452"/>
      <c r="FQ76" s="452">
        <v>1</v>
      </c>
      <c r="FR76" s="452"/>
      <c r="FS76" s="452"/>
      <c r="FT76" s="452"/>
      <c r="FU76" s="452"/>
      <c r="FV76" s="452"/>
      <c r="FW76" s="452"/>
      <c r="FX76" s="452"/>
      <c r="FY76" s="452"/>
      <c r="FZ76" s="453"/>
      <c r="GA76"/>
      <c r="GB76"/>
      <c r="GC76"/>
      <c r="GD76"/>
    </row>
    <row r="77" spans="27:186" x14ac:dyDescent="0.15">
      <c r="AG77" s="455">
        <v>0.93300000000000005</v>
      </c>
      <c r="AH77" s="556">
        <v>1</v>
      </c>
      <c r="AJ77" s="455">
        <v>0.93300000000000005</v>
      </c>
      <c r="AK77" s="556">
        <v>1</v>
      </c>
      <c r="AL77"/>
      <c r="AM77"/>
      <c r="AN77"/>
      <c r="AO77" s="455">
        <v>0.93300000000000005</v>
      </c>
      <c r="AP77" s="455">
        <v>1</v>
      </c>
      <c r="AQ77"/>
      <c r="AR77"/>
      <c r="AS77"/>
      <c r="AT77"/>
      <c r="AU77"/>
      <c r="AV77"/>
      <c r="AW77"/>
      <c r="AX77"/>
      <c r="AY77"/>
      <c r="AZ77"/>
      <c r="BA77"/>
      <c r="BB77"/>
      <c r="BC77" s="558"/>
      <c r="BD77"/>
      <c r="BE77"/>
      <c r="BF77"/>
      <c r="BG77"/>
      <c r="BH77" s="455">
        <v>0.93300000000000005</v>
      </c>
      <c r="BI77" s="455">
        <v>1</v>
      </c>
      <c r="BJ77"/>
      <c r="BK77"/>
      <c r="BL77"/>
      <c r="BM77"/>
      <c r="BN77"/>
      <c r="BO77" s="558"/>
      <c r="BP77" s="455">
        <v>0.93300000000000005</v>
      </c>
      <c r="BQ77" s="455"/>
      <c r="BR77">
        <v>1</v>
      </c>
      <c r="BS77"/>
      <c r="BT77"/>
      <c r="BU77" s="558"/>
      <c r="BV77"/>
      <c r="BW77"/>
      <c r="BZ77" s="455">
        <v>0.93300000000000005</v>
      </c>
      <c r="CA77" s="556">
        <v>1</v>
      </c>
      <c r="CB77"/>
      <c r="CC77"/>
      <c r="CD77"/>
      <c r="CF77" s="455">
        <v>0.93300000000000005</v>
      </c>
      <c r="CG77" s="455">
        <v>1</v>
      </c>
      <c r="CH77"/>
      <c r="CI77"/>
      <c r="CJ77"/>
      <c r="CK77"/>
      <c r="CL77"/>
      <c r="CM77"/>
      <c r="CN77"/>
      <c r="CO77"/>
      <c r="CP77"/>
      <c r="CQ77"/>
      <c r="CR77"/>
      <c r="CS77"/>
      <c r="CT77"/>
      <c r="CU77"/>
      <c r="CV77" s="558"/>
      <c r="CW77"/>
      <c r="CX77"/>
      <c r="CY77"/>
      <c r="CZ77"/>
      <c r="DA77"/>
      <c r="DB77"/>
      <c r="DC77"/>
      <c r="DD77"/>
      <c r="DE77"/>
      <c r="DF77"/>
      <c r="DG77" s="455">
        <v>0.93300000000000005</v>
      </c>
      <c r="DH77" s="455"/>
      <c r="DI77">
        <v>1</v>
      </c>
      <c r="DJ77"/>
      <c r="DK77"/>
      <c r="DL77"/>
      <c r="DM77"/>
      <c r="DN77"/>
      <c r="DO77"/>
      <c r="DP77"/>
      <c r="DQ77"/>
      <c r="DR77"/>
      <c r="DS77"/>
      <c r="DT77"/>
      <c r="DU77" s="558"/>
      <c r="DV77"/>
      <c r="DW77"/>
      <c r="DX77"/>
      <c r="DZ77" s="455">
        <v>0.93300000000000005</v>
      </c>
      <c r="EA77" s="455"/>
      <c r="EB77"/>
      <c r="EC77"/>
      <c r="ED77"/>
      <c r="EE77"/>
      <c r="EF77">
        <v>1</v>
      </c>
      <c r="EG77" s="558"/>
      <c r="EH77"/>
      <c r="EJ77" s="455">
        <v>0.93300000000000005</v>
      </c>
      <c r="EK77" s="455"/>
      <c r="EL77"/>
      <c r="EM77"/>
      <c r="EN77"/>
      <c r="EO77"/>
      <c r="EP77"/>
      <c r="EQ77"/>
      <c r="ER77"/>
      <c r="ES77"/>
      <c r="ET77"/>
      <c r="EU77"/>
      <c r="EV77"/>
      <c r="EW77"/>
      <c r="EX77"/>
      <c r="EY77">
        <v>1</v>
      </c>
      <c r="EZ77"/>
      <c r="FA77"/>
      <c r="FB77"/>
      <c r="FC77"/>
      <c r="FD77"/>
      <c r="FE77"/>
      <c r="FF77"/>
      <c r="FG77"/>
      <c r="FH77" s="558"/>
      <c r="FI77"/>
      <c r="FK77" s="449" t="s">
        <v>6784</v>
      </c>
      <c r="FL77" s="457"/>
      <c r="FM77" s="449"/>
      <c r="FN77" s="452"/>
      <c r="FO77" s="452"/>
      <c r="FP77" s="452"/>
      <c r="FQ77" s="452">
        <v>1</v>
      </c>
      <c r="FR77" s="452"/>
      <c r="FS77" s="452"/>
      <c r="FT77" s="452"/>
      <c r="FU77" s="452"/>
      <c r="FV77" s="452"/>
      <c r="FW77" s="452"/>
      <c r="FX77" s="452"/>
      <c r="FY77" s="452"/>
      <c r="FZ77" s="453"/>
      <c r="GA77"/>
      <c r="GB77"/>
      <c r="GC77"/>
      <c r="GD77"/>
    </row>
    <row r="78" spans="27:186" x14ac:dyDescent="0.15">
      <c r="AG78" s="455">
        <v>25.722000000000001</v>
      </c>
      <c r="AH78" s="556">
        <v>1</v>
      </c>
      <c r="AJ78" s="455">
        <v>25.722000000000001</v>
      </c>
      <c r="AK78" s="556">
        <v>1</v>
      </c>
      <c r="AL78"/>
      <c r="AM78"/>
      <c r="AN78"/>
      <c r="AO78" s="455">
        <v>25.722000000000001</v>
      </c>
      <c r="AP78" s="455">
        <v>1</v>
      </c>
      <c r="AQ78"/>
      <c r="AR78"/>
      <c r="AS78"/>
      <c r="AT78"/>
      <c r="AU78"/>
      <c r="AV78"/>
      <c r="AW78"/>
      <c r="AX78"/>
      <c r="AY78"/>
      <c r="AZ78"/>
      <c r="BA78"/>
      <c r="BB78"/>
      <c r="BC78" s="558"/>
      <c r="BD78"/>
      <c r="BE78"/>
      <c r="BF78"/>
      <c r="BG78"/>
      <c r="BH78" s="455">
        <v>25.722000000000001</v>
      </c>
      <c r="BI78" s="455">
        <v>1</v>
      </c>
      <c r="BJ78"/>
      <c r="BK78"/>
      <c r="BL78"/>
      <c r="BM78"/>
      <c r="BN78"/>
      <c r="BO78" s="558"/>
      <c r="BP78" s="455">
        <v>25.722000000000001</v>
      </c>
      <c r="BQ78" s="455"/>
      <c r="BR78"/>
      <c r="BS78">
        <v>1</v>
      </c>
      <c r="BT78"/>
      <c r="BU78" s="558"/>
      <c r="BV78"/>
      <c r="BW78"/>
      <c r="BZ78" s="455">
        <v>25.722000000000001</v>
      </c>
      <c r="CA78" s="556">
        <v>1</v>
      </c>
      <c r="CB78"/>
      <c r="CC78"/>
      <c r="CD78"/>
      <c r="CF78" s="455">
        <v>25.722000000000001</v>
      </c>
      <c r="CG78" s="455">
        <v>1</v>
      </c>
      <c r="CH78"/>
      <c r="CI78"/>
      <c r="CJ78"/>
      <c r="CK78"/>
      <c r="CL78"/>
      <c r="CM78"/>
      <c r="CN78"/>
      <c r="CO78"/>
      <c r="CP78"/>
      <c r="CQ78"/>
      <c r="CR78"/>
      <c r="CS78"/>
      <c r="CT78"/>
      <c r="CU78"/>
      <c r="CV78" s="558"/>
      <c r="CW78"/>
      <c r="CX78"/>
      <c r="CY78"/>
      <c r="CZ78"/>
      <c r="DA78"/>
      <c r="DB78"/>
      <c r="DC78"/>
      <c r="DD78"/>
      <c r="DE78"/>
      <c r="DF78"/>
      <c r="DG78" s="455">
        <v>25.722000000000001</v>
      </c>
      <c r="DH78" s="455">
        <v>1</v>
      </c>
      <c r="DI78"/>
      <c r="DJ78"/>
      <c r="DK78"/>
      <c r="DL78"/>
      <c r="DM78"/>
      <c r="DN78"/>
      <c r="DO78"/>
      <c r="DP78"/>
      <c r="DQ78"/>
      <c r="DR78"/>
      <c r="DS78"/>
      <c r="DT78"/>
      <c r="DU78" s="558"/>
      <c r="DV78"/>
      <c r="DW78"/>
      <c r="DX78"/>
      <c r="DZ78" s="455">
        <v>25.722000000000001</v>
      </c>
      <c r="EA78" s="455"/>
      <c r="EB78"/>
      <c r="EC78">
        <v>1</v>
      </c>
      <c r="ED78"/>
      <c r="EE78"/>
      <c r="EF78"/>
      <c r="EG78" s="558"/>
      <c r="EH78"/>
      <c r="EJ78" s="455">
        <v>25.722000000000001</v>
      </c>
      <c r="EK78" s="455"/>
      <c r="EL78"/>
      <c r="EM78">
        <v>1</v>
      </c>
      <c r="EN78"/>
      <c r="EO78"/>
      <c r="EP78"/>
      <c r="EQ78"/>
      <c r="ER78"/>
      <c r="ES78"/>
      <c r="ET78"/>
      <c r="EU78"/>
      <c r="EV78"/>
      <c r="EW78"/>
      <c r="EX78"/>
      <c r="EY78"/>
      <c r="EZ78"/>
      <c r="FA78"/>
      <c r="FB78"/>
      <c r="FC78"/>
      <c r="FD78"/>
      <c r="FE78"/>
      <c r="FF78"/>
      <c r="FG78"/>
      <c r="FH78" s="558"/>
      <c r="FI78"/>
      <c r="FK78" s="449">
        <v>3.0000000000000001E-3</v>
      </c>
      <c r="FL78" s="449" t="s">
        <v>411</v>
      </c>
      <c r="FM78" s="449"/>
      <c r="FN78" s="452"/>
      <c r="FO78" s="452"/>
      <c r="FP78" s="452"/>
      <c r="FQ78" s="452"/>
      <c r="FR78" s="452"/>
      <c r="FS78" s="452"/>
      <c r="FT78" s="452"/>
      <c r="FU78" s="452"/>
      <c r="FV78" s="452"/>
      <c r="FW78" s="452">
        <v>1</v>
      </c>
      <c r="FX78" s="452"/>
      <c r="FY78" s="452"/>
      <c r="FZ78" s="453"/>
      <c r="GA78"/>
      <c r="GB78"/>
      <c r="GC78"/>
      <c r="GD78"/>
    </row>
    <row r="79" spans="27:186" x14ac:dyDescent="0.15">
      <c r="AG79" s="455">
        <v>31.138000000000002</v>
      </c>
      <c r="AH79" s="556">
        <v>1</v>
      </c>
      <c r="AJ79" s="455">
        <v>31.138000000000002</v>
      </c>
      <c r="AK79" s="556">
        <v>1</v>
      </c>
      <c r="AL79"/>
      <c r="AM79"/>
      <c r="AN79"/>
      <c r="AO79" s="455">
        <v>31.138000000000002</v>
      </c>
      <c r="AP79" s="455"/>
      <c r="AQ79"/>
      <c r="AR79"/>
      <c r="AS79"/>
      <c r="AT79"/>
      <c r="AU79">
        <v>1</v>
      </c>
      <c r="AV79"/>
      <c r="AW79"/>
      <c r="AX79"/>
      <c r="AY79"/>
      <c r="AZ79"/>
      <c r="BA79"/>
      <c r="BB79"/>
      <c r="BC79" s="558"/>
      <c r="BD79"/>
      <c r="BE79"/>
      <c r="BF79"/>
      <c r="BG79"/>
      <c r="BH79" s="455">
        <v>31.138000000000002</v>
      </c>
      <c r="BI79" s="455"/>
      <c r="BJ79">
        <v>1</v>
      </c>
      <c r="BK79"/>
      <c r="BL79"/>
      <c r="BM79"/>
      <c r="BN79"/>
      <c r="BO79" s="558"/>
      <c r="BP79" s="455">
        <v>31.138000000000002</v>
      </c>
      <c r="BQ79" s="455">
        <v>1</v>
      </c>
      <c r="BR79"/>
      <c r="BS79"/>
      <c r="BT79"/>
      <c r="BU79" s="558"/>
      <c r="BV79"/>
      <c r="BW79"/>
      <c r="BZ79" s="455">
        <v>31.138000000000002</v>
      </c>
      <c r="CA79" s="556">
        <v>1</v>
      </c>
      <c r="CB79"/>
      <c r="CC79"/>
      <c r="CD79"/>
      <c r="CF79" s="455">
        <v>31.138000000000002</v>
      </c>
      <c r="CG79" s="455"/>
      <c r="CH79"/>
      <c r="CI79"/>
      <c r="CJ79"/>
      <c r="CK79"/>
      <c r="CL79"/>
      <c r="CM79"/>
      <c r="CN79"/>
      <c r="CO79"/>
      <c r="CP79"/>
      <c r="CQ79">
        <v>1</v>
      </c>
      <c r="CR79"/>
      <c r="CS79"/>
      <c r="CT79"/>
      <c r="CU79"/>
      <c r="CV79" s="558"/>
      <c r="CW79"/>
      <c r="CX79"/>
      <c r="CY79"/>
      <c r="CZ79"/>
      <c r="DA79"/>
      <c r="DB79"/>
      <c r="DC79"/>
      <c r="DD79"/>
      <c r="DE79"/>
      <c r="DF79"/>
      <c r="DG79" s="455">
        <v>31.138000000000002</v>
      </c>
      <c r="DH79" s="455">
        <v>1</v>
      </c>
      <c r="DI79"/>
      <c r="DJ79"/>
      <c r="DK79"/>
      <c r="DL79"/>
      <c r="DM79"/>
      <c r="DN79"/>
      <c r="DO79"/>
      <c r="DP79"/>
      <c r="DQ79"/>
      <c r="DR79"/>
      <c r="DS79"/>
      <c r="DT79"/>
      <c r="DU79" s="558"/>
      <c r="DV79"/>
      <c r="DW79"/>
      <c r="DX79"/>
      <c r="DZ79" s="455">
        <v>31.138000000000002</v>
      </c>
      <c r="EA79" s="455"/>
      <c r="EB79"/>
      <c r="EC79"/>
      <c r="ED79"/>
      <c r="EE79">
        <v>1</v>
      </c>
      <c r="EF79"/>
      <c r="EG79" s="558"/>
      <c r="EH79"/>
      <c r="EJ79" s="455">
        <v>31.138000000000002</v>
      </c>
      <c r="EK79" s="455"/>
      <c r="EL79"/>
      <c r="EM79"/>
      <c r="EN79"/>
      <c r="EO79"/>
      <c r="EP79"/>
      <c r="EQ79"/>
      <c r="ER79"/>
      <c r="ES79"/>
      <c r="ET79"/>
      <c r="EU79"/>
      <c r="EV79"/>
      <c r="EW79"/>
      <c r="EX79"/>
      <c r="EY79"/>
      <c r="EZ79"/>
      <c r="FA79"/>
      <c r="FB79"/>
      <c r="FC79"/>
      <c r="FD79"/>
      <c r="FE79"/>
      <c r="FF79">
        <v>1</v>
      </c>
      <c r="FG79"/>
      <c r="FH79" s="558"/>
      <c r="FI79"/>
      <c r="FK79" s="458"/>
      <c r="FL79" s="455" t="s">
        <v>397</v>
      </c>
      <c r="FM79" s="455">
        <v>1</v>
      </c>
      <c r="FN79"/>
      <c r="FO79"/>
      <c r="FP79"/>
      <c r="FQ79"/>
      <c r="FR79"/>
      <c r="FS79"/>
      <c r="FT79"/>
      <c r="FU79"/>
      <c r="FV79"/>
      <c r="FW79"/>
      <c r="FX79"/>
      <c r="FY79"/>
      <c r="FZ79" s="558"/>
      <c r="GA79"/>
      <c r="GB79"/>
      <c r="GC79"/>
      <c r="GD79"/>
    </row>
    <row r="80" spans="27:186" x14ac:dyDescent="0.15">
      <c r="AG80" s="455">
        <v>13.16</v>
      </c>
      <c r="AH80" s="556">
        <v>1</v>
      </c>
      <c r="AJ80" s="455">
        <v>13.16</v>
      </c>
      <c r="AK80" s="556">
        <v>1</v>
      </c>
      <c r="AL80"/>
      <c r="AM80"/>
      <c r="AN80"/>
      <c r="AO80" s="455">
        <v>13.16</v>
      </c>
      <c r="AP80" s="455"/>
      <c r="AQ80"/>
      <c r="AR80"/>
      <c r="AS80">
        <v>1</v>
      </c>
      <c r="AT80"/>
      <c r="AU80"/>
      <c r="AV80"/>
      <c r="AW80"/>
      <c r="AX80"/>
      <c r="AY80"/>
      <c r="AZ80"/>
      <c r="BA80"/>
      <c r="BB80"/>
      <c r="BC80" s="558"/>
      <c r="BD80"/>
      <c r="BE80"/>
      <c r="BF80"/>
      <c r="BG80"/>
      <c r="BH80" s="455">
        <v>13.16</v>
      </c>
      <c r="BI80" s="455">
        <v>1</v>
      </c>
      <c r="BJ80"/>
      <c r="BK80"/>
      <c r="BL80"/>
      <c r="BM80"/>
      <c r="BN80"/>
      <c r="BO80" s="558"/>
      <c r="BP80" s="455">
        <v>13.16</v>
      </c>
      <c r="BQ80" s="455"/>
      <c r="BR80"/>
      <c r="BS80">
        <v>1</v>
      </c>
      <c r="BT80"/>
      <c r="BU80" s="558"/>
      <c r="BV80"/>
      <c r="BW80"/>
      <c r="BZ80" s="455">
        <v>13.16</v>
      </c>
      <c r="CA80" s="556">
        <v>1</v>
      </c>
      <c r="CB80"/>
      <c r="CC80"/>
      <c r="CD80"/>
      <c r="CF80" s="455">
        <v>13.16</v>
      </c>
      <c r="CG80" s="455"/>
      <c r="CH80"/>
      <c r="CI80">
        <v>1</v>
      </c>
      <c r="CJ80"/>
      <c r="CK80"/>
      <c r="CL80"/>
      <c r="CM80"/>
      <c r="CN80"/>
      <c r="CO80"/>
      <c r="CP80"/>
      <c r="CQ80"/>
      <c r="CR80"/>
      <c r="CS80"/>
      <c r="CT80"/>
      <c r="CU80"/>
      <c r="CV80" s="558"/>
      <c r="CW80"/>
      <c r="CX80"/>
      <c r="CY80"/>
      <c r="CZ80"/>
      <c r="DA80"/>
      <c r="DB80"/>
      <c r="DC80"/>
      <c r="DD80"/>
      <c r="DE80"/>
      <c r="DF80"/>
      <c r="DG80" s="455">
        <v>13.16</v>
      </c>
      <c r="DH80" s="455"/>
      <c r="DI80"/>
      <c r="DJ80"/>
      <c r="DK80">
        <v>1</v>
      </c>
      <c r="DL80"/>
      <c r="DM80"/>
      <c r="DN80"/>
      <c r="DO80"/>
      <c r="DP80"/>
      <c r="DQ80"/>
      <c r="DR80"/>
      <c r="DS80"/>
      <c r="DT80"/>
      <c r="DU80" s="558"/>
      <c r="DV80"/>
      <c r="DW80"/>
      <c r="DX80"/>
      <c r="DZ80" s="455">
        <v>13.16</v>
      </c>
      <c r="EA80" s="455"/>
      <c r="EB80"/>
      <c r="EC80"/>
      <c r="ED80">
        <v>1</v>
      </c>
      <c r="EE80"/>
      <c r="EF80"/>
      <c r="EG80" s="558"/>
      <c r="EH80"/>
      <c r="EJ80" s="455">
        <v>13.16</v>
      </c>
      <c r="EK80" s="455"/>
      <c r="EL80"/>
      <c r="EM80"/>
      <c r="EN80"/>
      <c r="EO80"/>
      <c r="EP80"/>
      <c r="EQ80"/>
      <c r="ER80"/>
      <c r="ES80"/>
      <c r="ET80"/>
      <c r="EU80"/>
      <c r="EV80"/>
      <c r="EW80"/>
      <c r="EX80"/>
      <c r="EY80"/>
      <c r="EZ80"/>
      <c r="FA80"/>
      <c r="FB80"/>
      <c r="FC80"/>
      <c r="FD80">
        <v>1</v>
      </c>
      <c r="FE80"/>
      <c r="FF80"/>
      <c r="FG80"/>
      <c r="FH80" s="558"/>
      <c r="FI80"/>
      <c r="FK80" s="449" t="s">
        <v>6785</v>
      </c>
      <c r="FL80" s="457"/>
      <c r="FM80" s="449">
        <v>1</v>
      </c>
      <c r="FN80" s="452"/>
      <c r="FO80" s="452"/>
      <c r="FP80" s="452"/>
      <c r="FQ80" s="452"/>
      <c r="FR80" s="452"/>
      <c r="FS80" s="452"/>
      <c r="FT80" s="452"/>
      <c r="FU80" s="452"/>
      <c r="FV80" s="452"/>
      <c r="FW80" s="452">
        <v>1</v>
      </c>
      <c r="FX80" s="452"/>
      <c r="FY80" s="452"/>
      <c r="FZ80" s="453"/>
      <c r="GA80"/>
      <c r="GB80"/>
      <c r="GC80"/>
      <c r="GD80"/>
    </row>
    <row r="81" spans="1:186" x14ac:dyDescent="0.15">
      <c r="AG81" s="455">
        <v>6.0830000000000002</v>
      </c>
      <c r="AH81" s="556">
        <v>1</v>
      </c>
      <c r="AJ81" s="455">
        <v>6.0830000000000002</v>
      </c>
      <c r="AK81" s="556">
        <v>1</v>
      </c>
      <c r="AL81"/>
      <c r="AM81"/>
      <c r="AN81"/>
      <c r="AO81" s="455">
        <v>6.0830000000000002</v>
      </c>
      <c r="AP81" s="455"/>
      <c r="AQ81">
        <v>1</v>
      </c>
      <c r="AR81"/>
      <c r="AS81"/>
      <c r="AT81"/>
      <c r="AU81"/>
      <c r="AV81"/>
      <c r="AW81"/>
      <c r="AX81"/>
      <c r="AY81"/>
      <c r="AZ81"/>
      <c r="BA81"/>
      <c r="BB81"/>
      <c r="BC81" s="558"/>
      <c r="BD81"/>
      <c r="BE81"/>
      <c r="BF81"/>
      <c r="BG81"/>
      <c r="BH81" s="455">
        <v>6.0830000000000002</v>
      </c>
      <c r="BI81" s="455">
        <v>1</v>
      </c>
      <c r="BJ81"/>
      <c r="BK81"/>
      <c r="BL81"/>
      <c r="BM81"/>
      <c r="BN81"/>
      <c r="BO81" s="558"/>
      <c r="BP81" s="455">
        <v>6.0830000000000002</v>
      </c>
      <c r="BQ81" s="455">
        <v>1</v>
      </c>
      <c r="BR81"/>
      <c r="BS81"/>
      <c r="BT81"/>
      <c r="BU81" s="558"/>
      <c r="BV81"/>
      <c r="BW81"/>
      <c r="BZ81" s="455">
        <v>6.0830000000000002</v>
      </c>
      <c r="CA81" s="556">
        <v>1</v>
      </c>
      <c r="CB81"/>
      <c r="CC81"/>
      <c r="CD81"/>
      <c r="CF81" s="455">
        <v>6.0830000000000002</v>
      </c>
      <c r="CG81" s="455">
        <v>1</v>
      </c>
      <c r="CH81"/>
      <c r="CI81"/>
      <c r="CJ81"/>
      <c r="CK81"/>
      <c r="CL81"/>
      <c r="CM81"/>
      <c r="CN81"/>
      <c r="CO81"/>
      <c r="CP81"/>
      <c r="CQ81"/>
      <c r="CR81"/>
      <c r="CS81"/>
      <c r="CT81"/>
      <c r="CU81"/>
      <c r="CV81" s="558"/>
      <c r="CW81"/>
      <c r="CX81"/>
      <c r="CY81"/>
      <c r="CZ81"/>
      <c r="DA81"/>
      <c r="DB81"/>
      <c r="DC81"/>
      <c r="DD81"/>
      <c r="DE81"/>
      <c r="DF81"/>
      <c r="DG81" s="455">
        <v>6.0830000000000002</v>
      </c>
      <c r="DH81" s="455"/>
      <c r="DI81">
        <v>1</v>
      </c>
      <c r="DJ81"/>
      <c r="DK81"/>
      <c r="DL81"/>
      <c r="DM81"/>
      <c r="DN81"/>
      <c r="DO81"/>
      <c r="DP81"/>
      <c r="DQ81"/>
      <c r="DR81"/>
      <c r="DS81"/>
      <c r="DT81"/>
      <c r="DU81" s="558"/>
      <c r="DV81"/>
      <c r="DW81"/>
      <c r="DX81"/>
      <c r="DZ81" s="455">
        <v>6.0830000000000002</v>
      </c>
      <c r="EA81" s="455"/>
      <c r="EB81"/>
      <c r="EC81"/>
      <c r="ED81"/>
      <c r="EE81"/>
      <c r="EF81"/>
      <c r="EG81" s="558">
        <v>1</v>
      </c>
      <c r="EH81"/>
      <c r="EJ81" s="455">
        <v>6.0830000000000002</v>
      </c>
      <c r="EK81" s="455"/>
      <c r="EL81"/>
      <c r="EM81"/>
      <c r="EN81"/>
      <c r="EO81"/>
      <c r="EP81"/>
      <c r="EQ81"/>
      <c r="ER81"/>
      <c r="ES81"/>
      <c r="ET81"/>
      <c r="EU81"/>
      <c r="EV81"/>
      <c r="EW81"/>
      <c r="EX81"/>
      <c r="EY81"/>
      <c r="EZ81"/>
      <c r="FA81"/>
      <c r="FB81"/>
      <c r="FC81"/>
      <c r="FD81"/>
      <c r="FE81"/>
      <c r="FF81"/>
      <c r="FG81">
        <v>1</v>
      </c>
      <c r="FH81" s="558"/>
      <c r="FI81"/>
      <c r="FK81" s="449">
        <v>28.84</v>
      </c>
      <c r="FL81" s="449" t="s">
        <v>405</v>
      </c>
      <c r="FM81" s="449"/>
      <c r="FN81" s="452"/>
      <c r="FO81" s="452">
        <v>1</v>
      </c>
      <c r="FP81" s="452"/>
      <c r="FQ81" s="452"/>
      <c r="FR81" s="452"/>
      <c r="FS81" s="452"/>
      <c r="FT81" s="452"/>
      <c r="FU81" s="452"/>
      <c r="FV81" s="452"/>
      <c r="FW81" s="452"/>
      <c r="FX81" s="452"/>
      <c r="FY81" s="452"/>
      <c r="FZ81" s="453"/>
      <c r="GA81"/>
      <c r="GB81"/>
      <c r="GC81"/>
      <c r="GD81"/>
    </row>
    <row r="82" spans="1:186" x14ac:dyDescent="0.15">
      <c r="A82" s="30" t="s">
        <v>148</v>
      </c>
      <c r="AG82" s="455">
        <v>22.093</v>
      </c>
      <c r="AH82" s="556">
        <v>1</v>
      </c>
      <c r="AJ82" s="455">
        <v>22.093</v>
      </c>
      <c r="AK82" s="556">
        <v>1</v>
      </c>
      <c r="AL82"/>
      <c r="AM82"/>
      <c r="AN82"/>
      <c r="AO82" s="455">
        <v>22.093</v>
      </c>
      <c r="AP82" s="455"/>
      <c r="AQ82"/>
      <c r="AR82"/>
      <c r="AS82"/>
      <c r="AT82"/>
      <c r="AU82">
        <v>1</v>
      </c>
      <c r="AV82"/>
      <c r="AW82"/>
      <c r="AX82"/>
      <c r="AY82"/>
      <c r="AZ82"/>
      <c r="BA82"/>
      <c r="BB82"/>
      <c r="BC82" s="558"/>
      <c r="BD82"/>
      <c r="BE82"/>
      <c r="BF82"/>
      <c r="BG82"/>
      <c r="BH82" s="455">
        <v>22.093</v>
      </c>
      <c r="BI82" s="455"/>
      <c r="BJ82"/>
      <c r="BK82"/>
      <c r="BL82">
        <v>1</v>
      </c>
      <c r="BM82"/>
      <c r="BN82"/>
      <c r="BO82" s="558"/>
      <c r="BP82" s="455">
        <v>22.093</v>
      </c>
      <c r="BQ82" s="455"/>
      <c r="BR82">
        <v>1</v>
      </c>
      <c r="BS82"/>
      <c r="BT82"/>
      <c r="BU82" s="558"/>
      <c r="BV82"/>
      <c r="BW82"/>
      <c r="BZ82" s="455">
        <v>22.093</v>
      </c>
      <c r="CA82" s="556">
        <v>1</v>
      </c>
      <c r="CB82"/>
      <c r="CC82"/>
      <c r="CD82"/>
      <c r="CF82" s="455">
        <v>22.093</v>
      </c>
      <c r="CG82" s="455">
        <v>1</v>
      </c>
      <c r="CH82"/>
      <c r="CI82"/>
      <c r="CJ82"/>
      <c r="CK82"/>
      <c r="CL82"/>
      <c r="CM82"/>
      <c r="CN82"/>
      <c r="CO82"/>
      <c r="CP82"/>
      <c r="CQ82"/>
      <c r="CR82"/>
      <c r="CS82"/>
      <c r="CT82"/>
      <c r="CU82"/>
      <c r="CV82" s="558"/>
      <c r="CW82"/>
      <c r="CX82"/>
      <c r="CY82"/>
      <c r="CZ82"/>
      <c r="DA82"/>
      <c r="DB82"/>
      <c r="DC82"/>
      <c r="DD82"/>
      <c r="DE82"/>
      <c r="DF82"/>
      <c r="DG82" s="455">
        <v>22.093</v>
      </c>
      <c r="DH82" s="455">
        <v>1</v>
      </c>
      <c r="DI82"/>
      <c r="DJ82"/>
      <c r="DK82"/>
      <c r="DL82"/>
      <c r="DM82"/>
      <c r="DN82"/>
      <c r="DO82"/>
      <c r="DP82"/>
      <c r="DQ82"/>
      <c r="DR82"/>
      <c r="DS82"/>
      <c r="DT82"/>
      <c r="DU82" s="558"/>
      <c r="DV82"/>
      <c r="DW82"/>
      <c r="DX82"/>
      <c r="DZ82" s="455">
        <v>22.093</v>
      </c>
      <c r="EA82" s="455"/>
      <c r="EB82">
        <v>1</v>
      </c>
      <c r="EC82"/>
      <c r="ED82"/>
      <c r="EE82"/>
      <c r="EF82"/>
      <c r="EG82" s="558"/>
      <c r="EH82"/>
      <c r="EJ82" s="455">
        <v>22.093</v>
      </c>
      <c r="EK82" s="455"/>
      <c r="EL82"/>
      <c r="EM82"/>
      <c r="EN82"/>
      <c r="EO82"/>
      <c r="EP82"/>
      <c r="EQ82"/>
      <c r="ER82"/>
      <c r="ES82"/>
      <c r="ET82"/>
      <c r="EU82"/>
      <c r="EV82"/>
      <c r="EW82"/>
      <c r="EX82"/>
      <c r="EY82"/>
      <c r="EZ82">
        <v>1</v>
      </c>
      <c r="FA82"/>
      <c r="FB82"/>
      <c r="FC82"/>
      <c r="FD82"/>
      <c r="FE82"/>
      <c r="FF82"/>
      <c r="FG82"/>
      <c r="FH82" s="558"/>
      <c r="FI82"/>
      <c r="FK82" s="449" t="s">
        <v>6786</v>
      </c>
      <c r="FL82" s="457"/>
      <c r="FM82" s="449"/>
      <c r="FN82" s="452"/>
      <c r="FO82" s="452">
        <v>1</v>
      </c>
      <c r="FP82" s="452"/>
      <c r="FQ82" s="452"/>
      <c r="FR82" s="452"/>
      <c r="FS82" s="452"/>
      <c r="FT82" s="452"/>
      <c r="FU82" s="452"/>
      <c r="FV82" s="452"/>
      <c r="FW82" s="452"/>
      <c r="FX82" s="452"/>
      <c r="FY82" s="452"/>
      <c r="FZ82" s="453"/>
      <c r="GA82"/>
      <c r="GB82"/>
      <c r="GC82"/>
      <c r="GD82"/>
    </row>
    <row r="83" spans="1:186" x14ac:dyDescent="0.15">
      <c r="A83" s="30" t="s">
        <v>147</v>
      </c>
      <c r="AG83" s="455">
        <v>3.214</v>
      </c>
      <c r="AH83" s="556">
        <v>1</v>
      </c>
      <c r="AJ83" s="455">
        <v>3.214</v>
      </c>
      <c r="AK83" s="556">
        <v>1</v>
      </c>
      <c r="AL83"/>
      <c r="AM83"/>
      <c r="AN83"/>
      <c r="AO83" s="455">
        <v>3.214</v>
      </c>
      <c r="AP83" s="455"/>
      <c r="AQ83">
        <v>1</v>
      </c>
      <c r="AR83"/>
      <c r="AS83"/>
      <c r="AT83"/>
      <c r="AU83"/>
      <c r="AV83"/>
      <c r="AW83"/>
      <c r="AX83"/>
      <c r="AY83"/>
      <c r="AZ83"/>
      <c r="BA83"/>
      <c r="BB83"/>
      <c r="BC83" s="558"/>
      <c r="BD83"/>
      <c r="BE83"/>
      <c r="BF83"/>
      <c r="BG83"/>
      <c r="BH83" s="455">
        <v>3.214</v>
      </c>
      <c r="BI83" s="455"/>
      <c r="BJ83">
        <v>1</v>
      </c>
      <c r="BK83"/>
      <c r="BL83"/>
      <c r="BM83"/>
      <c r="BN83"/>
      <c r="BO83" s="558"/>
      <c r="BP83" s="455">
        <v>3.214</v>
      </c>
      <c r="BQ83" s="455"/>
      <c r="BR83">
        <v>1</v>
      </c>
      <c r="BS83"/>
      <c r="BT83"/>
      <c r="BU83" s="558"/>
      <c r="BV83"/>
      <c r="BW83"/>
      <c r="BZ83" s="455">
        <v>3.214</v>
      </c>
      <c r="CA83" s="556">
        <v>1</v>
      </c>
      <c r="CB83"/>
      <c r="CC83"/>
      <c r="CD83"/>
      <c r="CF83" s="455">
        <v>3.214</v>
      </c>
      <c r="CG83" s="455"/>
      <c r="CH83">
        <v>1</v>
      </c>
      <c r="CI83"/>
      <c r="CJ83"/>
      <c r="CK83"/>
      <c r="CL83"/>
      <c r="CM83"/>
      <c r="CN83"/>
      <c r="CO83"/>
      <c r="CP83"/>
      <c r="CQ83"/>
      <c r="CR83"/>
      <c r="CS83"/>
      <c r="CT83"/>
      <c r="CU83"/>
      <c r="CV83" s="558"/>
      <c r="CW83"/>
      <c r="CX83"/>
      <c r="CY83"/>
      <c r="CZ83"/>
      <c r="DA83"/>
      <c r="DB83"/>
      <c r="DC83"/>
      <c r="DD83"/>
      <c r="DE83"/>
      <c r="DF83"/>
      <c r="DG83" s="455">
        <v>3.214</v>
      </c>
      <c r="DH83" s="455">
        <v>1</v>
      </c>
      <c r="DI83"/>
      <c r="DJ83"/>
      <c r="DK83"/>
      <c r="DL83"/>
      <c r="DM83"/>
      <c r="DN83"/>
      <c r="DO83"/>
      <c r="DP83"/>
      <c r="DQ83"/>
      <c r="DR83"/>
      <c r="DS83"/>
      <c r="DT83"/>
      <c r="DU83" s="558"/>
      <c r="DV83"/>
      <c r="DW83"/>
      <c r="DX83"/>
      <c r="DZ83" s="455">
        <v>3.214</v>
      </c>
      <c r="EA83" s="455"/>
      <c r="EB83"/>
      <c r="EC83"/>
      <c r="ED83"/>
      <c r="EE83"/>
      <c r="EF83"/>
      <c r="EG83" s="558">
        <v>1</v>
      </c>
      <c r="EH83"/>
      <c r="EJ83" s="455">
        <v>3.214</v>
      </c>
      <c r="EK83" s="455"/>
      <c r="EL83"/>
      <c r="EM83"/>
      <c r="EN83"/>
      <c r="EO83"/>
      <c r="EP83"/>
      <c r="EQ83"/>
      <c r="ER83"/>
      <c r="ES83"/>
      <c r="ET83"/>
      <c r="EU83">
        <v>1</v>
      </c>
      <c r="EV83"/>
      <c r="EW83"/>
      <c r="EX83"/>
      <c r="EY83"/>
      <c r="EZ83"/>
      <c r="FA83"/>
      <c r="FB83"/>
      <c r="FC83"/>
      <c r="FD83"/>
      <c r="FE83"/>
      <c r="FF83"/>
      <c r="FG83"/>
      <c r="FH83" s="558"/>
      <c r="FI83"/>
      <c r="FK83" s="449">
        <v>4.633</v>
      </c>
      <c r="FL83" s="449" t="s">
        <v>410</v>
      </c>
      <c r="FM83" s="449"/>
      <c r="FN83" s="452"/>
      <c r="FO83" s="452"/>
      <c r="FP83" s="452"/>
      <c r="FQ83" s="452"/>
      <c r="FR83" s="452">
        <v>1</v>
      </c>
      <c r="FS83" s="452"/>
      <c r="FT83" s="452"/>
      <c r="FU83" s="452"/>
      <c r="FV83" s="452"/>
      <c r="FW83" s="452"/>
      <c r="FX83" s="452"/>
      <c r="FY83" s="452"/>
      <c r="FZ83" s="453"/>
      <c r="GA83"/>
      <c r="GB83"/>
      <c r="GC83"/>
      <c r="GD83"/>
    </row>
    <row r="84" spans="1:186" x14ac:dyDescent="0.15">
      <c r="A84" s="30" t="s">
        <v>146</v>
      </c>
      <c r="AG84" s="455">
        <v>7.18</v>
      </c>
      <c r="AH84" s="556">
        <v>1</v>
      </c>
      <c r="AJ84" s="455">
        <v>7.18</v>
      </c>
      <c r="AK84" s="556">
        <v>1</v>
      </c>
      <c r="AL84"/>
      <c r="AM84"/>
      <c r="AN84"/>
      <c r="AO84" s="455">
        <v>7.18</v>
      </c>
      <c r="AP84" s="455"/>
      <c r="AQ84">
        <v>1</v>
      </c>
      <c r="AR84"/>
      <c r="AS84"/>
      <c r="AT84"/>
      <c r="AU84"/>
      <c r="AV84"/>
      <c r="AW84"/>
      <c r="AX84"/>
      <c r="AY84"/>
      <c r="AZ84"/>
      <c r="BA84"/>
      <c r="BB84"/>
      <c r="BC84" s="558"/>
      <c r="BD84"/>
      <c r="BE84"/>
      <c r="BF84"/>
      <c r="BG84"/>
      <c r="BH84" s="455">
        <v>7.18</v>
      </c>
      <c r="BI84" s="455">
        <v>1</v>
      </c>
      <c r="BJ84"/>
      <c r="BK84"/>
      <c r="BL84"/>
      <c r="BM84"/>
      <c r="BN84"/>
      <c r="BO84" s="558"/>
      <c r="BP84" s="455">
        <v>7.18</v>
      </c>
      <c r="BQ84" s="455">
        <v>1</v>
      </c>
      <c r="BR84"/>
      <c r="BS84"/>
      <c r="BT84"/>
      <c r="BU84" s="558"/>
      <c r="BV84"/>
      <c r="BW84"/>
      <c r="BZ84" s="455">
        <v>7.18</v>
      </c>
      <c r="CA84" s="556">
        <v>1</v>
      </c>
      <c r="CB84"/>
      <c r="CC84"/>
      <c r="CD84"/>
      <c r="CF84" s="455">
        <v>7.18</v>
      </c>
      <c r="CG84" s="455"/>
      <c r="CH84"/>
      <c r="CI84"/>
      <c r="CJ84"/>
      <c r="CK84"/>
      <c r="CL84"/>
      <c r="CM84"/>
      <c r="CN84"/>
      <c r="CO84"/>
      <c r="CP84"/>
      <c r="CQ84"/>
      <c r="CR84"/>
      <c r="CS84"/>
      <c r="CT84"/>
      <c r="CU84">
        <v>1</v>
      </c>
      <c r="CV84" s="558"/>
      <c r="CW84"/>
      <c r="CX84"/>
      <c r="CY84"/>
      <c r="CZ84"/>
      <c r="DA84"/>
      <c r="DB84"/>
      <c r="DC84"/>
      <c r="DD84"/>
      <c r="DE84"/>
      <c r="DF84"/>
      <c r="DG84" s="455">
        <v>7.18</v>
      </c>
      <c r="DH84" s="455"/>
      <c r="DI84"/>
      <c r="DJ84"/>
      <c r="DK84"/>
      <c r="DL84"/>
      <c r="DM84"/>
      <c r="DN84">
        <v>1</v>
      </c>
      <c r="DO84"/>
      <c r="DP84"/>
      <c r="DQ84"/>
      <c r="DR84"/>
      <c r="DS84"/>
      <c r="DT84"/>
      <c r="DU84" s="558"/>
      <c r="DV84"/>
      <c r="DW84"/>
      <c r="DX84"/>
      <c r="DZ84" s="455">
        <v>7.18</v>
      </c>
      <c r="EA84" s="455"/>
      <c r="EB84"/>
      <c r="EC84">
        <v>1</v>
      </c>
      <c r="ED84"/>
      <c r="EE84"/>
      <c r="EF84"/>
      <c r="EG84" s="558"/>
      <c r="EH84"/>
      <c r="EJ84" s="455">
        <v>7.18</v>
      </c>
      <c r="EK84" s="455"/>
      <c r="EL84"/>
      <c r="EM84"/>
      <c r="EN84"/>
      <c r="EO84"/>
      <c r="EP84"/>
      <c r="EQ84"/>
      <c r="ER84"/>
      <c r="ES84"/>
      <c r="ET84"/>
      <c r="EU84"/>
      <c r="EV84"/>
      <c r="EW84"/>
      <c r="EX84"/>
      <c r="EY84"/>
      <c r="EZ84"/>
      <c r="FA84">
        <v>1</v>
      </c>
      <c r="FB84"/>
      <c r="FC84"/>
      <c r="FD84"/>
      <c r="FE84"/>
      <c r="FF84"/>
      <c r="FG84"/>
      <c r="FH84" s="558"/>
      <c r="FI84"/>
      <c r="FK84" s="449" t="s">
        <v>6787</v>
      </c>
      <c r="FL84" s="457"/>
      <c r="FM84" s="449"/>
      <c r="FN84" s="452"/>
      <c r="FO84" s="452"/>
      <c r="FP84" s="452"/>
      <c r="FQ84" s="452"/>
      <c r="FR84" s="452">
        <v>1</v>
      </c>
      <c r="FS84" s="452"/>
      <c r="FT84" s="452"/>
      <c r="FU84" s="452"/>
      <c r="FV84" s="452"/>
      <c r="FW84" s="452"/>
      <c r="FX84" s="452"/>
      <c r="FY84" s="452"/>
      <c r="FZ84" s="453"/>
      <c r="GA84"/>
      <c r="GB84"/>
      <c r="GC84"/>
      <c r="GD84"/>
    </row>
    <row r="85" spans="1:186" x14ac:dyDescent="0.15">
      <c r="A85" s="30" t="s">
        <v>145</v>
      </c>
      <c r="AG85" s="455">
        <v>9.1010000000000009</v>
      </c>
      <c r="AH85" s="556">
        <v>1</v>
      </c>
      <c r="AJ85" s="455">
        <v>9.1010000000000009</v>
      </c>
      <c r="AK85" s="556">
        <v>1</v>
      </c>
      <c r="AL85"/>
      <c r="AM85"/>
      <c r="AN85"/>
      <c r="AO85" s="455">
        <v>9.1010000000000009</v>
      </c>
      <c r="AP85" s="455"/>
      <c r="AQ85"/>
      <c r="AR85"/>
      <c r="AS85"/>
      <c r="AT85"/>
      <c r="AU85"/>
      <c r="AV85">
        <v>1</v>
      </c>
      <c r="AW85"/>
      <c r="AX85"/>
      <c r="AY85"/>
      <c r="AZ85"/>
      <c r="BA85"/>
      <c r="BB85"/>
      <c r="BC85" s="558"/>
      <c r="BD85"/>
      <c r="BE85"/>
      <c r="BF85"/>
      <c r="BG85"/>
      <c r="BH85" s="455">
        <v>9.1010000000000009</v>
      </c>
      <c r="BI85" s="455"/>
      <c r="BJ85">
        <v>1</v>
      </c>
      <c r="BK85"/>
      <c r="BL85"/>
      <c r="BM85"/>
      <c r="BN85"/>
      <c r="BO85" s="558"/>
      <c r="BP85" s="455">
        <v>9.1010000000000009</v>
      </c>
      <c r="BQ85" s="455">
        <v>1</v>
      </c>
      <c r="BR85"/>
      <c r="BS85"/>
      <c r="BT85"/>
      <c r="BU85" s="558"/>
      <c r="BV85"/>
      <c r="BW85"/>
      <c r="BZ85" s="455">
        <v>9.1010000000000009</v>
      </c>
      <c r="CA85" s="556">
        <v>1</v>
      </c>
      <c r="CB85"/>
      <c r="CC85"/>
      <c r="CD85"/>
      <c r="CF85" s="455">
        <v>9.1010000000000009</v>
      </c>
      <c r="CG85" s="455">
        <v>1</v>
      </c>
      <c r="CH85"/>
      <c r="CI85"/>
      <c r="CJ85"/>
      <c r="CK85"/>
      <c r="CL85"/>
      <c r="CM85"/>
      <c r="CN85"/>
      <c r="CO85"/>
      <c r="CP85"/>
      <c r="CQ85"/>
      <c r="CR85"/>
      <c r="CS85"/>
      <c r="CT85"/>
      <c r="CU85"/>
      <c r="CV85" s="558"/>
      <c r="CW85"/>
      <c r="CX85"/>
      <c r="CY85"/>
      <c r="CZ85"/>
      <c r="DA85"/>
      <c r="DB85"/>
      <c r="DC85"/>
      <c r="DD85"/>
      <c r="DE85"/>
      <c r="DF85"/>
      <c r="DG85" s="455">
        <v>9.1010000000000009</v>
      </c>
      <c r="DH85" s="455">
        <v>1</v>
      </c>
      <c r="DI85"/>
      <c r="DJ85"/>
      <c r="DK85"/>
      <c r="DL85"/>
      <c r="DM85"/>
      <c r="DN85"/>
      <c r="DO85"/>
      <c r="DP85"/>
      <c r="DQ85"/>
      <c r="DR85"/>
      <c r="DS85"/>
      <c r="DT85"/>
      <c r="DU85" s="558"/>
      <c r="DV85"/>
      <c r="DW85"/>
      <c r="DX85"/>
      <c r="DZ85" s="455">
        <v>9.1010000000000009</v>
      </c>
      <c r="EA85" s="455"/>
      <c r="EB85"/>
      <c r="EC85"/>
      <c r="ED85"/>
      <c r="EE85"/>
      <c r="EF85"/>
      <c r="EG85" s="558">
        <v>1</v>
      </c>
      <c r="EH85"/>
      <c r="EJ85" s="455">
        <v>9.1010000000000009</v>
      </c>
      <c r="EK85" s="455">
        <v>1</v>
      </c>
      <c r="EL85"/>
      <c r="EM85"/>
      <c r="EN85"/>
      <c r="EO85"/>
      <c r="EP85"/>
      <c r="EQ85"/>
      <c r="ER85"/>
      <c r="ES85"/>
      <c r="ET85"/>
      <c r="EU85"/>
      <c r="EV85"/>
      <c r="EW85"/>
      <c r="EX85"/>
      <c r="EY85"/>
      <c r="EZ85"/>
      <c r="FA85"/>
      <c r="FB85"/>
      <c r="FC85"/>
      <c r="FD85"/>
      <c r="FE85"/>
      <c r="FF85"/>
      <c r="FG85"/>
      <c r="FH85" s="558"/>
      <c r="FI85"/>
      <c r="FK85" s="449">
        <v>1.94</v>
      </c>
      <c r="FL85" s="449" t="s">
        <v>411</v>
      </c>
      <c r="FM85" s="449"/>
      <c r="FN85" s="452"/>
      <c r="FO85" s="452"/>
      <c r="FP85" s="452"/>
      <c r="FQ85" s="452"/>
      <c r="FR85" s="452"/>
      <c r="FS85" s="452"/>
      <c r="FT85" s="452">
        <v>1</v>
      </c>
      <c r="FU85" s="452"/>
      <c r="FV85" s="452"/>
      <c r="FW85" s="452"/>
      <c r="FX85" s="452"/>
      <c r="FY85" s="452"/>
      <c r="FZ85" s="453"/>
      <c r="GA85"/>
      <c r="GB85"/>
      <c r="GC85"/>
      <c r="GD85"/>
    </row>
    <row r="86" spans="1:186" x14ac:dyDescent="0.15">
      <c r="A86" s="30" t="s">
        <v>144</v>
      </c>
      <c r="AG86" s="455">
        <v>0.83199999999999996</v>
      </c>
      <c r="AH86" s="556">
        <v>1</v>
      </c>
      <c r="AJ86" s="455">
        <v>0.83199999999999996</v>
      </c>
      <c r="AK86" s="556">
        <v>1</v>
      </c>
      <c r="AL86"/>
      <c r="AM86"/>
      <c r="AN86"/>
      <c r="AO86" s="455">
        <v>0.83199999999999996</v>
      </c>
      <c r="AP86" s="455">
        <v>1</v>
      </c>
      <c r="AQ86"/>
      <c r="AR86"/>
      <c r="AS86"/>
      <c r="AT86"/>
      <c r="AU86"/>
      <c r="AV86"/>
      <c r="AW86"/>
      <c r="AX86"/>
      <c r="AY86"/>
      <c r="AZ86"/>
      <c r="BA86"/>
      <c r="BB86"/>
      <c r="BC86" s="558"/>
      <c r="BD86"/>
      <c r="BE86"/>
      <c r="BF86"/>
      <c r="BG86"/>
      <c r="BH86" s="455">
        <v>0.83199999999999996</v>
      </c>
      <c r="BI86" s="455"/>
      <c r="BJ86"/>
      <c r="BK86">
        <v>1</v>
      </c>
      <c r="BL86"/>
      <c r="BM86"/>
      <c r="BN86"/>
      <c r="BO86" s="558"/>
      <c r="BP86" s="455">
        <v>0.83199999999999996</v>
      </c>
      <c r="BQ86" s="455">
        <v>1</v>
      </c>
      <c r="BR86"/>
      <c r="BS86"/>
      <c r="BT86"/>
      <c r="BU86" s="558"/>
      <c r="BV86"/>
      <c r="BW86"/>
      <c r="BZ86" s="455">
        <v>0.83199999999999996</v>
      </c>
      <c r="CA86" s="556">
        <v>1</v>
      </c>
      <c r="CB86"/>
      <c r="CC86"/>
      <c r="CD86"/>
      <c r="CF86" s="455">
        <v>0.83199999999999996</v>
      </c>
      <c r="CG86" s="455"/>
      <c r="CH86"/>
      <c r="CI86"/>
      <c r="CJ86">
        <v>1</v>
      </c>
      <c r="CK86"/>
      <c r="CL86"/>
      <c r="CM86"/>
      <c r="CN86"/>
      <c r="CO86"/>
      <c r="CP86"/>
      <c r="CQ86"/>
      <c r="CR86"/>
      <c r="CS86"/>
      <c r="CT86"/>
      <c r="CU86"/>
      <c r="CV86" s="558"/>
      <c r="CW86"/>
      <c r="CX86"/>
      <c r="CY86"/>
      <c r="CZ86"/>
      <c r="DA86"/>
      <c r="DB86"/>
      <c r="DC86"/>
      <c r="DD86"/>
      <c r="DE86"/>
      <c r="DF86"/>
      <c r="DG86" s="455">
        <v>0.83199999999999996</v>
      </c>
      <c r="DH86" s="455">
        <v>1</v>
      </c>
      <c r="DI86"/>
      <c r="DJ86"/>
      <c r="DK86"/>
      <c r="DL86"/>
      <c r="DM86"/>
      <c r="DN86"/>
      <c r="DO86"/>
      <c r="DP86"/>
      <c r="DQ86"/>
      <c r="DR86"/>
      <c r="DS86"/>
      <c r="DT86"/>
      <c r="DU86" s="558"/>
      <c r="DV86"/>
      <c r="DW86"/>
      <c r="DX86"/>
      <c r="DZ86" s="455">
        <v>0.83199999999999996</v>
      </c>
      <c r="EA86" s="455"/>
      <c r="EB86"/>
      <c r="EC86"/>
      <c r="ED86"/>
      <c r="EE86"/>
      <c r="EF86"/>
      <c r="EG86" s="558">
        <v>1</v>
      </c>
      <c r="EH86"/>
      <c r="EJ86" s="455">
        <v>0.83199999999999996</v>
      </c>
      <c r="EK86" s="455"/>
      <c r="EL86"/>
      <c r="EM86"/>
      <c r="EN86"/>
      <c r="EO86"/>
      <c r="EP86"/>
      <c r="EQ86"/>
      <c r="ER86"/>
      <c r="ES86"/>
      <c r="ET86"/>
      <c r="EU86"/>
      <c r="EV86"/>
      <c r="EW86"/>
      <c r="EX86"/>
      <c r="EY86"/>
      <c r="EZ86"/>
      <c r="FA86"/>
      <c r="FB86"/>
      <c r="FC86"/>
      <c r="FD86"/>
      <c r="FE86"/>
      <c r="FF86"/>
      <c r="FG86">
        <v>1</v>
      </c>
      <c r="FH86" s="558"/>
      <c r="FI86"/>
      <c r="FK86" s="449" t="s">
        <v>6788</v>
      </c>
      <c r="FL86" s="457"/>
      <c r="FM86" s="449"/>
      <c r="FN86" s="452"/>
      <c r="FO86" s="452"/>
      <c r="FP86" s="452"/>
      <c r="FQ86" s="452"/>
      <c r="FR86" s="452"/>
      <c r="FS86" s="452"/>
      <c r="FT86" s="452">
        <v>1</v>
      </c>
      <c r="FU86" s="452"/>
      <c r="FV86" s="452"/>
      <c r="FW86" s="452"/>
      <c r="FX86" s="452"/>
      <c r="FY86" s="452"/>
      <c r="FZ86" s="453"/>
      <c r="GA86"/>
      <c r="GB86"/>
      <c r="GC86"/>
      <c r="GD86"/>
    </row>
    <row r="87" spans="1:186" x14ac:dyDescent="0.15">
      <c r="A87" s="30" t="s">
        <v>143</v>
      </c>
      <c r="AG87" s="455">
        <v>4.8230000000000004</v>
      </c>
      <c r="AH87" s="556">
        <v>1</v>
      </c>
      <c r="AJ87" s="455">
        <v>4.8230000000000004</v>
      </c>
      <c r="AK87" s="556">
        <v>1</v>
      </c>
      <c r="AL87"/>
      <c r="AM87"/>
      <c r="AN87"/>
      <c r="AO87" s="455">
        <v>4.8230000000000004</v>
      </c>
      <c r="AP87" s="455"/>
      <c r="AQ87"/>
      <c r="AR87"/>
      <c r="AS87"/>
      <c r="AT87"/>
      <c r="AU87">
        <v>1</v>
      </c>
      <c r="AV87"/>
      <c r="AW87"/>
      <c r="AX87"/>
      <c r="AY87"/>
      <c r="AZ87"/>
      <c r="BA87"/>
      <c r="BB87"/>
      <c r="BC87" s="558"/>
      <c r="BD87"/>
      <c r="BE87"/>
      <c r="BF87"/>
      <c r="BG87"/>
      <c r="BH87" s="455">
        <v>4.8230000000000004</v>
      </c>
      <c r="BI87" s="455"/>
      <c r="BJ87">
        <v>1</v>
      </c>
      <c r="BK87"/>
      <c r="BL87"/>
      <c r="BM87"/>
      <c r="BN87"/>
      <c r="BO87" s="558"/>
      <c r="BP87" s="455">
        <v>4.8230000000000004</v>
      </c>
      <c r="BQ87" s="455"/>
      <c r="BR87">
        <v>1</v>
      </c>
      <c r="BS87"/>
      <c r="BT87"/>
      <c r="BU87" s="558"/>
      <c r="BV87"/>
      <c r="BW87"/>
      <c r="BZ87" s="455">
        <v>4.8230000000000004</v>
      </c>
      <c r="CA87" s="556">
        <v>1</v>
      </c>
      <c r="CB87"/>
      <c r="CC87"/>
      <c r="CD87"/>
      <c r="CF87" s="455">
        <v>4.8230000000000004</v>
      </c>
      <c r="CG87" s="455"/>
      <c r="CH87"/>
      <c r="CI87"/>
      <c r="CJ87"/>
      <c r="CK87"/>
      <c r="CL87"/>
      <c r="CM87"/>
      <c r="CN87"/>
      <c r="CO87"/>
      <c r="CP87"/>
      <c r="CQ87">
        <v>1</v>
      </c>
      <c r="CR87"/>
      <c r="CS87"/>
      <c r="CT87"/>
      <c r="CU87"/>
      <c r="CV87" s="558"/>
      <c r="CW87"/>
      <c r="CX87"/>
      <c r="CY87"/>
      <c r="CZ87"/>
      <c r="DA87"/>
      <c r="DB87"/>
      <c r="DC87"/>
      <c r="DD87"/>
      <c r="DE87"/>
      <c r="DF87"/>
      <c r="DG87" s="455">
        <v>4.8230000000000004</v>
      </c>
      <c r="DH87" s="455">
        <v>1</v>
      </c>
      <c r="DI87"/>
      <c r="DJ87"/>
      <c r="DK87"/>
      <c r="DL87"/>
      <c r="DM87"/>
      <c r="DN87"/>
      <c r="DO87"/>
      <c r="DP87"/>
      <c r="DQ87"/>
      <c r="DR87"/>
      <c r="DS87"/>
      <c r="DT87"/>
      <c r="DU87" s="558"/>
      <c r="DV87"/>
      <c r="DW87"/>
      <c r="DX87"/>
      <c r="DZ87" s="455">
        <v>4.8230000000000004</v>
      </c>
      <c r="EA87" s="455"/>
      <c r="EB87"/>
      <c r="EC87"/>
      <c r="ED87"/>
      <c r="EE87"/>
      <c r="EF87"/>
      <c r="EG87" s="558">
        <v>1</v>
      </c>
      <c r="EH87"/>
      <c r="EJ87" s="455">
        <v>4.8230000000000004</v>
      </c>
      <c r="EK87" s="455"/>
      <c r="EL87"/>
      <c r="EM87"/>
      <c r="EN87"/>
      <c r="EO87"/>
      <c r="EP87"/>
      <c r="EQ87"/>
      <c r="ER87"/>
      <c r="ES87"/>
      <c r="ET87"/>
      <c r="EU87">
        <v>1</v>
      </c>
      <c r="EV87"/>
      <c r="EW87"/>
      <c r="EX87"/>
      <c r="EY87"/>
      <c r="EZ87"/>
      <c r="FA87"/>
      <c r="FB87"/>
      <c r="FC87"/>
      <c r="FD87"/>
      <c r="FE87"/>
      <c r="FF87"/>
      <c r="FG87"/>
      <c r="FH87" s="558"/>
      <c r="FI87"/>
      <c r="FK87" s="449">
        <v>18.082999999999998</v>
      </c>
      <c r="FL87" s="449" t="s">
        <v>405</v>
      </c>
      <c r="FM87" s="449"/>
      <c r="FN87" s="452">
        <v>1</v>
      </c>
      <c r="FO87" s="452"/>
      <c r="FP87" s="452"/>
      <c r="FQ87" s="452"/>
      <c r="FR87" s="452"/>
      <c r="FS87" s="452"/>
      <c r="FT87" s="452"/>
      <c r="FU87" s="452"/>
      <c r="FV87" s="452"/>
      <c r="FW87" s="452"/>
      <c r="FX87" s="452"/>
      <c r="FY87" s="452"/>
      <c r="FZ87" s="453"/>
      <c r="GA87"/>
      <c r="GB87"/>
      <c r="GC87"/>
      <c r="GD87"/>
    </row>
    <row r="88" spans="1:186" x14ac:dyDescent="0.15">
      <c r="A88" s="30" t="s">
        <v>142</v>
      </c>
      <c r="AG88" s="455">
        <v>0.92200000000000004</v>
      </c>
      <c r="AH88" s="556">
        <v>1</v>
      </c>
      <c r="AJ88" s="455">
        <v>0.92200000000000004</v>
      </c>
      <c r="AK88" s="556">
        <v>1</v>
      </c>
      <c r="AL88"/>
      <c r="AM88"/>
      <c r="AN88"/>
      <c r="AO88" s="455">
        <v>0.92200000000000004</v>
      </c>
      <c r="AP88" s="455"/>
      <c r="AQ88"/>
      <c r="AR88">
        <v>1</v>
      </c>
      <c r="AS88"/>
      <c r="AT88"/>
      <c r="AU88"/>
      <c r="AV88"/>
      <c r="AW88"/>
      <c r="AX88"/>
      <c r="AY88"/>
      <c r="AZ88"/>
      <c r="BA88"/>
      <c r="BB88"/>
      <c r="BC88" s="558"/>
      <c r="BD88"/>
      <c r="BE88"/>
      <c r="BF88"/>
      <c r="BG88"/>
      <c r="BH88" s="455">
        <v>0.92200000000000004</v>
      </c>
      <c r="BI88" s="455"/>
      <c r="BJ88"/>
      <c r="BK88"/>
      <c r="BL88">
        <v>1</v>
      </c>
      <c r="BM88"/>
      <c r="BN88"/>
      <c r="BO88" s="558"/>
      <c r="BP88" s="455">
        <v>0.92200000000000004</v>
      </c>
      <c r="BQ88" s="455">
        <v>1</v>
      </c>
      <c r="BR88"/>
      <c r="BS88"/>
      <c r="BT88"/>
      <c r="BU88" s="558"/>
      <c r="BV88"/>
      <c r="BW88"/>
      <c r="BZ88" s="455">
        <v>0.92200000000000004</v>
      </c>
      <c r="CA88" s="556">
        <v>1</v>
      </c>
      <c r="CB88"/>
      <c r="CC88"/>
      <c r="CD88"/>
      <c r="CF88" s="455">
        <v>0.92200000000000004</v>
      </c>
      <c r="CG88" s="455"/>
      <c r="CH88"/>
      <c r="CI88"/>
      <c r="CJ88"/>
      <c r="CK88">
        <v>1</v>
      </c>
      <c r="CL88"/>
      <c r="CM88"/>
      <c r="CN88"/>
      <c r="CO88"/>
      <c r="CP88"/>
      <c r="CQ88"/>
      <c r="CR88"/>
      <c r="CS88"/>
      <c r="CT88"/>
      <c r="CU88"/>
      <c r="CV88" s="558"/>
      <c r="CW88"/>
      <c r="CX88"/>
      <c r="CY88"/>
      <c r="CZ88"/>
      <c r="DA88"/>
      <c r="DB88"/>
      <c r="DC88"/>
      <c r="DD88"/>
      <c r="DE88"/>
      <c r="DF88"/>
      <c r="DG88" s="455">
        <v>0.92200000000000004</v>
      </c>
      <c r="DH88" s="455"/>
      <c r="DI88"/>
      <c r="DJ88">
        <v>1</v>
      </c>
      <c r="DK88"/>
      <c r="DL88"/>
      <c r="DM88"/>
      <c r="DN88"/>
      <c r="DO88"/>
      <c r="DP88"/>
      <c r="DQ88"/>
      <c r="DR88"/>
      <c r="DS88"/>
      <c r="DT88"/>
      <c r="DU88" s="558"/>
      <c r="DV88"/>
      <c r="DW88"/>
      <c r="DX88"/>
      <c r="DZ88" s="455">
        <v>0.92200000000000004</v>
      </c>
      <c r="EA88" s="455"/>
      <c r="EB88"/>
      <c r="EC88"/>
      <c r="ED88"/>
      <c r="EE88"/>
      <c r="EF88">
        <v>1</v>
      </c>
      <c r="EG88" s="558"/>
      <c r="EH88"/>
      <c r="EJ88" s="455">
        <v>0.92200000000000004</v>
      </c>
      <c r="EK88" s="455"/>
      <c r="EL88"/>
      <c r="EM88"/>
      <c r="EN88"/>
      <c r="EO88"/>
      <c r="EP88"/>
      <c r="EQ88"/>
      <c r="ER88"/>
      <c r="ES88"/>
      <c r="ET88"/>
      <c r="EU88"/>
      <c r="EV88"/>
      <c r="EW88"/>
      <c r="EX88"/>
      <c r="EY88"/>
      <c r="EZ88"/>
      <c r="FA88"/>
      <c r="FB88"/>
      <c r="FC88">
        <v>1</v>
      </c>
      <c r="FD88"/>
      <c r="FE88"/>
      <c r="FF88"/>
      <c r="FG88"/>
      <c r="FH88" s="558"/>
      <c r="FI88"/>
      <c r="FK88" s="449" t="s">
        <v>6789</v>
      </c>
      <c r="FL88" s="457"/>
      <c r="FM88" s="449"/>
      <c r="FN88" s="452">
        <v>1</v>
      </c>
      <c r="FO88" s="452"/>
      <c r="FP88" s="452"/>
      <c r="FQ88" s="452"/>
      <c r="FR88" s="452"/>
      <c r="FS88" s="452"/>
      <c r="FT88" s="452"/>
      <c r="FU88" s="452"/>
      <c r="FV88" s="452"/>
      <c r="FW88" s="452"/>
      <c r="FX88" s="452"/>
      <c r="FY88" s="452"/>
      <c r="FZ88" s="453"/>
      <c r="GA88"/>
      <c r="GB88"/>
      <c r="GC88"/>
      <c r="GD88"/>
    </row>
    <row r="89" spans="1:186" x14ac:dyDescent="0.15">
      <c r="A89" s="30" t="s">
        <v>141</v>
      </c>
      <c r="AG89" s="455">
        <v>3.3570000000000002</v>
      </c>
      <c r="AH89" s="556">
        <v>1</v>
      </c>
      <c r="AJ89" s="455">
        <v>3.3570000000000002</v>
      </c>
      <c r="AK89" s="556">
        <v>1</v>
      </c>
      <c r="AL89"/>
      <c r="AM89"/>
      <c r="AN89"/>
      <c r="AO89" s="455">
        <v>3.3570000000000002</v>
      </c>
      <c r="AP89" s="455"/>
      <c r="AQ89">
        <v>1</v>
      </c>
      <c r="AR89"/>
      <c r="AS89"/>
      <c r="AT89"/>
      <c r="AU89"/>
      <c r="AV89"/>
      <c r="AW89"/>
      <c r="AX89"/>
      <c r="AY89"/>
      <c r="AZ89"/>
      <c r="BA89"/>
      <c r="BB89"/>
      <c r="BC89" s="558"/>
      <c r="BD89"/>
      <c r="BE89"/>
      <c r="BF89"/>
      <c r="BG89"/>
      <c r="BH89" s="455">
        <v>3.3570000000000002</v>
      </c>
      <c r="BI89" s="455">
        <v>1</v>
      </c>
      <c r="BJ89"/>
      <c r="BK89"/>
      <c r="BL89"/>
      <c r="BM89"/>
      <c r="BN89"/>
      <c r="BO89" s="558"/>
      <c r="BP89" s="455">
        <v>3.3570000000000002</v>
      </c>
      <c r="BQ89" s="455">
        <v>1</v>
      </c>
      <c r="BR89"/>
      <c r="BS89"/>
      <c r="BT89"/>
      <c r="BU89" s="558"/>
      <c r="BV89"/>
      <c r="BW89"/>
      <c r="BZ89" s="455">
        <v>3.3570000000000002</v>
      </c>
      <c r="CA89" s="556">
        <v>1</v>
      </c>
      <c r="CB89"/>
      <c r="CC89"/>
      <c r="CD89"/>
      <c r="CF89" s="455">
        <v>3.3570000000000002</v>
      </c>
      <c r="CG89" s="455"/>
      <c r="CH89">
        <v>1</v>
      </c>
      <c r="CI89"/>
      <c r="CJ89"/>
      <c r="CK89"/>
      <c r="CL89"/>
      <c r="CM89"/>
      <c r="CN89"/>
      <c r="CO89"/>
      <c r="CP89"/>
      <c r="CQ89"/>
      <c r="CR89"/>
      <c r="CS89"/>
      <c r="CT89"/>
      <c r="CU89"/>
      <c r="CV89" s="558"/>
      <c r="CW89"/>
      <c r="CX89"/>
      <c r="CY89"/>
      <c r="CZ89"/>
      <c r="DA89"/>
      <c r="DB89"/>
      <c r="DC89"/>
      <c r="DD89"/>
      <c r="DE89"/>
      <c r="DF89"/>
      <c r="DG89" s="455">
        <v>3.3570000000000002</v>
      </c>
      <c r="DH89" s="455">
        <v>1</v>
      </c>
      <c r="DI89"/>
      <c r="DJ89"/>
      <c r="DK89"/>
      <c r="DL89"/>
      <c r="DM89"/>
      <c r="DN89"/>
      <c r="DO89"/>
      <c r="DP89"/>
      <c r="DQ89"/>
      <c r="DR89"/>
      <c r="DS89"/>
      <c r="DT89"/>
      <c r="DU89" s="558"/>
      <c r="DV89"/>
      <c r="DW89"/>
      <c r="DX89"/>
      <c r="DZ89" s="455">
        <v>3.3570000000000002</v>
      </c>
      <c r="EA89" s="455"/>
      <c r="EB89"/>
      <c r="EC89"/>
      <c r="ED89"/>
      <c r="EE89">
        <v>1</v>
      </c>
      <c r="EF89"/>
      <c r="EG89" s="558"/>
      <c r="EH89"/>
      <c r="EJ89" s="455">
        <v>3.3570000000000002</v>
      </c>
      <c r="EK89" s="455"/>
      <c r="EL89"/>
      <c r="EM89"/>
      <c r="EN89"/>
      <c r="EO89"/>
      <c r="EP89"/>
      <c r="EQ89"/>
      <c r="ER89"/>
      <c r="ES89"/>
      <c r="ET89"/>
      <c r="EU89"/>
      <c r="EV89"/>
      <c r="EW89"/>
      <c r="EX89"/>
      <c r="EY89"/>
      <c r="EZ89"/>
      <c r="FA89"/>
      <c r="FB89"/>
      <c r="FC89"/>
      <c r="FD89"/>
      <c r="FE89"/>
      <c r="FF89">
        <v>1</v>
      </c>
      <c r="FG89"/>
      <c r="FH89" s="558"/>
      <c r="FI89"/>
      <c r="FK89" s="449">
        <v>6.0579999999999998</v>
      </c>
      <c r="FL89" s="449" t="s">
        <v>410</v>
      </c>
      <c r="FM89" s="449"/>
      <c r="FN89" s="452">
        <v>1</v>
      </c>
      <c r="FO89" s="452"/>
      <c r="FP89" s="452"/>
      <c r="FQ89" s="452"/>
      <c r="FR89" s="452"/>
      <c r="FS89" s="452"/>
      <c r="FT89" s="452"/>
      <c r="FU89" s="452"/>
      <c r="FV89" s="452"/>
      <c r="FW89" s="452"/>
      <c r="FX89" s="452"/>
      <c r="FY89" s="452"/>
      <c r="FZ89" s="453"/>
      <c r="GA89"/>
      <c r="GB89"/>
      <c r="GC89"/>
      <c r="GD89"/>
    </row>
    <row r="90" spans="1:186" x14ac:dyDescent="0.15">
      <c r="A90" s="30" t="s">
        <v>140</v>
      </c>
      <c r="AG90" s="455">
        <v>4.2720000000000002</v>
      </c>
      <c r="AH90" s="556">
        <v>1</v>
      </c>
      <c r="AJ90" s="455">
        <v>4.2720000000000002</v>
      </c>
      <c r="AK90" s="556">
        <v>1</v>
      </c>
      <c r="AL90"/>
      <c r="AM90"/>
      <c r="AN90"/>
      <c r="AO90" s="455">
        <v>4.2720000000000002</v>
      </c>
      <c r="AP90" s="455"/>
      <c r="AQ90"/>
      <c r="AR90">
        <v>1</v>
      </c>
      <c r="AS90"/>
      <c r="AT90"/>
      <c r="AU90"/>
      <c r="AV90"/>
      <c r="AW90"/>
      <c r="AX90"/>
      <c r="AY90"/>
      <c r="AZ90"/>
      <c r="BA90"/>
      <c r="BB90"/>
      <c r="BC90" s="558"/>
      <c r="BD90"/>
      <c r="BE90"/>
      <c r="BF90"/>
      <c r="BG90"/>
      <c r="BH90" s="455">
        <v>4.2720000000000002</v>
      </c>
      <c r="BI90" s="455">
        <v>1</v>
      </c>
      <c r="BJ90"/>
      <c r="BK90"/>
      <c r="BL90"/>
      <c r="BM90"/>
      <c r="BN90"/>
      <c r="BO90" s="558"/>
      <c r="BP90" s="455">
        <v>4.2720000000000002</v>
      </c>
      <c r="BQ90" s="455"/>
      <c r="BR90">
        <v>1</v>
      </c>
      <c r="BS90"/>
      <c r="BT90"/>
      <c r="BU90" s="558"/>
      <c r="BV90"/>
      <c r="BW90"/>
      <c r="BZ90" s="455">
        <v>4.2720000000000002</v>
      </c>
      <c r="CA90" s="556">
        <v>1</v>
      </c>
      <c r="CB90"/>
      <c r="CC90"/>
      <c r="CD90"/>
      <c r="CF90" s="455">
        <v>4.2720000000000002</v>
      </c>
      <c r="CG90" s="455"/>
      <c r="CH90"/>
      <c r="CI90"/>
      <c r="CJ90"/>
      <c r="CK90">
        <v>1</v>
      </c>
      <c r="CL90"/>
      <c r="CM90"/>
      <c r="CN90"/>
      <c r="CO90"/>
      <c r="CP90"/>
      <c r="CQ90"/>
      <c r="CR90"/>
      <c r="CS90"/>
      <c r="CT90"/>
      <c r="CU90"/>
      <c r="CV90" s="558"/>
      <c r="CW90"/>
      <c r="CX90"/>
      <c r="CY90"/>
      <c r="CZ90"/>
      <c r="DA90"/>
      <c r="DB90"/>
      <c r="DC90"/>
      <c r="DD90"/>
      <c r="DE90"/>
      <c r="DF90"/>
      <c r="DG90" s="455">
        <v>4.2720000000000002</v>
      </c>
      <c r="DH90" s="455">
        <v>1</v>
      </c>
      <c r="DI90"/>
      <c r="DJ90"/>
      <c r="DK90"/>
      <c r="DL90"/>
      <c r="DM90"/>
      <c r="DN90"/>
      <c r="DO90"/>
      <c r="DP90"/>
      <c r="DQ90"/>
      <c r="DR90"/>
      <c r="DS90"/>
      <c r="DT90"/>
      <c r="DU90" s="558"/>
      <c r="DV90"/>
      <c r="DW90"/>
      <c r="DX90"/>
      <c r="DZ90" s="455">
        <v>4.2720000000000002</v>
      </c>
      <c r="EA90" s="455">
        <v>1</v>
      </c>
      <c r="EB90"/>
      <c r="EC90"/>
      <c r="ED90"/>
      <c r="EE90"/>
      <c r="EF90"/>
      <c r="EG90" s="558"/>
      <c r="EH90"/>
      <c r="EJ90" s="455">
        <v>4.2720000000000002</v>
      </c>
      <c r="EK90" s="455"/>
      <c r="EL90"/>
      <c r="EM90"/>
      <c r="EN90"/>
      <c r="EO90"/>
      <c r="EP90"/>
      <c r="EQ90"/>
      <c r="ER90"/>
      <c r="ES90"/>
      <c r="ET90"/>
      <c r="EU90"/>
      <c r="EV90"/>
      <c r="EW90"/>
      <c r="EX90">
        <v>1</v>
      </c>
      <c r="EY90"/>
      <c r="EZ90"/>
      <c r="FA90"/>
      <c r="FB90"/>
      <c r="FC90"/>
      <c r="FD90"/>
      <c r="FE90"/>
      <c r="FF90"/>
      <c r="FG90"/>
      <c r="FH90" s="558"/>
      <c r="FI90"/>
      <c r="FK90" s="449" t="s">
        <v>6790</v>
      </c>
      <c r="FL90" s="457"/>
      <c r="FM90" s="449"/>
      <c r="FN90" s="452">
        <v>1</v>
      </c>
      <c r="FO90" s="452"/>
      <c r="FP90" s="452"/>
      <c r="FQ90" s="452"/>
      <c r="FR90" s="452"/>
      <c r="FS90" s="452"/>
      <c r="FT90" s="452"/>
      <c r="FU90" s="452"/>
      <c r="FV90" s="452"/>
      <c r="FW90" s="452"/>
      <c r="FX90" s="452"/>
      <c r="FY90" s="452"/>
      <c r="FZ90" s="453"/>
      <c r="GA90"/>
      <c r="GB90"/>
      <c r="GC90"/>
      <c r="GD90"/>
    </row>
    <row r="91" spans="1:186" x14ac:dyDescent="0.15">
      <c r="A91" s="30" t="s">
        <v>139</v>
      </c>
      <c r="AG91" s="455">
        <v>22.010999999999999</v>
      </c>
      <c r="AH91" s="556">
        <v>1</v>
      </c>
      <c r="AJ91" s="455">
        <v>22.010999999999999</v>
      </c>
      <c r="AK91" s="556">
        <v>1</v>
      </c>
      <c r="AL91"/>
      <c r="AM91"/>
      <c r="AN91"/>
      <c r="AO91" s="455">
        <v>22.010999999999999</v>
      </c>
      <c r="AP91" s="455"/>
      <c r="AQ91"/>
      <c r="AR91">
        <v>1</v>
      </c>
      <c r="AS91"/>
      <c r="AT91"/>
      <c r="AU91"/>
      <c r="AV91"/>
      <c r="AW91"/>
      <c r="AX91"/>
      <c r="AY91"/>
      <c r="AZ91"/>
      <c r="BA91"/>
      <c r="BB91"/>
      <c r="BC91" s="558"/>
      <c r="BD91"/>
      <c r="BE91"/>
      <c r="BF91"/>
      <c r="BG91"/>
      <c r="BH91" s="455">
        <v>22.010999999999999</v>
      </c>
      <c r="BI91" s="455">
        <v>1</v>
      </c>
      <c r="BJ91"/>
      <c r="BK91"/>
      <c r="BL91"/>
      <c r="BM91"/>
      <c r="BN91"/>
      <c r="BO91" s="558"/>
      <c r="BP91" s="455">
        <v>22.010999999999999</v>
      </c>
      <c r="BQ91" s="455"/>
      <c r="BR91">
        <v>1</v>
      </c>
      <c r="BS91"/>
      <c r="BT91"/>
      <c r="BU91" s="558"/>
      <c r="BV91"/>
      <c r="BW91"/>
      <c r="BZ91" s="455">
        <v>22.010999999999999</v>
      </c>
      <c r="CA91" s="556">
        <v>1</v>
      </c>
      <c r="CB91"/>
      <c r="CC91"/>
      <c r="CD91"/>
      <c r="CF91" s="455">
        <v>22.010999999999999</v>
      </c>
      <c r="CG91" s="455"/>
      <c r="CH91">
        <v>1</v>
      </c>
      <c r="CI91"/>
      <c r="CJ91"/>
      <c r="CK91"/>
      <c r="CL91"/>
      <c r="CM91"/>
      <c r="CN91"/>
      <c r="CO91"/>
      <c r="CP91"/>
      <c r="CQ91"/>
      <c r="CR91"/>
      <c r="CS91"/>
      <c r="CT91"/>
      <c r="CU91"/>
      <c r="CV91" s="558"/>
      <c r="CW91"/>
      <c r="CX91"/>
      <c r="CY91"/>
      <c r="CZ91"/>
      <c r="DA91"/>
      <c r="DB91"/>
      <c r="DC91"/>
      <c r="DD91"/>
      <c r="DE91"/>
      <c r="DF91"/>
      <c r="DG91" s="455">
        <v>22.010999999999999</v>
      </c>
      <c r="DH91" s="455">
        <v>1</v>
      </c>
      <c r="DI91"/>
      <c r="DJ91"/>
      <c r="DK91"/>
      <c r="DL91"/>
      <c r="DM91"/>
      <c r="DN91"/>
      <c r="DO91"/>
      <c r="DP91"/>
      <c r="DQ91"/>
      <c r="DR91"/>
      <c r="DS91"/>
      <c r="DT91"/>
      <c r="DU91" s="558"/>
      <c r="DV91"/>
      <c r="DW91"/>
      <c r="DX91"/>
      <c r="DZ91" s="455">
        <v>22.010999999999999</v>
      </c>
      <c r="EA91" s="455"/>
      <c r="EB91">
        <v>1</v>
      </c>
      <c r="EC91"/>
      <c r="ED91"/>
      <c r="EE91"/>
      <c r="EF91"/>
      <c r="EG91" s="558"/>
      <c r="EH91"/>
      <c r="EJ91" s="455">
        <v>22.010999999999999</v>
      </c>
      <c r="EK91" s="455"/>
      <c r="EL91"/>
      <c r="EM91"/>
      <c r="EN91"/>
      <c r="EO91"/>
      <c r="EP91"/>
      <c r="EQ91"/>
      <c r="ER91"/>
      <c r="ES91"/>
      <c r="ET91">
        <v>1</v>
      </c>
      <c r="EU91"/>
      <c r="EV91"/>
      <c r="EW91"/>
      <c r="EX91"/>
      <c r="EY91"/>
      <c r="EZ91"/>
      <c r="FA91"/>
      <c r="FB91"/>
      <c r="FC91"/>
      <c r="FD91"/>
      <c r="FE91"/>
      <c r="FF91"/>
      <c r="FG91"/>
      <c r="FH91" s="558"/>
      <c r="FI91"/>
      <c r="FK91" s="449">
        <v>4.2110000000000003</v>
      </c>
      <c r="FL91" s="449" t="s">
        <v>411</v>
      </c>
      <c r="FM91" s="449">
        <v>1</v>
      </c>
      <c r="FN91" s="452"/>
      <c r="FO91" s="452"/>
      <c r="FP91" s="452"/>
      <c r="FQ91" s="452"/>
      <c r="FR91" s="452"/>
      <c r="FS91" s="452"/>
      <c r="FT91" s="452"/>
      <c r="FU91" s="452"/>
      <c r="FV91" s="452"/>
      <c r="FW91" s="452"/>
      <c r="FX91" s="452"/>
      <c r="FY91" s="452"/>
      <c r="FZ91" s="453"/>
      <c r="GA91"/>
      <c r="GB91"/>
      <c r="GC91"/>
      <c r="GD91"/>
    </row>
    <row r="92" spans="1:186" x14ac:dyDescent="0.15">
      <c r="A92" s="30" t="s">
        <v>138</v>
      </c>
      <c r="AG92" s="455">
        <v>12.353999999999999</v>
      </c>
      <c r="AH92" s="556">
        <v>1</v>
      </c>
      <c r="AJ92" s="455">
        <v>12.353999999999999</v>
      </c>
      <c r="AK92" s="556">
        <v>1</v>
      </c>
      <c r="AL92"/>
      <c r="AM92"/>
      <c r="AN92"/>
      <c r="AO92" s="455">
        <v>12.353999999999999</v>
      </c>
      <c r="AP92" s="455"/>
      <c r="AQ92">
        <v>1</v>
      </c>
      <c r="AR92"/>
      <c r="AS92"/>
      <c r="AT92"/>
      <c r="AU92"/>
      <c r="AV92"/>
      <c r="AW92"/>
      <c r="AX92"/>
      <c r="AY92"/>
      <c r="AZ92"/>
      <c r="BA92"/>
      <c r="BB92"/>
      <c r="BC92" s="558"/>
      <c r="BD92"/>
      <c r="BE92"/>
      <c r="BF92"/>
      <c r="BG92"/>
      <c r="BH92" s="455">
        <v>12.353999999999999</v>
      </c>
      <c r="BI92" s="455"/>
      <c r="BJ92">
        <v>1</v>
      </c>
      <c r="BK92"/>
      <c r="BL92"/>
      <c r="BM92"/>
      <c r="BN92"/>
      <c r="BO92" s="558"/>
      <c r="BP92" s="455">
        <v>12.353999999999999</v>
      </c>
      <c r="BQ92" s="455">
        <v>1</v>
      </c>
      <c r="BR92"/>
      <c r="BS92"/>
      <c r="BT92"/>
      <c r="BU92" s="558"/>
      <c r="BV92"/>
      <c r="BW92"/>
      <c r="BZ92" s="455">
        <v>12.353999999999999</v>
      </c>
      <c r="CA92" s="556">
        <v>1</v>
      </c>
      <c r="CB92"/>
      <c r="CC92"/>
      <c r="CD92"/>
      <c r="CF92" s="455">
        <v>12.353999999999999</v>
      </c>
      <c r="CG92" s="455">
        <v>1</v>
      </c>
      <c r="CH92"/>
      <c r="CI92"/>
      <c r="CJ92"/>
      <c r="CK92"/>
      <c r="CL92"/>
      <c r="CM92"/>
      <c r="CN92"/>
      <c r="CO92"/>
      <c r="CP92"/>
      <c r="CQ92"/>
      <c r="CR92"/>
      <c r="CS92"/>
      <c r="CT92"/>
      <c r="CU92"/>
      <c r="CV92" s="558"/>
      <c r="CW92"/>
      <c r="CX92"/>
      <c r="CY92"/>
      <c r="CZ92"/>
      <c r="DA92"/>
      <c r="DB92"/>
      <c r="DC92"/>
      <c r="DD92"/>
      <c r="DE92"/>
      <c r="DF92"/>
      <c r="DG92" s="455">
        <v>12.353999999999999</v>
      </c>
      <c r="DH92" s="455"/>
      <c r="DI92">
        <v>1</v>
      </c>
      <c r="DJ92"/>
      <c r="DK92"/>
      <c r="DL92"/>
      <c r="DM92"/>
      <c r="DN92"/>
      <c r="DO92"/>
      <c r="DP92"/>
      <c r="DQ92"/>
      <c r="DR92"/>
      <c r="DS92"/>
      <c r="DT92"/>
      <c r="DU92" s="558"/>
      <c r="DV92"/>
      <c r="DW92"/>
      <c r="DX92"/>
      <c r="DZ92" s="455">
        <v>12.353999999999999</v>
      </c>
      <c r="EA92" s="455"/>
      <c r="EB92"/>
      <c r="EC92">
        <v>1</v>
      </c>
      <c r="ED92"/>
      <c r="EE92"/>
      <c r="EF92"/>
      <c r="EG92" s="558"/>
      <c r="EH92"/>
      <c r="EJ92" s="455">
        <v>12.353999999999999</v>
      </c>
      <c r="EK92" s="455"/>
      <c r="EL92"/>
      <c r="EM92"/>
      <c r="EN92"/>
      <c r="EO92"/>
      <c r="EP92"/>
      <c r="EQ92"/>
      <c r="ER92"/>
      <c r="ES92"/>
      <c r="ET92"/>
      <c r="EU92"/>
      <c r="EV92"/>
      <c r="EW92"/>
      <c r="EX92"/>
      <c r="EY92"/>
      <c r="EZ92"/>
      <c r="FA92"/>
      <c r="FB92"/>
      <c r="FC92"/>
      <c r="FD92">
        <v>1</v>
      </c>
      <c r="FE92"/>
      <c r="FF92"/>
      <c r="FG92"/>
      <c r="FH92" s="558"/>
      <c r="FI92"/>
      <c r="FK92" s="449" t="s">
        <v>6791</v>
      </c>
      <c r="FL92" s="457"/>
      <c r="FM92" s="449">
        <v>1</v>
      </c>
      <c r="FN92" s="452"/>
      <c r="FO92" s="452"/>
      <c r="FP92" s="452"/>
      <c r="FQ92" s="452"/>
      <c r="FR92" s="452"/>
      <c r="FS92" s="452"/>
      <c r="FT92" s="452"/>
      <c r="FU92" s="452"/>
      <c r="FV92" s="452"/>
      <c r="FW92" s="452"/>
      <c r="FX92" s="452"/>
      <c r="FY92" s="452"/>
      <c r="FZ92" s="453"/>
      <c r="GA92"/>
      <c r="GB92"/>
      <c r="GC92"/>
      <c r="GD92"/>
    </row>
    <row r="93" spans="1:186" x14ac:dyDescent="0.15">
      <c r="A93" s="30" t="s">
        <v>137</v>
      </c>
      <c r="AG93" s="455">
        <v>3.1059999999999999</v>
      </c>
      <c r="AH93" s="556">
        <v>1</v>
      </c>
      <c r="AJ93" s="455">
        <v>3.1059999999999999</v>
      </c>
      <c r="AK93" s="556">
        <v>1</v>
      </c>
      <c r="AL93"/>
      <c r="AM93"/>
      <c r="AN93"/>
      <c r="AO93" s="455">
        <v>3.1059999999999999</v>
      </c>
      <c r="AP93" s="455"/>
      <c r="AQ93">
        <v>1</v>
      </c>
      <c r="AR93"/>
      <c r="AS93"/>
      <c r="AT93"/>
      <c r="AU93"/>
      <c r="AV93"/>
      <c r="AW93"/>
      <c r="AX93"/>
      <c r="AY93"/>
      <c r="AZ93"/>
      <c r="BA93"/>
      <c r="BB93"/>
      <c r="BC93" s="558"/>
      <c r="BD93"/>
      <c r="BE93"/>
      <c r="BF93"/>
      <c r="BG93"/>
      <c r="BH93" s="455">
        <v>3.1059999999999999</v>
      </c>
      <c r="BI93" s="455">
        <v>1</v>
      </c>
      <c r="BJ93"/>
      <c r="BK93"/>
      <c r="BL93"/>
      <c r="BM93"/>
      <c r="BN93"/>
      <c r="BO93" s="558"/>
      <c r="BP93" s="455">
        <v>3.1059999999999999</v>
      </c>
      <c r="BQ93" s="455"/>
      <c r="BR93">
        <v>1</v>
      </c>
      <c r="BS93"/>
      <c r="BT93"/>
      <c r="BU93" s="558"/>
      <c r="BV93"/>
      <c r="BW93"/>
      <c r="BZ93" s="455">
        <v>3.1059999999999999</v>
      </c>
      <c r="CA93" s="556">
        <v>1</v>
      </c>
      <c r="CB93"/>
      <c r="CC93"/>
      <c r="CD93"/>
      <c r="CF93" s="455">
        <v>3.1059999999999999</v>
      </c>
      <c r="CG93" s="455"/>
      <c r="CH93"/>
      <c r="CI93"/>
      <c r="CJ93"/>
      <c r="CK93">
        <v>1</v>
      </c>
      <c r="CL93"/>
      <c r="CM93"/>
      <c r="CN93"/>
      <c r="CO93"/>
      <c r="CP93"/>
      <c r="CQ93"/>
      <c r="CR93"/>
      <c r="CS93"/>
      <c r="CT93"/>
      <c r="CU93"/>
      <c r="CV93" s="558"/>
      <c r="CW93"/>
      <c r="CX93"/>
      <c r="CY93"/>
      <c r="CZ93"/>
      <c r="DA93"/>
      <c r="DB93"/>
      <c r="DC93"/>
      <c r="DD93"/>
      <c r="DE93"/>
      <c r="DF93"/>
      <c r="DG93" s="455">
        <v>3.1059999999999999</v>
      </c>
      <c r="DH93" s="455"/>
      <c r="DI93"/>
      <c r="DJ93">
        <v>1</v>
      </c>
      <c r="DK93"/>
      <c r="DL93"/>
      <c r="DM93"/>
      <c r="DN93"/>
      <c r="DO93"/>
      <c r="DP93"/>
      <c r="DQ93"/>
      <c r="DR93"/>
      <c r="DS93"/>
      <c r="DT93"/>
      <c r="DU93" s="558"/>
      <c r="DV93"/>
      <c r="DW93"/>
      <c r="DX93"/>
      <c r="DZ93" s="455">
        <v>3.1059999999999999</v>
      </c>
      <c r="EA93" s="455"/>
      <c r="EB93"/>
      <c r="EC93"/>
      <c r="ED93"/>
      <c r="EE93"/>
      <c r="EF93">
        <v>1</v>
      </c>
      <c r="EG93" s="558"/>
      <c r="EH93"/>
      <c r="EJ93" s="455">
        <v>3.1059999999999999</v>
      </c>
      <c r="EK93" s="455"/>
      <c r="EL93"/>
      <c r="EM93"/>
      <c r="EN93"/>
      <c r="EO93"/>
      <c r="EP93"/>
      <c r="EQ93"/>
      <c r="ER93"/>
      <c r="ES93"/>
      <c r="ET93"/>
      <c r="EU93"/>
      <c r="EV93"/>
      <c r="EW93">
        <v>1</v>
      </c>
      <c r="EX93"/>
      <c r="EY93"/>
      <c r="EZ93"/>
      <c r="FA93"/>
      <c r="FB93"/>
      <c r="FC93"/>
      <c r="FD93"/>
      <c r="FE93"/>
      <c r="FF93"/>
      <c r="FG93"/>
      <c r="FH93" s="558"/>
      <c r="FI93"/>
      <c r="FK93" s="449">
        <v>23.103999999999999</v>
      </c>
      <c r="FL93" s="449" t="s">
        <v>401</v>
      </c>
      <c r="FM93" s="449"/>
      <c r="FN93" s="452"/>
      <c r="FO93" s="452"/>
      <c r="FP93" s="452">
        <v>1</v>
      </c>
      <c r="FQ93" s="452"/>
      <c r="FR93" s="452"/>
      <c r="FS93" s="452"/>
      <c r="FT93" s="452"/>
      <c r="FU93" s="452"/>
      <c r="FV93" s="452"/>
      <c r="FW93" s="452"/>
      <c r="FX93" s="452"/>
      <c r="FY93" s="452"/>
      <c r="FZ93" s="453"/>
      <c r="GA93"/>
      <c r="GB93"/>
      <c r="GC93"/>
      <c r="GD93"/>
    </row>
    <row r="94" spans="1:186" x14ac:dyDescent="0.15">
      <c r="AG94" s="455">
        <v>3.347</v>
      </c>
      <c r="AH94" s="556">
        <v>1</v>
      </c>
      <c r="AJ94" s="455">
        <v>3.347</v>
      </c>
      <c r="AK94" s="556">
        <v>1</v>
      </c>
      <c r="AL94"/>
      <c r="AM94"/>
      <c r="AN94"/>
      <c r="AO94" s="455">
        <v>3.347</v>
      </c>
      <c r="AP94" s="455"/>
      <c r="AQ94"/>
      <c r="AR94"/>
      <c r="AS94"/>
      <c r="AT94">
        <v>1</v>
      </c>
      <c r="AU94"/>
      <c r="AV94"/>
      <c r="AW94"/>
      <c r="AX94"/>
      <c r="AY94"/>
      <c r="AZ94"/>
      <c r="BA94"/>
      <c r="BB94"/>
      <c r="BC94" s="558"/>
      <c r="BD94"/>
      <c r="BE94"/>
      <c r="BF94"/>
      <c r="BG94"/>
      <c r="BH94" s="455">
        <v>3.347</v>
      </c>
      <c r="BI94" s="455">
        <v>1</v>
      </c>
      <c r="BJ94"/>
      <c r="BK94"/>
      <c r="BL94"/>
      <c r="BM94"/>
      <c r="BN94"/>
      <c r="BO94" s="558"/>
      <c r="BP94" s="455">
        <v>3.347</v>
      </c>
      <c r="BQ94" s="455">
        <v>1</v>
      </c>
      <c r="BR94"/>
      <c r="BS94"/>
      <c r="BT94"/>
      <c r="BU94" s="558"/>
      <c r="BV94"/>
      <c r="BW94"/>
      <c r="BZ94" s="455">
        <v>3.347</v>
      </c>
      <c r="CA94" s="556">
        <v>1</v>
      </c>
      <c r="CB94"/>
      <c r="CC94"/>
      <c r="CD94"/>
      <c r="CF94" s="455">
        <v>3.347</v>
      </c>
      <c r="CG94" s="455"/>
      <c r="CH94"/>
      <c r="CI94"/>
      <c r="CJ94"/>
      <c r="CK94"/>
      <c r="CL94"/>
      <c r="CM94"/>
      <c r="CN94"/>
      <c r="CO94">
        <v>1</v>
      </c>
      <c r="CP94"/>
      <c r="CQ94"/>
      <c r="CR94"/>
      <c r="CS94"/>
      <c r="CT94"/>
      <c r="CU94"/>
      <c r="CV94" s="558"/>
      <c r="CW94"/>
      <c r="CX94"/>
      <c r="CY94"/>
      <c r="CZ94"/>
      <c r="DA94"/>
      <c r="DB94"/>
      <c r="DC94"/>
      <c r="DD94"/>
      <c r="DE94"/>
      <c r="DF94"/>
      <c r="DG94" s="455">
        <v>3.347</v>
      </c>
      <c r="DH94" s="455">
        <v>1</v>
      </c>
      <c r="DI94"/>
      <c r="DJ94"/>
      <c r="DK94"/>
      <c r="DL94"/>
      <c r="DM94"/>
      <c r="DN94"/>
      <c r="DO94"/>
      <c r="DP94"/>
      <c r="DQ94"/>
      <c r="DR94"/>
      <c r="DS94"/>
      <c r="DT94"/>
      <c r="DU94" s="558"/>
      <c r="DV94"/>
      <c r="DW94"/>
      <c r="DX94"/>
      <c r="DZ94" s="455">
        <v>3.347</v>
      </c>
      <c r="EA94" s="455"/>
      <c r="EB94">
        <v>1</v>
      </c>
      <c r="EC94"/>
      <c r="ED94"/>
      <c r="EE94"/>
      <c r="EF94"/>
      <c r="EG94" s="558"/>
      <c r="EH94"/>
      <c r="EJ94" s="455">
        <v>3.347</v>
      </c>
      <c r="EK94" s="455"/>
      <c r="EL94"/>
      <c r="EM94"/>
      <c r="EN94"/>
      <c r="EO94"/>
      <c r="EP94"/>
      <c r="EQ94"/>
      <c r="ER94"/>
      <c r="ES94"/>
      <c r="ET94"/>
      <c r="EU94"/>
      <c r="EV94"/>
      <c r="EW94"/>
      <c r="EX94"/>
      <c r="EY94"/>
      <c r="EZ94"/>
      <c r="FA94"/>
      <c r="FB94"/>
      <c r="FC94"/>
      <c r="FD94"/>
      <c r="FE94">
        <v>1</v>
      </c>
      <c r="FF94"/>
      <c r="FG94"/>
      <c r="FH94" s="558"/>
      <c r="FI94"/>
      <c r="FK94" s="449" t="s">
        <v>6792</v>
      </c>
      <c r="FL94" s="457"/>
      <c r="FM94" s="449"/>
      <c r="FN94" s="452"/>
      <c r="FO94" s="452"/>
      <c r="FP94" s="452">
        <v>1</v>
      </c>
      <c r="FQ94" s="452"/>
      <c r="FR94" s="452"/>
      <c r="FS94" s="452"/>
      <c r="FT94" s="452"/>
      <c r="FU94" s="452"/>
      <c r="FV94" s="452"/>
      <c r="FW94" s="452"/>
      <c r="FX94" s="452"/>
      <c r="FY94" s="452"/>
      <c r="FZ94" s="453"/>
      <c r="GA94"/>
      <c r="GB94"/>
      <c r="GC94"/>
      <c r="GD94"/>
    </row>
    <row r="95" spans="1:186" x14ac:dyDescent="0.15">
      <c r="AG95" s="455">
        <v>1.2</v>
      </c>
      <c r="AH95" s="556">
        <v>1</v>
      </c>
      <c r="AJ95" s="455">
        <v>1.2</v>
      </c>
      <c r="AK95" s="556">
        <v>1</v>
      </c>
      <c r="AL95"/>
      <c r="AM95"/>
      <c r="AN95"/>
      <c r="AO95" s="455">
        <v>1.2</v>
      </c>
      <c r="AP95" s="455"/>
      <c r="AQ95">
        <v>1</v>
      </c>
      <c r="AR95"/>
      <c r="AS95"/>
      <c r="AT95"/>
      <c r="AU95"/>
      <c r="AV95"/>
      <c r="AW95"/>
      <c r="AX95"/>
      <c r="AY95"/>
      <c r="AZ95"/>
      <c r="BA95"/>
      <c r="BB95"/>
      <c r="BC95" s="558"/>
      <c r="BD95"/>
      <c r="BE95"/>
      <c r="BF95"/>
      <c r="BG95"/>
      <c r="BH95" s="455">
        <v>1.2</v>
      </c>
      <c r="BI95" s="455">
        <v>1</v>
      </c>
      <c r="BJ95"/>
      <c r="BK95"/>
      <c r="BL95"/>
      <c r="BM95"/>
      <c r="BN95"/>
      <c r="BO95" s="558"/>
      <c r="BP95" s="455">
        <v>1.2</v>
      </c>
      <c r="BQ95" s="455"/>
      <c r="BR95"/>
      <c r="BS95">
        <v>1</v>
      </c>
      <c r="BT95"/>
      <c r="BU95" s="558"/>
      <c r="BV95"/>
      <c r="BW95"/>
      <c r="BZ95" s="455">
        <v>1.2</v>
      </c>
      <c r="CA95" s="556">
        <v>1</v>
      </c>
      <c r="CB95"/>
      <c r="CC95"/>
      <c r="CD95"/>
      <c r="CF95" s="455">
        <v>1.2</v>
      </c>
      <c r="CG95" s="455"/>
      <c r="CH95">
        <v>1</v>
      </c>
      <c r="CI95"/>
      <c r="CJ95"/>
      <c r="CK95"/>
      <c r="CL95"/>
      <c r="CM95"/>
      <c r="CN95"/>
      <c r="CO95"/>
      <c r="CP95"/>
      <c r="CQ95"/>
      <c r="CR95"/>
      <c r="CS95"/>
      <c r="CT95"/>
      <c r="CU95"/>
      <c r="CV95" s="558"/>
      <c r="CW95"/>
      <c r="CX95"/>
      <c r="CY95"/>
      <c r="CZ95"/>
      <c r="DA95"/>
      <c r="DB95"/>
      <c r="DC95"/>
      <c r="DD95"/>
      <c r="DE95"/>
      <c r="DF95"/>
      <c r="DG95" s="455">
        <v>1.2</v>
      </c>
      <c r="DH95" s="455"/>
      <c r="DI95">
        <v>1</v>
      </c>
      <c r="DJ95"/>
      <c r="DK95"/>
      <c r="DL95"/>
      <c r="DM95"/>
      <c r="DN95"/>
      <c r="DO95"/>
      <c r="DP95"/>
      <c r="DQ95"/>
      <c r="DR95"/>
      <c r="DS95"/>
      <c r="DT95"/>
      <c r="DU95" s="558"/>
      <c r="DV95"/>
      <c r="DW95"/>
      <c r="DX95"/>
      <c r="DZ95" s="455">
        <v>1.2</v>
      </c>
      <c r="EA95" s="455"/>
      <c r="EB95">
        <v>1</v>
      </c>
      <c r="EC95"/>
      <c r="ED95"/>
      <c r="EE95"/>
      <c r="EF95"/>
      <c r="EG95" s="558"/>
      <c r="EH95"/>
      <c r="EJ95" s="455">
        <v>1.2</v>
      </c>
      <c r="EK95" s="455"/>
      <c r="EL95"/>
      <c r="EM95"/>
      <c r="EN95"/>
      <c r="EO95"/>
      <c r="EP95"/>
      <c r="EQ95"/>
      <c r="ER95"/>
      <c r="ES95"/>
      <c r="ET95"/>
      <c r="EU95"/>
      <c r="EV95"/>
      <c r="EW95"/>
      <c r="EX95"/>
      <c r="EY95"/>
      <c r="EZ95"/>
      <c r="FA95"/>
      <c r="FB95"/>
      <c r="FC95"/>
      <c r="FD95"/>
      <c r="FE95">
        <v>1</v>
      </c>
      <c r="FF95"/>
      <c r="FG95"/>
      <c r="FH95" s="558"/>
      <c r="FI95"/>
      <c r="FK95" s="449">
        <v>6.1440000000000001</v>
      </c>
      <c r="FL95" s="449" t="s">
        <v>405</v>
      </c>
      <c r="FM95" s="449"/>
      <c r="FN95" s="452"/>
      <c r="FO95" s="452"/>
      <c r="FP95" s="452">
        <v>1</v>
      </c>
      <c r="FQ95" s="452"/>
      <c r="FR95" s="452"/>
      <c r="FS95" s="452"/>
      <c r="FT95" s="452"/>
      <c r="FU95" s="452"/>
      <c r="FV95" s="452"/>
      <c r="FW95" s="452"/>
      <c r="FX95" s="452"/>
      <c r="FY95" s="452"/>
      <c r="FZ95" s="453"/>
      <c r="GA95"/>
      <c r="GB95"/>
      <c r="GC95"/>
      <c r="GD95"/>
    </row>
    <row r="96" spans="1:186" x14ac:dyDescent="0.15">
      <c r="AG96" s="455">
        <v>9.9700000000000006</v>
      </c>
      <c r="AH96" s="556">
        <v>1</v>
      </c>
      <c r="AJ96" s="455">
        <v>9.9700000000000006</v>
      </c>
      <c r="AK96" s="556">
        <v>1</v>
      </c>
      <c r="AL96"/>
      <c r="AM96"/>
      <c r="AN96"/>
      <c r="AO96" s="455">
        <v>9.9700000000000006</v>
      </c>
      <c r="AP96" s="455"/>
      <c r="AQ96">
        <v>1</v>
      </c>
      <c r="AR96"/>
      <c r="AS96"/>
      <c r="AT96"/>
      <c r="AU96"/>
      <c r="AV96"/>
      <c r="AW96"/>
      <c r="AX96"/>
      <c r="AY96"/>
      <c r="AZ96"/>
      <c r="BA96"/>
      <c r="BB96"/>
      <c r="BC96" s="558"/>
      <c r="BD96"/>
      <c r="BE96"/>
      <c r="BF96"/>
      <c r="BG96"/>
      <c r="BH96" s="455">
        <v>9.9700000000000006</v>
      </c>
      <c r="BI96" s="455"/>
      <c r="BJ96">
        <v>1</v>
      </c>
      <c r="BK96"/>
      <c r="BL96"/>
      <c r="BM96"/>
      <c r="BN96"/>
      <c r="BO96" s="558"/>
      <c r="BP96" s="455">
        <v>9.9700000000000006</v>
      </c>
      <c r="BQ96" s="455">
        <v>1</v>
      </c>
      <c r="BR96"/>
      <c r="BS96"/>
      <c r="BT96"/>
      <c r="BU96" s="558"/>
      <c r="BV96"/>
      <c r="BW96"/>
      <c r="BZ96" s="455">
        <v>9.9700000000000006</v>
      </c>
      <c r="CA96" s="556">
        <v>1</v>
      </c>
      <c r="CB96"/>
      <c r="CC96"/>
      <c r="CD96"/>
      <c r="CF96" s="455">
        <v>9.9700000000000006</v>
      </c>
      <c r="CG96" s="455"/>
      <c r="CH96">
        <v>1</v>
      </c>
      <c r="CI96"/>
      <c r="CJ96"/>
      <c r="CK96"/>
      <c r="CL96"/>
      <c r="CM96"/>
      <c r="CN96"/>
      <c r="CO96"/>
      <c r="CP96"/>
      <c r="CQ96"/>
      <c r="CR96"/>
      <c r="CS96"/>
      <c r="CT96"/>
      <c r="CU96"/>
      <c r="CV96" s="558"/>
      <c r="CW96"/>
      <c r="CX96"/>
      <c r="CY96"/>
      <c r="CZ96"/>
      <c r="DA96"/>
      <c r="DB96"/>
      <c r="DC96"/>
      <c r="DD96"/>
      <c r="DE96"/>
      <c r="DF96"/>
      <c r="DG96" s="455">
        <v>9.9700000000000006</v>
      </c>
      <c r="DH96" s="455">
        <v>1</v>
      </c>
      <c r="DI96"/>
      <c r="DJ96"/>
      <c r="DK96"/>
      <c r="DL96"/>
      <c r="DM96"/>
      <c r="DN96"/>
      <c r="DO96"/>
      <c r="DP96"/>
      <c r="DQ96"/>
      <c r="DR96"/>
      <c r="DS96"/>
      <c r="DT96"/>
      <c r="DU96" s="558"/>
      <c r="DV96"/>
      <c r="DW96"/>
      <c r="DX96"/>
      <c r="DZ96" s="455">
        <v>9.9700000000000006</v>
      </c>
      <c r="EA96" s="455"/>
      <c r="EB96"/>
      <c r="EC96"/>
      <c r="ED96">
        <v>1</v>
      </c>
      <c r="EE96"/>
      <c r="EF96"/>
      <c r="EG96" s="558"/>
      <c r="EH96"/>
      <c r="EJ96" s="455">
        <v>9.9700000000000006</v>
      </c>
      <c r="EK96" s="455"/>
      <c r="EL96">
        <v>1</v>
      </c>
      <c r="EM96"/>
      <c r="EN96"/>
      <c r="EO96"/>
      <c r="EP96"/>
      <c r="EQ96"/>
      <c r="ER96"/>
      <c r="ES96"/>
      <c r="ET96"/>
      <c r="EU96"/>
      <c r="EV96"/>
      <c r="EW96"/>
      <c r="EX96"/>
      <c r="EY96"/>
      <c r="EZ96"/>
      <c r="FA96"/>
      <c r="FB96"/>
      <c r="FC96"/>
      <c r="FD96"/>
      <c r="FE96"/>
      <c r="FF96"/>
      <c r="FG96"/>
      <c r="FH96" s="558"/>
      <c r="FI96"/>
      <c r="FK96" s="449" t="s">
        <v>6793</v>
      </c>
      <c r="FL96" s="457"/>
      <c r="FM96" s="449"/>
      <c r="FN96" s="452"/>
      <c r="FO96" s="452"/>
      <c r="FP96" s="452">
        <v>1</v>
      </c>
      <c r="FQ96" s="452"/>
      <c r="FR96" s="452"/>
      <c r="FS96" s="452"/>
      <c r="FT96" s="452"/>
      <c r="FU96" s="452"/>
      <c r="FV96" s="452"/>
      <c r="FW96" s="452"/>
      <c r="FX96" s="452"/>
      <c r="FY96" s="452"/>
      <c r="FZ96" s="453"/>
      <c r="GA96"/>
      <c r="GB96"/>
      <c r="GC96"/>
      <c r="GD96"/>
    </row>
    <row r="97" spans="33:186" x14ac:dyDescent="0.15">
      <c r="AG97" s="455">
        <v>24.6</v>
      </c>
      <c r="AH97" s="556">
        <v>1</v>
      </c>
      <c r="AJ97" s="455">
        <v>24.6</v>
      </c>
      <c r="AK97" s="556">
        <v>1</v>
      </c>
      <c r="AL97"/>
      <c r="AM97"/>
      <c r="AN97"/>
      <c r="AO97" s="455">
        <v>24.6</v>
      </c>
      <c r="AP97" s="455">
        <v>1</v>
      </c>
      <c r="AQ97"/>
      <c r="AR97"/>
      <c r="AS97"/>
      <c r="AT97"/>
      <c r="AU97"/>
      <c r="AV97"/>
      <c r="AW97"/>
      <c r="AX97"/>
      <c r="AY97"/>
      <c r="AZ97"/>
      <c r="BA97"/>
      <c r="BB97"/>
      <c r="BC97" s="558"/>
      <c r="BD97"/>
      <c r="BE97"/>
      <c r="BF97"/>
      <c r="BG97"/>
      <c r="BH97" s="455">
        <v>24.6</v>
      </c>
      <c r="BI97" s="455">
        <v>1</v>
      </c>
      <c r="BJ97"/>
      <c r="BK97"/>
      <c r="BL97"/>
      <c r="BM97"/>
      <c r="BN97"/>
      <c r="BO97" s="558"/>
      <c r="BP97" s="455">
        <v>24.6</v>
      </c>
      <c r="BQ97" s="455">
        <v>1</v>
      </c>
      <c r="BR97"/>
      <c r="BS97"/>
      <c r="BT97"/>
      <c r="BU97" s="558"/>
      <c r="BV97"/>
      <c r="BW97"/>
      <c r="BZ97" s="455">
        <v>24.6</v>
      </c>
      <c r="CA97" s="556">
        <v>1</v>
      </c>
      <c r="CB97"/>
      <c r="CC97"/>
      <c r="CD97"/>
      <c r="CF97" s="455">
        <v>24.6</v>
      </c>
      <c r="CG97" s="455">
        <v>1</v>
      </c>
      <c r="CH97"/>
      <c r="CI97"/>
      <c r="CJ97"/>
      <c r="CK97"/>
      <c r="CL97"/>
      <c r="CM97"/>
      <c r="CN97"/>
      <c r="CO97"/>
      <c r="CP97"/>
      <c r="CQ97"/>
      <c r="CR97"/>
      <c r="CS97"/>
      <c r="CT97"/>
      <c r="CU97"/>
      <c r="CV97" s="558"/>
      <c r="CW97"/>
      <c r="CX97"/>
      <c r="CY97"/>
      <c r="CZ97"/>
      <c r="DA97"/>
      <c r="DB97"/>
      <c r="DC97"/>
      <c r="DD97"/>
      <c r="DE97"/>
      <c r="DF97"/>
      <c r="DG97" s="455">
        <v>24.6</v>
      </c>
      <c r="DH97" s="455">
        <v>1</v>
      </c>
      <c r="DI97"/>
      <c r="DJ97"/>
      <c r="DK97"/>
      <c r="DL97"/>
      <c r="DM97"/>
      <c r="DN97"/>
      <c r="DO97"/>
      <c r="DP97"/>
      <c r="DQ97"/>
      <c r="DR97"/>
      <c r="DS97"/>
      <c r="DT97"/>
      <c r="DU97" s="558"/>
      <c r="DV97"/>
      <c r="DW97"/>
      <c r="DX97"/>
      <c r="DZ97" s="455">
        <v>24.6</v>
      </c>
      <c r="EA97" s="455"/>
      <c r="EB97"/>
      <c r="EC97">
        <v>1</v>
      </c>
      <c r="ED97"/>
      <c r="EE97"/>
      <c r="EF97"/>
      <c r="EG97" s="558"/>
      <c r="EH97"/>
      <c r="EJ97" s="455">
        <v>24.6</v>
      </c>
      <c r="EK97" s="455"/>
      <c r="EL97"/>
      <c r="EM97">
        <v>1</v>
      </c>
      <c r="EN97"/>
      <c r="EO97"/>
      <c r="EP97"/>
      <c r="EQ97"/>
      <c r="ER97"/>
      <c r="ES97"/>
      <c r="ET97"/>
      <c r="EU97"/>
      <c r="EV97"/>
      <c r="EW97"/>
      <c r="EX97"/>
      <c r="EY97"/>
      <c r="EZ97"/>
      <c r="FA97"/>
      <c r="FB97"/>
      <c r="FC97"/>
      <c r="FD97"/>
      <c r="FE97"/>
      <c r="FF97"/>
      <c r="FG97"/>
      <c r="FH97" s="558"/>
      <c r="FI97"/>
      <c r="FK97" s="449">
        <v>25.721</v>
      </c>
      <c r="FL97" s="449" t="s">
        <v>406</v>
      </c>
      <c r="FM97" s="449"/>
      <c r="FN97" s="452"/>
      <c r="FO97" s="452">
        <v>1</v>
      </c>
      <c r="FP97" s="452"/>
      <c r="FQ97" s="452"/>
      <c r="FR97" s="452"/>
      <c r="FS97" s="452"/>
      <c r="FT97" s="452"/>
      <c r="FU97" s="452"/>
      <c r="FV97" s="452"/>
      <c r="FW97" s="452"/>
      <c r="FX97" s="452"/>
      <c r="FY97" s="452"/>
      <c r="FZ97" s="453"/>
      <c r="GA97"/>
      <c r="GB97"/>
      <c r="GC97"/>
      <c r="GD97"/>
    </row>
    <row r="98" spans="33:186" x14ac:dyDescent="0.15">
      <c r="AG98" s="455">
        <v>15.5</v>
      </c>
      <c r="AH98" s="556">
        <v>1</v>
      </c>
      <c r="AJ98" s="455">
        <v>15.5</v>
      </c>
      <c r="AK98" s="556">
        <v>1</v>
      </c>
      <c r="AL98"/>
      <c r="AM98"/>
      <c r="AN98"/>
      <c r="AO98" s="455">
        <v>15.5</v>
      </c>
      <c r="AP98" s="455"/>
      <c r="AQ98">
        <v>1</v>
      </c>
      <c r="AR98"/>
      <c r="AS98"/>
      <c r="AT98"/>
      <c r="AU98"/>
      <c r="AV98"/>
      <c r="AW98"/>
      <c r="AX98"/>
      <c r="AY98"/>
      <c r="AZ98"/>
      <c r="BA98"/>
      <c r="BB98"/>
      <c r="BC98" s="558"/>
      <c r="BD98"/>
      <c r="BE98"/>
      <c r="BF98"/>
      <c r="BG98"/>
      <c r="BH98" s="455">
        <v>15.5</v>
      </c>
      <c r="BI98" s="455">
        <v>1</v>
      </c>
      <c r="BJ98"/>
      <c r="BK98"/>
      <c r="BL98"/>
      <c r="BM98"/>
      <c r="BN98"/>
      <c r="BO98" s="558"/>
      <c r="BP98" s="455">
        <v>15.5</v>
      </c>
      <c r="BQ98" s="455">
        <v>1</v>
      </c>
      <c r="BR98"/>
      <c r="BS98"/>
      <c r="BT98"/>
      <c r="BU98" s="558"/>
      <c r="BV98"/>
      <c r="BW98"/>
      <c r="BZ98" s="455">
        <v>15.5</v>
      </c>
      <c r="CA98" s="556">
        <v>1</v>
      </c>
      <c r="CB98"/>
      <c r="CC98"/>
      <c r="CD98"/>
      <c r="CF98" s="455">
        <v>15.5</v>
      </c>
      <c r="CG98" s="455">
        <v>1</v>
      </c>
      <c r="CH98"/>
      <c r="CI98"/>
      <c r="CJ98"/>
      <c r="CK98"/>
      <c r="CL98"/>
      <c r="CM98"/>
      <c r="CN98"/>
      <c r="CO98"/>
      <c r="CP98"/>
      <c r="CQ98"/>
      <c r="CR98"/>
      <c r="CS98"/>
      <c r="CT98"/>
      <c r="CU98"/>
      <c r="CV98" s="558"/>
      <c r="CW98"/>
      <c r="CX98"/>
      <c r="CY98"/>
      <c r="CZ98"/>
      <c r="DA98"/>
      <c r="DB98"/>
      <c r="DC98"/>
      <c r="DD98"/>
      <c r="DE98"/>
      <c r="DF98"/>
      <c r="DG98" s="455">
        <v>15.5</v>
      </c>
      <c r="DH98" s="455">
        <v>1</v>
      </c>
      <c r="DI98"/>
      <c r="DJ98"/>
      <c r="DK98"/>
      <c r="DL98"/>
      <c r="DM98"/>
      <c r="DN98"/>
      <c r="DO98"/>
      <c r="DP98"/>
      <c r="DQ98"/>
      <c r="DR98"/>
      <c r="DS98"/>
      <c r="DT98"/>
      <c r="DU98" s="558"/>
      <c r="DV98"/>
      <c r="DW98"/>
      <c r="DX98"/>
      <c r="DZ98" s="455">
        <v>15.5</v>
      </c>
      <c r="EA98" s="455">
        <v>1</v>
      </c>
      <c r="EB98"/>
      <c r="EC98"/>
      <c r="ED98"/>
      <c r="EE98"/>
      <c r="EF98"/>
      <c r="EG98" s="558"/>
      <c r="EH98"/>
      <c r="EJ98" s="455">
        <v>15.5</v>
      </c>
      <c r="EK98" s="455"/>
      <c r="EL98"/>
      <c r="EM98"/>
      <c r="EN98"/>
      <c r="EO98"/>
      <c r="EP98"/>
      <c r="EQ98"/>
      <c r="ER98"/>
      <c r="ES98"/>
      <c r="ET98"/>
      <c r="EU98"/>
      <c r="EV98"/>
      <c r="EW98"/>
      <c r="EX98"/>
      <c r="EY98"/>
      <c r="EZ98"/>
      <c r="FA98"/>
      <c r="FB98"/>
      <c r="FC98"/>
      <c r="FD98"/>
      <c r="FE98"/>
      <c r="FF98">
        <v>1</v>
      </c>
      <c r="FG98"/>
      <c r="FH98" s="558"/>
      <c r="FI98"/>
      <c r="FK98" s="449" t="s">
        <v>6794</v>
      </c>
      <c r="FL98" s="457"/>
      <c r="FM98" s="449"/>
      <c r="FN98" s="452"/>
      <c r="FO98" s="452">
        <v>1</v>
      </c>
      <c r="FP98" s="452"/>
      <c r="FQ98" s="452"/>
      <c r="FR98" s="452"/>
      <c r="FS98" s="452"/>
      <c r="FT98" s="452"/>
      <c r="FU98" s="452"/>
      <c r="FV98" s="452"/>
      <c r="FW98" s="452"/>
      <c r="FX98" s="452"/>
      <c r="FY98" s="452"/>
      <c r="FZ98" s="453"/>
      <c r="GA98"/>
      <c r="GB98"/>
      <c r="GC98"/>
      <c r="GD98"/>
    </row>
    <row r="99" spans="33:186" x14ac:dyDescent="0.15">
      <c r="AG99" s="455">
        <v>10.108000000000001</v>
      </c>
      <c r="AH99" s="556">
        <v>1</v>
      </c>
      <c r="AJ99" s="455">
        <v>10.108000000000001</v>
      </c>
      <c r="AK99" s="556">
        <v>1</v>
      </c>
      <c r="AL99"/>
      <c r="AM99"/>
      <c r="AN99"/>
      <c r="AO99" s="455">
        <v>10.108000000000001</v>
      </c>
      <c r="AP99" s="455"/>
      <c r="AQ99"/>
      <c r="AR99">
        <v>1</v>
      </c>
      <c r="AS99"/>
      <c r="AT99"/>
      <c r="AU99"/>
      <c r="AV99"/>
      <c r="AW99"/>
      <c r="AX99"/>
      <c r="AY99"/>
      <c r="AZ99"/>
      <c r="BA99"/>
      <c r="BB99"/>
      <c r="BC99" s="558"/>
      <c r="BD99"/>
      <c r="BE99"/>
      <c r="BF99"/>
      <c r="BG99"/>
      <c r="BH99" s="455">
        <v>10.108000000000001</v>
      </c>
      <c r="BI99" s="455">
        <v>1</v>
      </c>
      <c r="BJ99"/>
      <c r="BK99"/>
      <c r="BL99"/>
      <c r="BM99"/>
      <c r="BN99"/>
      <c r="BO99" s="558"/>
      <c r="BP99" s="455">
        <v>10.108000000000001</v>
      </c>
      <c r="BQ99" s="455"/>
      <c r="BR99">
        <v>1</v>
      </c>
      <c r="BS99"/>
      <c r="BT99"/>
      <c r="BU99" s="558"/>
      <c r="BV99"/>
      <c r="BW99"/>
      <c r="BZ99" s="455">
        <v>10.108000000000001</v>
      </c>
      <c r="CA99" s="556">
        <v>1</v>
      </c>
      <c r="CB99"/>
      <c r="CC99"/>
      <c r="CD99"/>
      <c r="CF99" s="455">
        <v>10.108000000000001</v>
      </c>
      <c r="CG99" s="455"/>
      <c r="CH99"/>
      <c r="CI99"/>
      <c r="CJ99"/>
      <c r="CK99">
        <v>1</v>
      </c>
      <c r="CL99"/>
      <c r="CM99"/>
      <c r="CN99"/>
      <c r="CO99"/>
      <c r="CP99"/>
      <c r="CQ99"/>
      <c r="CR99"/>
      <c r="CS99"/>
      <c r="CT99"/>
      <c r="CU99"/>
      <c r="CV99" s="558"/>
      <c r="CW99"/>
      <c r="CX99"/>
      <c r="CY99"/>
      <c r="CZ99"/>
      <c r="DA99"/>
      <c r="DB99"/>
      <c r="DC99"/>
      <c r="DD99"/>
      <c r="DE99"/>
      <c r="DF99"/>
      <c r="DG99" s="455">
        <v>10.108000000000001</v>
      </c>
      <c r="DH99" s="455"/>
      <c r="DI99"/>
      <c r="DJ99">
        <v>1</v>
      </c>
      <c r="DK99"/>
      <c r="DL99"/>
      <c r="DM99"/>
      <c r="DN99"/>
      <c r="DO99"/>
      <c r="DP99"/>
      <c r="DQ99"/>
      <c r="DR99"/>
      <c r="DS99"/>
      <c r="DT99"/>
      <c r="DU99" s="558"/>
      <c r="DV99"/>
      <c r="DW99"/>
      <c r="DX99"/>
      <c r="DZ99" s="455">
        <v>10.108000000000001</v>
      </c>
      <c r="EA99" s="455">
        <v>1</v>
      </c>
      <c r="EB99"/>
      <c r="EC99"/>
      <c r="ED99"/>
      <c r="EE99"/>
      <c r="EF99"/>
      <c r="EG99" s="558"/>
      <c r="EH99"/>
      <c r="EJ99" s="455">
        <v>10.108000000000001</v>
      </c>
      <c r="EK99" s="455"/>
      <c r="EL99"/>
      <c r="EM99"/>
      <c r="EN99"/>
      <c r="EO99"/>
      <c r="EP99"/>
      <c r="EQ99"/>
      <c r="ER99"/>
      <c r="ES99"/>
      <c r="ET99"/>
      <c r="EU99"/>
      <c r="EV99"/>
      <c r="EW99"/>
      <c r="EX99">
        <v>1</v>
      </c>
      <c r="EY99"/>
      <c r="EZ99"/>
      <c r="FA99"/>
      <c r="FB99"/>
      <c r="FC99"/>
      <c r="FD99"/>
      <c r="FE99"/>
      <c r="FF99"/>
      <c r="FG99"/>
      <c r="FH99" s="558"/>
      <c r="FI99"/>
      <c r="FK99" s="449">
        <v>0.51600000000000001</v>
      </c>
      <c r="FL99" s="449" t="s">
        <v>410</v>
      </c>
      <c r="FM99" s="449">
        <v>1</v>
      </c>
      <c r="FN99" s="452"/>
      <c r="FO99" s="452"/>
      <c r="FP99" s="452"/>
      <c r="FQ99" s="452"/>
      <c r="FR99" s="452"/>
      <c r="FS99" s="452"/>
      <c r="FT99" s="452"/>
      <c r="FU99" s="452"/>
      <c r="FV99" s="452"/>
      <c r="FW99" s="452"/>
      <c r="FX99" s="452"/>
      <c r="FY99" s="452"/>
      <c r="FZ99" s="453"/>
      <c r="GA99"/>
      <c r="GB99"/>
      <c r="GC99"/>
      <c r="GD99"/>
    </row>
    <row r="100" spans="33:186" x14ac:dyDescent="0.15">
      <c r="AG100" s="455">
        <v>14.87</v>
      </c>
      <c r="AH100" s="556">
        <v>1</v>
      </c>
      <c r="AJ100" s="455">
        <v>14.87</v>
      </c>
      <c r="AK100" s="556">
        <v>1</v>
      </c>
      <c r="AL100"/>
      <c r="AM100"/>
      <c r="AN100"/>
      <c r="AO100" s="455">
        <v>14.87</v>
      </c>
      <c r="AP100" s="455"/>
      <c r="AQ100">
        <v>1</v>
      </c>
      <c r="AR100"/>
      <c r="AS100"/>
      <c r="AT100"/>
      <c r="AU100"/>
      <c r="AV100"/>
      <c r="AW100"/>
      <c r="AX100"/>
      <c r="AY100"/>
      <c r="AZ100"/>
      <c r="BA100"/>
      <c r="BB100"/>
      <c r="BC100" s="558"/>
      <c r="BD100"/>
      <c r="BE100"/>
      <c r="BF100"/>
      <c r="BG100"/>
      <c r="BH100" s="455">
        <v>14.87</v>
      </c>
      <c r="BI100" s="455">
        <v>1</v>
      </c>
      <c r="BJ100"/>
      <c r="BK100"/>
      <c r="BL100"/>
      <c r="BM100"/>
      <c r="BN100"/>
      <c r="BO100" s="558"/>
      <c r="BP100" s="455">
        <v>14.87</v>
      </c>
      <c r="BQ100" s="455"/>
      <c r="BR100">
        <v>1</v>
      </c>
      <c r="BS100"/>
      <c r="BT100"/>
      <c r="BU100" s="558"/>
      <c r="BV100"/>
      <c r="BW100"/>
      <c r="BZ100" s="455">
        <v>14.87</v>
      </c>
      <c r="CA100" s="556">
        <v>1</v>
      </c>
      <c r="CB100"/>
      <c r="CC100"/>
      <c r="CD100"/>
      <c r="CF100" s="455">
        <v>14.87</v>
      </c>
      <c r="CG100" s="455">
        <v>1</v>
      </c>
      <c r="CH100"/>
      <c r="CI100"/>
      <c r="CJ100"/>
      <c r="CK100"/>
      <c r="CL100"/>
      <c r="CM100"/>
      <c r="CN100"/>
      <c r="CO100"/>
      <c r="CP100"/>
      <c r="CQ100"/>
      <c r="CR100"/>
      <c r="CS100"/>
      <c r="CT100"/>
      <c r="CU100"/>
      <c r="CV100" s="558"/>
      <c r="CW100"/>
      <c r="CX100"/>
      <c r="CY100"/>
      <c r="CZ100"/>
      <c r="DA100"/>
      <c r="DB100"/>
      <c r="DC100"/>
      <c r="DD100"/>
      <c r="DE100"/>
      <c r="DF100"/>
      <c r="DG100" s="455">
        <v>14.87</v>
      </c>
      <c r="DH100" s="455"/>
      <c r="DI100">
        <v>1</v>
      </c>
      <c r="DJ100"/>
      <c r="DK100"/>
      <c r="DL100"/>
      <c r="DM100"/>
      <c r="DN100"/>
      <c r="DO100"/>
      <c r="DP100"/>
      <c r="DQ100"/>
      <c r="DR100"/>
      <c r="DS100"/>
      <c r="DT100"/>
      <c r="DU100" s="558"/>
      <c r="DV100"/>
      <c r="DW100"/>
      <c r="DX100"/>
      <c r="DZ100" s="455">
        <v>14.87</v>
      </c>
      <c r="EA100" s="455"/>
      <c r="EB100"/>
      <c r="EC100"/>
      <c r="ED100">
        <v>1</v>
      </c>
      <c r="EE100"/>
      <c r="EF100"/>
      <c r="EG100" s="558"/>
      <c r="EH100"/>
      <c r="EJ100" s="455">
        <v>14.87</v>
      </c>
      <c r="EK100" s="455"/>
      <c r="EL100"/>
      <c r="EM100"/>
      <c r="EN100"/>
      <c r="EO100"/>
      <c r="EP100"/>
      <c r="EQ100"/>
      <c r="ER100"/>
      <c r="ES100"/>
      <c r="ET100"/>
      <c r="EU100">
        <v>1</v>
      </c>
      <c r="EV100"/>
      <c r="EW100"/>
      <c r="EX100"/>
      <c r="EY100"/>
      <c r="EZ100"/>
      <c r="FA100"/>
      <c r="FB100"/>
      <c r="FC100"/>
      <c r="FD100"/>
      <c r="FE100"/>
      <c r="FF100"/>
      <c r="FG100"/>
      <c r="FH100" s="558"/>
      <c r="FI100"/>
      <c r="FK100" s="449" t="s">
        <v>6795</v>
      </c>
      <c r="FL100" s="457"/>
      <c r="FM100" s="449">
        <v>1</v>
      </c>
      <c r="FN100" s="452"/>
      <c r="FO100" s="452"/>
      <c r="FP100" s="452"/>
      <c r="FQ100" s="452"/>
      <c r="FR100" s="452"/>
      <c r="FS100" s="452"/>
      <c r="FT100" s="452"/>
      <c r="FU100" s="452"/>
      <c r="FV100" s="452"/>
      <c r="FW100" s="452"/>
      <c r="FX100" s="452"/>
      <c r="FY100" s="452"/>
      <c r="FZ100" s="453"/>
      <c r="GA100"/>
      <c r="GB100"/>
      <c r="GC100"/>
      <c r="GD100"/>
    </row>
    <row r="101" spans="33:186" x14ac:dyDescent="0.15">
      <c r="AG101" s="455">
        <v>3.7509999999999999</v>
      </c>
      <c r="AH101" s="556">
        <v>1</v>
      </c>
      <c r="AJ101" s="455">
        <v>3.7509999999999999</v>
      </c>
      <c r="AK101" s="556">
        <v>1</v>
      </c>
      <c r="AL101"/>
      <c r="AM101"/>
      <c r="AN101"/>
      <c r="AO101" s="455">
        <v>3.7509999999999999</v>
      </c>
      <c r="AP101" s="455"/>
      <c r="AQ101"/>
      <c r="AR101">
        <v>1</v>
      </c>
      <c r="AS101"/>
      <c r="AT101"/>
      <c r="AU101"/>
      <c r="AV101"/>
      <c r="AW101"/>
      <c r="AX101"/>
      <c r="AY101"/>
      <c r="AZ101"/>
      <c r="BA101"/>
      <c r="BB101"/>
      <c r="BC101" s="558"/>
      <c r="BD101"/>
      <c r="BE101"/>
      <c r="BF101"/>
      <c r="BG101"/>
      <c r="BH101" s="455">
        <v>3.7509999999999999</v>
      </c>
      <c r="BI101" s="455"/>
      <c r="BJ101">
        <v>1</v>
      </c>
      <c r="BK101"/>
      <c r="BL101"/>
      <c r="BM101"/>
      <c r="BN101"/>
      <c r="BO101" s="558"/>
      <c r="BP101" s="455">
        <v>3.7509999999999999</v>
      </c>
      <c r="BQ101" s="455">
        <v>1</v>
      </c>
      <c r="BR101"/>
      <c r="BS101"/>
      <c r="BT101"/>
      <c r="BU101" s="558"/>
      <c r="BV101"/>
      <c r="BW101"/>
      <c r="BZ101" s="455">
        <v>3.7509999999999999</v>
      </c>
      <c r="CA101" s="556">
        <v>1</v>
      </c>
      <c r="CB101"/>
      <c r="CC101"/>
      <c r="CD101"/>
      <c r="CF101" s="455">
        <v>3.7509999999999999</v>
      </c>
      <c r="CG101" s="455"/>
      <c r="CH101"/>
      <c r="CI101"/>
      <c r="CJ101"/>
      <c r="CK101">
        <v>1</v>
      </c>
      <c r="CL101"/>
      <c r="CM101"/>
      <c r="CN101"/>
      <c r="CO101"/>
      <c r="CP101"/>
      <c r="CQ101"/>
      <c r="CR101"/>
      <c r="CS101"/>
      <c r="CT101"/>
      <c r="CU101"/>
      <c r="CV101" s="558"/>
      <c r="CW101"/>
      <c r="CX101"/>
      <c r="CY101"/>
      <c r="CZ101"/>
      <c r="DA101"/>
      <c r="DB101"/>
      <c r="DC101"/>
      <c r="DD101"/>
      <c r="DE101"/>
      <c r="DF101"/>
      <c r="DG101" s="455">
        <v>3.7509999999999999</v>
      </c>
      <c r="DH101" s="455">
        <v>1</v>
      </c>
      <c r="DI101"/>
      <c r="DJ101"/>
      <c r="DK101"/>
      <c r="DL101"/>
      <c r="DM101"/>
      <c r="DN101"/>
      <c r="DO101"/>
      <c r="DP101"/>
      <c r="DQ101"/>
      <c r="DR101"/>
      <c r="DS101"/>
      <c r="DT101"/>
      <c r="DU101" s="558"/>
      <c r="DV101"/>
      <c r="DW101"/>
      <c r="DX101"/>
      <c r="DZ101" s="455">
        <v>3.7509999999999999</v>
      </c>
      <c r="EA101" s="455">
        <v>1</v>
      </c>
      <c r="EB101"/>
      <c r="EC101"/>
      <c r="ED101"/>
      <c r="EE101"/>
      <c r="EF101"/>
      <c r="EG101" s="558"/>
      <c r="EH101"/>
      <c r="EJ101" s="455">
        <v>3.7509999999999999</v>
      </c>
      <c r="EK101" s="455"/>
      <c r="EL101"/>
      <c r="EM101"/>
      <c r="EN101"/>
      <c r="EO101"/>
      <c r="EP101"/>
      <c r="EQ101">
        <v>1</v>
      </c>
      <c r="ER101"/>
      <c r="ES101"/>
      <c r="ET101"/>
      <c r="EU101"/>
      <c r="EV101"/>
      <c r="EW101"/>
      <c r="EX101"/>
      <c r="EY101"/>
      <c r="EZ101"/>
      <c r="FA101"/>
      <c r="FB101"/>
      <c r="FC101"/>
      <c r="FD101"/>
      <c r="FE101"/>
      <c r="FF101"/>
      <c r="FG101"/>
      <c r="FH101" s="558"/>
      <c r="FI101"/>
      <c r="FK101" s="449">
        <v>0.14099999999999999</v>
      </c>
      <c r="FL101" s="449" t="s">
        <v>406</v>
      </c>
      <c r="FM101" s="449"/>
      <c r="FN101" s="452">
        <v>1</v>
      </c>
      <c r="FO101" s="452"/>
      <c r="FP101" s="452"/>
      <c r="FQ101" s="452"/>
      <c r="FR101" s="452"/>
      <c r="FS101" s="452"/>
      <c r="FT101" s="452"/>
      <c r="FU101" s="452"/>
      <c r="FV101" s="452"/>
      <c r="FW101" s="452"/>
      <c r="FX101" s="452"/>
      <c r="FY101" s="452"/>
      <c r="FZ101" s="453"/>
      <c r="GA101"/>
      <c r="GB101"/>
      <c r="GC101"/>
      <c r="GD101"/>
    </row>
    <row r="102" spans="33:186" x14ac:dyDescent="0.15">
      <c r="AG102" s="455">
        <v>8.0559999999999992</v>
      </c>
      <c r="AH102" s="556">
        <v>1</v>
      </c>
      <c r="AJ102" s="455">
        <v>8.0559999999999992</v>
      </c>
      <c r="AK102" s="556">
        <v>1</v>
      </c>
      <c r="AL102"/>
      <c r="AM102"/>
      <c r="AN102"/>
      <c r="AO102" s="455">
        <v>8.0559999999999992</v>
      </c>
      <c r="AP102" s="455"/>
      <c r="AQ102"/>
      <c r="AR102"/>
      <c r="AS102"/>
      <c r="AT102">
        <v>1</v>
      </c>
      <c r="AU102"/>
      <c r="AV102"/>
      <c r="AW102"/>
      <c r="AX102"/>
      <c r="AY102"/>
      <c r="AZ102"/>
      <c r="BA102"/>
      <c r="BB102"/>
      <c r="BC102" s="558"/>
      <c r="BD102"/>
      <c r="BE102"/>
      <c r="BF102"/>
      <c r="BG102"/>
      <c r="BH102" s="455">
        <v>8.0559999999999992</v>
      </c>
      <c r="BI102" s="455">
        <v>1</v>
      </c>
      <c r="BJ102"/>
      <c r="BK102"/>
      <c r="BL102"/>
      <c r="BM102"/>
      <c r="BN102"/>
      <c r="BO102" s="558"/>
      <c r="BP102" s="455">
        <v>8.0559999999999992</v>
      </c>
      <c r="BQ102" s="455">
        <v>1</v>
      </c>
      <c r="BR102"/>
      <c r="BS102"/>
      <c r="BT102"/>
      <c r="BU102" s="558"/>
      <c r="BV102"/>
      <c r="BW102"/>
      <c r="BZ102" s="455">
        <v>8.0559999999999992</v>
      </c>
      <c r="CA102" s="556">
        <v>1</v>
      </c>
      <c r="CB102"/>
      <c r="CC102"/>
      <c r="CD102"/>
      <c r="CF102" s="455">
        <v>8.0559999999999992</v>
      </c>
      <c r="CG102" s="455">
        <v>1</v>
      </c>
      <c r="CH102"/>
      <c r="CI102"/>
      <c r="CJ102"/>
      <c r="CK102"/>
      <c r="CL102"/>
      <c r="CM102"/>
      <c r="CN102"/>
      <c r="CO102"/>
      <c r="CP102"/>
      <c r="CQ102"/>
      <c r="CR102"/>
      <c r="CS102"/>
      <c r="CT102"/>
      <c r="CU102"/>
      <c r="CV102" s="558"/>
      <c r="CW102"/>
      <c r="CX102"/>
      <c r="CY102"/>
      <c r="CZ102"/>
      <c r="DA102"/>
      <c r="DB102"/>
      <c r="DC102"/>
      <c r="DD102"/>
      <c r="DE102"/>
      <c r="DF102"/>
      <c r="DG102" s="455">
        <v>8.0559999999999992</v>
      </c>
      <c r="DH102" s="455">
        <v>1</v>
      </c>
      <c r="DI102"/>
      <c r="DJ102"/>
      <c r="DK102"/>
      <c r="DL102"/>
      <c r="DM102"/>
      <c r="DN102"/>
      <c r="DO102"/>
      <c r="DP102"/>
      <c r="DQ102"/>
      <c r="DR102"/>
      <c r="DS102"/>
      <c r="DT102"/>
      <c r="DU102" s="558"/>
      <c r="DV102"/>
      <c r="DW102"/>
      <c r="DX102"/>
      <c r="DZ102" s="455">
        <v>8.0559999999999992</v>
      </c>
      <c r="EA102" s="455"/>
      <c r="EB102">
        <v>1</v>
      </c>
      <c r="EC102"/>
      <c r="ED102"/>
      <c r="EE102"/>
      <c r="EF102"/>
      <c r="EG102" s="558"/>
      <c r="EH102"/>
      <c r="EJ102" s="455">
        <v>8.0559999999999992</v>
      </c>
      <c r="EK102" s="455"/>
      <c r="EL102"/>
      <c r="EM102"/>
      <c r="EN102"/>
      <c r="EO102"/>
      <c r="EP102"/>
      <c r="EQ102"/>
      <c r="ER102"/>
      <c r="ES102"/>
      <c r="ET102"/>
      <c r="EU102"/>
      <c r="EV102"/>
      <c r="EW102"/>
      <c r="EX102"/>
      <c r="EY102"/>
      <c r="EZ102"/>
      <c r="FA102"/>
      <c r="FB102"/>
      <c r="FC102"/>
      <c r="FD102"/>
      <c r="FE102"/>
      <c r="FF102">
        <v>1</v>
      </c>
      <c r="FG102"/>
      <c r="FH102" s="558"/>
      <c r="FI102"/>
      <c r="FK102" s="449" t="s">
        <v>6796</v>
      </c>
      <c r="FL102" s="457"/>
      <c r="FM102" s="449"/>
      <c r="FN102" s="452">
        <v>1</v>
      </c>
      <c r="FO102" s="452"/>
      <c r="FP102" s="452"/>
      <c r="FQ102" s="452"/>
      <c r="FR102" s="452"/>
      <c r="FS102" s="452"/>
      <c r="FT102" s="452"/>
      <c r="FU102" s="452"/>
      <c r="FV102" s="452"/>
      <c r="FW102" s="452"/>
      <c r="FX102" s="452"/>
      <c r="FY102" s="452"/>
      <c r="FZ102" s="453"/>
      <c r="GA102"/>
      <c r="GB102"/>
      <c r="GC102"/>
      <c r="GD102"/>
    </row>
    <row r="103" spans="33:186" x14ac:dyDescent="0.15">
      <c r="AG103" s="455">
        <v>9.8260000000000005</v>
      </c>
      <c r="AH103" s="556">
        <v>1</v>
      </c>
      <c r="AJ103" s="455">
        <v>9.8260000000000005</v>
      </c>
      <c r="AK103" s="556">
        <v>1</v>
      </c>
      <c r="AL103"/>
      <c r="AM103"/>
      <c r="AN103"/>
      <c r="AO103" s="455">
        <v>9.8260000000000005</v>
      </c>
      <c r="AP103" s="455"/>
      <c r="AQ103"/>
      <c r="AR103">
        <v>1</v>
      </c>
      <c r="AS103"/>
      <c r="AT103"/>
      <c r="AU103"/>
      <c r="AV103"/>
      <c r="AW103"/>
      <c r="AX103"/>
      <c r="AY103"/>
      <c r="AZ103"/>
      <c r="BA103"/>
      <c r="BB103"/>
      <c r="BC103" s="558"/>
      <c r="BD103"/>
      <c r="BE103"/>
      <c r="BF103"/>
      <c r="BG103"/>
      <c r="BH103" s="455">
        <v>9.8260000000000005</v>
      </c>
      <c r="BI103" s="455"/>
      <c r="BJ103"/>
      <c r="BK103">
        <v>1</v>
      </c>
      <c r="BL103"/>
      <c r="BM103"/>
      <c r="BN103"/>
      <c r="BO103" s="558"/>
      <c r="BP103" s="455">
        <v>9.8260000000000005</v>
      </c>
      <c r="BQ103" s="455">
        <v>1</v>
      </c>
      <c r="BR103"/>
      <c r="BS103"/>
      <c r="BT103"/>
      <c r="BU103" s="558"/>
      <c r="BV103"/>
      <c r="BW103"/>
      <c r="BZ103" s="455">
        <v>9.8260000000000005</v>
      </c>
      <c r="CA103" s="556">
        <v>1</v>
      </c>
      <c r="CB103"/>
      <c r="CC103"/>
      <c r="CD103"/>
      <c r="CF103" s="455">
        <v>9.8260000000000005</v>
      </c>
      <c r="CG103" s="455"/>
      <c r="CH103">
        <v>1</v>
      </c>
      <c r="CI103"/>
      <c r="CJ103"/>
      <c r="CK103"/>
      <c r="CL103"/>
      <c r="CM103"/>
      <c r="CN103"/>
      <c r="CO103"/>
      <c r="CP103"/>
      <c r="CQ103"/>
      <c r="CR103"/>
      <c r="CS103"/>
      <c r="CT103"/>
      <c r="CU103"/>
      <c r="CV103" s="558"/>
      <c r="CW103"/>
      <c r="CX103"/>
      <c r="CY103"/>
      <c r="CZ103"/>
      <c r="DA103"/>
      <c r="DB103"/>
      <c r="DC103"/>
      <c r="DD103"/>
      <c r="DE103"/>
      <c r="DF103"/>
      <c r="DG103" s="455">
        <v>9.8260000000000005</v>
      </c>
      <c r="DH103" s="455">
        <v>1</v>
      </c>
      <c r="DI103"/>
      <c r="DJ103"/>
      <c r="DK103"/>
      <c r="DL103"/>
      <c r="DM103"/>
      <c r="DN103"/>
      <c r="DO103"/>
      <c r="DP103"/>
      <c r="DQ103"/>
      <c r="DR103"/>
      <c r="DS103"/>
      <c r="DT103"/>
      <c r="DU103" s="558"/>
      <c r="DV103"/>
      <c r="DW103"/>
      <c r="DX103"/>
      <c r="DZ103" s="455">
        <v>9.8260000000000005</v>
      </c>
      <c r="EA103" s="455"/>
      <c r="EB103">
        <v>1</v>
      </c>
      <c r="EC103"/>
      <c r="ED103"/>
      <c r="EE103"/>
      <c r="EF103"/>
      <c r="EG103" s="558"/>
      <c r="EH103"/>
      <c r="EJ103" s="455">
        <v>9.8260000000000005</v>
      </c>
      <c r="EK103" s="455"/>
      <c r="EL103"/>
      <c r="EM103"/>
      <c r="EN103"/>
      <c r="EO103"/>
      <c r="EP103">
        <v>1</v>
      </c>
      <c r="EQ103"/>
      <c r="ER103"/>
      <c r="ES103"/>
      <c r="ET103"/>
      <c r="EU103"/>
      <c r="EV103"/>
      <c r="EW103"/>
      <c r="EX103"/>
      <c r="EY103"/>
      <c r="EZ103"/>
      <c r="FA103"/>
      <c r="FB103"/>
      <c r="FC103"/>
      <c r="FD103"/>
      <c r="FE103"/>
      <c r="FF103"/>
      <c r="FG103"/>
      <c r="FH103" s="558"/>
      <c r="FI103"/>
      <c r="FK103" s="449">
        <v>4.9729999999999999</v>
      </c>
      <c r="FL103" s="449" t="s">
        <v>411</v>
      </c>
      <c r="FM103" s="449">
        <v>1</v>
      </c>
      <c r="FN103" s="452"/>
      <c r="FO103" s="452"/>
      <c r="FP103" s="452"/>
      <c r="FQ103" s="452"/>
      <c r="FR103" s="452"/>
      <c r="FS103" s="452"/>
      <c r="FT103" s="452"/>
      <c r="FU103" s="452"/>
      <c r="FV103" s="452"/>
      <c r="FW103" s="452"/>
      <c r="FX103" s="452"/>
      <c r="FY103" s="452"/>
      <c r="FZ103" s="453"/>
      <c r="GA103"/>
      <c r="GB103"/>
      <c r="GC103"/>
      <c r="GD103"/>
    </row>
    <row r="104" spans="33:186" x14ac:dyDescent="0.15">
      <c r="AG104" s="455">
        <v>7.4180000000000001</v>
      </c>
      <c r="AH104" s="556">
        <v>1</v>
      </c>
      <c r="AJ104" s="455">
        <v>7.4180000000000001</v>
      </c>
      <c r="AK104" s="556">
        <v>1</v>
      </c>
      <c r="AL104"/>
      <c r="AM104"/>
      <c r="AN104"/>
      <c r="AO104" s="455">
        <v>7.4180000000000001</v>
      </c>
      <c r="AP104" s="455">
        <v>1</v>
      </c>
      <c r="AQ104"/>
      <c r="AR104"/>
      <c r="AS104"/>
      <c r="AT104"/>
      <c r="AU104"/>
      <c r="AV104"/>
      <c r="AW104"/>
      <c r="AX104"/>
      <c r="AY104"/>
      <c r="AZ104"/>
      <c r="BA104"/>
      <c r="BB104"/>
      <c r="BC104" s="558"/>
      <c r="BD104"/>
      <c r="BE104"/>
      <c r="BF104"/>
      <c r="BG104"/>
      <c r="BH104" s="455">
        <v>7.4180000000000001</v>
      </c>
      <c r="BI104" s="455"/>
      <c r="BJ104">
        <v>1</v>
      </c>
      <c r="BK104"/>
      <c r="BL104"/>
      <c r="BM104"/>
      <c r="BN104"/>
      <c r="BO104" s="558"/>
      <c r="BP104" s="455">
        <v>7.4180000000000001</v>
      </c>
      <c r="BQ104" s="455">
        <v>1</v>
      </c>
      <c r="BR104"/>
      <c r="BS104"/>
      <c r="BT104"/>
      <c r="BU104" s="558"/>
      <c r="BV104"/>
      <c r="BW104"/>
      <c r="BZ104" s="455">
        <v>7.4180000000000001</v>
      </c>
      <c r="CA104" s="556">
        <v>1</v>
      </c>
      <c r="CB104"/>
      <c r="CC104"/>
      <c r="CD104"/>
      <c r="CF104" s="455">
        <v>7.4180000000000001</v>
      </c>
      <c r="CG104" s="455">
        <v>1</v>
      </c>
      <c r="CH104"/>
      <c r="CI104"/>
      <c r="CJ104"/>
      <c r="CK104"/>
      <c r="CL104"/>
      <c r="CM104"/>
      <c r="CN104"/>
      <c r="CO104"/>
      <c r="CP104"/>
      <c r="CQ104"/>
      <c r="CR104"/>
      <c r="CS104"/>
      <c r="CT104"/>
      <c r="CU104"/>
      <c r="CV104" s="558"/>
      <c r="CW104"/>
      <c r="CX104"/>
      <c r="CY104"/>
      <c r="CZ104"/>
      <c r="DA104"/>
      <c r="DB104"/>
      <c r="DC104"/>
      <c r="DD104"/>
      <c r="DE104"/>
      <c r="DF104"/>
      <c r="DG104" s="455">
        <v>7.4180000000000001</v>
      </c>
      <c r="DH104" s="455">
        <v>1</v>
      </c>
      <c r="DI104"/>
      <c r="DJ104"/>
      <c r="DK104"/>
      <c r="DL104"/>
      <c r="DM104"/>
      <c r="DN104"/>
      <c r="DO104"/>
      <c r="DP104"/>
      <c r="DQ104"/>
      <c r="DR104"/>
      <c r="DS104"/>
      <c r="DT104"/>
      <c r="DU104" s="558"/>
      <c r="DV104"/>
      <c r="DW104"/>
      <c r="DX104"/>
      <c r="DZ104" s="455">
        <v>7.4180000000000001</v>
      </c>
      <c r="EA104" s="455"/>
      <c r="EB104"/>
      <c r="EC104"/>
      <c r="ED104"/>
      <c r="EE104">
        <v>1</v>
      </c>
      <c r="EF104"/>
      <c r="EG104" s="558"/>
      <c r="EH104"/>
      <c r="EJ104" s="455">
        <v>7.4180000000000001</v>
      </c>
      <c r="EK104" s="455"/>
      <c r="EL104"/>
      <c r="EM104"/>
      <c r="EN104"/>
      <c r="EO104"/>
      <c r="EP104"/>
      <c r="EQ104"/>
      <c r="ER104"/>
      <c r="ES104"/>
      <c r="ET104"/>
      <c r="EU104"/>
      <c r="EV104"/>
      <c r="EW104"/>
      <c r="EX104"/>
      <c r="EY104"/>
      <c r="EZ104"/>
      <c r="FA104"/>
      <c r="FB104"/>
      <c r="FC104"/>
      <c r="FD104"/>
      <c r="FE104"/>
      <c r="FF104">
        <v>1</v>
      </c>
      <c r="FG104"/>
      <c r="FH104" s="558"/>
      <c r="FI104"/>
      <c r="FK104" s="449" t="s">
        <v>6797</v>
      </c>
      <c r="FL104" s="457"/>
      <c r="FM104" s="449">
        <v>1</v>
      </c>
      <c r="FN104" s="452"/>
      <c r="FO104" s="452"/>
      <c r="FP104" s="452"/>
      <c r="FQ104" s="452"/>
      <c r="FR104" s="452"/>
      <c r="FS104" s="452"/>
      <c r="FT104" s="452"/>
      <c r="FU104" s="452"/>
      <c r="FV104" s="452"/>
      <c r="FW104" s="452"/>
      <c r="FX104" s="452"/>
      <c r="FY104" s="452"/>
      <c r="FZ104" s="453"/>
      <c r="GA104"/>
      <c r="GB104"/>
      <c r="GC104"/>
      <c r="GD104"/>
    </row>
    <row r="105" spans="33:186" x14ac:dyDescent="0.15">
      <c r="AG105" s="455">
        <v>12.493</v>
      </c>
      <c r="AH105" s="556">
        <v>1</v>
      </c>
      <c r="AJ105" s="455">
        <v>12.493</v>
      </c>
      <c r="AK105" s="556">
        <v>1</v>
      </c>
      <c r="AL105"/>
      <c r="AM105"/>
      <c r="AN105"/>
      <c r="AO105" s="455">
        <v>12.493</v>
      </c>
      <c r="AP105" s="455"/>
      <c r="AQ105">
        <v>1</v>
      </c>
      <c r="AR105"/>
      <c r="AS105"/>
      <c r="AT105"/>
      <c r="AU105"/>
      <c r="AV105"/>
      <c r="AW105"/>
      <c r="AX105"/>
      <c r="AY105"/>
      <c r="AZ105"/>
      <c r="BA105"/>
      <c r="BB105"/>
      <c r="BC105" s="558"/>
      <c r="BD105"/>
      <c r="BE105"/>
      <c r="BF105"/>
      <c r="BG105"/>
      <c r="BH105" s="455">
        <v>12.493</v>
      </c>
      <c r="BI105" s="455">
        <v>1</v>
      </c>
      <c r="BJ105"/>
      <c r="BK105"/>
      <c r="BL105"/>
      <c r="BM105"/>
      <c r="BN105"/>
      <c r="BO105" s="558"/>
      <c r="BP105" s="455">
        <v>12.493</v>
      </c>
      <c r="BQ105" s="455">
        <v>1</v>
      </c>
      <c r="BR105"/>
      <c r="BS105"/>
      <c r="BT105"/>
      <c r="BU105" s="558"/>
      <c r="BV105"/>
      <c r="BW105"/>
      <c r="BZ105" s="455">
        <v>12.493</v>
      </c>
      <c r="CA105" s="556">
        <v>1</v>
      </c>
      <c r="CB105"/>
      <c r="CC105"/>
      <c r="CD105"/>
      <c r="CF105" s="455">
        <v>12.493</v>
      </c>
      <c r="CG105" s="455"/>
      <c r="CH105">
        <v>1</v>
      </c>
      <c r="CI105"/>
      <c r="CJ105"/>
      <c r="CK105"/>
      <c r="CL105"/>
      <c r="CM105"/>
      <c r="CN105"/>
      <c r="CO105"/>
      <c r="CP105"/>
      <c r="CQ105"/>
      <c r="CR105"/>
      <c r="CS105"/>
      <c r="CT105"/>
      <c r="CU105"/>
      <c r="CV105" s="558"/>
      <c r="CW105"/>
      <c r="CX105"/>
      <c r="CY105"/>
      <c r="CZ105"/>
      <c r="DA105"/>
      <c r="DB105"/>
      <c r="DC105"/>
      <c r="DD105"/>
      <c r="DE105"/>
      <c r="DF105"/>
      <c r="DG105" s="455">
        <v>12.493</v>
      </c>
      <c r="DH105" s="455">
        <v>1</v>
      </c>
      <c r="DI105"/>
      <c r="DJ105"/>
      <c r="DK105"/>
      <c r="DL105"/>
      <c r="DM105"/>
      <c r="DN105"/>
      <c r="DO105"/>
      <c r="DP105"/>
      <c r="DQ105"/>
      <c r="DR105"/>
      <c r="DS105"/>
      <c r="DT105"/>
      <c r="DU105" s="558"/>
      <c r="DV105"/>
      <c r="DW105"/>
      <c r="DX105"/>
      <c r="DZ105" s="455">
        <v>12.493</v>
      </c>
      <c r="EA105" s="455"/>
      <c r="EB105"/>
      <c r="EC105">
        <v>1</v>
      </c>
      <c r="ED105"/>
      <c r="EE105"/>
      <c r="EF105"/>
      <c r="EG105" s="558"/>
      <c r="EH105"/>
      <c r="EJ105" s="455">
        <v>12.493</v>
      </c>
      <c r="EK105" s="455"/>
      <c r="EL105"/>
      <c r="EM105"/>
      <c r="EN105"/>
      <c r="EO105"/>
      <c r="EP105"/>
      <c r="EQ105"/>
      <c r="ER105"/>
      <c r="ES105"/>
      <c r="ET105"/>
      <c r="EU105"/>
      <c r="EV105"/>
      <c r="EW105"/>
      <c r="EX105"/>
      <c r="EY105"/>
      <c r="EZ105"/>
      <c r="FA105"/>
      <c r="FB105"/>
      <c r="FC105"/>
      <c r="FD105"/>
      <c r="FE105"/>
      <c r="FF105"/>
      <c r="FG105"/>
      <c r="FH105" s="558">
        <v>1</v>
      </c>
      <c r="FI105"/>
      <c r="FK105" s="449">
        <v>0</v>
      </c>
      <c r="FL105" s="449" t="s">
        <v>406</v>
      </c>
      <c r="FM105" s="449"/>
      <c r="FN105" s="452"/>
      <c r="FO105" s="452">
        <v>1</v>
      </c>
      <c r="FP105" s="452"/>
      <c r="FQ105" s="452"/>
      <c r="FR105" s="452"/>
      <c r="FS105" s="452"/>
      <c r="FT105" s="452"/>
      <c r="FU105" s="452"/>
      <c r="FV105" s="452"/>
      <c r="FW105" s="452"/>
      <c r="FX105" s="452"/>
      <c r="FY105" s="452"/>
      <c r="FZ105" s="453"/>
      <c r="GA105"/>
      <c r="GB105"/>
      <c r="GC105"/>
      <c r="GD105"/>
    </row>
    <row r="106" spans="33:186" x14ac:dyDescent="0.15">
      <c r="AG106" s="455">
        <v>6.2089999999999996</v>
      </c>
      <c r="AH106" s="556">
        <v>1</v>
      </c>
      <c r="AJ106" s="455">
        <v>6.2089999999999996</v>
      </c>
      <c r="AK106" s="556">
        <v>1</v>
      </c>
      <c r="AL106"/>
      <c r="AM106"/>
      <c r="AN106"/>
      <c r="AO106" s="455">
        <v>6.2089999999999996</v>
      </c>
      <c r="AP106" s="455">
        <v>1</v>
      </c>
      <c r="AQ106"/>
      <c r="AR106"/>
      <c r="AS106"/>
      <c r="AT106"/>
      <c r="AU106"/>
      <c r="AV106"/>
      <c r="AW106"/>
      <c r="AX106"/>
      <c r="AY106"/>
      <c r="AZ106"/>
      <c r="BA106"/>
      <c r="BB106"/>
      <c r="BC106" s="558"/>
      <c r="BD106"/>
      <c r="BE106"/>
      <c r="BF106"/>
      <c r="BG106"/>
      <c r="BH106" s="455">
        <v>6.2089999999999996</v>
      </c>
      <c r="BI106" s="455">
        <v>1</v>
      </c>
      <c r="BJ106"/>
      <c r="BK106"/>
      <c r="BL106"/>
      <c r="BM106"/>
      <c r="BN106"/>
      <c r="BO106" s="558"/>
      <c r="BP106" s="455">
        <v>6.2089999999999996</v>
      </c>
      <c r="BQ106" s="455">
        <v>1</v>
      </c>
      <c r="BR106"/>
      <c r="BS106"/>
      <c r="BT106"/>
      <c r="BU106" s="558"/>
      <c r="BV106"/>
      <c r="BW106"/>
      <c r="BZ106" s="455">
        <v>6.2089999999999996</v>
      </c>
      <c r="CA106" s="556">
        <v>1</v>
      </c>
      <c r="CB106"/>
      <c r="CC106"/>
      <c r="CD106"/>
      <c r="CF106" s="455">
        <v>6.2089999999999996</v>
      </c>
      <c r="CG106" s="455">
        <v>1</v>
      </c>
      <c r="CH106"/>
      <c r="CI106"/>
      <c r="CJ106"/>
      <c r="CK106"/>
      <c r="CL106"/>
      <c r="CM106"/>
      <c r="CN106"/>
      <c r="CO106"/>
      <c r="CP106"/>
      <c r="CQ106"/>
      <c r="CR106"/>
      <c r="CS106"/>
      <c r="CT106"/>
      <c r="CU106"/>
      <c r="CV106" s="558"/>
      <c r="CW106"/>
      <c r="CX106"/>
      <c r="CY106"/>
      <c r="CZ106"/>
      <c r="DA106"/>
      <c r="DB106"/>
      <c r="DC106"/>
      <c r="DD106"/>
      <c r="DE106"/>
      <c r="DF106"/>
      <c r="DG106" s="455">
        <v>6.2089999999999996</v>
      </c>
      <c r="DH106" s="455">
        <v>1</v>
      </c>
      <c r="DI106"/>
      <c r="DJ106"/>
      <c r="DK106"/>
      <c r="DL106"/>
      <c r="DM106"/>
      <c r="DN106"/>
      <c r="DO106"/>
      <c r="DP106"/>
      <c r="DQ106"/>
      <c r="DR106"/>
      <c r="DS106"/>
      <c r="DT106"/>
      <c r="DU106" s="558"/>
      <c r="DV106"/>
      <c r="DW106"/>
      <c r="DX106"/>
      <c r="DZ106" s="455">
        <v>6.2089999999999996</v>
      </c>
      <c r="EA106" s="455">
        <v>1</v>
      </c>
      <c r="EB106"/>
      <c r="EC106"/>
      <c r="ED106"/>
      <c r="EE106"/>
      <c r="EF106"/>
      <c r="EG106" s="558"/>
      <c r="EH106"/>
      <c r="EJ106" s="455">
        <v>6.2089999999999996</v>
      </c>
      <c r="EK106" s="455"/>
      <c r="EL106"/>
      <c r="EM106"/>
      <c r="EN106">
        <v>1</v>
      </c>
      <c r="EO106"/>
      <c r="EP106"/>
      <c r="EQ106"/>
      <c r="ER106"/>
      <c r="ES106"/>
      <c r="ET106"/>
      <c r="EU106"/>
      <c r="EV106"/>
      <c r="EW106"/>
      <c r="EX106"/>
      <c r="EY106"/>
      <c r="EZ106"/>
      <c r="FA106"/>
      <c r="FB106"/>
      <c r="FC106"/>
      <c r="FD106"/>
      <c r="FE106"/>
      <c r="FF106"/>
      <c r="FG106"/>
      <c r="FH106" s="558"/>
      <c r="FI106"/>
      <c r="FK106" s="449" t="s">
        <v>6798</v>
      </c>
      <c r="FL106" s="457"/>
      <c r="FM106" s="449"/>
      <c r="FN106" s="452"/>
      <c r="FO106" s="452">
        <v>1</v>
      </c>
      <c r="FP106" s="452"/>
      <c r="FQ106" s="452"/>
      <c r="FR106" s="452"/>
      <c r="FS106" s="452"/>
      <c r="FT106" s="452"/>
      <c r="FU106" s="452"/>
      <c r="FV106" s="452"/>
      <c r="FW106" s="452"/>
      <c r="FX106" s="452"/>
      <c r="FY106" s="452"/>
      <c r="FZ106" s="453"/>
      <c r="GA106"/>
      <c r="GB106"/>
      <c r="GC106"/>
      <c r="GD106"/>
    </row>
    <row r="107" spans="33:186" x14ac:dyDescent="0.15">
      <c r="AG107" s="455">
        <v>0.20200000000000001</v>
      </c>
      <c r="AH107" s="556">
        <v>1</v>
      </c>
      <c r="AJ107" s="455">
        <v>0.20200000000000001</v>
      </c>
      <c r="AK107" s="556">
        <v>1</v>
      </c>
      <c r="AL107"/>
      <c r="AM107"/>
      <c r="AN107"/>
      <c r="AO107" s="455">
        <v>0.20200000000000001</v>
      </c>
      <c r="AP107" s="455">
        <v>1</v>
      </c>
      <c r="AQ107"/>
      <c r="AR107"/>
      <c r="AS107"/>
      <c r="AT107"/>
      <c r="AU107"/>
      <c r="AV107"/>
      <c r="AW107"/>
      <c r="AX107"/>
      <c r="AY107"/>
      <c r="AZ107"/>
      <c r="BA107"/>
      <c r="BB107"/>
      <c r="BC107" s="558"/>
      <c r="BD107"/>
      <c r="BE107"/>
      <c r="BF107"/>
      <c r="BG107"/>
      <c r="BH107" s="455">
        <v>0.20200000000000001</v>
      </c>
      <c r="BI107" s="455"/>
      <c r="BJ107"/>
      <c r="BK107">
        <v>1</v>
      </c>
      <c r="BL107"/>
      <c r="BM107"/>
      <c r="BN107"/>
      <c r="BO107" s="558"/>
      <c r="BP107" s="455">
        <v>0.20200000000000001</v>
      </c>
      <c r="BQ107" s="455">
        <v>1</v>
      </c>
      <c r="BR107"/>
      <c r="BS107"/>
      <c r="BT107"/>
      <c r="BU107" s="558"/>
      <c r="BV107"/>
      <c r="BW107"/>
      <c r="BZ107" s="455">
        <v>0.20200000000000001</v>
      </c>
      <c r="CA107" s="556">
        <v>1</v>
      </c>
      <c r="CB107"/>
      <c r="CC107"/>
      <c r="CD107"/>
      <c r="CF107" s="455">
        <v>0.20200000000000001</v>
      </c>
      <c r="CG107" s="455">
        <v>1</v>
      </c>
      <c r="CH107"/>
      <c r="CI107"/>
      <c r="CJ107"/>
      <c r="CK107"/>
      <c r="CL107"/>
      <c r="CM107"/>
      <c r="CN107"/>
      <c r="CO107"/>
      <c r="CP107"/>
      <c r="CQ107"/>
      <c r="CR107"/>
      <c r="CS107"/>
      <c r="CT107"/>
      <c r="CU107"/>
      <c r="CV107" s="558"/>
      <c r="CW107"/>
      <c r="CX107"/>
      <c r="CY107"/>
      <c r="CZ107"/>
      <c r="DA107"/>
      <c r="DB107"/>
      <c r="DC107"/>
      <c r="DD107"/>
      <c r="DE107"/>
      <c r="DF107"/>
      <c r="DG107" s="455">
        <v>0.20200000000000001</v>
      </c>
      <c r="DH107" s="455">
        <v>1</v>
      </c>
      <c r="DI107"/>
      <c r="DJ107"/>
      <c r="DK107"/>
      <c r="DL107"/>
      <c r="DM107"/>
      <c r="DN107"/>
      <c r="DO107"/>
      <c r="DP107"/>
      <c r="DQ107"/>
      <c r="DR107"/>
      <c r="DS107"/>
      <c r="DT107"/>
      <c r="DU107" s="558"/>
      <c r="DV107"/>
      <c r="DW107"/>
      <c r="DX107"/>
      <c r="DZ107" s="455">
        <v>0.20200000000000001</v>
      </c>
      <c r="EA107" s="455"/>
      <c r="EB107"/>
      <c r="EC107">
        <v>1</v>
      </c>
      <c r="ED107"/>
      <c r="EE107"/>
      <c r="EF107"/>
      <c r="EG107" s="558"/>
      <c r="EH107"/>
      <c r="EJ107" s="455">
        <v>0.20200000000000001</v>
      </c>
      <c r="EK107" s="455">
        <v>1</v>
      </c>
      <c r="EL107"/>
      <c r="EM107"/>
      <c r="EN107"/>
      <c r="EO107"/>
      <c r="EP107"/>
      <c r="EQ107"/>
      <c r="ER107"/>
      <c r="ES107"/>
      <c r="ET107"/>
      <c r="EU107"/>
      <c r="EV107"/>
      <c r="EW107"/>
      <c r="EX107"/>
      <c r="EY107"/>
      <c r="EZ107"/>
      <c r="FA107"/>
      <c r="FB107"/>
      <c r="FC107"/>
      <c r="FD107"/>
      <c r="FE107"/>
      <c r="FF107"/>
      <c r="FG107"/>
      <c r="FH107" s="558"/>
      <c r="FI107"/>
      <c r="FK107" s="449">
        <v>4.0270000000000001</v>
      </c>
      <c r="FL107" s="449" t="s">
        <v>405</v>
      </c>
      <c r="FM107" s="449">
        <v>1</v>
      </c>
      <c r="FN107" s="452"/>
      <c r="FO107" s="452"/>
      <c r="FP107" s="452"/>
      <c r="FQ107" s="452"/>
      <c r="FR107" s="452"/>
      <c r="FS107" s="452"/>
      <c r="FT107" s="452"/>
      <c r="FU107" s="452"/>
      <c r="FV107" s="452"/>
      <c r="FW107" s="452"/>
      <c r="FX107" s="452"/>
      <c r="FY107" s="452"/>
      <c r="FZ107" s="453"/>
      <c r="GA107"/>
      <c r="GB107"/>
      <c r="GC107"/>
      <c r="GD107"/>
    </row>
    <row r="108" spans="33:186" x14ac:dyDescent="0.15">
      <c r="AG108" s="455">
        <v>10.792</v>
      </c>
      <c r="AH108" s="556">
        <v>1</v>
      </c>
      <c r="AJ108" s="455">
        <v>10.792</v>
      </c>
      <c r="AK108" s="556">
        <v>1</v>
      </c>
      <c r="AL108"/>
      <c r="AM108"/>
      <c r="AN108"/>
      <c r="AO108" s="455">
        <v>10.792</v>
      </c>
      <c r="AP108" s="455"/>
      <c r="AQ108"/>
      <c r="AR108"/>
      <c r="AS108"/>
      <c r="AT108"/>
      <c r="AU108"/>
      <c r="AV108"/>
      <c r="AW108">
        <v>1</v>
      </c>
      <c r="AX108"/>
      <c r="AY108"/>
      <c r="AZ108"/>
      <c r="BA108"/>
      <c r="BB108"/>
      <c r="BC108" s="558"/>
      <c r="BD108"/>
      <c r="BE108"/>
      <c r="BF108"/>
      <c r="BG108"/>
      <c r="BH108" s="455">
        <v>10.792</v>
      </c>
      <c r="BI108" s="455">
        <v>1</v>
      </c>
      <c r="BJ108"/>
      <c r="BK108"/>
      <c r="BL108"/>
      <c r="BM108"/>
      <c r="BN108"/>
      <c r="BO108" s="558"/>
      <c r="BP108" s="455">
        <v>10.792</v>
      </c>
      <c r="BQ108" s="455"/>
      <c r="BR108">
        <v>1</v>
      </c>
      <c r="BS108"/>
      <c r="BT108"/>
      <c r="BU108" s="558"/>
      <c r="BV108"/>
      <c r="BW108"/>
      <c r="BZ108" s="455">
        <v>10.792</v>
      </c>
      <c r="CA108" s="556">
        <v>1</v>
      </c>
      <c r="CB108"/>
      <c r="CC108"/>
      <c r="CD108"/>
      <c r="CF108" s="455">
        <v>10.792</v>
      </c>
      <c r="CG108" s="455"/>
      <c r="CH108"/>
      <c r="CI108"/>
      <c r="CJ108"/>
      <c r="CK108">
        <v>1</v>
      </c>
      <c r="CL108"/>
      <c r="CM108"/>
      <c r="CN108"/>
      <c r="CO108"/>
      <c r="CP108"/>
      <c r="CQ108"/>
      <c r="CR108"/>
      <c r="CS108"/>
      <c r="CT108"/>
      <c r="CU108"/>
      <c r="CV108" s="558"/>
      <c r="CW108"/>
      <c r="CX108"/>
      <c r="CY108"/>
      <c r="CZ108"/>
      <c r="DA108"/>
      <c r="DB108"/>
      <c r="DC108"/>
      <c r="DD108"/>
      <c r="DE108"/>
      <c r="DF108"/>
      <c r="DG108" s="455">
        <v>10.792</v>
      </c>
      <c r="DH108" s="455"/>
      <c r="DI108"/>
      <c r="DJ108">
        <v>1</v>
      </c>
      <c r="DK108"/>
      <c r="DL108"/>
      <c r="DM108"/>
      <c r="DN108"/>
      <c r="DO108"/>
      <c r="DP108"/>
      <c r="DQ108"/>
      <c r="DR108"/>
      <c r="DS108"/>
      <c r="DT108"/>
      <c r="DU108" s="558"/>
      <c r="DV108"/>
      <c r="DW108"/>
      <c r="DX108"/>
      <c r="DZ108" s="455">
        <v>10.792</v>
      </c>
      <c r="EA108" s="455"/>
      <c r="EB108">
        <v>1</v>
      </c>
      <c r="EC108"/>
      <c r="ED108"/>
      <c r="EE108"/>
      <c r="EF108"/>
      <c r="EG108" s="558"/>
      <c r="EH108"/>
      <c r="EJ108" s="455">
        <v>10.792</v>
      </c>
      <c r="EK108" s="455"/>
      <c r="EL108"/>
      <c r="EM108"/>
      <c r="EN108"/>
      <c r="EO108"/>
      <c r="EP108"/>
      <c r="EQ108"/>
      <c r="ER108"/>
      <c r="ES108"/>
      <c r="ET108"/>
      <c r="EU108"/>
      <c r="EV108"/>
      <c r="EW108"/>
      <c r="EX108"/>
      <c r="EY108"/>
      <c r="EZ108">
        <v>1</v>
      </c>
      <c r="FA108"/>
      <c r="FB108"/>
      <c r="FC108"/>
      <c r="FD108"/>
      <c r="FE108"/>
      <c r="FF108"/>
      <c r="FG108"/>
      <c r="FH108" s="558"/>
      <c r="FI108"/>
      <c r="FK108" s="449" t="s">
        <v>6799</v>
      </c>
      <c r="FL108" s="457"/>
      <c r="FM108" s="449">
        <v>1</v>
      </c>
      <c r="FN108" s="452"/>
      <c r="FO108" s="452"/>
      <c r="FP108" s="452"/>
      <c r="FQ108" s="452"/>
      <c r="FR108" s="452"/>
      <c r="FS108" s="452"/>
      <c r="FT108" s="452"/>
      <c r="FU108" s="452"/>
      <c r="FV108" s="452"/>
      <c r="FW108" s="452"/>
      <c r="FX108" s="452"/>
      <c r="FY108" s="452"/>
      <c r="FZ108" s="453"/>
      <c r="GA108"/>
      <c r="GB108"/>
      <c r="GC108"/>
      <c r="GD108"/>
    </row>
    <row r="109" spans="33:186" x14ac:dyDescent="0.15">
      <c r="AG109" s="455">
        <v>0.5</v>
      </c>
      <c r="AH109" s="556">
        <v>1</v>
      </c>
      <c r="AJ109" s="455">
        <v>0.5</v>
      </c>
      <c r="AK109" s="556">
        <v>1</v>
      </c>
      <c r="AL109"/>
      <c r="AM109"/>
      <c r="AN109"/>
      <c r="AO109" s="455">
        <v>0.5</v>
      </c>
      <c r="AP109" s="455">
        <v>1</v>
      </c>
      <c r="AQ109"/>
      <c r="AR109"/>
      <c r="AS109"/>
      <c r="AT109"/>
      <c r="AU109"/>
      <c r="AV109"/>
      <c r="AW109"/>
      <c r="AX109"/>
      <c r="AY109"/>
      <c r="AZ109"/>
      <c r="BA109"/>
      <c r="BB109"/>
      <c r="BC109" s="558"/>
      <c r="BD109"/>
      <c r="BE109"/>
      <c r="BF109"/>
      <c r="BG109"/>
      <c r="BH109" s="455">
        <v>0.5</v>
      </c>
      <c r="BI109" s="455">
        <v>1</v>
      </c>
      <c r="BJ109"/>
      <c r="BK109"/>
      <c r="BL109"/>
      <c r="BM109"/>
      <c r="BN109"/>
      <c r="BO109" s="558"/>
      <c r="BP109" s="455">
        <v>0.5</v>
      </c>
      <c r="BQ109" s="455">
        <v>1</v>
      </c>
      <c r="BR109"/>
      <c r="BS109"/>
      <c r="BT109"/>
      <c r="BU109" s="558"/>
      <c r="BV109"/>
      <c r="BW109"/>
      <c r="BZ109" s="455">
        <v>0.5</v>
      </c>
      <c r="CA109" s="556">
        <v>1</v>
      </c>
      <c r="CB109"/>
      <c r="CC109"/>
      <c r="CD109"/>
      <c r="CF109" s="455">
        <v>0.5</v>
      </c>
      <c r="CG109" s="455">
        <v>1</v>
      </c>
      <c r="CH109"/>
      <c r="CI109"/>
      <c r="CJ109"/>
      <c r="CK109"/>
      <c r="CL109"/>
      <c r="CM109"/>
      <c r="CN109"/>
      <c r="CO109"/>
      <c r="CP109"/>
      <c r="CQ109"/>
      <c r="CR109"/>
      <c r="CS109"/>
      <c r="CT109"/>
      <c r="CU109"/>
      <c r="CV109" s="558"/>
      <c r="CW109"/>
      <c r="CX109"/>
      <c r="CY109"/>
      <c r="CZ109"/>
      <c r="DA109"/>
      <c r="DB109"/>
      <c r="DC109"/>
      <c r="DD109"/>
      <c r="DE109"/>
      <c r="DF109"/>
      <c r="DG109" s="455">
        <v>0.5</v>
      </c>
      <c r="DH109" s="455"/>
      <c r="DI109">
        <v>1</v>
      </c>
      <c r="DJ109"/>
      <c r="DK109"/>
      <c r="DL109"/>
      <c r="DM109"/>
      <c r="DN109"/>
      <c r="DO109"/>
      <c r="DP109"/>
      <c r="DQ109"/>
      <c r="DR109"/>
      <c r="DS109"/>
      <c r="DT109"/>
      <c r="DU109" s="558"/>
      <c r="DV109"/>
      <c r="DW109"/>
      <c r="DX109"/>
      <c r="DZ109" s="455">
        <v>0.5</v>
      </c>
      <c r="EA109" s="455"/>
      <c r="EB109"/>
      <c r="EC109"/>
      <c r="ED109"/>
      <c r="EE109"/>
      <c r="EF109"/>
      <c r="EG109" s="558">
        <v>1</v>
      </c>
      <c r="EH109"/>
      <c r="EJ109" s="455">
        <v>0.5</v>
      </c>
      <c r="EK109" s="455"/>
      <c r="EL109"/>
      <c r="EM109"/>
      <c r="EN109"/>
      <c r="EO109">
        <v>1</v>
      </c>
      <c r="EP109"/>
      <c r="EQ109"/>
      <c r="ER109"/>
      <c r="ES109"/>
      <c r="ET109"/>
      <c r="EU109"/>
      <c r="EV109"/>
      <c r="EW109"/>
      <c r="EX109"/>
      <c r="EY109"/>
      <c r="EZ109"/>
      <c r="FA109"/>
      <c r="FB109"/>
      <c r="FC109"/>
      <c r="FD109"/>
      <c r="FE109"/>
      <c r="FF109"/>
      <c r="FG109"/>
      <c r="FH109" s="558"/>
      <c r="FI109"/>
      <c r="FK109" s="449">
        <v>0.316</v>
      </c>
      <c r="FL109" s="449" t="s">
        <v>396</v>
      </c>
      <c r="FM109" s="449">
        <v>1</v>
      </c>
      <c r="FN109" s="452"/>
      <c r="FO109" s="452"/>
      <c r="FP109" s="452"/>
      <c r="FQ109" s="452"/>
      <c r="FR109" s="452"/>
      <c r="FS109" s="452"/>
      <c r="FT109" s="452"/>
      <c r="FU109" s="452"/>
      <c r="FV109" s="452"/>
      <c r="FW109" s="452"/>
      <c r="FX109" s="452"/>
      <c r="FY109" s="452"/>
      <c r="FZ109" s="453"/>
      <c r="GA109"/>
      <c r="GB109"/>
      <c r="GC109"/>
      <c r="GD109"/>
    </row>
    <row r="110" spans="33:186" x14ac:dyDescent="0.15">
      <c r="AG110" s="455">
        <v>16.946999999999999</v>
      </c>
      <c r="AH110" s="556">
        <v>1</v>
      </c>
      <c r="AJ110" s="455">
        <v>16.946999999999999</v>
      </c>
      <c r="AK110" s="556">
        <v>1</v>
      </c>
      <c r="AL110"/>
      <c r="AM110"/>
      <c r="AN110"/>
      <c r="AO110" s="455">
        <v>16.946999999999999</v>
      </c>
      <c r="AP110" s="455"/>
      <c r="AQ110"/>
      <c r="AR110"/>
      <c r="AS110">
        <v>1</v>
      </c>
      <c r="AT110"/>
      <c r="AU110"/>
      <c r="AV110"/>
      <c r="AW110"/>
      <c r="AX110"/>
      <c r="AY110"/>
      <c r="AZ110"/>
      <c r="BA110"/>
      <c r="BB110"/>
      <c r="BC110" s="558"/>
      <c r="BD110"/>
      <c r="BE110"/>
      <c r="BF110"/>
      <c r="BH110" s="455">
        <v>16.946999999999999</v>
      </c>
      <c r="BI110" s="455"/>
      <c r="BJ110">
        <v>1</v>
      </c>
      <c r="BK110"/>
      <c r="BL110"/>
      <c r="BM110"/>
      <c r="BN110"/>
      <c r="BO110" s="558"/>
      <c r="BP110" s="455">
        <v>16.946999999999999</v>
      </c>
      <c r="BQ110" s="455"/>
      <c r="BR110"/>
      <c r="BS110">
        <v>1</v>
      </c>
      <c r="BT110"/>
      <c r="BU110" s="558"/>
      <c r="BV110"/>
      <c r="BW110"/>
      <c r="BZ110" s="455">
        <v>16.946999999999999</v>
      </c>
      <c r="CA110" s="556">
        <v>1</v>
      </c>
      <c r="CB110"/>
      <c r="CC110"/>
      <c r="CD110"/>
      <c r="CF110" s="455">
        <v>16.946999999999999</v>
      </c>
      <c r="CG110" s="455"/>
      <c r="CH110"/>
      <c r="CI110"/>
      <c r="CJ110"/>
      <c r="CK110"/>
      <c r="CL110"/>
      <c r="CM110">
        <v>1</v>
      </c>
      <c r="CN110"/>
      <c r="CO110"/>
      <c r="CP110"/>
      <c r="CQ110"/>
      <c r="CR110"/>
      <c r="CS110"/>
      <c r="CT110"/>
      <c r="CU110"/>
      <c r="CV110" s="558"/>
      <c r="CW110"/>
      <c r="CX110"/>
      <c r="CY110"/>
      <c r="CZ110"/>
      <c r="DA110"/>
      <c r="DB110"/>
      <c r="DC110"/>
      <c r="DD110"/>
      <c r="DE110"/>
      <c r="DF110"/>
      <c r="DG110" s="455">
        <v>16.946999999999999</v>
      </c>
      <c r="DH110" s="455"/>
      <c r="DI110"/>
      <c r="DJ110"/>
      <c r="DK110">
        <v>1</v>
      </c>
      <c r="DL110"/>
      <c r="DM110"/>
      <c r="DN110"/>
      <c r="DO110"/>
      <c r="DP110"/>
      <c r="DQ110"/>
      <c r="DR110"/>
      <c r="DS110"/>
      <c r="DT110"/>
      <c r="DU110" s="558"/>
      <c r="DV110"/>
      <c r="DW110"/>
      <c r="DX110"/>
      <c r="DZ110" s="455">
        <v>16.946999999999999</v>
      </c>
      <c r="EA110" s="455"/>
      <c r="EB110"/>
      <c r="EC110"/>
      <c r="ED110"/>
      <c r="EE110"/>
      <c r="EF110">
        <v>1</v>
      </c>
      <c r="EG110" s="558"/>
      <c r="EH110"/>
      <c r="EJ110" s="455">
        <v>16.946999999999999</v>
      </c>
      <c r="EK110" s="455"/>
      <c r="EL110"/>
      <c r="EM110"/>
      <c r="EN110"/>
      <c r="EO110"/>
      <c r="EP110"/>
      <c r="EQ110">
        <v>1</v>
      </c>
      <c r="ER110"/>
      <c r="ES110"/>
      <c r="ET110"/>
      <c r="EU110"/>
      <c r="EV110"/>
      <c r="EW110"/>
      <c r="EX110"/>
      <c r="EY110"/>
      <c r="EZ110"/>
      <c r="FA110"/>
      <c r="FB110"/>
      <c r="FC110"/>
      <c r="FD110"/>
      <c r="FE110"/>
      <c r="FF110"/>
      <c r="FG110"/>
      <c r="FH110" s="558"/>
      <c r="FI110"/>
      <c r="FK110" s="449" t="s">
        <v>6800</v>
      </c>
      <c r="FL110" s="457"/>
      <c r="FM110" s="449">
        <v>1</v>
      </c>
      <c r="FN110" s="452"/>
      <c r="FO110" s="452"/>
      <c r="FP110" s="452"/>
      <c r="FQ110" s="452"/>
      <c r="FR110" s="452"/>
      <c r="FS110" s="452"/>
      <c r="FT110" s="452"/>
      <c r="FU110" s="452"/>
      <c r="FV110" s="452"/>
      <c r="FW110" s="452"/>
      <c r="FX110" s="452"/>
      <c r="FY110" s="452"/>
      <c r="FZ110" s="453"/>
      <c r="GA110"/>
      <c r="GB110"/>
      <c r="GC110"/>
      <c r="GD110"/>
    </row>
    <row r="111" spans="33:186" x14ac:dyDescent="0.15">
      <c r="AG111" s="455">
        <v>18.8</v>
      </c>
      <c r="AH111" s="556">
        <v>1</v>
      </c>
      <c r="AJ111" s="455">
        <v>18.8</v>
      </c>
      <c r="AK111" s="556">
        <v>1</v>
      </c>
      <c r="AL111"/>
      <c r="AM111"/>
      <c r="AN111"/>
      <c r="AO111" s="455">
        <v>18.8</v>
      </c>
      <c r="AP111" s="455"/>
      <c r="AQ111"/>
      <c r="AR111">
        <v>1</v>
      </c>
      <c r="AS111"/>
      <c r="AT111"/>
      <c r="AU111"/>
      <c r="AV111"/>
      <c r="AW111"/>
      <c r="AX111"/>
      <c r="AY111"/>
      <c r="AZ111"/>
      <c r="BA111"/>
      <c r="BB111"/>
      <c r="BC111" s="558"/>
      <c r="BD111"/>
      <c r="BE111"/>
      <c r="BF111"/>
      <c r="BH111" s="455">
        <v>18.8</v>
      </c>
      <c r="BI111" s="455">
        <v>1</v>
      </c>
      <c r="BJ111"/>
      <c r="BK111"/>
      <c r="BL111"/>
      <c r="BM111"/>
      <c r="BN111"/>
      <c r="BO111" s="558"/>
      <c r="BP111" s="455">
        <v>18.8</v>
      </c>
      <c r="BQ111" s="455"/>
      <c r="BR111">
        <v>1</v>
      </c>
      <c r="BS111"/>
      <c r="BT111"/>
      <c r="BU111" s="558"/>
      <c r="BV111"/>
      <c r="BW111"/>
      <c r="BZ111" s="455">
        <v>18.8</v>
      </c>
      <c r="CA111" s="556">
        <v>1</v>
      </c>
      <c r="CB111"/>
      <c r="CC111"/>
      <c r="CD111"/>
      <c r="CF111" s="455">
        <v>18.8</v>
      </c>
      <c r="CG111" s="455"/>
      <c r="CH111">
        <v>1</v>
      </c>
      <c r="CI111"/>
      <c r="CJ111"/>
      <c r="CK111"/>
      <c r="CL111"/>
      <c r="CM111"/>
      <c r="CN111"/>
      <c r="CO111"/>
      <c r="CP111"/>
      <c r="CQ111"/>
      <c r="CR111"/>
      <c r="CS111"/>
      <c r="CT111"/>
      <c r="CU111"/>
      <c r="CV111" s="558"/>
      <c r="CW111"/>
      <c r="CX111"/>
      <c r="CY111"/>
      <c r="CZ111"/>
      <c r="DA111"/>
      <c r="DB111"/>
      <c r="DC111"/>
      <c r="DD111"/>
      <c r="DE111"/>
      <c r="DF111"/>
      <c r="DG111" s="455">
        <v>18.8</v>
      </c>
      <c r="DH111" s="455"/>
      <c r="DI111">
        <v>1</v>
      </c>
      <c r="DJ111"/>
      <c r="DK111"/>
      <c r="DL111"/>
      <c r="DM111"/>
      <c r="DN111"/>
      <c r="DO111"/>
      <c r="DP111"/>
      <c r="DQ111"/>
      <c r="DR111"/>
      <c r="DS111"/>
      <c r="DT111"/>
      <c r="DU111" s="558"/>
      <c r="DV111"/>
      <c r="DW111"/>
      <c r="DX111"/>
      <c r="DZ111" s="455">
        <v>18.8</v>
      </c>
      <c r="EA111" s="455">
        <v>1</v>
      </c>
      <c r="EB111"/>
      <c r="EC111"/>
      <c r="ED111"/>
      <c r="EE111"/>
      <c r="EF111"/>
      <c r="EG111" s="558"/>
      <c r="EH111"/>
      <c r="EJ111" s="455">
        <v>18.8</v>
      </c>
      <c r="EK111" s="455"/>
      <c r="EL111"/>
      <c r="EM111"/>
      <c r="EN111"/>
      <c r="EO111"/>
      <c r="EP111"/>
      <c r="EQ111"/>
      <c r="ER111"/>
      <c r="ES111"/>
      <c r="ET111"/>
      <c r="EU111">
        <v>1</v>
      </c>
      <c r="EV111"/>
      <c r="EW111"/>
      <c r="EX111"/>
      <c r="EY111"/>
      <c r="EZ111"/>
      <c r="FA111"/>
      <c r="FB111"/>
      <c r="FC111"/>
      <c r="FD111"/>
      <c r="FE111"/>
      <c r="FF111"/>
      <c r="FG111"/>
      <c r="FH111" s="558"/>
      <c r="FI111"/>
      <c r="FK111" s="449">
        <v>11.082000000000001</v>
      </c>
      <c r="FL111" s="449" t="s">
        <v>410</v>
      </c>
      <c r="FM111" s="449"/>
      <c r="FN111" s="452"/>
      <c r="FO111" s="452">
        <v>1</v>
      </c>
      <c r="FP111" s="452"/>
      <c r="FQ111" s="452"/>
      <c r="FR111" s="452"/>
      <c r="FS111" s="452"/>
      <c r="FT111" s="452"/>
      <c r="FU111" s="452"/>
      <c r="FV111" s="452"/>
      <c r="FW111" s="452"/>
      <c r="FX111" s="452"/>
      <c r="FY111" s="452"/>
      <c r="FZ111" s="453"/>
      <c r="GA111"/>
      <c r="GB111"/>
      <c r="GC111"/>
      <c r="GD111"/>
    </row>
    <row r="112" spans="33:186" x14ac:dyDescent="0.15">
      <c r="AG112" s="455">
        <v>0.92400000000000004</v>
      </c>
      <c r="AH112" s="556">
        <v>1</v>
      </c>
      <c r="AJ112" s="455">
        <v>0.92400000000000004</v>
      </c>
      <c r="AK112" s="556">
        <v>1</v>
      </c>
      <c r="AL112"/>
      <c r="AM112"/>
      <c r="AN112"/>
      <c r="AO112" s="455">
        <v>0.92400000000000004</v>
      </c>
      <c r="AP112" s="455"/>
      <c r="AQ112"/>
      <c r="AR112"/>
      <c r="AS112"/>
      <c r="AT112"/>
      <c r="AU112"/>
      <c r="AV112">
        <v>1</v>
      </c>
      <c r="AW112"/>
      <c r="AX112"/>
      <c r="AY112"/>
      <c r="AZ112"/>
      <c r="BA112"/>
      <c r="BB112"/>
      <c r="BC112" s="558"/>
      <c r="BD112"/>
      <c r="BE112"/>
      <c r="BF112"/>
      <c r="BH112" s="455">
        <v>0.92400000000000004</v>
      </c>
      <c r="BI112" s="455">
        <v>1</v>
      </c>
      <c r="BJ112"/>
      <c r="BK112"/>
      <c r="BL112"/>
      <c r="BM112"/>
      <c r="BN112"/>
      <c r="BO112" s="558"/>
      <c r="BP112" s="455">
        <v>0.92400000000000004</v>
      </c>
      <c r="BQ112" s="455">
        <v>1</v>
      </c>
      <c r="BR112"/>
      <c r="BS112"/>
      <c r="BT112"/>
      <c r="BU112" s="558"/>
      <c r="BV112"/>
      <c r="BW112"/>
      <c r="BZ112" s="455">
        <v>0.92400000000000004</v>
      </c>
      <c r="CA112" s="556">
        <v>1</v>
      </c>
      <c r="CB112"/>
      <c r="CC112"/>
      <c r="CD112"/>
      <c r="CF112" s="455">
        <v>0.92400000000000004</v>
      </c>
      <c r="CG112" s="455">
        <v>1</v>
      </c>
      <c r="CH112"/>
      <c r="CI112"/>
      <c r="CJ112"/>
      <c r="CK112"/>
      <c r="CL112"/>
      <c r="CM112"/>
      <c r="CN112"/>
      <c r="CO112"/>
      <c r="CP112"/>
      <c r="CQ112"/>
      <c r="CR112"/>
      <c r="CS112"/>
      <c r="CT112"/>
      <c r="CU112"/>
      <c r="CV112" s="558"/>
      <c r="CW112"/>
      <c r="CX112"/>
      <c r="CY112"/>
      <c r="CZ112"/>
      <c r="DA112"/>
      <c r="DB112"/>
      <c r="DC112"/>
      <c r="DD112"/>
      <c r="DE112"/>
      <c r="DF112"/>
      <c r="DG112" s="455">
        <v>0.92400000000000004</v>
      </c>
      <c r="DH112" s="455"/>
      <c r="DI112">
        <v>1</v>
      </c>
      <c r="DJ112"/>
      <c r="DK112"/>
      <c r="DL112"/>
      <c r="DM112"/>
      <c r="DN112"/>
      <c r="DO112"/>
      <c r="DP112"/>
      <c r="DQ112"/>
      <c r="DR112"/>
      <c r="DS112"/>
      <c r="DT112"/>
      <c r="DU112" s="558"/>
      <c r="DV112"/>
      <c r="DW112"/>
      <c r="DX112"/>
      <c r="DZ112" s="455">
        <v>0.92400000000000004</v>
      </c>
      <c r="EA112" s="455"/>
      <c r="EB112"/>
      <c r="EC112"/>
      <c r="ED112"/>
      <c r="EE112">
        <v>1</v>
      </c>
      <c r="EF112"/>
      <c r="EG112" s="558"/>
      <c r="EH112"/>
      <c r="EJ112" s="455">
        <v>0.92400000000000004</v>
      </c>
      <c r="EK112" s="455"/>
      <c r="EL112"/>
      <c r="EM112"/>
      <c r="EN112"/>
      <c r="EO112"/>
      <c r="EP112"/>
      <c r="EQ112"/>
      <c r="ER112"/>
      <c r="ES112"/>
      <c r="ET112"/>
      <c r="EU112"/>
      <c r="EV112"/>
      <c r="EW112"/>
      <c r="EX112"/>
      <c r="EY112"/>
      <c r="EZ112"/>
      <c r="FA112"/>
      <c r="FB112"/>
      <c r="FC112"/>
      <c r="FD112"/>
      <c r="FE112"/>
      <c r="FF112"/>
      <c r="FG112"/>
      <c r="FH112" s="558">
        <v>1</v>
      </c>
      <c r="FI112"/>
      <c r="FK112" s="449" t="s">
        <v>6801</v>
      </c>
      <c r="FL112" s="457"/>
      <c r="FM112" s="449"/>
      <c r="FN112" s="452"/>
      <c r="FO112" s="452">
        <v>1</v>
      </c>
      <c r="FP112" s="452"/>
      <c r="FQ112" s="452"/>
      <c r="FR112" s="452"/>
      <c r="FS112" s="452"/>
      <c r="FT112" s="452"/>
      <c r="FU112" s="452"/>
      <c r="FV112" s="452"/>
      <c r="FW112" s="452"/>
      <c r="FX112" s="452"/>
      <c r="FY112" s="452"/>
      <c r="FZ112" s="453"/>
      <c r="GA112"/>
      <c r="GB112"/>
      <c r="GC112"/>
      <c r="GD112"/>
    </row>
    <row r="113" spans="4:186" x14ac:dyDescent="0.15">
      <c r="AG113" s="455">
        <v>21.347999999999999</v>
      </c>
      <c r="AH113" s="556">
        <v>1</v>
      </c>
      <c r="AJ113" s="455">
        <v>21.347999999999999</v>
      </c>
      <c r="AK113" s="556">
        <v>1</v>
      </c>
      <c r="AL113"/>
      <c r="AM113"/>
      <c r="AN113"/>
      <c r="AO113" s="455">
        <v>21.347999999999999</v>
      </c>
      <c r="AP113" s="455"/>
      <c r="AQ113"/>
      <c r="AR113"/>
      <c r="AS113"/>
      <c r="AT113"/>
      <c r="AU113">
        <v>1</v>
      </c>
      <c r="AV113"/>
      <c r="AW113"/>
      <c r="AX113"/>
      <c r="AY113"/>
      <c r="AZ113"/>
      <c r="BA113"/>
      <c r="BB113"/>
      <c r="BC113" s="558"/>
      <c r="BD113"/>
      <c r="BE113"/>
      <c r="BF113"/>
      <c r="BH113" s="455">
        <v>21.347999999999999</v>
      </c>
      <c r="BI113" s="455">
        <v>1</v>
      </c>
      <c r="BJ113"/>
      <c r="BK113"/>
      <c r="BL113"/>
      <c r="BM113"/>
      <c r="BN113"/>
      <c r="BO113" s="558"/>
      <c r="BP113" s="455">
        <v>21.347999999999999</v>
      </c>
      <c r="BQ113" s="455"/>
      <c r="BR113">
        <v>1</v>
      </c>
      <c r="BS113"/>
      <c r="BT113"/>
      <c r="BU113" s="558"/>
      <c r="BV113"/>
      <c r="BW113"/>
      <c r="BZ113" s="455">
        <v>21.347999999999999</v>
      </c>
      <c r="CA113" s="556">
        <v>1</v>
      </c>
      <c r="CB113"/>
      <c r="CC113"/>
      <c r="CD113"/>
      <c r="CF113" s="455">
        <v>21.347999999999999</v>
      </c>
      <c r="CG113" s="455"/>
      <c r="CH113"/>
      <c r="CI113"/>
      <c r="CJ113"/>
      <c r="CK113"/>
      <c r="CL113"/>
      <c r="CM113"/>
      <c r="CN113"/>
      <c r="CO113"/>
      <c r="CP113"/>
      <c r="CQ113">
        <v>1</v>
      </c>
      <c r="CR113"/>
      <c r="CS113"/>
      <c r="CT113"/>
      <c r="CU113"/>
      <c r="CV113" s="558"/>
      <c r="CW113"/>
      <c r="CX113"/>
      <c r="CY113"/>
      <c r="CZ113"/>
      <c r="DA113"/>
      <c r="DB113"/>
      <c r="DC113"/>
      <c r="DD113"/>
      <c r="DE113"/>
      <c r="DF113"/>
      <c r="DG113" s="455">
        <v>21.347999999999999</v>
      </c>
      <c r="DH113" s="455">
        <v>1</v>
      </c>
      <c r="DI113"/>
      <c r="DJ113"/>
      <c r="DK113"/>
      <c r="DL113"/>
      <c r="DM113"/>
      <c r="DN113"/>
      <c r="DO113"/>
      <c r="DP113"/>
      <c r="DQ113"/>
      <c r="DR113"/>
      <c r="DS113"/>
      <c r="DT113"/>
      <c r="DU113" s="558"/>
      <c r="DV113"/>
      <c r="DW113"/>
      <c r="DX113"/>
      <c r="DZ113" s="455">
        <v>21.347999999999999</v>
      </c>
      <c r="EA113" s="455"/>
      <c r="EB113">
        <v>1</v>
      </c>
      <c r="EC113"/>
      <c r="ED113"/>
      <c r="EE113"/>
      <c r="EF113"/>
      <c r="EG113" s="558"/>
      <c r="EH113"/>
      <c r="EJ113" s="455">
        <v>21.347999999999999</v>
      </c>
      <c r="EK113" s="455"/>
      <c r="EL113"/>
      <c r="EM113"/>
      <c r="EN113"/>
      <c r="EO113"/>
      <c r="EP113"/>
      <c r="EQ113"/>
      <c r="ER113"/>
      <c r="ES113">
        <v>1</v>
      </c>
      <c r="ET113"/>
      <c r="EU113"/>
      <c r="EV113"/>
      <c r="EW113"/>
      <c r="EX113"/>
      <c r="EY113"/>
      <c r="EZ113"/>
      <c r="FA113"/>
      <c r="FB113"/>
      <c r="FC113"/>
      <c r="FD113"/>
      <c r="FE113"/>
      <c r="FF113"/>
      <c r="FG113"/>
      <c r="FH113" s="558"/>
      <c r="FI113"/>
      <c r="FK113" s="449">
        <v>5.4429999999999996</v>
      </c>
      <c r="FL113" s="449" t="s">
        <v>411</v>
      </c>
      <c r="FM113" s="449">
        <v>1</v>
      </c>
      <c r="FN113" s="452"/>
      <c r="FO113" s="452"/>
      <c r="FP113" s="452"/>
      <c r="FQ113" s="452"/>
      <c r="FR113" s="452"/>
      <c r="FS113" s="452"/>
      <c r="FT113" s="452"/>
      <c r="FU113" s="452"/>
      <c r="FV113" s="452"/>
      <c r="FW113" s="452"/>
      <c r="FX113" s="452"/>
      <c r="FY113" s="452"/>
      <c r="FZ113" s="453"/>
      <c r="GA113"/>
      <c r="GB113"/>
      <c r="GC113"/>
      <c r="GD113"/>
    </row>
    <row r="114" spans="4:186" x14ac:dyDescent="0.15">
      <c r="AG114" s="455">
        <v>2.6840000000000002</v>
      </c>
      <c r="AH114" s="556">
        <v>1</v>
      </c>
      <c r="AJ114" s="455">
        <v>2.6840000000000002</v>
      </c>
      <c r="AK114" s="556">
        <v>1</v>
      </c>
      <c r="AL114"/>
      <c r="AM114"/>
      <c r="AN114"/>
      <c r="AO114" s="455">
        <v>2.6840000000000002</v>
      </c>
      <c r="AP114" s="455">
        <v>1</v>
      </c>
      <c r="AQ114"/>
      <c r="AR114"/>
      <c r="AS114"/>
      <c r="AT114"/>
      <c r="AU114"/>
      <c r="AV114"/>
      <c r="AW114"/>
      <c r="AX114"/>
      <c r="AY114"/>
      <c r="AZ114"/>
      <c r="BA114"/>
      <c r="BB114"/>
      <c r="BC114" s="558"/>
      <c r="BD114"/>
      <c r="BE114"/>
      <c r="BF114"/>
      <c r="BH114" s="455">
        <v>2.6840000000000002</v>
      </c>
      <c r="BI114" s="455">
        <v>1</v>
      </c>
      <c r="BJ114"/>
      <c r="BK114"/>
      <c r="BL114"/>
      <c r="BM114"/>
      <c r="BN114"/>
      <c r="BO114" s="558"/>
      <c r="BP114" s="455">
        <v>2.6840000000000002</v>
      </c>
      <c r="BQ114" s="455"/>
      <c r="BR114"/>
      <c r="BS114">
        <v>1</v>
      </c>
      <c r="BT114"/>
      <c r="BU114" s="558"/>
      <c r="BV114"/>
      <c r="BW114"/>
      <c r="BZ114" s="455">
        <v>2.6840000000000002</v>
      </c>
      <c r="CA114" s="556">
        <v>1</v>
      </c>
      <c r="CB114"/>
      <c r="CC114"/>
      <c r="CD114"/>
      <c r="CF114" s="455">
        <v>2.6840000000000002</v>
      </c>
      <c r="CG114" s="455">
        <v>1</v>
      </c>
      <c r="CH114"/>
      <c r="CI114"/>
      <c r="CJ114"/>
      <c r="CK114"/>
      <c r="CL114"/>
      <c r="CM114"/>
      <c r="CN114"/>
      <c r="CO114"/>
      <c r="CP114"/>
      <c r="CQ114"/>
      <c r="CR114"/>
      <c r="CS114"/>
      <c r="CT114"/>
      <c r="CU114"/>
      <c r="CV114" s="558"/>
      <c r="CW114"/>
      <c r="CX114"/>
      <c r="CY114"/>
      <c r="CZ114"/>
      <c r="DA114"/>
      <c r="DB114"/>
      <c r="DC114"/>
      <c r="DD114"/>
      <c r="DE114"/>
      <c r="DF114"/>
      <c r="DG114" s="455">
        <v>2.6840000000000002</v>
      </c>
      <c r="DH114" s="455"/>
      <c r="DI114">
        <v>1</v>
      </c>
      <c r="DJ114"/>
      <c r="DK114"/>
      <c r="DL114"/>
      <c r="DM114"/>
      <c r="DN114"/>
      <c r="DO114"/>
      <c r="DP114"/>
      <c r="DQ114"/>
      <c r="DR114"/>
      <c r="DS114"/>
      <c r="DT114"/>
      <c r="DU114" s="558"/>
      <c r="DV114"/>
      <c r="DW114"/>
      <c r="DX114"/>
      <c r="DZ114" s="455">
        <v>2.6840000000000002</v>
      </c>
      <c r="EA114" s="455"/>
      <c r="EB114"/>
      <c r="EC114"/>
      <c r="ED114"/>
      <c r="EE114"/>
      <c r="EF114"/>
      <c r="EG114" s="558">
        <v>1</v>
      </c>
      <c r="EH114"/>
      <c r="EJ114" s="455">
        <v>2.6840000000000002</v>
      </c>
      <c r="EK114" s="455"/>
      <c r="EL114"/>
      <c r="EM114"/>
      <c r="EN114">
        <v>1</v>
      </c>
      <c r="EO114"/>
      <c r="EP114"/>
      <c r="EQ114"/>
      <c r="ER114"/>
      <c r="ES114"/>
      <c r="ET114"/>
      <c r="EU114"/>
      <c r="EV114"/>
      <c r="EW114"/>
      <c r="EX114"/>
      <c r="EY114"/>
      <c r="EZ114"/>
      <c r="FA114"/>
      <c r="FB114"/>
      <c r="FC114"/>
      <c r="FD114"/>
      <c r="FE114"/>
      <c r="FF114"/>
      <c r="FG114"/>
      <c r="FH114" s="558"/>
      <c r="FI114"/>
      <c r="FK114" s="449" t="s">
        <v>6802</v>
      </c>
      <c r="FL114" s="457"/>
      <c r="FM114" s="449">
        <v>1</v>
      </c>
      <c r="FN114" s="452"/>
      <c r="FO114" s="452"/>
      <c r="FP114" s="452"/>
      <c r="FQ114" s="452"/>
      <c r="FR114" s="452"/>
      <c r="FS114" s="452"/>
      <c r="FT114" s="452"/>
      <c r="FU114" s="452"/>
      <c r="FV114" s="452"/>
      <c r="FW114" s="452"/>
      <c r="FX114" s="452"/>
      <c r="FY114" s="452"/>
      <c r="FZ114" s="453"/>
      <c r="GA114"/>
      <c r="GB114"/>
      <c r="GC114"/>
      <c r="GD114"/>
    </row>
    <row r="115" spans="4:186" ht="18" x14ac:dyDescent="0.2">
      <c r="D115" s="18" t="str">
        <f>$D$1</f>
        <v>Type 'Heading' Here</v>
      </c>
      <c r="AG115" s="455">
        <v>16.8</v>
      </c>
      <c r="AH115" s="556">
        <v>1</v>
      </c>
      <c r="AJ115" s="455">
        <v>16.8</v>
      </c>
      <c r="AK115" s="556">
        <v>1</v>
      </c>
      <c r="AL115"/>
      <c r="AM115"/>
      <c r="AN115"/>
      <c r="AO115" s="455">
        <v>16.8</v>
      </c>
      <c r="AP115" s="455"/>
      <c r="AQ115">
        <v>1</v>
      </c>
      <c r="AR115"/>
      <c r="AS115"/>
      <c r="AT115"/>
      <c r="AU115"/>
      <c r="AV115"/>
      <c r="AW115"/>
      <c r="AX115"/>
      <c r="AY115"/>
      <c r="AZ115"/>
      <c r="BA115"/>
      <c r="BB115"/>
      <c r="BC115" s="558"/>
      <c r="BD115"/>
      <c r="BE115"/>
      <c r="BF115"/>
      <c r="BH115" s="455">
        <v>16.8</v>
      </c>
      <c r="BI115" s="455"/>
      <c r="BJ115">
        <v>1</v>
      </c>
      <c r="BK115"/>
      <c r="BL115"/>
      <c r="BM115"/>
      <c r="BN115"/>
      <c r="BO115" s="558"/>
      <c r="BP115" s="455">
        <v>16.8</v>
      </c>
      <c r="BQ115" s="455">
        <v>1</v>
      </c>
      <c r="BR115"/>
      <c r="BS115"/>
      <c r="BT115"/>
      <c r="BU115" s="558"/>
      <c r="BV115"/>
      <c r="BW115"/>
      <c r="BZ115" s="455">
        <v>16.8</v>
      </c>
      <c r="CA115" s="556">
        <v>1</v>
      </c>
      <c r="CB115"/>
      <c r="CC115"/>
      <c r="CD115"/>
      <c r="CF115" s="455">
        <v>16.8</v>
      </c>
      <c r="CG115" s="455"/>
      <c r="CH115"/>
      <c r="CI115"/>
      <c r="CJ115"/>
      <c r="CK115"/>
      <c r="CL115"/>
      <c r="CM115"/>
      <c r="CN115">
        <v>1</v>
      </c>
      <c r="CO115"/>
      <c r="CP115"/>
      <c r="CQ115"/>
      <c r="CR115"/>
      <c r="CS115"/>
      <c r="CT115"/>
      <c r="CU115"/>
      <c r="CV115" s="558"/>
      <c r="CW115"/>
      <c r="CX115"/>
      <c r="CY115"/>
      <c r="CZ115"/>
      <c r="DA115"/>
      <c r="DB115"/>
      <c r="DC115"/>
      <c r="DD115"/>
      <c r="DE115"/>
      <c r="DF115"/>
      <c r="DG115" s="455">
        <v>16.8</v>
      </c>
      <c r="DH115" s="455"/>
      <c r="DI115">
        <v>1</v>
      </c>
      <c r="DJ115"/>
      <c r="DK115"/>
      <c r="DL115"/>
      <c r="DM115"/>
      <c r="DN115"/>
      <c r="DO115"/>
      <c r="DP115"/>
      <c r="DQ115"/>
      <c r="DR115"/>
      <c r="DS115"/>
      <c r="DT115"/>
      <c r="DU115" s="558"/>
      <c r="DV115"/>
      <c r="DW115"/>
      <c r="DX115"/>
      <c r="DZ115" s="455">
        <v>16.8</v>
      </c>
      <c r="EA115" s="455"/>
      <c r="EB115"/>
      <c r="EC115"/>
      <c r="ED115"/>
      <c r="EE115">
        <v>1</v>
      </c>
      <c r="EF115"/>
      <c r="EG115" s="558"/>
      <c r="EH115"/>
      <c r="EJ115" s="455">
        <v>16.8</v>
      </c>
      <c r="EK115" s="455"/>
      <c r="EL115"/>
      <c r="EM115"/>
      <c r="EN115"/>
      <c r="EO115"/>
      <c r="EP115"/>
      <c r="EQ115"/>
      <c r="ER115"/>
      <c r="ES115"/>
      <c r="ET115"/>
      <c r="EU115"/>
      <c r="EV115"/>
      <c r="EW115"/>
      <c r="EX115"/>
      <c r="EY115"/>
      <c r="EZ115"/>
      <c r="FA115"/>
      <c r="FB115"/>
      <c r="FC115">
        <v>1</v>
      </c>
      <c r="FD115"/>
      <c r="FE115"/>
      <c r="FF115"/>
      <c r="FG115"/>
      <c r="FH115" s="558"/>
      <c r="FI115"/>
      <c r="FK115" s="449">
        <v>7.5869999999999997</v>
      </c>
      <c r="FL115" s="449" t="s">
        <v>406</v>
      </c>
      <c r="FM115" s="449"/>
      <c r="FN115" s="452"/>
      <c r="FO115" s="452"/>
      <c r="FP115" s="452"/>
      <c r="FQ115" s="452"/>
      <c r="FR115" s="452"/>
      <c r="FS115" s="452"/>
      <c r="FT115" s="452"/>
      <c r="FU115" s="452"/>
      <c r="FV115" s="452"/>
      <c r="FW115" s="452">
        <v>1</v>
      </c>
      <c r="FX115" s="452"/>
      <c r="FY115" s="452"/>
      <c r="FZ115" s="453"/>
      <c r="GA115"/>
      <c r="GB115"/>
      <c r="GC115"/>
      <c r="GD115"/>
    </row>
    <row r="116" spans="4:186" x14ac:dyDescent="0.15">
      <c r="D116" s="23" t="s">
        <v>159</v>
      </c>
      <c r="AG116" s="455">
        <v>1.7390000000000001</v>
      </c>
      <c r="AH116" s="556">
        <v>1</v>
      </c>
      <c r="AJ116" s="455">
        <v>1.7390000000000001</v>
      </c>
      <c r="AK116" s="556">
        <v>1</v>
      </c>
      <c r="AL116"/>
      <c r="AM116"/>
      <c r="AN116"/>
      <c r="AO116" s="455">
        <v>1.7390000000000001</v>
      </c>
      <c r="AP116" s="455"/>
      <c r="AQ116"/>
      <c r="AR116">
        <v>1</v>
      </c>
      <c r="AS116"/>
      <c r="AT116"/>
      <c r="AU116"/>
      <c r="AV116"/>
      <c r="AW116"/>
      <c r="AX116"/>
      <c r="AY116"/>
      <c r="AZ116"/>
      <c r="BA116"/>
      <c r="BB116"/>
      <c r="BC116" s="558"/>
      <c r="BD116"/>
      <c r="BE116"/>
      <c r="BF116"/>
      <c r="BH116" s="455">
        <v>1.7390000000000001</v>
      </c>
      <c r="BI116" s="455">
        <v>1</v>
      </c>
      <c r="BJ116"/>
      <c r="BK116"/>
      <c r="BL116"/>
      <c r="BM116"/>
      <c r="BN116"/>
      <c r="BO116" s="558"/>
      <c r="BP116" s="455">
        <v>1.7390000000000001</v>
      </c>
      <c r="BQ116" s="455">
        <v>1</v>
      </c>
      <c r="BR116"/>
      <c r="BS116"/>
      <c r="BT116"/>
      <c r="BU116" s="558"/>
      <c r="BV116"/>
      <c r="BW116"/>
      <c r="BZ116" s="455">
        <v>1.7390000000000001</v>
      </c>
      <c r="CA116" s="556">
        <v>1</v>
      </c>
      <c r="CB116"/>
      <c r="CC116"/>
      <c r="CD116"/>
      <c r="CF116" s="455">
        <v>1.7390000000000001</v>
      </c>
      <c r="CG116" s="455"/>
      <c r="CH116"/>
      <c r="CI116"/>
      <c r="CJ116"/>
      <c r="CK116"/>
      <c r="CL116"/>
      <c r="CM116"/>
      <c r="CN116"/>
      <c r="CO116"/>
      <c r="CP116">
        <v>1</v>
      </c>
      <c r="CQ116"/>
      <c r="CR116"/>
      <c r="CS116"/>
      <c r="CT116"/>
      <c r="CU116"/>
      <c r="CV116" s="558"/>
      <c r="CW116"/>
      <c r="CX116"/>
      <c r="CY116"/>
      <c r="CZ116"/>
      <c r="DA116"/>
      <c r="DB116"/>
      <c r="DC116"/>
      <c r="DD116"/>
      <c r="DE116"/>
      <c r="DF116"/>
      <c r="DG116" s="455">
        <v>1.7390000000000001</v>
      </c>
      <c r="DH116" s="455">
        <v>1</v>
      </c>
      <c r="DI116"/>
      <c r="DJ116"/>
      <c r="DK116"/>
      <c r="DL116"/>
      <c r="DM116"/>
      <c r="DN116"/>
      <c r="DO116"/>
      <c r="DP116"/>
      <c r="DQ116"/>
      <c r="DR116"/>
      <c r="DS116"/>
      <c r="DT116"/>
      <c r="DU116" s="558"/>
      <c r="DV116"/>
      <c r="DW116"/>
      <c r="DX116"/>
      <c r="DZ116" s="455">
        <v>1.7390000000000001</v>
      </c>
      <c r="EA116" s="455">
        <v>1</v>
      </c>
      <c r="EB116"/>
      <c r="EC116"/>
      <c r="ED116"/>
      <c r="EE116"/>
      <c r="EF116"/>
      <c r="EG116" s="558"/>
      <c r="EH116"/>
      <c r="EJ116" s="455">
        <v>1.7390000000000001</v>
      </c>
      <c r="EK116" s="455"/>
      <c r="EL116"/>
      <c r="EM116"/>
      <c r="EN116"/>
      <c r="EO116"/>
      <c r="EP116"/>
      <c r="EQ116"/>
      <c r="ER116"/>
      <c r="ES116"/>
      <c r="ET116"/>
      <c r="EU116"/>
      <c r="EV116"/>
      <c r="EW116"/>
      <c r="EX116"/>
      <c r="EY116"/>
      <c r="EZ116"/>
      <c r="FA116"/>
      <c r="FB116"/>
      <c r="FC116"/>
      <c r="FD116"/>
      <c r="FE116"/>
      <c r="FF116"/>
      <c r="FG116">
        <v>1</v>
      </c>
      <c r="FH116" s="558"/>
      <c r="FI116"/>
      <c r="FK116" s="449" t="s">
        <v>6803</v>
      </c>
      <c r="FL116" s="457"/>
      <c r="FM116" s="449"/>
      <c r="FN116" s="452"/>
      <c r="FO116" s="452"/>
      <c r="FP116" s="452"/>
      <c r="FQ116" s="452"/>
      <c r="FR116" s="452"/>
      <c r="FS116" s="452"/>
      <c r="FT116" s="452"/>
      <c r="FU116" s="452"/>
      <c r="FV116" s="452"/>
      <c r="FW116" s="452">
        <v>1</v>
      </c>
      <c r="FX116" s="452"/>
      <c r="FY116" s="452"/>
      <c r="FZ116" s="453"/>
      <c r="GA116"/>
      <c r="GB116"/>
      <c r="GC116"/>
      <c r="GD116"/>
    </row>
    <row r="117" spans="4:186" x14ac:dyDescent="0.15">
      <c r="AG117" s="455">
        <v>6.9489999999999998</v>
      </c>
      <c r="AH117" s="556">
        <v>1</v>
      </c>
      <c r="AJ117" s="455">
        <v>6.9489999999999998</v>
      </c>
      <c r="AK117" s="556">
        <v>1</v>
      </c>
      <c r="AL117"/>
      <c r="AM117"/>
      <c r="AN117"/>
      <c r="AO117" s="455">
        <v>6.9489999999999998</v>
      </c>
      <c r="AP117" s="455"/>
      <c r="AQ117"/>
      <c r="AR117">
        <v>1</v>
      </c>
      <c r="AS117"/>
      <c r="AT117"/>
      <c r="AU117"/>
      <c r="AV117"/>
      <c r="AW117"/>
      <c r="AX117"/>
      <c r="AY117"/>
      <c r="AZ117"/>
      <c r="BA117"/>
      <c r="BB117"/>
      <c r="BC117" s="558"/>
      <c r="BD117"/>
      <c r="BE117"/>
      <c r="BF117"/>
      <c r="BH117" s="455">
        <v>6.9489999999999998</v>
      </c>
      <c r="BI117" s="455">
        <v>1</v>
      </c>
      <c r="BJ117"/>
      <c r="BK117"/>
      <c r="BL117"/>
      <c r="BM117"/>
      <c r="BN117"/>
      <c r="BO117" s="558"/>
      <c r="BP117" s="455">
        <v>6.9489999999999998</v>
      </c>
      <c r="BQ117" s="455"/>
      <c r="BR117">
        <v>1</v>
      </c>
      <c r="BS117"/>
      <c r="BT117"/>
      <c r="BU117" s="558"/>
      <c r="BV117"/>
      <c r="BW117"/>
      <c r="BZ117" s="455">
        <v>6.9489999999999998</v>
      </c>
      <c r="CA117" s="556">
        <v>1</v>
      </c>
      <c r="CB117"/>
      <c r="CC117"/>
      <c r="CD117"/>
      <c r="CF117" s="455">
        <v>6.9489999999999998</v>
      </c>
      <c r="CG117" s="455"/>
      <c r="CH117"/>
      <c r="CI117"/>
      <c r="CJ117"/>
      <c r="CK117">
        <v>1</v>
      </c>
      <c r="CL117"/>
      <c r="CM117"/>
      <c r="CN117"/>
      <c r="CO117"/>
      <c r="CP117"/>
      <c r="CQ117"/>
      <c r="CR117"/>
      <c r="CS117"/>
      <c r="CT117"/>
      <c r="CU117"/>
      <c r="CV117" s="558"/>
      <c r="CW117"/>
      <c r="CX117"/>
      <c r="CY117"/>
      <c r="CZ117"/>
      <c r="DA117"/>
      <c r="DB117"/>
      <c r="DC117"/>
      <c r="DD117"/>
      <c r="DE117"/>
      <c r="DF117"/>
      <c r="DG117" s="455">
        <v>6.9489999999999998</v>
      </c>
      <c r="DH117" s="455">
        <v>1</v>
      </c>
      <c r="DI117"/>
      <c r="DJ117"/>
      <c r="DK117"/>
      <c r="DL117"/>
      <c r="DM117"/>
      <c r="DN117"/>
      <c r="DO117"/>
      <c r="DP117"/>
      <c r="DQ117"/>
      <c r="DR117"/>
      <c r="DS117"/>
      <c r="DT117"/>
      <c r="DU117" s="558"/>
      <c r="DV117"/>
      <c r="DW117"/>
      <c r="DX117"/>
      <c r="DZ117" s="455">
        <v>6.9489999999999998</v>
      </c>
      <c r="EA117" s="455"/>
      <c r="EB117">
        <v>1</v>
      </c>
      <c r="EC117"/>
      <c r="ED117"/>
      <c r="EE117"/>
      <c r="EF117"/>
      <c r="EG117" s="558"/>
      <c r="EH117"/>
      <c r="EJ117" s="455">
        <v>6.9489999999999998</v>
      </c>
      <c r="EK117" s="455"/>
      <c r="EL117"/>
      <c r="EM117"/>
      <c r="EN117"/>
      <c r="EO117"/>
      <c r="EP117"/>
      <c r="EQ117"/>
      <c r="ER117"/>
      <c r="ES117"/>
      <c r="ET117"/>
      <c r="EU117"/>
      <c r="EV117"/>
      <c r="EW117"/>
      <c r="EX117">
        <v>1</v>
      </c>
      <c r="EY117"/>
      <c r="EZ117"/>
      <c r="FA117"/>
      <c r="FB117"/>
      <c r="FC117"/>
      <c r="FD117"/>
      <c r="FE117"/>
      <c r="FF117"/>
      <c r="FG117"/>
      <c r="FH117" s="558"/>
      <c r="FI117"/>
      <c r="FK117" s="449">
        <v>2.282</v>
      </c>
      <c r="FL117" s="449" t="s">
        <v>410</v>
      </c>
      <c r="FM117" s="449">
        <v>1</v>
      </c>
      <c r="FN117" s="452"/>
      <c r="FO117" s="452"/>
      <c r="FP117" s="452"/>
      <c r="FQ117" s="452"/>
      <c r="FR117" s="452"/>
      <c r="FS117" s="452"/>
      <c r="FT117" s="452"/>
      <c r="FU117" s="452"/>
      <c r="FV117" s="452"/>
      <c r="FW117" s="452"/>
      <c r="FX117" s="452"/>
      <c r="FY117" s="452"/>
      <c r="FZ117" s="453"/>
      <c r="GA117"/>
      <c r="GB117"/>
      <c r="GC117"/>
      <c r="GD117"/>
    </row>
    <row r="118" spans="4:186" x14ac:dyDescent="0.15">
      <c r="AG118" s="455">
        <v>3.2610000000000001</v>
      </c>
      <c r="AH118" s="556">
        <v>1</v>
      </c>
      <c r="AJ118" s="455">
        <v>3.2610000000000001</v>
      </c>
      <c r="AK118" s="556">
        <v>1</v>
      </c>
      <c r="AL118"/>
      <c r="AM118"/>
      <c r="AN118"/>
      <c r="AO118" s="455">
        <v>3.2610000000000001</v>
      </c>
      <c r="AP118" s="455"/>
      <c r="AQ118">
        <v>1</v>
      </c>
      <c r="AR118"/>
      <c r="AS118"/>
      <c r="AT118"/>
      <c r="AU118"/>
      <c r="AV118"/>
      <c r="AW118"/>
      <c r="AX118"/>
      <c r="AY118"/>
      <c r="AZ118"/>
      <c r="BA118"/>
      <c r="BB118"/>
      <c r="BC118" s="558"/>
      <c r="BD118"/>
      <c r="BE118"/>
      <c r="BF118"/>
      <c r="BH118" s="455">
        <v>3.2610000000000001</v>
      </c>
      <c r="BI118" s="455">
        <v>1</v>
      </c>
      <c r="BJ118"/>
      <c r="BK118"/>
      <c r="BL118"/>
      <c r="BM118"/>
      <c r="BN118"/>
      <c r="BO118" s="558"/>
      <c r="BP118" s="455">
        <v>3.2610000000000001</v>
      </c>
      <c r="BQ118" s="455">
        <v>1</v>
      </c>
      <c r="BR118"/>
      <c r="BS118"/>
      <c r="BT118"/>
      <c r="BU118" s="558"/>
      <c r="BV118"/>
      <c r="BW118"/>
      <c r="BZ118" s="455">
        <v>3.2610000000000001</v>
      </c>
      <c r="CA118" s="556">
        <v>1</v>
      </c>
      <c r="CB118"/>
      <c r="CC118"/>
      <c r="CD118"/>
      <c r="CF118" s="455">
        <v>3.2610000000000001</v>
      </c>
      <c r="CG118" s="455">
        <v>1</v>
      </c>
      <c r="CH118"/>
      <c r="CI118"/>
      <c r="CJ118"/>
      <c r="CK118"/>
      <c r="CL118"/>
      <c r="CM118"/>
      <c r="CN118"/>
      <c r="CO118"/>
      <c r="CP118"/>
      <c r="CQ118"/>
      <c r="CR118"/>
      <c r="CS118"/>
      <c r="CT118"/>
      <c r="CU118"/>
      <c r="CV118" s="558"/>
      <c r="CW118"/>
      <c r="CX118"/>
      <c r="CY118"/>
      <c r="CZ118"/>
      <c r="DA118"/>
      <c r="DB118"/>
      <c r="DC118"/>
      <c r="DD118"/>
      <c r="DE118"/>
      <c r="DF118"/>
      <c r="DG118" s="455">
        <v>3.2610000000000001</v>
      </c>
      <c r="DH118" s="455">
        <v>1</v>
      </c>
      <c r="DI118"/>
      <c r="DJ118"/>
      <c r="DK118"/>
      <c r="DL118"/>
      <c r="DM118"/>
      <c r="DN118"/>
      <c r="DO118"/>
      <c r="DP118"/>
      <c r="DQ118"/>
      <c r="DR118"/>
      <c r="DS118"/>
      <c r="DT118"/>
      <c r="DU118" s="558"/>
      <c r="DV118"/>
      <c r="DW118"/>
      <c r="DX118"/>
      <c r="DZ118" s="455">
        <v>3.2610000000000001</v>
      </c>
      <c r="EA118" s="455"/>
      <c r="EB118"/>
      <c r="EC118"/>
      <c r="ED118">
        <v>1</v>
      </c>
      <c r="EE118"/>
      <c r="EF118"/>
      <c r="EG118" s="558"/>
      <c r="EH118"/>
      <c r="EJ118" s="455">
        <v>3.2610000000000001</v>
      </c>
      <c r="EK118" s="455"/>
      <c r="EL118"/>
      <c r="EM118"/>
      <c r="EN118"/>
      <c r="EO118"/>
      <c r="EP118"/>
      <c r="EQ118"/>
      <c r="ER118"/>
      <c r="ES118"/>
      <c r="ET118"/>
      <c r="EU118"/>
      <c r="EV118"/>
      <c r="EW118"/>
      <c r="EX118"/>
      <c r="EY118"/>
      <c r="EZ118"/>
      <c r="FA118"/>
      <c r="FB118"/>
      <c r="FC118"/>
      <c r="FD118"/>
      <c r="FE118"/>
      <c r="FF118">
        <v>1</v>
      </c>
      <c r="FG118"/>
      <c r="FH118" s="558"/>
      <c r="FI118"/>
      <c r="FK118" s="449" t="s">
        <v>6804</v>
      </c>
      <c r="FL118" s="457"/>
      <c r="FM118" s="449">
        <v>1</v>
      </c>
      <c r="FN118" s="452"/>
      <c r="FO118" s="452"/>
      <c r="FP118" s="452"/>
      <c r="FQ118" s="452"/>
      <c r="FR118" s="452"/>
      <c r="FS118" s="452"/>
      <c r="FT118" s="452"/>
      <c r="FU118" s="452"/>
      <c r="FV118" s="452"/>
      <c r="FW118" s="452"/>
      <c r="FX118" s="452"/>
      <c r="FY118" s="452"/>
      <c r="FZ118" s="453"/>
      <c r="GA118"/>
      <c r="GB118"/>
      <c r="GC118"/>
      <c r="GD118"/>
    </row>
    <row r="119" spans="4:186" x14ac:dyDescent="0.15">
      <c r="AG119" s="455">
        <v>5.0750000000000002</v>
      </c>
      <c r="AH119" s="556">
        <v>1</v>
      </c>
      <c r="AJ119" s="455">
        <v>5.0750000000000002</v>
      </c>
      <c r="AK119" s="556">
        <v>1</v>
      </c>
      <c r="AL119"/>
      <c r="AM119"/>
      <c r="AN119"/>
      <c r="AO119" s="455">
        <v>5.0750000000000002</v>
      </c>
      <c r="AP119" s="455"/>
      <c r="AQ119">
        <v>1</v>
      </c>
      <c r="AR119"/>
      <c r="AS119"/>
      <c r="AT119"/>
      <c r="AU119"/>
      <c r="AV119"/>
      <c r="AW119"/>
      <c r="AX119"/>
      <c r="AY119"/>
      <c r="AZ119"/>
      <c r="BA119"/>
      <c r="BB119"/>
      <c r="BC119" s="558"/>
      <c r="BD119"/>
      <c r="BE119"/>
      <c r="BF119"/>
      <c r="BH119" s="455">
        <v>5.0750000000000002</v>
      </c>
      <c r="BI119" s="455">
        <v>1</v>
      </c>
      <c r="BJ119"/>
      <c r="BK119"/>
      <c r="BL119"/>
      <c r="BM119"/>
      <c r="BN119"/>
      <c r="BO119" s="558"/>
      <c r="BP119" s="455">
        <v>5.0750000000000002</v>
      </c>
      <c r="BQ119" s="455"/>
      <c r="BR119">
        <v>1</v>
      </c>
      <c r="BS119"/>
      <c r="BT119"/>
      <c r="BU119" s="558"/>
      <c r="BV119"/>
      <c r="BW119"/>
      <c r="BZ119" s="455">
        <v>5.0750000000000002</v>
      </c>
      <c r="CA119" s="556">
        <v>1</v>
      </c>
      <c r="CB119"/>
      <c r="CC119"/>
      <c r="CD119"/>
      <c r="CF119" s="455">
        <v>5.0750000000000002</v>
      </c>
      <c r="CG119" s="455"/>
      <c r="CH119">
        <v>1</v>
      </c>
      <c r="CI119"/>
      <c r="CJ119"/>
      <c r="CK119"/>
      <c r="CL119"/>
      <c r="CM119"/>
      <c r="CN119"/>
      <c r="CO119"/>
      <c r="CP119"/>
      <c r="CQ119"/>
      <c r="CR119"/>
      <c r="CS119"/>
      <c r="CT119"/>
      <c r="CU119"/>
      <c r="CV119" s="558"/>
      <c r="CW119"/>
      <c r="CX119"/>
      <c r="CY119"/>
      <c r="CZ119"/>
      <c r="DA119"/>
      <c r="DB119"/>
      <c r="DC119"/>
      <c r="DD119"/>
      <c r="DE119"/>
      <c r="DF119"/>
      <c r="DG119" s="455">
        <v>5.0750000000000002</v>
      </c>
      <c r="DH119" s="455"/>
      <c r="DI119">
        <v>1</v>
      </c>
      <c r="DJ119"/>
      <c r="DK119"/>
      <c r="DL119"/>
      <c r="DM119"/>
      <c r="DN119"/>
      <c r="DO119"/>
      <c r="DP119"/>
      <c r="DQ119"/>
      <c r="DR119"/>
      <c r="DS119"/>
      <c r="DT119"/>
      <c r="DU119" s="558"/>
      <c r="DV119"/>
      <c r="DW119"/>
      <c r="DX119"/>
      <c r="DZ119" s="455">
        <v>5.0750000000000002</v>
      </c>
      <c r="EA119" s="455"/>
      <c r="EB119"/>
      <c r="EC119"/>
      <c r="ED119"/>
      <c r="EE119">
        <v>1</v>
      </c>
      <c r="EF119"/>
      <c r="EG119" s="558"/>
      <c r="EH119"/>
      <c r="EJ119" s="455">
        <v>5.0750000000000002</v>
      </c>
      <c r="EK119" s="455"/>
      <c r="EL119"/>
      <c r="EM119"/>
      <c r="EN119"/>
      <c r="EO119"/>
      <c r="EP119"/>
      <c r="EQ119"/>
      <c r="ER119"/>
      <c r="ES119"/>
      <c r="ET119"/>
      <c r="EU119"/>
      <c r="EV119"/>
      <c r="EW119"/>
      <c r="EX119"/>
      <c r="EY119">
        <v>1</v>
      </c>
      <c r="EZ119"/>
      <c r="FA119"/>
      <c r="FB119"/>
      <c r="FC119"/>
      <c r="FD119"/>
      <c r="FE119"/>
      <c r="FF119"/>
      <c r="FG119"/>
      <c r="FH119" s="558"/>
      <c r="FI119"/>
      <c r="FK119" s="449">
        <v>3.7250000000000001</v>
      </c>
      <c r="FL119" s="449" t="s">
        <v>405</v>
      </c>
      <c r="FM119" s="449"/>
      <c r="FN119" s="452"/>
      <c r="FO119" s="452">
        <v>1</v>
      </c>
      <c r="FP119" s="452"/>
      <c r="FQ119" s="452"/>
      <c r="FR119" s="452"/>
      <c r="FS119" s="452"/>
      <c r="FT119" s="452"/>
      <c r="FU119" s="452"/>
      <c r="FV119" s="452"/>
      <c r="FW119" s="452"/>
      <c r="FX119" s="452"/>
      <c r="FY119" s="452"/>
      <c r="FZ119" s="453"/>
      <c r="GA119"/>
      <c r="GB119"/>
      <c r="GC119"/>
      <c r="GD119"/>
    </row>
    <row r="120" spans="4:186" x14ac:dyDescent="0.15">
      <c r="AG120" s="455">
        <v>0.65700000000000003</v>
      </c>
      <c r="AH120" s="556">
        <v>1</v>
      </c>
      <c r="AJ120" s="455">
        <v>0.65700000000000003</v>
      </c>
      <c r="AK120" s="556">
        <v>1</v>
      </c>
      <c r="AL120"/>
      <c r="AM120"/>
      <c r="AN120"/>
      <c r="AO120" s="455">
        <v>0.65700000000000003</v>
      </c>
      <c r="AP120" s="455"/>
      <c r="AQ120"/>
      <c r="AR120"/>
      <c r="AS120">
        <v>1</v>
      </c>
      <c r="AT120"/>
      <c r="AU120"/>
      <c r="AV120"/>
      <c r="AW120"/>
      <c r="AX120"/>
      <c r="AY120"/>
      <c r="AZ120"/>
      <c r="BA120"/>
      <c r="BB120"/>
      <c r="BC120" s="558"/>
      <c r="BD120"/>
      <c r="BE120"/>
      <c r="BF120"/>
      <c r="BH120" s="455">
        <v>0.65700000000000003</v>
      </c>
      <c r="BI120" s="455">
        <v>1</v>
      </c>
      <c r="BJ120"/>
      <c r="BK120"/>
      <c r="BL120"/>
      <c r="BM120"/>
      <c r="BN120"/>
      <c r="BO120" s="558"/>
      <c r="BP120" s="455">
        <v>0.65700000000000003</v>
      </c>
      <c r="BQ120" s="455"/>
      <c r="BR120">
        <v>1</v>
      </c>
      <c r="BS120"/>
      <c r="BT120"/>
      <c r="BU120" s="558"/>
      <c r="BV120"/>
      <c r="BW120"/>
      <c r="BZ120" s="455">
        <v>0.65700000000000003</v>
      </c>
      <c r="CA120" s="556">
        <v>1</v>
      </c>
      <c r="CB120"/>
      <c r="CC120"/>
      <c r="CD120"/>
      <c r="CF120" s="455">
        <v>0.65700000000000003</v>
      </c>
      <c r="CG120" s="455"/>
      <c r="CH120"/>
      <c r="CI120">
        <v>1</v>
      </c>
      <c r="CJ120"/>
      <c r="CK120"/>
      <c r="CL120"/>
      <c r="CM120"/>
      <c r="CN120"/>
      <c r="CO120"/>
      <c r="CP120"/>
      <c r="CQ120"/>
      <c r="CR120"/>
      <c r="CS120"/>
      <c r="CT120"/>
      <c r="CU120"/>
      <c r="CV120" s="558"/>
      <c r="CW120"/>
      <c r="CX120"/>
      <c r="CY120"/>
      <c r="CZ120"/>
      <c r="DA120"/>
      <c r="DB120"/>
      <c r="DC120"/>
      <c r="DD120"/>
      <c r="DE120"/>
      <c r="DF120"/>
      <c r="DG120" s="455">
        <v>0.65700000000000003</v>
      </c>
      <c r="DH120" s="455"/>
      <c r="DI120"/>
      <c r="DJ120"/>
      <c r="DK120">
        <v>1</v>
      </c>
      <c r="DL120"/>
      <c r="DM120"/>
      <c r="DN120"/>
      <c r="DO120"/>
      <c r="DP120"/>
      <c r="DQ120"/>
      <c r="DR120"/>
      <c r="DS120"/>
      <c r="DT120"/>
      <c r="DU120" s="558"/>
      <c r="DV120"/>
      <c r="DW120"/>
      <c r="DX120"/>
      <c r="DZ120" s="455">
        <v>0.65700000000000003</v>
      </c>
      <c r="EA120" s="455"/>
      <c r="EB120">
        <v>1</v>
      </c>
      <c r="EC120"/>
      <c r="ED120"/>
      <c r="EE120"/>
      <c r="EF120"/>
      <c r="EG120" s="558"/>
      <c r="EH120"/>
      <c r="EJ120" s="455">
        <v>0.65700000000000003</v>
      </c>
      <c r="EK120" s="455"/>
      <c r="EL120"/>
      <c r="EM120"/>
      <c r="EN120"/>
      <c r="EO120"/>
      <c r="EP120"/>
      <c r="EQ120"/>
      <c r="ER120"/>
      <c r="ES120"/>
      <c r="ET120"/>
      <c r="EU120"/>
      <c r="EV120"/>
      <c r="EW120"/>
      <c r="EX120"/>
      <c r="EY120"/>
      <c r="EZ120"/>
      <c r="FA120">
        <v>1</v>
      </c>
      <c r="FB120"/>
      <c r="FC120"/>
      <c r="FD120"/>
      <c r="FE120"/>
      <c r="FF120"/>
      <c r="FG120"/>
      <c r="FH120" s="558"/>
      <c r="FI120"/>
      <c r="FK120" s="449" t="s">
        <v>6805</v>
      </c>
      <c r="FL120" s="457"/>
      <c r="FM120" s="449"/>
      <c r="FN120" s="452"/>
      <c r="FO120" s="452">
        <v>1</v>
      </c>
      <c r="FP120" s="452"/>
      <c r="FQ120" s="452"/>
      <c r="FR120" s="452"/>
      <c r="FS120" s="452"/>
      <c r="FT120" s="452"/>
      <c r="FU120" s="452"/>
      <c r="FV120" s="452"/>
      <c r="FW120" s="452"/>
      <c r="FX120" s="452"/>
      <c r="FY120" s="452"/>
      <c r="FZ120" s="453"/>
      <c r="GA120"/>
      <c r="GB120"/>
      <c r="GC120"/>
      <c r="GD120"/>
    </row>
    <row r="121" spans="4:186" x14ac:dyDescent="0.15">
      <c r="AG121" s="455">
        <v>5.242</v>
      </c>
      <c r="AH121" s="556">
        <v>1</v>
      </c>
      <c r="AJ121" s="455">
        <v>5.242</v>
      </c>
      <c r="AK121" s="556">
        <v>1</v>
      </c>
      <c r="AL121"/>
      <c r="AM121"/>
      <c r="AN121"/>
      <c r="AO121" s="455">
        <v>5.242</v>
      </c>
      <c r="AP121" s="455">
        <v>1</v>
      </c>
      <c r="AQ121"/>
      <c r="AR121"/>
      <c r="AS121"/>
      <c r="AT121"/>
      <c r="AU121"/>
      <c r="AV121"/>
      <c r="AW121"/>
      <c r="AX121"/>
      <c r="AY121"/>
      <c r="AZ121"/>
      <c r="BA121"/>
      <c r="BB121"/>
      <c r="BC121" s="558"/>
      <c r="BD121"/>
      <c r="BE121"/>
      <c r="BF121"/>
      <c r="BH121" s="455">
        <v>5.242</v>
      </c>
      <c r="BI121" s="455">
        <v>1</v>
      </c>
      <c r="BJ121"/>
      <c r="BK121"/>
      <c r="BL121"/>
      <c r="BM121"/>
      <c r="BN121"/>
      <c r="BO121" s="558"/>
      <c r="BP121" s="455">
        <v>5.242</v>
      </c>
      <c r="BQ121" s="455">
        <v>1</v>
      </c>
      <c r="BR121"/>
      <c r="BS121"/>
      <c r="BT121"/>
      <c r="BU121" s="558"/>
      <c r="BV121"/>
      <c r="BW121"/>
      <c r="BZ121" s="455">
        <v>5.242</v>
      </c>
      <c r="CA121" s="556">
        <v>1</v>
      </c>
      <c r="CB121"/>
      <c r="CC121"/>
      <c r="CD121"/>
      <c r="CF121" s="455">
        <v>5.242</v>
      </c>
      <c r="CG121" s="455"/>
      <c r="CH121"/>
      <c r="CI121"/>
      <c r="CJ121">
        <v>1</v>
      </c>
      <c r="CK121"/>
      <c r="CL121"/>
      <c r="CM121"/>
      <c r="CN121"/>
      <c r="CO121"/>
      <c r="CP121"/>
      <c r="CQ121"/>
      <c r="CR121"/>
      <c r="CS121"/>
      <c r="CT121"/>
      <c r="CU121"/>
      <c r="CV121" s="558"/>
      <c r="CW121"/>
      <c r="CX121"/>
      <c r="CY121"/>
      <c r="CZ121"/>
      <c r="DA121"/>
      <c r="DB121"/>
      <c r="DC121"/>
      <c r="DD121"/>
      <c r="DE121"/>
      <c r="DF121"/>
      <c r="DG121" s="455">
        <v>5.242</v>
      </c>
      <c r="DH121" s="455"/>
      <c r="DI121">
        <v>1</v>
      </c>
      <c r="DJ121"/>
      <c r="DK121"/>
      <c r="DL121"/>
      <c r="DM121"/>
      <c r="DN121"/>
      <c r="DO121"/>
      <c r="DP121"/>
      <c r="DQ121"/>
      <c r="DR121"/>
      <c r="DS121"/>
      <c r="DT121"/>
      <c r="DU121" s="558"/>
      <c r="DV121"/>
      <c r="DW121"/>
      <c r="DX121"/>
      <c r="DZ121" s="455">
        <v>5.242</v>
      </c>
      <c r="EA121" s="455">
        <v>1</v>
      </c>
      <c r="EB121"/>
      <c r="EC121"/>
      <c r="ED121"/>
      <c r="EE121"/>
      <c r="EF121"/>
      <c r="EG121" s="558"/>
      <c r="EH121"/>
      <c r="EJ121" s="455">
        <v>5.242</v>
      </c>
      <c r="EK121" s="455"/>
      <c r="EL121"/>
      <c r="EM121"/>
      <c r="EN121"/>
      <c r="EO121"/>
      <c r="EP121"/>
      <c r="EQ121"/>
      <c r="ER121"/>
      <c r="ES121"/>
      <c r="ET121"/>
      <c r="EU121"/>
      <c r="EV121"/>
      <c r="EW121"/>
      <c r="EX121"/>
      <c r="EY121"/>
      <c r="EZ121"/>
      <c r="FA121"/>
      <c r="FB121"/>
      <c r="FC121"/>
      <c r="FD121">
        <v>1</v>
      </c>
      <c r="FE121"/>
      <c r="FF121"/>
      <c r="FG121"/>
      <c r="FH121" s="558"/>
      <c r="FI121"/>
      <c r="FK121" s="449">
        <v>4.2439999999999998</v>
      </c>
      <c r="FL121" s="449" t="s">
        <v>411</v>
      </c>
      <c r="FM121" s="449"/>
      <c r="FN121" s="452">
        <v>1</v>
      </c>
      <c r="FO121" s="452"/>
      <c r="FP121" s="452"/>
      <c r="FQ121" s="452"/>
      <c r="FR121" s="452"/>
      <c r="FS121" s="452"/>
      <c r="FT121" s="452"/>
      <c r="FU121" s="452"/>
      <c r="FV121" s="452"/>
      <c r="FW121" s="452"/>
      <c r="FX121" s="452"/>
      <c r="FY121" s="452"/>
      <c r="FZ121" s="453"/>
      <c r="GA121"/>
      <c r="GB121"/>
      <c r="GC121"/>
      <c r="GD121"/>
    </row>
    <row r="122" spans="4:186" x14ac:dyDescent="0.15">
      <c r="AA122" s="7" t="s">
        <v>149</v>
      </c>
      <c r="AG122" s="455">
        <v>2.698</v>
      </c>
      <c r="AH122" s="556">
        <v>1</v>
      </c>
      <c r="AJ122" s="455">
        <v>2.698</v>
      </c>
      <c r="AK122" s="556">
        <v>1</v>
      </c>
      <c r="AL122"/>
      <c r="AM122"/>
      <c r="AN122"/>
      <c r="AO122" s="455">
        <v>2.698</v>
      </c>
      <c r="AP122" s="455">
        <v>1</v>
      </c>
      <c r="AQ122"/>
      <c r="AR122"/>
      <c r="AS122"/>
      <c r="AT122"/>
      <c r="AU122"/>
      <c r="AV122"/>
      <c r="AW122"/>
      <c r="AX122"/>
      <c r="AY122"/>
      <c r="AZ122"/>
      <c r="BA122"/>
      <c r="BB122"/>
      <c r="BC122" s="558"/>
      <c r="BD122"/>
      <c r="BE122"/>
      <c r="BF122"/>
      <c r="BH122" s="455">
        <v>2.698</v>
      </c>
      <c r="BI122" s="455"/>
      <c r="BJ122"/>
      <c r="BK122"/>
      <c r="BL122"/>
      <c r="BM122">
        <v>1</v>
      </c>
      <c r="BN122"/>
      <c r="BO122" s="558"/>
      <c r="BP122" s="455">
        <v>2.698</v>
      </c>
      <c r="BQ122" s="455"/>
      <c r="BR122"/>
      <c r="BS122"/>
      <c r="BT122"/>
      <c r="BU122" s="558">
        <v>1</v>
      </c>
      <c r="BV122"/>
      <c r="BW122"/>
      <c r="BZ122" s="455">
        <v>2.698</v>
      </c>
      <c r="CA122" s="556">
        <v>1</v>
      </c>
      <c r="CB122"/>
      <c r="CC122"/>
      <c r="CD122"/>
      <c r="CF122" s="455">
        <v>2.698</v>
      </c>
      <c r="CG122" s="455">
        <v>1</v>
      </c>
      <c r="CH122"/>
      <c r="CI122"/>
      <c r="CJ122"/>
      <c r="CK122"/>
      <c r="CL122"/>
      <c r="CM122"/>
      <c r="CN122"/>
      <c r="CO122"/>
      <c r="CP122"/>
      <c r="CQ122"/>
      <c r="CR122"/>
      <c r="CS122"/>
      <c r="CT122"/>
      <c r="CU122"/>
      <c r="CV122" s="558"/>
      <c r="CW122"/>
      <c r="CX122"/>
      <c r="CY122"/>
      <c r="CZ122"/>
      <c r="DA122"/>
      <c r="DB122"/>
      <c r="DC122"/>
      <c r="DD122"/>
      <c r="DE122"/>
      <c r="DF122"/>
      <c r="DG122" s="455">
        <v>2.698</v>
      </c>
      <c r="DH122" s="455">
        <v>1</v>
      </c>
      <c r="DI122"/>
      <c r="DJ122"/>
      <c r="DK122"/>
      <c r="DL122"/>
      <c r="DM122"/>
      <c r="DN122"/>
      <c r="DO122"/>
      <c r="DP122"/>
      <c r="DQ122"/>
      <c r="DR122"/>
      <c r="DS122"/>
      <c r="DT122"/>
      <c r="DU122" s="558"/>
      <c r="DV122"/>
      <c r="DW122"/>
      <c r="DX122"/>
      <c r="DZ122" s="455">
        <v>2.698</v>
      </c>
      <c r="EA122" s="455"/>
      <c r="EB122"/>
      <c r="EC122"/>
      <c r="ED122"/>
      <c r="EE122"/>
      <c r="EF122"/>
      <c r="EG122" s="558">
        <v>1</v>
      </c>
      <c r="EH122"/>
      <c r="EJ122" s="455">
        <v>2.698</v>
      </c>
      <c r="EK122" s="455"/>
      <c r="EL122"/>
      <c r="EM122"/>
      <c r="EN122"/>
      <c r="EO122"/>
      <c r="EP122"/>
      <c r="EQ122"/>
      <c r="ER122"/>
      <c r="ES122"/>
      <c r="ET122"/>
      <c r="EU122"/>
      <c r="EV122"/>
      <c r="EW122"/>
      <c r="EX122"/>
      <c r="EY122"/>
      <c r="EZ122"/>
      <c r="FA122">
        <v>1</v>
      </c>
      <c r="FB122"/>
      <c r="FC122"/>
      <c r="FD122"/>
      <c r="FE122"/>
      <c r="FF122"/>
      <c r="FG122"/>
      <c r="FH122" s="558"/>
      <c r="FI122"/>
      <c r="FK122" s="449" t="s">
        <v>6806</v>
      </c>
      <c r="FL122" s="457"/>
      <c r="FM122" s="449"/>
      <c r="FN122" s="452">
        <v>1</v>
      </c>
      <c r="FO122" s="452"/>
      <c r="FP122" s="452"/>
      <c r="FQ122" s="452"/>
      <c r="FR122" s="452"/>
      <c r="FS122" s="452"/>
      <c r="FT122" s="452"/>
      <c r="FU122" s="452"/>
      <c r="FV122" s="452"/>
      <c r="FW122" s="452"/>
      <c r="FX122" s="452"/>
      <c r="FY122" s="452"/>
      <c r="FZ122" s="453"/>
      <c r="GA122"/>
      <c r="GB122"/>
      <c r="GC122"/>
      <c r="GD122"/>
    </row>
    <row r="123" spans="4:186" x14ac:dyDescent="0.15">
      <c r="AG123" s="455">
        <v>7.4459999999999997</v>
      </c>
      <c r="AH123" s="556">
        <v>1</v>
      </c>
      <c r="AJ123" s="455">
        <v>7.4459999999999997</v>
      </c>
      <c r="AK123" s="556">
        <v>1</v>
      </c>
      <c r="AL123"/>
      <c r="AM123"/>
      <c r="AN123"/>
      <c r="AO123" s="455">
        <v>7.4459999999999997</v>
      </c>
      <c r="AP123" s="455">
        <v>1</v>
      </c>
      <c r="AQ123"/>
      <c r="AR123"/>
      <c r="AS123"/>
      <c r="AT123"/>
      <c r="AU123"/>
      <c r="AV123"/>
      <c r="AW123"/>
      <c r="AX123"/>
      <c r="AY123"/>
      <c r="AZ123"/>
      <c r="BA123"/>
      <c r="BB123"/>
      <c r="BC123" s="558"/>
      <c r="BD123"/>
      <c r="BE123"/>
      <c r="BF123"/>
      <c r="BH123" s="455">
        <v>7.4459999999999997</v>
      </c>
      <c r="BI123" s="455">
        <v>1</v>
      </c>
      <c r="BJ123"/>
      <c r="BK123"/>
      <c r="BL123"/>
      <c r="BM123"/>
      <c r="BN123"/>
      <c r="BO123" s="558"/>
      <c r="BP123" s="455">
        <v>7.4459999999999997</v>
      </c>
      <c r="BQ123" s="455"/>
      <c r="BR123">
        <v>1</v>
      </c>
      <c r="BS123"/>
      <c r="BT123"/>
      <c r="BU123" s="558"/>
      <c r="BV123"/>
      <c r="BW123"/>
      <c r="BZ123" s="455">
        <v>7.4459999999999997</v>
      </c>
      <c r="CA123" s="556">
        <v>1</v>
      </c>
      <c r="CB123"/>
      <c r="CC123"/>
      <c r="CD123"/>
      <c r="CF123" s="455">
        <v>7.4459999999999997</v>
      </c>
      <c r="CG123" s="455">
        <v>1</v>
      </c>
      <c r="CH123"/>
      <c r="CI123"/>
      <c r="CJ123"/>
      <c r="CK123"/>
      <c r="CL123"/>
      <c r="CM123"/>
      <c r="CN123"/>
      <c r="CO123"/>
      <c r="CP123"/>
      <c r="CQ123"/>
      <c r="CR123"/>
      <c r="CS123"/>
      <c r="CT123"/>
      <c r="CU123"/>
      <c r="CV123" s="558"/>
      <c r="CW123"/>
      <c r="CX123"/>
      <c r="CY123"/>
      <c r="CZ123"/>
      <c r="DA123"/>
      <c r="DB123"/>
      <c r="DC123"/>
      <c r="DD123"/>
      <c r="DE123"/>
      <c r="DF123"/>
      <c r="DG123" s="455">
        <v>7.4459999999999997</v>
      </c>
      <c r="DH123" s="455"/>
      <c r="DI123">
        <v>1</v>
      </c>
      <c r="DJ123"/>
      <c r="DK123"/>
      <c r="DL123"/>
      <c r="DM123"/>
      <c r="DN123"/>
      <c r="DO123"/>
      <c r="DP123"/>
      <c r="DQ123"/>
      <c r="DR123"/>
      <c r="DS123"/>
      <c r="DT123"/>
      <c r="DU123" s="558"/>
      <c r="DV123"/>
      <c r="DW123"/>
      <c r="DX123"/>
      <c r="DZ123" s="455">
        <v>7.4459999999999997</v>
      </c>
      <c r="EA123" s="455"/>
      <c r="EB123"/>
      <c r="EC123"/>
      <c r="ED123">
        <v>1</v>
      </c>
      <c r="EE123"/>
      <c r="EF123"/>
      <c r="EG123" s="558"/>
      <c r="EH123"/>
      <c r="EJ123" s="455">
        <v>7.4459999999999997</v>
      </c>
      <c r="EK123" s="455"/>
      <c r="EL123"/>
      <c r="EM123"/>
      <c r="EN123"/>
      <c r="EO123"/>
      <c r="EP123"/>
      <c r="EQ123"/>
      <c r="ER123"/>
      <c r="ES123"/>
      <c r="ET123"/>
      <c r="EU123"/>
      <c r="EV123"/>
      <c r="EW123"/>
      <c r="EX123"/>
      <c r="EY123"/>
      <c r="EZ123"/>
      <c r="FA123"/>
      <c r="FB123">
        <v>1</v>
      </c>
      <c r="FC123"/>
      <c r="FD123"/>
      <c r="FE123"/>
      <c r="FF123"/>
      <c r="FG123"/>
      <c r="FH123" s="558"/>
      <c r="FI123"/>
      <c r="FK123" s="449">
        <v>17.143999999999998</v>
      </c>
      <c r="FL123" s="449" t="s">
        <v>405</v>
      </c>
      <c r="FM123" s="449"/>
      <c r="FN123" s="452">
        <v>1</v>
      </c>
      <c r="FO123" s="452"/>
      <c r="FP123" s="452"/>
      <c r="FQ123" s="452"/>
      <c r="FR123" s="452"/>
      <c r="FS123" s="452"/>
      <c r="FT123" s="452"/>
      <c r="FU123" s="452"/>
      <c r="FV123" s="452"/>
      <c r="FW123" s="452"/>
      <c r="FX123" s="452"/>
      <c r="FY123" s="452"/>
      <c r="FZ123" s="453"/>
      <c r="GA123"/>
      <c r="GB123"/>
      <c r="GC123"/>
      <c r="GD123"/>
    </row>
    <row r="124" spans="4:186" x14ac:dyDescent="0.15">
      <c r="AG124" s="455">
        <v>17.276</v>
      </c>
      <c r="AH124" s="556">
        <v>1</v>
      </c>
      <c r="AJ124" s="455">
        <v>17.276</v>
      </c>
      <c r="AK124" s="556">
        <v>1</v>
      </c>
      <c r="AL124"/>
      <c r="AM124"/>
      <c r="AN124"/>
      <c r="AO124" s="455">
        <v>17.276</v>
      </c>
      <c r="AP124" s="455"/>
      <c r="AQ124">
        <v>1</v>
      </c>
      <c r="AR124"/>
      <c r="AS124"/>
      <c r="AT124"/>
      <c r="AU124"/>
      <c r="AV124"/>
      <c r="AW124"/>
      <c r="AX124"/>
      <c r="AY124"/>
      <c r="AZ124"/>
      <c r="BA124"/>
      <c r="BB124"/>
      <c r="BC124" s="558"/>
      <c r="BD124"/>
      <c r="BE124"/>
      <c r="BF124"/>
      <c r="BH124" s="455">
        <v>17.276</v>
      </c>
      <c r="BI124" s="455">
        <v>1</v>
      </c>
      <c r="BJ124"/>
      <c r="BK124"/>
      <c r="BL124"/>
      <c r="BM124"/>
      <c r="BN124"/>
      <c r="BO124" s="558"/>
      <c r="BP124" s="455">
        <v>17.276</v>
      </c>
      <c r="BQ124" s="455"/>
      <c r="BR124">
        <v>1</v>
      </c>
      <c r="BS124"/>
      <c r="BT124"/>
      <c r="BU124" s="558"/>
      <c r="BV124"/>
      <c r="BW124"/>
      <c r="BZ124" s="455">
        <v>17.276</v>
      </c>
      <c r="CA124" s="556">
        <v>1</v>
      </c>
      <c r="CB124"/>
      <c r="CC124"/>
      <c r="CD124"/>
      <c r="CF124" s="455">
        <v>17.276</v>
      </c>
      <c r="CG124" s="455"/>
      <c r="CH124">
        <v>1</v>
      </c>
      <c r="CI124"/>
      <c r="CJ124"/>
      <c r="CK124"/>
      <c r="CL124"/>
      <c r="CM124"/>
      <c r="CN124"/>
      <c r="CO124"/>
      <c r="CP124"/>
      <c r="CQ124"/>
      <c r="CR124"/>
      <c r="CS124"/>
      <c r="CT124"/>
      <c r="CU124"/>
      <c r="CV124" s="558"/>
      <c r="CW124"/>
      <c r="CX124"/>
      <c r="CY124"/>
      <c r="CZ124"/>
      <c r="DA124"/>
      <c r="DB124"/>
      <c r="DC124"/>
      <c r="DD124"/>
      <c r="DE124"/>
      <c r="DF124"/>
      <c r="DG124" s="455">
        <v>17.276</v>
      </c>
      <c r="DH124" s="455">
        <v>1</v>
      </c>
      <c r="DI124"/>
      <c r="DJ124"/>
      <c r="DK124"/>
      <c r="DL124"/>
      <c r="DM124"/>
      <c r="DN124"/>
      <c r="DO124"/>
      <c r="DP124"/>
      <c r="DQ124"/>
      <c r="DR124"/>
      <c r="DS124"/>
      <c r="DT124"/>
      <c r="DU124" s="558"/>
      <c r="DV124"/>
      <c r="DW124"/>
      <c r="DX124"/>
      <c r="DZ124" s="455">
        <v>17.276</v>
      </c>
      <c r="EA124" s="455"/>
      <c r="EB124"/>
      <c r="EC124"/>
      <c r="ED124"/>
      <c r="EE124">
        <v>1</v>
      </c>
      <c r="EF124"/>
      <c r="EG124" s="558"/>
      <c r="EH124"/>
      <c r="EJ124" s="455">
        <v>17.276</v>
      </c>
      <c r="EK124" s="455"/>
      <c r="EL124"/>
      <c r="EM124"/>
      <c r="EN124"/>
      <c r="EO124"/>
      <c r="EP124"/>
      <c r="EQ124"/>
      <c r="ER124"/>
      <c r="ES124"/>
      <c r="ET124"/>
      <c r="EU124"/>
      <c r="EV124">
        <v>1</v>
      </c>
      <c r="EW124"/>
      <c r="EX124"/>
      <c r="EY124"/>
      <c r="EZ124"/>
      <c r="FA124"/>
      <c r="FB124"/>
      <c r="FC124"/>
      <c r="FD124"/>
      <c r="FE124"/>
      <c r="FF124"/>
      <c r="FG124"/>
      <c r="FH124" s="558"/>
      <c r="FI124"/>
      <c r="FK124" s="449" t="s">
        <v>6807</v>
      </c>
      <c r="FL124" s="457"/>
      <c r="FM124" s="449"/>
      <c r="FN124" s="452">
        <v>1</v>
      </c>
      <c r="FO124" s="452"/>
      <c r="FP124" s="452"/>
      <c r="FQ124" s="452"/>
      <c r="FR124" s="452"/>
      <c r="FS124" s="452"/>
      <c r="FT124" s="452"/>
      <c r="FU124" s="452"/>
      <c r="FV124" s="452"/>
      <c r="FW124" s="452"/>
      <c r="FX124" s="452"/>
      <c r="FY124" s="452"/>
      <c r="FZ124" s="453"/>
      <c r="GA124"/>
      <c r="GB124"/>
      <c r="GC124"/>
      <c r="GD124"/>
    </row>
    <row r="125" spans="4:186" x14ac:dyDescent="0.15">
      <c r="AG125" s="455">
        <v>9.9239999999999995</v>
      </c>
      <c r="AH125" s="556">
        <v>1</v>
      </c>
      <c r="AJ125" s="455">
        <v>9.9239999999999995</v>
      </c>
      <c r="AK125" s="556">
        <v>1</v>
      </c>
      <c r="AL125"/>
      <c r="AM125"/>
      <c r="AN125"/>
      <c r="AO125" s="455">
        <v>9.9239999999999995</v>
      </c>
      <c r="AP125" s="455"/>
      <c r="AQ125"/>
      <c r="AR125"/>
      <c r="AS125"/>
      <c r="AT125"/>
      <c r="AU125">
        <v>1</v>
      </c>
      <c r="AV125"/>
      <c r="AW125"/>
      <c r="AX125"/>
      <c r="AY125"/>
      <c r="AZ125"/>
      <c r="BA125"/>
      <c r="BB125"/>
      <c r="BC125" s="558"/>
      <c r="BD125"/>
      <c r="BE125"/>
      <c r="BF125"/>
      <c r="BH125" s="455">
        <v>9.9239999999999995</v>
      </c>
      <c r="BI125" s="455">
        <v>1</v>
      </c>
      <c r="BJ125"/>
      <c r="BK125"/>
      <c r="BL125"/>
      <c r="BM125"/>
      <c r="BN125"/>
      <c r="BO125" s="558"/>
      <c r="BP125" s="455">
        <v>9.9239999999999995</v>
      </c>
      <c r="BQ125" s="455">
        <v>1</v>
      </c>
      <c r="BR125"/>
      <c r="BS125"/>
      <c r="BT125"/>
      <c r="BU125" s="558"/>
      <c r="BV125"/>
      <c r="BW125"/>
      <c r="BZ125" s="455">
        <v>9.9239999999999995</v>
      </c>
      <c r="CA125" s="556">
        <v>1</v>
      </c>
      <c r="CB125"/>
      <c r="CC125"/>
      <c r="CD125"/>
      <c r="CF125" s="455">
        <v>9.9239999999999995</v>
      </c>
      <c r="CG125" s="455"/>
      <c r="CH125"/>
      <c r="CI125"/>
      <c r="CJ125"/>
      <c r="CK125"/>
      <c r="CL125"/>
      <c r="CM125"/>
      <c r="CN125"/>
      <c r="CO125"/>
      <c r="CP125"/>
      <c r="CQ125">
        <v>1</v>
      </c>
      <c r="CR125"/>
      <c r="CS125"/>
      <c r="CT125"/>
      <c r="CU125"/>
      <c r="CV125" s="558"/>
      <c r="CW125"/>
      <c r="CX125"/>
      <c r="CY125"/>
      <c r="CZ125"/>
      <c r="DA125"/>
      <c r="DB125"/>
      <c r="DC125"/>
      <c r="DD125"/>
      <c r="DE125"/>
      <c r="DF125"/>
      <c r="DG125" s="455">
        <v>9.9239999999999995</v>
      </c>
      <c r="DH125" s="455">
        <v>1</v>
      </c>
      <c r="DI125"/>
      <c r="DJ125"/>
      <c r="DK125"/>
      <c r="DL125"/>
      <c r="DM125"/>
      <c r="DN125"/>
      <c r="DO125"/>
      <c r="DP125"/>
      <c r="DQ125"/>
      <c r="DR125"/>
      <c r="DS125"/>
      <c r="DT125"/>
      <c r="DU125" s="558"/>
      <c r="DV125"/>
      <c r="DW125"/>
      <c r="DX125"/>
      <c r="DZ125" s="455">
        <v>9.9239999999999995</v>
      </c>
      <c r="EA125" s="455"/>
      <c r="EB125">
        <v>1</v>
      </c>
      <c r="EC125"/>
      <c r="ED125"/>
      <c r="EE125"/>
      <c r="EF125"/>
      <c r="EG125" s="558"/>
      <c r="EH125"/>
      <c r="EJ125" s="455">
        <v>9.9239999999999995</v>
      </c>
      <c r="EK125" s="455"/>
      <c r="EL125"/>
      <c r="EM125"/>
      <c r="EN125"/>
      <c r="EO125"/>
      <c r="EP125"/>
      <c r="EQ125"/>
      <c r="ER125"/>
      <c r="ES125"/>
      <c r="ET125"/>
      <c r="EU125"/>
      <c r="EV125"/>
      <c r="EW125"/>
      <c r="EX125"/>
      <c r="EY125"/>
      <c r="EZ125"/>
      <c r="FA125"/>
      <c r="FB125"/>
      <c r="FC125"/>
      <c r="FD125"/>
      <c r="FE125"/>
      <c r="FF125"/>
      <c r="FG125"/>
      <c r="FH125" s="558">
        <v>1</v>
      </c>
      <c r="FI125"/>
      <c r="FK125" s="449">
        <v>1.9419999999999999</v>
      </c>
      <c r="FL125" s="449" t="s">
        <v>406</v>
      </c>
      <c r="FM125" s="449">
        <v>1</v>
      </c>
      <c r="FN125" s="452"/>
      <c r="FO125" s="452"/>
      <c r="FP125" s="452"/>
      <c r="FQ125" s="452"/>
      <c r="FR125" s="452"/>
      <c r="FS125" s="452"/>
      <c r="FT125" s="452"/>
      <c r="FU125" s="452"/>
      <c r="FV125" s="452"/>
      <c r="FW125" s="452"/>
      <c r="FX125" s="452"/>
      <c r="FY125" s="452"/>
      <c r="FZ125" s="453"/>
      <c r="GA125"/>
      <c r="GB125"/>
      <c r="GC125"/>
      <c r="GD125"/>
    </row>
    <row r="126" spans="4:186" x14ac:dyDescent="0.15">
      <c r="AG126" s="455">
        <v>3.2909999999999999</v>
      </c>
      <c r="AH126" s="556">
        <v>1</v>
      </c>
      <c r="AJ126" s="455">
        <v>3.2909999999999999</v>
      </c>
      <c r="AK126" s="556">
        <v>1</v>
      </c>
      <c r="AL126"/>
      <c r="AM126"/>
      <c r="AN126"/>
      <c r="AO126" s="455">
        <v>3.2909999999999999</v>
      </c>
      <c r="AP126" s="455"/>
      <c r="AQ126"/>
      <c r="AR126"/>
      <c r="AS126"/>
      <c r="AT126"/>
      <c r="AU126"/>
      <c r="AV126">
        <v>1</v>
      </c>
      <c r="AW126"/>
      <c r="AX126"/>
      <c r="AY126"/>
      <c r="AZ126"/>
      <c r="BA126"/>
      <c r="BB126"/>
      <c r="BC126" s="558"/>
      <c r="BD126"/>
      <c r="BE126"/>
      <c r="BF126"/>
      <c r="BH126" s="455">
        <v>3.2909999999999999</v>
      </c>
      <c r="BI126" s="455"/>
      <c r="BJ126">
        <v>1</v>
      </c>
      <c r="BK126"/>
      <c r="BL126"/>
      <c r="BM126"/>
      <c r="BN126"/>
      <c r="BO126" s="558"/>
      <c r="BP126" s="455">
        <v>3.2909999999999999</v>
      </c>
      <c r="BQ126" s="455">
        <v>1</v>
      </c>
      <c r="BR126"/>
      <c r="BS126"/>
      <c r="BT126"/>
      <c r="BU126" s="558"/>
      <c r="BV126"/>
      <c r="BW126"/>
      <c r="BZ126" s="455">
        <v>3.2909999999999999</v>
      </c>
      <c r="CA126" s="556">
        <v>1</v>
      </c>
      <c r="CB126"/>
      <c r="CC126"/>
      <c r="CD126"/>
      <c r="CF126" s="455">
        <v>3.2909999999999999</v>
      </c>
      <c r="CG126" s="455">
        <v>1</v>
      </c>
      <c r="CH126"/>
      <c r="CI126"/>
      <c r="CJ126"/>
      <c r="CK126"/>
      <c r="CL126"/>
      <c r="CM126"/>
      <c r="CN126"/>
      <c r="CO126"/>
      <c r="CP126"/>
      <c r="CQ126"/>
      <c r="CR126"/>
      <c r="CS126"/>
      <c r="CT126"/>
      <c r="CU126"/>
      <c r="CV126" s="558"/>
      <c r="CW126"/>
      <c r="CX126"/>
      <c r="CY126"/>
      <c r="CZ126"/>
      <c r="DA126"/>
      <c r="DB126"/>
      <c r="DC126"/>
      <c r="DD126"/>
      <c r="DE126"/>
      <c r="DF126"/>
      <c r="DG126" s="455">
        <v>3.2909999999999999</v>
      </c>
      <c r="DH126" s="455">
        <v>1</v>
      </c>
      <c r="DI126"/>
      <c r="DJ126"/>
      <c r="DK126"/>
      <c r="DL126"/>
      <c r="DM126"/>
      <c r="DN126"/>
      <c r="DO126"/>
      <c r="DP126"/>
      <c r="DQ126"/>
      <c r="DR126"/>
      <c r="DS126"/>
      <c r="DT126"/>
      <c r="DU126" s="558"/>
      <c r="DV126"/>
      <c r="DW126"/>
      <c r="DX126"/>
      <c r="DZ126" s="455">
        <v>3.2909999999999999</v>
      </c>
      <c r="EA126" s="455">
        <v>1</v>
      </c>
      <c r="EB126"/>
      <c r="EC126"/>
      <c r="ED126"/>
      <c r="EE126"/>
      <c r="EF126"/>
      <c r="EG126" s="558"/>
      <c r="EH126"/>
      <c r="EJ126" s="455">
        <v>3.2909999999999999</v>
      </c>
      <c r="EK126" s="455"/>
      <c r="EL126"/>
      <c r="EM126"/>
      <c r="EN126"/>
      <c r="EO126"/>
      <c r="EP126"/>
      <c r="EQ126"/>
      <c r="ER126"/>
      <c r="ES126"/>
      <c r="ET126"/>
      <c r="EU126"/>
      <c r="EV126"/>
      <c r="EW126"/>
      <c r="EX126"/>
      <c r="EY126"/>
      <c r="EZ126"/>
      <c r="FA126"/>
      <c r="FB126"/>
      <c r="FC126"/>
      <c r="FD126"/>
      <c r="FE126"/>
      <c r="FF126"/>
      <c r="FG126">
        <v>1</v>
      </c>
      <c r="FH126" s="558"/>
      <c r="FI126"/>
      <c r="FK126" s="449" t="s">
        <v>6808</v>
      </c>
      <c r="FL126" s="457"/>
      <c r="FM126" s="449">
        <v>1</v>
      </c>
      <c r="FN126" s="452"/>
      <c r="FO126" s="452"/>
      <c r="FP126" s="452"/>
      <c r="FQ126" s="452"/>
      <c r="FR126" s="452"/>
      <c r="FS126" s="452"/>
      <c r="FT126" s="452"/>
      <c r="FU126" s="452"/>
      <c r="FV126" s="452"/>
      <c r="FW126" s="452"/>
      <c r="FX126" s="452"/>
      <c r="FY126" s="452"/>
      <c r="FZ126" s="453"/>
      <c r="GA126"/>
      <c r="GB126"/>
      <c r="GC126"/>
      <c r="GD126"/>
    </row>
    <row r="127" spans="4:186" x14ac:dyDescent="0.15">
      <c r="AG127" s="455">
        <v>0.754</v>
      </c>
      <c r="AH127" s="556">
        <v>1</v>
      </c>
      <c r="AJ127" s="455">
        <v>0.754</v>
      </c>
      <c r="AK127" s="556">
        <v>1</v>
      </c>
      <c r="AL127"/>
      <c r="AM127"/>
      <c r="AN127"/>
      <c r="AO127" s="455">
        <v>0.754</v>
      </c>
      <c r="AP127" s="455">
        <v>1</v>
      </c>
      <c r="AQ127"/>
      <c r="AR127"/>
      <c r="AS127"/>
      <c r="AT127"/>
      <c r="AU127"/>
      <c r="AV127"/>
      <c r="AW127"/>
      <c r="AX127"/>
      <c r="AY127"/>
      <c r="AZ127"/>
      <c r="BA127"/>
      <c r="BB127"/>
      <c r="BC127" s="558"/>
      <c r="BD127"/>
      <c r="BE127"/>
      <c r="BF127"/>
      <c r="BH127" s="455">
        <v>0.754</v>
      </c>
      <c r="BI127" s="455">
        <v>1</v>
      </c>
      <c r="BJ127"/>
      <c r="BK127"/>
      <c r="BL127"/>
      <c r="BM127"/>
      <c r="BN127"/>
      <c r="BO127" s="558"/>
      <c r="BP127" s="455">
        <v>0.754</v>
      </c>
      <c r="BQ127" s="455"/>
      <c r="BR127">
        <v>1</v>
      </c>
      <c r="BS127"/>
      <c r="BT127"/>
      <c r="BU127" s="558"/>
      <c r="BV127"/>
      <c r="BW127"/>
      <c r="BZ127" s="455">
        <v>0.754</v>
      </c>
      <c r="CA127" s="556">
        <v>1</v>
      </c>
      <c r="CB127"/>
      <c r="CC127"/>
      <c r="CD127"/>
      <c r="CF127" s="455">
        <v>0.754</v>
      </c>
      <c r="CG127" s="455">
        <v>1</v>
      </c>
      <c r="CH127"/>
      <c r="CI127"/>
      <c r="CJ127"/>
      <c r="CK127"/>
      <c r="CL127"/>
      <c r="CM127"/>
      <c r="CN127"/>
      <c r="CO127"/>
      <c r="CP127"/>
      <c r="CQ127"/>
      <c r="CR127"/>
      <c r="CS127"/>
      <c r="CT127"/>
      <c r="CU127"/>
      <c r="CV127" s="558"/>
      <c r="CW127"/>
      <c r="CX127"/>
      <c r="CY127"/>
      <c r="CZ127"/>
      <c r="DA127"/>
      <c r="DB127"/>
      <c r="DC127"/>
      <c r="DD127"/>
      <c r="DE127"/>
      <c r="DF127"/>
      <c r="DG127" s="455">
        <v>0.754</v>
      </c>
      <c r="DH127" s="455">
        <v>1</v>
      </c>
      <c r="DI127"/>
      <c r="DJ127"/>
      <c r="DK127"/>
      <c r="DL127"/>
      <c r="DM127"/>
      <c r="DN127"/>
      <c r="DO127"/>
      <c r="DP127"/>
      <c r="DQ127"/>
      <c r="DR127"/>
      <c r="DS127"/>
      <c r="DT127"/>
      <c r="DU127" s="558"/>
      <c r="DV127"/>
      <c r="DW127"/>
      <c r="DX127"/>
      <c r="DZ127" s="455">
        <v>0.754</v>
      </c>
      <c r="EA127" s="455">
        <v>1</v>
      </c>
      <c r="EB127"/>
      <c r="EC127"/>
      <c r="ED127"/>
      <c r="EE127"/>
      <c r="EF127"/>
      <c r="EG127" s="558"/>
      <c r="EH127"/>
      <c r="EJ127" s="455">
        <v>0.754</v>
      </c>
      <c r="EK127" s="455"/>
      <c r="EL127"/>
      <c r="EM127"/>
      <c r="EN127"/>
      <c r="EO127"/>
      <c r="EP127"/>
      <c r="EQ127"/>
      <c r="ER127"/>
      <c r="ES127"/>
      <c r="ET127"/>
      <c r="EU127"/>
      <c r="EV127"/>
      <c r="EW127"/>
      <c r="EX127"/>
      <c r="EY127"/>
      <c r="EZ127"/>
      <c r="FA127"/>
      <c r="FB127">
        <v>1</v>
      </c>
      <c r="FC127"/>
      <c r="FD127"/>
      <c r="FE127"/>
      <c r="FF127"/>
      <c r="FG127"/>
      <c r="FH127" s="558"/>
      <c r="FI127"/>
      <c r="FK127" s="449">
        <v>23.067</v>
      </c>
      <c r="FL127" s="449" t="s">
        <v>405</v>
      </c>
      <c r="FM127" s="449"/>
      <c r="FN127" s="452"/>
      <c r="FO127" s="452">
        <v>1</v>
      </c>
      <c r="FP127" s="452"/>
      <c r="FQ127" s="452"/>
      <c r="FR127" s="452"/>
      <c r="FS127" s="452"/>
      <c r="FT127" s="452"/>
      <c r="FU127" s="452"/>
      <c r="FV127" s="452"/>
      <c r="FW127" s="452"/>
      <c r="FX127" s="452"/>
      <c r="FY127" s="452"/>
      <c r="FZ127" s="453"/>
      <c r="GA127"/>
      <c r="GB127"/>
      <c r="GC127"/>
      <c r="GD127"/>
    </row>
    <row r="128" spans="4:186" x14ac:dyDescent="0.15">
      <c r="AG128" s="455">
        <v>6.3869999999999996</v>
      </c>
      <c r="AH128" s="556">
        <v>1</v>
      </c>
      <c r="AJ128" s="455">
        <v>6.3869999999999996</v>
      </c>
      <c r="AK128" s="556">
        <v>1</v>
      </c>
      <c r="AL128"/>
      <c r="AM128"/>
      <c r="AN128"/>
      <c r="AO128" s="455">
        <v>6.3869999999999996</v>
      </c>
      <c r="AP128" s="455"/>
      <c r="AQ128">
        <v>1</v>
      </c>
      <c r="AR128"/>
      <c r="AS128"/>
      <c r="AT128"/>
      <c r="AU128"/>
      <c r="AV128"/>
      <c r="AW128"/>
      <c r="AX128"/>
      <c r="AY128"/>
      <c r="AZ128"/>
      <c r="BA128"/>
      <c r="BB128"/>
      <c r="BC128" s="558"/>
      <c r="BD128"/>
      <c r="BE128"/>
      <c r="BF128"/>
      <c r="BH128" s="455">
        <v>6.3869999999999996</v>
      </c>
      <c r="BI128" s="455">
        <v>1</v>
      </c>
      <c r="BJ128"/>
      <c r="BK128"/>
      <c r="BL128"/>
      <c r="BM128"/>
      <c r="BN128"/>
      <c r="BO128" s="558"/>
      <c r="BP128" s="455">
        <v>6.3869999999999996</v>
      </c>
      <c r="BQ128" s="455">
        <v>1</v>
      </c>
      <c r="BR128"/>
      <c r="BS128"/>
      <c r="BT128"/>
      <c r="BU128" s="558"/>
      <c r="BV128"/>
      <c r="BW128"/>
      <c r="BZ128" s="455">
        <v>6.3869999999999996</v>
      </c>
      <c r="CA128" s="556">
        <v>1</v>
      </c>
      <c r="CB128"/>
      <c r="CC128"/>
      <c r="CD128"/>
      <c r="CF128" s="455">
        <v>6.3869999999999996</v>
      </c>
      <c r="CG128" s="455"/>
      <c r="CH128">
        <v>1</v>
      </c>
      <c r="CI128"/>
      <c r="CJ128"/>
      <c r="CK128"/>
      <c r="CL128"/>
      <c r="CM128"/>
      <c r="CN128"/>
      <c r="CO128"/>
      <c r="CP128"/>
      <c r="CQ128"/>
      <c r="CR128"/>
      <c r="CS128"/>
      <c r="CT128"/>
      <c r="CU128"/>
      <c r="CV128" s="558"/>
      <c r="CW128"/>
      <c r="CX128"/>
      <c r="CY128"/>
      <c r="CZ128"/>
      <c r="DA128"/>
      <c r="DB128"/>
      <c r="DC128"/>
      <c r="DD128"/>
      <c r="DE128"/>
      <c r="DF128"/>
      <c r="DG128" s="455">
        <v>6.3869999999999996</v>
      </c>
      <c r="DH128" s="455"/>
      <c r="DI128">
        <v>1</v>
      </c>
      <c r="DJ128"/>
      <c r="DK128"/>
      <c r="DL128"/>
      <c r="DM128"/>
      <c r="DN128"/>
      <c r="DO128"/>
      <c r="DP128"/>
      <c r="DQ128"/>
      <c r="DR128"/>
      <c r="DS128"/>
      <c r="DT128"/>
      <c r="DU128" s="558"/>
      <c r="DV128"/>
      <c r="DW128"/>
      <c r="DX128"/>
      <c r="DZ128" s="455">
        <v>6.3869999999999996</v>
      </c>
      <c r="EA128" s="455"/>
      <c r="EB128">
        <v>1</v>
      </c>
      <c r="EC128"/>
      <c r="ED128"/>
      <c r="EE128"/>
      <c r="EF128"/>
      <c r="EG128" s="558"/>
      <c r="EH128"/>
      <c r="EJ128" s="455">
        <v>6.3869999999999996</v>
      </c>
      <c r="EK128" s="455"/>
      <c r="EL128"/>
      <c r="EM128"/>
      <c r="EN128"/>
      <c r="EO128"/>
      <c r="EP128"/>
      <c r="EQ128"/>
      <c r="ER128"/>
      <c r="ES128"/>
      <c r="ET128"/>
      <c r="EU128"/>
      <c r="EV128"/>
      <c r="EW128"/>
      <c r="EX128"/>
      <c r="EY128"/>
      <c r="EZ128"/>
      <c r="FA128"/>
      <c r="FB128"/>
      <c r="FC128"/>
      <c r="FD128">
        <v>1</v>
      </c>
      <c r="FE128"/>
      <c r="FF128"/>
      <c r="FG128"/>
      <c r="FH128" s="558"/>
      <c r="FI128"/>
      <c r="FK128" s="449" t="s">
        <v>6809</v>
      </c>
      <c r="FL128" s="457"/>
      <c r="FM128" s="449"/>
      <c r="FN128" s="452"/>
      <c r="FO128" s="452">
        <v>1</v>
      </c>
      <c r="FP128" s="452"/>
      <c r="FQ128" s="452"/>
      <c r="FR128" s="452"/>
      <c r="FS128" s="452"/>
      <c r="FT128" s="452"/>
      <c r="FU128" s="452"/>
      <c r="FV128" s="452"/>
      <c r="FW128" s="452"/>
      <c r="FX128" s="452"/>
      <c r="FY128" s="452"/>
      <c r="FZ128" s="453"/>
      <c r="GA128"/>
      <c r="GB128"/>
      <c r="GC128"/>
      <c r="GD128"/>
    </row>
    <row r="129" spans="1:186" x14ac:dyDescent="0.15">
      <c r="AG129" s="455">
        <v>2.762</v>
      </c>
      <c r="AH129" s="556">
        <v>1</v>
      </c>
      <c r="AJ129" s="455">
        <v>2.762</v>
      </c>
      <c r="AK129" s="556">
        <v>1</v>
      </c>
      <c r="AL129"/>
      <c r="AM129"/>
      <c r="AN129"/>
      <c r="AO129" s="455">
        <v>2.762</v>
      </c>
      <c r="AP129" s="455"/>
      <c r="AQ129"/>
      <c r="AR129"/>
      <c r="AS129"/>
      <c r="AT129">
        <v>1</v>
      </c>
      <c r="AU129"/>
      <c r="AV129"/>
      <c r="AW129"/>
      <c r="AX129"/>
      <c r="AY129"/>
      <c r="AZ129"/>
      <c r="BA129"/>
      <c r="BB129"/>
      <c r="BC129" s="558"/>
      <c r="BD129"/>
      <c r="BE129"/>
      <c r="BF129"/>
      <c r="BH129" s="455">
        <v>2.762</v>
      </c>
      <c r="BI129" s="455">
        <v>1</v>
      </c>
      <c r="BJ129"/>
      <c r="BK129"/>
      <c r="BL129"/>
      <c r="BM129"/>
      <c r="BN129"/>
      <c r="BO129" s="558"/>
      <c r="BP129" s="455">
        <v>2.762</v>
      </c>
      <c r="BQ129" s="455"/>
      <c r="BR129"/>
      <c r="BS129">
        <v>1</v>
      </c>
      <c r="BT129"/>
      <c r="BU129" s="558"/>
      <c r="BV129"/>
      <c r="BW129"/>
      <c r="BZ129" s="455">
        <v>2.762</v>
      </c>
      <c r="CA129" s="556">
        <v>1</v>
      </c>
      <c r="CB129"/>
      <c r="CC129"/>
      <c r="CD129"/>
      <c r="CF129" s="455">
        <v>2.762</v>
      </c>
      <c r="CG129" s="455">
        <v>1</v>
      </c>
      <c r="CH129"/>
      <c r="CI129"/>
      <c r="CJ129"/>
      <c r="CK129"/>
      <c r="CL129"/>
      <c r="CM129"/>
      <c r="CN129"/>
      <c r="CO129"/>
      <c r="CP129"/>
      <c r="CQ129"/>
      <c r="CR129"/>
      <c r="CS129"/>
      <c r="CT129"/>
      <c r="CU129"/>
      <c r="CV129" s="558"/>
      <c r="CW129"/>
      <c r="CX129"/>
      <c r="CY129"/>
      <c r="CZ129"/>
      <c r="DA129"/>
      <c r="DB129"/>
      <c r="DC129"/>
      <c r="DD129"/>
      <c r="DE129"/>
      <c r="DF129"/>
      <c r="DG129" s="455">
        <v>2.762</v>
      </c>
      <c r="DH129" s="455">
        <v>1</v>
      </c>
      <c r="DI129"/>
      <c r="DJ129"/>
      <c r="DK129"/>
      <c r="DL129"/>
      <c r="DM129"/>
      <c r="DN129"/>
      <c r="DO129"/>
      <c r="DP129"/>
      <c r="DQ129"/>
      <c r="DR129"/>
      <c r="DS129"/>
      <c r="DT129"/>
      <c r="DU129" s="558"/>
      <c r="DV129"/>
      <c r="DW129"/>
      <c r="DX129"/>
      <c r="DZ129" s="455">
        <v>2.762</v>
      </c>
      <c r="EA129" s="455"/>
      <c r="EB129"/>
      <c r="EC129"/>
      <c r="ED129">
        <v>1</v>
      </c>
      <c r="EE129"/>
      <c r="EF129"/>
      <c r="EG129" s="558"/>
      <c r="EH129"/>
      <c r="EJ129" s="455">
        <v>2.762</v>
      </c>
      <c r="EK129" s="455">
        <v>1</v>
      </c>
      <c r="EL129"/>
      <c r="EM129"/>
      <c r="EN129"/>
      <c r="EO129"/>
      <c r="EP129"/>
      <c r="EQ129"/>
      <c r="ER129"/>
      <c r="ES129"/>
      <c r="ET129"/>
      <c r="EU129"/>
      <c r="EV129"/>
      <c r="EW129"/>
      <c r="EX129"/>
      <c r="EY129"/>
      <c r="EZ129"/>
      <c r="FA129"/>
      <c r="FB129"/>
      <c r="FC129"/>
      <c r="FD129"/>
      <c r="FE129"/>
      <c r="FF129"/>
      <c r="FG129"/>
      <c r="FH129" s="558"/>
      <c r="FI129"/>
      <c r="FK129" s="449">
        <v>7.952</v>
      </c>
      <c r="FL129" s="449" t="s">
        <v>406</v>
      </c>
      <c r="FM129" s="449">
        <v>1</v>
      </c>
      <c r="FN129" s="452"/>
      <c r="FO129" s="452"/>
      <c r="FP129" s="452"/>
      <c r="FQ129" s="452"/>
      <c r="FR129" s="452"/>
      <c r="FS129" s="452"/>
      <c r="FT129" s="452"/>
      <c r="FU129" s="452"/>
      <c r="FV129" s="452"/>
      <c r="FW129" s="452"/>
      <c r="FX129" s="452"/>
      <c r="FY129" s="452"/>
      <c r="FZ129" s="453"/>
      <c r="GA129"/>
      <c r="GB129"/>
      <c r="GC129"/>
      <c r="GD129"/>
    </row>
    <row r="130" spans="1:186" x14ac:dyDescent="0.15">
      <c r="AG130" s="455">
        <v>6.9809999999999999</v>
      </c>
      <c r="AH130" s="556">
        <v>1</v>
      </c>
      <c r="AJ130" s="455">
        <v>6.9809999999999999</v>
      </c>
      <c r="AK130" s="556">
        <v>1</v>
      </c>
      <c r="AL130"/>
      <c r="AM130"/>
      <c r="AN130"/>
      <c r="AO130" s="455">
        <v>6.9809999999999999</v>
      </c>
      <c r="AP130" s="455">
        <v>1</v>
      </c>
      <c r="AQ130"/>
      <c r="AR130"/>
      <c r="AS130"/>
      <c r="AT130"/>
      <c r="AU130"/>
      <c r="AV130"/>
      <c r="AW130"/>
      <c r="AX130"/>
      <c r="AY130"/>
      <c r="AZ130"/>
      <c r="BA130"/>
      <c r="BB130"/>
      <c r="BC130" s="558"/>
      <c r="BD130"/>
      <c r="BE130"/>
      <c r="BF130"/>
      <c r="BH130" s="455">
        <v>6.9809999999999999</v>
      </c>
      <c r="BI130" s="455">
        <v>1</v>
      </c>
      <c r="BJ130"/>
      <c r="BK130"/>
      <c r="BL130"/>
      <c r="BM130"/>
      <c r="BN130"/>
      <c r="BO130" s="558"/>
      <c r="BP130" s="455">
        <v>6.9809999999999999</v>
      </c>
      <c r="BQ130" s="455">
        <v>1</v>
      </c>
      <c r="BR130"/>
      <c r="BS130"/>
      <c r="BT130"/>
      <c r="BU130" s="558"/>
      <c r="BV130"/>
      <c r="BW130"/>
      <c r="BZ130" s="455">
        <v>6.9809999999999999</v>
      </c>
      <c r="CA130" s="556">
        <v>1</v>
      </c>
      <c r="CB130"/>
      <c r="CC130"/>
      <c r="CD130"/>
      <c r="CF130" s="455">
        <v>6.9809999999999999</v>
      </c>
      <c r="CG130" s="455">
        <v>1</v>
      </c>
      <c r="CH130"/>
      <c r="CI130"/>
      <c r="CJ130"/>
      <c r="CK130"/>
      <c r="CL130"/>
      <c r="CM130"/>
      <c r="CN130"/>
      <c r="CO130"/>
      <c r="CP130"/>
      <c r="CQ130"/>
      <c r="CR130"/>
      <c r="CS130"/>
      <c r="CT130"/>
      <c r="CU130"/>
      <c r="CV130" s="558"/>
      <c r="CW130"/>
      <c r="CX130"/>
      <c r="CY130"/>
      <c r="CZ130"/>
      <c r="DA130"/>
      <c r="DB130"/>
      <c r="DC130"/>
      <c r="DD130"/>
      <c r="DE130"/>
      <c r="DF130"/>
      <c r="DG130" s="455">
        <v>6.9809999999999999</v>
      </c>
      <c r="DH130" s="455"/>
      <c r="DI130">
        <v>1</v>
      </c>
      <c r="DJ130"/>
      <c r="DK130"/>
      <c r="DL130"/>
      <c r="DM130"/>
      <c r="DN130"/>
      <c r="DO130"/>
      <c r="DP130"/>
      <c r="DQ130"/>
      <c r="DR130"/>
      <c r="DS130"/>
      <c r="DT130"/>
      <c r="DU130" s="558"/>
      <c r="DV130"/>
      <c r="DW130"/>
      <c r="DX130"/>
      <c r="DZ130" s="455">
        <v>6.9809999999999999</v>
      </c>
      <c r="EA130" s="455"/>
      <c r="EB130"/>
      <c r="EC130"/>
      <c r="ED130">
        <v>1</v>
      </c>
      <c r="EE130"/>
      <c r="EF130"/>
      <c r="EG130" s="558"/>
      <c r="EH130"/>
      <c r="EJ130" s="455">
        <v>6.9809999999999999</v>
      </c>
      <c r="EK130" s="455"/>
      <c r="EL130"/>
      <c r="EM130"/>
      <c r="EN130"/>
      <c r="EO130">
        <v>1</v>
      </c>
      <c r="EP130"/>
      <c r="EQ130"/>
      <c r="ER130"/>
      <c r="ES130"/>
      <c r="ET130"/>
      <c r="EU130"/>
      <c r="EV130"/>
      <c r="EW130"/>
      <c r="EX130"/>
      <c r="EY130"/>
      <c r="EZ130"/>
      <c r="FA130"/>
      <c r="FB130"/>
      <c r="FC130"/>
      <c r="FD130"/>
      <c r="FE130"/>
      <c r="FF130"/>
      <c r="FG130"/>
      <c r="FH130" s="558"/>
      <c r="FI130"/>
      <c r="FK130" s="449" t="s">
        <v>6810</v>
      </c>
      <c r="FL130" s="457"/>
      <c r="FM130" s="449">
        <v>1</v>
      </c>
      <c r="FN130" s="452"/>
      <c r="FO130" s="452"/>
      <c r="FP130" s="452"/>
      <c r="FQ130" s="452"/>
      <c r="FR130" s="452"/>
      <c r="FS130" s="452"/>
      <c r="FT130" s="452"/>
      <c r="FU130" s="452"/>
      <c r="FV130" s="452"/>
      <c r="FW130" s="452"/>
      <c r="FX130" s="452"/>
      <c r="FY130" s="452"/>
      <c r="FZ130" s="453"/>
      <c r="GA130"/>
      <c r="GB130"/>
      <c r="GC130"/>
      <c r="GD130"/>
    </row>
    <row r="131" spans="1:186" x14ac:dyDescent="0.15">
      <c r="AG131" s="455">
        <v>10.88</v>
      </c>
      <c r="AH131" s="556">
        <v>1</v>
      </c>
      <c r="AJ131" s="455">
        <v>10.88</v>
      </c>
      <c r="AK131" s="556">
        <v>1</v>
      </c>
      <c r="AL131"/>
      <c r="AM131"/>
      <c r="AN131"/>
      <c r="AO131" s="455">
        <v>10.88</v>
      </c>
      <c r="AP131" s="455">
        <v>1</v>
      </c>
      <c r="AQ131"/>
      <c r="AR131"/>
      <c r="AS131"/>
      <c r="AT131"/>
      <c r="AU131"/>
      <c r="AV131"/>
      <c r="AW131"/>
      <c r="AX131"/>
      <c r="AY131"/>
      <c r="AZ131"/>
      <c r="BA131"/>
      <c r="BB131"/>
      <c r="BC131" s="558"/>
      <c r="BD131"/>
      <c r="BE131"/>
      <c r="BF131"/>
      <c r="BH131" s="455">
        <v>10.88</v>
      </c>
      <c r="BI131" s="455">
        <v>1</v>
      </c>
      <c r="BJ131"/>
      <c r="BK131"/>
      <c r="BL131"/>
      <c r="BM131"/>
      <c r="BN131"/>
      <c r="BO131" s="558"/>
      <c r="BP131" s="455">
        <v>10.88</v>
      </c>
      <c r="BQ131" s="455">
        <v>1</v>
      </c>
      <c r="BR131"/>
      <c r="BS131"/>
      <c r="BT131"/>
      <c r="BU131" s="558"/>
      <c r="BV131"/>
      <c r="BW131"/>
      <c r="BZ131" s="455">
        <v>10.88</v>
      </c>
      <c r="CA131" s="556">
        <v>1</v>
      </c>
      <c r="CB131"/>
      <c r="CC131"/>
      <c r="CD131"/>
      <c r="CF131" s="455">
        <v>10.88</v>
      </c>
      <c r="CG131" s="455">
        <v>1</v>
      </c>
      <c r="CH131"/>
      <c r="CI131"/>
      <c r="CJ131"/>
      <c r="CK131"/>
      <c r="CL131"/>
      <c r="CM131"/>
      <c r="CN131"/>
      <c r="CO131"/>
      <c r="CP131"/>
      <c r="CQ131"/>
      <c r="CR131"/>
      <c r="CS131"/>
      <c r="CT131"/>
      <c r="CU131"/>
      <c r="CV131" s="558"/>
      <c r="CW131"/>
      <c r="CX131"/>
      <c r="CY131"/>
      <c r="CZ131"/>
      <c r="DA131"/>
      <c r="DB131"/>
      <c r="DC131"/>
      <c r="DD131"/>
      <c r="DE131"/>
      <c r="DF131"/>
      <c r="DG131" s="455">
        <v>10.88</v>
      </c>
      <c r="DH131" s="455">
        <v>1</v>
      </c>
      <c r="DI131"/>
      <c r="DJ131"/>
      <c r="DK131"/>
      <c r="DL131"/>
      <c r="DM131"/>
      <c r="DN131"/>
      <c r="DO131"/>
      <c r="DP131"/>
      <c r="DQ131"/>
      <c r="DR131"/>
      <c r="DS131"/>
      <c r="DT131"/>
      <c r="DU131" s="558"/>
      <c r="DV131"/>
      <c r="DW131"/>
      <c r="DX131"/>
      <c r="DZ131" s="455">
        <v>10.88</v>
      </c>
      <c r="EA131" s="455"/>
      <c r="EB131"/>
      <c r="EC131"/>
      <c r="ED131"/>
      <c r="EE131"/>
      <c r="EF131">
        <v>1</v>
      </c>
      <c r="EG131" s="558"/>
      <c r="EH131"/>
      <c r="EJ131" s="455">
        <v>10.88</v>
      </c>
      <c r="EK131" s="455"/>
      <c r="EL131"/>
      <c r="EM131"/>
      <c r="EN131"/>
      <c r="EO131"/>
      <c r="EP131"/>
      <c r="EQ131"/>
      <c r="ER131"/>
      <c r="ES131"/>
      <c r="ET131"/>
      <c r="EU131"/>
      <c r="EV131"/>
      <c r="EW131"/>
      <c r="EX131"/>
      <c r="EY131"/>
      <c r="EZ131"/>
      <c r="FA131"/>
      <c r="FB131"/>
      <c r="FC131"/>
      <c r="FD131">
        <v>1</v>
      </c>
      <c r="FE131"/>
      <c r="FF131"/>
      <c r="FG131"/>
      <c r="FH131" s="558"/>
      <c r="FI131"/>
      <c r="FK131" s="449">
        <v>5.2009999999999996</v>
      </c>
      <c r="FL131" s="449" t="s">
        <v>411</v>
      </c>
      <c r="FM131" s="449"/>
      <c r="FN131" s="452"/>
      <c r="FO131" s="452"/>
      <c r="FP131" s="452"/>
      <c r="FQ131" s="452"/>
      <c r="FR131" s="452"/>
      <c r="FS131" s="452"/>
      <c r="FT131" s="452"/>
      <c r="FU131" s="452"/>
      <c r="FV131" s="452"/>
      <c r="FW131" s="452"/>
      <c r="FX131" s="452"/>
      <c r="FY131" s="452">
        <v>1</v>
      </c>
      <c r="FZ131" s="453"/>
      <c r="GA131"/>
      <c r="GB131"/>
      <c r="GC131"/>
      <c r="GD131"/>
    </row>
    <row r="132" spans="1:186" x14ac:dyDescent="0.15">
      <c r="AG132" s="455">
        <v>17.399999999999999</v>
      </c>
      <c r="AH132" s="556">
        <v>1</v>
      </c>
      <c r="AJ132" s="455">
        <v>17.399999999999999</v>
      </c>
      <c r="AK132" s="556">
        <v>1</v>
      </c>
      <c r="AL132"/>
      <c r="AM132"/>
      <c r="AN132"/>
      <c r="AO132" s="455">
        <v>17.399999999999999</v>
      </c>
      <c r="AP132" s="455"/>
      <c r="AQ132"/>
      <c r="AR132">
        <v>1</v>
      </c>
      <c r="AS132"/>
      <c r="AT132"/>
      <c r="AU132"/>
      <c r="AV132"/>
      <c r="AW132"/>
      <c r="AX132"/>
      <c r="AY132"/>
      <c r="AZ132"/>
      <c r="BA132"/>
      <c r="BB132"/>
      <c r="BC132" s="558"/>
      <c r="BD132"/>
      <c r="BE132"/>
      <c r="BF132"/>
      <c r="BH132" s="455">
        <v>17.399999999999999</v>
      </c>
      <c r="BI132" s="455"/>
      <c r="BJ132">
        <v>1</v>
      </c>
      <c r="BK132"/>
      <c r="BL132"/>
      <c r="BM132"/>
      <c r="BN132"/>
      <c r="BO132" s="558"/>
      <c r="BP132" s="455">
        <v>17.399999999999999</v>
      </c>
      <c r="BQ132" s="455"/>
      <c r="BR132">
        <v>1</v>
      </c>
      <c r="BS132"/>
      <c r="BT132"/>
      <c r="BU132" s="558"/>
      <c r="BV132"/>
      <c r="BW132"/>
      <c r="BZ132" s="455">
        <v>17.399999999999999</v>
      </c>
      <c r="CA132" s="556">
        <v>1</v>
      </c>
      <c r="CB132"/>
      <c r="CC132"/>
      <c r="CD132"/>
      <c r="CF132" s="455">
        <v>17.399999999999999</v>
      </c>
      <c r="CG132" s="455">
        <v>1</v>
      </c>
      <c r="CH132"/>
      <c r="CI132"/>
      <c r="CJ132"/>
      <c r="CK132"/>
      <c r="CL132"/>
      <c r="CM132"/>
      <c r="CN132"/>
      <c r="CO132"/>
      <c r="CP132"/>
      <c r="CQ132"/>
      <c r="CR132"/>
      <c r="CS132"/>
      <c r="CT132"/>
      <c r="CU132"/>
      <c r="CV132" s="558"/>
      <c r="CW132"/>
      <c r="CX132"/>
      <c r="CY132"/>
      <c r="CZ132"/>
      <c r="DA132"/>
      <c r="DB132"/>
      <c r="DC132"/>
      <c r="DD132"/>
      <c r="DE132"/>
      <c r="DF132"/>
      <c r="DG132" s="455">
        <v>17.399999999999999</v>
      </c>
      <c r="DH132" s="455">
        <v>1</v>
      </c>
      <c r="DI132"/>
      <c r="DJ132"/>
      <c r="DK132"/>
      <c r="DL132"/>
      <c r="DM132"/>
      <c r="DN132"/>
      <c r="DO132"/>
      <c r="DP132"/>
      <c r="DQ132"/>
      <c r="DR132"/>
      <c r="DS132"/>
      <c r="DT132"/>
      <c r="DU132" s="558"/>
      <c r="DV132"/>
      <c r="DW132"/>
      <c r="DX132"/>
      <c r="DZ132" s="455">
        <v>17.399999999999999</v>
      </c>
      <c r="EA132" s="455"/>
      <c r="EB132"/>
      <c r="EC132"/>
      <c r="ED132">
        <v>1</v>
      </c>
      <c r="EE132"/>
      <c r="EF132"/>
      <c r="EG132" s="558"/>
      <c r="EH132"/>
      <c r="EJ132" s="455">
        <v>17.399999999999999</v>
      </c>
      <c r="EK132" s="455"/>
      <c r="EL132"/>
      <c r="EM132"/>
      <c r="EN132"/>
      <c r="EO132"/>
      <c r="EP132"/>
      <c r="EQ132"/>
      <c r="ER132"/>
      <c r="ES132"/>
      <c r="ET132"/>
      <c r="EU132"/>
      <c r="EV132"/>
      <c r="EW132">
        <v>1</v>
      </c>
      <c r="EX132"/>
      <c r="EY132"/>
      <c r="EZ132"/>
      <c r="FA132"/>
      <c r="FB132"/>
      <c r="FC132"/>
      <c r="FD132"/>
      <c r="FE132"/>
      <c r="FF132"/>
      <c r="FG132"/>
      <c r="FH132" s="558"/>
      <c r="FI132"/>
      <c r="FK132" s="449" t="s">
        <v>6811</v>
      </c>
      <c r="FL132" s="457"/>
      <c r="FM132" s="449"/>
      <c r="FN132" s="452"/>
      <c r="FO132" s="452"/>
      <c r="FP132" s="452"/>
      <c r="FQ132" s="452"/>
      <c r="FR132" s="452"/>
      <c r="FS132" s="452"/>
      <c r="FT132" s="452"/>
      <c r="FU132" s="452"/>
      <c r="FV132" s="452"/>
      <c r="FW132" s="452"/>
      <c r="FX132" s="452"/>
      <c r="FY132" s="452">
        <v>1</v>
      </c>
      <c r="FZ132" s="453"/>
      <c r="GA132"/>
      <c r="GB132"/>
      <c r="GC132"/>
      <c r="GD132"/>
    </row>
    <row r="133" spans="1:186" x14ac:dyDescent="0.15">
      <c r="AG133" s="455">
        <v>0.99299999999999999</v>
      </c>
      <c r="AH133" s="556">
        <v>1</v>
      </c>
      <c r="AJ133" s="455">
        <v>0.99299999999999999</v>
      </c>
      <c r="AK133" s="556">
        <v>1</v>
      </c>
      <c r="AL133"/>
      <c r="AM133"/>
      <c r="AN133"/>
      <c r="AO133" s="455">
        <v>0.99299999999999999</v>
      </c>
      <c r="AP133" s="455"/>
      <c r="AQ133"/>
      <c r="AR133">
        <v>1</v>
      </c>
      <c r="AS133"/>
      <c r="AT133"/>
      <c r="AU133"/>
      <c r="AV133"/>
      <c r="AW133"/>
      <c r="AX133"/>
      <c r="AY133"/>
      <c r="AZ133"/>
      <c r="BA133"/>
      <c r="BB133"/>
      <c r="BC133" s="558"/>
      <c r="BD133"/>
      <c r="BE133"/>
      <c r="BF133"/>
      <c r="BH133" s="455">
        <v>0.99299999999999999</v>
      </c>
      <c r="BI133" s="455">
        <v>1</v>
      </c>
      <c r="BJ133"/>
      <c r="BK133"/>
      <c r="BL133"/>
      <c r="BM133"/>
      <c r="BN133"/>
      <c r="BO133" s="558"/>
      <c r="BP133" s="455">
        <v>0.99299999999999999</v>
      </c>
      <c r="BQ133" s="455"/>
      <c r="BR133">
        <v>1</v>
      </c>
      <c r="BS133"/>
      <c r="BT133"/>
      <c r="BU133" s="558"/>
      <c r="BV133"/>
      <c r="BW133"/>
      <c r="BZ133" s="455">
        <v>0.99299999999999999</v>
      </c>
      <c r="CA133" s="556">
        <v>1</v>
      </c>
      <c r="CB133"/>
      <c r="CC133"/>
      <c r="CD133"/>
      <c r="CF133" s="455">
        <v>0.99299999999999999</v>
      </c>
      <c r="CG133" s="455"/>
      <c r="CH133">
        <v>1</v>
      </c>
      <c r="CI133"/>
      <c r="CJ133"/>
      <c r="CK133"/>
      <c r="CL133"/>
      <c r="CM133"/>
      <c r="CN133"/>
      <c r="CO133"/>
      <c r="CP133"/>
      <c r="CQ133"/>
      <c r="CR133"/>
      <c r="CS133"/>
      <c r="CT133"/>
      <c r="CU133"/>
      <c r="CV133" s="558"/>
      <c r="CW133"/>
      <c r="CX133"/>
      <c r="CY133"/>
      <c r="CZ133"/>
      <c r="DA133"/>
      <c r="DB133"/>
      <c r="DC133"/>
      <c r="DD133"/>
      <c r="DE133"/>
      <c r="DF133"/>
      <c r="DG133" s="455">
        <v>0.99299999999999999</v>
      </c>
      <c r="DH133" s="455">
        <v>1</v>
      </c>
      <c r="DI133"/>
      <c r="DJ133"/>
      <c r="DK133"/>
      <c r="DL133"/>
      <c r="DM133"/>
      <c r="DN133"/>
      <c r="DO133"/>
      <c r="DP133"/>
      <c r="DQ133"/>
      <c r="DR133"/>
      <c r="DS133"/>
      <c r="DT133"/>
      <c r="DU133" s="558"/>
      <c r="DV133"/>
      <c r="DW133"/>
      <c r="DX133"/>
      <c r="DZ133" s="455">
        <v>0.99299999999999999</v>
      </c>
      <c r="EA133" s="455"/>
      <c r="EB133"/>
      <c r="EC133"/>
      <c r="ED133"/>
      <c r="EE133"/>
      <c r="EF133">
        <v>1</v>
      </c>
      <c r="EG133" s="558"/>
      <c r="EH133"/>
      <c r="EJ133" s="455">
        <v>0.99299999999999999</v>
      </c>
      <c r="EK133" s="455"/>
      <c r="EL133"/>
      <c r="EM133"/>
      <c r="EN133"/>
      <c r="EO133"/>
      <c r="EP133"/>
      <c r="EQ133"/>
      <c r="ER133"/>
      <c r="ES133"/>
      <c r="ET133"/>
      <c r="EU133"/>
      <c r="EV133"/>
      <c r="EW133"/>
      <c r="EX133"/>
      <c r="EY133"/>
      <c r="EZ133">
        <v>1</v>
      </c>
      <c r="FA133"/>
      <c r="FB133"/>
      <c r="FC133"/>
      <c r="FD133"/>
      <c r="FE133"/>
      <c r="FF133"/>
      <c r="FG133"/>
      <c r="FH133" s="558"/>
      <c r="FI133"/>
      <c r="FK133" s="449">
        <v>1.3979999999999999</v>
      </c>
      <c r="FL133" s="449" t="s">
        <v>405</v>
      </c>
      <c r="FM133" s="449"/>
      <c r="FN133" s="452"/>
      <c r="FO133" s="452"/>
      <c r="FP133" s="452">
        <v>1</v>
      </c>
      <c r="FQ133" s="452"/>
      <c r="FR133" s="452"/>
      <c r="FS133" s="452"/>
      <c r="FT133" s="452"/>
      <c r="FU133" s="452"/>
      <c r="FV133" s="452"/>
      <c r="FW133" s="452"/>
      <c r="FX133" s="452"/>
      <c r="FY133" s="452"/>
      <c r="FZ133" s="453"/>
      <c r="GA133"/>
      <c r="GB133"/>
      <c r="GC133"/>
      <c r="GD133"/>
    </row>
    <row r="134" spans="1:186" x14ac:dyDescent="0.15">
      <c r="AG134" s="455">
        <v>8.0180000000000007</v>
      </c>
      <c r="AH134" s="556">
        <v>1</v>
      </c>
      <c r="AJ134" s="455">
        <v>8.0180000000000007</v>
      </c>
      <c r="AK134" s="556">
        <v>1</v>
      </c>
      <c r="AL134"/>
      <c r="AM134"/>
      <c r="AN134"/>
      <c r="AO134" s="455">
        <v>8.0180000000000007</v>
      </c>
      <c r="AP134" s="455">
        <v>1</v>
      </c>
      <c r="AQ134"/>
      <c r="AR134"/>
      <c r="AS134"/>
      <c r="AT134"/>
      <c r="AU134"/>
      <c r="AV134"/>
      <c r="AW134"/>
      <c r="AX134"/>
      <c r="AY134"/>
      <c r="AZ134"/>
      <c r="BA134"/>
      <c r="BB134"/>
      <c r="BC134" s="558"/>
      <c r="BD134"/>
      <c r="BE134"/>
      <c r="BF134"/>
      <c r="BH134" s="455">
        <v>8.0180000000000007</v>
      </c>
      <c r="BI134" s="455">
        <v>1</v>
      </c>
      <c r="BJ134"/>
      <c r="BK134"/>
      <c r="BL134"/>
      <c r="BM134"/>
      <c r="BN134"/>
      <c r="BO134" s="558"/>
      <c r="BP134" s="455">
        <v>8.0180000000000007</v>
      </c>
      <c r="BQ134" s="455">
        <v>1</v>
      </c>
      <c r="BR134"/>
      <c r="BS134"/>
      <c r="BT134"/>
      <c r="BU134" s="558"/>
      <c r="BV134"/>
      <c r="BW134"/>
      <c r="BZ134" s="455">
        <v>8.0180000000000007</v>
      </c>
      <c r="CA134" s="556">
        <v>1</v>
      </c>
      <c r="CB134"/>
      <c r="CC134"/>
      <c r="CD134"/>
      <c r="CF134" s="455">
        <v>8.0180000000000007</v>
      </c>
      <c r="CG134" s="455"/>
      <c r="CH134"/>
      <c r="CI134"/>
      <c r="CJ134">
        <v>1</v>
      </c>
      <c r="CK134"/>
      <c r="CL134"/>
      <c r="CM134"/>
      <c r="CN134"/>
      <c r="CO134"/>
      <c r="CP134"/>
      <c r="CQ134"/>
      <c r="CR134"/>
      <c r="CS134"/>
      <c r="CT134"/>
      <c r="CU134"/>
      <c r="CV134" s="558"/>
      <c r="CW134"/>
      <c r="CX134"/>
      <c r="CY134"/>
      <c r="CZ134"/>
      <c r="DA134"/>
      <c r="DB134"/>
      <c r="DC134"/>
      <c r="DD134"/>
      <c r="DE134"/>
      <c r="DF134"/>
      <c r="DG134" s="455">
        <v>8.0180000000000007</v>
      </c>
      <c r="DH134" s="455">
        <v>1</v>
      </c>
      <c r="DI134"/>
      <c r="DJ134"/>
      <c r="DK134"/>
      <c r="DL134"/>
      <c r="DM134"/>
      <c r="DN134"/>
      <c r="DO134"/>
      <c r="DP134"/>
      <c r="DQ134"/>
      <c r="DR134"/>
      <c r="DS134"/>
      <c r="DT134"/>
      <c r="DU134" s="558"/>
      <c r="DV134"/>
      <c r="DW134"/>
      <c r="DX134"/>
      <c r="DZ134" s="455">
        <v>8.0180000000000007</v>
      </c>
      <c r="EA134" s="455"/>
      <c r="EB134"/>
      <c r="EC134"/>
      <c r="ED134"/>
      <c r="EE134"/>
      <c r="EF134"/>
      <c r="EG134" s="558">
        <v>1</v>
      </c>
      <c r="EH134"/>
      <c r="EJ134" s="455">
        <v>8.0180000000000007</v>
      </c>
      <c r="EK134" s="455"/>
      <c r="EL134"/>
      <c r="EM134">
        <v>1</v>
      </c>
      <c r="EN134"/>
      <c r="EO134"/>
      <c r="EP134"/>
      <c r="EQ134"/>
      <c r="ER134"/>
      <c r="ES134"/>
      <c r="ET134"/>
      <c r="EU134"/>
      <c r="EV134"/>
      <c r="EW134"/>
      <c r="EX134"/>
      <c r="EY134"/>
      <c r="EZ134"/>
      <c r="FA134"/>
      <c r="FB134"/>
      <c r="FC134"/>
      <c r="FD134"/>
      <c r="FE134"/>
      <c r="FF134"/>
      <c r="FG134"/>
      <c r="FH134" s="558"/>
      <c r="FI134"/>
      <c r="FK134" s="449" t="s">
        <v>6812</v>
      </c>
      <c r="FL134" s="457"/>
      <c r="FM134" s="449"/>
      <c r="FN134" s="452"/>
      <c r="FO134" s="452"/>
      <c r="FP134" s="452">
        <v>1</v>
      </c>
      <c r="FQ134" s="452"/>
      <c r="FR134" s="452"/>
      <c r="FS134" s="452"/>
      <c r="FT134" s="452"/>
      <c r="FU134" s="452"/>
      <c r="FV134" s="452"/>
      <c r="FW134" s="452"/>
      <c r="FX134" s="452"/>
      <c r="FY134" s="452"/>
      <c r="FZ134" s="453"/>
      <c r="GA134"/>
      <c r="GB134"/>
      <c r="GC134"/>
      <c r="GD134"/>
    </row>
    <row r="135" spans="1:186" x14ac:dyDescent="0.15">
      <c r="AG135" s="455">
        <v>9.98</v>
      </c>
      <c r="AH135" s="556">
        <v>1</v>
      </c>
      <c r="AJ135" s="455">
        <v>9.98</v>
      </c>
      <c r="AK135" s="556">
        <v>1</v>
      </c>
      <c r="AL135"/>
      <c r="AM135"/>
      <c r="AN135"/>
      <c r="AO135" s="455">
        <v>9.98</v>
      </c>
      <c r="AP135" s="455"/>
      <c r="AQ135"/>
      <c r="AR135">
        <v>1</v>
      </c>
      <c r="AS135"/>
      <c r="AT135"/>
      <c r="AU135"/>
      <c r="AV135"/>
      <c r="AW135"/>
      <c r="AX135"/>
      <c r="AY135"/>
      <c r="AZ135"/>
      <c r="BA135"/>
      <c r="BB135"/>
      <c r="BC135" s="558"/>
      <c r="BD135"/>
      <c r="BE135"/>
      <c r="BF135"/>
      <c r="BH135" s="455">
        <v>9.98</v>
      </c>
      <c r="BI135" s="455">
        <v>1</v>
      </c>
      <c r="BJ135"/>
      <c r="BK135"/>
      <c r="BL135"/>
      <c r="BM135"/>
      <c r="BN135"/>
      <c r="BO135" s="558"/>
      <c r="BP135" s="455">
        <v>9.98</v>
      </c>
      <c r="BQ135" s="455"/>
      <c r="BR135">
        <v>1</v>
      </c>
      <c r="BS135"/>
      <c r="BT135"/>
      <c r="BU135" s="558"/>
      <c r="BV135"/>
      <c r="BW135"/>
      <c r="BZ135" s="455">
        <v>9.98</v>
      </c>
      <c r="CA135" s="556">
        <v>1</v>
      </c>
      <c r="CB135"/>
      <c r="CC135"/>
      <c r="CD135"/>
      <c r="CF135" s="455">
        <v>9.98</v>
      </c>
      <c r="CG135" s="455"/>
      <c r="CH135"/>
      <c r="CI135"/>
      <c r="CJ135"/>
      <c r="CK135">
        <v>1</v>
      </c>
      <c r="CL135"/>
      <c r="CM135"/>
      <c r="CN135"/>
      <c r="CO135"/>
      <c r="CP135"/>
      <c r="CQ135"/>
      <c r="CR135"/>
      <c r="CS135"/>
      <c r="CT135"/>
      <c r="CU135"/>
      <c r="CV135" s="558"/>
      <c r="CW135"/>
      <c r="CX135"/>
      <c r="CY135"/>
      <c r="CZ135"/>
      <c r="DA135"/>
      <c r="DB135"/>
      <c r="DC135"/>
      <c r="DD135"/>
      <c r="DE135"/>
      <c r="DF135"/>
      <c r="DG135" s="455">
        <v>9.98</v>
      </c>
      <c r="DH135" s="455"/>
      <c r="DI135"/>
      <c r="DJ135"/>
      <c r="DK135"/>
      <c r="DL135"/>
      <c r="DM135">
        <v>1</v>
      </c>
      <c r="DN135"/>
      <c r="DO135"/>
      <c r="DP135"/>
      <c r="DQ135"/>
      <c r="DR135"/>
      <c r="DS135"/>
      <c r="DT135"/>
      <c r="DU135" s="558"/>
      <c r="DV135"/>
      <c r="DW135"/>
      <c r="DX135"/>
      <c r="DZ135" s="455">
        <v>9.98</v>
      </c>
      <c r="EA135" s="455"/>
      <c r="EB135"/>
      <c r="EC135"/>
      <c r="ED135"/>
      <c r="EE135">
        <v>1</v>
      </c>
      <c r="EF135"/>
      <c r="EG135" s="558"/>
      <c r="EH135"/>
      <c r="EJ135" s="455">
        <v>9.98</v>
      </c>
      <c r="EK135" s="455"/>
      <c r="EL135"/>
      <c r="EM135"/>
      <c r="EN135"/>
      <c r="EO135"/>
      <c r="EP135"/>
      <c r="EQ135"/>
      <c r="ER135"/>
      <c r="ES135">
        <v>1</v>
      </c>
      <c r="ET135"/>
      <c r="EU135"/>
      <c r="EV135"/>
      <c r="EW135"/>
      <c r="EX135"/>
      <c r="EY135"/>
      <c r="EZ135"/>
      <c r="FA135"/>
      <c r="FB135"/>
      <c r="FC135"/>
      <c r="FD135"/>
      <c r="FE135"/>
      <c r="FF135"/>
      <c r="FG135"/>
      <c r="FH135" s="558"/>
      <c r="FI135"/>
      <c r="FK135" s="449">
        <v>0.84299999999999997</v>
      </c>
      <c r="FL135" s="449" t="s">
        <v>410</v>
      </c>
      <c r="FM135" s="449"/>
      <c r="FN135" s="452"/>
      <c r="FO135" s="452"/>
      <c r="FP135" s="452"/>
      <c r="FQ135" s="452"/>
      <c r="FR135" s="452"/>
      <c r="FS135" s="452"/>
      <c r="FT135" s="452"/>
      <c r="FU135" s="452">
        <v>1</v>
      </c>
      <c r="FV135" s="452"/>
      <c r="FW135" s="452"/>
      <c r="FX135" s="452"/>
      <c r="FY135" s="452"/>
      <c r="FZ135" s="453"/>
      <c r="GA135"/>
      <c r="GB135"/>
      <c r="GC135"/>
      <c r="GD135"/>
    </row>
    <row r="136" spans="1:186" x14ac:dyDescent="0.15">
      <c r="AG136" s="455">
        <v>2.367</v>
      </c>
      <c r="AH136" s="556">
        <v>1</v>
      </c>
      <c r="AJ136" s="455">
        <v>2.367</v>
      </c>
      <c r="AK136" s="556">
        <v>1</v>
      </c>
      <c r="AL136"/>
      <c r="AM136"/>
      <c r="AN136"/>
      <c r="AO136" s="455">
        <v>2.367</v>
      </c>
      <c r="AP136" s="455"/>
      <c r="AQ136"/>
      <c r="AR136"/>
      <c r="AS136"/>
      <c r="AT136"/>
      <c r="AU136"/>
      <c r="AV136"/>
      <c r="AW136">
        <v>1</v>
      </c>
      <c r="AX136"/>
      <c r="AY136"/>
      <c r="AZ136"/>
      <c r="BA136"/>
      <c r="BB136"/>
      <c r="BC136" s="558"/>
      <c r="BD136"/>
      <c r="BE136"/>
      <c r="BF136"/>
      <c r="BH136" s="455">
        <v>2.367</v>
      </c>
      <c r="BI136" s="455">
        <v>1</v>
      </c>
      <c r="BJ136"/>
      <c r="BK136"/>
      <c r="BL136"/>
      <c r="BM136"/>
      <c r="BN136"/>
      <c r="BO136" s="558"/>
      <c r="BP136" s="455">
        <v>2.367</v>
      </c>
      <c r="BQ136" s="455"/>
      <c r="BR136">
        <v>1</v>
      </c>
      <c r="BS136"/>
      <c r="BT136"/>
      <c r="BU136" s="558"/>
      <c r="BV136"/>
      <c r="BW136"/>
      <c r="BZ136" s="455">
        <v>2.367</v>
      </c>
      <c r="CA136" s="556">
        <v>1</v>
      </c>
      <c r="CB136"/>
      <c r="CC136"/>
      <c r="CD136"/>
      <c r="CF136" s="455">
        <v>2.367</v>
      </c>
      <c r="CG136" s="455"/>
      <c r="CH136"/>
      <c r="CI136"/>
      <c r="CJ136"/>
      <c r="CK136">
        <v>1</v>
      </c>
      <c r="CL136"/>
      <c r="CM136"/>
      <c r="CN136"/>
      <c r="CO136"/>
      <c r="CP136"/>
      <c r="CQ136"/>
      <c r="CR136"/>
      <c r="CS136"/>
      <c r="CT136"/>
      <c r="CU136"/>
      <c r="CV136" s="558"/>
      <c r="CW136"/>
      <c r="CX136"/>
      <c r="CY136"/>
      <c r="CZ136"/>
      <c r="DA136"/>
      <c r="DB136"/>
      <c r="DC136"/>
      <c r="DD136"/>
      <c r="DE136"/>
      <c r="DF136"/>
      <c r="DG136" s="455">
        <v>2.367</v>
      </c>
      <c r="DH136" s="455"/>
      <c r="DI136"/>
      <c r="DJ136">
        <v>1</v>
      </c>
      <c r="DK136"/>
      <c r="DL136"/>
      <c r="DM136"/>
      <c r="DN136"/>
      <c r="DO136"/>
      <c r="DP136"/>
      <c r="DQ136"/>
      <c r="DR136"/>
      <c r="DS136"/>
      <c r="DT136"/>
      <c r="DU136" s="558"/>
      <c r="DV136"/>
      <c r="DW136"/>
      <c r="DX136"/>
      <c r="DZ136" s="455">
        <v>2.367</v>
      </c>
      <c r="EA136" s="455"/>
      <c r="EB136"/>
      <c r="EC136"/>
      <c r="ED136"/>
      <c r="EE136"/>
      <c r="EF136">
        <v>1</v>
      </c>
      <c r="EG136" s="558"/>
      <c r="EH136"/>
      <c r="EJ136" s="455">
        <v>2.367</v>
      </c>
      <c r="EK136" s="455"/>
      <c r="EL136"/>
      <c r="EM136"/>
      <c r="EN136"/>
      <c r="EO136"/>
      <c r="EP136"/>
      <c r="EQ136"/>
      <c r="ER136"/>
      <c r="ES136"/>
      <c r="ET136"/>
      <c r="EU136"/>
      <c r="EV136">
        <v>1</v>
      </c>
      <c r="EW136"/>
      <c r="EX136"/>
      <c r="EY136"/>
      <c r="EZ136"/>
      <c r="FA136"/>
      <c r="FB136"/>
      <c r="FC136"/>
      <c r="FD136"/>
      <c r="FE136"/>
      <c r="FF136"/>
      <c r="FG136"/>
      <c r="FH136" s="558"/>
      <c r="FI136"/>
      <c r="FK136" s="449" t="s">
        <v>6813</v>
      </c>
      <c r="FL136" s="457"/>
      <c r="FM136" s="449"/>
      <c r="FN136" s="452"/>
      <c r="FO136" s="452"/>
      <c r="FP136" s="452"/>
      <c r="FQ136" s="452"/>
      <c r="FR136" s="452"/>
      <c r="FS136" s="452"/>
      <c r="FT136" s="452"/>
      <c r="FU136" s="452">
        <v>1</v>
      </c>
      <c r="FV136" s="452"/>
      <c r="FW136" s="452"/>
      <c r="FX136" s="452"/>
      <c r="FY136" s="452"/>
      <c r="FZ136" s="453"/>
      <c r="GA136"/>
      <c r="GB136"/>
      <c r="GC136"/>
      <c r="GD136"/>
    </row>
    <row r="137" spans="1:186" x14ac:dyDescent="0.15">
      <c r="AG137" s="455">
        <v>8.1839999999999993</v>
      </c>
      <c r="AH137" s="556">
        <v>1</v>
      </c>
      <c r="AJ137" s="455">
        <v>8.1839999999999993</v>
      </c>
      <c r="AK137" s="556">
        <v>1</v>
      </c>
      <c r="AL137"/>
      <c r="AM137"/>
      <c r="AN137"/>
      <c r="AO137" s="455">
        <v>8.1839999999999993</v>
      </c>
      <c r="AP137" s="455"/>
      <c r="AQ137"/>
      <c r="AR137"/>
      <c r="AS137"/>
      <c r="AT137"/>
      <c r="AU137"/>
      <c r="AV137"/>
      <c r="AW137">
        <v>1</v>
      </c>
      <c r="AX137"/>
      <c r="AY137"/>
      <c r="AZ137"/>
      <c r="BA137"/>
      <c r="BB137"/>
      <c r="BC137" s="558"/>
      <c r="BD137"/>
      <c r="BE137"/>
      <c r="BF137"/>
      <c r="BH137" s="455">
        <v>8.1839999999999993</v>
      </c>
      <c r="BI137" s="455">
        <v>1</v>
      </c>
      <c r="BJ137"/>
      <c r="BK137"/>
      <c r="BL137"/>
      <c r="BM137"/>
      <c r="BN137"/>
      <c r="BO137" s="558"/>
      <c r="BP137" s="455">
        <v>8.1839999999999993</v>
      </c>
      <c r="BQ137" s="455">
        <v>1</v>
      </c>
      <c r="BR137"/>
      <c r="BS137"/>
      <c r="BT137"/>
      <c r="BU137" s="558"/>
      <c r="BV137"/>
      <c r="BW137"/>
      <c r="BZ137" s="455">
        <v>8.1839999999999993</v>
      </c>
      <c r="CA137" s="556">
        <v>1</v>
      </c>
      <c r="CB137"/>
      <c r="CC137"/>
      <c r="CD137"/>
      <c r="CF137" s="455">
        <v>8.1839999999999993</v>
      </c>
      <c r="CG137" s="455"/>
      <c r="CH137"/>
      <c r="CI137"/>
      <c r="CJ137"/>
      <c r="CK137"/>
      <c r="CL137"/>
      <c r="CM137"/>
      <c r="CN137"/>
      <c r="CO137"/>
      <c r="CP137"/>
      <c r="CQ137"/>
      <c r="CR137"/>
      <c r="CS137"/>
      <c r="CT137">
        <v>1</v>
      </c>
      <c r="CU137"/>
      <c r="CV137" s="558"/>
      <c r="CW137"/>
      <c r="CX137"/>
      <c r="CY137"/>
      <c r="CZ137"/>
      <c r="DA137"/>
      <c r="DB137"/>
      <c r="DC137"/>
      <c r="DD137"/>
      <c r="DE137"/>
      <c r="DF137"/>
      <c r="DG137" s="455">
        <v>8.1839999999999993</v>
      </c>
      <c r="DH137" s="455"/>
      <c r="DI137"/>
      <c r="DJ137">
        <v>1</v>
      </c>
      <c r="DK137"/>
      <c r="DL137"/>
      <c r="DM137"/>
      <c r="DN137"/>
      <c r="DO137"/>
      <c r="DP137"/>
      <c r="DQ137"/>
      <c r="DR137"/>
      <c r="DS137"/>
      <c r="DT137"/>
      <c r="DU137" s="558"/>
      <c r="DV137"/>
      <c r="DW137"/>
      <c r="DX137"/>
      <c r="DZ137" s="455">
        <v>8.1839999999999993</v>
      </c>
      <c r="EA137" s="455">
        <v>1</v>
      </c>
      <c r="EB137"/>
      <c r="EC137"/>
      <c r="ED137"/>
      <c r="EE137"/>
      <c r="EF137"/>
      <c r="EG137" s="558"/>
      <c r="EH137"/>
      <c r="EJ137" s="455">
        <v>8.1839999999999993</v>
      </c>
      <c r="EK137" s="455"/>
      <c r="EL137"/>
      <c r="EM137"/>
      <c r="EN137"/>
      <c r="EO137"/>
      <c r="EP137"/>
      <c r="EQ137">
        <v>1</v>
      </c>
      <c r="ER137"/>
      <c r="ES137"/>
      <c r="ET137"/>
      <c r="EU137"/>
      <c r="EV137"/>
      <c r="EW137"/>
      <c r="EX137"/>
      <c r="EY137"/>
      <c r="EZ137"/>
      <c r="FA137"/>
      <c r="FB137"/>
      <c r="FC137"/>
      <c r="FD137"/>
      <c r="FE137"/>
      <c r="FF137"/>
      <c r="FG137"/>
      <c r="FH137" s="558"/>
      <c r="FI137"/>
      <c r="FK137" s="449">
        <v>9.83</v>
      </c>
      <c r="FL137" s="449" t="s">
        <v>411</v>
      </c>
      <c r="FM137" s="449">
        <v>1</v>
      </c>
      <c r="FN137" s="452"/>
      <c r="FO137" s="452"/>
      <c r="FP137" s="452"/>
      <c r="FQ137" s="452"/>
      <c r="FR137" s="452"/>
      <c r="FS137" s="452"/>
      <c r="FT137" s="452"/>
      <c r="FU137" s="452"/>
      <c r="FV137" s="452"/>
      <c r="FW137" s="452"/>
      <c r="FX137" s="452"/>
      <c r="FY137" s="452"/>
      <c r="FZ137" s="453"/>
      <c r="GA137"/>
      <c r="GB137"/>
      <c r="GC137"/>
      <c r="GD137"/>
    </row>
    <row r="138" spans="1:186" x14ac:dyDescent="0.15">
      <c r="AG138" s="455">
        <v>0.371</v>
      </c>
      <c r="AH138" s="556">
        <v>1</v>
      </c>
      <c r="AJ138" s="455">
        <v>0.371</v>
      </c>
      <c r="AK138" s="556">
        <v>1</v>
      </c>
      <c r="AL138"/>
      <c r="AM138"/>
      <c r="AN138"/>
      <c r="AO138" s="455">
        <v>0.371</v>
      </c>
      <c r="AP138" s="455">
        <v>1</v>
      </c>
      <c r="AQ138"/>
      <c r="AR138"/>
      <c r="AS138"/>
      <c r="AT138"/>
      <c r="AU138"/>
      <c r="AV138"/>
      <c r="AW138"/>
      <c r="AX138"/>
      <c r="AY138"/>
      <c r="AZ138"/>
      <c r="BA138"/>
      <c r="BB138"/>
      <c r="BC138" s="558"/>
      <c r="BD138"/>
      <c r="BE138"/>
      <c r="BF138"/>
      <c r="BH138" s="455">
        <v>0.371</v>
      </c>
      <c r="BI138" s="455"/>
      <c r="BJ138">
        <v>1</v>
      </c>
      <c r="BK138"/>
      <c r="BL138"/>
      <c r="BM138"/>
      <c r="BN138"/>
      <c r="BO138" s="558"/>
      <c r="BP138" s="455">
        <v>0.371</v>
      </c>
      <c r="BQ138" s="455">
        <v>1</v>
      </c>
      <c r="BR138"/>
      <c r="BS138"/>
      <c r="BT138"/>
      <c r="BU138" s="558"/>
      <c r="BV138"/>
      <c r="BW138"/>
      <c r="BZ138" s="455">
        <v>0.371</v>
      </c>
      <c r="CA138" s="556">
        <v>1</v>
      </c>
      <c r="CB138"/>
      <c r="CC138"/>
      <c r="CD138"/>
      <c r="CF138" s="455">
        <v>0.371</v>
      </c>
      <c r="CG138" s="455"/>
      <c r="CH138"/>
      <c r="CI138"/>
      <c r="CJ138">
        <v>1</v>
      </c>
      <c r="CK138"/>
      <c r="CL138"/>
      <c r="CM138"/>
      <c r="CN138"/>
      <c r="CO138"/>
      <c r="CP138"/>
      <c r="CQ138"/>
      <c r="CR138"/>
      <c r="CS138"/>
      <c r="CT138"/>
      <c r="CU138"/>
      <c r="CV138" s="558"/>
      <c r="CW138"/>
      <c r="CX138"/>
      <c r="CY138"/>
      <c r="CZ138"/>
      <c r="DA138"/>
      <c r="DB138"/>
      <c r="DC138"/>
      <c r="DD138"/>
      <c r="DE138"/>
      <c r="DF138"/>
      <c r="DG138" s="455">
        <v>0.371</v>
      </c>
      <c r="DH138" s="455"/>
      <c r="DI138">
        <v>1</v>
      </c>
      <c r="DJ138"/>
      <c r="DK138"/>
      <c r="DL138"/>
      <c r="DM138"/>
      <c r="DN138"/>
      <c r="DO138"/>
      <c r="DP138"/>
      <c r="DQ138"/>
      <c r="DR138"/>
      <c r="DS138"/>
      <c r="DT138"/>
      <c r="DU138" s="558"/>
      <c r="DV138"/>
      <c r="DW138"/>
      <c r="DX138"/>
      <c r="DZ138" s="455">
        <v>0.371</v>
      </c>
      <c r="EA138" s="455"/>
      <c r="EB138"/>
      <c r="EC138"/>
      <c r="ED138"/>
      <c r="EE138"/>
      <c r="EF138"/>
      <c r="EG138" s="558">
        <v>1</v>
      </c>
      <c r="EH138"/>
      <c r="EJ138" s="455">
        <v>0.371</v>
      </c>
      <c r="EK138" s="455"/>
      <c r="EL138"/>
      <c r="EM138"/>
      <c r="EN138"/>
      <c r="EO138"/>
      <c r="EP138"/>
      <c r="EQ138"/>
      <c r="ER138"/>
      <c r="ES138"/>
      <c r="ET138"/>
      <c r="EU138"/>
      <c r="EV138"/>
      <c r="EW138"/>
      <c r="EX138"/>
      <c r="EY138"/>
      <c r="EZ138"/>
      <c r="FA138"/>
      <c r="FB138"/>
      <c r="FC138"/>
      <c r="FD138"/>
      <c r="FE138"/>
      <c r="FF138">
        <v>1</v>
      </c>
      <c r="FG138"/>
      <c r="FH138" s="558"/>
      <c r="FI138"/>
      <c r="FK138" s="449" t="s">
        <v>6814</v>
      </c>
      <c r="FL138" s="457"/>
      <c r="FM138" s="449">
        <v>1</v>
      </c>
      <c r="FN138" s="452"/>
      <c r="FO138" s="452"/>
      <c r="FP138" s="452"/>
      <c r="FQ138" s="452"/>
      <c r="FR138" s="452"/>
      <c r="FS138" s="452"/>
      <c r="FT138" s="452"/>
      <c r="FU138" s="452"/>
      <c r="FV138" s="452"/>
      <c r="FW138" s="452"/>
      <c r="FX138" s="452"/>
      <c r="FY138" s="452"/>
      <c r="FZ138" s="453"/>
      <c r="GA138"/>
      <c r="GB138"/>
      <c r="GC138"/>
      <c r="GD138"/>
    </row>
    <row r="139" spans="1:186" x14ac:dyDescent="0.15">
      <c r="A139" s="30" t="s">
        <v>148</v>
      </c>
      <c r="AG139" s="455">
        <v>0.158</v>
      </c>
      <c r="AH139" s="556">
        <v>1</v>
      </c>
      <c r="AJ139" s="455">
        <v>0.158</v>
      </c>
      <c r="AK139" s="556">
        <v>1</v>
      </c>
      <c r="AL139"/>
      <c r="AM139"/>
      <c r="AN139"/>
      <c r="AO139" s="455">
        <v>0.158</v>
      </c>
      <c r="AP139" s="455"/>
      <c r="AQ139"/>
      <c r="AR139"/>
      <c r="AS139"/>
      <c r="AT139"/>
      <c r="AU139"/>
      <c r="AV139">
        <v>1</v>
      </c>
      <c r="AW139"/>
      <c r="AX139"/>
      <c r="AY139"/>
      <c r="AZ139"/>
      <c r="BA139"/>
      <c r="BB139"/>
      <c r="BC139" s="558"/>
      <c r="BD139"/>
      <c r="BE139"/>
      <c r="BF139"/>
      <c r="BH139" s="455">
        <v>0.158</v>
      </c>
      <c r="BI139" s="455">
        <v>1</v>
      </c>
      <c r="BJ139"/>
      <c r="BK139"/>
      <c r="BL139"/>
      <c r="BM139"/>
      <c r="BN139"/>
      <c r="BO139" s="558"/>
      <c r="BP139" s="455">
        <v>0.158</v>
      </c>
      <c r="BQ139" s="455"/>
      <c r="BR139">
        <v>1</v>
      </c>
      <c r="BS139"/>
      <c r="BT139"/>
      <c r="BU139" s="558"/>
      <c r="BV139"/>
      <c r="BW139"/>
      <c r="BZ139" s="455">
        <v>0.158</v>
      </c>
      <c r="CA139" s="556">
        <v>1</v>
      </c>
      <c r="CB139"/>
      <c r="CC139"/>
      <c r="CD139"/>
      <c r="CF139" s="455">
        <v>0.158</v>
      </c>
      <c r="CG139" s="455"/>
      <c r="CH139"/>
      <c r="CI139"/>
      <c r="CJ139">
        <v>1</v>
      </c>
      <c r="CK139"/>
      <c r="CL139"/>
      <c r="CM139"/>
      <c r="CN139"/>
      <c r="CO139"/>
      <c r="CP139"/>
      <c r="CQ139"/>
      <c r="CR139"/>
      <c r="CS139"/>
      <c r="CT139"/>
      <c r="CU139"/>
      <c r="CV139" s="558"/>
      <c r="CW139"/>
      <c r="CX139"/>
      <c r="CY139"/>
      <c r="CZ139"/>
      <c r="DA139"/>
      <c r="DB139"/>
      <c r="DC139"/>
      <c r="DD139"/>
      <c r="DE139"/>
      <c r="DF139"/>
      <c r="DG139" s="455">
        <v>0.158</v>
      </c>
      <c r="DH139" s="455"/>
      <c r="DI139">
        <v>1</v>
      </c>
      <c r="DJ139"/>
      <c r="DK139"/>
      <c r="DL139"/>
      <c r="DM139"/>
      <c r="DN139"/>
      <c r="DO139"/>
      <c r="DP139"/>
      <c r="DQ139"/>
      <c r="DR139"/>
      <c r="DS139"/>
      <c r="DT139"/>
      <c r="DU139" s="558"/>
      <c r="DV139"/>
      <c r="DW139"/>
      <c r="DX139"/>
      <c r="DZ139" s="455">
        <v>0.158</v>
      </c>
      <c r="EA139" s="455"/>
      <c r="EB139"/>
      <c r="EC139"/>
      <c r="ED139"/>
      <c r="EE139">
        <v>1</v>
      </c>
      <c r="EF139"/>
      <c r="EG139" s="558"/>
      <c r="EH139"/>
      <c r="EJ139" s="455">
        <v>0.158</v>
      </c>
      <c r="EK139" s="455"/>
      <c r="EL139"/>
      <c r="EM139"/>
      <c r="EN139"/>
      <c r="EO139"/>
      <c r="EP139"/>
      <c r="EQ139"/>
      <c r="ER139"/>
      <c r="ES139"/>
      <c r="ET139"/>
      <c r="EU139"/>
      <c r="EV139"/>
      <c r="EW139"/>
      <c r="EX139"/>
      <c r="EY139"/>
      <c r="EZ139"/>
      <c r="FA139">
        <v>1</v>
      </c>
      <c r="FB139"/>
      <c r="FC139"/>
      <c r="FD139"/>
      <c r="FE139"/>
      <c r="FF139"/>
      <c r="FG139"/>
      <c r="FH139" s="558"/>
      <c r="FI139"/>
      <c r="FK139" s="449">
        <v>2.6629999999999998</v>
      </c>
      <c r="FL139" s="449" t="s">
        <v>410</v>
      </c>
      <c r="FM139" s="449">
        <v>1</v>
      </c>
      <c r="FN139" s="452"/>
      <c r="FO139" s="452"/>
      <c r="FP139" s="452"/>
      <c r="FQ139" s="452"/>
      <c r="FR139" s="452"/>
      <c r="FS139" s="452"/>
      <c r="FT139" s="452"/>
      <c r="FU139" s="452"/>
      <c r="FV139" s="452"/>
      <c r="FW139" s="452"/>
      <c r="FX139" s="452"/>
      <c r="FY139" s="452"/>
      <c r="FZ139" s="453"/>
      <c r="GA139"/>
      <c r="GB139"/>
      <c r="GC139"/>
      <c r="GD139"/>
    </row>
    <row r="140" spans="1:186" x14ac:dyDescent="0.15">
      <c r="A140" s="30" t="s">
        <v>147</v>
      </c>
      <c r="AG140" s="455">
        <v>7.01</v>
      </c>
      <c r="AH140" s="556">
        <v>1</v>
      </c>
      <c r="AJ140" s="455">
        <v>7.01</v>
      </c>
      <c r="AK140" s="556">
        <v>1</v>
      </c>
      <c r="AL140"/>
      <c r="AM140"/>
      <c r="AN140"/>
      <c r="AO140" s="455">
        <v>7.01</v>
      </c>
      <c r="AP140" s="455">
        <v>1</v>
      </c>
      <c r="AQ140"/>
      <c r="AR140"/>
      <c r="AS140"/>
      <c r="AT140"/>
      <c r="AU140"/>
      <c r="AV140"/>
      <c r="AW140"/>
      <c r="AX140"/>
      <c r="AY140"/>
      <c r="AZ140"/>
      <c r="BA140"/>
      <c r="BB140"/>
      <c r="BC140" s="558"/>
      <c r="BD140"/>
      <c r="BE140"/>
      <c r="BF140"/>
      <c r="BH140" s="455">
        <v>7.01</v>
      </c>
      <c r="BI140" s="455">
        <v>1</v>
      </c>
      <c r="BJ140"/>
      <c r="BK140"/>
      <c r="BL140"/>
      <c r="BM140"/>
      <c r="BN140"/>
      <c r="BO140" s="558"/>
      <c r="BP140" s="455">
        <v>7.01</v>
      </c>
      <c r="BQ140" s="455">
        <v>1</v>
      </c>
      <c r="BR140"/>
      <c r="BS140"/>
      <c r="BT140"/>
      <c r="BU140" s="558"/>
      <c r="BV140"/>
      <c r="BW140"/>
      <c r="BZ140" s="455">
        <v>7.01</v>
      </c>
      <c r="CA140" s="556">
        <v>1</v>
      </c>
      <c r="CB140"/>
      <c r="CC140"/>
      <c r="CD140"/>
      <c r="CF140" s="455">
        <v>7.01</v>
      </c>
      <c r="CG140" s="455">
        <v>1</v>
      </c>
      <c r="CH140"/>
      <c r="CI140"/>
      <c r="CJ140"/>
      <c r="CK140"/>
      <c r="CL140"/>
      <c r="CM140"/>
      <c r="CN140"/>
      <c r="CO140"/>
      <c r="CP140"/>
      <c r="CQ140"/>
      <c r="CR140"/>
      <c r="CS140"/>
      <c r="CT140"/>
      <c r="CU140"/>
      <c r="CV140" s="558"/>
      <c r="CW140"/>
      <c r="CX140"/>
      <c r="CY140"/>
      <c r="CZ140"/>
      <c r="DA140"/>
      <c r="DB140"/>
      <c r="DC140"/>
      <c r="DD140"/>
      <c r="DE140"/>
      <c r="DF140"/>
      <c r="DG140" s="455">
        <v>7.01</v>
      </c>
      <c r="DH140" s="455"/>
      <c r="DI140">
        <v>1</v>
      </c>
      <c r="DJ140"/>
      <c r="DK140"/>
      <c r="DL140"/>
      <c r="DM140"/>
      <c r="DN140"/>
      <c r="DO140"/>
      <c r="DP140"/>
      <c r="DQ140"/>
      <c r="DR140"/>
      <c r="DS140"/>
      <c r="DT140"/>
      <c r="DU140" s="558"/>
      <c r="DV140"/>
      <c r="DW140"/>
      <c r="DX140"/>
      <c r="DZ140" s="455">
        <v>7.01</v>
      </c>
      <c r="EA140" s="455"/>
      <c r="EB140"/>
      <c r="EC140"/>
      <c r="ED140"/>
      <c r="EE140"/>
      <c r="EF140"/>
      <c r="EG140" s="558">
        <v>1</v>
      </c>
      <c r="EH140"/>
      <c r="EJ140" s="455">
        <v>7.01</v>
      </c>
      <c r="EK140" s="455"/>
      <c r="EL140"/>
      <c r="EM140"/>
      <c r="EN140"/>
      <c r="EO140">
        <v>1</v>
      </c>
      <c r="EP140"/>
      <c r="EQ140"/>
      <c r="ER140"/>
      <c r="ES140"/>
      <c r="ET140"/>
      <c r="EU140"/>
      <c r="EV140"/>
      <c r="EW140"/>
      <c r="EX140"/>
      <c r="EY140"/>
      <c r="EZ140"/>
      <c r="FA140"/>
      <c r="FB140"/>
      <c r="FC140"/>
      <c r="FD140"/>
      <c r="FE140"/>
      <c r="FF140"/>
      <c r="FG140"/>
      <c r="FH140" s="558"/>
      <c r="FI140"/>
      <c r="FK140" s="449" t="s">
        <v>6815</v>
      </c>
      <c r="FL140" s="457"/>
      <c r="FM140" s="449">
        <v>1</v>
      </c>
      <c r="FN140" s="452"/>
      <c r="FO140" s="452"/>
      <c r="FP140" s="452"/>
      <c r="FQ140" s="452"/>
      <c r="FR140" s="452"/>
      <c r="FS140" s="452"/>
      <c r="FT140" s="452"/>
      <c r="FU140" s="452"/>
      <c r="FV140" s="452"/>
      <c r="FW140" s="452"/>
      <c r="FX140" s="452"/>
      <c r="FY140" s="452"/>
      <c r="FZ140" s="453"/>
      <c r="GA140"/>
      <c r="GB140"/>
      <c r="GC140"/>
      <c r="GD140"/>
    </row>
    <row r="141" spans="1:186" x14ac:dyDescent="0.15">
      <c r="A141" s="30" t="s">
        <v>146</v>
      </c>
      <c r="AG141" s="455">
        <v>9.8580000000000005</v>
      </c>
      <c r="AH141" s="556">
        <v>1</v>
      </c>
      <c r="AJ141" s="455">
        <v>9.8580000000000005</v>
      </c>
      <c r="AK141" s="556">
        <v>1</v>
      </c>
      <c r="AL141"/>
      <c r="AM141"/>
      <c r="AN141"/>
      <c r="AO141" s="455">
        <v>9.8580000000000005</v>
      </c>
      <c r="AP141" s="455">
        <v>1</v>
      </c>
      <c r="AQ141"/>
      <c r="AR141"/>
      <c r="AS141"/>
      <c r="AT141"/>
      <c r="AU141"/>
      <c r="AV141"/>
      <c r="AW141"/>
      <c r="AX141"/>
      <c r="AY141"/>
      <c r="AZ141"/>
      <c r="BA141"/>
      <c r="BB141"/>
      <c r="BC141" s="558"/>
      <c r="BD141"/>
      <c r="BE141"/>
      <c r="BF141"/>
      <c r="BH141" s="455">
        <v>9.8580000000000005</v>
      </c>
      <c r="BI141" s="455">
        <v>1</v>
      </c>
      <c r="BJ141"/>
      <c r="BK141"/>
      <c r="BL141"/>
      <c r="BM141"/>
      <c r="BN141"/>
      <c r="BO141" s="558"/>
      <c r="BP141" s="455">
        <v>9.8580000000000005</v>
      </c>
      <c r="BQ141" s="455"/>
      <c r="BR141">
        <v>1</v>
      </c>
      <c r="BS141"/>
      <c r="BT141"/>
      <c r="BU141" s="558"/>
      <c r="BV141"/>
      <c r="BW141"/>
      <c r="BZ141" s="455">
        <v>9.8580000000000005</v>
      </c>
      <c r="CA141" s="556">
        <v>1</v>
      </c>
      <c r="CB141"/>
      <c r="CC141"/>
      <c r="CD141"/>
      <c r="CF141" s="455">
        <v>9.8580000000000005</v>
      </c>
      <c r="CG141" s="455"/>
      <c r="CH141"/>
      <c r="CI141"/>
      <c r="CJ141">
        <v>1</v>
      </c>
      <c r="CK141"/>
      <c r="CL141"/>
      <c r="CM141"/>
      <c r="CN141"/>
      <c r="CO141"/>
      <c r="CP141"/>
      <c r="CQ141"/>
      <c r="CR141"/>
      <c r="CS141"/>
      <c r="CT141"/>
      <c r="CU141"/>
      <c r="CV141" s="558"/>
      <c r="CW141"/>
      <c r="CX141"/>
      <c r="CY141"/>
      <c r="CZ141"/>
      <c r="DA141"/>
      <c r="DB141"/>
      <c r="DC141"/>
      <c r="DD141"/>
      <c r="DE141"/>
      <c r="DF141"/>
      <c r="DG141" s="455">
        <v>9.8580000000000005</v>
      </c>
      <c r="DH141" s="455"/>
      <c r="DI141">
        <v>1</v>
      </c>
      <c r="DJ141"/>
      <c r="DK141"/>
      <c r="DL141"/>
      <c r="DM141"/>
      <c r="DN141"/>
      <c r="DO141"/>
      <c r="DP141"/>
      <c r="DQ141"/>
      <c r="DR141"/>
      <c r="DS141"/>
      <c r="DT141"/>
      <c r="DU141" s="558"/>
      <c r="DV141"/>
      <c r="DW141"/>
      <c r="DX141"/>
      <c r="DZ141" s="455">
        <v>9.8580000000000005</v>
      </c>
      <c r="EA141" s="455"/>
      <c r="EB141"/>
      <c r="EC141"/>
      <c r="ED141"/>
      <c r="EE141">
        <v>1</v>
      </c>
      <c r="EF141"/>
      <c r="EG141" s="558"/>
      <c r="EH141"/>
      <c r="EJ141" s="455">
        <v>9.8580000000000005</v>
      </c>
      <c r="EK141" s="455"/>
      <c r="EL141"/>
      <c r="EM141"/>
      <c r="EN141"/>
      <c r="EO141"/>
      <c r="EP141"/>
      <c r="EQ141"/>
      <c r="ER141"/>
      <c r="ES141"/>
      <c r="ET141"/>
      <c r="EU141"/>
      <c r="EV141"/>
      <c r="EW141"/>
      <c r="EX141"/>
      <c r="EY141"/>
      <c r="EZ141"/>
      <c r="FA141"/>
      <c r="FB141"/>
      <c r="FC141"/>
      <c r="FD141">
        <v>1</v>
      </c>
      <c r="FE141"/>
      <c r="FF141"/>
      <c r="FG141"/>
      <c r="FH141" s="558"/>
      <c r="FI141"/>
      <c r="FK141" s="449">
        <v>0.32500000000000001</v>
      </c>
      <c r="FL141" s="449" t="s">
        <v>406</v>
      </c>
      <c r="FM141" s="449"/>
      <c r="FN141" s="452">
        <v>1</v>
      </c>
      <c r="FO141" s="452"/>
      <c r="FP141" s="452"/>
      <c r="FQ141" s="452"/>
      <c r="FR141" s="452"/>
      <c r="FS141" s="452"/>
      <c r="FT141" s="452"/>
      <c r="FU141" s="452"/>
      <c r="FV141" s="452"/>
      <c r="FW141" s="452"/>
      <c r="FX141" s="452"/>
      <c r="FY141" s="452"/>
      <c r="FZ141" s="453"/>
      <c r="GA141"/>
      <c r="GB141"/>
      <c r="GC141"/>
      <c r="GD141"/>
    </row>
    <row r="142" spans="1:186" x14ac:dyDescent="0.15">
      <c r="A142" s="30" t="s">
        <v>145</v>
      </c>
      <c r="AG142" s="455">
        <v>10.648</v>
      </c>
      <c r="AH142" s="556">
        <v>1</v>
      </c>
      <c r="AJ142" s="455">
        <v>10.648</v>
      </c>
      <c r="AK142" s="556">
        <v>1</v>
      </c>
      <c r="AL142"/>
      <c r="AM142"/>
      <c r="AN142"/>
      <c r="AO142" s="455">
        <v>10.648</v>
      </c>
      <c r="AP142" s="455">
        <v>1</v>
      </c>
      <c r="AQ142"/>
      <c r="AR142"/>
      <c r="AS142"/>
      <c r="AT142"/>
      <c r="AU142"/>
      <c r="AV142"/>
      <c r="AW142"/>
      <c r="AX142"/>
      <c r="AY142"/>
      <c r="AZ142"/>
      <c r="BA142"/>
      <c r="BB142"/>
      <c r="BC142" s="558"/>
      <c r="BD142"/>
      <c r="BE142"/>
      <c r="BF142"/>
      <c r="BH142" s="455">
        <v>10.648</v>
      </c>
      <c r="BI142" s="455">
        <v>1</v>
      </c>
      <c r="BJ142"/>
      <c r="BK142"/>
      <c r="BL142"/>
      <c r="BM142"/>
      <c r="BN142"/>
      <c r="BO142" s="558"/>
      <c r="BP142" s="455">
        <v>10.648</v>
      </c>
      <c r="BQ142" s="455">
        <v>1</v>
      </c>
      <c r="BR142"/>
      <c r="BS142"/>
      <c r="BT142"/>
      <c r="BU142" s="558"/>
      <c r="BV142"/>
      <c r="BW142"/>
      <c r="BZ142" s="455">
        <v>10.648</v>
      </c>
      <c r="CA142" s="556">
        <v>1</v>
      </c>
      <c r="CB142"/>
      <c r="CC142"/>
      <c r="CD142"/>
      <c r="CF142" s="455">
        <v>10.648</v>
      </c>
      <c r="CG142" s="455">
        <v>1</v>
      </c>
      <c r="CH142"/>
      <c r="CI142"/>
      <c r="CJ142"/>
      <c r="CK142"/>
      <c r="CL142"/>
      <c r="CM142"/>
      <c r="CN142"/>
      <c r="CO142"/>
      <c r="CP142"/>
      <c r="CQ142"/>
      <c r="CR142"/>
      <c r="CS142"/>
      <c r="CT142"/>
      <c r="CU142"/>
      <c r="CV142" s="558"/>
      <c r="CW142"/>
      <c r="CX142"/>
      <c r="CY142"/>
      <c r="CZ142"/>
      <c r="DA142"/>
      <c r="DB142"/>
      <c r="DC142"/>
      <c r="DD142"/>
      <c r="DE142"/>
      <c r="DF142"/>
      <c r="DG142" s="455">
        <v>10.648</v>
      </c>
      <c r="DH142" s="455"/>
      <c r="DI142">
        <v>1</v>
      </c>
      <c r="DJ142"/>
      <c r="DK142"/>
      <c r="DL142"/>
      <c r="DM142"/>
      <c r="DN142"/>
      <c r="DO142"/>
      <c r="DP142"/>
      <c r="DQ142"/>
      <c r="DR142"/>
      <c r="DS142"/>
      <c r="DT142"/>
      <c r="DU142" s="558"/>
      <c r="DV142"/>
      <c r="DW142"/>
      <c r="DX142"/>
      <c r="DZ142" s="455">
        <v>10.648</v>
      </c>
      <c r="EA142" s="455"/>
      <c r="EB142"/>
      <c r="EC142"/>
      <c r="ED142"/>
      <c r="EE142"/>
      <c r="EF142"/>
      <c r="EG142" s="558">
        <v>1</v>
      </c>
      <c r="EH142"/>
      <c r="EJ142" s="455">
        <v>10.648</v>
      </c>
      <c r="EK142" s="455"/>
      <c r="EL142"/>
      <c r="EM142">
        <v>1</v>
      </c>
      <c r="EN142"/>
      <c r="EO142"/>
      <c r="EP142"/>
      <c r="EQ142"/>
      <c r="ER142"/>
      <c r="ES142"/>
      <c r="ET142"/>
      <c r="EU142"/>
      <c r="EV142"/>
      <c r="EW142"/>
      <c r="EX142"/>
      <c r="EY142"/>
      <c r="EZ142"/>
      <c r="FA142"/>
      <c r="FB142"/>
      <c r="FC142"/>
      <c r="FD142"/>
      <c r="FE142"/>
      <c r="FF142"/>
      <c r="FG142"/>
      <c r="FH142" s="558"/>
      <c r="FI142"/>
      <c r="FK142" s="449" t="s">
        <v>6816</v>
      </c>
      <c r="FL142" s="457"/>
      <c r="FM142" s="449"/>
      <c r="FN142" s="452">
        <v>1</v>
      </c>
      <c r="FO142" s="452"/>
      <c r="FP142" s="452"/>
      <c r="FQ142" s="452"/>
      <c r="FR142" s="452"/>
      <c r="FS142" s="452"/>
      <c r="FT142" s="452"/>
      <c r="FU142" s="452"/>
      <c r="FV142" s="452"/>
      <c r="FW142" s="452"/>
      <c r="FX142" s="452"/>
      <c r="FY142" s="452"/>
      <c r="FZ142" s="453"/>
      <c r="GA142"/>
      <c r="GB142"/>
      <c r="GC142"/>
      <c r="GD142"/>
    </row>
    <row r="143" spans="1:186" x14ac:dyDescent="0.15">
      <c r="A143" s="30" t="s">
        <v>144</v>
      </c>
      <c r="AG143" s="455">
        <v>3.786</v>
      </c>
      <c r="AH143" s="556">
        <v>1</v>
      </c>
      <c r="AJ143" s="455">
        <v>3.786</v>
      </c>
      <c r="AK143" s="556">
        <v>1</v>
      </c>
      <c r="AL143"/>
      <c r="AM143"/>
      <c r="AN143"/>
      <c r="AO143" s="455">
        <v>3.786</v>
      </c>
      <c r="AP143" s="455"/>
      <c r="AQ143"/>
      <c r="AR143"/>
      <c r="AS143"/>
      <c r="AT143"/>
      <c r="AU143"/>
      <c r="AV143">
        <v>1</v>
      </c>
      <c r="AW143"/>
      <c r="AX143"/>
      <c r="AY143"/>
      <c r="AZ143"/>
      <c r="BA143"/>
      <c r="BB143"/>
      <c r="BC143" s="558"/>
      <c r="BD143"/>
      <c r="BE143"/>
      <c r="BF143"/>
      <c r="BH143" s="455">
        <v>3.786</v>
      </c>
      <c r="BI143" s="455">
        <v>1</v>
      </c>
      <c r="BJ143"/>
      <c r="BK143"/>
      <c r="BL143"/>
      <c r="BM143"/>
      <c r="BN143"/>
      <c r="BO143" s="558"/>
      <c r="BP143" s="455">
        <v>3.786</v>
      </c>
      <c r="BQ143" s="455">
        <v>1</v>
      </c>
      <c r="BR143"/>
      <c r="BS143"/>
      <c r="BT143"/>
      <c r="BU143" s="558"/>
      <c r="BV143"/>
      <c r="BW143"/>
      <c r="BZ143" s="455">
        <v>3.786</v>
      </c>
      <c r="CA143" s="556">
        <v>1</v>
      </c>
      <c r="CB143"/>
      <c r="CC143"/>
      <c r="CD143"/>
      <c r="CF143" s="455">
        <v>3.786</v>
      </c>
      <c r="CG143" s="455"/>
      <c r="CH143"/>
      <c r="CI143"/>
      <c r="CJ143">
        <v>1</v>
      </c>
      <c r="CK143"/>
      <c r="CL143"/>
      <c r="CM143"/>
      <c r="CN143"/>
      <c r="CO143"/>
      <c r="CP143"/>
      <c r="CQ143"/>
      <c r="CR143"/>
      <c r="CS143"/>
      <c r="CT143"/>
      <c r="CU143"/>
      <c r="CV143" s="558"/>
      <c r="CW143"/>
      <c r="CX143"/>
      <c r="CY143"/>
      <c r="CZ143"/>
      <c r="DA143"/>
      <c r="DB143"/>
      <c r="DC143"/>
      <c r="DD143"/>
      <c r="DE143"/>
      <c r="DF143"/>
      <c r="DG143" s="455">
        <v>3.786</v>
      </c>
      <c r="DH143" s="455"/>
      <c r="DI143">
        <v>1</v>
      </c>
      <c r="DJ143"/>
      <c r="DK143"/>
      <c r="DL143"/>
      <c r="DM143"/>
      <c r="DN143"/>
      <c r="DO143"/>
      <c r="DP143"/>
      <c r="DQ143"/>
      <c r="DR143"/>
      <c r="DS143"/>
      <c r="DT143"/>
      <c r="DU143" s="558"/>
      <c r="DV143"/>
      <c r="DW143"/>
      <c r="DX143"/>
      <c r="DZ143" s="455">
        <v>3.786</v>
      </c>
      <c r="EA143" s="455"/>
      <c r="EB143"/>
      <c r="EC143"/>
      <c r="ED143"/>
      <c r="EE143"/>
      <c r="EF143"/>
      <c r="EG143" s="558">
        <v>1</v>
      </c>
      <c r="EH143"/>
      <c r="EJ143" s="455">
        <v>3.786</v>
      </c>
      <c r="EK143" s="455"/>
      <c r="EL143"/>
      <c r="EM143">
        <v>1</v>
      </c>
      <c r="EN143"/>
      <c r="EO143"/>
      <c r="EP143"/>
      <c r="EQ143"/>
      <c r="ER143"/>
      <c r="ES143"/>
      <c r="ET143"/>
      <c r="EU143"/>
      <c r="EV143"/>
      <c r="EW143"/>
      <c r="EX143"/>
      <c r="EY143"/>
      <c r="EZ143"/>
      <c r="FA143"/>
      <c r="FB143"/>
      <c r="FC143"/>
      <c r="FD143"/>
      <c r="FE143"/>
      <c r="FF143"/>
      <c r="FG143"/>
      <c r="FH143" s="558"/>
      <c r="FI143"/>
      <c r="FK143" s="449">
        <v>0.35</v>
      </c>
      <c r="FL143" s="449" t="s">
        <v>411</v>
      </c>
      <c r="FM143" s="449">
        <v>1</v>
      </c>
      <c r="FN143" s="452"/>
      <c r="FO143" s="452"/>
      <c r="FP143" s="452"/>
      <c r="FQ143" s="452"/>
      <c r="FR143" s="452"/>
      <c r="FS143" s="452"/>
      <c r="FT143" s="452"/>
      <c r="FU143" s="452"/>
      <c r="FV143" s="452"/>
      <c r="FW143" s="452"/>
      <c r="FX143" s="452"/>
      <c r="FY143" s="452"/>
      <c r="FZ143" s="453"/>
      <c r="GA143"/>
      <c r="GB143"/>
      <c r="GC143"/>
      <c r="GD143"/>
    </row>
    <row r="144" spans="1:186" x14ac:dyDescent="0.15">
      <c r="A144" s="30" t="s">
        <v>143</v>
      </c>
      <c r="AG144" s="455">
        <v>0.70599999999999996</v>
      </c>
      <c r="AH144" s="556">
        <v>1</v>
      </c>
      <c r="AJ144" s="455">
        <v>0.70599999999999996</v>
      </c>
      <c r="AK144" s="556">
        <v>1</v>
      </c>
      <c r="AL144"/>
      <c r="AM144"/>
      <c r="AN144"/>
      <c r="AO144" s="455">
        <v>0.70599999999999996</v>
      </c>
      <c r="AP144" s="455"/>
      <c r="AQ144"/>
      <c r="AR144"/>
      <c r="AS144">
        <v>1</v>
      </c>
      <c r="AT144"/>
      <c r="AU144"/>
      <c r="AV144"/>
      <c r="AW144"/>
      <c r="AX144"/>
      <c r="AY144"/>
      <c r="AZ144"/>
      <c r="BA144"/>
      <c r="BB144"/>
      <c r="BC144" s="558"/>
      <c r="BD144"/>
      <c r="BE144"/>
      <c r="BF144"/>
      <c r="BH144" s="455">
        <v>0.70599999999999996</v>
      </c>
      <c r="BI144" s="455"/>
      <c r="BJ144">
        <v>1</v>
      </c>
      <c r="BK144"/>
      <c r="BL144"/>
      <c r="BM144"/>
      <c r="BN144"/>
      <c r="BO144" s="558"/>
      <c r="BP144" s="455">
        <v>0.70599999999999996</v>
      </c>
      <c r="BQ144" s="455"/>
      <c r="BR144"/>
      <c r="BS144">
        <v>1</v>
      </c>
      <c r="BT144"/>
      <c r="BU144" s="558"/>
      <c r="BV144"/>
      <c r="BW144"/>
      <c r="BZ144" s="455">
        <v>0.70599999999999996</v>
      </c>
      <c r="CA144" s="556">
        <v>1</v>
      </c>
      <c r="CB144"/>
      <c r="CC144"/>
      <c r="CD144"/>
      <c r="CF144" s="455">
        <v>0.70599999999999996</v>
      </c>
      <c r="CG144" s="455"/>
      <c r="CH144"/>
      <c r="CI144"/>
      <c r="CJ144"/>
      <c r="CK144"/>
      <c r="CL144"/>
      <c r="CM144">
        <v>1</v>
      </c>
      <c r="CN144"/>
      <c r="CO144"/>
      <c r="CP144"/>
      <c r="CQ144"/>
      <c r="CR144"/>
      <c r="CS144"/>
      <c r="CT144"/>
      <c r="CU144"/>
      <c r="CV144" s="558"/>
      <c r="CW144"/>
      <c r="CX144"/>
      <c r="CY144"/>
      <c r="CZ144"/>
      <c r="DA144"/>
      <c r="DB144"/>
      <c r="DC144"/>
      <c r="DD144"/>
      <c r="DE144"/>
      <c r="DF144"/>
      <c r="DG144" s="455">
        <v>0.70599999999999996</v>
      </c>
      <c r="DH144" s="455"/>
      <c r="DI144"/>
      <c r="DJ144"/>
      <c r="DK144">
        <v>1</v>
      </c>
      <c r="DL144"/>
      <c r="DM144"/>
      <c r="DN144"/>
      <c r="DO144"/>
      <c r="DP144"/>
      <c r="DQ144"/>
      <c r="DR144"/>
      <c r="DS144"/>
      <c r="DT144"/>
      <c r="DU144" s="558"/>
      <c r="DV144"/>
      <c r="DW144"/>
      <c r="DX144"/>
      <c r="DZ144" s="455">
        <v>0.70599999999999996</v>
      </c>
      <c r="EA144" s="455">
        <v>1</v>
      </c>
      <c r="EB144"/>
      <c r="EC144"/>
      <c r="ED144"/>
      <c r="EE144"/>
      <c r="EF144"/>
      <c r="EG144" s="558"/>
      <c r="EH144"/>
      <c r="EJ144" s="455">
        <v>0.70599999999999996</v>
      </c>
      <c r="EK144" s="455"/>
      <c r="EL144"/>
      <c r="EM144"/>
      <c r="EN144"/>
      <c r="EO144"/>
      <c r="EP144"/>
      <c r="EQ144">
        <v>1</v>
      </c>
      <c r="ER144"/>
      <c r="ES144"/>
      <c r="ET144"/>
      <c r="EU144"/>
      <c r="EV144"/>
      <c r="EW144"/>
      <c r="EX144"/>
      <c r="EY144"/>
      <c r="EZ144"/>
      <c r="FA144"/>
      <c r="FB144"/>
      <c r="FC144"/>
      <c r="FD144"/>
      <c r="FE144"/>
      <c r="FF144"/>
      <c r="FG144"/>
      <c r="FH144" s="558"/>
      <c r="FI144"/>
      <c r="FK144" s="449" t="s">
        <v>6817</v>
      </c>
      <c r="FL144" s="457"/>
      <c r="FM144" s="449">
        <v>1</v>
      </c>
      <c r="FN144" s="452"/>
      <c r="FO144" s="452"/>
      <c r="FP144" s="452"/>
      <c r="FQ144" s="452"/>
      <c r="FR144" s="452"/>
      <c r="FS144" s="452"/>
      <c r="FT144" s="452"/>
      <c r="FU144" s="452"/>
      <c r="FV144" s="452"/>
      <c r="FW144" s="452"/>
      <c r="FX144" s="452"/>
      <c r="FY144" s="452"/>
      <c r="FZ144" s="453"/>
      <c r="GA144"/>
      <c r="GB144"/>
      <c r="GC144"/>
      <c r="GD144"/>
    </row>
    <row r="145" spans="1:186" x14ac:dyDescent="0.15">
      <c r="A145" s="30" t="s">
        <v>142</v>
      </c>
      <c r="AG145" s="455">
        <v>0.26600000000000001</v>
      </c>
      <c r="AH145" s="556">
        <v>1</v>
      </c>
      <c r="AJ145" s="455">
        <v>0.26600000000000001</v>
      </c>
      <c r="AK145" s="556">
        <v>1</v>
      </c>
      <c r="AL145"/>
      <c r="AM145"/>
      <c r="AN145"/>
      <c r="AO145" s="455">
        <v>0.26600000000000001</v>
      </c>
      <c r="AP145" s="455">
        <v>1</v>
      </c>
      <c r="AQ145"/>
      <c r="AR145"/>
      <c r="AS145"/>
      <c r="AT145"/>
      <c r="AU145"/>
      <c r="AV145"/>
      <c r="AW145"/>
      <c r="AX145"/>
      <c r="AY145"/>
      <c r="AZ145"/>
      <c r="BA145"/>
      <c r="BB145"/>
      <c r="BC145" s="558"/>
      <c r="BD145"/>
      <c r="BE145"/>
      <c r="BF145"/>
      <c r="BH145" s="455">
        <v>0.26600000000000001</v>
      </c>
      <c r="BI145" s="455"/>
      <c r="BJ145">
        <v>1</v>
      </c>
      <c r="BK145"/>
      <c r="BL145"/>
      <c r="BM145"/>
      <c r="BN145"/>
      <c r="BO145" s="558"/>
      <c r="BP145" s="455">
        <v>0.26600000000000001</v>
      </c>
      <c r="BQ145" s="455">
        <v>1</v>
      </c>
      <c r="BR145"/>
      <c r="BS145"/>
      <c r="BT145"/>
      <c r="BU145" s="558"/>
      <c r="BV145"/>
      <c r="BW145"/>
      <c r="BZ145" s="455">
        <v>0.26600000000000001</v>
      </c>
      <c r="CA145" s="556">
        <v>1</v>
      </c>
      <c r="CB145"/>
      <c r="CC145"/>
      <c r="CD145"/>
      <c r="CF145" s="455">
        <v>0.26600000000000001</v>
      </c>
      <c r="CG145" s="455"/>
      <c r="CH145"/>
      <c r="CI145"/>
      <c r="CJ145">
        <v>1</v>
      </c>
      <c r="CK145"/>
      <c r="CL145"/>
      <c r="CM145"/>
      <c r="CN145"/>
      <c r="CO145"/>
      <c r="CP145"/>
      <c r="CQ145"/>
      <c r="CR145"/>
      <c r="CS145"/>
      <c r="CT145"/>
      <c r="CU145"/>
      <c r="CV145" s="558"/>
      <c r="CW145"/>
      <c r="CX145"/>
      <c r="CY145"/>
      <c r="CZ145"/>
      <c r="DA145"/>
      <c r="DB145"/>
      <c r="DC145"/>
      <c r="DD145"/>
      <c r="DE145"/>
      <c r="DF145"/>
      <c r="DG145" s="455">
        <v>0.26600000000000001</v>
      </c>
      <c r="DH145" s="455">
        <v>1</v>
      </c>
      <c r="DI145"/>
      <c r="DJ145"/>
      <c r="DK145"/>
      <c r="DL145"/>
      <c r="DM145"/>
      <c r="DN145"/>
      <c r="DO145"/>
      <c r="DP145"/>
      <c r="DQ145"/>
      <c r="DR145"/>
      <c r="DS145"/>
      <c r="DT145"/>
      <c r="DU145" s="558"/>
      <c r="DV145"/>
      <c r="DW145"/>
      <c r="DX145"/>
      <c r="DZ145" s="455">
        <v>0.26600000000000001</v>
      </c>
      <c r="EA145" s="455"/>
      <c r="EB145"/>
      <c r="EC145"/>
      <c r="ED145"/>
      <c r="EE145"/>
      <c r="EF145"/>
      <c r="EG145" s="558">
        <v>1</v>
      </c>
      <c r="EH145"/>
      <c r="EJ145" s="455">
        <v>0.26600000000000001</v>
      </c>
      <c r="EK145" s="455">
        <v>1</v>
      </c>
      <c r="EL145"/>
      <c r="EM145"/>
      <c r="EN145"/>
      <c r="EO145"/>
      <c r="EP145"/>
      <c r="EQ145"/>
      <c r="ER145"/>
      <c r="ES145"/>
      <c r="ET145"/>
      <c r="EU145"/>
      <c r="EV145"/>
      <c r="EW145"/>
      <c r="EX145"/>
      <c r="EY145"/>
      <c r="EZ145"/>
      <c r="FA145"/>
      <c r="FB145"/>
      <c r="FC145"/>
      <c r="FD145"/>
      <c r="FE145"/>
      <c r="FF145"/>
      <c r="FG145"/>
      <c r="FH145" s="558"/>
      <c r="FI145"/>
      <c r="FK145" s="449">
        <v>22.463999999999999</v>
      </c>
      <c r="FL145" s="449" t="s">
        <v>401</v>
      </c>
      <c r="FM145" s="449"/>
      <c r="FN145" s="452"/>
      <c r="FO145" s="452"/>
      <c r="FP145" s="452">
        <v>1</v>
      </c>
      <c r="FQ145" s="452"/>
      <c r="FR145" s="452"/>
      <c r="FS145" s="452"/>
      <c r="FT145" s="452"/>
      <c r="FU145" s="452"/>
      <c r="FV145" s="452"/>
      <c r="FW145" s="452"/>
      <c r="FX145" s="452"/>
      <c r="FY145" s="452"/>
      <c r="FZ145" s="453"/>
      <c r="GA145"/>
      <c r="GB145"/>
      <c r="GC145"/>
      <c r="GD145"/>
    </row>
    <row r="146" spans="1:186" x14ac:dyDescent="0.15">
      <c r="A146" s="30" t="s">
        <v>141</v>
      </c>
      <c r="AG146" s="455">
        <v>5.6020000000000003</v>
      </c>
      <c r="AH146" s="556">
        <v>1</v>
      </c>
      <c r="AJ146" s="455">
        <v>5.6020000000000003</v>
      </c>
      <c r="AK146" s="556">
        <v>1</v>
      </c>
      <c r="AL146"/>
      <c r="AM146"/>
      <c r="AN146"/>
      <c r="AO146" s="455">
        <v>5.6020000000000003</v>
      </c>
      <c r="AP146" s="455"/>
      <c r="AQ146"/>
      <c r="AR146"/>
      <c r="AS146"/>
      <c r="AT146"/>
      <c r="AU146"/>
      <c r="AV146">
        <v>1</v>
      </c>
      <c r="AW146"/>
      <c r="AX146"/>
      <c r="AY146"/>
      <c r="AZ146"/>
      <c r="BA146"/>
      <c r="BB146"/>
      <c r="BC146" s="558"/>
      <c r="BD146"/>
      <c r="BE146"/>
      <c r="BF146"/>
      <c r="BH146" s="455">
        <v>5.6020000000000003</v>
      </c>
      <c r="BI146" s="455">
        <v>1</v>
      </c>
      <c r="BJ146"/>
      <c r="BK146"/>
      <c r="BL146"/>
      <c r="BM146"/>
      <c r="BN146"/>
      <c r="BO146" s="558"/>
      <c r="BP146" s="455">
        <v>5.6020000000000003</v>
      </c>
      <c r="BQ146" s="455">
        <v>1</v>
      </c>
      <c r="BR146"/>
      <c r="BS146"/>
      <c r="BT146"/>
      <c r="BU146" s="558"/>
      <c r="BV146"/>
      <c r="BW146"/>
      <c r="BZ146" s="455">
        <v>5.6020000000000003</v>
      </c>
      <c r="CA146" s="556">
        <v>1</v>
      </c>
      <c r="CB146"/>
      <c r="CC146"/>
      <c r="CD146"/>
      <c r="CF146" s="455">
        <v>5.6020000000000003</v>
      </c>
      <c r="CG146" s="455">
        <v>1</v>
      </c>
      <c r="CH146"/>
      <c r="CI146"/>
      <c r="CJ146"/>
      <c r="CK146"/>
      <c r="CL146"/>
      <c r="CM146"/>
      <c r="CN146"/>
      <c r="CO146"/>
      <c r="CP146"/>
      <c r="CQ146"/>
      <c r="CR146"/>
      <c r="CS146"/>
      <c r="CT146"/>
      <c r="CU146"/>
      <c r="CV146" s="558"/>
      <c r="CW146"/>
      <c r="CX146"/>
      <c r="CY146"/>
      <c r="CZ146"/>
      <c r="DA146"/>
      <c r="DB146"/>
      <c r="DC146"/>
      <c r="DD146"/>
      <c r="DE146"/>
      <c r="DF146"/>
      <c r="DG146" s="455">
        <v>5.6020000000000003</v>
      </c>
      <c r="DH146" s="455">
        <v>1</v>
      </c>
      <c r="DI146"/>
      <c r="DJ146"/>
      <c r="DK146"/>
      <c r="DL146"/>
      <c r="DM146"/>
      <c r="DN146"/>
      <c r="DO146"/>
      <c r="DP146"/>
      <c r="DQ146"/>
      <c r="DR146"/>
      <c r="DS146"/>
      <c r="DT146"/>
      <c r="DU146" s="558"/>
      <c r="DV146"/>
      <c r="DW146"/>
      <c r="DX146"/>
      <c r="DZ146" s="455">
        <v>5.6020000000000003</v>
      </c>
      <c r="EA146" s="455"/>
      <c r="EB146"/>
      <c r="EC146"/>
      <c r="ED146"/>
      <c r="EE146">
        <v>1</v>
      </c>
      <c r="EF146"/>
      <c r="EG146" s="558"/>
      <c r="EH146"/>
      <c r="EJ146" s="455">
        <v>5.6020000000000003</v>
      </c>
      <c r="EK146" s="455"/>
      <c r="EL146"/>
      <c r="EM146"/>
      <c r="EN146"/>
      <c r="EO146">
        <v>1</v>
      </c>
      <c r="EP146"/>
      <c r="EQ146"/>
      <c r="ER146"/>
      <c r="ES146"/>
      <c r="ET146"/>
      <c r="EU146"/>
      <c r="EV146"/>
      <c r="EW146"/>
      <c r="EX146"/>
      <c r="EY146"/>
      <c r="EZ146"/>
      <c r="FA146"/>
      <c r="FB146"/>
      <c r="FC146"/>
      <c r="FD146"/>
      <c r="FE146"/>
      <c r="FF146"/>
      <c r="FG146"/>
      <c r="FH146" s="558"/>
      <c r="FI146"/>
      <c r="FK146" s="449" t="s">
        <v>6818</v>
      </c>
      <c r="FL146" s="457"/>
      <c r="FM146" s="449"/>
      <c r="FN146" s="452"/>
      <c r="FO146" s="452"/>
      <c r="FP146" s="452">
        <v>1</v>
      </c>
      <c r="FQ146" s="452"/>
      <c r="FR146" s="452"/>
      <c r="FS146" s="452"/>
      <c r="FT146" s="452"/>
      <c r="FU146" s="452"/>
      <c r="FV146" s="452"/>
      <c r="FW146" s="452"/>
      <c r="FX146" s="452"/>
      <c r="FY146" s="452"/>
      <c r="FZ146" s="453"/>
      <c r="GA146"/>
      <c r="GB146"/>
      <c r="GC146"/>
      <c r="GD146"/>
    </row>
    <row r="147" spans="1:186" x14ac:dyDescent="0.15">
      <c r="A147" s="30" t="s">
        <v>140</v>
      </c>
      <c r="AG147" s="455">
        <v>2E-3</v>
      </c>
      <c r="AH147" s="556">
        <v>1</v>
      </c>
      <c r="AJ147" s="455">
        <v>2E-3</v>
      </c>
      <c r="AK147" s="556">
        <v>1</v>
      </c>
      <c r="AL147"/>
      <c r="AM147"/>
      <c r="AN147"/>
      <c r="AO147" s="455">
        <v>2E-3</v>
      </c>
      <c r="AP147" s="455"/>
      <c r="AQ147"/>
      <c r="AR147"/>
      <c r="AS147"/>
      <c r="AT147"/>
      <c r="AU147"/>
      <c r="AV147"/>
      <c r="AW147">
        <v>1</v>
      </c>
      <c r="AX147"/>
      <c r="AY147"/>
      <c r="AZ147"/>
      <c r="BA147"/>
      <c r="BB147"/>
      <c r="BC147" s="558"/>
      <c r="BD147"/>
      <c r="BE147"/>
      <c r="BF147"/>
      <c r="BH147" s="455">
        <v>2E-3</v>
      </c>
      <c r="BI147" s="455">
        <v>1</v>
      </c>
      <c r="BJ147"/>
      <c r="BK147"/>
      <c r="BL147"/>
      <c r="BM147"/>
      <c r="BN147"/>
      <c r="BO147" s="558"/>
      <c r="BP147" s="455">
        <v>2E-3</v>
      </c>
      <c r="BQ147" s="455"/>
      <c r="BR147">
        <v>1</v>
      </c>
      <c r="BS147"/>
      <c r="BT147"/>
      <c r="BU147" s="558"/>
      <c r="BV147"/>
      <c r="BW147"/>
      <c r="BZ147" s="455">
        <v>2E-3</v>
      </c>
      <c r="CA147" s="556">
        <v>1</v>
      </c>
      <c r="CB147"/>
      <c r="CC147"/>
      <c r="CD147"/>
      <c r="CF147" s="455">
        <v>2E-3</v>
      </c>
      <c r="CG147" s="455"/>
      <c r="CH147"/>
      <c r="CI147"/>
      <c r="CJ147"/>
      <c r="CK147">
        <v>1</v>
      </c>
      <c r="CL147"/>
      <c r="CM147"/>
      <c r="CN147"/>
      <c r="CO147"/>
      <c r="CP147"/>
      <c r="CQ147"/>
      <c r="CR147"/>
      <c r="CS147"/>
      <c r="CT147"/>
      <c r="CU147"/>
      <c r="CV147" s="558"/>
      <c r="CW147"/>
      <c r="CX147"/>
      <c r="CY147"/>
      <c r="CZ147"/>
      <c r="DA147"/>
      <c r="DB147"/>
      <c r="DC147"/>
      <c r="DD147"/>
      <c r="DE147"/>
      <c r="DF147"/>
      <c r="DG147" s="455">
        <v>2E-3</v>
      </c>
      <c r="DH147" s="455"/>
      <c r="DI147"/>
      <c r="DJ147">
        <v>1</v>
      </c>
      <c r="DK147"/>
      <c r="DL147"/>
      <c r="DM147"/>
      <c r="DN147"/>
      <c r="DO147"/>
      <c r="DP147"/>
      <c r="DQ147"/>
      <c r="DR147"/>
      <c r="DS147"/>
      <c r="DT147"/>
      <c r="DU147" s="558"/>
      <c r="DV147"/>
      <c r="DW147"/>
      <c r="DX147"/>
      <c r="DZ147" s="455">
        <v>2E-3</v>
      </c>
      <c r="EA147" s="455"/>
      <c r="EB147"/>
      <c r="EC147"/>
      <c r="ED147"/>
      <c r="EE147"/>
      <c r="EF147">
        <v>1</v>
      </c>
      <c r="EG147" s="558"/>
      <c r="EH147"/>
      <c r="EJ147" s="455">
        <v>2E-3</v>
      </c>
      <c r="EK147" s="455"/>
      <c r="EL147"/>
      <c r="EM147"/>
      <c r="EN147"/>
      <c r="EO147"/>
      <c r="EP147"/>
      <c r="EQ147"/>
      <c r="ER147"/>
      <c r="ES147"/>
      <c r="ET147"/>
      <c r="EU147"/>
      <c r="EV147"/>
      <c r="EW147"/>
      <c r="EX147">
        <v>1</v>
      </c>
      <c r="EY147"/>
      <c r="EZ147"/>
      <c r="FA147"/>
      <c r="FB147"/>
      <c r="FC147"/>
      <c r="FD147"/>
      <c r="FE147"/>
      <c r="FF147"/>
      <c r="FG147"/>
      <c r="FH147" s="558"/>
      <c r="FI147"/>
      <c r="FK147" s="449">
        <v>3.6789999999999998</v>
      </c>
      <c r="FL147" s="449" t="s">
        <v>410</v>
      </c>
      <c r="FM147" s="449"/>
      <c r="FN147" s="452"/>
      <c r="FO147" s="452"/>
      <c r="FP147" s="452">
        <v>1</v>
      </c>
      <c r="FQ147" s="452"/>
      <c r="FR147" s="452"/>
      <c r="FS147" s="452"/>
      <c r="FT147" s="452"/>
      <c r="FU147" s="452"/>
      <c r="FV147" s="452"/>
      <c r="FW147" s="452"/>
      <c r="FX147" s="452"/>
      <c r="FY147" s="452"/>
      <c r="FZ147" s="453"/>
      <c r="GA147"/>
      <c r="GB147"/>
      <c r="GC147"/>
      <c r="GD147"/>
    </row>
    <row r="148" spans="1:186" x14ac:dyDescent="0.15">
      <c r="A148" s="30" t="s">
        <v>139</v>
      </c>
      <c r="AG148" s="455">
        <v>8.5169999999999995</v>
      </c>
      <c r="AH148" s="556">
        <v>1</v>
      </c>
      <c r="AJ148" s="455">
        <v>8.5169999999999995</v>
      </c>
      <c r="AK148" s="556">
        <v>1</v>
      </c>
      <c r="AL148"/>
      <c r="AM148"/>
      <c r="AN148"/>
      <c r="AO148" s="455">
        <v>8.5169999999999995</v>
      </c>
      <c r="AP148" s="455"/>
      <c r="AQ148"/>
      <c r="AR148"/>
      <c r="AS148">
        <v>1</v>
      </c>
      <c r="AT148"/>
      <c r="AU148"/>
      <c r="AV148"/>
      <c r="AW148"/>
      <c r="AX148"/>
      <c r="AY148"/>
      <c r="AZ148"/>
      <c r="BA148"/>
      <c r="BB148"/>
      <c r="BC148" s="558"/>
      <c r="BD148"/>
      <c r="BE148"/>
      <c r="BF148"/>
      <c r="BH148" s="455">
        <v>8.5169999999999995</v>
      </c>
      <c r="BI148" s="455">
        <v>1</v>
      </c>
      <c r="BJ148"/>
      <c r="BK148"/>
      <c r="BL148"/>
      <c r="BM148"/>
      <c r="BN148"/>
      <c r="BO148" s="558"/>
      <c r="BP148" s="455">
        <v>8.5169999999999995</v>
      </c>
      <c r="BQ148" s="455">
        <v>1</v>
      </c>
      <c r="BR148"/>
      <c r="BS148"/>
      <c r="BT148"/>
      <c r="BU148" s="558"/>
      <c r="BV148"/>
      <c r="BW148"/>
      <c r="BZ148" s="455">
        <v>8.5169999999999995</v>
      </c>
      <c r="CA148" s="556">
        <v>1</v>
      </c>
      <c r="CB148"/>
      <c r="CC148"/>
      <c r="CD148"/>
      <c r="CF148" s="455">
        <v>8.5169999999999995</v>
      </c>
      <c r="CG148" s="455"/>
      <c r="CH148"/>
      <c r="CI148">
        <v>1</v>
      </c>
      <c r="CJ148"/>
      <c r="CK148"/>
      <c r="CL148"/>
      <c r="CM148"/>
      <c r="CN148"/>
      <c r="CO148"/>
      <c r="CP148"/>
      <c r="CQ148"/>
      <c r="CR148"/>
      <c r="CS148"/>
      <c r="CT148"/>
      <c r="CU148"/>
      <c r="CV148" s="558"/>
      <c r="CW148"/>
      <c r="CX148"/>
      <c r="CY148"/>
      <c r="CZ148"/>
      <c r="DA148"/>
      <c r="DB148"/>
      <c r="DC148"/>
      <c r="DD148"/>
      <c r="DE148"/>
      <c r="DF148"/>
      <c r="DG148" s="455">
        <v>8.5169999999999995</v>
      </c>
      <c r="DH148" s="455"/>
      <c r="DI148"/>
      <c r="DJ148"/>
      <c r="DK148">
        <v>1</v>
      </c>
      <c r="DL148"/>
      <c r="DM148"/>
      <c r="DN148"/>
      <c r="DO148"/>
      <c r="DP148"/>
      <c r="DQ148"/>
      <c r="DR148"/>
      <c r="DS148"/>
      <c r="DT148"/>
      <c r="DU148" s="558"/>
      <c r="DV148"/>
      <c r="DW148"/>
      <c r="DX148"/>
      <c r="DZ148" s="455">
        <v>8.5169999999999995</v>
      </c>
      <c r="EA148" s="455">
        <v>1</v>
      </c>
      <c r="EB148"/>
      <c r="EC148"/>
      <c r="ED148"/>
      <c r="EE148"/>
      <c r="EF148"/>
      <c r="EG148" s="558"/>
      <c r="EH148"/>
      <c r="EJ148" s="455">
        <v>8.5169999999999995</v>
      </c>
      <c r="EK148" s="455"/>
      <c r="EL148"/>
      <c r="EM148"/>
      <c r="EN148"/>
      <c r="EO148"/>
      <c r="EP148"/>
      <c r="EQ148"/>
      <c r="ER148"/>
      <c r="ES148"/>
      <c r="ET148"/>
      <c r="EU148"/>
      <c r="EV148"/>
      <c r="EW148"/>
      <c r="EX148"/>
      <c r="EY148"/>
      <c r="EZ148"/>
      <c r="FA148"/>
      <c r="FB148"/>
      <c r="FC148"/>
      <c r="FD148"/>
      <c r="FE148"/>
      <c r="FF148"/>
      <c r="FG148">
        <v>1</v>
      </c>
      <c r="FH148" s="558"/>
      <c r="FI148"/>
      <c r="FK148" s="449" t="s">
        <v>6819</v>
      </c>
      <c r="FL148" s="457"/>
      <c r="FM148" s="449"/>
      <c r="FN148" s="452"/>
      <c r="FO148" s="452"/>
      <c r="FP148" s="452">
        <v>1</v>
      </c>
      <c r="FQ148" s="452"/>
      <c r="FR148" s="452"/>
      <c r="FS148" s="452"/>
      <c r="FT148" s="452"/>
      <c r="FU148" s="452"/>
      <c r="FV148" s="452"/>
      <c r="FW148" s="452"/>
      <c r="FX148" s="452"/>
      <c r="FY148" s="452"/>
      <c r="FZ148" s="453"/>
      <c r="GA148"/>
      <c r="GB148"/>
      <c r="GC148"/>
      <c r="GD148"/>
    </row>
    <row r="149" spans="1:186" x14ac:dyDescent="0.15">
      <c r="A149" s="30" t="s">
        <v>138</v>
      </c>
      <c r="AG149" s="455">
        <v>2.2949999999999999</v>
      </c>
      <c r="AH149" s="556">
        <v>1</v>
      </c>
      <c r="AJ149" s="455">
        <v>2.2949999999999999</v>
      </c>
      <c r="AK149" s="556">
        <v>1</v>
      </c>
      <c r="AL149"/>
      <c r="AM149"/>
      <c r="AN149"/>
      <c r="AO149" s="455">
        <v>2.2949999999999999</v>
      </c>
      <c r="AP149" s="455"/>
      <c r="AQ149">
        <v>1</v>
      </c>
      <c r="AR149"/>
      <c r="AS149"/>
      <c r="AT149"/>
      <c r="AU149"/>
      <c r="AV149"/>
      <c r="AW149"/>
      <c r="AX149"/>
      <c r="AY149"/>
      <c r="AZ149"/>
      <c r="BA149"/>
      <c r="BB149"/>
      <c r="BC149" s="558"/>
      <c r="BD149"/>
      <c r="BE149"/>
      <c r="BF149"/>
      <c r="BH149" s="455">
        <v>2.2949999999999999</v>
      </c>
      <c r="BI149" s="455"/>
      <c r="BJ149">
        <v>1</v>
      </c>
      <c r="BK149"/>
      <c r="BL149"/>
      <c r="BM149"/>
      <c r="BN149"/>
      <c r="BO149" s="558"/>
      <c r="BP149" s="455">
        <v>2.2949999999999999</v>
      </c>
      <c r="BQ149" s="455"/>
      <c r="BR149">
        <v>1</v>
      </c>
      <c r="BS149"/>
      <c r="BT149"/>
      <c r="BU149" s="558"/>
      <c r="BV149"/>
      <c r="BW149"/>
      <c r="BZ149" s="455">
        <v>2.2949999999999999</v>
      </c>
      <c r="CA149" s="556">
        <v>1</v>
      </c>
      <c r="CB149"/>
      <c r="CC149"/>
      <c r="CD149"/>
      <c r="CF149" s="455">
        <v>2.2949999999999999</v>
      </c>
      <c r="CG149" s="455"/>
      <c r="CH149">
        <v>1</v>
      </c>
      <c r="CI149"/>
      <c r="CJ149"/>
      <c r="CK149"/>
      <c r="CL149"/>
      <c r="CM149"/>
      <c r="CN149"/>
      <c r="CO149"/>
      <c r="CP149"/>
      <c r="CQ149"/>
      <c r="CR149"/>
      <c r="CS149"/>
      <c r="CT149"/>
      <c r="CU149"/>
      <c r="CV149" s="558"/>
      <c r="CW149"/>
      <c r="CX149"/>
      <c r="CY149"/>
      <c r="CZ149"/>
      <c r="DA149"/>
      <c r="DB149"/>
      <c r="DC149"/>
      <c r="DD149"/>
      <c r="DE149"/>
      <c r="DF149"/>
      <c r="DG149" s="455">
        <v>2.2949999999999999</v>
      </c>
      <c r="DH149" s="455">
        <v>1</v>
      </c>
      <c r="DI149"/>
      <c r="DJ149"/>
      <c r="DK149"/>
      <c r="DL149"/>
      <c r="DM149"/>
      <c r="DN149"/>
      <c r="DO149"/>
      <c r="DP149"/>
      <c r="DQ149"/>
      <c r="DR149"/>
      <c r="DS149"/>
      <c r="DT149"/>
      <c r="DU149" s="558"/>
      <c r="DV149"/>
      <c r="DW149"/>
      <c r="DX149"/>
      <c r="DZ149" s="455">
        <v>2.2949999999999999</v>
      </c>
      <c r="EA149" s="455">
        <v>1</v>
      </c>
      <c r="EB149"/>
      <c r="EC149"/>
      <c r="ED149"/>
      <c r="EE149"/>
      <c r="EF149"/>
      <c r="EG149" s="558"/>
      <c r="EH149"/>
      <c r="EJ149" s="455">
        <v>2.2949999999999999</v>
      </c>
      <c r="EK149" s="455"/>
      <c r="EL149"/>
      <c r="EM149"/>
      <c r="EN149"/>
      <c r="EO149"/>
      <c r="EP149"/>
      <c r="EQ149"/>
      <c r="ER149"/>
      <c r="ES149"/>
      <c r="ET149"/>
      <c r="EU149"/>
      <c r="EV149"/>
      <c r="EW149"/>
      <c r="EX149"/>
      <c r="EY149">
        <v>1</v>
      </c>
      <c r="EZ149"/>
      <c r="FA149"/>
      <c r="FB149"/>
      <c r="FC149"/>
      <c r="FD149"/>
      <c r="FE149"/>
      <c r="FF149"/>
      <c r="FG149"/>
      <c r="FH149" s="558"/>
      <c r="FI149"/>
      <c r="FK149" s="449">
        <v>8.7590000000000003</v>
      </c>
      <c r="FL149" s="449" t="s">
        <v>445</v>
      </c>
      <c r="FM149" s="449"/>
      <c r="FN149" s="452">
        <v>1</v>
      </c>
      <c r="FO149" s="452"/>
      <c r="FP149" s="452"/>
      <c r="FQ149" s="452"/>
      <c r="FR149" s="452"/>
      <c r="FS149" s="452"/>
      <c r="FT149" s="452"/>
      <c r="FU149" s="452"/>
      <c r="FV149" s="452"/>
      <c r="FW149" s="452"/>
      <c r="FX149" s="452"/>
      <c r="FY149" s="452"/>
      <c r="FZ149" s="453"/>
      <c r="GA149"/>
      <c r="GB149"/>
      <c r="GC149"/>
      <c r="GD149"/>
    </row>
    <row r="150" spans="1:186" x14ac:dyDescent="0.15">
      <c r="A150" s="30" t="s">
        <v>137</v>
      </c>
      <c r="AG150" s="455">
        <v>1.361</v>
      </c>
      <c r="AH150" s="556">
        <v>1</v>
      </c>
      <c r="AJ150" s="455">
        <v>1.361</v>
      </c>
      <c r="AK150" s="556">
        <v>1</v>
      </c>
      <c r="AL150"/>
      <c r="AM150"/>
      <c r="AN150"/>
      <c r="AO150" s="455">
        <v>1.361</v>
      </c>
      <c r="AP150" s="455"/>
      <c r="AQ150"/>
      <c r="AR150"/>
      <c r="AS150"/>
      <c r="AT150"/>
      <c r="AU150"/>
      <c r="AV150">
        <v>1</v>
      </c>
      <c r="AW150"/>
      <c r="AX150"/>
      <c r="AY150"/>
      <c r="AZ150"/>
      <c r="BA150"/>
      <c r="BB150"/>
      <c r="BC150" s="558"/>
      <c r="BD150"/>
      <c r="BE150"/>
      <c r="BF150"/>
      <c r="BH150" s="455">
        <v>1.361</v>
      </c>
      <c r="BI150" s="455">
        <v>1</v>
      </c>
      <c r="BJ150"/>
      <c r="BK150"/>
      <c r="BL150"/>
      <c r="BM150"/>
      <c r="BN150"/>
      <c r="BO150" s="558"/>
      <c r="BP150" s="455">
        <v>1.361</v>
      </c>
      <c r="BQ150" s="455"/>
      <c r="BR150">
        <v>1</v>
      </c>
      <c r="BS150"/>
      <c r="BT150"/>
      <c r="BU150" s="558"/>
      <c r="BV150"/>
      <c r="BW150"/>
      <c r="BZ150" s="455">
        <v>1.361</v>
      </c>
      <c r="CA150" s="556">
        <v>1</v>
      </c>
      <c r="CB150"/>
      <c r="CC150"/>
      <c r="CD150"/>
      <c r="CF150" s="455">
        <v>1.361</v>
      </c>
      <c r="CG150" s="455"/>
      <c r="CH150"/>
      <c r="CI150"/>
      <c r="CJ150">
        <v>1</v>
      </c>
      <c r="CK150"/>
      <c r="CL150"/>
      <c r="CM150"/>
      <c r="CN150"/>
      <c r="CO150"/>
      <c r="CP150"/>
      <c r="CQ150"/>
      <c r="CR150"/>
      <c r="CS150"/>
      <c r="CT150"/>
      <c r="CU150"/>
      <c r="CV150" s="558"/>
      <c r="CW150"/>
      <c r="CX150"/>
      <c r="CY150"/>
      <c r="CZ150"/>
      <c r="DA150"/>
      <c r="DB150"/>
      <c r="DC150"/>
      <c r="DD150"/>
      <c r="DE150"/>
      <c r="DF150"/>
      <c r="DG150" s="455">
        <v>1.361</v>
      </c>
      <c r="DH150" s="455"/>
      <c r="DI150">
        <v>1</v>
      </c>
      <c r="DJ150"/>
      <c r="DK150"/>
      <c r="DL150"/>
      <c r="DM150"/>
      <c r="DN150"/>
      <c r="DO150"/>
      <c r="DP150"/>
      <c r="DQ150"/>
      <c r="DR150"/>
      <c r="DS150"/>
      <c r="DT150"/>
      <c r="DU150" s="558"/>
      <c r="DV150"/>
      <c r="DW150"/>
      <c r="DX150"/>
      <c r="DZ150" s="455">
        <v>1.361</v>
      </c>
      <c r="EA150" s="455"/>
      <c r="EB150"/>
      <c r="EC150"/>
      <c r="ED150"/>
      <c r="EE150"/>
      <c r="EF150"/>
      <c r="EG150" s="558">
        <v>1</v>
      </c>
      <c r="EH150"/>
      <c r="EJ150" s="455">
        <v>1.361</v>
      </c>
      <c r="EK150" s="455"/>
      <c r="EL150"/>
      <c r="EM150"/>
      <c r="EN150"/>
      <c r="EO150"/>
      <c r="EP150"/>
      <c r="EQ150"/>
      <c r="ER150"/>
      <c r="ES150"/>
      <c r="ET150"/>
      <c r="EU150"/>
      <c r="EV150"/>
      <c r="EW150"/>
      <c r="EX150"/>
      <c r="EY150"/>
      <c r="EZ150">
        <v>1</v>
      </c>
      <c r="FA150"/>
      <c r="FB150"/>
      <c r="FC150"/>
      <c r="FD150"/>
      <c r="FE150"/>
      <c r="FF150"/>
      <c r="FG150"/>
      <c r="FH150" s="558"/>
      <c r="FI150"/>
      <c r="FK150" s="449" t="s">
        <v>6820</v>
      </c>
      <c r="FL150" s="457"/>
      <c r="FM150" s="449"/>
      <c r="FN150" s="452">
        <v>1</v>
      </c>
      <c r="FO150" s="452"/>
      <c r="FP150" s="452"/>
      <c r="FQ150" s="452"/>
      <c r="FR150" s="452"/>
      <c r="FS150" s="452"/>
      <c r="FT150" s="452"/>
      <c r="FU150" s="452"/>
      <c r="FV150" s="452"/>
      <c r="FW150" s="452"/>
      <c r="FX150" s="452"/>
      <c r="FY150" s="452"/>
      <c r="FZ150" s="453"/>
      <c r="GA150"/>
      <c r="GB150"/>
      <c r="GC150"/>
      <c r="GD150"/>
    </row>
    <row r="151" spans="1:186" x14ac:dyDescent="0.15">
      <c r="AG151" s="455">
        <v>2.1259999999999999</v>
      </c>
      <c r="AH151" s="556">
        <v>1</v>
      </c>
      <c r="AJ151" s="455">
        <v>2.1259999999999999</v>
      </c>
      <c r="AK151" s="556">
        <v>1</v>
      </c>
      <c r="AL151"/>
      <c r="AM151"/>
      <c r="AN151"/>
      <c r="AO151" s="455">
        <v>2.1259999999999999</v>
      </c>
      <c r="AP151" s="455">
        <v>1</v>
      </c>
      <c r="AQ151"/>
      <c r="AR151"/>
      <c r="AS151"/>
      <c r="AT151"/>
      <c r="AU151"/>
      <c r="AV151"/>
      <c r="AW151"/>
      <c r="AX151"/>
      <c r="AY151"/>
      <c r="AZ151"/>
      <c r="BA151"/>
      <c r="BB151"/>
      <c r="BC151" s="558"/>
      <c r="BD151"/>
      <c r="BE151"/>
      <c r="BF151"/>
      <c r="BH151" s="455">
        <v>2.1259999999999999</v>
      </c>
      <c r="BI151" s="455">
        <v>1</v>
      </c>
      <c r="BJ151"/>
      <c r="BK151"/>
      <c r="BL151"/>
      <c r="BM151"/>
      <c r="BN151"/>
      <c r="BO151" s="558"/>
      <c r="BP151" s="455">
        <v>2.1259999999999999</v>
      </c>
      <c r="BQ151" s="455">
        <v>1</v>
      </c>
      <c r="BR151"/>
      <c r="BS151"/>
      <c r="BT151"/>
      <c r="BU151" s="558"/>
      <c r="BV151"/>
      <c r="BW151"/>
      <c r="BZ151" s="455">
        <v>2.1259999999999999</v>
      </c>
      <c r="CA151" s="556">
        <v>1</v>
      </c>
      <c r="CB151"/>
      <c r="CC151"/>
      <c r="CD151"/>
      <c r="CF151" s="455">
        <v>2.1259999999999999</v>
      </c>
      <c r="CG151" s="455">
        <v>1</v>
      </c>
      <c r="CH151"/>
      <c r="CI151"/>
      <c r="CJ151"/>
      <c r="CK151"/>
      <c r="CL151"/>
      <c r="CM151"/>
      <c r="CN151"/>
      <c r="CO151"/>
      <c r="CP151"/>
      <c r="CQ151"/>
      <c r="CR151"/>
      <c r="CS151"/>
      <c r="CT151"/>
      <c r="CU151"/>
      <c r="CV151" s="558"/>
      <c r="CW151"/>
      <c r="CX151"/>
      <c r="CY151"/>
      <c r="CZ151"/>
      <c r="DA151"/>
      <c r="DB151"/>
      <c r="DC151"/>
      <c r="DD151"/>
      <c r="DE151"/>
      <c r="DF151"/>
      <c r="DG151" s="455">
        <v>2.1259999999999999</v>
      </c>
      <c r="DH151" s="455">
        <v>1</v>
      </c>
      <c r="DI151"/>
      <c r="DJ151"/>
      <c r="DK151"/>
      <c r="DL151"/>
      <c r="DM151"/>
      <c r="DN151"/>
      <c r="DO151"/>
      <c r="DP151"/>
      <c r="DQ151"/>
      <c r="DR151"/>
      <c r="DS151"/>
      <c r="DT151"/>
      <c r="DU151" s="558"/>
      <c r="DV151"/>
      <c r="DW151"/>
      <c r="DX151"/>
      <c r="DZ151" s="455">
        <v>2.1259999999999999</v>
      </c>
      <c r="EA151" s="455"/>
      <c r="EB151"/>
      <c r="EC151"/>
      <c r="ED151"/>
      <c r="EE151"/>
      <c r="EF151"/>
      <c r="EG151" s="558">
        <v>1</v>
      </c>
      <c r="EH151"/>
      <c r="EJ151" s="455">
        <v>2.1259999999999999</v>
      </c>
      <c r="EK151" s="455"/>
      <c r="EL151"/>
      <c r="EM151"/>
      <c r="EN151"/>
      <c r="EO151"/>
      <c r="EP151">
        <v>1</v>
      </c>
      <c r="EQ151"/>
      <c r="ER151"/>
      <c r="ES151"/>
      <c r="ET151"/>
      <c r="EU151"/>
      <c r="EV151"/>
      <c r="EW151"/>
      <c r="EX151"/>
      <c r="EY151"/>
      <c r="EZ151"/>
      <c r="FA151"/>
      <c r="FB151"/>
      <c r="FC151"/>
      <c r="FD151"/>
      <c r="FE151"/>
      <c r="FF151"/>
      <c r="FG151"/>
      <c r="FH151" s="558"/>
      <c r="FI151"/>
      <c r="FK151" s="449">
        <v>17.724</v>
      </c>
      <c r="FL151" s="449" t="s">
        <v>406</v>
      </c>
      <c r="FM151" s="449"/>
      <c r="FN151" s="452"/>
      <c r="FO151" s="452"/>
      <c r="FP151" s="452"/>
      <c r="FQ151" s="452">
        <v>1</v>
      </c>
      <c r="FR151" s="452"/>
      <c r="FS151" s="452"/>
      <c r="FT151" s="452"/>
      <c r="FU151" s="452"/>
      <c r="FV151" s="452"/>
      <c r="FW151" s="452"/>
      <c r="FX151" s="452"/>
      <c r="FY151" s="452"/>
      <c r="FZ151" s="453"/>
      <c r="GA151"/>
      <c r="GB151"/>
      <c r="GC151"/>
      <c r="GD151"/>
    </row>
    <row r="152" spans="1:186" x14ac:dyDescent="0.15">
      <c r="AG152" s="455">
        <v>3.1760000000000002</v>
      </c>
      <c r="AH152" s="556">
        <v>1</v>
      </c>
      <c r="AJ152" s="455">
        <v>3.1760000000000002</v>
      </c>
      <c r="AK152" s="556">
        <v>1</v>
      </c>
      <c r="AL152"/>
      <c r="AM152"/>
      <c r="AN152"/>
      <c r="AO152" s="455">
        <v>3.1760000000000002</v>
      </c>
      <c r="AP152" s="455"/>
      <c r="AQ152"/>
      <c r="AR152"/>
      <c r="AS152"/>
      <c r="AT152"/>
      <c r="AU152"/>
      <c r="AV152"/>
      <c r="AW152"/>
      <c r="AX152"/>
      <c r="AY152"/>
      <c r="AZ152"/>
      <c r="BA152"/>
      <c r="BB152"/>
      <c r="BC152" s="558">
        <v>1</v>
      </c>
      <c r="BD152"/>
      <c r="BE152"/>
      <c r="BF152"/>
      <c r="BH152" s="455">
        <v>3.1760000000000002</v>
      </c>
      <c r="BI152" s="455">
        <v>1</v>
      </c>
      <c r="BJ152"/>
      <c r="BK152"/>
      <c r="BL152"/>
      <c r="BM152"/>
      <c r="BN152"/>
      <c r="BO152" s="558"/>
      <c r="BP152" s="455">
        <v>3.1760000000000002</v>
      </c>
      <c r="BQ152" s="455"/>
      <c r="BR152"/>
      <c r="BS152">
        <v>1</v>
      </c>
      <c r="BT152"/>
      <c r="BU152" s="558"/>
      <c r="BV152"/>
      <c r="BW152"/>
      <c r="BZ152" s="455">
        <v>3.1760000000000002</v>
      </c>
      <c r="CA152" s="556">
        <v>1</v>
      </c>
      <c r="CB152"/>
      <c r="CC152"/>
      <c r="CD152"/>
      <c r="CF152" s="455">
        <v>3.1760000000000002</v>
      </c>
      <c r="CG152" s="455"/>
      <c r="CH152"/>
      <c r="CI152"/>
      <c r="CJ152"/>
      <c r="CK152">
        <v>1</v>
      </c>
      <c r="CL152"/>
      <c r="CM152"/>
      <c r="CN152"/>
      <c r="CO152"/>
      <c r="CP152"/>
      <c r="CQ152"/>
      <c r="CR152"/>
      <c r="CS152"/>
      <c r="CT152"/>
      <c r="CU152"/>
      <c r="CV152" s="558"/>
      <c r="CW152"/>
      <c r="CX152"/>
      <c r="CY152"/>
      <c r="CZ152"/>
      <c r="DA152"/>
      <c r="DB152"/>
      <c r="DC152"/>
      <c r="DD152"/>
      <c r="DE152"/>
      <c r="DF152"/>
      <c r="DG152" s="455">
        <v>3.1760000000000002</v>
      </c>
      <c r="DH152" s="455"/>
      <c r="DI152"/>
      <c r="DJ152"/>
      <c r="DK152"/>
      <c r="DL152"/>
      <c r="DM152"/>
      <c r="DN152"/>
      <c r="DO152"/>
      <c r="DP152"/>
      <c r="DQ152"/>
      <c r="DR152">
        <v>1</v>
      </c>
      <c r="DS152"/>
      <c r="DT152"/>
      <c r="DU152" s="558"/>
      <c r="DV152"/>
      <c r="DW152"/>
      <c r="DX152"/>
      <c r="DZ152" s="455">
        <v>3.1760000000000002</v>
      </c>
      <c r="EA152" s="455">
        <v>1</v>
      </c>
      <c r="EB152"/>
      <c r="EC152"/>
      <c r="ED152"/>
      <c r="EE152"/>
      <c r="EF152"/>
      <c r="EG152" s="558"/>
      <c r="EH152"/>
      <c r="EJ152" s="455">
        <v>3.1760000000000002</v>
      </c>
      <c r="EK152" s="455"/>
      <c r="EL152"/>
      <c r="EM152"/>
      <c r="EN152"/>
      <c r="EO152"/>
      <c r="EP152"/>
      <c r="EQ152"/>
      <c r="ER152"/>
      <c r="ES152">
        <v>1</v>
      </c>
      <c r="ET152"/>
      <c r="EU152"/>
      <c r="EV152"/>
      <c r="EW152"/>
      <c r="EX152"/>
      <c r="EY152"/>
      <c r="EZ152"/>
      <c r="FA152"/>
      <c r="FB152"/>
      <c r="FC152"/>
      <c r="FD152"/>
      <c r="FE152"/>
      <c r="FF152"/>
      <c r="FG152"/>
      <c r="FH152" s="558"/>
      <c r="FI152"/>
      <c r="FK152" s="449" t="s">
        <v>6821</v>
      </c>
      <c r="FL152" s="457"/>
      <c r="FM152" s="449"/>
      <c r="FN152" s="452"/>
      <c r="FO152" s="452"/>
      <c r="FP152" s="452"/>
      <c r="FQ152" s="452">
        <v>1</v>
      </c>
      <c r="FR152" s="452"/>
      <c r="FS152" s="452"/>
      <c r="FT152" s="452"/>
      <c r="FU152" s="452"/>
      <c r="FV152" s="452"/>
      <c r="FW152" s="452"/>
      <c r="FX152" s="452"/>
      <c r="FY152" s="452"/>
      <c r="FZ152" s="453"/>
      <c r="GA152"/>
      <c r="GB152"/>
      <c r="GC152"/>
      <c r="GD152"/>
    </row>
    <row r="153" spans="1:186" x14ac:dyDescent="0.15">
      <c r="AG153" s="455">
        <v>7.7190000000000003</v>
      </c>
      <c r="AH153" s="556">
        <v>1</v>
      </c>
      <c r="AJ153" s="455">
        <v>7.7190000000000003</v>
      </c>
      <c r="AK153" s="556">
        <v>1</v>
      </c>
      <c r="AL153"/>
      <c r="AM153"/>
      <c r="AN153"/>
      <c r="AO153" s="455">
        <v>7.7190000000000003</v>
      </c>
      <c r="AP153" s="455"/>
      <c r="AQ153"/>
      <c r="AR153"/>
      <c r="AS153">
        <v>1</v>
      </c>
      <c r="AT153"/>
      <c r="AU153"/>
      <c r="AV153"/>
      <c r="AW153"/>
      <c r="AX153"/>
      <c r="AY153"/>
      <c r="AZ153"/>
      <c r="BA153"/>
      <c r="BB153"/>
      <c r="BC153" s="558"/>
      <c r="BD153"/>
      <c r="BE153"/>
      <c r="BF153"/>
      <c r="BH153" s="455">
        <v>7.7190000000000003</v>
      </c>
      <c r="BI153" s="455">
        <v>1</v>
      </c>
      <c r="BJ153"/>
      <c r="BK153"/>
      <c r="BL153"/>
      <c r="BM153"/>
      <c r="BN153"/>
      <c r="BO153" s="558"/>
      <c r="BP153" s="455">
        <v>7.7190000000000003</v>
      </c>
      <c r="BQ153" s="455">
        <v>1</v>
      </c>
      <c r="BR153"/>
      <c r="BS153"/>
      <c r="BT153"/>
      <c r="BU153" s="558"/>
      <c r="BV153"/>
      <c r="BW153"/>
      <c r="BZ153" s="455">
        <v>7.7190000000000003</v>
      </c>
      <c r="CA153" s="556">
        <v>1</v>
      </c>
      <c r="CB153"/>
      <c r="CC153"/>
      <c r="CD153"/>
      <c r="CF153" s="455">
        <v>7.7190000000000003</v>
      </c>
      <c r="CG153" s="455"/>
      <c r="CH153"/>
      <c r="CI153">
        <v>1</v>
      </c>
      <c r="CJ153"/>
      <c r="CK153"/>
      <c r="CL153"/>
      <c r="CM153"/>
      <c r="CN153"/>
      <c r="CO153"/>
      <c r="CP153"/>
      <c r="CQ153"/>
      <c r="CR153"/>
      <c r="CS153"/>
      <c r="CT153"/>
      <c r="CU153"/>
      <c r="CV153" s="558"/>
      <c r="CW153"/>
      <c r="CX153"/>
      <c r="CY153"/>
      <c r="CZ153"/>
      <c r="DA153"/>
      <c r="DB153"/>
      <c r="DC153"/>
      <c r="DD153"/>
      <c r="DE153"/>
      <c r="DF153"/>
      <c r="DG153" s="455">
        <v>7.7190000000000003</v>
      </c>
      <c r="DH153" s="455"/>
      <c r="DI153"/>
      <c r="DJ153"/>
      <c r="DK153">
        <v>1</v>
      </c>
      <c r="DL153"/>
      <c r="DM153"/>
      <c r="DN153"/>
      <c r="DO153"/>
      <c r="DP153"/>
      <c r="DQ153"/>
      <c r="DR153"/>
      <c r="DS153"/>
      <c r="DT153"/>
      <c r="DU153" s="558"/>
      <c r="DV153"/>
      <c r="DW153"/>
      <c r="DX153"/>
      <c r="DZ153" s="455">
        <v>7.7190000000000003</v>
      </c>
      <c r="EA153" s="455">
        <v>1</v>
      </c>
      <c r="EB153"/>
      <c r="EC153"/>
      <c r="ED153"/>
      <c r="EE153"/>
      <c r="EF153"/>
      <c r="EG153" s="558"/>
      <c r="EH153"/>
      <c r="EJ153" s="455">
        <v>7.7190000000000003</v>
      </c>
      <c r="EK153" s="455"/>
      <c r="EL153"/>
      <c r="EM153"/>
      <c r="EN153"/>
      <c r="EO153"/>
      <c r="EP153"/>
      <c r="EQ153"/>
      <c r="ER153"/>
      <c r="ES153"/>
      <c r="ET153"/>
      <c r="EU153"/>
      <c r="EV153"/>
      <c r="EW153"/>
      <c r="EX153"/>
      <c r="EY153"/>
      <c r="EZ153"/>
      <c r="FA153"/>
      <c r="FB153"/>
      <c r="FC153"/>
      <c r="FD153">
        <v>1</v>
      </c>
      <c r="FE153"/>
      <c r="FF153"/>
      <c r="FG153"/>
      <c r="FH153" s="558"/>
      <c r="FI153"/>
      <c r="FK153" s="449">
        <v>19.574000000000002</v>
      </c>
      <c r="FL153" s="449" t="s">
        <v>411</v>
      </c>
      <c r="FM153" s="449"/>
      <c r="FN153" s="452"/>
      <c r="FO153" s="452"/>
      <c r="FP153" s="452"/>
      <c r="FQ153" s="452"/>
      <c r="FR153" s="452"/>
      <c r="FS153" s="452"/>
      <c r="FT153" s="452">
        <v>1</v>
      </c>
      <c r="FU153" s="452"/>
      <c r="FV153" s="452"/>
      <c r="FW153" s="452"/>
      <c r="FX153" s="452"/>
      <c r="FY153" s="452"/>
      <c r="FZ153" s="453"/>
      <c r="GA153"/>
      <c r="GB153"/>
      <c r="GC153"/>
      <c r="GD153"/>
    </row>
    <row r="154" spans="1:186" x14ac:dyDescent="0.15">
      <c r="AG154" s="455">
        <v>7.6820000000000004</v>
      </c>
      <c r="AH154" s="556">
        <v>1</v>
      </c>
      <c r="AJ154" s="455">
        <v>7.6820000000000004</v>
      </c>
      <c r="AK154" s="556">
        <v>1</v>
      </c>
      <c r="AL154"/>
      <c r="AM154"/>
      <c r="AN154"/>
      <c r="AO154" s="455">
        <v>7.6820000000000004</v>
      </c>
      <c r="AP154" s="455"/>
      <c r="AQ154"/>
      <c r="AR154">
        <v>1</v>
      </c>
      <c r="AS154"/>
      <c r="AT154"/>
      <c r="AU154"/>
      <c r="AV154"/>
      <c r="AW154"/>
      <c r="AX154"/>
      <c r="AY154"/>
      <c r="AZ154"/>
      <c r="BA154"/>
      <c r="BB154"/>
      <c r="BC154" s="558"/>
      <c r="BD154"/>
      <c r="BE154"/>
      <c r="BF154"/>
      <c r="BH154" s="455">
        <v>7.6820000000000004</v>
      </c>
      <c r="BI154" s="455"/>
      <c r="BJ154">
        <v>1</v>
      </c>
      <c r="BK154"/>
      <c r="BL154"/>
      <c r="BM154"/>
      <c r="BN154"/>
      <c r="BO154" s="558"/>
      <c r="BP154" s="455">
        <v>7.6820000000000004</v>
      </c>
      <c r="BQ154" s="455"/>
      <c r="BR154"/>
      <c r="BS154"/>
      <c r="BT154">
        <v>1</v>
      </c>
      <c r="BU154" s="558"/>
      <c r="BV154"/>
      <c r="BW154"/>
      <c r="BZ154" s="455">
        <v>7.6820000000000004</v>
      </c>
      <c r="CA154" s="556">
        <v>1</v>
      </c>
      <c r="CB154"/>
      <c r="CC154"/>
      <c r="CD154"/>
      <c r="CF154" s="455">
        <v>7.6820000000000004</v>
      </c>
      <c r="CG154" s="455"/>
      <c r="CH154">
        <v>1</v>
      </c>
      <c r="CI154"/>
      <c r="CJ154"/>
      <c r="CK154"/>
      <c r="CL154"/>
      <c r="CM154"/>
      <c r="CN154"/>
      <c r="CO154"/>
      <c r="CP154"/>
      <c r="CQ154"/>
      <c r="CR154"/>
      <c r="CS154"/>
      <c r="CT154"/>
      <c r="CU154"/>
      <c r="CV154" s="558"/>
      <c r="CW154"/>
      <c r="CX154"/>
      <c r="CY154"/>
      <c r="CZ154"/>
      <c r="DA154"/>
      <c r="DB154"/>
      <c r="DC154"/>
      <c r="DD154"/>
      <c r="DE154"/>
      <c r="DF154"/>
      <c r="DG154" s="455">
        <v>7.6820000000000004</v>
      </c>
      <c r="DH154" s="455">
        <v>1</v>
      </c>
      <c r="DI154"/>
      <c r="DJ154"/>
      <c r="DK154"/>
      <c r="DL154"/>
      <c r="DM154"/>
      <c r="DN154"/>
      <c r="DO154"/>
      <c r="DP154"/>
      <c r="DQ154"/>
      <c r="DR154"/>
      <c r="DS154"/>
      <c r="DT154"/>
      <c r="DU154" s="558"/>
      <c r="DV154"/>
      <c r="DW154"/>
      <c r="DX154"/>
      <c r="DZ154" s="455">
        <v>7.6820000000000004</v>
      </c>
      <c r="EA154" s="455"/>
      <c r="EB154"/>
      <c r="EC154"/>
      <c r="ED154"/>
      <c r="EE154"/>
      <c r="EF154">
        <v>1</v>
      </c>
      <c r="EG154" s="558"/>
      <c r="EH154"/>
      <c r="EJ154" s="455">
        <v>7.6820000000000004</v>
      </c>
      <c r="EK154" s="455"/>
      <c r="EL154"/>
      <c r="EM154"/>
      <c r="EN154"/>
      <c r="EO154"/>
      <c r="EP154"/>
      <c r="EQ154"/>
      <c r="ER154"/>
      <c r="ES154"/>
      <c r="ET154"/>
      <c r="EU154"/>
      <c r="EV154"/>
      <c r="EW154"/>
      <c r="EX154"/>
      <c r="EY154"/>
      <c r="EZ154"/>
      <c r="FA154"/>
      <c r="FB154"/>
      <c r="FC154">
        <v>1</v>
      </c>
      <c r="FD154"/>
      <c r="FE154"/>
      <c r="FF154"/>
      <c r="FG154"/>
      <c r="FH154" s="558"/>
      <c r="FI154"/>
      <c r="FK154" s="449" t="s">
        <v>6822</v>
      </c>
      <c r="FL154" s="457"/>
      <c r="FM154" s="449"/>
      <c r="FN154" s="452"/>
      <c r="FO154" s="452"/>
      <c r="FP154" s="452"/>
      <c r="FQ154" s="452"/>
      <c r="FR154" s="452"/>
      <c r="FS154" s="452"/>
      <c r="FT154" s="452">
        <v>1</v>
      </c>
      <c r="FU154" s="452"/>
      <c r="FV154" s="452"/>
      <c r="FW154" s="452"/>
      <c r="FX154" s="452"/>
      <c r="FY154" s="452"/>
      <c r="FZ154" s="453"/>
      <c r="GA154"/>
      <c r="GB154"/>
      <c r="GC154"/>
      <c r="GD154"/>
    </row>
    <row r="155" spans="1:186" x14ac:dyDescent="0.15">
      <c r="AG155" s="455">
        <v>8.702</v>
      </c>
      <c r="AH155" s="556">
        <v>1</v>
      </c>
      <c r="AJ155" s="455">
        <v>8.702</v>
      </c>
      <c r="AK155" s="556">
        <v>1</v>
      </c>
      <c r="AL155"/>
      <c r="AM155"/>
      <c r="AN155"/>
      <c r="AO155" s="455">
        <v>8.702</v>
      </c>
      <c r="AP155" s="455"/>
      <c r="AQ155"/>
      <c r="AR155"/>
      <c r="AS155"/>
      <c r="AT155"/>
      <c r="AU155"/>
      <c r="AV155"/>
      <c r="AW155"/>
      <c r="AX155">
        <v>1</v>
      </c>
      <c r="AY155"/>
      <c r="AZ155"/>
      <c r="BA155"/>
      <c r="BB155"/>
      <c r="BC155" s="558"/>
      <c r="BD155"/>
      <c r="BE155"/>
      <c r="BF155"/>
      <c r="BH155" s="455">
        <v>8.702</v>
      </c>
      <c r="BI155" s="455"/>
      <c r="BJ155">
        <v>1</v>
      </c>
      <c r="BK155"/>
      <c r="BL155"/>
      <c r="BM155"/>
      <c r="BN155"/>
      <c r="BO155" s="558"/>
      <c r="BP155" s="455">
        <v>8.702</v>
      </c>
      <c r="BQ155" s="455"/>
      <c r="BR155"/>
      <c r="BS155">
        <v>1</v>
      </c>
      <c r="BT155"/>
      <c r="BU155" s="558"/>
      <c r="BV155"/>
      <c r="BW155"/>
      <c r="BZ155" s="455">
        <v>8.702</v>
      </c>
      <c r="CA155" s="556">
        <v>1</v>
      </c>
      <c r="CB155"/>
      <c r="CC155"/>
      <c r="CD155"/>
      <c r="CF155" s="455">
        <v>8.702</v>
      </c>
      <c r="CG155" s="455">
        <v>1</v>
      </c>
      <c r="CH155"/>
      <c r="CI155"/>
      <c r="CJ155"/>
      <c r="CK155"/>
      <c r="CL155"/>
      <c r="CM155"/>
      <c r="CN155"/>
      <c r="CO155"/>
      <c r="CP155"/>
      <c r="CQ155"/>
      <c r="CR155"/>
      <c r="CS155"/>
      <c r="CT155"/>
      <c r="CU155"/>
      <c r="CV155" s="558"/>
      <c r="CW155"/>
      <c r="CX155"/>
      <c r="CY155"/>
      <c r="CZ155"/>
      <c r="DA155"/>
      <c r="DB155"/>
      <c r="DC155"/>
      <c r="DD155"/>
      <c r="DE155"/>
      <c r="DF155"/>
      <c r="DG155" s="455">
        <v>8.702</v>
      </c>
      <c r="DH155" s="455">
        <v>1</v>
      </c>
      <c r="DI155"/>
      <c r="DJ155"/>
      <c r="DK155"/>
      <c r="DL155"/>
      <c r="DM155"/>
      <c r="DN155"/>
      <c r="DO155"/>
      <c r="DP155"/>
      <c r="DQ155"/>
      <c r="DR155"/>
      <c r="DS155"/>
      <c r="DT155"/>
      <c r="DU155" s="558"/>
      <c r="DV155"/>
      <c r="DW155"/>
      <c r="DX155"/>
      <c r="DZ155" s="455">
        <v>8.702</v>
      </c>
      <c r="EA155" s="455">
        <v>1</v>
      </c>
      <c r="EB155"/>
      <c r="EC155"/>
      <c r="ED155"/>
      <c r="EE155"/>
      <c r="EF155"/>
      <c r="EG155" s="558"/>
      <c r="EH155"/>
      <c r="EJ155" s="455">
        <v>8.702</v>
      </c>
      <c r="EK155" s="455"/>
      <c r="EL155"/>
      <c r="EM155"/>
      <c r="EN155"/>
      <c r="EO155"/>
      <c r="EP155">
        <v>1</v>
      </c>
      <c r="EQ155"/>
      <c r="ER155"/>
      <c r="ES155"/>
      <c r="ET155"/>
      <c r="EU155"/>
      <c r="EV155"/>
      <c r="EW155"/>
      <c r="EX155"/>
      <c r="EY155"/>
      <c r="EZ155"/>
      <c r="FA155"/>
      <c r="FB155"/>
      <c r="FC155"/>
      <c r="FD155"/>
      <c r="FE155"/>
      <c r="FF155"/>
      <c r="FG155"/>
      <c r="FH155" s="558"/>
      <c r="FI155"/>
      <c r="FK155" s="449">
        <v>0.79600000000000004</v>
      </c>
      <c r="FL155" s="449" t="s">
        <v>411</v>
      </c>
      <c r="FM155" s="449"/>
      <c r="FN155" s="452"/>
      <c r="FO155" s="452"/>
      <c r="FP155" s="452"/>
      <c r="FQ155" s="452">
        <v>1</v>
      </c>
      <c r="FR155" s="452"/>
      <c r="FS155" s="452"/>
      <c r="FT155" s="452"/>
      <c r="FU155" s="452"/>
      <c r="FV155" s="452"/>
      <c r="FW155" s="452"/>
      <c r="FX155" s="452"/>
      <c r="FY155" s="452"/>
      <c r="FZ155" s="453"/>
      <c r="GA155"/>
      <c r="GB155"/>
      <c r="GC155"/>
      <c r="GD155"/>
    </row>
    <row r="156" spans="1:186" x14ac:dyDescent="0.15">
      <c r="AG156" s="455">
        <v>0.56799999999999995</v>
      </c>
      <c r="AH156" s="556">
        <v>1</v>
      </c>
      <c r="AJ156" s="455">
        <v>0.56799999999999995</v>
      </c>
      <c r="AK156" s="556">
        <v>1</v>
      </c>
      <c r="AL156"/>
      <c r="AM156"/>
      <c r="AN156"/>
      <c r="AO156" s="455">
        <v>0.56799999999999995</v>
      </c>
      <c r="AP156" s="455"/>
      <c r="AQ156"/>
      <c r="AR156">
        <v>1</v>
      </c>
      <c r="AS156"/>
      <c r="AT156"/>
      <c r="AU156"/>
      <c r="AV156"/>
      <c r="AW156"/>
      <c r="AX156"/>
      <c r="AY156"/>
      <c r="AZ156"/>
      <c r="BA156"/>
      <c r="BB156"/>
      <c r="BC156" s="558"/>
      <c r="BD156"/>
      <c r="BE156"/>
      <c r="BF156"/>
      <c r="BH156" s="455">
        <v>0.56799999999999995</v>
      </c>
      <c r="BI156" s="455"/>
      <c r="BJ156"/>
      <c r="BK156">
        <v>1</v>
      </c>
      <c r="BL156"/>
      <c r="BM156"/>
      <c r="BN156"/>
      <c r="BO156" s="558"/>
      <c r="BP156" s="455">
        <v>0.56799999999999995</v>
      </c>
      <c r="BQ156" s="455"/>
      <c r="BR156">
        <v>1</v>
      </c>
      <c r="BS156"/>
      <c r="BT156"/>
      <c r="BU156" s="558"/>
      <c r="BV156"/>
      <c r="BW156"/>
      <c r="BZ156" s="455">
        <v>0.56799999999999995</v>
      </c>
      <c r="CA156" s="556">
        <v>1</v>
      </c>
      <c r="CB156"/>
      <c r="CC156"/>
      <c r="CD156"/>
      <c r="CF156" s="455">
        <v>0.56799999999999995</v>
      </c>
      <c r="CG156" s="455"/>
      <c r="CH156"/>
      <c r="CI156"/>
      <c r="CJ156"/>
      <c r="CK156"/>
      <c r="CL156"/>
      <c r="CM156"/>
      <c r="CN156">
        <v>1</v>
      </c>
      <c r="CO156"/>
      <c r="CP156"/>
      <c r="CQ156"/>
      <c r="CR156"/>
      <c r="CS156"/>
      <c r="CT156"/>
      <c r="CU156"/>
      <c r="CV156" s="558"/>
      <c r="CW156"/>
      <c r="CX156"/>
      <c r="CY156"/>
      <c r="CZ156"/>
      <c r="DA156"/>
      <c r="DB156"/>
      <c r="DC156"/>
      <c r="DD156"/>
      <c r="DE156"/>
      <c r="DF156"/>
      <c r="DG156" s="455">
        <v>0.56799999999999995</v>
      </c>
      <c r="DH156" s="455"/>
      <c r="DI156"/>
      <c r="DJ156"/>
      <c r="DK156"/>
      <c r="DL156"/>
      <c r="DM156">
        <v>1</v>
      </c>
      <c r="DN156"/>
      <c r="DO156"/>
      <c r="DP156"/>
      <c r="DQ156"/>
      <c r="DR156"/>
      <c r="DS156"/>
      <c r="DT156"/>
      <c r="DU156" s="558"/>
      <c r="DV156"/>
      <c r="DW156"/>
      <c r="DX156"/>
      <c r="DZ156" s="455">
        <v>0.56799999999999995</v>
      </c>
      <c r="EA156" s="455"/>
      <c r="EB156"/>
      <c r="EC156"/>
      <c r="ED156"/>
      <c r="EE156"/>
      <c r="EF156"/>
      <c r="EG156" s="558">
        <v>1</v>
      </c>
      <c r="EH156"/>
      <c r="EJ156" s="455">
        <v>0.56799999999999995</v>
      </c>
      <c r="EK156" s="455"/>
      <c r="EL156"/>
      <c r="EM156"/>
      <c r="EN156"/>
      <c r="EO156"/>
      <c r="EP156"/>
      <c r="EQ156"/>
      <c r="ER156"/>
      <c r="ES156"/>
      <c r="ET156"/>
      <c r="EU156"/>
      <c r="EV156"/>
      <c r="EW156"/>
      <c r="EX156"/>
      <c r="EY156"/>
      <c r="EZ156"/>
      <c r="FA156">
        <v>1</v>
      </c>
      <c r="FB156"/>
      <c r="FC156"/>
      <c r="FD156"/>
      <c r="FE156"/>
      <c r="FF156"/>
      <c r="FG156"/>
      <c r="FH156" s="558"/>
      <c r="FI156"/>
      <c r="FK156" s="449" t="s">
        <v>6823</v>
      </c>
      <c r="FL156" s="457"/>
      <c r="FM156" s="449"/>
      <c r="FN156" s="452"/>
      <c r="FO156" s="452"/>
      <c r="FP156" s="452"/>
      <c r="FQ156" s="452">
        <v>1</v>
      </c>
      <c r="FR156" s="452"/>
      <c r="FS156" s="452"/>
      <c r="FT156" s="452"/>
      <c r="FU156" s="452"/>
      <c r="FV156" s="452"/>
      <c r="FW156" s="452"/>
      <c r="FX156" s="452"/>
      <c r="FY156" s="452"/>
      <c r="FZ156" s="453"/>
      <c r="GA156"/>
      <c r="GB156"/>
      <c r="GC156"/>
      <c r="GD156"/>
    </row>
    <row r="157" spans="1:186" x14ac:dyDescent="0.15">
      <c r="AG157" s="455">
        <v>18.545000000000002</v>
      </c>
      <c r="AH157" s="556">
        <v>1</v>
      </c>
      <c r="AJ157" s="455">
        <v>18.545000000000002</v>
      </c>
      <c r="AK157" s="556">
        <v>1</v>
      </c>
      <c r="AL157"/>
      <c r="AM157"/>
      <c r="AN157"/>
      <c r="AO157" s="455">
        <v>18.545000000000002</v>
      </c>
      <c r="AP157" s="455"/>
      <c r="AQ157">
        <v>1</v>
      </c>
      <c r="AR157"/>
      <c r="AS157"/>
      <c r="AT157"/>
      <c r="AU157"/>
      <c r="AV157"/>
      <c r="AW157"/>
      <c r="AX157"/>
      <c r="AY157"/>
      <c r="AZ157"/>
      <c r="BA157"/>
      <c r="BB157"/>
      <c r="BC157" s="558"/>
      <c r="BD157"/>
      <c r="BE157"/>
      <c r="BF157"/>
      <c r="BH157" s="455">
        <v>18.545000000000002</v>
      </c>
      <c r="BI157" s="455">
        <v>1</v>
      </c>
      <c r="BJ157"/>
      <c r="BK157"/>
      <c r="BL157"/>
      <c r="BM157"/>
      <c r="BN157"/>
      <c r="BO157" s="558"/>
      <c r="BP157" s="455">
        <v>18.545000000000002</v>
      </c>
      <c r="BQ157" s="455"/>
      <c r="BR157">
        <v>1</v>
      </c>
      <c r="BS157"/>
      <c r="BT157"/>
      <c r="BU157" s="558"/>
      <c r="BV157"/>
      <c r="BW157"/>
      <c r="BZ157" s="455">
        <v>18.545000000000002</v>
      </c>
      <c r="CA157" s="556">
        <v>1</v>
      </c>
      <c r="CB157"/>
      <c r="CC157"/>
      <c r="CD157"/>
      <c r="CF157" s="455">
        <v>18.545000000000002</v>
      </c>
      <c r="CG157" s="455"/>
      <c r="CH157"/>
      <c r="CI157"/>
      <c r="CJ157"/>
      <c r="CK157"/>
      <c r="CL157"/>
      <c r="CM157"/>
      <c r="CN157"/>
      <c r="CO157"/>
      <c r="CP157"/>
      <c r="CQ157"/>
      <c r="CR157"/>
      <c r="CS157">
        <v>1</v>
      </c>
      <c r="CT157"/>
      <c r="CU157"/>
      <c r="CV157" s="558"/>
      <c r="CW157"/>
      <c r="CX157"/>
      <c r="CY157"/>
      <c r="CZ157"/>
      <c r="DA157"/>
      <c r="DB157"/>
      <c r="DC157"/>
      <c r="DD157"/>
      <c r="DE157"/>
      <c r="DF157"/>
      <c r="DG157" s="455">
        <v>18.545000000000002</v>
      </c>
      <c r="DH157" s="455"/>
      <c r="DI157"/>
      <c r="DJ157"/>
      <c r="DK157"/>
      <c r="DL157"/>
      <c r="DM157"/>
      <c r="DN157"/>
      <c r="DO157"/>
      <c r="DP157"/>
      <c r="DQ157"/>
      <c r="DR157"/>
      <c r="DS157"/>
      <c r="DT157">
        <v>1</v>
      </c>
      <c r="DU157" s="558"/>
      <c r="DV157"/>
      <c r="DW157"/>
      <c r="DX157"/>
      <c r="DZ157" s="455">
        <v>18.545000000000002</v>
      </c>
      <c r="EA157" s="455"/>
      <c r="EB157">
        <v>1</v>
      </c>
      <c r="EC157"/>
      <c r="ED157"/>
      <c r="EE157"/>
      <c r="EF157"/>
      <c r="EG157" s="558"/>
      <c r="EH157"/>
      <c r="EJ157" s="455">
        <v>18.545000000000002</v>
      </c>
      <c r="EK157" s="455"/>
      <c r="EL157"/>
      <c r="EM157"/>
      <c r="EN157"/>
      <c r="EO157"/>
      <c r="EP157"/>
      <c r="EQ157"/>
      <c r="ER157"/>
      <c r="ES157"/>
      <c r="ET157"/>
      <c r="EU157">
        <v>1</v>
      </c>
      <c r="EV157"/>
      <c r="EW157"/>
      <c r="EX157"/>
      <c r="EY157"/>
      <c r="EZ157"/>
      <c r="FA157"/>
      <c r="FB157"/>
      <c r="FC157"/>
      <c r="FD157"/>
      <c r="FE157"/>
      <c r="FF157"/>
      <c r="FG157"/>
      <c r="FH157" s="558"/>
      <c r="FI157"/>
      <c r="FK157" s="449">
        <v>0.93300000000000005</v>
      </c>
      <c r="FL157" s="449" t="s">
        <v>405</v>
      </c>
      <c r="FM157" s="449">
        <v>1</v>
      </c>
      <c r="FN157" s="452"/>
      <c r="FO157" s="452"/>
      <c r="FP157" s="452"/>
      <c r="FQ157" s="452"/>
      <c r="FR157" s="452"/>
      <c r="FS157" s="452"/>
      <c r="FT157" s="452"/>
      <c r="FU157" s="452"/>
      <c r="FV157" s="452"/>
      <c r="FW157" s="452"/>
      <c r="FX157" s="452"/>
      <c r="FY157" s="452"/>
      <c r="FZ157" s="453"/>
      <c r="GA157"/>
      <c r="GB157"/>
      <c r="GC157"/>
      <c r="GD157"/>
    </row>
    <row r="158" spans="1:186" x14ac:dyDescent="0.15">
      <c r="AG158" s="455">
        <v>0.35199999999999998</v>
      </c>
      <c r="AH158" s="556">
        <v>1</v>
      </c>
      <c r="AJ158" s="455">
        <v>0.35199999999999998</v>
      </c>
      <c r="AK158" s="556">
        <v>1</v>
      </c>
      <c r="AL158"/>
      <c r="AM158"/>
      <c r="AN158"/>
      <c r="AO158" s="455">
        <v>0.35199999999999998</v>
      </c>
      <c r="AP158" s="455"/>
      <c r="AQ158"/>
      <c r="AR158"/>
      <c r="AS158">
        <v>1</v>
      </c>
      <c r="AT158"/>
      <c r="AU158"/>
      <c r="AV158"/>
      <c r="AW158"/>
      <c r="AX158"/>
      <c r="AY158"/>
      <c r="AZ158"/>
      <c r="BA158"/>
      <c r="BB158"/>
      <c r="BC158" s="558"/>
      <c r="BD158"/>
      <c r="BE158"/>
      <c r="BF158"/>
      <c r="BH158" s="455">
        <v>0.35199999999999998</v>
      </c>
      <c r="BI158" s="455">
        <v>1</v>
      </c>
      <c r="BJ158"/>
      <c r="BK158"/>
      <c r="BL158"/>
      <c r="BM158"/>
      <c r="BN158"/>
      <c r="BO158" s="558"/>
      <c r="BP158" s="455">
        <v>0.35199999999999998</v>
      </c>
      <c r="BQ158" s="455"/>
      <c r="BR158"/>
      <c r="BS158">
        <v>1</v>
      </c>
      <c r="BT158"/>
      <c r="BU158" s="558"/>
      <c r="BV158"/>
      <c r="BW158"/>
      <c r="BZ158" s="455">
        <v>0.35199999999999998</v>
      </c>
      <c r="CA158" s="556">
        <v>1</v>
      </c>
      <c r="CB158"/>
      <c r="CC158"/>
      <c r="CD158"/>
      <c r="CF158" s="455">
        <v>0.35199999999999998</v>
      </c>
      <c r="CG158" s="455"/>
      <c r="CH158"/>
      <c r="CI158"/>
      <c r="CJ158"/>
      <c r="CK158"/>
      <c r="CL158">
        <v>1</v>
      </c>
      <c r="CM158"/>
      <c r="CN158"/>
      <c r="CO158"/>
      <c r="CP158"/>
      <c r="CQ158"/>
      <c r="CR158"/>
      <c r="CS158"/>
      <c r="CT158"/>
      <c r="CU158"/>
      <c r="CV158" s="558"/>
      <c r="CW158"/>
      <c r="CX158"/>
      <c r="CY158"/>
      <c r="CZ158"/>
      <c r="DA158"/>
      <c r="DB158"/>
      <c r="DC158"/>
      <c r="DD158"/>
      <c r="DE158"/>
      <c r="DF158"/>
      <c r="DG158" s="455">
        <v>0.35199999999999998</v>
      </c>
      <c r="DH158" s="455"/>
      <c r="DI158"/>
      <c r="DJ158"/>
      <c r="DK158"/>
      <c r="DL158">
        <v>1</v>
      </c>
      <c r="DM158"/>
      <c r="DN158"/>
      <c r="DO158"/>
      <c r="DP158"/>
      <c r="DQ158"/>
      <c r="DR158"/>
      <c r="DS158"/>
      <c r="DT158"/>
      <c r="DU158" s="558"/>
      <c r="DV158"/>
      <c r="DW158"/>
      <c r="DX158"/>
      <c r="DZ158" s="455">
        <v>0.35199999999999998</v>
      </c>
      <c r="EA158" s="455"/>
      <c r="EB158"/>
      <c r="EC158"/>
      <c r="ED158"/>
      <c r="EE158">
        <v>1</v>
      </c>
      <c r="EF158"/>
      <c r="EG158" s="558"/>
      <c r="EH158"/>
      <c r="EJ158" s="455">
        <v>0.35199999999999998</v>
      </c>
      <c r="EK158" s="455"/>
      <c r="EL158"/>
      <c r="EM158"/>
      <c r="EN158"/>
      <c r="EO158"/>
      <c r="EP158"/>
      <c r="EQ158"/>
      <c r="ER158"/>
      <c r="ES158"/>
      <c r="ET158"/>
      <c r="EU158"/>
      <c r="EV158"/>
      <c r="EW158"/>
      <c r="EX158"/>
      <c r="EY158"/>
      <c r="EZ158"/>
      <c r="FA158"/>
      <c r="FB158"/>
      <c r="FC158"/>
      <c r="FD158">
        <v>1</v>
      </c>
      <c r="FE158"/>
      <c r="FF158"/>
      <c r="FG158"/>
      <c r="FH158" s="558"/>
      <c r="FI158"/>
      <c r="FK158" s="449" t="s">
        <v>6824</v>
      </c>
      <c r="FL158" s="457"/>
      <c r="FM158" s="449">
        <v>1</v>
      </c>
      <c r="FN158" s="452"/>
      <c r="FO158" s="452"/>
      <c r="FP158" s="452"/>
      <c r="FQ158" s="452"/>
      <c r="FR158" s="452"/>
      <c r="FS158" s="452"/>
      <c r="FT158" s="452"/>
      <c r="FU158" s="452"/>
      <c r="FV158" s="452"/>
      <c r="FW158" s="452"/>
      <c r="FX158" s="452"/>
      <c r="FY158" s="452"/>
      <c r="FZ158" s="453"/>
      <c r="GA158"/>
      <c r="GB158"/>
      <c r="GC158"/>
      <c r="GD158"/>
    </row>
    <row r="159" spans="1:186" x14ac:dyDescent="0.15">
      <c r="AG159" s="455">
        <v>0.35499999999999998</v>
      </c>
      <c r="AH159" s="556">
        <v>1</v>
      </c>
      <c r="AJ159" s="455">
        <v>0.35499999999999998</v>
      </c>
      <c r="AK159" s="556">
        <v>1</v>
      </c>
      <c r="AL159"/>
      <c r="AM159"/>
      <c r="AN159"/>
      <c r="AO159" s="455">
        <v>0.35499999999999998</v>
      </c>
      <c r="AP159" s="455">
        <v>1</v>
      </c>
      <c r="AQ159"/>
      <c r="AR159"/>
      <c r="AS159"/>
      <c r="AT159"/>
      <c r="AU159"/>
      <c r="AV159"/>
      <c r="AW159"/>
      <c r="AX159"/>
      <c r="AY159"/>
      <c r="AZ159"/>
      <c r="BA159"/>
      <c r="BB159"/>
      <c r="BC159" s="558"/>
      <c r="BD159"/>
      <c r="BE159"/>
      <c r="BF159"/>
      <c r="BH159" s="455">
        <v>0.35499999999999998</v>
      </c>
      <c r="BI159" s="455">
        <v>1</v>
      </c>
      <c r="BJ159"/>
      <c r="BK159"/>
      <c r="BL159"/>
      <c r="BM159"/>
      <c r="BN159"/>
      <c r="BO159" s="558"/>
      <c r="BP159" s="455">
        <v>0.35499999999999998</v>
      </c>
      <c r="BQ159" s="455"/>
      <c r="BR159"/>
      <c r="BS159">
        <v>1</v>
      </c>
      <c r="BT159"/>
      <c r="BU159" s="558"/>
      <c r="BV159"/>
      <c r="BW159"/>
      <c r="BZ159" s="455">
        <v>0.35499999999999998</v>
      </c>
      <c r="CA159" s="556">
        <v>1</v>
      </c>
      <c r="CB159"/>
      <c r="CC159"/>
      <c r="CD159"/>
      <c r="CF159" s="455">
        <v>0.35499999999999998</v>
      </c>
      <c r="CG159" s="455"/>
      <c r="CH159"/>
      <c r="CI159">
        <v>1</v>
      </c>
      <c r="CJ159"/>
      <c r="CK159"/>
      <c r="CL159"/>
      <c r="CM159"/>
      <c r="CN159"/>
      <c r="CO159"/>
      <c r="CP159"/>
      <c r="CQ159"/>
      <c r="CR159"/>
      <c r="CS159"/>
      <c r="CT159"/>
      <c r="CU159"/>
      <c r="CV159" s="558"/>
      <c r="CW159"/>
      <c r="CX159"/>
      <c r="CY159"/>
      <c r="CZ159"/>
      <c r="DA159"/>
      <c r="DB159"/>
      <c r="DC159"/>
      <c r="DD159"/>
      <c r="DE159"/>
      <c r="DF159"/>
      <c r="DG159" s="455">
        <v>0.35499999999999998</v>
      </c>
      <c r="DH159" s="455"/>
      <c r="DI159">
        <v>1</v>
      </c>
      <c r="DJ159"/>
      <c r="DK159"/>
      <c r="DL159"/>
      <c r="DM159"/>
      <c r="DN159"/>
      <c r="DO159"/>
      <c r="DP159"/>
      <c r="DQ159"/>
      <c r="DR159"/>
      <c r="DS159"/>
      <c r="DT159"/>
      <c r="DU159" s="558"/>
      <c r="DV159"/>
      <c r="DW159"/>
      <c r="DX159"/>
      <c r="DZ159" s="455">
        <v>0.35499999999999998</v>
      </c>
      <c r="EA159" s="455"/>
      <c r="EB159"/>
      <c r="EC159"/>
      <c r="ED159"/>
      <c r="EE159"/>
      <c r="EF159"/>
      <c r="EG159" s="558">
        <v>1</v>
      </c>
      <c r="EH159"/>
      <c r="EJ159" s="455">
        <v>0.35499999999999998</v>
      </c>
      <c r="EK159" s="455"/>
      <c r="EL159"/>
      <c r="EM159"/>
      <c r="EN159"/>
      <c r="EO159"/>
      <c r="EP159"/>
      <c r="EQ159"/>
      <c r="ER159"/>
      <c r="ES159"/>
      <c r="ET159"/>
      <c r="EU159"/>
      <c r="EV159"/>
      <c r="EW159"/>
      <c r="EX159"/>
      <c r="EY159"/>
      <c r="EZ159"/>
      <c r="FA159"/>
      <c r="FB159"/>
      <c r="FC159"/>
      <c r="FD159"/>
      <c r="FE159"/>
      <c r="FF159"/>
      <c r="FG159">
        <v>1</v>
      </c>
      <c r="FH159" s="558"/>
      <c r="FI159"/>
      <c r="FK159" s="449">
        <v>25.722000000000001</v>
      </c>
      <c r="FL159" s="449" t="s">
        <v>411</v>
      </c>
      <c r="FM159" s="449">
        <v>1</v>
      </c>
      <c r="FN159" s="452"/>
      <c r="FO159" s="452"/>
      <c r="FP159" s="452"/>
      <c r="FQ159" s="452"/>
      <c r="FR159" s="452"/>
      <c r="FS159" s="452"/>
      <c r="FT159" s="452"/>
      <c r="FU159" s="452"/>
      <c r="FV159" s="452"/>
      <c r="FW159" s="452"/>
      <c r="FX159" s="452"/>
      <c r="FY159" s="452"/>
      <c r="FZ159" s="453"/>
      <c r="GA159"/>
      <c r="GB159"/>
      <c r="GC159"/>
      <c r="GD159"/>
    </row>
    <row r="160" spans="1:186" x14ac:dyDescent="0.15">
      <c r="AG160" s="455">
        <v>0.15</v>
      </c>
      <c r="AH160" s="556">
        <v>1</v>
      </c>
      <c r="AJ160" s="455">
        <v>0.15</v>
      </c>
      <c r="AK160" s="556">
        <v>1</v>
      </c>
      <c r="AL160"/>
      <c r="AM160"/>
      <c r="AN160"/>
      <c r="AO160" s="455">
        <v>0.15</v>
      </c>
      <c r="AP160" s="455"/>
      <c r="AQ160"/>
      <c r="AR160"/>
      <c r="AS160">
        <v>1</v>
      </c>
      <c r="AT160"/>
      <c r="AU160"/>
      <c r="AV160"/>
      <c r="AW160"/>
      <c r="AX160"/>
      <c r="AY160"/>
      <c r="AZ160"/>
      <c r="BA160"/>
      <c r="BB160"/>
      <c r="BC160" s="558"/>
      <c r="BD160"/>
      <c r="BE160"/>
      <c r="BF160"/>
      <c r="BH160" s="455">
        <v>0.15</v>
      </c>
      <c r="BI160" s="455">
        <v>1</v>
      </c>
      <c r="BJ160"/>
      <c r="BK160"/>
      <c r="BL160"/>
      <c r="BM160"/>
      <c r="BN160"/>
      <c r="BO160" s="558"/>
      <c r="BP160" s="455">
        <v>0.15</v>
      </c>
      <c r="BQ160" s="455"/>
      <c r="BR160"/>
      <c r="BS160">
        <v>1</v>
      </c>
      <c r="BT160"/>
      <c r="BU160" s="558"/>
      <c r="BV160"/>
      <c r="BW160"/>
      <c r="BZ160" s="455">
        <v>0.15</v>
      </c>
      <c r="CA160" s="556">
        <v>1</v>
      </c>
      <c r="CB160"/>
      <c r="CC160"/>
      <c r="CD160"/>
      <c r="CF160" s="455">
        <v>0.15</v>
      </c>
      <c r="CG160" s="455"/>
      <c r="CH160"/>
      <c r="CI160"/>
      <c r="CJ160"/>
      <c r="CK160"/>
      <c r="CL160"/>
      <c r="CM160"/>
      <c r="CN160"/>
      <c r="CO160"/>
      <c r="CP160"/>
      <c r="CQ160"/>
      <c r="CR160">
        <v>1</v>
      </c>
      <c r="CS160"/>
      <c r="CT160"/>
      <c r="CU160"/>
      <c r="CV160" s="558"/>
      <c r="CW160"/>
      <c r="CX160"/>
      <c r="CY160"/>
      <c r="CZ160"/>
      <c r="DA160"/>
      <c r="DB160"/>
      <c r="DC160"/>
      <c r="DD160"/>
      <c r="DE160"/>
      <c r="DF160"/>
      <c r="DG160" s="455">
        <v>0.15</v>
      </c>
      <c r="DH160" s="455"/>
      <c r="DI160"/>
      <c r="DJ160"/>
      <c r="DK160"/>
      <c r="DL160"/>
      <c r="DM160"/>
      <c r="DN160"/>
      <c r="DO160">
        <v>1</v>
      </c>
      <c r="DP160"/>
      <c r="DQ160"/>
      <c r="DR160"/>
      <c r="DS160"/>
      <c r="DT160"/>
      <c r="DU160" s="558"/>
      <c r="DV160"/>
      <c r="DW160"/>
      <c r="DX160"/>
      <c r="DZ160" s="455">
        <v>0.15</v>
      </c>
      <c r="EA160" s="455">
        <v>1</v>
      </c>
      <c r="EB160"/>
      <c r="EC160"/>
      <c r="ED160"/>
      <c r="EE160"/>
      <c r="EF160"/>
      <c r="EG160" s="558"/>
      <c r="EH160"/>
      <c r="EJ160" s="455">
        <v>0.15</v>
      </c>
      <c r="EK160" s="455"/>
      <c r="EL160"/>
      <c r="EM160"/>
      <c r="EN160"/>
      <c r="EO160"/>
      <c r="EP160"/>
      <c r="EQ160">
        <v>1</v>
      </c>
      <c r="ER160"/>
      <c r="ES160"/>
      <c r="ET160"/>
      <c r="EU160"/>
      <c r="EV160"/>
      <c r="EW160"/>
      <c r="EX160"/>
      <c r="EY160"/>
      <c r="EZ160"/>
      <c r="FA160"/>
      <c r="FB160"/>
      <c r="FC160"/>
      <c r="FD160"/>
      <c r="FE160"/>
      <c r="FF160"/>
      <c r="FG160"/>
      <c r="FH160" s="558"/>
      <c r="FI160"/>
      <c r="FK160" s="449" t="s">
        <v>6825</v>
      </c>
      <c r="FL160" s="457"/>
      <c r="FM160" s="449">
        <v>1</v>
      </c>
      <c r="FN160" s="452"/>
      <c r="FO160" s="452"/>
      <c r="FP160" s="452"/>
      <c r="FQ160" s="452"/>
      <c r="FR160" s="452"/>
      <c r="FS160" s="452"/>
      <c r="FT160" s="452"/>
      <c r="FU160" s="452"/>
      <c r="FV160" s="452"/>
      <c r="FW160" s="452"/>
      <c r="FX160" s="452"/>
      <c r="FY160" s="452"/>
      <c r="FZ160" s="453"/>
      <c r="GA160"/>
      <c r="GB160"/>
      <c r="GC160"/>
      <c r="GD160"/>
    </row>
    <row r="161" spans="4:186" x14ac:dyDescent="0.15">
      <c r="AG161" s="455">
        <v>2.1720000000000002</v>
      </c>
      <c r="AH161" s="556">
        <v>1</v>
      </c>
      <c r="AJ161" s="455">
        <v>2.1720000000000002</v>
      </c>
      <c r="AK161" s="556">
        <v>1</v>
      </c>
      <c r="AL161"/>
      <c r="AM161"/>
      <c r="AN161"/>
      <c r="AO161" s="455">
        <v>2.1720000000000002</v>
      </c>
      <c r="AP161" s="455"/>
      <c r="AQ161"/>
      <c r="AR161">
        <v>1</v>
      </c>
      <c r="AS161"/>
      <c r="AT161"/>
      <c r="AU161"/>
      <c r="AV161"/>
      <c r="AW161"/>
      <c r="AX161"/>
      <c r="AY161"/>
      <c r="AZ161"/>
      <c r="BA161"/>
      <c r="BB161"/>
      <c r="BC161" s="558"/>
      <c r="BD161"/>
      <c r="BE161"/>
      <c r="BF161"/>
      <c r="BH161" s="455">
        <v>2.1720000000000002</v>
      </c>
      <c r="BI161" s="455">
        <v>1</v>
      </c>
      <c r="BJ161"/>
      <c r="BK161"/>
      <c r="BL161"/>
      <c r="BM161"/>
      <c r="BN161"/>
      <c r="BO161" s="558"/>
      <c r="BP161" s="455">
        <v>2.1720000000000002</v>
      </c>
      <c r="BQ161" s="455"/>
      <c r="BR161">
        <v>1</v>
      </c>
      <c r="BS161"/>
      <c r="BT161"/>
      <c r="BU161" s="558"/>
      <c r="BV161"/>
      <c r="BW161"/>
      <c r="BZ161" s="455">
        <v>2.1720000000000002</v>
      </c>
      <c r="CA161" s="556">
        <v>1</v>
      </c>
      <c r="CB161"/>
      <c r="CC161"/>
      <c r="CD161"/>
      <c r="CF161" s="455">
        <v>2.1720000000000002</v>
      </c>
      <c r="CG161" s="455"/>
      <c r="CH161"/>
      <c r="CI161"/>
      <c r="CJ161"/>
      <c r="CK161"/>
      <c r="CL161"/>
      <c r="CM161"/>
      <c r="CN161"/>
      <c r="CO161"/>
      <c r="CP161">
        <v>1</v>
      </c>
      <c r="CQ161"/>
      <c r="CR161"/>
      <c r="CS161"/>
      <c r="CT161"/>
      <c r="CU161"/>
      <c r="CV161" s="558"/>
      <c r="CW161"/>
      <c r="CX161"/>
      <c r="CY161"/>
      <c r="CZ161"/>
      <c r="DA161"/>
      <c r="DB161"/>
      <c r="DC161"/>
      <c r="DD161"/>
      <c r="DE161"/>
      <c r="DF161"/>
      <c r="DG161" s="455">
        <v>2.1720000000000002</v>
      </c>
      <c r="DH161" s="455">
        <v>1</v>
      </c>
      <c r="DI161"/>
      <c r="DJ161"/>
      <c r="DK161"/>
      <c r="DL161"/>
      <c r="DM161"/>
      <c r="DN161"/>
      <c r="DO161"/>
      <c r="DP161"/>
      <c r="DQ161"/>
      <c r="DR161"/>
      <c r="DS161"/>
      <c r="DT161"/>
      <c r="DU161" s="558"/>
      <c r="DV161"/>
      <c r="DW161"/>
      <c r="DX161"/>
      <c r="DZ161" s="455">
        <v>2.1720000000000002</v>
      </c>
      <c r="EA161" s="455"/>
      <c r="EB161">
        <v>1</v>
      </c>
      <c r="EC161"/>
      <c r="ED161"/>
      <c r="EE161"/>
      <c r="EF161"/>
      <c r="EG161" s="558"/>
      <c r="EH161"/>
      <c r="EJ161" s="455">
        <v>2.1720000000000002</v>
      </c>
      <c r="EK161" s="455"/>
      <c r="EL161"/>
      <c r="EM161"/>
      <c r="EN161"/>
      <c r="EO161"/>
      <c r="EP161"/>
      <c r="EQ161"/>
      <c r="ER161"/>
      <c r="ES161">
        <v>1</v>
      </c>
      <c r="ET161"/>
      <c r="EU161"/>
      <c r="EV161"/>
      <c r="EW161"/>
      <c r="EX161"/>
      <c r="EY161"/>
      <c r="EZ161"/>
      <c r="FA161"/>
      <c r="FB161"/>
      <c r="FC161"/>
      <c r="FD161"/>
      <c r="FE161"/>
      <c r="FF161"/>
      <c r="FG161"/>
      <c r="FH161" s="558"/>
      <c r="FI161"/>
      <c r="FK161" s="449">
        <v>31.138000000000002</v>
      </c>
      <c r="FL161" s="449" t="s">
        <v>411</v>
      </c>
      <c r="FM161" s="449"/>
      <c r="FN161" s="452"/>
      <c r="FO161" s="452"/>
      <c r="FP161" s="452"/>
      <c r="FQ161" s="452"/>
      <c r="FR161" s="452">
        <v>1</v>
      </c>
      <c r="FS161" s="452"/>
      <c r="FT161" s="452"/>
      <c r="FU161" s="452"/>
      <c r="FV161" s="452"/>
      <c r="FW161" s="452"/>
      <c r="FX161" s="452"/>
      <c r="FY161" s="452"/>
      <c r="FZ161" s="453"/>
      <c r="GA161"/>
      <c r="GB161"/>
      <c r="GC161"/>
      <c r="GD161"/>
    </row>
    <row r="162" spans="4:186" x14ac:dyDescent="0.15">
      <c r="AG162" s="455">
        <v>5.3010000000000002</v>
      </c>
      <c r="AH162" s="556">
        <v>1</v>
      </c>
      <c r="AJ162" s="455">
        <v>5.3010000000000002</v>
      </c>
      <c r="AK162" s="556">
        <v>1</v>
      </c>
      <c r="AL162"/>
      <c r="AM162"/>
      <c r="AN162"/>
      <c r="AO162" s="455">
        <v>5.3010000000000002</v>
      </c>
      <c r="AP162" s="455">
        <v>1</v>
      </c>
      <c r="AQ162"/>
      <c r="AR162"/>
      <c r="AS162"/>
      <c r="AT162"/>
      <c r="AU162"/>
      <c r="AV162"/>
      <c r="AW162"/>
      <c r="AX162"/>
      <c r="AY162"/>
      <c r="AZ162"/>
      <c r="BA162"/>
      <c r="BB162"/>
      <c r="BC162" s="558"/>
      <c r="BD162"/>
      <c r="BE162"/>
      <c r="BF162"/>
      <c r="BH162" s="455">
        <v>5.3010000000000002</v>
      </c>
      <c r="BI162" s="455">
        <v>1</v>
      </c>
      <c r="BJ162"/>
      <c r="BK162"/>
      <c r="BL162"/>
      <c r="BM162"/>
      <c r="BN162"/>
      <c r="BO162" s="558"/>
      <c r="BP162" s="455">
        <v>5.3010000000000002</v>
      </c>
      <c r="BQ162" s="455"/>
      <c r="BR162">
        <v>1</v>
      </c>
      <c r="BS162"/>
      <c r="BT162"/>
      <c r="BU162" s="558"/>
      <c r="BV162"/>
      <c r="BW162"/>
      <c r="BZ162" s="455">
        <v>5.3010000000000002</v>
      </c>
      <c r="CA162" s="556">
        <v>1</v>
      </c>
      <c r="CB162"/>
      <c r="CC162"/>
      <c r="CD162"/>
      <c r="CF162" s="455">
        <v>5.3010000000000002</v>
      </c>
      <c r="CG162" s="455">
        <v>1</v>
      </c>
      <c r="CH162"/>
      <c r="CI162"/>
      <c r="CJ162"/>
      <c r="CK162"/>
      <c r="CL162"/>
      <c r="CM162"/>
      <c r="CN162"/>
      <c r="CO162"/>
      <c r="CP162"/>
      <c r="CQ162"/>
      <c r="CR162"/>
      <c r="CS162"/>
      <c r="CT162"/>
      <c r="CU162"/>
      <c r="CV162" s="558"/>
      <c r="CW162"/>
      <c r="CX162"/>
      <c r="CY162"/>
      <c r="CZ162"/>
      <c r="DA162"/>
      <c r="DB162"/>
      <c r="DC162"/>
      <c r="DD162"/>
      <c r="DE162"/>
      <c r="DF162"/>
      <c r="DG162" s="455">
        <v>5.3010000000000002</v>
      </c>
      <c r="DH162" s="455">
        <v>1</v>
      </c>
      <c r="DI162"/>
      <c r="DJ162"/>
      <c r="DK162"/>
      <c r="DL162"/>
      <c r="DM162"/>
      <c r="DN162"/>
      <c r="DO162"/>
      <c r="DP162"/>
      <c r="DQ162"/>
      <c r="DR162"/>
      <c r="DS162"/>
      <c r="DT162"/>
      <c r="DU162" s="558"/>
      <c r="DV162"/>
      <c r="DW162"/>
      <c r="DX162"/>
      <c r="DZ162" s="455">
        <v>5.3010000000000002</v>
      </c>
      <c r="EA162" s="455"/>
      <c r="EB162"/>
      <c r="EC162"/>
      <c r="ED162"/>
      <c r="EE162">
        <v>1</v>
      </c>
      <c r="EF162"/>
      <c r="EG162" s="558"/>
      <c r="EH162"/>
      <c r="EJ162" s="455">
        <v>5.3010000000000002</v>
      </c>
      <c r="EK162" s="455"/>
      <c r="EL162"/>
      <c r="EM162"/>
      <c r="EN162"/>
      <c r="EO162"/>
      <c r="EP162"/>
      <c r="EQ162"/>
      <c r="ER162"/>
      <c r="ES162"/>
      <c r="ET162"/>
      <c r="EU162"/>
      <c r="EV162">
        <v>1</v>
      </c>
      <c r="EW162"/>
      <c r="EX162"/>
      <c r="EY162"/>
      <c r="EZ162"/>
      <c r="FA162"/>
      <c r="FB162"/>
      <c r="FC162"/>
      <c r="FD162"/>
      <c r="FE162"/>
      <c r="FF162"/>
      <c r="FG162"/>
      <c r="FH162" s="558"/>
      <c r="FI162"/>
      <c r="FK162" s="449" t="s">
        <v>6826</v>
      </c>
      <c r="FL162" s="457"/>
      <c r="FM162" s="449"/>
      <c r="FN162" s="452"/>
      <c r="FO162" s="452"/>
      <c r="FP162" s="452"/>
      <c r="FQ162" s="452"/>
      <c r="FR162" s="452">
        <v>1</v>
      </c>
      <c r="FS162" s="452"/>
      <c r="FT162" s="452"/>
      <c r="FU162" s="452"/>
      <c r="FV162" s="452"/>
      <c r="FW162" s="452"/>
      <c r="FX162" s="452"/>
      <c r="FY162" s="452"/>
      <c r="FZ162" s="453"/>
      <c r="GA162"/>
      <c r="GB162"/>
      <c r="GC162"/>
      <c r="GD162"/>
    </row>
    <row r="163" spans="4:186" x14ac:dyDescent="0.15">
      <c r="AG163" s="455">
        <v>6.8719999999999999</v>
      </c>
      <c r="AH163" s="556">
        <v>1</v>
      </c>
      <c r="AJ163" s="455">
        <v>6.8719999999999999</v>
      </c>
      <c r="AK163" s="556">
        <v>1</v>
      </c>
      <c r="AL163"/>
      <c r="AM163"/>
      <c r="AN163"/>
      <c r="AO163" s="455">
        <v>6.8719999999999999</v>
      </c>
      <c r="AP163" s="455"/>
      <c r="AQ163"/>
      <c r="AR163">
        <v>1</v>
      </c>
      <c r="AS163"/>
      <c r="AT163"/>
      <c r="AU163"/>
      <c r="AV163"/>
      <c r="AW163"/>
      <c r="AX163"/>
      <c r="AY163"/>
      <c r="AZ163"/>
      <c r="BA163"/>
      <c r="BB163"/>
      <c r="BC163" s="558"/>
      <c r="BD163"/>
      <c r="BE163"/>
      <c r="BF163"/>
      <c r="BH163" s="455">
        <v>6.8719999999999999</v>
      </c>
      <c r="BI163" s="455">
        <v>1</v>
      </c>
      <c r="BJ163"/>
      <c r="BK163"/>
      <c r="BL163"/>
      <c r="BM163"/>
      <c r="BN163"/>
      <c r="BO163" s="558"/>
      <c r="BP163" s="455">
        <v>6.8719999999999999</v>
      </c>
      <c r="BQ163" s="455">
        <v>1</v>
      </c>
      <c r="BR163"/>
      <c r="BS163"/>
      <c r="BT163"/>
      <c r="BU163" s="558"/>
      <c r="BV163"/>
      <c r="BW163"/>
      <c r="BZ163" s="455">
        <v>6.8719999999999999</v>
      </c>
      <c r="CA163" s="556">
        <v>1</v>
      </c>
      <c r="CB163"/>
      <c r="CC163"/>
      <c r="CD163"/>
      <c r="CF163" s="455">
        <v>6.8719999999999999</v>
      </c>
      <c r="CG163" s="455"/>
      <c r="CH163"/>
      <c r="CI163"/>
      <c r="CJ163">
        <v>1</v>
      </c>
      <c r="CK163"/>
      <c r="CL163"/>
      <c r="CM163"/>
      <c r="CN163"/>
      <c r="CO163"/>
      <c r="CP163"/>
      <c r="CQ163"/>
      <c r="CR163"/>
      <c r="CS163"/>
      <c r="CT163"/>
      <c r="CU163"/>
      <c r="CV163" s="558"/>
      <c r="CW163"/>
      <c r="CX163"/>
      <c r="CY163"/>
      <c r="CZ163"/>
      <c r="DA163"/>
      <c r="DB163"/>
      <c r="DC163"/>
      <c r="DD163"/>
      <c r="DE163"/>
      <c r="DF163"/>
      <c r="DG163" s="455">
        <v>6.8719999999999999</v>
      </c>
      <c r="DH163" s="455"/>
      <c r="DI163">
        <v>1</v>
      </c>
      <c r="DJ163"/>
      <c r="DK163"/>
      <c r="DL163"/>
      <c r="DM163"/>
      <c r="DN163"/>
      <c r="DO163"/>
      <c r="DP163"/>
      <c r="DQ163"/>
      <c r="DR163"/>
      <c r="DS163"/>
      <c r="DT163"/>
      <c r="DU163" s="558"/>
      <c r="DV163"/>
      <c r="DW163"/>
      <c r="DX163"/>
      <c r="DZ163" s="455">
        <v>6.8719999999999999</v>
      </c>
      <c r="EA163" s="455">
        <v>1</v>
      </c>
      <c r="EB163"/>
      <c r="EC163"/>
      <c r="ED163"/>
      <c r="EE163"/>
      <c r="EF163"/>
      <c r="EG163" s="558"/>
      <c r="EH163"/>
      <c r="EJ163" s="455">
        <v>6.8719999999999999</v>
      </c>
      <c r="EK163" s="455"/>
      <c r="EL163"/>
      <c r="EM163"/>
      <c r="EN163"/>
      <c r="EO163"/>
      <c r="EP163"/>
      <c r="EQ163"/>
      <c r="ER163"/>
      <c r="ES163"/>
      <c r="ET163"/>
      <c r="EU163"/>
      <c r="EV163"/>
      <c r="EW163"/>
      <c r="EX163"/>
      <c r="EY163"/>
      <c r="EZ163"/>
      <c r="FA163"/>
      <c r="FB163"/>
      <c r="FC163"/>
      <c r="FD163"/>
      <c r="FE163"/>
      <c r="FF163"/>
      <c r="FG163">
        <v>1</v>
      </c>
      <c r="FH163" s="558"/>
      <c r="FI163"/>
      <c r="FK163" s="449">
        <v>13.16</v>
      </c>
      <c r="FL163" s="449" t="s">
        <v>401</v>
      </c>
      <c r="FM163" s="449"/>
      <c r="FN163" s="452"/>
      <c r="FO163" s="452"/>
      <c r="FP163" s="452">
        <v>1</v>
      </c>
      <c r="FQ163" s="452"/>
      <c r="FR163" s="452"/>
      <c r="FS163" s="452"/>
      <c r="FT163" s="452"/>
      <c r="FU163" s="452"/>
      <c r="FV163" s="452"/>
      <c r="FW163" s="452"/>
      <c r="FX163" s="452"/>
      <c r="FY163" s="452"/>
      <c r="FZ163" s="453"/>
      <c r="GA163"/>
      <c r="GB163"/>
      <c r="GC163"/>
      <c r="GD163"/>
    </row>
    <row r="164" spans="4:186" x14ac:dyDescent="0.15">
      <c r="AG164" s="455">
        <v>1.296</v>
      </c>
      <c r="AH164" s="556">
        <v>1</v>
      </c>
      <c r="AJ164" s="455">
        <v>1.296</v>
      </c>
      <c r="AK164" s="556">
        <v>1</v>
      </c>
      <c r="AL164"/>
      <c r="AM164"/>
      <c r="AN164"/>
      <c r="AO164" s="455">
        <v>1.296</v>
      </c>
      <c r="AP164" s="455">
        <v>1</v>
      </c>
      <c r="AQ164"/>
      <c r="AR164"/>
      <c r="AS164"/>
      <c r="AT164"/>
      <c r="AU164"/>
      <c r="AV164"/>
      <c r="AW164"/>
      <c r="AX164"/>
      <c r="AY164"/>
      <c r="AZ164"/>
      <c r="BA164"/>
      <c r="BB164"/>
      <c r="BC164" s="558"/>
      <c r="BD164"/>
      <c r="BE164"/>
      <c r="BF164"/>
      <c r="BH164" s="455">
        <v>1.296</v>
      </c>
      <c r="BI164" s="455"/>
      <c r="BJ164"/>
      <c r="BK164"/>
      <c r="BL164"/>
      <c r="BM164">
        <v>1</v>
      </c>
      <c r="BN164"/>
      <c r="BO164" s="558"/>
      <c r="BP164" s="455">
        <v>1.296</v>
      </c>
      <c r="BQ164" s="455"/>
      <c r="BR164"/>
      <c r="BS164">
        <v>1</v>
      </c>
      <c r="BT164"/>
      <c r="BU164" s="558"/>
      <c r="BV164"/>
      <c r="BW164"/>
      <c r="BZ164" s="455">
        <v>1.296</v>
      </c>
      <c r="CA164" s="556">
        <v>1</v>
      </c>
      <c r="CB164"/>
      <c r="CC164"/>
      <c r="CD164"/>
      <c r="CF164" s="455">
        <v>1.296</v>
      </c>
      <c r="CG164" s="455"/>
      <c r="CH164"/>
      <c r="CI164">
        <v>1</v>
      </c>
      <c r="CJ164"/>
      <c r="CK164"/>
      <c r="CL164"/>
      <c r="CM164"/>
      <c r="CN164"/>
      <c r="CO164"/>
      <c r="CP164"/>
      <c r="CQ164"/>
      <c r="CR164"/>
      <c r="CS164"/>
      <c r="CT164"/>
      <c r="CU164"/>
      <c r="CV164" s="558"/>
      <c r="CW164"/>
      <c r="CX164"/>
      <c r="CY164"/>
      <c r="CZ164"/>
      <c r="DA164"/>
      <c r="DB164"/>
      <c r="DC164"/>
      <c r="DD164"/>
      <c r="DE164"/>
      <c r="DF164"/>
      <c r="DG164" s="455">
        <v>1.296</v>
      </c>
      <c r="DH164" s="455">
        <v>1</v>
      </c>
      <c r="DI164"/>
      <c r="DJ164"/>
      <c r="DK164"/>
      <c r="DL164"/>
      <c r="DM164"/>
      <c r="DN164"/>
      <c r="DO164"/>
      <c r="DP164"/>
      <c r="DQ164"/>
      <c r="DR164"/>
      <c r="DS164"/>
      <c r="DT164"/>
      <c r="DU164" s="558"/>
      <c r="DV164"/>
      <c r="DW164"/>
      <c r="DX164"/>
      <c r="DZ164" s="455">
        <v>1.296</v>
      </c>
      <c r="EA164" s="455"/>
      <c r="EB164"/>
      <c r="EC164"/>
      <c r="ED164"/>
      <c r="EE164"/>
      <c r="EF164"/>
      <c r="EG164" s="558">
        <v>1</v>
      </c>
      <c r="EH164"/>
      <c r="EJ164" s="455">
        <v>1.296</v>
      </c>
      <c r="EK164" s="455"/>
      <c r="EL164"/>
      <c r="EM164"/>
      <c r="EN164">
        <v>1</v>
      </c>
      <c r="EO164"/>
      <c r="EP164"/>
      <c r="EQ164"/>
      <c r="ER164"/>
      <c r="ES164"/>
      <c r="ET164"/>
      <c r="EU164"/>
      <c r="EV164"/>
      <c r="EW164"/>
      <c r="EX164"/>
      <c r="EY164"/>
      <c r="EZ164"/>
      <c r="FA164"/>
      <c r="FB164"/>
      <c r="FC164"/>
      <c r="FD164"/>
      <c r="FE164"/>
      <c r="FF164"/>
      <c r="FG164"/>
      <c r="FH164" s="558"/>
      <c r="FI164"/>
      <c r="FK164" s="449" t="s">
        <v>6827</v>
      </c>
      <c r="FL164" s="457"/>
      <c r="FM164" s="449"/>
      <c r="FN164" s="452"/>
      <c r="FO164" s="452"/>
      <c r="FP164" s="452">
        <v>1</v>
      </c>
      <c r="FQ164" s="452"/>
      <c r="FR164" s="452"/>
      <c r="FS164" s="452"/>
      <c r="FT164" s="452"/>
      <c r="FU164" s="452"/>
      <c r="FV164" s="452"/>
      <c r="FW164" s="452"/>
      <c r="FX164" s="452"/>
      <c r="FY164" s="452"/>
      <c r="FZ164" s="453"/>
      <c r="GA164"/>
      <c r="GB164"/>
      <c r="GC164"/>
      <c r="GD164"/>
    </row>
    <row r="165" spans="4:186" x14ac:dyDescent="0.15">
      <c r="AG165" s="455">
        <v>3.9239999999999999</v>
      </c>
      <c r="AH165" s="556">
        <v>1</v>
      </c>
      <c r="AJ165" s="455">
        <v>3.9239999999999999</v>
      </c>
      <c r="AK165" s="556">
        <v>1</v>
      </c>
      <c r="AL165"/>
      <c r="AM165"/>
      <c r="AN165"/>
      <c r="AO165" s="455">
        <v>3.9239999999999999</v>
      </c>
      <c r="AP165" s="455"/>
      <c r="AQ165">
        <v>1</v>
      </c>
      <c r="AR165"/>
      <c r="AS165"/>
      <c r="AT165"/>
      <c r="AU165"/>
      <c r="AV165"/>
      <c r="AW165"/>
      <c r="AX165"/>
      <c r="AY165"/>
      <c r="AZ165"/>
      <c r="BA165"/>
      <c r="BB165"/>
      <c r="BC165" s="558"/>
      <c r="BD165"/>
      <c r="BE165"/>
      <c r="BF165"/>
      <c r="BH165" s="455">
        <v>3.9239999999999999</v>
      </c>
      <c r="BI165" s="455">
        <v>1</v>
      </c>
      <c r="BJ165"/>
      <c r="BK165"/>
      <c r="BL165"/>
      <c r="BM165"/>
      <c r="BN165"/>
      <c r="BO165" s="558"/>
      <c r="BP165" s="455">
        <v>3.9239999999999999</v>
      </c>
      <c r="BQ165" s="455"/>
      <c r="BR165"/>
      <c r="BS165">
        <v>1</v>
      </c>
      <c r="BT165"/>
      <c r="BU165" s="558"/>
      <c r="BV165"/>
      <c r="BW165"/>
      <c r="BZ165" s="455">
        <v>3.9239999999999999</v>
      </c>
      <c r="CA165" s="556">
        <v>1</v>
      </c>
      <c r="CB165"/>
      <c r="CC165"/>
      <c r="CD165"/>
      <c r="CF165" s="455">
        <v>3.9239999999999999</v>
      </c>
      <c r="CG165" s="455"/>
      <c r="CH165">
        <v>1</v>
      </c>
      <c r="CI165"/>
      <c r="CJ165"/>
      <c r="CK165"/>
      <c r="CL165"/>
      <c r="CM165"/>
      <c r="CN165"/>
      <c r="CO165"/>
      <c r="CP165"/>
      <c r="CQ165"/>
      <c r="CR165"/>
      <c r="CS165"/>
      <c r="CT165"/>
      <c r="CU165"/>
      <c r="CV165" s="558"/>
      <c r="CW165"/>
      <c r="CX165"/>
      <c r="CY165"/>
      <c r="CZ165"/>
      <c r="DA165"/>
      <c r="DB165"/>
      <c r="DC165"/>
      <c r="DD165"/>
      <c r="DE165"/>
      <c r="DF165"/>
      <c r="DG165" s="455">
        <v>3.9239999999999999</v>
      </c>
      <c r="DH165" s="455">
        <v>1</v>
      </c>
      <c r="DI165"/>
      <c r="DJ165"/>
      <c r="DK165"/>
      <c r="DL165"/>
      <c r="DM165"/>
      <c r="DN165"/>
      <c r="DO165"/>
      <c r="DP165"/>
      <c r="DQ165"/>
      <c r="DR165"/>
      <c r="DS165"/>
      <c r="DT165"/>
      <c r="DU165" s="558"/>
      <c r="DV165"/>
      <c r="DW165"/>
      <c r="DX165"/>
      <c r="DZ165" s="455">
        <v>3.9239999999999999</v>
      </c>
      <c r="EA165" s="455">
        <v>1</v>
      </c>
      <c r="EB165"/>
      <c r="EC165"/>
      <c r="ED165"/>
      <c r="EE165"/>
      <c r="EF165"/>
      <c r="EG165" s="558"/>
      <c r="EH165"/>
      <c r="EJ165" s="455">
        <v>3.9239999999999999</v>
      </c>
      <c r="EK165" s="455"/>
      <c r="EL165"/>
      <c r="EM165"/>
      <c r="EN165"/>
      <c r="EO165"/>
      <c r="EP165"/>
      <c r="EQ165"/>
      <c r="ER165"/>
      <c r="ES165"/>
      <c r="ET165"/>
      <c r="EU165"/>
      <c r="EV165"/>
      <c r="EW165"/>
      <c r="EX165"/>
      <c r="EY165"/>
      <c r="EZ165"/>
      <c r="FA165"/>
      <c r="FB165"/>
      <c r="FC165"/>
      <c r="FD165"/>
      <c r="FE165"/>
      <c r="FF165"/>
      <c r="FG165">
        <v>1</v>
      </c>
      <c r="FH165" s="558"/>
      <c r="FI165"/>
      <c r="FK165" s="449">
        <v>6.0830000000000002</v>
      </c>
      <c r="FL165" s="449" t="s">
        <v>445</v>
      </c>
      <c r="FM165" s="449"/>
      <c r="FN165" s="452">
        <v>1</v>
      </c>
      <c r="FO165" s="452"/>
      <c r="FP165" s="452"/>
      <c r="FQ165" s="452"/>
      <c r="FR165" s="452"/>
      <c r="FS165" s="452"/>
      <c r="FT165" s="452"/>
      <c r="FU165" s="452"/>
      <c r="FV165" s="452"/>
      <c r="FW165" s="452"/>
      <c r="FX165" s="452"/>
      <c r="FY165" s="452"/>
      <c r="FZ165" s="453"/>
      <c r="GA165"/>
      <c r="GB165"/>
      <c r="GC165"/>
      <c r="GD165"/>
    </row>
    <row r="166" spans="4:186" x14ac:dyDescent="0.15">
      <c r="AG166" s="455">
        <v>0.84699999999999998</v>
      </c>
      <c r="AH166" s="556">
        <v>1</v>
      </c>
      <c r="AJ166" s="455">
        <v>0.84699999999999998</v>
      </c>
      <c r="AK166" s="556">
        <v>1</v>
      </c>
      <c r="AL166"/>
      <c r="AM166"/>
      <c r="AN166"/>
      <c r="AO166" s="455">
        <v>0.84699999999999998</v>
      </c>
      <c r="AP166" s="455">
        <v>1</v>
      </c>
      <c r="AQ166"/>
      <c r="AR166"/>
      <c r="AS166"/>
      <c r="AT166"/>
      <c r="AU166"/>
      <c r="AV166"/>
      <c r="AW166"/>
      <c r="AX166"/>
      <c r="AY166"/>
      <c r="AZ166"/>
      <c r="BA166"/>
      <c r="BB166"/>
      <c r="BC166" s="558"/>
      <c r="BD166"/>
      <c r="BE166"/>
      <c r="BF166"/>
      <c r="BH166" s="455">
        <v>0.84699999999999998</v>
      </c>
      <c r="BI166" s="455"/>
      <c r="BJ166">
        <v>1</v>
      </c>
      <c r="BK166"/>
      <c r="BL166"/>
      <c r="BM166"/>
      <c r="BN166"/>
      <c r="BO166" s="558"/>
      <c r="BP166" s="455">
        <v>0.84699999999999998</v>
      </c>
      <c r="BQ166" s="455">
        <v>1</v>
      </c>
      <c r="BR166"/>
      <c r="BS166"/>
      <c r="BT166"/>
      <c r="BU166" s="558"/>
      <c r="BV166"/>
      <c r="BW166"/>
      <c r="BZ166" s="455">
        <v>0.84699999999999998</v>
      </c>
      <c r="CA166" s="556">
        <v>1</v>
      </c>
      <c r="CB166"/>
      <c r="CC166"/>
      <c r="CD166"/>
      <c r="CF166" s="455">
        <v>0.84699999999999998</v>
      </c>
      <c r="CG166" s="455"/>
      <c r="CH166">
        <v>1</v>
      </c>
      <c r="CI166"/>
      <c r="CJ166"/>
      <c r="CK166"/>
      <c r="CL166"/>
      <c r="CM166"/>
      <c r="CN166"/>
      <c r="CO166"/>
      <c r="CP166"/>
      <c r="CQ166"/>
      <c r="CR166"/>
      <c r="CS166"/>
      <c r="CT166"/>
      <c r="CU166"/>
      <c r="CV166" s="558"/>
      <c r="CW166"/>
      <c r="CX166"/>
      <c r="CY166"/>
      <c r="CZ166"/>
      <c r="DA166"/>
      <c r="DB166"/>
      <c r="DC166"/>
      <c r="DD166"/>
      <c r="DE166"/>
      <c r="DF166"/>
      <c r="DG166" s="455">
        <v>0.84699999999999998</v>
      </c>
      <c r="DH166" s="455">
        <v>1</v>
      </c>
      <c r="DI166"/>
      <c r="DJ166"/>
      <c r="DK166"/>
      <c r="DL166"/>
      <c r="DM166"/>
      <c r="DN166"/>
      <c r="DO166"/>
      <c r="DP166"/>
      <c r="DQ166"/>
      <c r="DR166"/>
      <c r="DS166"/>
      <c r="DT166"/>
      <c r="DU166" s="558"/>
      <c r="DV166"/>
      <c r="DW166"/>
      <c r="DX166"/>
      <c r="DZ166" s="455">
        <v>0.84699999999999998</v>
      </c>
      <c r="EA166" s="455"/>
      <c r="EB166"/>
      <c r="EC166">
        <v>1</v>
      </c>
      <c r="ED166"/>
      <c r="EE166"/>
      <c r="EF166"/>
      <c r="EG166" s="558"/>
      <c r="EH166"/>
      <c r="EJ166" s="455">
        <v>0.84699999999999998</v>
      </c>
      <c r="EK166" s="455"/>
      <c r="EL166"/>
      <c r="EM166"/>
      <c r="EN166">
        <v>1</v>
      </c>
      <c r="EO166"/>
      <c r="EP166"/>
      <c r="EQ166"/>
      <c r="ER166"/>
      <c r="ES166"/>
      <c r="ET166"/>
      <c r="EU166"/>
      <c r="EV166"/>
      <c r="EW166"/>
      <c r="EX166"/>
      <c r="EY166"/>
      <c r="EZ166"/>
      <c r="FA166"/>
      <c r="FB166"/>
      <c r="FC166"/>
      <c r="FD166"/>
      <c r="FE166"/>
      <c r="FF166"/>
      <c r="FG166"/>
      <c r="FH166" s="558"/>
      <c r="FI166"/>
      <c r="FK166" s="449" t="s">
        <v>6828</v>
      </c>
      <c r="FL166" s="457"/>
      <c r="FM166" s="449"/>
      <c r="FN166" s="452">
        <v>1</v>
      </c>
      <c r="FO166" s="452"/>
      <c r="FP166" s="452"/>
      <c r="FQ166" s="452"/>
      <c r="FR166" s="452"/>
      <c r="FS166" s="452"/>
      <c r="FT166" s="452"/>
      <c r="FU166" s="452"/>
      <c r="FV166" s="452"/>
      <c r="FW166" s="452"/>
      <c r="FX166" s="452"/>
      <c r="FY166" s="452"/>
      <c r="FZ166" s="453"/>
      <c r="GA166"/>
      <c r="GB166"/>
      <c r="GC166"/>
      <c r="GD166"/>
    </row>
    <row r="167" spans="4:186" x14ac:dyDescent="0.15">
      <c r="AG167" s="455">
        <v>18.212</v>
      </c>
      <c r="AH167" s="556">
        <v>1</v>
      </c>
      <c r="AJ167" s="455">
        <v>18.212</v>
      </c>
      <c r="AK167" s="556">
        <v>1</v>
      </c>
      <c r="AL167"/>
      <c r="AM167"/>
      <c r="AN167"/>
      <c r="AO167" s="455">
        <v>18.212</v>
      </c>
      <c r="AP167" s="455"/>
      <c r="AQ167"/>
      <c r="AR167"/>
      <c r="AS167"/>
      <c r="AT167"/>
      <c r="AU167"/>
      <c r="AV167"/>
      <c r="AW167"/>
      <c r="AX167">
        <v>1</v>
      </c>
      <c r="AY167"/>
      <c r="AZ167"/>
      <c r="BA167"/>
      <c r="BB167"/>
      <c r="BC167" s="558"/>
      <c r="BD167"/>
      <c r="BE167"/>
      <c r="BF167"/>
      <c r="BH167" s="455">
        <v>18.212</v>
      </c>
      <c r="BI167" s="455"/>
      <c r="BJ167"/>
      <c r="BK167"/>
      <c r="BL167">
        <v>1</v>
      </c>
      <c r="BM167"/>
      <c r="BN167"/>
      <c r="BO167" s="558"/>
      <c r="BP167" s="455">
        <v>18.212</v>
      </c>
      <c r="BQ167" s="455"/>
      <c r="BR167">
        <v>1</v>
      </c>
      <c r="BS167"/>
      <c r="BT167"/>
      <c r="BU167" s="558"/>
      <c r="BV167"/>
      <c r="BW167"/>
      <c r="BZ167" s="455">
        <v>18.212</v>
      </c>
      <c r="CA167" s="556">
        <v>1</v>
      </c>
      <c r="CB167"/>
      <c r="CC167"/>
      <c r="CD167"/>
      <c r="CF167" s="455">
        <v>18.212</v>
      </c>
      <c r="CG167" s="455">
        <v>1</v>
      </c>
      <c r="CH167"/>
      <c r="CI167"/>
      <c r="CJ167"/>
      <c r="CK167"/>
      <c r="CL167"/>
      <c r="CM167"/>
      <c r="CN167"/>
      <c r="CO167"/>
      <c r="CP167"/>
      <c r="CQ167"/>
      <c r="CR167"/>
      <c r="CS167"/>
      <c r="CT167"/>
      <c r="CU167"/>
      <c r="CV167" s="558"/>
      <c r="CW167"/>
      <c r="CX167"/>
      <c r="CY167"/>
      <c r="CZ167"/>
      <c r="DA167"/>
      <c r="DB167"/>
      <c r="DC167"/>
      <c r="DD167"/>
      <c r="DE167"/>
      <c r="DF167"/>
      <c r="DG167" s="455">
        <v>18.212</v>
      </c>
      <c r="DH167" s="455">
        <v>1</v>
      </c>
      <c r="DI167"/>
      <c r="DJ167"/>
      <c r="DK167"/>
      <c r="DL167"/>
      <c r="DM167"/>
      <c r="DN167"/>
      <c r="DO167"/>
      <c r="DP167"/>
      <c r="DQ167"/>
      <c r="DR167"/>
      <c r="DS167"/>
      <c r="DT167"/>
      <c r="DU167" s="558"/>
      <c r="DV167"/>
      <c r="DW167"/>
      <c r="DX167"/>
      <c r="DZ167" s="455">
        <v>18.212</v>
      </c>
      <c r="EA167" s="455">
        <v>1</v>
      </c>
      <c r="EB167"/>
      <c r="EC167"/>
      <c r="ED167"/>
      <c r="EE167"/>
      <c r="EF167"/>
      <c r="EG167" s="558"/>
      <c r="EH167"/>
      <c r="EJ167" s="455">
        <v>18.212</v>
      </c>
      <c r="EK167" s="455"/>
      <c r="EL167"/>
      <c r="EM167"/>
      <c r="EN167"/>
      <c r="EO167"/>
      <c r="EP167"/>
      <c r="EQ167"/>
      <c r="ER167"/>
      <c r="ES167"/>
      <c r="ET167"/>
      <c r="EU167"/>
      <c r="EV167">
        <v>1</v>
      </c>
      <c r="EW167"/>
      <c r="EX167"/>
      <c r="EY167"/>
      <c r="EZ167"/>
      <c r="FA167"/>
      <c r="FB167"/>
      <c r="FC167"/>
      <c r="FD167"/>
      <c r="FE167"/>
      <c r="FF167"/>
      <c r="FG167"/>
      <c r="FH167" s="558"/>
      <c r="FI167"/>
      <c r="FK167" s="449">
        <v>22.093</v>
      </c>
      <c r="FL167" s="449" t="s">
        <v>406</v>
      </c>
      <c r="FM167" s="449"/>
      <c r="FN167" s="452"/>
      <c r="FO167" s="452"/>
      <c r="FP167" s="452"/>
      <c r="FQ167" s="452"/>
      <c r="FR167" s="452">
        <v>1</v>
      </c>
      <c r="FS167" s="452"/>
      <c r="FT167" s="452"/>
      <c r="FU167" s="452"/>
      <c r="FV167" s="452"/>
      <c r="FW167" s="452"/>
      <c r="FX167" s="452"/>
      <c r="FY167" s="452"/>
      <c r="FZ167" s="453"/>
      <c r="GA167"/>
      <c r="GB167"/>
      <c r="GC167"/>
      <c r="GD167"/>
    </row>
    <row r="168" spans="4:186" x14ac:dyDescent="0.15">
      <c r="AG168" s="455">
        <v>1.8340000000000001</v>
      </c>
      <c r="AH168" s="556">
        <v>1</v>
      </c>
      <c r="AJ168" s="455">
        <v>1.8340000000000001</v>
      </c>
      <c r="AK168" s="556">
        <v>1</v>
      </c>
      <c r="AL168"/>
      <c r="AM168"/>
      <c r="AN168"/>
      <c r="AO168" s="455">
        <v>1.8340000000000001</v>
      </c>
      <c r="AP168" s="455"/>
      <c r="AQ168"/>
      <c r="AR168"/>
      <c r="AS168"/>
      <c r="AT168"/>
      <c r="AU168"/>
      <c r="AV168"/>
      <c r="AW168"/>
      <c r="AX168">
        <v>1</v>
      </c>
      <c r="AY168"/>
      <c r="AZ168"/>
      <c r="BA168"/>
      <c r="BB168"/>
      <c r="BC168" s="558"/>
      <c r="BD168"/>
      <c r="BE168"/>
      <c r="BF168"/>
      <c r="BH168" s="455">
        <v>1.8340000000000001</v>
      </c>
      <c r="BI168" s="455">
        <v>1</v>
      </c>
      <c r="BJ168"/>
      <c r="BK168"/>
      <c r="BL168"/>
      <c r="BM168"/>
      <c r="BN168"/>
      <c r="BO168" s="558"/>
      <c r="BP168" s="455">
        <v>1.8340000000000001</v>
      </c>
      <c r="BQ168" s="455"/>
      <c r="BR168"/>
      <c r="BS168">
        <v>1</v>
      </c>
      <c r="BT168"/>
      <c r="BU168" s="558"/>
      <c r="BV168"/>
      <c r="BW168"/>
      <c r="BZ168" s="455">
        <v>1.8340000000000001</v>
      </c>
      <c r="CA168" s="556">
        <v>1</v>
      </c>
      <c r="CB168"/>
      <c r="CC168"/>
      <c r="CD168"/>
      <c r="CF168" s="455">
        <v>1.8340000000000001</v>
      </c>
      <c r="CG168" s="455">
        <v>1</v>
      </c>
      <c r="CH168"/>
      <c r="CI168"/>
      <c r="CJ168"/>
      <c r="CK168"/>
      <c r="CL168"/>
      <c r="CM168"/>
      <c r="CN168"/>
      <c r="CO168"/>
      <c r="CP168"/>
      <c r="CQ168"/>
      <c r="CR168"/>
      <c r="CS168"/>
      <c r="CT168"/>
      <c r="CU168"/>
      <c r="CV168" s="558"/>
      <c r="CW168"/>
      <c r="CX168"/>
      <c r="CY168"/>
      <c r="CZ168"/>
      <c r="DA168"/>
      <c r="DB168"/>
      <c r="DC168"/>
      <c r="DD168"/>
      <c r="DE168"/>
      <c r="DF168"/>
      <c r="DG168" s="455">
        <v>1.8340000000000001</v>
      </c>
      <c r="DH168" s="455">
        <v>1</v>
      </c>
      <c r="DI168"/>
      <c r="DJ168"/>
      <c r="DK168"/>
      <c r="DL168"/>
      <c r="DM168"/>
      <c r="DN168"/>
      <c r="DO168"/>
      <c r="DP168"/>
      <c r="DQ168"/>
      <c r="DR168"/>
      <c r="DS168"/>
      <c r="DT168"/>
      <c r="DU168" s="558"/>
      <c r="DV168"/>
      <c r="DW168"/>
      <c r="DX168"/>
      <c r="DZ168" s="455">
        <v>1.8340000000000001</v>
      </c>
      <c r="EA168" s="455"/>
      <c r="EB168"/>
      <c r="EC168"/>
      <c r="ED168"/>
      <c r="EE168">
        <v>1</v>
      </c>
      <c r="EF168"/>
      <c r="EG168" s="558"/>
      <c r="EH168"/>
      <c r="EJ168" s="455">
        <v>1.8340000000000001</v>
      </c>
      <c r="EK168" s="455">
        <v>1</v>
      </c>
      <c r="EL168"/>
      <c r="EM168"/>
      <c r="EN168"/>
      <c r="EO168"/>
      <c r="EP168"/>
      <c r="EQ168"/>
      <c r="ER168"/>
      <c r="ES168"/>
      <c r="ET168"/>
      <c r="EU168"/>
      <c r="EV168"/>
      <c r="EW168"/>
      <c r="EX168"/>
      <c r="EY168"/>
      <c r="EZ168"/>
      <c r="FA168"/>
      <c r="FB168"/>
      <c r="FC168"/>
      <c r="FD168"/>
      <c r="FE168"/>
      <c r="FF168"/>
      <c r="FG168"/>
      <c r="FH168" s="558"/>
      <c r="FI168"/>
      <c r="FK168" s="449" t="s">
        <v>6829</v>
      </c>
      <c r="FL168" s="457"/>
      <c r="FM168" s="449"/>
      <c r="FN168" s="452"/>
      <c r="FO168" s="452"/>
      <c r="FP168" s="452"/>
      <c r="FQ168" s="452"/>
      <c r="FR168" s="452">
        <v>1</v>
      </c>
      <c r="FS168" s="452"/>
      <c r="FT168" s="452"/>
      <c r="FU168" s="452"/>
      <c r="FV168" s="452"/>
      <c r="FW168" s="452"/>
      <c r="FX168" s="452"/>
      <c r="FY168" s="452"/>
      <c r="FZ168" s="453"/>
      <c r="GA168"/>
      <c r="GB168"/>
      <c r="GC168"/>
      <c r="GD168"/>
    </row>
    <row r="169" spans="4:186" x14ac:dyDescent="0.15">
      <c r="AG169" s="455">
        <v>14.118</v>
      </c>
      <c r="AH169" s="556">
        <v>1</v>
      </c>
      <c r="AJ169" s="455">
        <v>14.118</v>
      </c>
      <c r="AK169" s="556">
        <v>1</v>
      </c>
      <c r="AL169"/>
      <c r="AM169"/>
      <c r="AN169"/>
      <c r="AO169" s="455">
        <v>14.118</v>
      </c>
      <c r="AP169" s="455"/>
      <c r="AQ169">
        <v>1</v>
      </c>
      <c r="AR169"/>
      <c r="AS169"/>
      <c r="AT169"/>
      <c r="AU169"/>
      <c r="AV169"/>
      <c r="AW169"/>
      <c r="AX169"/>
      <c r="AY169"/>
      <c r="AZ169"/>
      <c r="BA169"/>
      <c r="BB169"/>
      <c r="BC169" s="558"/>
      <c r="BD169"/>
      <c r="BE169"/>
      <c r="BF169"/>
      <c r="BH169" s="455">
        <v>14.118</v>
      </c>
      <c r="BI169" s="455">
        <v>1</v>
      </c>
      <c r="BJ169"/>
      <c r="BK169"/>
      <c r="BL169"/>
      <c r="BM169"/>
      <c r="BN169"/>
      <c r="BO169" s="558"/>
      <c r="BP169" s="455">
        <v>14.118</v>
      </c>
      <c r="BQ169" s="455"/>
      <c r="BR169">
        <v>1</v>
      </c>
      <c r="BS169"/>
      <c r="BT169"/>
      <c r="BU169" s="558"/>
      <c r="BV169"/>
      <c r="BW169"/>
      <c r="BZ169" s="455">
        <v>14.118</v>
      </c>
      <c r="CA169" s="556">
        <v>1</v>
      </c>
      <c r="CB169"/>
      <c r="CC169"/>
      <c r="CD169"/>
      <c r="CF169" s="455">
        <v>14.118</v>
      </c>
      <c r="CG169" s="455"/>
      <c r="CH169"/>
      <c r="CI169"/>
      <c r="CJ169"/>
      <c r="CK169"/>
      <c r="CL169"/>
      <c r="CM169"/>
      <c r="CN169">
        <v>1</v>
      </c>
      <c r="CO169"/>
      <c r="CP169"/>
      <c r="CQ169"/>
      <c r="CR169"/>
      <c r="CS169"/>
      <c r="CT169"/>
      <c r="CU169"/>
      <c r="CV169" s="558"/>
      <c r="CW169"/>
      <c r="CX169"/>
      <c r="CY169"/>
      <c r="CZ169"/>
      <c r="DA169"/>
      <c r="DB169"/>
      <c r="DC169"/>
      <c r="DD169"/>
      <c r="DE169"/>
      <c r="DF169"/>
      <c r="DG169" s="455">
        <v>14.118</v>
      </c>
      <c r="DH169" s="455"/>
      <c r="DI169"/>
      <c r="DJ169"/>
      <c r="DK169"/>
      <c r="DL169"/>
      <c r="DM169"/>
      <c r="DN169">
        <v>1</v>
      </c>
      <c r="DO169"/>
      <c r="DP169"/>
      <c r="DQ169"/>
      <c r="DR169"/>
      <c r="DS169"/>
      <c r="DT169"/>
      <c r="DU169" s="558"/>
      <c r="DV169"/>
      <c r="DW169"/>
      <c r="DX169"/>
      <c r="DZ169" s="455">
        <v>14.118</v>
      </c>
      <c r="EA169" s="455"/>
      <c r="EB169"/>
      <c r="EC169"/>
      <c r="ED169">
        <v>1</v>
      </c>
      <c r="EE169"/>
      <c r="EF169"/>
      <c r="EG169" s="558"/>
      <c r="EH169"/>
      <c r="EJ169" s="455">
        <v>14.118</v>
      </c>
      <c r="EK169" s="455"/>
      <c r="EL169"/>
      <c r="EM169"/>
      <c r="EN169"/>
      <c r="EO169"/>
      <c r="EP169"/>
      <c r="EQ169"/>
      <c r="ER169"/>
      <c r="ES169"/>
      <c r="ET169"/>
      <c r="EU169"/>
      <c r="EV169"/>
      <c r="EW169"/>
      <c r="EX169"/>
      <c r="EY169">
        <v>1</v>
      </c>
      <c r="EZ169"/>
      <c r="FA169"/>
      <c r="FB169"/>
      <c r="FC169"/>
      <c r="FD169"/>
      <c r="FE169"/>
      <c r="FF169"/>
      <c r="FG169"/>
      <c r="FH169" s="558"/>
      <c r="FI169"/>
      <c r="FK169" s="449">
        <v>3.214</v>
      </c>
      <c r="FL169" s="449" t="s">
        <v>406</v>
      </c>
      <c r="FM169" s="449"/>
      <c r="FN169" s="452">
        <v>1</v>
      </c>
      <c r="FO169" s="452"/>
      <c r="FP169" s="452"/>
      <c r="FQ169" s="452"/>
      <c r="FR169" s="452"/>
      <c r="FS169" s="452"/>
      <c r="FT169" s="452"/>
      <c r="FU169" s="452"/>
      <c r="FV169" s="452"/>
      <c r="FW169" s="452"/>
      <c r="FX169" s="452"/>
      <c r="FY169" s="452"/>
      <c r="FZ169" s="453"/>
      <c r="GA169"/>
      <c r="GB169"/>
      <c r="GC169"/>
      <c r="GD169"/>
    </row>
    <row r="170" spans="4:186" x14ac:dyDescent="0.15">
      <c r="AG170" s="451" t="s">
        <v>100</v>
      </c>
      <c r="AH170" s="557">
        <v>186</v>
      </c>
      <c r="AJ170" s="451" t="s">
        <v>100</v>
      </c>
      <c r="AK170" s="557">
        <v>186</v>
      </c>
      <c r="AL170"/>
      <c r="AM170"/>
      <c r="AN170"/>
      <c r="AO170" s="451" t="s">
        <v>100</v>
      </c>
      <c r="AP170" s="451">
        <v>50</v>
      </c>
      <c r="AQ170" s="565">
        <v>37</v>
      </c>
      <c r="AR170" s="565">
        <v>31</v>
      </c>
      <c r="AS170" s="565">
        <v>19</v>
      </c>
      <c r="AT170" s="565">
        <v>9</v>
      </c>
      <c r="AU170" s="565">
        <v>8</v>
      </c>
      <c r="AV170" s="565">
        <v>8</v>
      </c>
      <c r="AW170" s="565">
        <v>8</v>
      </c>
      <c r="AX170" s="565">
        <v>6</v>
      </c>
      <c r="AY170" s="565">
        <v>3</v>
      </c>
      <c r="AZ170" s="565">
        <v>3</v>
      </c>
      <c r="BA170" s="565">
        <v>2</v>
      </c>
      <c r="BB170" s="565">
        <v>1</v>
      </c>
      <c r="BC170" s="566">
        <v>1</v>
      </c>
      <c r="BD170"/>
      <c r="BE170"/>
      <c r="BF170"/>
      <c r="BH170" s="451" t="s">
        <v>100</v>
      </c>
      <c r="BI170" s="451">
        <v>130</v>
      </c>
      <c r="BJ170" s="565">
        <v>38</v>
      </c>
      <c r="BK170" s="565">
        <v>8</v>
      </c>
      <c r="BL170" s="565">
        <v>6</v>
      </c>
      <c r="BM170" s="565">
        <v>2</v>
      </c>
      <c r="BN170" s="565">
        <v>1</v>
      </c>
      <c r="BO170" s="566">
        <v>1</v>
      </c>
      <c r="BP170" s="451" t="s">
        <v>100</v>
      </c>
      <c r="BQ170" s="451">
        <v>62</v>
      </c>
      <c r="BR170" s="565">
        <v>62</v>
      </c>
      <c r="BS170" s="565">
        <v>53</v>
      </c>
      <c r="BT170" s="565">
        <v>8</v>
      </c>
      <c r="BU170" s="566">
        <v>1</v>
      </c>
      <c r="BV170"/>
      <c r="BW170"/>
      <c r="BZ170" s="451" t="s">
        <v>100</v>
      </c>
      <c r="CA170" s="557">
        <v>186</v>
      </c>
      <c r="CB170"/>
      <c r="CC170"/>
      <c r="CD170"/>
      <c r="CF170" s="451" t="s">
        <v>100</v>
      </c>
      <c r="CG170" s="451">
        <v>44</v>
      </c>
      <c r="CH170" s="565">
        <v>31</v>
      </c>
      <c r="CI170" s="565">
        <v>23</v>
      </c>
      <c r="CJ170" s="565">
        <v>19</v>
      </c>
      <c r="CK170" s="565">
        <v>17</v>
      </c>
      <c r="CL170" s="565">
        <v>9</v>
      </c>
      <c r="CM170" s="565">
        <v>8</v>
      </c>
      <c r="CN170" s="565">
        <v>7</v>
      </c>
      <c r="CO170" s="565">
        <v>6</v>
      </c>
      <c r="CP170" s="565">
        <v>5</v>
      </c>
      <c r="CQ170" s="565">
        <v>5</v>
      </c>
      <c r="CR170" s="565">
        <v>4</v>
      </c>
      <c r="CS170" s="565">
        <v>3</v>
      </c>
      <c r="CT170" s="565">
        <v>2</v>
      </c>
      <c r="CU170" s="565">
        <v>2</v>
      </c>
      <c r="CV170" s="566">
        <v>1</v>
      </c>
      <c r="CW170"/>
      <c r="CX170"/>
      <c r="CY170"/>
      <c r="CZ170"/>
      <c r="DA170"/>
      <c r="DB170"/>
      <c r="DC170"/>
      <c r="DD170"/>
      <c r="DE170"/>
      <c r="DF170"/>
      <c r="DG170" s="451" t="s">
        <v>100</v>
      </c>
      <c r="DH170" s="451">
        <v>104</v>
      </c>
      <c r="DI170" s="565">
        <v>37</v>
      </c>
      <c r="DJ170" s="565">
        <v>12</v>
      </c>
      <c r="DK170" s="565">
        <v>10</v>
      </c>
      <c r="DL170" s="565">
        <v>10</v>
      </c>
      <c r="DM170" s="565">
        <v>3</v>
      </c>
      <c r="DN170" s="565">
        <v>2</v>
      </c>
      <c r="DO170" s="565">
        <v>2</v>
      </c>
      <c r="DP170" s="565">
        <v>1</v>
      </c>
      <c r="DQ170" s="565">
        <v>1</v>
      </c>
      <c r="DR170" s="565">
        <v>1</v>
      </c>
      <c r="DS170" s="565">
        <v>1</v>
      </c>
      <c r="DT170" s="565">
        <v>1</v>
      </c>
      <c r="DU170" s="566">
        <v>1</v>
      </c>
      <c r="DV170"/>
      <c r="DW170"/>
      <c r="DX170"/>
      <c r="DZ170" s="451" t="s">
        <v>100</v>
      </c>
      <c r="EA170" s="451">
        <v>40</v>
      </c>
      <c r="EB170" s="565">
        <v>21</v>
      </c>
      <c r="EC170" s="565">
        <v>27</v>
      </c>
      <c r="ED170" s="565">
        <v>19</v>
      </c>
      <c r="EE170" s="565">
        <v>31</v>
      </c>
      <c r="EF170" s="565">
        <v>19</v>
      </c>
      <c r="EG170" s="566">
        <v>29</v>
      </c>
      <c r="EH170"/>
      <c r="EJ170" s="451" t="s">
        <v>100</v>
      </c>
      <c r="EK170" s="451">
        <v>9</v>
      </c>
      <c r="EL170" s="565">
        <v>7</v>
      </c>
      <c r="EM170" s="565">
        <v>9</v>
      </c>
      <c r="EN170" s="565">
        <v>9</v>
      </c>
      <c r="EO170" s="565">
        <v>5</v>
      </c>
      <c r="EP170" s="565">
        <v>9</v>
      </c>
      <c r="EQ170" s="565">
        <v>8</v>
      </c>
      <c r="ER170" s="565">
        <v>1</v>
      </c>
      <c r="ES170" s="565">
        <v>6</v>
      </c>
      <c r="ET170" s="565">
        <v>3</v>
      </c>
      <c r="EU170" s="565">
        <v>7</v>
      </c>
      <c r="EV170" s="565">
        <v>9</v>
      </c>
      <c r="EW170" s="565">
        <v>9</v>
      </c>
      <c r="EX170" s="565">
        <v>4</v>
      </c>
      <c r="EY170" s="565">
        <v>5</v>
      </c>
      <c r="EZ170" s="565">
        <v>7</v>
      </c>
      <c r="FA170" s="565">
        <v>8</v>
      </c>
      <c r="FB170" s="565">
        <v>9</v>
      </c>
      <c r="FC170" s="565">
        <v>9</v>
      </c>
      <c r="FD170" s="565">
        <v>13</v>
      </c>
      <c r="FE170" s="565">
        <v>10</v>
      </c>
      <c r="FF170" s="565">
        <v>12</v>
      </c>
      <c r="FG170" s="565">
        <v>12</v>
      </c>
      <c r="FH170" s="566">
        <v>6</v>
      </c>
      <c r="FI170"/>
      <c r="FK170" s="449" t="s">
        <v>6830</v>
      </c>
      <c r="FL170" s="457"/>
      <c r="FM170" s="449"/>
      <c r="FN170" s="452">
        <v>1</v>
      </c>
      <c r="FO170" s="452"/>
      <c r="FP170" s="452"/>
      <c r="FQ170" s="452"/>
      <c r="FR170" s="452"/>
      <c r="FS170" s="452"/>
      <c r="FT170" s="452"/>
      <c r="FU170" s="452"/>
      <c r="FV170" s="452"/>
      <c r="FW170" s="452"/>
      <c r="FX170" s="452"/>
      <c r="FY170" s="452"/>
      <c r="FZ170" s="453"/>
      <c r="GA170"/>
      <c r="GB170"/>
      <c r="GC170"/>
      <c r="GD170"/>
    </row>
    <row r="171" spans="4:186" x14ac:dyDescent="0.15">
      <c r="AG171"/>
      <c r="AH171"/>
      <c r="AJ171"/>
      <c r="AK171"/>
      <c r="AL171"/>
      <c r="AM171"/>
      <c r="AN171"/>
      <c r="AO171"/>
      <c r="AP171"/>
      <c r="AQ171"/>
      <c r="AR171"/>
      <c r="AS171"/>
      <c r="AT171"/>
      <c r="AU171"/>
      <c r="AV171"/>
      <c r="AW171"/>
      <c r="AX171"/>
      <c r="AY171"/>
      <c r="AZ171"/>
      <c r="BA171"/>
      <c r="BB171"/>
      <c r="BC171"/>
      <c r="BD171"/>
      <c r="BE171"/>
      <c r="BF171"/>
      <c r="BH171"/>
      <c r="BI171"/>
      <c r="BJ171"/>
      <c r="BK171"/>
      <c r="BL171"/>
      <c r="BM171"/>
      <c r="BN171"/>
      <c r="BP171"/>
      <c r="BQ171"/>
      <c r="BR171"/>
      <c r="BS171"/>
      <c r="BT171"/>
      <c r="BU171"/>
      <c r="BV171"/>
      <c r="BW171"/>
      <c r="BZ171"/>
      <c r="CA171"/>
      <c r="CB171"/>
      <c r="CC171"/>
      <c r="CD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Z171"/>
      <c r="EA171"/>
      <c r="EB171"/>
      <c r="EC171"/>
      <c r="ED171"/>
      <c r="EE171"/>
      <c r="EF171"/>
      <c r="EG171"/>
      <c r="EH171"/>
      <c r="EJ171"/>
      <c r="EK171"/>
      <c r="EL171"/>
      <c r="EM171"/>
      <c r="EN171"/>
      <c r="EO171"/>
      <c r="EP171"/>
      <c r="EQ171"/>
      <c r="ER171"/>
      <c r="ES171"/>
      <c r="ET171"/>
      <c r="EU171"/>
      <c r="EV171"/>
      <c r="EW171"/>
      <c r="EX171"/>
      <c r="EY171"/>
      <c r="EZ171"/>
      <c r="FA171"/>
      <c r="FB171"/>
      <c r="FC171"/>
      <c r="FD171"/>
      <c r="FE171"/>
      <c r="FF171"/>
      <c r="FG171"/>
      <c r="FH171"/>
      <c r="FI171"/>
      <c r="FK171" s="449">
        <v>7.18</v>
      </c>
      <c r="FL171" s="449" t="s">
        <v>410</v>
      </c>
      <c r="FM171" s="449"/>
      <c r="FN171" s="452">
        <v>1</v>
      </c>
      <c r="FO171" s="452"/>
      <c r="FP171" s="452"/>
      <c r="FQ171" s="452"/>
      <c r="FR171" s="452"/>
      <c r="FS171" s="452"/>
      <c r="FT171" s="452"/>
      <c r="FU171" s="452"/>
      <c r="FV171" s="452"/>
      <c r="FW171" s="452"/>
      <c r="FX171" s="452"/>
      <c r="FY171" s="452"/>
      <c r="FZ171" s="453"/>
      <c r="GA171"/>
      <c r="GB171"/>
      <c r="GC171"/>
      <c r="GD171"/>
    </row>
    <row r="172" spans="4:186" ht="18" x14ac:dyDescent="0.2">
      <c r="D172" s="18" t="str">
        <f>$D$1</f>
        <v>Type 'Heading' Here</v>
      </c>
      <c r="AG172"/>
      <c r="AH172"/>
      <c r="AJ172"/>
      <c r="AK172"/>
      <c r="AL172"/>
      <c r="AM172"/>
      <c r="AN172"/>
      <c r="AO172"/>
      <c r="AP172"/>
      <c r="AQ172"/>
      <c r="AR172"/>
      <c r="AS172"/>
      <c r="AT172"/>
      <c r="AU172"/>
      <c r="AV172"/>
      <c r="AW172"/>
      <c r="AX172"/>
      <c r="AY172"/>
      <c r="AZ172"/>
      <c r="BA172"/>
      <c r="BB172"/>
      <c r="BC172"/>
      <c r="BD172"/>
      <c r="BE172"/>
      <c r="BF172"/>
      <c r="BH172"/>
      <c r="BI172"/>
      <c r="BJ172"/>
      <c r="BK172"/>
      <c r="BL172"/>
      <c r="BM172"/>
      <c r="BN172"/>
      <c r="BP172"/>
      <c r="BQ172"/>
      <c r="BR172"/>
      <c r="BS172"/>
      <c r="BT172"/>
      <c r="BU172"/>
      <c r="BV172"/>
      <c r="BW172"/>
      <c r="BZ172"/>
      <c r="CA172"/>
      <c r="CB172"/>
      <c r="CC172"/>
      <c r="CD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Z172"/>
      <c r="EA172"/>
      <c r="EB172"/>
      <c r="EC172"/>
      <c r="ED172"/>
      <c r="EE172"/>
      <c r="EF172"/>
      <c r="EG172"/>
      <c r="EH172"/>
      <c r="EJ172"/>
      <c r="EK172"/>
      <c r="EL172"/>
      <c r="EM172"/>
      <c r="EN172"/>
      <c r="EO172"/>
      <c r="EP172"/>
      <c r="EQ172"/>
      <c r="ER172"/>
      <c r="ES172"/>
      <c r="ET172"/>
      <c r="EU172"/>
      <c r="EV172"/>
      <c r="EW172"/>
      <c r="EX172"/>
      <c r="EY172"/>
      <c r="EZ172"/>
      <c r="FA172"/>
      <c r="FB172"/>
      <c r="FC172"/>
      <c r="FD172"/>
      <c r="FE172"/>
      <c r="FF172"/>
      <c r="FG172"/>
      <c r="FH172"/>
      <c r="FI172"/>
      <c r="FK172" s="449" t="s">
        <v>6831</v>
      </c>
      <c r="FL172" s="457"/>
      <c r="FM172" s="449"/>
      <c r="FN172" s="452">
        <v>1</v>
      </c>
      <c r="FO172" s="452"/>
      <c r="FP172" s="452"/>
      <c r="FQ172" s="452"/>
      <c r="FR172" s="452"/>
      <c r="FS172" s="452"/>
      <c r="FT172" s="452"/>
      <c r="FU172" s="452"/>
      <c r="FV172" s="452"/>
      <c r="FW172" s="452"/>
      <c r="FX172" s="452"/>
      <c r="FY172" s="452"/>
      <c r="FZ172" s="453"/>
      <c r="GA172"/>
      <c r="GB172"/>
      <c r="GC172"/>
      <c r="GD172"/>
    </row>
    <row r="173" spans="4:186" x14ac:dyDescent="0.15">
      <c r="D173" s="23" t="s">
        <v>158</v>
      </c>
      <c r="AG173"/>
      <c r="AH173"/>
      <c r="AJ173"/>
      <c r="AK173"/>
      <c r="AL173"/>
      <c r="AM173"/>
      <c r="AN173"/>
      <c r="AO173"/>
      <c r="AP173"/>
      <c r="AQ173"/>
      <c r="AR173"/>
      <c r="AS173"/>
      <c r="AT173"/>
      <c r="AU173"/>
      <c r="AV173"/>
      <c r="AW173"/>
      <c r="AX173"/>
      <c r="AY173"/>
      <c r="AZ173"/>
      <c r="BA173"/>
      <c r="BB173"/>
      <c r="BC173"/>
      <c r="BD173"/>
      <c r="BE173"/>
      <c r="BF173"/>
      <c r="BH173"/>
      <c r="BI173"/>
      <c r="BJ173"/>
      <c r="BK173"/>
      <c r="BL173"/>
      <c r="BM173"/>
      <c r="BN173"/>
      <c r="BP173"/>
      <c r="BQ173"/>
      <c r="BR173"/>
      <c r="BS173"/>
      <c r="BT173"/>
      <c r="BU173"/>
      <c r="BV173"/>
      <c r="BW173"/>
      <c r="BZ173"/>
      <c r="CA173"/>
      <c r="CB173"/>
      <c r="CC173"/>
      <c r="CD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Z173"/>
      <c r="EA173"/>
      <c r="EB173"/>
      <c r="EC173"/>
      <c r="ED173"/>
      <c r="EE173"/>
      <c r="EF173"/>
      <c r="EG173"/>
      <c r="EH173"/>
      <c r="EJ173"/>
      <c r="EK173"/>
      <c r="EL173"/>
      <c r="EM173"/>
      <c r="EN173"/>
      <c r="EO173"/>
      <c r="EP173"/>
      <c r="EQ173"/>
      <c r="ER173"/>
      <c r="ES173"/>
      <c r="ET173"/>
      <c r="EU173"/>
      <c r="EV173"/>
      <c r="EW173"/>
      <c r="EX173"/>
      <c r="EY173"/>
      <c r="EZ173"/>
      <c r="FA173"/>
      <c r="FB173"/>
      <c r="FC173"/>
      <c r="FD173"/>
      <c r="FE173"/>
      <c r="FF173"/>
      <c r="FG173"/>
      <c r="FH173"/>
      <c r="FI173"/>
      <c r="FK173" s="449">
        <v>9.1010000000000009</v>
      </c>
      <c r="FL173" s="449" t="s">
        <v>410</v>
      </c>
      <c r="FM173" s="449"/>
      <c r="FN173" s="452"/>
      <c r="FO173" s="452"/>
      <c r="FP173" s="452"/>
      <c r="FQ173" s="452"/>
      <c r="FR173" s="452"/>
      <c r="FS173" s="452">
        <v>1</v>
      </c>
      <c r="FT173" s="452"/>
      <c r="FU173" s="452"/>
      <c r="FV173" s="452"/>
      <c r="FW173" s="452"/>
      <c r="FX173" s="452"/>
      <c r="FY173" s="452"/>
      <c r="FZ173" s="453"/>
      <c r="GA173"/>
      <c r="GB173"/>
      <c r="GC173"/>
      <c r="GD173"/>
    </row>
    <row r="174" spans="4:186" x14ac:dyDescent="0.15">
      <c r="AG174"/>
      <c r="AH174"/>
      <c r="AJ174"/>
      <c r="AK174"/>
      <c r="AL174"/>
      <c r="AM174"/>
      <c r="AN174"/>
      <c r="AO174"/>
      <c r="AP174"/>
      <c r="AQ174"/>
      <c r="AR174"/>
      <c r="AS174"/>
      <c r="AT174"/>
      <c r="AU174"/>
      <c r="AV174"/>
      <c r="AW174"/>
      <c r="AX174"/>
      <c r="AY174"/>
      <c r="AZ174"/>
      <c r="BA174"/>
      <c r="BB174"/>
      <c r="BC174"/>
      <c r="BD174"/>
      <c r="BE174"/>
      <c r="BF174"/>
      <c r="BH174"/>
      <c r="BI174"/>
      <c r="BJ174"/>
      <c r="BK174"/>
      <c r="BL174"/>
      <c r="BM174"/>
      <c r="BN174"/>
      <c r="BP174"/>
      <c r="BQ174"/>
      <c r="BR174"/>
      <c r="BS174"/>
      <c r="BT174"/>
      <c r="BU174"/>
      <c r="BV174"/>
      <c r="BW174"/>
      <c r="BZ174"/>
      <c r="CA174"/>
      <c r="CB174"/>
      <c r="CC174"/>
      <c r="CD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Z174"/>
      <c r="EA174"/>
      <c r="EB174"/>
      <c r="EC174"/>
      <c r="ED174"/>
      <c r="EE174"/>
      <c r="EF174"/>
      <c r="EG174"/>
      <c r="EH174"/>
      <c r="EJ174"/>
      <c r="EK174"/>
      <c r="EL174"/>
      <c r="EM174"/>
      <c r="EN174"/>
      <c r="EO174"/>
      <c r="EP174"/>
      <c r="EQ174"/>
      <c r="ER174"/>
      <c r="ES174"/>
      <c r="ET174"/>
      <c r="EU174"/>
      <c r="EV174"/>
      <c r="EW174"/>
      <c r="EX174"/>
      <c r="EY174"/>
      <c r="EZ174"/>
      <c r="FA174"/>
      <c r="FB174"/>
      <c r="FC174"/>
      <c r="FD174"/>
      <c r="FE174"/>
      <c r="FF174"/>
      <c r="FG174"/>
      <c r="FH174"/>
      <c r="FI174"/>
      <c r="FK174" s="449" t="s">
        <v>6832</v>
      </c>
      <c r="FL174" s="457"/>
      <c r="FM174" s="449"/>
      <c r="FN174" s="452"/>
      <c r="FO174" s="452"/>
      <c r="FP174" s="452"/>
      <c r="FQ174" s="452"/>
      <c r="FR174" s="452"/>
      <c r="FS174" s="452">
        <v>1</v>
      </c>
      <c r="FT174" s="452"/>
      <c r="FU174" s="452"/>
      <c r="FV174" s="452"/>
      <c r="FW174" s="452"/>
      <c r="FX174" s="452"/>
      <c r="FY174" s="452"/>
      <c r="FZ174" s="453"/>
      <c r="GA174"/>
      <c r="GB174"/>
      <c r="GC174"/>
      <c r="GD174"/>
    </row>
    <row r="175" spans="4:186" x14ac:dyDescent="0.15">
      <c r="AG175"/>
      <c r="AH175"/>
      <c r="AJ175"/>
      <c r="AK175"/>
      <c r="AL175"/>
      <c r="AM175"/>
      <c r="AN175"/>
      <c r="AO175"/>
      <c r="AP175"/>
      <c r="AQ175"/>
      <c r="AR175"/>
      <c r="AS175"/>
      <c r="AT175"/>
      <c r="AU175"/>
      <c r="AV175"/>
      <c r="AW175"/>
      <c r="AX175"/>
      <c r="AY175"/>
      <c r="AZ175"/>
      <c r="BA175"/>
      <c r="BB175"/>
      <c r="BC175"/>
      <c r="BD175"/>
      <c r="BE175"/>
      <c r="BF175"/>
      <c r="BH175"/>
      <c r="BI175"/>
      <c r="BJ175"/>
      <c r="BK175"/>
      <c r="BL175"/>
      <c r="BM175"/>
      <c r="BN175"/>
      <c r="BP175"/>
      <c r="BQ175"/>
      <c r="BR175"/>
      <c r="BS175"/>
      <c r="BT175"/>
      <c r="BU175"/>
      <c r="BV175"/>
      <c r="BW175"/>
      <c r="BZ175"/>
      <c r="CA175"/>
      <c r="CB175"/>
      <c r="CC175"/>
      <c r="CD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Z175"/>
      <c r="EA175"/>
      <c r="EB175"/>
      <c r="EC175"/>
      <c r="ED175"/>
      <c r="EE175"/>
      <c r="EF175"/>
      <c r="EG175"/>
      <c r="EH175"/>
      <c r="EJ175"/>
      <c r="EK175"/>
      <c r="EL175"/>
      <c r="EM175"/>
      <c r="EN175"/>
      <c r="EO175"/>
      <c r="EP175"/>
      <c r="EQ175"/>
      <c r="ER175"/>
      <c r="ES175"/>
      <c r="ET175"/>
      <c r="EU175"/>
      <c r="EV175"/>
      <c r="EW175"/>
      <c r="EX175"/>
      <c r="EY175"/>
      <c r="EZ175"/>
      <c r="FA175"/>
      <c r="FB175"/>
      <c r="FC175"/>
      <c r="FD175"/>
      <c r="FE175"/>
      <c r="FF175"/>
      <c r="FG175"/>
      <c r="FH175"/>
      <c r="FI175"/>
      <c r="FK175" s="449">
        <v>0.83199999999999996</v>
      </c>
      <c r="FL175" s="449" t="s">
        <v>411</v>
      </c>
      <c r="FM175" s="449">
        <v>1</v>
      </c>
      <c r="FN175" s="452"/>
      <c r="FO175" s="452"/>
      <c r="FP175" s="452"/>
      <c r="FQ175" s="452"/>
      <c r="FR175" s="452"/>
      <c r="FS175" s="452"/>
      <c r="FT175" s="452"/>
      <c r="FU175" s="452"/>
      <c r="FV175" s="452"/>
      <c r="FW175" s="452"/>
      <c r="FX175" s="452"/>
      <c r="FY175" s="452"/>
      <c r="FZ175" s="453"/>
      <c r="GA175"/>
      <c r="GB175"/>
      <c r="GC175"/>
      <c r="GD175"/>
    </row>
    <row r="176" spans="4:186" x14ac:dyDescent="0.15">
      <c r="AG176"/>
      <c r="AH176"/>
      <c r="AJ176"/>
      <c r="AK176"/>
      <c r="AL176"/>
      <c r="AM176"/>
      <c r="AN176"/>
      <c r="AO176"/>
      <c r="AP176"/>
      <c r="AQ176"/>
      <c r="AR176"/>
      <c r="AS176"/>
      <c r="AT176"/>
      <c r="AU176"/>
      <c r="AV176"/>
      <c r="AW176"/>
      <c r="AX176"/>
      <c r="AY176"/>
      <c r="AZ176"/>
      <c r="BA176"/>
      <c r="BB176"/>
      <c r="BC176"/>
      <c r="BD176"/>
      <c r="BE176"/>
      <c r="BF176"/>
      <c r="BH176"/>
      <c r="BI176"/>
      <c r="BJ176"/>
      <c r="BK176"/>
      <c r="BL176"/>
      <c r="BM176"/>
      <c r="BN176"/>
      <c r="BP176"/>
      <c r="BQ176"/>
      <c r="BR176"/>
      <c r="BS176"/>
      <c r="BT176"/>
      <c r="BU176"/>
      <c r="BV176"/>
      <c r="BW176"/>
      <c r="BZ176"/>
      <c r="CA176"/>
      <c r="CB176"/>
      <c r="CC176"/>
      <c r="CD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Z176"/>
      <c r="EA176"/>
      <c r="EB176"/>
      <c r="EC176"/>
      <c r="ED176"/>
      <c r="EE176"/>
      <c r="EF176"/>
      <c r="EG176"/>
      <c r="EH176"/>
      <c r="EJ176"/>
      <c r="EK176"/>
      <c r="EL176"/>
      <c r="EM176"/>
      <c r="EN176"/>
      <c r="EO176"/>
      <c r="EP176"/>
      <c r="EQ176"/>
      <c r="ER176"/>
      <c r="ES176"/>
      <c r="ET176"/>
      <c r="EU176"/>
      <c r="EV176"/>
      <c r="EW176"/>
      <c r="EX176"/>
      <c r="EY176"/>
      <c r="EZ176"/>
      <c r="FA176"/>
      <c r="FB176"/>
      <c r="FC176"/>
      <c r="FD176"/>
      <c r="FE176"/>
      <c r="FF176"/>
      <c r="FG176"/>
      <c r="FH176"/>
      <c r="FI176"/>
      <c r="FK176" s="449" t="s">
        <v>6833</v>
      </c>
      <c r="FL176" s="457"/>
      <c r="FM176" s="449">
        <v>1</v>
      </c>
      <c r="FN176" s="452"/>
      <c r="FO176" s="452"/>
      <c r="FP176" s="452"/>
      <c r="FQ176" s="452"/>
      <c r="FR176" s="452"/>
      <c r="FS176" s="452"/>
      <c r="FT176" s="452"/>
      <c r="FU176" s="452"/>
      <c r="FV176" s="452"/>
      <c r="FW176" s="452"/>
      <c r="FX176" s="452"/>
      <c r="FY176" s="452"/>
      <c r="FZ176" s="453"/>
      <c r="GA176"/>
      <c r="GB176"/>
      <c r="GC176"/>
      <c r="GD176"/>
    </row>
    <row r="177" spans="27:186" x14ac:dyDescent="0.15">
      <c r="AA177" s="7" t="s">
        <v>149</v>
      </c>
      <c r="AG177"/>
      <c r="AH177"/>
      <c r="AJ177"/>
      <c r="AK177"/>
      <c r="AL177"/>
      <c r="AM177"/>
      <c r="AN177"/>
      <c r="AO177"/>
      <c r="AP177"/>
      <c r="AQ177"/>
      <c r="AR177"/>
      <c r="AS177"/>
      <c r="AT177"/>
      <c r="AU177"/>
      <c r="AV177"/>
      <c r="AW177"/>
      <c r="AX177"/>
      <c r="AY177"/>
      <c r="AZ177"/>
      <c r="BA177"/>
      <c r="BB177"/>
      <c r="BC177"/>
      <c r="BD177"/>
      <c r="BE177"/>
      <c r="BF177"/>
      <c r="BH177"/>
      <c r="BI177"/>
      <c r="BJ177"/>
      <c r="BK177"/>
      <c r="BL177"/>
      <c r="BM177"/>
      <c r="BN177"/>
      <c r="BP177"/>
      <c r="BQ177"/>
      <c r="BR177"/>
      <c r="BS177"/>
      <c r="BT177"/>
      <c r="BU177"/>
      <c r="BV177"/>
      <c r="BW177"/>
      <c r="BZ177"/>
      <c r="CA177"/>
      <c r="CB177"/>
      <c r="CC177"/>
      <c r="CD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Z177"/>
      <c r="EA177"/>
      <c r="EB177"/>
      <c r="EC177"/>
      <c r="ED177"/>
      <c r="EE177"/>
      <c r="EF177"/>
      <c r="EG177"/>
      <c r="EH177"/>
      <c r="EJ177"/>
      <c r="EK177"/>
      <c r="EL177"/>
      <c r="EM177"/>
      <c r="EN177"/>
      <c r="EO177"/>
      <c r="EP177"/>
      <c r="EQ177"/>
      <c r="ER177"/>
      <c r="ES177"/>
      <c r="ET177"/>
      <c r="EU177"/>
      <c r="EV177"/>
      <c r="EW177"/>
      <c r="EX177"/>
      <c r="EY177"/>
      <c r="EZ177"/>
      <c r="FA177"/>
      <c r="FB177"/>
      <c r="FC177"/>
      <c r="FD177"/>
      <c r="FE177"/>
      <c r="FF177"/>
      <c r="FG177"/>
      <c r="FH177"/>
      <c r="FI177"/>
      <c r="FK177" s="449">
        <v>4.8230000000000004</v>
      </c>
      <c r="FL177" s="449" t="s">
        <v>445</v>
      </c>
      <c r="FM177" s="449"/>
      <c r="FN177" s="452"/>
      <c r="FO177" s="452"/>
      <c r="FP177" s="452"/>
      <c r="FQ177" s="452"/>
      <c r="FR177" s="452">
        <v>1</v>
      </c>
      <c r="FS177" s="452"/>
      <c r="FT177" s="452"/>
      <c r="FU177" s="452"/>
      <c r="FV177" s="452"/>
      <c r="FW177" s="452"/>
      <c r="FX177" s="452"/>
      <c r="FY177" s="452"/>
      <c r="FZ177" s="453"/>
      <c r="GA177"/>
      <c r="GB177"/>
      <c r="GC177"/>
      <c r="GD177"/>
    </row>
    <row r="178" spans="27:186" x14ac:dyDescent="0.15">
      <c r="AG178"/>
      <c r="AH178"/>
      <c r="AJ178"/>
      <c r="AK178"/>
      <c r="AL178"/>
      <c r="AM178"/>
      <c r="AN178"/>
      <c r="AO178"/>
      <c r="AP178"/>
      <c r="AQ178"/>
      <c r="AR178"/>
      <c r="AS178"/>
      <c r="AT178"/>
      <c r="AU178"/>
      <c r="AV178"/>
      <c r="AW178"/>
      <c r="AX178"/>
      <c r="AY178"/>
      <c r="AZ178"/>
      <c r="BA178"/>
      <c r="BB178"/>
      <c r="BC178"/>
      <c r="BD178"/>
      <c r="BE178"/>
      <c r="BF178"/>
      <c r="BH178"/>
      <c r="BI178"/>
      <c r="BJ178"/>
      <c r="BK178"/>
      <c r="BL178"/>
      <c r="BM178"/>
      <c r="BN178"/>
      <c r="BP178"/>
      <c r="BQ178"/>
      <c r="BR178"/>
      <c r="BS178"/>
      <c r="BT178"/>
      <c r="BU178"/>
      <c r="BV178"/>
      <c r="BW178"/>
      <c r="BZ178"/>
      <c r="CA178"/>
      <c r="CB178"/>
      <c r="CC178"/>
      <c r="CD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Z178"/>
      <c r="EA178"/>
      <c r="EB178"/>
      <c r="EC178"/>
      <c r="ED178"/>
      <c r="EE178"/>
      <c r="EF178"/>
      <c r="EG178"/>
      <c r="EH178"/>
      <c r="EJ178"/>
      <c r="EK178"/>
      <c r="EL178"/>
      <c r="EM178"/>
      <c r="EN178"/>
      <c r="EO178"/>
      <c r="EP178"/>
      <c r="EQ178"/>
      <c r="ER178"/>
      <c r="ES178"/>
      <c r="ET178"/>
      <c r="EU178"/>
      <c r="EV178"/>
      <c r="EW178"/>
      <c r="EX178"/>
      <c r="EY178"/>
      <c r="EZ178"/>
      <c r="FA178"/>
      <c r="FB178"/>
      <c r="FC178"/>
      <c r="FD178"/>
      <c r="FE178"/>
      <c r="FF178"/>
      <c r="FG178"/>
      <c r="FH178"/>
      <c r="FI178"/>
      <c r="FK178" s="449" t="s">
        <v>6834</v>
      </c>
      <c r="FL178" s="457"/>
      <c r="FM178" s="449"/>
      <c r="FN178" s="452"/>
      <c r="FO178" s="452"/>
      <c r="FP178" s="452"/>
      <c r="FQ178" s="452"/>
      <c r="FR178" s="452">
        <v>1</v>
      </c>
      <c r="FS178" s="452"/>
      <c r="FT178" s="452"/>
      <c r="FU178" s="452"/>
      <c r="FV178" s="452"/>
      <c r="FW178" s="452"/>
      <c r="FX178" s="452"/>
      <c r="FY178" s="452"/>
      <c r="FZ178" s="453"/>
      <c r="GA178"/>
      <c r="GB178"/>
      <c r="GC178"/>
      <c r="GD178"/>
    </row>
    <row r="179" spans="27:186" x14ac:dyDescent="0.15">
      <c r="AG179"/>
      <c r="AH179"/>
      <c r="AJ179"/>
      <c r="AK179"/>
      <c r="AL179"/>
      <c r="AM179"/>
      <c r="AN179"/>
      <c r="AO179"/>
      <c r="AP179"/>
      <c r="AQ179"/>
      <c r="AR179"/>
      <c r="AS179"/>
      <c r="AT179"/>
      <c r="AU179"/>
      <c r="AV179"/>
      <c r="AW179"/>
      <c r="AX179"/>
      <c r="AY179"/>
      <c r="AZ179"/>
      <c r="BA179"/>
      <c r="BB179"/>
      <c r="BC179"/>
      <c r="BD179"/>
      <c r="BE179"/>
      <c r="BF179"/>
      <c r="BH179"/>
      <c r="BI179"/>
      <c r="BJ179"/>
      <c r="BK179"/>
      <c r="BL179"/>
      <c r="BM179"/>
      <c r="BN179"/>
      <c r="BP179"/>
      <c r="BQ179"/>
      <c r="BR179"/>
      <c r="BS179"/>
      <c r="BT179"/>
      <c r="BU179"/>
      <c r="BV179"/>
      <c r="BW179"/>
      <c r="BZ179"/>
      <c r="CA179"/>
      <c r="CB179"/>
      <c r="CC179"/>
      <c r="CD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Z179"/>
      <c r="EA179"/>
      <c r="EB179"/>
      <c r="EC179"/>
      <c r="ED179"/>
      <c r="EE179"/>
      <c r="EF179"/>
      <c r="EG179"/>
      <c r="EH179"/>
      <c r="EJ179"/>
      <c r="EK179"/>
      <c r="EL179"/>
      <c r="EM179"/>
      <c r="EN179"/>
      <c r="EO179"/>
      <c r="EP179"/>
      <c r="EQ179"/>
      <c r="ER179"/>
      <c r="ES179"/>
      <c r="ET179"/>
      <c r="EU179"/>
      <c r="EV179"/>
      <c r="EW179"/>
      <c r="EX179"/>
      <c r="EY179"/>
      <c r="EZ179"/>
      <c r="FA179"/>
      <c r="FB179"/>
      <c r="FC179"/>
      <c r="FD179"/>
      <c r="FE179"/>
      <c r="FF179"/>
      <c r="FG179"/>
      <c r="FH179"/>
      <c r="FI179"/>
      <c r="FK179" s="449">
        <v>0.92200000000000004</v>
      </c>
      <c r="FL179" s="449" t="s">
        <v>397</v>
      </c>
      <c r="FM179" s="449"/>
      <c r="FN179" s="452"/>
      <c r="FO179" s="452">
        <v>1</v>
      </c>
      <c r="FP179" s="452"/>
      <c r="FQ179" s="452"/>
      <c r="FR179" s="452"/>
      <c r="FS179" s="452"/>
      <c r="FT179" s="452"/>
      <c r="FU179" s="452"/>
      <c r="FV179" s="452"/>
      <c r="FW179" s="452"/>
      <c r="FX179" s="452"/>
      <c r="FY179" s="452"/>
      <c r="FZ179" s="453"/>
      <c r="GA179"/>
      <c r="GB179"/>
      <c r="GC179"/>
      <c r="GD179"/>
    </row>
    <row r="180" spans="27:186" x14ac:dyDescent="0.15">
      <c r="AG180"/>
      <c r="AH180"/>
      <c r="AJ180"/>
      <c r="AK180"/>
      <c r="AL180"/>
      <c r="AM180"/>
      <c r="AN180"/>
      <c r="AO180"/>
      <c r="AP180"/>
      <c r="AQ180"/>
      <c r="AR180"/>
      <c r="AS180"/>
      <c r="AT180"/>
      <c r="AU180"/>
      <c r="AV180"/>
      <c r="AW180"/>
      <c r="AX180"/>
      <c r="AY180"/>
      <c r="AZ180"/>
      <c r="BA180"/>
      <c r="BB180"/>
      <c r="BC180"/>
      <c r="BD180"/>
      <c r="BE180"/>
      <c r="BF180"/>
      <c r="BH180"/>
      <c r="BI180"/>
      <c r="BJ180"/>
      <c r="BK180"/>
      <c r="BL180"/>
      <c r="BM180"/>
      <c r="BN180"/>
      <c r="BP180"/>
      <c r="BQ180"/>
      <c r="BR180"/>
      <c r="BS180"/>
      <c r="BT180"/>
      <c r="BU180"/>
      <c r="BV180"/>
      <c r="BW180"/>
      <c r="BZ180"/>
      <c r="CA180"/>
      <c r="CB180"/>
      <c r="CC180"/>
      <c r="CD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Z180"/>
      <c r="EA180"/>
      <c r="EB180"/>
      <c r="EC180"/>
      <c r="ED180"/>
      <c r="EE180"/>
      <c r="EF180"/>
      <c r="EG180"/>
      <c r="EH180"/>
      <c r="EJ180"/>
      <c r="EK180"/>
      <c r="EL180"/>
      <c r="EM180"/>
      <c r="EN180"/>
      <c r="EO180"/>
      <c r="EP180"/>
      <c r="EQ180"/>
      <c r="ER180"/>
      <c r="ES180"/>
      <c r="ET180"/>
      <c r="EU180"/>
      <c r="EV180"/>
      <c r="EW180"/>
      <c r="EX180"/>
      <c r="EY180"/>
      <c r="EZ180"/>
      <c r="FA180"/>
      <c r="FB180"/>
      <c r="FC180"/>
      <c r="FD180"/>
      <c r="FE180"/>
      <c r="FF180"/>
      <c r="FG180"/>
      <c r="FH180"/>
      <c r="FI180"/>
      <c r="FK180" s="449" t="s">
        <v>6835</v>
      </c>
      <c r="FL180" s="457"/>
      <c r="FM180" s="449"/>
      <c r="FN180" s="452"/>
      <c r="FO180" s="452">
        <v>1</v>
      </c>
      <c r="FP180" s="452"/>
      <c r="FQ180" s="452"/>
      <c r="FR180" s="452"/>
      <c r="FS180" s="452"/>
      <c r="FT180" s="452"/>
      <c r="FU180" s="452"/>
      <c r="FV180" s="452"/>
      <c r="FW180" s="452"/>
      <c r="FX180" s="452"/>
      <c r="FY180" s="452"/>
      <c r="FZ180" s="453"/>
      <c r="GA180"/>
      <c r="GB180"/>
      <c r="GC180"/>
      <c r="GD180"/>
    </row>
    <row r="181" spans="27:186" x14ac:dyDescent="0.15">
      <c r="AG181"/>
      <c r="AH181"/>
      <c r="AJ181"/>
      <c r="AK181"/>
      <c r="AL181"/>
      <c r="AM181"/>
      <c r="AN181"/>
      <c r="AO181"/>
      <c r="AP181"/>
      <c r="AQ181"/>
      <c r="AR181"/>
      <c r="AS181"/>
      <c r="AT181"/>
      <c r="AU181"/>
      <c r="AV181"/>
      <c r="AW181"/>
      <c r="AX181"/>
      <c r="AY181"/>
      <c r="AZ181"/>
      <c r="BA181"/>
      <c r="BB181"/>
      <c r="BC181"/>
      <c r="BD181"/>
      <c r="BE181"/>
      <c r="BF181"/>
      <c r="BH181"/>
      <c r="BI181"/>
      <c r="BJ181"/>
      <c r="BK181"/>
      <c r="BL181"/>
      <c r="BM181"/>
      <c r="BN181"/>
      <c r="BP181"/>
      <c r="BQ181"/>
      <c r="BR181"/>
      <c r="BS181"/>
      <c r="BT181"/>
      <c r="BU181"/>
      <c r="BV181"/>
      <c r="BW181"/>
      <c r="BZ181"/>
      <c r="CA181"/>
      <c r="CB181"/>
      <c r="CC181"/>
      <c r="CD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Z181"/>
      <c r="EA181"/>
      <c r="EB181"/>
      <c r="EC181"/>
      <c r="ED181"/>
      <c r="EE181"/>
      <c r="EF181"/>
      <c r="EG181"/>
      <c r="EH181"/>
      <c r="EJ181"/>
      <c r="EK181"/>
      <c r="EL181"/>
      <c r="EM181"/>
      <c r="EN181"/>
      <c r="EO181"/>
      <c r="EP181"/>
      <c r="EQ181"/>
      <c r="ER181"/>
      <c r="ES181"/>
      <c r="ET181"/>
      <c r="EU181"/>
      <c r="EV181"/>
      <c r="EW181"/>
      <c r="EX181"/>
      <c r="EY181"/>
      <c r="EZ181"/>
      <c r="FA181"/>
      <c r="FB181"/>
      <c r="FC181"/>
      <c r="FD181"/>
      <c r="FE181"/>
      <c r="FF181"/>
      <c r="FG181"/>
      <c r="FH181"/>
      <c r="FI181"/>
      <c r="FK181" s="449">
        <v>3.3570000000000002</v>
      </c>
      <c r="FL181" s="449" t="s">
        <v>406</v>
      </c>
      <c r="FM181" s="449"/>
      <c r="FN181" s="452">
        <v>1</v>
      </c>
      <c r="FO181" s="452"/>
      <c r="FP181" s="452"/>
      <c r="FQ181" s="452"/>
      <c r="FR181" s="452"/>
      <c r="FS181" s="452"/>
      <c r="FT181" s="452"/>
      <c r="FU181" s="452"/>
      <c r="FV181" s="452"/>
      <c r="FW181" s="452"/>
      <c r="FX181" s="452"/>
      <c r="FY181" s="452"/>
      <c r="FZ181" s="453"/>
      <c r="GA181"/>
      <c r="GB181"/>
      <c r="GC181"/>
      <c r="GD181"/>
    </row>
    <row r="182" spans="27:186" x14ac:dyDescent="0.15">
      <c r="AG182"/>
      <c r="AH182"/>
      <c r="AJ182"/>
      <c r="AK182"/>
      <c r="AL182"/>
      <c r="AM182"/>
      <c r="AN182"/>
      <c r="AO182"/>
      <c r="AP182"/>
      <c r="AQ182"/>
      <c r="AR182"/>
      <c r="AS182"/>
      <c r="AT182"/>
      <c r="AU182"/>
      <c r="AV182"/>
      <c r="AW182"/>
      <c r="AX182"/>
      <c r="AY182"/>
      <c r="AZ182"/>
      <c r="BA182"/>
      <c r="BB182"/>
      <c r="BC182"/>
      <c r="BD182"/>
      <c r="BE182"/>
      <c r="BF182"/>
      <c r="BH182"/>
      <c r="BI182"/>
      <c r="BJ182"/>
      <c r="BK182"/>
      <c r="BL182"/>
      <c r="BM182"/>
      <c r="BN182"/>
      <c r="BP182"/>
      <c r="BQ182"/>
      <c r="BR182"/>
      <c r="BS182"/>
      <c r="BT182"/>
      <c r="BU182"/>
      <c r="BV182"/>
      <c r="BW182"/>
      <c r="BZ182"/>
      <c r="CA182"/>
      <c r="CB182"/>
      <c r="CC182"/>
      <c r="CD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Z182"/>
      <c r="EA182"/>
      <c r="EB182"/>
      <c r="EC182"/>
      <c r="ED182"/>
      <c r="EE182"/>
      <c r="EF182"/>
      <c r="EG182"/>
      <c r="EH182"/>
      <c r="EJ182"/>
      <c r="EK182"/>
      <c r="EL182"/>
      <c r="EM182"/>
      <c r="EN182"/>
      <c r="EO182"/>
      <c r="EP182"/>
      <c r="EQ182"/>
      <c r="ER182"/>
      <c r="ES182"/>
      <c r="ET182"/>
      <c r="EU182"/>
      <c r="EV182"/>
      <c r="EW182"/>
      <c r="EX182"/>
      <c r="EY182"/>
      <c r="EZ182"/>
      <c r="FA182"/>
      <c r="FB182"/>
      <c r="FC182"/>
      <c r="FD182"/>
      <c r="FE182"/>
      <c r="FF182"/>
      <c r="FG182"/>
      <c r="FH182"/>
      <c r="FI182"/>
      <c r="FK182" s="449" t="s">
        <v>6836</v>
      </c>
      <c r="FL182" s="457"/>
      <c r="FM182" s="449"/>
      <c r="FN182" s="452">
        <v>1</v>
      </c>
      <c r="FO182" s="452"/>
      <c r="FP182" s="452"/>
      <c r="FQ182" s="452"/>
      <c r="FR182" s="452"/>
      <c r="FS182" s="452"/>
      <c r="FT182" s="452"/>
      <c r="FU182" s="452"/>
      <c r="FV182" s="452"/>
      <c r="FW182" s="452"/>
      <c r="FX182" s="452"/>
      <c r="FY182" s="452"/>
      <c r="FZ182" s="453"/>
      <c r="GA182"/>
      <c r="GB182"/>
      <c r="GC182"/>
      <c r="GD182"/>
    </row>
    <row r="183" spans="27:186" x14ac:dyDescent="0.15">
      <c r="AG183"/>
      <c r="AH183"/>
      <c r="AJ183"/>
      <c r="AK183"/>
      <c r="AL183"/>
      <c r="AM183"/>
      <c r="AN183"/>
      <c r="AO183"/>
      <c r="AP183"/>
      <c r="AQ183"/>
      <c r="AR183"/>
      <c r="AS183"/>
      <c r="AT183"/>
      <c r="AU183"/>
      <c r="AV183"/>
      <c r="AW183"/>
      <c r="AX183"/>
      <c r="AY183"/>
      <c r="AZ183"/>
      <c r="BA183"/>
      <c r="BB183"/>
      <c r="BC183"/>
      <c r="BD183"/>
      <c r="BE183"/>
      <c r="BF183"/>
      <c r="BH183"/>
      <c r="BI183"/>
      <c r="BJ183"/>
      <c r="BK183"/>
      <c r="BL183"/>
      <c r="BM183"/>
      <c r="BN183"/>
      <c r="BP183"/>
      <c r="BQ183"/>
      <c r="BR183"/>
      <c r="BS183"/>
      <c r="BT183"/>
      <c r="BU183"/>
      <c r="BV183"/>
      <c r="BW183"/>
      <c r="BZ183"/>
      <c r="CA183"/>
      <c r="CB183"/>
      <c r="CC183"/>
      <c r="CD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Z183"/>
      <c r="EA183"/>
      <c r="EB183"/>
      <c r="EC183"/>
      <c r="ED183"/>
      <c r="EE183"/>
      <c r="EF183"/>
      <c r="EG183"/>
      <c r="EH183"/>
      <c r="EJ183"/>
      <c r="EK183"/>
      <c r="EL183"/>
      <c r="EM183"/>
      <c r="EN183"/>
      <c r="EO183"/>
      <c r="EP183"/>
      <c r="EQ183"/>
      <c r="ER183"/>
      <c r="ES183"/>
      <c r="ET183"/>
      <c r="EU183"/>
      <c r="EV183"/>
      <c r="EW183"/>
      <c r="EX183"/>
      <c r="EY183"/>
      <c r="EZ183"/>
      <c r="FA183"/>
      <c r="FB183"/>
      <c r="FC183"/>
      <c r="FD183"/>
      <c r="FE183"/>
      <c r="FF183"/>
      <c r="FG183"/>
      <c r="FH183"/>
      <c r="FI183"/>
      <c r="FK183" s="449">
        <v>4.2720000000000002</v>
      </c>
      <c r="FL183" s="449" t="s">
        <v>445</v>
      </c>
      <c r="FM183" s="449"/>
      <c r="FN183" s="452"/>
      <c r="FO183" s="452">
        <v>1</v>
      </c>
      <c r="FP183" s="452"/>
      <c r="FQ183" s="452"/>
      <c r="FR183" s="452"/>
      <c r="FS183" s="452"/>
      <c r="FT183" s="452"/>
      <c r="FU183" s="452"/>
      <c r="FV183" s="452"/>
      <c r="FW183" s="452"/>
      <c r="FX183" s="452"/>
      <c r="FY183" s="452"/>
      <c r="FZ183" s="453"/>
      <c r="GA183"/>
      <c r="GB183"/>
      <c r="GC183"/>
      <c r="GD183"/>
    </row>
    <row r="184" spans="27:186" x14ac:dyDescent="0.15">
      <c r="AG184"/>
      <c r="AH184"/>
      <c r="AJ184"/>
      <c r="AK184"/>
      <c r="AL184"/>
      <c r="AM184"/>
      <c r="AN184"/>
      <c r="AO184"/>
      <c r="AP184"/>
      <c r="AQ184"/>
      <c r="AR184"/>
      <c r="AS184"/>
      <c r="AT184"/>
      <c r="AU184"/>
      <c r="AV184"/>
      <c r="AW184"/>
      <c r="AX184"/>
      <c r="AY184"/>
      <c r="AZ184"/>
      <c r="BA184"/>
      <c r="BB184"/>
      <c r="BC184"/>
      <c r="BD184"/>
      <c r="BE184"/>
      <c r="BF184"/>
      <c r="BH184"/>
      <c r="BI184"/>
      <c r="BJ184"/>
      <c r="BK184"/>
      <c r="BL184"/>
      <c r="BM184"/>
      <c r="BN184"/>
      <c r="BP184"/>
      <c r="BQ184"/>
      <c r="BR184"/>
      <c r="BS184"/>
      <c r="BT184"/>
      <c r="BU184"/>
      <c r="BV184"/>
      <c r="BW184"/>
      <c r="BZ184"/>
      <c r="CA184"/>
      <c r="CB184"/>
      <c r="CC184"/>
      <c r="CD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Z184"/>
      <c r="EA184"/>
      <c r="EB184"/>
      <c r="EC184"/>
      <c r="ED184"/>
      <c r="EE184"/>
      <c r="EF184"/>
      <c r="EG184"/>
      <c r="EH184"/>
      <c r="EJ184"/>
      <c r="EK184"/>
      <c r="EL184"/>
      <c r="EM184"/>
      <c r="EN184"/>
      <c r="EO184"/>
      <c r="EP184"/>
      <c r="EQ184"/>
      <c r="ER184"/>
      <c r="ES184"/>
      <c r="ET184"/>
      <c r="EU184"/>
      <c r="EV184"/>
      <c r="EW184"/>
      <c r="EX184"/>
      <c r="EY184"/>
      <c r="EZ184"/>
      <c r="FA184"/>
      <c r="FB184"/>
      <c r="FC184"/>
      <c r="FD184"/>
      <c r="FE184"/>
      <c r="FF184"/>
      <c r="FG184"/>
      <c r="FH184"/>
      <c r="FI184"/>
      <c r="FK184" s="449" t="s">
        <v>6837</v>
      </c>
      <c r="FL184" s="457"/>
      <c r="FM184" s="449"/>
      <c r="FN184" s="452"/>
      <c r="FO184" s="452">
        <v>1</v>
      </c>
      <c r="FP184" s="452"/>
      <c r="FQ184" s="452"/>
      <c r="FR184" s="452"/>
      <c r="FS184" s="452"/>
      <c r="FT184" s="452"/>
      <c r="FU184" s="452"/>
      <c r="FV184" s="452"/>
      <c r="FW184" s="452"/>
      <c r="FX184" s="452"/>
      <c r="FY184" s="452"/>
      <c r="FZ184" s="453"/>
      <c r="GA184"/>
      <c r="GB184"/>
      <c r="GC184"/>
      <c r="GD184"/>
    </row>
    <row r="185" spans="27:186" x14ac:dyDescent="0.15">
      <c r="AG185"/>
      <c r="AH185"/>
      <c r="AJ185"/>
      <c r="AK185"/>
      <c r="AL185"/>
      <c r="AM185"/>
      <c r="AN185"/>
      <c r="AO185"/>
      <c r="AP185"/>
      <c r="AQ185"/>
      <c r="AR185"/>
      <c r="AS185"/>
      <c r="AT185"/>
      <c r="AU185"/>
      <c r="AV185"/>
      <c r="AW185"/>
      <c r="AX185"/>
      <c r="AY185"/>
      <c r="AZ185"/>
      <c r="BA185"/>
      <c r="BB185"/>
      <c r="BC185"/>
      <c r="BD185"/>
      <c r="BE185"/>
      <c r="BF185"/>
      <c r="BH185"/>
      <c r="BI185"/>
      <c r="BJ185"/>
      <c r="BK185"/>
      <c r="BL185"/>
      <c r="BM185"/>
      <c r="BN185"/>
      <c r="BP185"/>
      <c r="BQ185"/>
      <c r="BR185"/>
      <c r="BS185"/>
      <c r="BT185"/>
      <c r="BU185"/>
      <c r="BV185"/>
      <c r="BW185"/>
      <c r="BZ185"/>
      <c r="CA185"/>
      <c r="CB185"/>
      <c r="CC185"/>
      <c r="CD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Z185"/>
      <c r="EA185"/>
      <c r="EB185"/>
      <c r="EC185"/>
      <c r="ED185"/>
      <c r="EE185"/>
      <c r="EF185"/>
      <c r="EG185"/>
      <c r="EH185"/>
      <c r="EJ185"/>
      <c r="EK185"/>
      <c r="EL185"/>
      <c r="EM185"/>
      <c r="EN185"/>
      <c r="EO185"/>
      <c r="EP185"/>
      <c r="EQ185"/>
      <c r="ER185"/>
      <c r="ES185"/>
      <c r="ET185"/>
      <c r="EU185"/>
      <c r="EV185"/>
      <c r="EW185"/>
      <c r="EX185"/>
      <c r="EY185"/>
      <c r="EZ185"/>
      <c r="FA185"/>
      <c r="FB185"/>
      <c r="FC185"/>
      <c r="FD185"/>
      <c r="FE185"/>
      <c r="FF185"/>
      <c r="FG185"/>
      <c r="FH185"/>
      <c r="FI185"/>
      <c r="FK185" s="449">
        <v>22.010999999999999</v>
      </c>
      <c r="FL185" s="449" t="s">
        <v>406</v>
      </c>
      <c r="FM185" s="449"/>
      <c r="FN185" s="452"/>
      <c r="FO185" s="452">
        <v>1</v>
      </c>
      <c r="FP185" s="452"/>
      <c r="FQ185" s="452"/>
      <c r="FR185" s="452"/>
      <c r="FS185" s="452"/>
      <c r="FT185" s="452"/>
      <c r="FU185" s="452"/>
      <c r="FV185" s="452"/>
      <c r="FW185" s="452"/>
      <c r="FX185" s="452"/>
      <c r="FY185" s="452"/>
      <c r="FZ185" s="453"/>
      <c r="GA185"/>
      <c r="GB185"/>
      <c r="GC185"/>
      <c r="GD185"/>
    </row>
    <row r="186" spans="27:186" x14ac:dyDescent="0.15">
      <c r="AG186"/>
      <c r="AH186"/>
      <c r="AJ186"/>
      <c r="AK186"/>
      <c r="AL186"/>
      <c r="AM186"/>
      <c r="AN186"/>
      <c r="AO186"/>
      <c r="AP186"/>
      <c r="AQ186"/>
      <c r="AR186"/>
      <c r="AS186"/>
      <c r="AT186"/>
      <c r="AU186"/>
      <c r="AV186"/>
      <c r="AW186"/>
      <c r="AX186"/>
      <c r="AY186"/>
      <c r="AZ186"/>
      <c r="BA186"/>
      <c r="BB186"/>
      <c r="BC186"/>
      <c r="BD186"/>
      <c r="BE186"/>
      <c r="BF186"/>
      <c r="BH186"/>
      <c r="BI186"/>
      <c r="BJ186"/>
      <c r="BK186"/>
      <c r="BL186"/>
      <c r="BM186"/>
      <c r="BN186"/>
      <c r="BP186"/>
      <c r="BQ186"/>
      <c r="BR186"/>
      <c r="BS186"/>
      <c r="BT186"/>
      <c r="BU186"/>
      <c r="BV186"/>
      <c r="BW186"/>
      <c r="BZ186"/>
      <c r="CA186"/>
      <c r="CB186"/>
      <c r="CC186"/>
      <c r="CD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Z186"/>
      <c r="EA186"/>
      <c r="EB186"/>
      <c r="EC186"/>
      <c r="ED186"/>
      <c r="EE186"/>
      <c r="EF186"/>
      <c r="EG186"/>
      <c r="EH186"/>
      <c r="EJ186"/>
      <c r="EK186"/>
      <c r="EL186"/>
      <c r="EM186"/>
      <c r="EN186"/>
      <c r="EO186"/>
      <c r="EP186"/>
      <c r="EQ186"/>
      <c r="ER186"/>
      <c r="ES186"/>
      <c r="ET186"/>
      <c r="EU186"/>
      <c r="EV186"/>
      <c r="EW186"/>
      <c r="EX186"/>
      <c r="EY186"/>
      <c r="EZ186"/>
      <c r="FA186"/>
      <c r="FB186"/>
      <c r="FC186"/>
      <c r="FD186"/>
      <c r="FE186"/>
      <c r="FF186"/>
      <c r="FG186"/>
      <c r="FH186"/>
      <c r="FI186"/>
      <c r="FK186" s="449" t="s">
        <v>6838</v>
      </c>
      <c r="FL186" s="457"/>
      <c r="FM186" s="449"/>
      <c r="FN186" s="452"/>
      <c r="FO186" s="452">
        <v>1</v>
      </c>
      <c r="FP186" s="452"/>
      <c r="FQ186" s="452"/>
      <c r="FR186" s="452"/>
      <c r="FS186" s="452"/>
      <c r="FT186" s="452"/>
      <c r="FU186" s="452"/>
      <c r="FV186" s="452"/>
      <c r="FW186" s="452"/>
      <c r="FX186" s="452"/>
      <c r="FY186" s="452"/>
      <c r="FZ186" s="453"/>
      <c r="GA186"/>
      <c r="GB186"/>
      <c r="GC186"/>
      <c r="GD186"/>
    </row>
    <row r="187" spans="27:186" x14ac:dyDescent="0.15">
      <c r="AG187"/>
      <c r="AH187"/>
      <c r="AJ187"/>
      <c r="AK187"/>
      <c r="AL187"/>
      <c r="AM187"/>
      <c r="AN187"/>
      <c r="AO187"/>
      <c r="AP187"/>
      <c r="AQ187"/>
      <c r="AR187"/>
      <c r="AS187"/>
      <c r="AT187"/>
      <c r="AU187"/>
      <c r="AV187"/>
      <c r="AW187"/>
      <c r="AX187"/>
      <c r="AY187"/>
      <c r="AZ187"/>
      <c r="BA187"/>
      <c r="BB187"/>
      <c r="BC187"/>
      <c r="BD187"/>
      <c r="BE187"/>
      <c r="BF187"/>
      <c r="BH187"/>
      <c r="BI187"/>
      <c r="BJ187"/>
      <c r="BK187"/>
      <c r="BL187"/>
      <c r="BM187"/>
      <c r="BN187"/>
      <c r="BP187"/>
      <c r="BQ187"/>
      <c r="BR187"/>
      <c r="BS187"/>
      <c r="BT187"/>
      <c r="BU187"/>
      <c r="BV187"/>
      <c r="BW187"/>
      <c r="BZ187"/>
      <c r="CA187"/>
      <c r="CB187"/>
      <c r="CC187"/>
      <c r="CD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Z187"/>
      <c r="EA187"/>
      <c r="EB187"/>
      <c r="EC187"/>
      <c r="ED187"/>
      <c r="EE187"/>
      <c r="EF187"/>
      <c r="EG187"/>
      <c r="EH187"/>
      <c r="EJ187"/>
      <c r="EK187"/>
      <c r="EL187"/>
      <c r="EM187"/>
      <c r="EN187"/>
      <c r="EO187"/>
      <c r="EP187"/>
      <c r="EQ187"/>
      <c r="ER187"/>
      <c r="ES187"/>
      <c r="ET187"/>
      <c r="EU187"/>
      <c r="EV187"/>
      <c r="EW187"/>
      <c r="EX187"/>
      <c r="EY187"/>
      <c r="EZ187"/>
      <c r="FA187"/>
      <c r="FB187"/>
      <c r="FC187"/>
      <c r="FD187"/>
      <c r="FE187"/>
      <c r="FF187"/>
      <c r="FG187"/>
      <c r="FH187"/>
      <c r="FI187"/>
      <c r="FK187" s="449">
        <v>12.353999999999999</v>
      </c>
      <c r="FL187" s="449" t="s">
        <v>446</v>
      </c>
      <c r="FM187" s="449"/>
      <c r="FN187" s="452">
        <v>1</v>
      </c>
      <c r="FO187" s="452"/>
      <c r="FP187" s="452"/>
      <c r="FQ187" s="452"/>
      <c r="FR187" s="452"/>
      <c r="FS187" s="452"/>
      <c r="FT187" s="452"/>
      <c r="FU187" s="452"/>
      <c r="FV187" s="452"/>
      <c r="FW187" s="452"/>
      <c r="FX187" s="452"/>
      <c r="FY187" s="452"/>
      <c r="FZ187" s="453"/>
      <c r="GA187"/>
      <c r="GB187"/>
      <c r="GC187"/>
      <c r="GD187"/>
    </row>
    <row r="188" spans="27:186" x14ac:dyDescent="0.15">
      <c r="AG188"/>
      <c r="AH188"/>
      <c r="AJ188"/>
      <c r="AK188"/>
      <c r="AL188"/>
      <c r="AM188"/>
      <c r="AN188"/>
      <c r="AO188"/>
      <c r="AP188"/>
      <c r="AQ188"/>
      <c r="AR188"/>
      <c r="AS188"/>
      <c r="AT188"/>
      <c r="AU188"/>
      <c r="AV188"/>
      <c r="AW188"/>
      <c r="AX188"/>
      <c r="AY188"/>
      <c r="AZ188"/>
      <c r="BA188"/>
      <c r="BB188"/>
      <c r="BC188"/>
      <c r="BD188"/>
      <c r="BE188"/>
      <c r="BF188"/>
      <c r="BH188"/>
      <c r="BI188"/>
      <c r="BJ188"/>
      <c r="BK188"/>
      <c r="BL188"/>
      <c r="BM188"/>
      <c r="BN188"/>
      <c r="BP188"/>
      <c r="BQ188"/>
      <c r="BR188"/>
      <c r="BS188"/>
      <c r="BT188"/>
      <c r="BU188"/>
      <c r="BV188"/>
      <c r="BW188"/>
      <c r="BZ188"/>
      <c r="CA188"/>
      <c r="CB188"/>
      <c r="CC188"/>
      <c r="CD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Z188"/>
      <c r="EA188"/>
      <c r="EB188"/>
      <c r="EC188"/>
      <c r="ED188"/>
      <c r="EE188"/>
      <c r="EF188"/>
      <c r="EG188"/>
      <c r="EH188"/>
      <c r="EJ188"/>
      <c r="EK188"/>
      <c r="EL188"/>
      <c r="EM188"/>
      <c r="EN188"/>
      <c r="EO188"/>
      <c r="EP188"/>
      <c r="EQ188"/>
      <c r="ER188"/>
      <c r="ES188"/>
      <c r="ET188"/>
      <c r="EU188"/>
      <c r="EV188"/>
      <c r="EW188"/>
      <c r="EX188"/>
      <c r="EY188"/>
      <c r="EZ188"/>
      <c r="FA188"/>
      <c r="FB188"/>
      <c r="FC188"/>
      <c r="FD188"/>
      <c r="FE188"/>
      <c r="FF188"/>
      <c r="FG188"/>
      <c r="FH188"/>
      <c r="FI188"/>
      <c r="FK188" s="449" t="s">
        <v>6839</v>
      </c>
      <c r="FL188" s="457"/>
      <c r="FM188" s="449"/>
      <c r="FN188" s="452">
        <v>1</v>
      </c>
      <c r="FO188" s="452"/>
      <c r="FP188" s="452"/>
      <c r="FQ188" s="452"/>
      <c r="FR188" s="452"/>
      <c r="FS188" s="452"/>
      <c r="FT188" s="452"/>
      <c r="FU188" s="452"/>
      <c r="FV188" s="452"/>
      <c r="FW188" s="452"/>
      <c r="FX188" s="452"/>
      <c r="FY188" s="452"/>
      <c r="FZ188" s="453"/>
      <c r="GA188"/>
      <c r="GB188"/>
      <c r="GC188"/>
      <c r="GD188"/>
    </row>
    <row r="189" spans="27:186" x14ac:dyDescent="0.15">
      <c r="AG189"/>
      <c r="AH189"/>
      <c r="AJ189"/>
      <c r="AK189"/>
      <c r="AL189"/>
      <c r="AM189"/>
      <c r="AN189"/>
      <c r="AO189"/>
      <c r="AP189"/>
      <c r="AQ189"/>
      <c r="AR189"/>
      <c r="AS189"/>
      <c r="AT189"/>
      <c r="AU189"/>
      <c r="AV189"/>
      <c r="AW189"/>
      <c r="AX189"/>
      <c r="AY189"/>
      <c r="AZ189"/>
      <c r="BA189"/>
      <c r="BB189"/>
      <c r="BC189"/>
      <c r="BD189"/>
      <c r="BE189"/>
      <c r="BF189"/>
      <c r="BH189"/>
      <c r="BI189"/>
      <c r="BJ189"/>
      <c r="BK189"/>
      <c r="BL189"/>
      <c r="BM189"/>
      <c r="BN189"/>
      <c r="BP189"/>
      <c r="BQ189"/>
      <c r="BR189"/>
      <c r="BS189"/>
      <c r="BT189"/>
      <c r="BU189"/>
      <c r="BV189"/>
      <c r="BW189"/>
      <c r="BZ189"/>
      <c r="CA189"/>
      <c r="CB189"/>
      <c r="CC189"/>
      <c r="CD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Z189"/>
      <c r="EA189"/>
      <c r="EB189"/>
      <c r="EC189"/>
      <c r="ED189"/>
      <c r="EE189"/>
      <c r="EF189"/>
      <c r="EG189"/>
      <c r="EH189"/>
      <c r="EJ189"/>
      <c r="EK189"/>
      <c r="EL189"/>
      <c r="EM189"/>
      <c r="EN189"/>
      <c r="EO189"/>
      <c r="EP189"/>
      <c r="EQ189"/>
      <c r="ER189"/>
      <c r="ES189"/>
      <c r="ET189"/>
      <c r="EU189"/>
      <c r="EV189"/>
      <c r="EW189"/>
      <c r="EX189"/>
      <c r="EY189"/>
      <c r="EZ189"/>
      <c r="FA189"/>
      <c r="FB189"/>
      <c r="FC189"/>
      <c r="FD189"/>
      <c r="FE189"/>
      <c r="FF189"/>
      <c r="FG189"/>
      <c r="FH189"/>
      <c r="FI189"/>
      <c r="FK189" s="449">
        <v>3.1059999999999999</v>
      </c>
      <c r="FL189" s="449" t="s">
        <v>396</v>
      </c>
      <c r="FM189" s="449"/>
      <c r="FN189" s="452">
        <v>1</v>
      </c>
      <c r="FO189" s="452"/>
      <c r="FP189" s="452"/>
      <c r="FQ189" s="452"/>
      <c r="FR189" s="452"/>
      <c r="FS189" s="452"/>
      <c r="FT189" s="452"/>
      <c r="FU189" s="452"/>
      <c r="FV189" s="452"/>
      <c r="FW189" s="452"/>
      <c r="FX189" s="452"/>
      <c r="FY189" s="452"/>
      <c r="FZ189" s="453"/>
      <c r="GA189"/>
      <c r="GB189"/>
      <c r="GC189"/>
      <c r="GD189"/>
    </row>
    <row r="190" spans="27:186" x14ac:dyDescent="0.15">
      <c r="AG190"/>
      <c r="AH190"/>
      <c r="AJ190"/>
      <c r="AK190"/>
      <c r="AL190"/>
      <c r="AM190"/>
      <c r="AN190"/>
      <c r="AO190"/>
      <c r="AP190"/>
      <c r="AQ190"/>
      <c r="AR190"/>
      <c r="AS190"/>
      <c r="AT190"/>
      <c r="AU190"/>
      <c r="AV190"/>
      <c r="AW190"/>
      <c r="AX190"/>
      <c r="AY190"/>
      <c r="AZ190"/>
      <c r="BA190"/>
      <c r="BB190"/>
      <c r="BC190"/>
      <c r="BD190"/>
      <c r="BE190"/>
      <c r="BF190"/>
      <c r="BH190"/>
      <c r="BI190"/>
      <c r="BJ190"/>
      <c r="BK190"/>
      <c r="BL190"/>
      <c r="BM190"/>
      <c r="BN190"/>
      <c r="BP190"/>
      <c r="BQ190"/>
      <c r="BR190"/>
      <c r="BS190"/>
      <c r="BT190"/>
      <c r="BU190"/>
      <c r="BV190"/>
      <c r="BW190"/>
      <c r="BZ190"/>
      <c r="CA190"/>
      <c r="CB190"/>
      <c r="CC190"/>
      <c r="CD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Z190"/>
      <c r="EA190"/>
      <c r="EB190"/>
      <c r="EC190"/>
      <c r="ED190"/>
      <c r="EE190"/>
      <c r="EF190"/>
      <c r="EG190"/>
      <c r="EH190"/>
      <c r="EJ190"/>
      <c r="EK190"/>
      <c r="EL190"/>
      <c r="EM190"/>
      <c r="EN190"/>
      <c r="EO190"/>
      <c r="EP190"/>
      <c r="EQ190"/>
      <c r="ER190"/>
      <c r="ES190"/>
      <c r="ET190"/>
      <c r="EU190"/>
      <c r="EV190"/>
      <c r="EW190"/>
      <c r="EX190"/>
      <c r="EY190"/>
      <c r="EZ190"/>
      <c r="FA190"/>
      <c r="FB190"/>
      <c r="FC190"/>
      <c r="FD190"/>
      <c r="FE190"/>
      <c r="FF190"/>
      <c r="FG190"/>
      <c r="FH190"/>
      <c r="FI190"/>
      <c r="FK190" s="449" t="s">
        <v>6840</v>
      </c>
      <c r="FL190" s="457"/>
      <c r="FM190" s="449"/>
      <c r="FN190" s="452">
        <v>1</v>
      </c>
      <c r="FO190" s="452"/>
      <c r="FP190" s="452"/>
      <c r="FQ190" s="452"/>
      <c r="FR190" s="452"/>
      <c r="FS190" s="452"/>
      <c r="FT190" s="452"/>
      <c r="FU190" s="452"/>
      <c r="FV190" s="452"/>
      <c r="FW190" s="452"/>
      <c r="FX190" s="452"/>
      <c r="FY190" s="452"/>
      <c r="FZ190" s="453"/>
      <c r="GA190"/>
      <c r="GB190"/>
      <c r="GC190"/>
      <c r="GD190"/>
    </row>
    <row r="191" spans="27:186" x14ac:dyDescent="0.15">
      <c r="AG191"/>
      <c r="AH191"/>
      <c r="AJ191"/>
      <c r="AK191"/>
      <c r="AL191"/>
      <c r="AM191"/>
      <c r="AN191"/>
      <c r="AO191"/>
      <c r="AP191"/>
      <c r="AQ191"/>
      <c r="AR191"/>
      <c r="AS191"/>
      <c r="AT191"/>
      <c r="AU191"/>
      <c r="AV191"/>
      <c r="AW191"/>
      <c r="AX191"/>
      <c r="AY191"/>
      <c r="AZ191"/>
      <c r="BA191"/>
      <c r="BB191"/>
      <c r="BC191"/>
      <c r="BD191"/>
      <c r="BE191"/>
      <c r="BF191"/>
      <c r="BH191"/>
      <c r="BI191"/>
      <c r="BJ191"/>
      <c r="BK191"/>
      <c r="BL191"/>
      <c r="BM191"/>
      <c r="BN191"/>
      <c r="BP191"/>
      <c r="BQ191"/>
      <c r="BR191"/>
      <c r="BS191"/>
      <c r="BT191"/>
      <c r="BU191"/>
      <c r="BV191"/>
      <c r="BW191"/>
      <c r="BZ191"/>
      <c r="CA191"/>
      <c r="CB191"/>
      <c r="CC191"/>
      <c r="CD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Z191"/>
      <c r="EA191"/>
      <c r="EB191"/>
      <c r="EC191"/>
      <c r="ED191"/>
      <c r="EE191"/>
      <c r="EF191"/>
      <c r="EG191"/>
      <c r="EH191"/>
      <c r="EJ191"/>
      <c r="EK191"/>
      <c r="EL191"/>
      <c r="EM191"/>
      <c r="EN191"/>
      <c r="EO191"/>
      <c r="EP191"/>
      <c r="EQ191"/>
      <c r="ER191"/>
      <c r="ES191"/>
      <c r="ET191"/>
      <c r="EU191"/>
      <c r="EV191"/>
      <c r="EW191"/>
      <c r="EX191"/>
      <c r="EY191"/>
      <c r="EZ191"/>
      <c r="FA191"/>
      <c r="FB191"/>
      <c r="FC191"/>
      <c r="FD191"/>
      <c r="FE191"/>
      <c r="FF191"/>
      <c r="FG191"/>
      <c r="FH191"/>
      <c r="FI191"/>
      <c r="FK191" s="449">
        <v>3.347</v>
      </c>
      <c r="FL191" s="449" t="s">
        <v>411</v>
      </c>
      <c r="FM191" s="449"/>
      <c r="FN191" s="452"/>
      <c r="FO191" s="452"/>
      <c r="FP191" s="452"/>
      <c r="FQ191" s="452">
        <v>1</v>
      </c>
      <c r="FR191" s="452"/>
      <c r="FS191" s="452"/>
      <c r="FT191" s="452"/>
      <c r="FU191" s="452"/>
      <c r="FV191" s="452"/>
      <c r="FW191" s="452"/>
      <c r="FX191" s="452"/>
      <c r="FY191" s="452"/>
      <c r="FZ191" s="453"/>
      <c r="GA191"/>
      <c r="GB191"/>
      <c r="GC191"/>
      <c r="GD191"/>
    </row>
    <row r="192" spans="27:186" x14ac:dyDescent="0.15">
      <c r="AG192"/>
      <c r="AH192"/>
      <c r="AJ192"/>
      <c r="AK192"/>
      <c r="AL192"/>
      <c r="AM192"/>
      <c r="AN192"/>
      <c r="AO192"/>
      <c r="AP192"/>
      <c r="AQ192"/>
      <c r="AR192"/>
      <c r="AS192"/>
      <c r="AT192"/>
      <c r="AU192"/>
      <c r="AV192"/>
      <c r="AW192"/>
      <c r="AX192"/>
      <c r="AY192"/>
      <c r="AZ192"/>
      <c r="BA192"/>
      <c r="BB192"/>
      <c r="BC192"/>
      <c r="BD192"/>
      <c r="BE192"/>
      <c r="BF192"/>
      <c r="BH192"/>
      <c r="BI192"/>
      <c r="BJ192"/>
      <c r="BK192"/>
      <c r="BL192"/>
      <c r="BM192"/>
      <c r="BN192"/>
      <c r="BP192"/>
      <c r="BQ192"/>
      <c r="BR192"/>
      <c r="BS192"/>
      <c r="BT192"/>
      <c r="BU192"/>
      <c r="BV192"/>
      <c r="BW192"/>
      <c r="BZ192"/>
      <c r="CA192"/>
      <c r="CB192"/>
      <c r="CC192"/>
      <c r="CD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Z192"/>
      <c r="EA192"/>
      <c r="EB192"/>
      <c r="EC192"/>
      <c r="ED192"/>
      <c r="EE192"/>
      <c r="EF192"/>
      <c r="EG192"/>
      <c r="EH192"/>
      <c r="EJ192"/>
      <c r="EK192"/>
      <c r="EL192"/>
      <c r="EM192"/>
      <c r="EN192"/>
      <c r="EO192"/>
      <c r="EP192"/>
      <c r="EQ192"/>
      <c r="ER192"/>
      <c r="ES192"/>
      <c r="ET192"/>
      <c r="EU192"/>
      <c r="EV192"/>
      <c r="EW192"/>
      <c r="EX192"/>
      <c r="EY192"/>
      <c r="EZ192"/>
      <c r="FA192"/>
      <c r="FB192"/>
      <c r="FC192"/>
      <c r="FD192"/>
      <c r="FE192"/>
      <c r="FF192"/>
      <c r="FG192"/>
      <c r="FH192"/>
      <c r="FI192"/>
      <c r="FK192" s="449" t="s">
        <v>6841</v>
      </c>
      <c r="FL192" s="457"/>
      <c r="FM192" s="449"/>
      <c r="FN192" s="452"/>
      <c r="FO192" s="452"/>
      <c r="FP192" s="452"/>
      <c r="FQ192" s="452">
        <v>1</v>
      </c>
      <c r="FR192" s="452"/>
      <c r="FS192" s="452"/>
      <c r="FT192" s="452"/>
      <c r="FU192" s="452"/>
      <c r="FV192" s="452"/>
      <c r="FW192" s="452"/>
      <c r="FX192" s="452"/>
      <c r="FY192" s="452"/>
      <c r="FZ192" s="453"/>
      <c r="GA192"/>
      <c r="GB192"/>
      <c r="GC192"/>
      <c r="GD192"/>
    </row>
    <row r="193" spans="1:186" x14ac:dyDescent="0.15">
      <c r="AG193"/>
      <c r="AH193"/>
      <c r="AJ193"/>
      <c r="AK193"/>
      <c r="AL193"/>
      <c r="AM193"/>
      <c r="AN193"/>
      <c r="AO193"/>
      <c r="AP193"/>
      <c r="AQ193"/>
      <c r="AR193"/>
      <c r="AS193"/>
      <c r="AT193"/>
      <c r="AU193"/>
      <c r="AV193"/>
      <c r="AW193"/>
      <c r="AX193"/>
      <c r="AY193"/>
      <c r="AZ193"/>
      <c r="BA193"/>
      <c r="BB193"/>
      <c r="BC193"/>
      <c r="BD193"/>
      <c r="BE193"/>
      <c r="BF193"/>
      <c r="BH193"/>
      <c r="BI193"/>
      <c r="BJ193"/>
      <c r="BK193"/>
      <c r="BL193"/>
      <c r="BM193"/>
      <c r="BN193"/>
      <c r="BP193"/>
      <c r="BQ193"/>
      <c r="BR193"/>
      <c r="BS193"/>
      <c r="BT193"/>
      <c r="BU193"/>
      <c r="BV193"/>
      <c r="BW193"/>
      <c r="BZ193"/>
      <c r="CA193"/>
      <c r="CB193"/>
      <c r="CC193"/>
      <c r="CD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Z193"/>
      <c r="EA193"/>
      <c r="EB193"/>
      <c r="EC193"/>
      <c r="ED193"/>
      <c r="EE193"/>
      <c r="EF193"/>
      <c r="EG193"/>
      <c r="EH193"/>
      <c r="EJ193"/>
      <c r="EK193"/>
      <c r="EL193"/>
      <c r="EM193"/>
      <c r="EN193"/>
      <c r="EO193"/>
      <c r="EP193"/>
      <c r="EQ193"/>
      <c r="ER193"/>
      <c r="ES193"/>
      <c r="ET193"/>
      <c r="EU193"/>
      <c r="EV193"/>
      <c r="EW193"/>
      <c r="EX193"/>
      <c r="EY193"/>
      <c r="EZ193"/>
      <c r="FA193"/>
      <c r="FB193"/>
      <c r="FC193"/>
      <c r="FD193"/>
      <c r="FE193"/>
      <c r="FF193"/>
      <c r="FG193"/>
      <c r="FH193"/>
      <c r="FI193"/>
      <c r="FK193" s="449">
        <v>1.2</v>
      </c>
      <c r="FL193" s="449" t="s">
        <v>406</v>
      </c>
      <c r="FM193" s="449"/>
      <c r="FN193" s="452">
        <v>1</v>
      </c>
      <c r="FO193" s="452"/>
      <c r="FP193" s="452"/>
      <c r="FQ193" s="452"/>
      <c r="FR193" s="452"/>
      <c r="FS193" s="452"/>
      <c r="FT193" s="452"/>
      <c r="FU193" s="452"/>
      <c r="FV193" s="452"/>
      <c r="FW193" s="452"/>
      <c r="FX193" s="452"/>
      <c r="FY193" s="452"/>
      <c r="FZ193" s="453"/>
      <c r="GA193"/>
      <c r="GB193"/>
      <c r="GC193"/>
      <c r="GD193"/>
    </row>
    <row r="194" spans="1:186" x14ac:dyDescent="0.15">
      <c r="AG194"/>
      <c r="AH194"/>
      <c r="AJ194"/>
      <c r="AK194"/>
      <c r="AL194"/>
      <c r="AM194"/>
      <c r="AO194"/>
      <c r="AP194"/>
      <c r="AQ194"/>
      <c r="AR194"/>
      <c r="AS194"/>
      <c r="AT194"/>
      <c r="AU194"/>
      <c r="AV194"/>
      <c r="AW194"/>
      <c r="AX194"/>
      <c r="AY194"/>
      <c r="AZ194"/>
      <c r="BA194"/>
      <c r="BB194"/>
      <c r="BC194"/>
      <c r="BD194"/>
      <c r="BE194"/>
      <c r="BF194"/>
      <c r="BH194"/>
      <c r="BI194"/>
      <c r="BJ194"/>
      <c r="BK194"/>
      <c r="BL194"/>
      <c r="BM194"/>
      <c r="BN194"/>
      <c r="BP194"/>
      <c r="BQ194"/>
      <c r="BR194"/>
      <c r="BS194"/>
      <c r="BT194"/>
      <c r="BU194"/>
      <c r="BV194"/>
      <c r="BW194"/>
      <c r="BZ194"/>
      <c r="CA194"/>
      <c r="CB194"/>
      <c r="CC194"/>
      <c r="CD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Z194"/>
      <c r="EA194"/>
      <c r="EB194"/>
      <c r="EC194"/>
      <c r="ED194"/>
      <c r="EE194"/>
      <c r="EF194"/>
      <c r="EG194"/>
      <c r="EJ194"/>
      <c r="EK194"/>
      <c r="EL194"/>
      <c r="EM194"/>
      <c r="EN194"/>
      <c r="EO194"/>
      <c r="EP194"/>
      <c r="EQ194"/>
      <c r="ER194"/>
      <c r="ES194"/>
      <c r="ET194"/>
      <c r="EU194"/>
      <c r="EV194"/>
      <c r="EW194"/>
      <c r="EX194"/>
      <c r="EY194"/>
      <c r="EZ194"/>
      <c r="FA194"/>
      <c r="FB194"/>
      <c r="FC194"/>
      <c r="FD194"/>
      <c r="FE194"/>
      <c r="FF194"/>
      <c r="FG194"/>
      <c r="FH194"/>
      <c r="FK194" s="449" t="s">
        <v>6842</v>
      </c>
      <c r="FL194" s="457"/>
      <c r="FM194" s="449"/>
      <c r="FN194" s="452">
        <v>1</v>
      </c>
      <c r="FO194" s="452"/>
      <c r="FP194" s="452"/>
      <c r="FQ194" s="452"/>
      <c r="FR194" s="452"/>
      <c r="FS194" s="452"/>
      <c r="FT194" s="452"/>
      <c r="FU194" s="452"/>
      <c r="FV194" s="452"/>
      <c r="FW194" s="452"/>
      <c r="FX194" s="452"/>
      <c r="FY194" s="452"/>
      <c r="FZ194" s="453"/>
      <c r="GA194"/>
      <c r="GB194"/>
      <c r="GC194"/>
      <c r="GD194"/>
    </row>
    <row r="195" spans="1:186" x14ac:dyDescent="0.15">
      <c r="AG195"/>
      <c r="AH195"/>
      <c r="AJ195"/>
      <c r="AK195"/>
      <c r="AL195"/>
      <c r="AM195"/>
      <c r="AO195"/>
      <c r="AP195"/>
      <c r="AQ195"/>
      <c r="AR195"/>
      <c r="AS195"/>
      <c r="AT195"/>
      <c r="AU195"/>
      <c r="AV195"/>
      <c r="AW195"/>
      <c r="AX195"/>
      <c r="AY195"/>
      <c r="AZ195"/>
      <c r="BA195"/>
      <c r="BB195"/>
      <c r="BC195"/>
      <c r="BD195"/>
      <c r="BE195"/>
      <c r="BF195"/>
      <c r="BH195"/>
      <c r="BI195"/>
      <c r="BJ195"/>
      <c r="BK195"/>
      <c r="BL195"/>
      <c r="BM195"/>
      <c r="BN195"/>
      <c r="BP195"/>
      <c r="BQ195"/>
      <c r="BR195"/>
      <c r="BS195"/>
      <c r="BT195"/>
      <c r="BU195"/>
      <c r="BV195"/>
      <c r="BW195"/>
      <c r="BZ195"/>
      <c r="CA195"/>
      <c r="CB195"/>
      <c r="CC195"/>
      <c r="CD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Z195"/>
      <c r="EA195"/>
      <c r="EB195"/>
      <c r="EC195"/>
      <c r="ED195"/>
      <c r="EE195"/>
      <c r="EF195"/>
      <c r="EG195"/>
      <c r="EJ195"/>
      <c r="EK195"/>
      <c r="EL195"/>
      <c r="EM195"/>
      <c r="EN195"/>
      <c r="EO195"/>
      <c r="EP195"/>
      <c r="EQ195"/>
      <c r="ER195"/>
      <c r="ES195"/>
      <c r="ET195"/>
      <c r="EU195"/>
      <c r="EV195"/>
      <c r="EW195"/>
      <c r="EX195"/>
      <c r="EY195"/>
      <c r="EZ195"/>
      <c r="FA195"/>
      <c r="FB195"/>
      <c r="FC195"/>
      <c r="FD195"/>
      <c r="FE195"/>
      <c r="FF195"/>
      <c r="FG195"/>
      <c r="FH195"/>
      <c r="FK195" s="449">
        <v>9.9700000000000006</v>
      </c>
      <c r="FL195" s="449" t="s">
        <v>411</v>
      </c>
      <c r="FM195" s="449"/>
      <c r="FN195" s="452">
        <v>1</v>
      </c>
      <c r="FO195" s="452"/>
      <c r="FP195" s="452"/>
      <c r="FQ195" s="452"/>
      <c r="FR195" s="452"/>
      <c r="FS195" s="452"/>
      <c r="FT195" s="452"/>
      <c r="FU195" s="452"/>
      <c r="FV195" s="452"/>
      <c r="FW195" s="452"/>
      <c r="FX195" s="452"/>
      <c r="FY195" s="452"/>
      <c r="FZ195" s="453"/>
      <c r="GA195"/>
      <c r="GB195"/>
      <c r="GC195"/>
      <c r="GD195"/>
    </row>
    <row r="196" spans="1:186" x14ac:dyDescent="0.15">
      <c r="A196" s="30" t="s">
        <v>148</v>
      </c>
      <c r="AG196"/>
      <c r="AH196"/>
      <c r="AJ196"/>
      <c r="AK196"/>
      <c r="AL196"/>
      <c r="AM196"/>
      <c r="AO196"/>
      <c r="AP196"/>
      <c r="AQ196"/>
      <c r="AR196"/>
      <c r="AS196"/>
      <c r="AT196"/>
      <c r="AU196"/>
      <c r="AV196"/>
      <c r="AW196"/>
      <c r="AX196"/>
      <c r="AY196"/>
      <c r="AZ196"/>
      <c r="BA196"/>
      <c r="BB196"/>
      <c r="BC196"/>
      <c r="BD196"/>
      <c r="BE196"/>
      <c r="BF196"/>
      <c r="BH196"/>
      <c r="BI196"/>
      <c r="BJ196"/>
      <c r="BK196"/>
      <c r="BL196"/>
      <c r="BM196"/>
      <c r="BN196"/>
      <c r="BP196"/>
      <c r="BQ196"/>
      <c r="BR196"/>
      <c r="BS196"/>
      <c r="BT196"/>
      <c r="BU196"/>
      <c r="BV196"/>
      <c r="BW196"/>
      <c r="BZ196"/>
      <c r="CA196"/>
      <c r="CB196"/>
      <c r="CC196"/>
      <c r="CD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Z196"/>
      <c r="EA196"/>
      <c r="EB196"/>
      <c r="EC196"/>
      <c r="ED196"/>
      <c r="EE196"/>
      <c r="EF196"/>
      <c r="EG196"/>
      <c r="EJ196"/>
      <c r="EK196"/>
      <c r="EL196"/>
      <c r="EM196"/>
      <c r="EN196"/>
      <c r="EO196"/>
      <c r="EP196"/>
      <c r="EQ196"/>
      <c r="ER196"/>
      <c r="ES196"/>
      <c r="ET196"/>
      <c r="EU196"/>
      <c r="EV196"/>
      <c r="EW196"/>
      <c r="EX196"/>
      <c r="EY196"/>
      <c r="EZ196"/>
      <c r="FA196"/>
      <c r="FB196"/>
      <c r="FC196"/>
      <c r="FD196"/>
      <c r="FE196"/>
      <c r="FF196"/>
      <c r="FG196"/>
      <c r="FH196"/>
      <c r="FK196" s="449" t="s">
        <v>6843</v>
      </c>
      <c r="FL196" s="457"/>
      <c r="FM196" s="449"/>
      <c r="FN196" s="452">
        <v>1</v>
      </c>
      <c r="FO196" s="452"/>
      <c r="FP196" s="452"/>
      <c r="FQ196" s="452"/>
      <c r="FR196" s="452"/>
      <c r="FS196" s="452"/>
      <c r="FT196" s="452"/>
      <c r="FU196" s="452"/>
      <c r="FV196" s="452"/>
      <c r="FW196" s="452"/>
      <c r="FX196" s="452"/>
      <c r="FY196" s="452"/>
      <c r="FZ196" s="453"/>
      <c r="GA196"/>
      <c r="GB196"/>
      <c r="GC196"/>
      <c r="GD196"/>
    </row>
    <row r="197" spans="1:186" x14ac:dyDescent="0.15">
      <c r="A197" s="30" t="s">
        <v>147</v>
      </c>
      <c r="AG197"/>
      <c r="AH197"/>
      <c r="AJ197"/>
      <c r="AK197"/>
      <c r="AL197"/>
      <c r="AM197"/>
      <c r="AO197"/>
      <c r="AP197"/>
      <c r="AQ197"/>
      <c r="AR197"/>
      <c r="AS197"/>
      <c r="AT197"/>
      <c r="AU197"/>
      <c r="AV197"/>
      <c r="AW197"/>
      <c r="AX197"/>
      <c r="AY197"/>
      <c r="AZ197"/>
      <c r="BA197"/>
      <c r="BB197"/>
      <c r="BC197"/>
      <c r="BD197"/>
      <c r="BE197"/>
      <c r="BF197"/>
      <c r="BH197"/>
      <c r="BI197"/>
      <c r="BJ197"/>
      <c r="BK197"/>
      <c r="BL197"/>
      <c r="BM197"/>
      <c r="BN197"/>
      <c r="BP197"/>
      <c r="BQ197"/>
      <c r="BR197"/>
      <c r="BS197"/>
      <c r="BT197"/>
      <c r="BU197"/>
      <c r="BV197"/>
      <c r="BW197"/>
      <c r="BZ197"/>
      <c r="CA197"/>
      <c r="CB197"/>
      <c r="CC197"/>
      <c r="CD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Z197"/>
      <c r="EA197"/>
      <c r="EB197"/>
      <c r="EC197"/>
      <c r="ED197"/>
      <c r="EE197"/>
      <c r="EF197"/>
      <c r="EG197"/>
      <c r="EJ197"/>
      <c r="EK197"/>
      <c r="EL197"/>
      <c r="EM197"/>
      <c r="EN197"/>
      <c r="EO197"/>
      <c r="EP197"/>
      <c r="EQ197"/>
      <c r="ER197"/>
      <c r="ES197"/>
      <c r="ET197"/>
      <c r="EU197"/>
      <c r="EV197"/>
      <c r="EW197"/>
      <c r="EX197"/>
      <c r="EY197"/>
      <c r="EZ197"/>
      <c r="FA197"/>
      <c r="FB197"/>
      <c r="FC197"/>
      <c r="FD197"/>
      <c r="FE197"/>
      <c r="FF197"/>
      <c r="FG197"/>
      <c r="FH197"/>
      <c r="FK197" s="449">
        <v>24.6</v>
      </c>
      <c r="FL197" s="449" t="s">
        <v>405</v>
      </c>
      <c r="FM197" s="449">
        <v>1</v>
      </c>
      <c r="FN197" s="452"/>
      <c r="FO197" s="452"/>
      <c r="FP197" s="452"/>
      <c r="FQ197" s="452"/>
      <c r="FR197" s="452"/>
      <c r="FS197" s="452"/>
      <c r="FT197" s="452"/>
      <c r="FU197" s="452"/>
      <c r="FV197" s="452"/>
      <c r="FW197" s="452"/>
      <c r="FX197" s="452"/>
      <c r="FY197" s="452"/>
      <c r="FZ197" s="453"/>
      <c r="GA197"/>
      <c r="GB197"/>
      <c r="GC197"/>
      <c r="GD197"/>
    </row>
    <row r="198" spans="1:186" x14ac:dyDescent="0.15">
      <c r="A198" s="30" t="s">
        <v>146</v>
      </c>
      <c r="AG198"/>
      <c r="AH198"/>
      <c r="AJ198"/>
      <c r="AK198"/>
      <c r="AL198"/>
      <c r="AM198"/>
      <c r="AO198"/>
      <c r="AP198"/>
      <c r="AQ198"/>
      <c r="AR198"/>
      <c r="AS198"/>
      <c r="AT198"/>
      <c r="AU198"/>
      <c r="AV198"/>
      <c r="AW198"/>
      <c r="AX198"/>
      <c r="AY198"/>
      <c r="AZ198"/>
      <c r="BA198"/>
      <c r="BB198"/>
      <c r="BC198"/>
      <c r="BD198"/>
      <c r="BE198"/>
      <c r="BF198"/>
      <c r="BH198"/>
      <c r="BI198"/>
      <c r="BJ198"/>
      <c r="BK198"/>
      <c r="BL198"/>
      <c r="BM198"/>
      <c r="BN198"/>
      <c r="BP198"/>
      <c r="BQ198"/>
      <c r="BR198"/>
      <c r="BS198"/>
      <c r="BT198"/>
      <c r="BU198"/>
      <c r="BV198"/>
      <c r="BW198"/>
      <c r="BZ198"/>
      <c r="CA198"/>
      <c r="CB198"/>
      <c r="CC198"/>
      <c r="CD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Z198"/>
      <c r="EA198"/>
      <c r="EB198"/>
      <c r="EC198"/>
      <c r="ED198"/>
      <c r="EE198"/>
      <c r="EF198"/>
      <c r="EG198"/>
      <c r="EJ198"/>
      <c r="EK198"/>
      <c r="EL198"/>
      <c r="EM198"/>
      <c r="EN198"/>
      <c r="EO198"/>
      <c r="EP198"/>
      <c r="EQ198"/>
      <c r="ER198"/>
      <c r="ES198"/>
      <c r="ET198"/>
      <c r="EU198"/>
      <c r="EV198"/>
      <c r="EW198"/>
      <c r="EX198"/>
      <c r="EY198"/>
      <c r="EZ198"/>
      <c r="FA198"/>
      <c r="FB198"/>
      <c r="FC198"/>
      <c r="FD198"/>
      <c r="FE198"/>
      <c r="FF198"/>
      <c r="FG198"/>
      <c r="FH198"/>
      <c r="FK198" s="449" t="s">
        <v>6844</v>
      </c>
      <c r="FL198" s="457"/>
      <c r="FM198" s="449">
        <v>1</v>
      </c>
      <c r="FN198" s="452"/>
      <c r="FO198" s="452"/>
      <c r="FP198" s="452"/>
      <c r="FQ198" s="452"/>
      <c r="FR198" s="452"/>
      <c r="FS198" s="452"/>
      <c r="FT198" s="452"/>
      <c r="FU198" s="452"/>
      <c r="FV198" s="452"/>
      <c r="FW198" s="452"/>
      <c r="FX198" s="452"/>
      <c r="FY198" s="452"/>
      <c r="FZ198" s="453"/>
      <c r="GA198"/>
      <c r="GB198"/>
      <c r="GC198"/>
      <c r="GD198"/>
    </row>
    <row r="199" spans="1:186" x14ac:dyDescent="0.15">
      <c r="A199" s="30" t="s">
        <v>145</v>
      </c>
      <c r="AG199"/>
      <c r="AH199"/>
      <c r="AJ199"/>
      <c r="AK199"/>
      <c r="AL199"/>
      <c r="AM199"/>
      <c r="AO199"/>
      <c r="AP199"/>
      <c r="AQ199"/>
      <c r="AR199"/>
      <c r="AS199"/>
      <c r="AT199"/>
      <c r="AU199"/>
      <c r="AV199"/>
      <c r="AW199"/>
      <c r="AX199"/>
      <c r="AY199"/>
      <c r="AZ199"/>
      <c r="BA199"/>
      <c r="BB199"/>
      <c r="BC199"/>
      <c r="BD199"/>
      <c r="BE199"/>
      <c r="BF199"/>
      <c r="BH199"/>
      <c r="BI199"/>
      <c r="BJ199"/>
      <c r="BK199"/>
      <c r="BL199"/>
      <c r="BM199"/>
      <c r="BN199"/>
      <c r="BP199"/>
      <c r="BQ199"/>
      <c r="BR199"/>
      <c r="BS199"/>
      <c r="BT199"/>
      <c r="BU199"/>
      <c r="BV199"/>
      <c r="BW199"/>
      <c r="BZ199"/>
      <c r="CA199"/>
      <c r="CB199"/>
      <c r="CC199"/>
      <c r="CD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Z199"/>
      <c r="EA199"/>
      <c r="EB199"/>
      <c r="EC199"/>
      <c r="ED199"/>
      <c r="EE199"/>
      <c r="EF199"/>
      <c r="EG199"/>
      <c r="EJ199"/>
      <c r="EK199"/>
      <c r="EL199"/>
      <c r="EM199"/>
      <c r="EN199"/>
      <c r="EO199"/>
      <c r="EP199"/>
      <c r="EQ199"/>
      <c r="ER199"/>
      <c r="ES199"/>
      <c r="ET199"/>
      <c r="EU199"/>
      <c r="EV199"/>
      <c r="EW199"/>
      <c r="EX199"/>
      <c r="EY199"/>
      <c r="EZ199"/>
      <c r="FA199"/>
      <c r="FB199"/>
      <c r="FC199"/>
      <c r="FD199"/>
      <c r="FE199"/>
      <c r="FF199"/>
      <c r="FG199"/>
      <c r="FH199"/>
      <c r="FK199" s="449">
        <v>15.5</v>
      </c>
      <c r="FL199" s="449" t="s">
        <v>397</v>
      </c>
      <c r="FM199" s="449"/>
      <c r="FN199" s="452">
        <v>1</v>
      </c>
      <c r="FO199" s="452"/>
      <c r="FP199" s="452"/>
      <c r="FQ199" s="452"/>
      <c r="FR199" s="452"/>
      <c r="FS199" s="452"/>
      <c r="FT199" s="452"/>
      <c r="FU199" s="452"/>
      <c r="FV199" s="452"/>
      <c r="FW199" s="452"/>
      <c r="FX199" s="452"/>
      <c r="FY199" s="452"/>
      <c r="FZ199" s="453"/>
      <c r="GA199"/>
      <c r="GB199"/>
      <c r="GC199"/>
      <c r="GD199"/>
    </row>
    <row r="200" spans="1:186" x14ac:dyDescent="0.15">
      <c r="A200" s="30" t="s">
        <v>144</v>
      </c>
      <c r="AG200"/>
      <c r="AH200"/>
      <c r="AJ200"/>
      <c r="AK200"/>
      <c r="AL200"/>
      <c r="AM200"/>
      <c r="AO200"/>
      <c r="AP200"/>
      <c r="AQ200"/>
      <c r="AR200"/>
      <c r="AS200"/>
      <c r="AT200"/>
      <c r="AU200"/>
      <c r="AV200"/>
      <c r="AW200"/>
      <c r="AX200"/>
      <c r="AY200"/>
      <c r="AZ200"/>
      <c r="BA200"/>
      <c r="BB200"/>
      <c r="BC200"/>
      <c r="BD200"/>
      <c r="BE200"/>
      <c r="BF200"/>
      <c r="BH200"/>
      <c r="BI200"/>
      <c r="BJ200"/>
      <c r="BK200"/>
      <c r="BL200"/>
      <c r="BM200"/>
      <c r="BN200"/>
      <c r="BP200"/>
      <c r="BQ200"/>
      <c r="BR200"/>
      <c r="BS200"/>
      <c r="BT200"/>
      <c r="BU200"/>
      <c r="BV200"/>
      <c r="BW200"/>
      <c r="BZ200"/>
      <c r="CA200"/>
      <c r="CB200"/>
      <c r="CC200"/>
      <c r="CD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Z200"/>
      <c r="EA200"/>
      <c r="EB200"/>
      <c r="EC200"/>
      <c r="ED200"/>
      <c r="EE200"/>
      <c r="EF200"/>
      <c r="EG200"/>
      <c r="EJ200"/>
      <c r="EK200"/>
      <c r="EL200"/>
      <c r="EM200"/>
      <c r="EN200"/>
      <c r="EO200"/>
      <c r="EP200"/>
      <c r="EQ200"/>
      <c r="ER200"/>
      <c r="ES200"/>
      <c r="ET200"/>
      <c r="EU200"/>
      <c r="EV200"/>
      <c r="EW200"/>
      <c r="EX200"/>
      <c r="EY200"/>
      <c r="EZ200"/>
      <c r="FA200"/>
      <c r="FB200"/>
      <c r="FC200"/>
      <c r="FD200"/>
      <c r="FE200"/>
      <c r="FF200"/>
      <c r="FG200"/>
      <c r="FH200"/>
      <c r="FK200" s="449" t="s">
        <v>6845</v>
      </c>
      <c r="FL200" s="457"/>
      <c r="FM200" s="449"/>
      <c r="FN200" s="452">
        <v>1</v>
      </c>
      <c r="FO200" s="452"/>
      <c r="FP200" s="452"/>
      <c r="FQ200" s="452"/>
      <c r="FR200" s="452"/>
      <c r="FS200" s="452"/>
      <c r="FT200" s="452"/>
      <c r="FU200" s="452"/>
      <c r="FV200" s="452"/>
      <c r="FW200" s="452"/>
      <c r="FX200" s="452"/>
      <c r="FY200" s="452"/>
      <c r="FZ200" s="453"/>
      <c r="GA200"/>
      <c r="GB200"/>
      <c r="GC200"/>
      <c r="GD200"/>
    </row>
    <row r="201" spans="1:186" x14ac:dyDescent="0.15">
      <c r="A201" s="30" t="s">
        <v>143</v>
      </c>
      <c r="AG201"/>
      <c r="AH201"/>
      <c r="AJ201"/>
      <c r="AK201"/>
      <c r="AL201"/>
      <c r="AM201"/>
      <c r="AO201"/>
      <c r="AP201"/>
      <c r="AQ201"/>
      <c r="AR201"/>
      <c r="AS201"/>
      <c r="AT201"/>
      <c r="AU201"/>
      <c r="AV201"/>
      <c r="AW201"/>
      <c r="AX201"/>
      <c r="AY201"/>
      <c r="AZ201"/>
      <c r="BA201"/>
      <c r="BB201"/>
      <c r="BC201"/>
      <c r="BD201"/>
      <c r="BE201"/>
      <c r="BF201"/>
      <c r="BH201"/>
      <c r="BI201"/>
      <c r="BJ201"/>
      <c r="BK201"/>
      <c r="BL201"/>
      <c r="BM201"/>
      <c r="BN201"/>
      <c r="BP201"/>
      <c r="BQ201"/>
      <c r="BR201"/>
      <c r="BS201"/>
      <c r="BT201"/>
      <c r="BU201"/>
      <c r="BV201"/>
      <c r="BW201"/>
      <c r="BZ201"/>
      <c r="CA201"/>
      <c r="CB201"/>
      <c r="CC201"/>
      <c r="CD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Z201"/>
      <c r="EA201"/>
      <c r="EB201"/>
      <c r="EC201"/>
      <c r="ED201"/>
      <c r="EE201"/>
      <c r="EF201"/>
      <c r="EG201"/>
      <c r="EJ201"/>
      <c r="EK201"/>
      <c r="EL201"/>
      <c r="EM201"/>
      <c r="EN201"/>
      <c r="EO201"/>
      <c r="EP201"/>
      <c r="EQ201"/>
      <c r="ER201"/>
      <c r="ES201"/>
      <c r="ET201"/>
      <c r="EU201"/>
      <c r="EV201"/>
      <c r="EW201"/>
      <c r="EX201"/>
      <c r="EY201"/>
      <c r="EZ201"/>
      <c r="FA201"/>
      <c r="FB201"/>
      <c r="FC201"/>
      <c r="FD201"/>
      <c r="FE201"/>
      <c r="FF201"/>
      <c r="FG201"/>
      <c r="FH201"/>
      <c r="FK201" s="449">
        <v>10.108000000000001</v>
      </c>
      <c r="FL201" s="449" t="s">
        <v>411</v>
      </c>
      <c r="FM201" s="449"/>
      <c r="FN201" s="452"/>
      <c r="FO201" s="452">
        <v>1</v>
      </c>
      <c r="FP201" s="452"/>
      <c r="FQ201" s="452"/>
      <c r="FR201" s="452"/>
      <c r="FS201" s="452"/>
      <c r="FT201" s="452"/>
      <c r="FU201" s="452"/>
      <c r="FV201" s="452"/>
      <c r="FW201" s="452"/>
      <c r="FX201" s="452"/>
      <c r="FY201" s="452"/>
      <c r="FZ201" s="453"/>
      <c r="GA201"/>
      <c r="GB201"/>
      <c r="GC201"/>
      <c r="GD201"/>
    </row>
    <row r="202" spans="1:186" x14ac:dyDescent="0.15">
      <c r="A202" s="30" t="s">
        <v>142</v>
      </c>
      <c r="AG202"/>
      <c r="AH202"/>
      <c r="AJ202"/>
      <c r="AK202"/>
      <c r="AL202"/>
      <c r="AM202"/>
      <c r="AO202"/>
      <c r="AP202"/>
      <c r="AQ202"/>
      <c r="AR202"/>
      <c r="AS202"/>
      <c r="AT202"/>
      <c r="AU202"/>
      <c r="AV202"/>
      <c r="AW202"/>
      <c r="AX202"/>
      <c r="AY202"/>
      <c r="AZ202"/>
      <c r="BA202"/>
      <c r="BB202"/>
      <c r="BC202"/>
      <c r="BD202"/>
      <c r="BE202"/>
      <c r="BF202"/>
      <c r="BH202"/>
      <c r="BI202"/>
      <c r="BJ202"/>
      <c r="BK202"/>
      <c r="BL202"/>
      <c r="BM202"/>
      <c r="BN202"/>
      <c r="BP202"/>
      <c r="BQ202"/>
      <c r="BR202"/>
      <c r="BS202"/>
      <c r="BT202"/>
      <c r="BU202"/>
      <c r="BV202"/>
      <c r="BW202"/>
      <c r="BZ202"/>
      <c r="CA202"/>
      <c r="CB202"/>
      <c r="CC202"/>
      <c r="CD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Z202"/>
      <c r="EA202"/>
      <c r="EB202"/>
      <c r="EC202"/>
      <c r="ED202"/>
      <c r="EE202"/>
      <c r="EF202"/>
      <c r="EG202"/>
      <c r="EJ202"/>
      <c r="EK202"/>
      <c r="EL202"/>
      <c r="EM202"/>
      <c r="EN202"/>
      <c r="EO202"/>
      <c r="EP202"/>
      <c r="EQ202"/>
      <c r="ER202"/>
      <c r="ES202"/>
      <c r="ET202"/>
      <c r="EU202"/>
      <c r="EV202"/>
      <c r="EW202"/>
      <c r="EX202"/>
      <c r="EY202"/>
      <c r="EZ202"/>
      <c r="FA202"/>
      <c r="FB202"/>
      <c r="FC202"/>
      <c r="FD202"/>
      <c r="FE202"/>
      <c r="FF202"/>
      <c r="FG202"/>
      <c r="FH202"/>
      <c r="FK202" s="449" t="s">
        <v>6846</v>
      </c>
      <c r="FL202" s="457"/>
      <c r="FM202" s="449"/>
      <c r="FN202" s="452"/>
      <c r="FO202" s="452">
        <v>1</v>
      </c>
      <c r="FP202" s="452"/>
      <c r="FQ202" s="452"/>
      <c r="FR202" s="452"/>
      <c r="FS202" s="452"/>
      <c r="FT202" s="452"/>
      <c r="FU202" s="452"/>
      <c r="FV202" s="452"/>
      <c r="FW202" s="452"/>
      <c r="FX202" s="452"/>
      <c r="FY202" s="452"/>
      <c r="FZ202" s="453"/>
      <c r="GA202"/>
      <c r="GB202"/>
      <c r="GC202"/>
      <c r="GD202"/>
    </row>
    <row r="203" spans="1:186" x14ac:dyDescent="0.15">
      <c r="A203" s="30" t="s">
        <v>141</v>
      </c>
      <c r="AG203"/>
      <c r="AH203"/>
      <c r="AJ203"/>
      <c r="AK203"/>
      <c r="AL203"/>
      <c r="AM203"/>
      <c r="AO203"/>
      <c r="AP203"/>
      <c r="AQ203"/>
      <c r="AR203"/>
      <c r="AS203"/>
      <c r="AT203"/>
      <c r="AU203"/>
      <c r="AV203"/>
      <c r="AW203"/>
      <c r="AX203"/>
      <c r="AY203"/>
      <c r="AZ203"/>
      <c r="BA203"/>
      <c r="BB203"/>
      <c r="BC203"/>
      <c r="BD203"/>
      <c r="BE203"/>
      <c r="BF203"/>
      <c r="BH203"/>
      <c r="BI203"/>
      <c r="BJ203"/>
      <c r="BK203"/>
      <c r="BL203"/>
      <c r="BM203"/>
      <c r="BN203"/>
      <c r="BP203"/>
      <c r="BQ203"/>
      <c r="BR203"/>
      <c r="BS203"/>
      <c r="BT203"/>
      <c r="BU203"/>
      <c r="BV203"/>
      <c r="BW203"/>
      <c r="BZ203"/>
      <c r="CA203"/>
      <c r="CB203"/>
      <c r="CC203"/>
      <c r="CD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Z203"/>
      <c r="EA203"/>
      <c r="EB203"/>
      <c r="EC203"/>
      <c r="ED203"/>
      <c r="EE203"/>
      <c r="EF203"/>
      <c r="EG203"/>
      <c r="EJ203"/>
      <c r="EK203"/>
      <c r="EL203"/>
      <c r="EM203"/>
      <c r="EN203"/>
      <c r="EO203"/>
      <c r="EP203"/>
      <c r="EQ203"/>
      <c r="ER203"/>
      <c r="ES203"/>
      <c r="ET203"/>
      <c r="EU203"/>
      <c r="EV203"/>
      <c r="EW203"/>
      <c r="EX203"/>
      <c r="EY203"/>
      <c r="EZ203"/>
      <c r="FA203"/>
      <c r="FB203"/>
      <c r="FC203"/>
      <c r="FD203"/>
      <c r="FE203"/>
      <c r="FF203"/>
      <c r="FG203"/>
      <c r="FH203"/>
      <c r="FK203" s="449">
        <v>14.87</v>
      </c>
      <c r="FL203" s="449" t="s">
        <v>397</v>
      </c>
      <c r="FM203" s="449"/>
      <c r="FN203" s="452">
        <v>1</v>
      </c>
      <c r="FO203" s="452"/>
      <c r="FP203" s="452"/>
      <c r="FQ203" s="452"/>
      <c r="FR203" s="452"/>
      <c r="FS203" s="452"/>
      <c r="FT203" s="452"/>
      <c r="FU203" s="452"/>
      <c r="FV203" s="452"/>
      <c r="FW203" s="452"/>
      <c r="FX203" s="452"/>
      <c r="FY203" s="452"/>
      <c r="FZ203" s="453"/>
      <c r="GA203"/>
      <c r="GB203"/>
      <c r="GC203"/>
      <c r="GD203"/>
    </row>
    <row r="204" spans="1:186" x14ac:dyDescent="0.15">
      <c r="A204" s="30" t="s">
        <v>140</v>
      </c>
      <c r="AG204"/>
      <c r="AH204"/>
      <c r="AJ204"/>
      <c r="AK204"/>
      <c r="AL204"/>
      <c r="AM204"/>
      <c r="AO204"/>
      <c r="AP204"/>
      <c r="AQ204"/>
      <c r="AR204"/>
      <c r="AS204"/>
      <c r="AT204"/>
      <c r="AU204"/>
      <c r="AV204"/>
      <c r="AW204"/>
      <c r="AX204"/>
      <c r="AY204"/>
      <c r="AZ204"/>
      <c r="BA204"/>
      <c r="BB204"/>
      <c r="BC204"/>
      <c r="BD204"/>
      <c r="BE204"/>
      <c r="BF204"/>
      <c r="BH204"/>
      <c r="BI204"/>
      <c r="BJ204"/>
      <c r="BK204"/>
      <c r="BL204"/>
      <c r="BM204"/>
      <c r="BN204"/>
      <c r="BP204"/>
      <c r="BQ204"/>
      <c r="BR204"/>
      <c r="BS204"/>
      <c r="BT204"/>
      <c r="BU204"/>
      <c r="BV204"/>
      <c r="BW204"/>
      <c r="BZ204"/>
      <c r="CA204"/>
      <c r="CB204"/>
      <c r="CC204"/>
      <c r="CD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Z204"/>
      <c r="EA204"/>
      <c r="EB204"/>
      <c r="EC204"/>
      <c r="ED204"/>
      <c r="EE204"/>
      <c r="EF204"/>
      <c r="EG204"/>
      <c r="EJ204"/>
      <c r="EK204"/>
      <c r="EL204"/>
      <c r="EM204"/>
      <c r="EN204"/>
      <c r="EO204"/>
      <c r="EP204"/>
      <c r="EQ204"/>
      <c r="ER204"/>
      <c r="ES204"/>
      <c r="ET204"/>
      <c r="EU204"/>
      <c r="EV204"/>
      <c r="EW204"/>
      <c r="EX204"/>
      <c r="EY204"/>
      <c r="EZ204"/>
      <c r="FA204"/>
      <c r="FB204"/>
      <c r="FC204"/>
      <c r="FD204"/>
      <c r="FE204"/>
      <c r="FF204"/>
      <c r="FG204"/>
      <c r="FH204"/>
      <c r="FK204" s="449" t="s">
        <v>6847</v>
      </c>
      <c r="FL204" s="457"/>
      <c r="FM204" s="449"/>
      <c r="FN204" s="452">
        <v>1</v>
      </c>
      <c r="FO204" s="452"/>
      <c r="FP204" s="452"/>
      <c r="FQ204" s="452"/>
      <c r="FR204" s="452"/>
      <c r="FS204" s="452"/>
      <c r="FT204" s="452"/>
      <c r="FU204" s="452"/>
      <c r="FV204" s="452"/>
      <c r="FW204" s="452"/>
      <c r="FX204" s="452"/>
      <c r="FY204" s="452"/>
      <c r="FZ204" s="453"/>
      <c r="GA204"/>
      <c r="GB204"/>
      <c r="GC204"/>
      <c r="GD204"/>
    </row>
    <row r="205" spans="1:186" x14ac:dyDescent="0.15">
      <c r="A205" s="30" t="s">
        <v>139</v>
      </c>
      <c r="AG205"/>
      <c r="AH205"/>
      <c r="AJ205"/>
      <c r="AK205"/>
      <c r="AL205"/>
      <c r="AM205"/>
      <c r="AO205"/>
      <c r="AP205"/>
      <c r="AQ205"/>
      <c r="AR205"/>
      <c r="AS205"/>
      <c r="AT205"/>
      <c r="AU205"/>
      <c r="AV205"/>
      <c r="AW205"/>
      <c r="AX205"/>
      <c r="AY205"/>
      <c r="AZ205"/>
      <c r="BA205"/>
      <c r="BB205"/>
      <c r="BC205"/>
      <c r="BD205"/>
      <c r="BE205"/>
      <c r="BF205"/>
      <c r="BH205"/>
      <c r="BI205"/>
      <c r="BJ205"/>
      <c r="BK205"/>
      <c r="BL205"/>
      <c r="BM205"/>
      <c r="BN205"/>
      <c r="BP205"/>
      <c r="BQ205"/>
      <c r="BR205"/>
      <c r="BS205"/>
      <c r="BT205"/>
      <c r="BU205"/>
      <c r="BV205"/>
      <c r="BW205"/>
      <c r="BZ205"/>
      <c r="CA205"/>
      <c r="CB205"/>
      <c r="CC205"/>
      <c r="CD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Z205"/>
      <c r="EA205"/>
      <c r="EB205"/>
      <c r="EC205"/>
      <c r="ED205"/>
      <c r="EE205"/>
      <c r="EF205"/>
      <c r="EG205"/>
      <c r="EJ205"/>
      <c r="EK205"/>
      <c r="EL205"/>
      <c r="EM205"/>
      <c r="EN205"/>
      <c r="EO205"/>
      <c r="EP205"/>
      <c r="EQ205"/>
      <c r="ER205"/>
      <c r="ES205"/>
      <c r="ET205"/>
      <c r="EU205"/>
      <c r="EV205"/>
      <c r="EW205"/>
      <c r="EX205"/>
      <c r="EY205"/>
      <c r="EZ205"/>
      <c r="FA205"/>
      <c r="FB205"/>
      <c r="FC205"/>
      <c r="FD205"/>
      <c r="FE205"/>
      <c r="FF205"/>
      <c r="FG205"/>
      <c r="FH205"/>
      <c r="FK205" s="449">
        <v>3.7509999999999999</v>
      </c>
      <c r="FL205" s="449" t="s">
        <v>410</v>
      </c>
      <c r="FM205" s="449"/>
      <c r="FN205" s="452"/>
      <c r="FO205" s="452">
        <v>1</v>
      </c>
      <c r="FP205" s="452"/>
      <c r="FQ205" s="452"/>
      <c r="FR205" s="452"/>
      <c r="FS205" s="452"/>
      <c r="FT205" s="452"/>
      <c r="FU205" s="452"/>
      <c r="FV205" s="452"/>
      <c r="FW205" s="452"/>
      <c r="FX205" s="452"/>
      <c r="FY205" s="452"/>
      <c r="FZ205" s="453"/>
      <c r="GA205"/>
      <c r="GB205"/>
      <c r="GC205"/>
      <c r="GD205"/>
    </row>
    <row r="206" spans="1:186" x14ac:dyDescent="0.15">
      <c r="A206" s="30" t="s">
        <v>138</v>
      </c>
      <c r="AG206"/>
      <c r="AH206"/>
      <c r="AJ206"/>
      <c r="AK206"/>
      <c r="AL206"/>
      <c r="AM206"/>
      <c r="AO206"/>
      <c r="AP206"/>
      <c r="AQ206"/>
      <c r="AR206"/>
      <c r="AS206"/>
      <c r="AT206"/>
      <c r="AU206"/>
      <c r="AV206"/>
      <c r="AW206"/>
      <c r="AX206"/>
      <c r="AY206"/>
      <c r="AZ206"/>
      <c r="BA206"/>
      <c r="BB206"/>
      <c r="BC206"/>
      <c r="BD206"/>
      <c r="BE206"/>
      <c r="BF206"/>
      <c r="BH206"/>
      <c r="BI206"/>
      <c r="BJ206"/>
      <c r="BK206"/>
      <c r="BL206"/>
      <c r="BM206"/>
      <c r="BN206"/>
      <c r="BP206"/>
      <c r="BQ206"/>
      <c r="BR206"/>
      <c r="BS206"/>
      <c r="BT206"/>
      <c r="BU206"/>
      <c r="BV206"/>
      <c r="BW206"/>
      <c r="BZ206"/>
      <c r="CA206"/>
      <c r="CB206"/>
      <c r="CC206"/>
      <c r="CD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Z206"/>
      <c r="EA206"/>
      <c r="EB206"/>
      <c r="EC206"/>
      <c r="ED206"/>
      <c r="EE206"/>
      <c r="EF206"/>
      <c r="EG206"/>
      <c r="EJ206"/>
      <c r="EK206"/>
      <c r="EL206"/>
      <c r="EM206"/>
      <c r="EN206"/>
      <c r="EO206"/>
      <c r="EP206"/>
      <c r="EQ206"/>
      <c r="ER206"/>
      <c r="ES206"/>
      <c r="ET206"/>
      <c r="EU206"/>
      <c r="EV206"/>
      <c r="EW206"/>
      <c r="EX206"/>
      <c r="EY206"/>
      <c r="EZ206"/>
      <c r="FA206"/>
      <c r="FB206"/>
      <c r="FC206"/>
      <c r="FD206"/>
      <c r="FE206"/>
      <c r="FF206"/>
      <c r="FG206"/>
      <c r="FH206"/>
      <c r="FK206" s="449" t="s">
        <v>6848</v>
      </c>
      <c r="FL206" s="457"/>
      <c r="FM206" s="449"/>
      <c r="FN206" s="452"/>
      <c r="FO206" s="452">
        <v>1</v>
      </c>
      <c r="FP206" s="452"/>
      <c r="FQ206" s="452"/>
      <c r="FR206" s="452"/>
      <c r="FS206" s="452"/>
      <c r="FT206" s="452"/>
      <c r="FU206" s="452"/>
      <c r="FV206" s="452"/>
      <c r="FW206" s="452"/>
      <c r="FX206" s="452"/>
      <c r="FY206" s="452"/>
      <c r="FZ206" s="453"/>
      <c r="GA206"/>
      <c r="GB206"/>
      <c r="GC206"/>
      <c r="GD206"/>
    </row>
    <row r="207" spans="1:186" x14ac:dyDescent="0.15">
      <c r="A207" s="30" t="s">
        <v>137</v>
      </c>
      <c r="AG207"/>
      <c r="AH207"/>
      <c r="AJ207"/>
      <c r="AK207"/>
      <c r="AL207"/>
      <c r="AM207"/>
      <c r="AO207"/>
      <c r="AP207"/>
      <c r="AQ207"/>
      <c r="AR207"/>
      <c r="AS207"/>
      <c r="AT207"/>
      <c r="AU207"/>
      <c r="AV207"/>
      <c r="AW207"/>
      <c r="AX207"/>
      <c r="AY207"/>
      <c r="AZ207"/>
      <c r="BA207"/>
      <c r="BB207"/>
      <c r="BC207"/>
      <c r="BD207"/>
      <c r="BE207"/>
      <c r="BF207"/>
      <c r="BH207"/>
      <c r="BI207"/>
      <c r="BJ207"/>
      <c r="BK207"/>
      <c r="BL207"/>
      <c r="BM207"/>
      <c r="BN207"/>
      <c r="BP207"/>
      <c r="BQ207"/>
      <c r="BR207"/>
      <c r="BS207"/>
      <c r="BT207"/>
      <c r="BU207"/>
      <c r="BV207"/>
      <c r="BW207"/>
      <c r="BZ207"/>
      <c r="CA207"/>
      <c r="CB207"/>
      <c r="CC207"/>
      <c r="CD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Z207"/>
      <c r="EA207"/>
      <c r="EB207"/>
      <c r="EC207"/>
      <c r="ED207"/>
      <c r="EE207"/>
      <c r="EF207"/>
      <c r="EG207"/>
      <c r="EJ207"/>
      <c r="EK207"/>
      <c r="EL207"/>
      <c r="EM207"/>
      <c r="EN207"/>
      <c r="EO207"/>
      <c r="EP207"/>
      <c r="EQ207"/>
      <c r="ER207"/>
      <c r="ES207"/>
      <c r="ET207"/>
      <c r="EU207"/>
      <c r="EV207"/>
      <c r="EW207"/>
      <c r="EX207"/>
      <c r="EY207"/>
      <c r="EZ207"/>
      <c r="FA207"/>
      <c r="FB207"/>
      <c r="FC207"/>
      <c r="FD207"/>
      <c r="FE207"/>
      <c r="FF207"/>
      <c r="FG207"/>
      <c r="FH207"/>
      <c r="FK207" s="449">
        <v>8.0559999999999992</v>
      </c>
      <c r="FL207" s="449" t="s">
        <v>405</v>
      </c>
      <c r="FM207" s="449"/>
      <c r="FN207" s="452"/>
      <c r="FO207" s="452"/>
      <c r="FP207" s="452"/>
      <c r="FQ207" s="452">
        <v>1</v>
      </c>
      <c r="FR207" s="452"/>
      <c r="FS207" s="452"/>
      <c r="FT207" s="452"/>
      <c r="FU207" s="452"/>
      <c r="FV207" s="452"/>
      <c r="FW207" s="452"/>
      <c r="FX207" s="452"/>
      <c r="FY207" s="452"/>
      <c r="FZ207" s="453"/>
      <c r="GA207"/>
      <c r="GB207"/>
      <c r="GC207"/>
      <c r="GD207"/>
    </row>
    <row r="208" spans="1:186" x14ac:dyDescent="0.15">
      <c r="AG208"/>
      <c r="AH208"/>
      <c r="AJ208"/>
      <c r="AK208"/>
      <c r="AL208"/>
      <c r="AM208"/>
      <c r="AO208"/>
      <c r="AP208"/>
      <c r="AQ208"/>
      <c r="AR208"/>
      <c r="AS208"/>
      <c r="AT208"/>
      <c r="AU208"/>
      <c r="AV208"/>
      <c r="AW208"/>
      <c r="AX208"/>
      <c r="AY208"/>
      <c r="AZ208"/>
      <c r="BA208"/>
      <c r="BB208"/>
      <c r="BC208"/>
      <c r="BD208"/>
      <c r="BE208"/>
      <c r="BF208"/>
      <c r="BH208"/>
      <c r="BI208"/>
      <c r="BJ208"/>
      <c r="BK208"/>
      <c r="BL208"/>
      <c r="BM208"/>
      <c r="BN208"/>
      <c r="BP208"/>
      <c r="BQ208"/>
      <c r="BR208"/>
      <c r="BS208"/>
      <c r="BT208"/>
      <c r="BU208"/>
      <c r="BV208"/>
      <c r="BW208"/>
      <c r="BZ208"/>
      <c r="CA208"/>
      <c r="CB208"/>
      <c r="CC208"/>
      <c r="CD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Z208"/>
      <c r="EA208"/>
      <c r="EB208"/>
      <c r="EC208"/>
      <c r="ED208"/>
      <c r="EE208"/>
      <c r="EF208"/>
      <c r="EG208"/>
      <c r="EJ208"/>
      <c r="EK208"/>
      <c r="EL208"/>
      <c r="EM208"/>
      <c r="EN208"/>
      <c r="EO208"/>
      <c r="EP208"/>
      <c r="EQ208"/>
      <c r="ER208"/>
      <c r="ES208"/>
      <c r="ET208"/>
      <c r="EU208"/>
      <c r="EV208"/>
      <c r="EW208"/>
      <c r="EX208"/>
      <c r="EY208"/>
      <c r="EZ208"/>
      <c r="FA208"/>
      <c r="FB208"/>
      <c r="FC208"/>
      <c r="FD208"/>
      <c r="FE208"/>
      <c r="FF208"/>
      <c r="FG208"/>
      <c r="FH208"/>
      <c r="FK208" s="449" t="s">
        <v>6849</v>
      </c>
      <c r="FL208" s="457"/>
      <c r="FM208" s="449"/>
      <c r="FN208" s="452"/>
      <c r="FO208" s="452"/>
      <c r="FP208" s="452"/>
      <c r="FQ208" s="452">
        <v>1</v>
      </c>
      <c r="FR208" s="452"/>
      <c r="FS208" s="452"/>
      <c r="FT208" s="452"/>
      <c r="FU208" s="452"/>
      <c r="FV208" s="452"/>
      <c r="FW208" s="452"/>
      <c r="FX208" s="452"/>
      <c r="FY208" s="452"/>
      <c r="FZ208" s="453"/>
      <c r="GA208"/>
      <c r="GB208"/>
      <c r="GC208"/>
      <c r="GD208"/>
    </row>
    <row r="209" spans="33:186" x14ac:dyDescent="0.15">
      <c r="AG209"/>
      <c r="AH209"/>
      <c r="AJ209"/>
      <c r="AK209"/>
      <c r="AL209"/>
      <c r="AM209"/>
      <c r="AO209"/>
      <c r="AP209"/>
      <c r="AQ209"/>
      <c r="AR209"/>
      <c r="AS209"/>
      <c r="AT209"/>
      <c r="AU209"/>
      <c r="AV209"/>
      <c r="AW209"/>
      <c r="AX209"/>
      <c r="AY209"/>
      <c r="AZ209"/>
      <c r="BA209"/>
      <c r="BB209"/>
      <c r="BC209"/>
      <c r="BD209"/>
      <c r="BE209"/>
      <c r="BF209"/>
      <c r="BH209"/>
      <c r="BI209"/>
      <c r="BJ209"/>
      <c r="BK209"/>
      <c r="BL209"/>
      <c r="BM209"/>
      <c r="BN209"/>
      <c r="BP209"/>
      <c r="BQ209"/>
      <c r="BR209"/>
      <c r="BS209"/>
      <c r="BT209"/>
      <c r="BU209"/>
      <c r="BV209"/>
      <c r="BW209"/>
      <c r="BZ209"/>
      <c r="CA209"/>
      <c r="CB209"/>
      <c r="CC209"/>
      <c r="CD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Z209"/>
      <c r="EA209"/>
      <c r="EB209"/>
      <c r="EC209"/>
      <c r="ED209"/>
      <c r="EE209"/>
      <c r="EF209"/>
      <c r="EG209"/>
      <c r="EJ209"/>
      <c r="EK209"/>
      <c r="EL209"/>
      <c r="EM209"/>
      <c r="EN209"/>
      <c r="EO209"/>
      <c r="EP209"/>
      <c r="EQ209"/>
      <c r="ER209"/>
      <c r="ES209"/>
      <c r="ET209"/>
      <c r="EU209"/>
      <c r="EV209"/>
      <c r="EW209"/>
      <c r="EX209"/>
      <c r="EY209"/>
      <c r="EZ209"/>
      <c r="FA209"/>
      <c r="FB209"/>
      <c r="FC209"/>
      <c r="FD209"/>
      <c r="FE209"/>
      <c r="FF209"/>
      <c r="FG209"/>
      <c r="FH209"/>
      <c r="FK209" s="449">
        <v>9.8260000000000005</v>
      </c>
      <c r="FL209" s="449" t="s">
        <v>406</v>
      </c>
      <c r="FM209" s="449"/>
      <c r="FN209" s="452"/>
      <c r="FO209" s="452">
        <v>1</v>
      </c>
      <c r="FP209" s="452"/>
      <c r="FQ209" s="452"/>
      <c r="FR209" s="452"/>
      <c r="FS209" s="452"/>
      <c r="FT209" s="452"/>
      <c r="FU209" s="452"/>
      <c r="FV209" s="452"/>
      <c r="FW209" s="452"/>
      <c r="FX209" s="452"/>
      <c r="FY209" s="452"/>
      <c r="FZ209" s="453"/>
      <c r="GA209"/>
      <c r="GB209"/>
      <c r="GC209"/>
      <c r="GD209"/>
    </row>
    <row r="210" spans="33:186" x14ac:dyDescent="0.15">
      <c r="AG210"/>
      <c r="AH210"/>
      <c r="AJ210"/>
      <c r="AK210"/>
      <c r="AL210"/>
      <c r="AM210"/>
      <c r="AO210"/>
      <c r="AP210"/>
      <c r="AQ210"/>
      <c r="AR210"/>
      <c r="AS210"/>
      <c r="AT210"/>
      <c r="AU210"/>
      <c r="AV210"/>
      <c r="AW210"/>
      <c r="AX210"/>
      <c r="AY210"/>
      <c r="AZ210"/>
      <c r="BA210"/>
      <c r="BB210"/>
      <c r="BC210"/>
      <c r="BD210"/>
      <c r="BE210"/>
      <c r="BF210"/>
      <c r="BH210"/>
      <c r="BI210"/>
      <c r="BJ210"/>
      <c r="BK210"/>
      <c r="BL210"/>
      <c r="BM210"/>
      <c r="BN210"/>
      <c r="BP210"/>
      <c r="BQ210"/>
      <c r="BR210"/>
      <c r="BS210"/>
      <c r="BT210"/>
      <c r="BU210"/>
      <c r="BV210"/>
      <c r="BW210"/>
      <c r="BZ210"/>
      <c r="CA210"/>
      <c r="CB210"/>
      <c r="CC210"/>
      <c r="CD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Z210"/>
      <c r="EA210"/>
      <c r="EB210"/>
      <c r="EC210"/>
      <c r="ED210"/>
      <c r="EE210"/>
      <c r="EF210"/>
      <c r="EG210"/>
      <c r="EJ210"/>
      <c r="EK210"/>
      <c r="EL210"/>
      <c r="EM210"/>
      <c r="EN210"/>
      <c r="EO210"/>
      <c r="EP210"/>
      <c r="EQ210"/>
      <c r="ER210"/>
      <c r="ES210"/>
      <c r="ET210"/>
      <c r="EU210"/>
      <c r="EV210"/>
      <c r="EW210"/>
      <c r="EX210"/>
      <c r="EY210"/>
      <c r="EZ210"/>
      <c r="FA210"/>
      <c r="FB210"/>
      <c r="FC210"/>
      <c r="FD210"/>
      <c r="FE210"/>
      <c r="FF210"/>
      <c r="FG210"/>
      <c r="FH210"/>
      <c r="FK210" s="449" t="s">
        <v>6850</v>
      </c>
      <c r="FL210" s="457"/>
      <c r="FM210" s="449"/>
      <c r="FN210" s="452"/>
      <c r="FO210" s="452">
        <v>1</v>
      </c>
      <c r="FP210" s="452"/>
      <c r="FQ210" s="452"/>
      <c r="FR210" s="452"/>
      <c r="FS210" s="452"/>
      <c r="FT210" s="452"/>
      <c r="FU210" s="452"/>
      <c r="FV210" s="452"/>
      <c r="FW210" s="452"/>
      <c r="FX210" s="452"/>
      <c r="FY210" s="452"/>
      <c r="FZ210" s="453"/>
      <c r="GA210"/>
      <c r="GB210"/>
      <c r="GC210"/>
      <c r="GD210"/>
    </row>
    <row r="211" spans="33:186" x14ac:dyDescent="0.15">
      <c r="AG211"/>
      <c r="AH211"/>
      <c r="AJ211"/>
      <c r="AK211"/>
      <c r="AL211"/>
      <c r="AM211"/>
      <c r="AO211"/>
      <c r="AP211"/>
      <c r="AQ211"/>
      <c r="AR211"/>
      <c r="AS211"/>
      <c r="AT211"/>
      <c r="AU211"/>
      <c r="AV211"/>
      <c r="AW211"/>
      <c r="AX211"/>
      <c r="AY211"/>
      <c r="AZ211"/>
      <c r="BA211"/>
      <c r="BB211"/>
      <c r="BC211"/>
      <c r="BD211"/>
      <c r="BE211"/>
      <c r="BF211"/>
      <c r="BH211"/>
      <c r="BI211"/>
      <c r="BJ211"/>
      <c r="BK211"/>
      <c r="BL211"/>
      <c r="BM211"/>
      <c r="BN211"/>
      <c r="BP211"/>
      <c r="BQ211"/>
      <c r="BR211"/>
      <c r="BS211"/>
      <c r="BT211"/>
      <c r="BU211"/>
      <c r="BV211"/>
      <c r="BW211"/>
      <c r="BZ211"/>
      <c r="CA211"/>
      <c r="CB211"/>
      <c r="CC211"/>
      <c r="CD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Z211"/>
      <c r="EA211"/>
      <c r="EB211"/>
      <c r="EC211"/>
      <c r="ED211"/>
      <c r="EE211"/>
      <c r="EF211"/>
      <c r="EG211"/>
      <c r="EJ211"/>
      <c r="EK211"/>
      <c r="EL211"/>
      <c r="EM211"/>
      <c r="EN211"/>
      <c r="EO211"/>
      <c r="EP211"/>
      <c r="EQ211"/>
      <c r="ER211"/>
      <c r="ES211"/>
      <c r="ET211"/>
      <c r="EU211"/>
      <c r="EV211"/>
      <c r="EW211"/>
      <c r="EX211"/>
      <c r="EY211"/>
      <c r="EZ211"/>
      <c r="FA211"/>
      <c r="FB211"/>
      <c r="FC211"/>
      <c r="FD211"/>
      <c r="FE211"/>
      <c r="FF211"/>
      <c r="FG211"/>
      <c r="FH211"/>
      <c r="FK211" s="449">
        <v>7.4180000000000001</v>
      </c>
      <c r="FL211" s="449" t="s">
        <v>445</v>
      </c>
      <c r="FM211" s="449">
        <v>1</v>
      </c>
      <c r="FN211" s="452"/>
      <c r="FO211" s="452"/>
      <c r="FP211" s="452"/>
      <c r="FQ211" s="452"/>
      <c r="FR211" s="452"/>
      <c r="FS211" s="452"/>
      <c r="FT211" s="452"/>
      <c r="FU211" s="452"/>
      <c r="FV211" s="452"/>
      <c r="FW211" s="452"/>
      <c r="FX211" s="452"/>
      <c r="FY211" s="452"/>
      <c r="FZ211" s="453"/>
      <c r="GA211"/>
      <c r="GB211"/>
      <c r="GC211"/>
      <c r="GD211"/>
    </row>
    <row r="212" spans="33:186" x14ac:dyDescent="0.15">
      <c r="AG212"/>
      <c r="AH212"/>
      <c r="AJ212"/>
      <c r="AK212"/>
      <c r="AL212"/>
      <c r="AM212"/>
      <c r="AO212"/>
      <c r="AP212"/>
      <c r="AQ212"/>
      <c r="AR212"/>
      <c r="AS212"/>
      <c r="AT212"/>
      <c r="AU212"/>
      <c r="AV212"/>
      <c r="AW212"/>
      <c r="AX212"/>
      <c r="AY212"/>
      <c r="AZ212"/>
      <c r="BA212"/>
      <c r="BB212"/>
      <c r="BC212"/>
      <c r="BD212"/>
      <c r="BE212"/>
      <c r="BF212"/>
      <c r="BH212"/>
      <c r="BI212"/>
      <c r="BJ212"/>
      <c r="BK212"/>
      <c r="BL212"/>
      <c r="BM212"/>
      <c r="BN212"/>
      <c r="BP212"/>
      <c r="BQ212"/>
      <c r="BR212"/>
      <c r="BS212"/>
      <c r="BT212"/>
      <c r="BU212"/>
      <c r="BV212"/>
      <c r="BW212"/>
      <c r="BZ212"/>
      <c r="CA212"/>
      <c r="CB212"/>
      <c r="CC212"/>
      <c r="CD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Z212"/>
      <c r="EA212"/>
      <c r="EB212"/>
      <c r="EC212"/>
      <c r="ED212"/>
      <c r="EE212"/>
      <c r="EF212"/>
      <c r="EG212"/>
      <c r="EJ212"/>
      <c r="EK212"/>
      <c r="EL212"/>
      <c r="EM212"/>
      <c r="EN212"/>
      <c r="EO212"/>
      <c r="EP212"/>
      <c r="EQ212"/>
      <c r="ER212"/>
      <c r="ES212"/>
      <c r="ET212"/>
      <c r="EU212"/>
      <c r="EV212"/>
      <c r="EW212"/>
      <c r="EX212"/>
      <c r="EY212"/>
      <c r="EZ212"/>
      <c r="FA212"/>
      <c r="FB212"/>
      <c r="FC212"/>
      <c r="FD212"/>
      <c r="FE212"/>
      <c r="FF212"/>
      <c r="FG212"/>
      <c r="FH212"/>
      <c r="FK212" s="449" t="s">
        <v>6851</v>
      </c>
      <c r="FL212" s="457"/>
      <c r="FM212" s="449">
        <v>1</v>
      </c>
      <c r="FN212" s="452"/>
      <c r="FO212" s="452"/>
      <c r="FP212" s="452"/>
      <c r="FQ212" s="452"/>
      <c r="FR212" s="452"/>
      <c r="FS212" s="452"/>
      <c r="FT212" s="452"/>
      <c r="FU212" s="452"/>
      <c r="FV212" s="452"/>
      <c r="FW212" s="452"/>
      <c r="FX212" s="452"/>
      <c r="FY212" s="452"/>
      <c r="FZ212" s="453"/>
      <c r="GA212"/>
      <c r="GB212"/>
      <c r="GC212"/>
      <c r="GD212"/>
    </row>
    <row r="213" spans="33:186" x14ac:dyDescent="0.15">
      <c r="AG213"/>
      <c r="AH213"/>
      <c r="AJ213"/>
      <c r="AK213"/>
      <c r="AL213"/>
      <c r="AM213"/>
      <c r="AO213"/>
      <c r="AP213"/>
      <c r="AQ213"/>
      <c r="AR213"/>
      <c r="AS213"/>
      <c r="AT213"/>
      <c r="AU213"/>
      <c r="AV213"/>
      <c r="AW213"/>
      <c r="AX213"/>
      <c r="AY213"/>
      <c r="AZ213"/>
      <c r="BA213"/>
      <c r="BB213"/>
      <c r="BC213"/>
      <c r="BD213"/>
      <c r="BE213"/>
      <c r="BF213"/>
      <c r="BH213"/>
      <c r="BI213"/>
      <c r="BJ213"/>
      <c r="BK213"/>
      <c r="BL213"/>
      <c r="BM213"/>
      <c r="BN213"/>
      <c r="BP213"/>
      <c r="BQ213"/>
      <c r="BR213"/>
      <c r="BS213"/>
      <c r="BT213"/>
      <c r="BU213"/>
      <c r="BV213"/>
      <c r="BW213"/>
      <c r="BZ213"/>
      <c r="CA213"/>
      <c r="CB213"/>
      <c r="CC213"/>
      <c r="CD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Z213"/>
      <c r="EA213"/>
      <c r="EB213"/>
      <c r="EC213"/>
      <c r="ED213"/>
      <c r="EE213"/>
      <c r="EF213"/>
      <c r="EG213"/>
      <c r="EJ213"/>
      <c r="EK213"/>
      <c r="EL213"/>
      <c r="EM213"/>
      <c r="EN213"/>
      <c r="EO213"/>
      <c r="EP213"/>
      <c r="EQ213"/>
      <c r="ER213"/>
      <c r="ES213"/>
      <c r="ET213"/>
      <c r="EU213"/>
      <c r="EV213"/>
      <c r="EW213"/>
      <c r="EX213"/>
      <c r="EY213"/>
      <c r="EZ213"/>
      <c r="FA213"/>
      <c r="FB213"/>
      <c r="FC213"/>
      <c r="FD213"/>
      <c r="FE213"/>
      <c r="FF213"/>
      <c r="FG213"/>
      <c r="FH213"/>
      <c r="FK213" s="449">
        <v>12.493</v>
      </c>
      <c r="FL213" s="449" t="s">
        <v>410</v>
      </c>
      <c r="FM213" s="449"/>
      <c r="FN213" s="452">
        <v>1</v>
      </c>
      <c r="FO213" s="452"/>
      <c r="FP213" s="452"/>
      <c r="FQ213" s="452"/>
      <c r="FR213" s="452"/>
      <c r="FS213" s="452"/>
      <c r="FT213" s="452"/>
      <c r="FU213" s="452"/>
      <c r="FV213" s="452"/>
      <c r="FW213" s="452"/>
      <c r="FX213" s="452"/>
      <c r="FY213" s="452"/>
      <c r="FZ213" s="453"/>
      <c r="GA213"/>
      <c r="GB213"/>
      <c r="GC213"/>
      <c r="GD213"/>
    </row>
    <row r="214" spans="33:186" x14ac:dyDescent="0.15">
      <c r="AG214"/>
      <c r="AH214"/>
      <c r="AJ214"/>
      <c r="AK214"/>
      <c r="AL214"/>
      <c r="AM214"/>
      <c r="AO214"/>
      <c r="AP214"/>
      <c r="AQ214"/>
      <c r="AR214"/>
      <c r="AS214"/>
      <c r="AT214"/>
      <c r="AU214"/>
      <c r="AV214"/>
      <c r="AW214"/>
      <c r="AX214"/>
      <c r="AY214"/>
      <c r="AZ214"/>
      <c r="BA214"/>
      <c r="BB214"/>
      <c r="BC214"/>
      <c r="BD214"/>
      <c r="BE214"/>
      <c r="BF214"/>
      <c r="BH214"/>
      <c r="BI214"/>
      <c r="BJ214"/>
      <c r="BK214"/>
      <c r="BL214"/>
      <c r="BM214"/>
      <c r="BN214"/>
      <c r="BP214"/>
      <c r="BQ214"/>
      <c r="BR214"/>
      <c r="BS214"/>
      <c r="BT214"/>
      <c r="BU214"/>
      <c r="BV214"/>
      <c r="BW214"/>
      <c r="BZ214"/>
      <c r="CA214"/>
      <c r="CB214"/>
      <c r="CC214"/>
      <c r="CD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Z214"/>
      <c r="EA214"/>
      <c r="EB214"/>
      <c r="EC214"/>
      <c r="ED214"/>
      <c r="EE214"/>
      <c r="EF214"/>
      <c r="EG214"/>
      <c r="EJ214"/>
      <c r="EK214"/>
      <c r="EL214"/>
      <c r="EM214"/>
      <c r="EN214"/>
      <c r="EO214"/>
      <c r="EP214"/>
      <c r="EQ214"/>
      <c r="ER214"/>
      <c r="ES214"/>
      <c r="ET214"/>
      <c r="EU214"/>
      <c r="EV214"/>
      <c r="EW214"/>
      <c r="EX214"/>
      <c r="EY214"/>
      <c r="EZ214"/>
      <c r="FA214"/>
      <c r="FB214"/>
      <c r="FC214"/>
      <c r="FD214"/>
      <c r="FE214"/>
      <c r="FF214"/>
      <c r="FG214"/>
      <c r="FH214"/>
      <c r="FK214" s="449" t="s">
        <v>6852</v>
      </c>
      <c r="FL214" s="457"/>
      <c r="FM214" s="449"/>
      <c r="FN214" s="452">
        <v>1</v>
      </c>
      <c r="FO214" s="452"/>
      <c r="FP214" s="452"/>
      <c r="FQ214" s="452"/>
      <c r="FR214" s="452"/>
      <c r="FS214" s="452"/>
      <c r="FT214" s="452"/>
      <c r="FU214" s="452"/>
      <c r="FV214" s="452"/>
      <c r="FW214" s="452"/>
      <c r="FX214" s="452"/>
      <c r="FY214" s="452"/>
      <c r="FZ214" s="453"/>
      <c r="GA214"/>
      <c r="GB214"/>
      <c r="GC214"/>
      <c r="GD214"/>
    </row>
    <row r="215" spans="33:186" x14ac:dyDescent="0.15">
      <c r="AG215"/>
      <c r="AH215"/>
      <c r="AJ215"/>
      <c r="AK215"/>
      <c r="AL215"/>
      <c r="AM215"/>
      <c r="AO215"/>
      <c r="AP215"/>
      <c r="AQ215"/>
      <c r="AR215"/>
      <c r="AS215"/>
      <c r="AT215"/>
      <c r="AU215"/>
      <c r="AV215"/>
      <c r="AW215"/>
      <c r="AX215"/>
      <c r="AY215"/>
      <c r="AZ215"/>
      <c r="BA215"/>
      <c r="BB215"/>
      <c r="BC215"/>
      <c r="BD215"/>
      <c r="BE215"/>
      <c r="BF215"/>
      <c r="BH215"/>
      <c r="BI215"/>
      <c r="BJ215"/>
      <c r="BK215"/>
      <c r="BL215"/>
      <c r="BM215"/>
      <c r="BN215"/>
      <c r="BP215"/>
      <c r="BQ215"/>
      <c r="BR215"/>
      <c r="BS215"/>
      <c r="BT215"/>
      <c r="BU215"/>
      <c r="BV215"/>
      <c r="BW215"/>
      <c r="BZ215"/>
      <c r="CA215"/>
      <c r="CB215"/>
      <c r="CC215"/>
      <c r="CD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Z215"/>
      <c r="EA215"/>
      <c r="EB215"/>
      <c r="EC215"/>
      <c r="ED215"/>
      <c r="EE215"/>
      <c r="EF215"/>
      <c r="EG215"/>
      <c r="EJ215"/>
      <c r="EK215"/>
      <c r="EL215"/>
      <c r="EM215"/>
      <c r="EN215"/>
      <c r="EO215"/>
      <c r="EP215"/>
      <c r="EQ215"/>
      <c r="ER215"/>
      <c r="ES215"/>
      <c r="ET215"/>
      <c r="EU215"/>
      <c r="EV215"/>
      <c r="EW215"/>
      <c r="EX215"/>
      <c r="EY215"/>
      <c r="EZ215"/>
      <c r="FA215"/>
      <c r="FB215"/>
      <c r="FC215"/>
      <c r="FD215"/>
      <c r="FE215"/>
      <c r="FF215"/>
      <c r="FG215"/>
      <c r="FH215"/>
      <c r="FK215" s="449">
        <v>6.2089999999999996</v>
      </c>
      <c r="FL215" s="449" t="s">
        <v>411</v>
      </c>
      <c r="FM215" s="449">
        <v>1</v>
      </c>
      <c r="FN215" s="452"/>
      <c r="FO215" s="452"/>
      <c r="FP215" s="452"/>
      <c r="FQ215" s="452"/>
      <c r="FR215" s="452"/>
      <c r="FS215" s="452"/>
      <c r="FT215" s="452"/>
      <c r="FU215" s="452"/>
      <c r="FV215" s="452"/>
      <c r="FW215" s="452"/>
      <c r="FX215" s="452"/>
      <c r="FY215" s="452"/>
      <c r="FZ215" s="453"/>
      <c r="GA215"/>
      <c r="GB215"/>
      <c r="GC215"/>
      <c r="GD215"/>
    </row>
    <row r="216" spans="33:186" x14ac:dyDescent="0.15">
      <c r="AG216"/>
      <c r="AH216"/>
      <c r="AJ216"/>
      <c r="AK216"/>
      <c r="AL216"/>
      <c r="AM216"/>
      <c r="AO216"/>
      <c r="AP216"/>
      <c r="AQ216"/>
      <c r="AR216"/>
      <c r="AS216"/>
      <c r="AT216"/>
      <c r="AU216"/>
      <c r="AV216"/>
      <c r="AW216"/>
      <c r="AX216"/>
      <c r="AY216"/>
      <c r="AZ216"/>
      <c r="BA216"/>
      <c r="BB216"/>
      <c r="BC216"/>
      <c r="BD216"/>
      <c r="BE216"/>
      <c r="BF216"/>
      <c r="BH216"/>
      <c r="BI216"/>
      <c r="BJ216"/>
      <c r="BK216"/>
      <c r="BL216"/>
      <c r="BM216"/>
      <c r="BN216"/>
      <c r="BP216"/>
      <c r="BQ216"/>
      <c r="BR216"/>
      <c r="BS216"/>
      <c r="BT216"/>
      <c r="BU216"/>
      <c r="BV216"/>
      <c r="BW216"/>
      <c r="BZ216"/>
      <c r="CA216"/>
      <c r="CB216"/>
      <c r="CC216"/>
      <c r="CD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Z216"/>
      <c r="EA216"/>
      <c r="EB216"/>
      <c r="EC216"/>
      <c r="ED216"/>
      <c r="EE216"/>
      <c r="EF216"/>
      <c r="EG216"/>
      <c r="EJ216"/>
      <c r="EK216"/>
      <c r="EL216"/>
      <c r="EM216"/>
      <c r="EN216"/>
      <c r="EO216"/>
      <c r="EP216"/>
      <c r="EQ216"/>
      <c r="ER216"/>
      <c r="ES216"/>
      <c r="ET216"/>
      <c r="EU216"/>
      <c r="EV216"/>
      <c r="EW216"/>
      <c r="EX216"/>
      <c r="EY216"/>
      <c r="EZ216"/>
      <c r="FA216"/>
      <c r="FB216"/>
      <c r="FC216"/>
      <c r="FD216"/>
      <c r="FE216"/>
      <c r="FF216"/>
      <c r="FG216"/>
      <c r="FH216"/>
      <c r="FK216" s="449" t="s">
        <v>6853</v>
      </c>
      <c r="FL216" s="457"/>
      <c r="FM216" s="449">
        <v>1</v>
      </c>
      <c r="FN216" s="452"/>
      <c r="FO216" s="452"/>
      <c r="FP216" s="452"/>
      <c r="FQ216" s="452"/>
      <c r="FR216" s="452"/>
      <c r="FS216" s="452"/>
      <c r="FT216" s="452"/>
      <c r="FU216" s="452"/>
      <c r="FV216" s="452"/>
      <c r="FW216" s="452"/>
      <c r="FX216" s="452"/>
      <c r="FY216" s="452"/>
      <c r="FZ216" s="453"/>
      <c r="GA216"/>
      <c r="GB216"/>
      <c r="GC216"/>
      <c r="GD216"/>
    </row>
    <row r="217" spans="33:186" x14ac:dyDescent="0.15">
      <c r="AG217"/>
      <c r="AH217"/>
      <c r="AJ217"/>
      <c r="AK217"/>
      <c r="AL217"/>
      <c r="AM217"/>
      <c r="AO217"/>
      <c r="AP217"/>
      <c r="AQ217"/>
      <c r="AR217"/>
      <c r="AS217"/>
      <c r="AT217"/>
      <c r="AU217"/>
      <c r="AV217"/>
      <c r="AW217"/>
      <c r="AX217"/>
      <c r="AY217"/>
      <c r="AZ217"/>
      <c r="BA217"/>
      <c r="BB217"/>
      <c r="BC217"/>
      <c r="BD217"/>
      <c r="BE217"/>
      <c r="BF217"/>
      <c r="BH217"/>
      <c r="BI217"/>
      <c r="BJ217"/>
      <c r="BK217"/>
      <c r="BL217"/>
      <c r="BM217"/>
      <c r="BN217"/>
      <c r="BP217"/>
      <c r="BQ217"/>
      <c r="BR217"/>
      <c r="BS217"/>
      <c r="BT217"/>
      <c r="BU217"/>
      <c r="BV217"/>
      <c r="BW217"/>
      <c r="BZ217"/>
      <c r="CA217"/>
      <c r="CB217"/>
      <c r="CC217"/>
      <c r="CD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Z217"/>
      <c r="EA217"/>
      <c r="EB217"/>
      <c r="EC217"/>
      <c r="ED217"/>
      <c r="EE217"/>
      <c r="EF217"/>
      <c r="EG217"/>
      <c r="EJ217"/>
      <c r="EK217"/>
      <c r="EL217"/>
      <c r="EM217"/>
      <c r="EN217"/>
      <c r="EO217"/>
      <c r="EP217"/>
      <c r="EQ217"/>
      <c r="ER217"/>
      <c r="ES217"/>
      <c r="ET217"/>
      <c r="EU217"/>
      <c r="EV217"/>
      <c r="EW217"/>
      <c r="EX217"/>
      <c r="EY217"/>
      <c r="EZ217"/>
      <c r="FA217"/>
      <c r="FB217"/>
      <c r="FC217"/>
      <c r="FD217"/>
      <c r="FE217"/>
      <c r="FF217"/>
      <c r="FG217"/>
      <c r="FH217"/>
      <c r="FK217" s="449">
        <v>0.20200000000000001</v>
      </c>
      <c r="FL217" s="449" t="s">
        <v>406</v>
      </c>
      <c r="FM217" s="449">
        <v>1</v>
      </c>
      <c r="FN217" s="452"/>
      <c r="FO217" s="452"/>
      <c r="FP217" s="452"/>
      <c r="FQ217" s="452"/>
      <c r="FR217" s="452"/>
      <c r="FS217" s="452"/>
      <c r="FT217" s="452"/>
      <c r="FU217" s="452"/>
      <c r="FV217" s="452"/>
      <c r="FW217" s="452"/>
      <c r="FX217" s="452"/>
      <c r="FY217" s="452"/>
      <c r="FZ217" s="453"/>
      <c r="GA217"/>
      <c r="GB217"/>
      <c r="GC217"/>
      <c r="GD217"/>
    </row>
    <row r="218" spans="33:186" x14ac:dyDescent="0.15">
      <c r="AG218"/>
      <c r="AH218"/>
      <c r="AJ218"/>
      <c r="AK218"/>
      <c r="AL218"/>
      <c r="AM218"/>
      <c r="AO218"/>
      <c r="AP218"/>
      <c r="AQ218"/>
      <c r="AR218"/>
      <c r="AS218"/>
      <c r="AT218"/>
      <c r="AU218"/>
      <c r="AV218"/>
      <c r="AW218"/>
      <c r="AX218"/>
      <c r="AY218"/>
      <c r="AZ218"/>
      <c r="BA218"/>
      <c r="BB218"/>
      <c r="BC218"/>
      <c r="BD218"/>
      <c r="BE218"/>
      <c r="BF218"/>
      <c r="BH218"/>
      <c r="BI218"/>
      <c r="BJ218"/>
      <c r="BK218"/>
      <c r="BL218"/>
      <c r="BM218"/>
      <c r="BN218"/>
      <c r="BP218"/>
      <c r="BQ218"/>
      <c r="BR218"/>
      <c r="BS218"/>
      <c r="BT218"/>
      <c r="BU218"/>
      <c r="BV218"/>
      <c r="BW218"/>
      <c r="BZ218"/>
      <c r="CA218"/>
      <c r="CB218"/>
      <c r="CC218"/>
      <c r="CD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Z218"/>
      <c r="EA218"/>
      <c r="EB218"/>
      <c r="EC218"/>
      <c r="ED218"/>
      <c r="EE218"/>
      <c r="EF218"/>
      <c r="EG218"/>
      <c r="EJ218"/>
      <c r="EK218"/>
      <c r="EL218"/>
      <c r="EM218"/>
      <c r="EN218"/>
      <c r="EO218"/>
      <c r="EP218"/>
      <c r="EQ218"/>
      <c r="ER218"/>
      <c r="ES218"/>
      <c r="ET218"/>
      <c r="EU218"/>
      <c r="EV218"/>
      <c r="EW218"/>
      <c r="EX218"/>
      <c r="EY218"/>
      <c r="EZ218"/>
      <c r="FA218"/>
      <c r="FB218"/>
      <c r="FC218"/>
      <c r="FD218"/>
      <c r="FE218"/>
      <c r="FF218"/>
      <c r="FG218"/>
      <c r="FH218"/>
      <c r="FK218" s="449" t="s">
        <v>6854</v>
      </c>
      <c r="FL218" s="457"/>
      <c r="FM218" s="449">
        <v>1</v>
      </c>
      <c r="FN218" s="452"/>
      <c r="FO218" s="452"/>
      <c r="FP218" s="452"/>
      <c r="FQ218" s="452"/>
      <c r="FR218" s="452"/>
      <c r="FS218" s="452"/>
      <c r="FT218" s="452"/>
      <c r="FU218" s="452"/>
      <c r="FV218" s="452"/>
      <c r="FW218" s="452"/>
      <c r="FX218" s="452"/>
      <c r="FY218" s="452"/>
      <c r="FZ218" s="453"/>
      <c r="GA218"/>
      <c r="GB218"/>
      <c r="GC218"/>
      <c r="GD218"/>
    </row>
    <row r="219" spans="33:186" x14ac:dyDescent="0.15">
      <c r="AG219"/>
      <c r="AH219"/>
      <c r="AJ219"/>
      <c r="AK219"/>
      <c r="AL219"/>
      <c r="AM219"/>
      <c r="AO219"/>
      <c r="AP219"/>
      <c r="AQ219"/>
      <c r="AR219"/>
      <c r="AS219"/>
      <c r="AT219"/>
      <c r="AU219"/>
      <c r="AV219"/>
      <c r="AW219"/>
      <c r="AX219"/>
      <c r="AY219"/>
      <c r="AZ219"/>
      <c r="BA219"/>
      <c r="BB219"/>
      <c r="BC219"/>
      <c r="BD219"/>
      <c r="BE219"/>
      <c r="BF219"/>
      <c r="BH219"/>
      <c r="BI219"/>
      <c r="BJ219"/>
      <c r="BK219"/>
      <c r="BL219"/>
      <c r="BM219"/>
      <c r="BN219"/>
      <c r="BP219"/>
      <c r="BQ219"/>
      <c r="BR219"/>
      <c r="BS219"/>
      <c r="BT219"/>
      <c r="BU219"/>
      <c r="BV219"/>
      <c r="BW219"/>
      <c r="BZ219"/>
      <c r="CA219"/>
      <c r="CB219"/>
      <c r="CC219"/>
      <c r="CD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Z219"/>
      <c r="EA219"/>
      <c r="EB219"/>
      <c r="EC219"/>
      <c r="ED219"/>
      <c r="EE219"/>
      <c r="EF219"/>
      <c r="EG219"/>
      <c r="EJ219"/>
      <c r="EK219"/>
      <c r="EL219"/>
      <c r="EM219"/>
      <c r="EN219"/>
      <c r="EO219"/>
      <c r="EP219"/>
      <c r="EQ219"/>
      <c r="ER219"/>
      <c r="ES219"/>
      <c r="ET219"/>
      <c r="EU219"/>
      <c r="EV219"/>
      <c r="EW219"/>
      <c r="EX219"/>
      <c r="EY219"/>
      <c r="EZ219"/>
      <c r="FA219"/>
      <c r="FB219"/>
      <c r="FC219"/>
      <c r="FD219"/>
      <c r="FE219"/>
      <c r="FF219"/>
      <c r="FG219"/>
      <c r="FH219"/>
      <c r="FK219" s="449">
        <v>10.792</v>
      </c>
      <c r="FL219" s="449" t="s">
        <v>410</v>
      </c>
      <c r="FM219" s="449"/>
      <c r="FN219" s="452"/>
      <c r="FO219" s="452"/>
      <c r="FP219" s="452"/>
      <c r="FQ219" s="452"/>
      <c r="FR219" s="452"/>
      <c r="FS219" s="452"/>
      <c r="FT219" s="452">
        <v>1</v>
      </c>
      <c r="FU219" s="452"/>
      <c r="FV219" s="452"/>
      <c r="FW219" s="452"/>
      <c r="FX219" s="452"/>
      <c r="FY219" s="452"/>
      <c r="FZ219" s="453"/>
      <c r="GA219"/>
      <c r="GB219"/>
      <c r="GC219"/>
      <c r="GD219"/>
    </row>
    <row r="220" spans="33:186" x14ac:dyDescent="0.15">
      <c r="AG220"/>
      <c r="AH220"/>
      <c r="AJ220"/>
      <c r="AK220"/>
      <c r="AL220"/>
      <c r="AM220"/>
      <c r="AO220"/>
      <c r="AP220"/>
      <c r="AQ220"/>
      <c r="AR220"/>
      <c r="AS220"/>
      <c r="AT220"/>
      <c r="AU220"/>
      <c r="AV220"/>
      <c r="AW220"/>
      <c r="AX220"/>
      <c r="AY220"/>
      <c r="AZ220"/>
      <c r="BA220"/>
      <c r="BB220"/>
      <c r="BC220"/>
      <c r="BD220"/>
      <c r="BE220"/>
      <c r="BF220"/>
      <c r="BH220"/>
      <c r="BI220"/>
      <c r="BJ220"/>
      <c r="BK220"/>
      <c r="BL220"/>
      <c r="BM220"/>
      <c r="BN220"/>
      <c r="BP220"/>
      <c r="BQ220"/>
      <c r="BR220"/>
      <c r="BS220"/>
      <c r="BT220"/>
      <c r="BU220"/>
      <c r="BV220"/>
      <c r="BW220"/>
      <c r="BZ220"/>
      <c r="CA220"/>
      <c r="CB220"/>
      <c r="CC220"/>
      <c r="CD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Z220"/>
      <c r="EA220"/>
      <c r="EB220"/>
      <c r="EC220"/>
      <c r="ED220"/>
      <c r="EE220"/>
      <c r="EF220"/>
      <c r="EG220"/>
      <c r="EJ220"/>
      <c r="EK220"/>
      <c r="EL220"/>
      <c r="EM220"/>
      <c r="EN220"/>
      <c r="EO220"/>
      <c r="EP220"/>
      <c r="EQ220"/>
      <c r="ER220"/>
      <c r="ES220"/>
      <c r="ET220"/>
      <c r="EU220"/>
      <c r="EV220"/>
      <c r="EW220"/>
      <c r="EX220"/>
      <c r="EY220"/>
      <c r="EZ220"/>
      <c r="FA220"/>
      <c r="FB220"/>
      <c r="FC220"/>
      <c r="FD220"/>
      <c r="FE220"/>
      <c r="FF220"/>
      <c r="FG220"/>
      <c r="FH220"/>
      <c r="FK220" s="449" t="s">
        <v>6855</v>
      </c>
      <c r="FL220" s="457"/>
      <c r="FM220" s="449"/>
      <c r="FN220" s="452"/>
      <c r="FO220" s="452"/>
      <c r="FP220" s="452"/>
      <c r="FQ220" s="452"/>
      <c r="FR220" s="452"/>
      <c r="FS220" s="452"/>
      <c r="FT220" s="452">
        <v>1</v>
      </c>
      <c r="FU220" s="452"/>
      <c r="FV220" s="452"/>
      <c r="FW220" s="452"/>
      <c r="FX220" s="452"/>
      <c r="FY220" s="452"/>
      <c r="FZ220" s="453"/>
      <c r="GA220"/>
      <c r="GB220"/>
      <c r="GC220"/>
      <c r="GD220"/>
    </row>
    <row r="221" spans="33:186" x14ac:dyDescent="0.15">
      <c r="AG221"/>
      <c r="AH221"/>
      <c r="AJ221"/>
      <c r="AK221"/>
      <c r="AL221"/>
      <c r="AM221"/>
      <c r="AO221"/>
      <c r="AP221"/>
      <c r="AQ221"/>
      <c r="AR221"/>
      <c r="AS221"/>
      <c r="AT221"/>
      <c r="AU221"/>
      <c r="AV221"/>
      <c r="AW221"/>
      <c r="AX221"/>
      <c r="AY221"/>
      <c r="AZ221"/>
      <c r="BA221"/>
      <c r="BB221"/>
      <c r="BC221"/>
      <c r="BD221"/>
      <c r="BE221"/>
      <c r="BF221"/>
      <c r="BH221"/>
      <c r="BI221"/>
      <c r="BJ221"/>
      <c r="BK221"/>
      <c r="BL221"/>
      <c r="BM221"/>
      <c r="BN221"/>
      <c r="BP221"/>
      <c r="BQ221"/>
      <c r="BR221"/>
      <c r="BS221"/>
      <c r="BT221"/>
      <c r="BU221"/>
      <c r="BV221"/>
      <c r="BW221"/>
      <c r="BZ221"/>
      <c r="CA221"/>
      <c r="CB221"/>
      <c r="CC221"/>
      <c r="CD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Z221"/>
      <c r="EA221"/>
      <c r="EB221"/>
      <c r="EC221"/>
      <c r="ED221"/>
      <c r="EE221"/>
      <c r="EF221"/>
      <c r="EG221"/>
      <c r="EJ221"/>
      <c r="EK221"/>
      <c r="EL221"/>
      <c r="EM221"/>
      <c r="EN221"/>
      <c r="EO221"/>
      <c r="EP221"/>
      <c r="EQ221"/>
      <c r="ER221"/>
      <c r="ES221"/>
      <c r="ET221"/>
      <c r="EU221"/>
      <c r="EV221"/>
      <c r="EW221"/>
      <c r="EX221"/>
      <c r="EY221"/>
      <c r="EZ221"/>
      <c r="FA221"/>
      <c r="FB221"/>
      <c r="FC221"/>
      <c r="FD221"/>
      <c r="FE221"/>
      <c r="FF221"/>
      <c r="FG221"/>
      <c r="FH221"/>
      <c r="FK221" s="449">
        <v>0.5</v>
      </c>
      <c r="FL221" s="449" t="s">
        <v>411</v>
      </c>
      <c r="FM221" s="449">
        <v>1</v>
      </c>
      <c r="FN221" s="452"/>
      <c r="FO221" s="452"/>
      <c r="FP221" s="452"/>
      <c r="FQ221" s="452"/>
      <c r="FR221" s="452"/>
      <c r="FS221" s="452"/>
      <c r="FT221" s="452"/>
      <c r="FU221" s="452"/>
      <c r="FV221" s="452"/>
      <c r="FW221" s="452"/>
      <c r="FX221" s="452"/>
      <c r="FY221" s="452"/>
      <c r="FZ221" s="453"/>
      <c r="GA221"/>
      <c r="GB221"/>
      <c r="GC221"/>
      <c r="GD221"/>
    </row>
    <row r="222" spans="33:186" x14ac:dyDescent="0.15">
      <c r="AG222"/>
      <c r="AH222"/>
      <c r="AJ222"/>
      <c r="AK222"/>
      <c r="AL222"/>
      <c r="AM222"/>
      <c r="AO222"/>
      <c r="AP222"/>
      <c r="AQ222"/>
      <c r="AR222"/>
      <c r="AS222"/>
      <c r="AT222"/>
      <c r="AU222"/>
      <c r="AV222"/>
      <c r="AW222"/>
      <c r="AX222"/>
      <c r="AY222"/>
      <c r="AZ222"/>
      <c r="BA222"/>
      <c r="BB222"/>
      <c r="BC222"/>
      <c r="BD222"/>
      <c r="BE222"/>
      <c r="BF222"/>
      <c r="BH222"/>
      <c r="BI222"/>
      <c r="BJ222"/>
      <c r="BK222"/>
      <c r="BL222"/>
      <c r="BM222"/>
      <c r="BN222"/>
      <c r="BP222"/>
      <c r="BQ222"/>
      <c r="BR222"/>
      <c r="BS222"/>
      <c r="BT222"/>
      <c r="BU222"/>
      <c r="BV222"/>
      <c r="BW222"/>
      <c r="BZ222"/>
      <c r="CA222"/>
      <c r="CB222"/>
      <c r="CC222"/>
      <c r="CD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Z222"/>
      <c r="EA222"/>
      <c r="EB222"/>
      <c r="EC222"/>
      <c r="ED222"/>
      <c r="EE222"/>
      <c r="EF222"/>
      <c r="EG222"/>
      <c r="EJ222"/>
      <c r="EK222"/>
      <c r="EL222"/>
      <c r="EM222"/>
      <c r="EN222"/>
      <c r="EO222"/>
      <c r="EP222"/>
      <c r="EQ222"/>
      <c r="ER222"/>
      <c r="ES222"/>
      <c r="ET222"/>
      <c r="EU222"/>
      <c r="EV222"/>
      <c r="EW222"/>
      <c r="EX222"/>
      <c r="EY222"/>
      <c r="EZ222"/>
      <c r="FA222"/>
      <c r="FB222"/>
      <c r="FC222"/>
      <c r="FD222"/>
      <c r="FE222"/>
      <c r="FF222"/>
      <c r="FG222"/>
      <c r="FH222"/>
      <c r="FK222" s="449" t="s">
        <v>6856</v>
      </c>
      <c r="FL222" s="457"/>
      <c r="FM222" s="449">
        <v>1</v>
      </c>
      <c r="FN222" s="452"/>
      <c r="FO222" s="452"/>
      <c r="FP222" s="452"/>
      <c r="FQ222" s="452"/>
      <c r="FR222" s="452"/>
      <c r="FS222" s="452"/>
      <c r="FT222" s="452"/>
      <c r="FU222" s="452"/>
      <c r="FV222" s="452"/>
      <c r="FW222" s="452"/>
      <c r="FX222" s="452"/>
      <c r="FY222" s="452"/>
      <c r="FZ222" s="453"/>
      <c r="GA222"/>
      <c r="GB222"/>
      <c r="GC222"/>
      <c r="GD222"/>
    </row>
    <row r="223" spans="33:186" x14ac:dyDescent="0.15">
      <c r="AG223"/>
      <c r="AH223"/>
      <c r="AJ223"/>
      <c r="AK223"/>
      <c r="AL223"/>
      <c r="AM223"/>
      <c r="AO223"/>
      <c r="AP223"/>
      <c r="AQ223"/>
      <c r="AR223"/>
      <c r="AS223"/>
      <c r="AT223"/>
      <c r="AU223"/>
      <c r="AV223"/>
      <c r="AW223"/>
      <c r="AX223"/>
      <c r="AY223"/>
      <c r="AZ223"/>
      <c r="BA223"/>
      <c r="BB223"/>
      <c r="BC223"/>
      <c r="BD223"/>
      <c r="BE223"/>
      <c r="BF223"/>
      <c r="BH223"/>
      <c r="BI223"/>
      <c r="BJ223"/>
      <c r="BK223"/>
      <c r="BL223"/>
      <c r="BM223"/>
      <c r="BN223"/>
      <c r="BP223"/>
      <c r="BQ223"/>
      <c r="BR223"/>
      <c r="BS223"/>
      <c r="BT223"/>
      <c r="BU223"/>
      <c r="BV223"/>
      <c r="BW223"/>
      <c r="BZ223"/>
      <c r="CA223"/>
      <c r="CB223"/>
      <c r="CC223"/>
      <c r="CD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Z223"/>
      <c r="EA223"/>
      <c r="EB223"/>
      <c r="EC223"/>
      <c r="ED223"/>
      <c r="EE223"/>
      <c r="EF223"/>
      <c r="EG223"/>
      <c r="EJ223"/>
      <c r="EK223"/>
      <c r="EL223"/>
      <c r="EM223"/>
      <c r="EN223"/>
      <c r="EO223"/>
      <c r="EP223"/>
      <c r="EQ223"/>
      <c r="ER223"/>
      <c r="ES223"/>
      <c r="ET223"/>
      <c r="EU223"/>
      <c r="EV223"/>
      <c r="EW223"/>
      <c r="EX223"/>
      <c r="EY223"/>
      <c r="EZ223"/>
      <c r="FA223"/>
      <c r="FB223"/>
      <c r="FC223"/>
      <c r="FD223"/>
      <c r="FE223"/>
      <c r="FF223"/>
      <c r="FG223"/>
      <c r="FH223"/>
      <c r="FK223" s="449">
        <v>16.946999999999999</v>
      </c>
      <c r="FL223" s="449" t="s">
        <v>411</v>
      </c>
      <c r="FM223" s="449"/>
      <c r="FN223" s="452"/>
      <c r="FO223" s="452"/>
      <c r="FP223" s="452">
        <v>1</v>
      </c>
      <c r="FQ223" s="452"/>
      <c r="FR223" s="452"/>
      <c r="FS223" s="452"/>
      <c r="FT223" s="452"/>
      <c r="FU223" s="452"/>
      <c r="FV223" s="452"/>
      <c r="FW223" s="452"/>
      <c r="FX223" s="452"/>
      <c r="FY223" s="452"/>
      <c r="FZ223" s="453"/>
      <c r="GA223"/>
      <c r="GB223"/>
      <c r="GC223"/>
      <c r="GD223"/>
    </row>
    <row r="224" spans="33:186" x14ac:dyDescent="0.15">
      <c r="AG224"/>
      <c r="AH224"/>
      <c r="AJ224"/>
      <c r="AK224"/>
      <c r="AL224"/>
      <c r="AM224"/>
      <c r="AO224"/>
      <c r="AP224"/>
      <c r="AQ224"/>
      <c r="AR224"/>
      <c r="AS224"/>
      <c r="AT224"/>
      <c r="AU224"/>
      <c r="AV224"/>
      <c r="AW224"/>
      <c r="AX224"/>
      <c r="AY224"/>
      <c r="AZ224"/>
      <c r="BA224"/>
      <c r="BB224"/>
      <c r="BC224"/>
      <c r="BD224"/>
      <c r="BE224"/>
      <c r="BF224"/>
      <c r="BH224"/>
      <c r="BI224"/>
      <c r="BJ224"/>
      <c r="BK224"/>
      <c r="BL224"/>
      <c r="BM224"/>
      <c r="BN224"/>
      <c r="BP224"/>
      <c r="BQ224"/>
      <c r="BR224"/>
      <c r="BS224"/>
      <c r="BT224"/>
      <c r="BU224"/>
      <c r="BV224"/>
      <c r="BW224"/>
      <c r="BZ224"/>
      <c r="CA224"/>
      <c r="CB224"/>
      <c r="CC224"/>
      <c r="CD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Z224"/>
      <c r="EA224"/>
      <c r="EB224"/>
      <c r="EC224"/>
      <c r="ED224"/>
      <c r="EE224"/>
      <c r="EF224"/>
      <c r="EG224"/>
      <c r="EJ224"/>
      <c r="EK224"/>
      <c r="EL224"/>
      <c r="EM224"/>
      <c r="EN224"/>
      <c r="EO224"/>
      <c r="EP224"/>
      <c r="EQ224"/>
      <c r="ER224"/>
      <c r="ES224"/>
      <c r="ET224"/>
      <c r="EU224"/>
      <c r="EV224"/>
      <c r="EW224"/>
      <c r="EX224"/>
      <c r="EY224"/>
      <c r="EZ224"/>
      <c r="FA224"/>
      <c r="FB224"/>
      <c r="FC224"/>
      <c r="FD224"/>
      <c r="FE224"/>
      <c r="FF224"/>
      <c r="FG224"/>
      <c r="FH224"/>
      <c r="FK224" s="449" t="s">
        <v>6857</v>
      </c>
      <c r="FL224" s="457"/>
      <c r="FM224" s="449"/>
      <c r="FN224" s="452"/>
      <c r="FO224" s="452"/>
      <c r="FP224" s="452">
        <v>1</v>
      </c>
      <c r="FQ224" s="452"/>
      <c r="FR224" s="452"/>
      <c r="FS224" s="452"/>
      <c r="FT224" s="452"/>
      <c r="FU224" s="452"/>
      <c r="FV224" s="452"/>
      <c r="FW224" s="452"/>
      <c r="FX224" s="452"/>
      <c r="FY224" s="452"/>
      <c r="FZ224" s="453"/>
      <c r="GA224"/>
      <c r="GB224"/>
      <c r="GC224"/>
      <c r="GD224"/>
    </row>
    <row r="225" spans="4:186" x14ac:dyDescent="0.15">
      <c r="AG225"/>
      <c r="AH225"/>
      <c r="AJ225"/>
      <c r="AK225"/>
      <c r="AL225"/>
      <c r="AM225"/>
      <c r="AO225"/>
      <c r="AP225"/>
      <c r="AQ225"/>
      <c r="AR225"/>
      <c r="AS225"/>
      <c r="AT225"/>
      <c r="AU225"/>
      <c r="AV225"/>
      <c r="AW225"/>
      <c r="AX225"/>
      <c r="AY225"/>
      <c r="AZ225"/>
      <c r="BA225"/>
      <c r="BB225"/>
      <c r="BC225"/>
      <c r="BD225"/>
      <c r="BE225"/>
      <c r="BF225"/>
      <c r="BH225"/>
      <c r="BI225"/>
      <c r="BJ225"/>
      <c r="BK225"/>
      <c r="BL225"/>
      <c r="BM225"/>
      <c r="BN225"/>
      <c r="BP225"/>
      <c r="BQ225"/>
      <c r="BR225"/>
      <c r="BS225"/>
      <c r="BT225"/>
      <c r="BU225"/>
      <c r="BV225"/>
      <c r="BW225"/>
      <c r="BZ225"/>
      <c r="CA225"/>
      <c r="CB225"/>
      <c r="CC225"/>
      <c r="CD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Z225"/>
      <c r="EA225"/>
      <c r="EB225"/>
      <c r="EC225"/>
      <c r="ED225"/>
      <c r="EE225"/>
      <c r="EF225"/>
      <c r="EG225"/>
      <c r="EJ225"/>
      <c r="EK225"/>
      <c r="EL225"/>
      <c r="EM225"/>
      <c r="EN225"/>
      <c r="EO225"/>
      <c r="EP225"/>
      <c r="EQ225"/>
      <c r="ER225"/>
      <c r="ES225"/>
      <c r="ET225"/>
      <c r="EU225"/>
      <c r="EV225"/>
      <c r="EW225"/>
      <c r="EX225"/>
      <c r="EY225"/>
      <c r="EZ225"/>
      <c r="FA225"/>
      <c r="FB225"/>
      <c r="FC225"/>
      <c r="FD225"/>
      <c r="FE225"/>
      <c r="FF225"/>
      <c r="FG225"/>
      <c r="FH225"/>
      <c r="FK225" s="449">
        <v>18.8</v>
      </c>
      <c r="FL225" s="449" t="s">
        <v>396</v>
      </c>
      <c r="FM225" s="449"/>
      <c r="FN225" s="452"/>
      <c r="FO225" s="452">
        <v>1</v>
      </c>
      <c r="FP225" s="452"/>
      <c r="FQ225" s="452"/>
      <c r="FR225" s="452"/>
      <c r="FS225" s="452"/>
      <c r="FT225" s="452"/>
      <c r="FU225" s="452"/>
      <c r="FV225" s="452"/>
      <c r="FW225" s="452"/>
      <c r="FX225" s="452"/>
      <c r="FY225" s="452"/>
      <c r="FZ225" s="453"/>
      <c r="GA225"/>
      <c r="GB225"/>
      <c r="GC225"/>
      <c r="GD225"/>
    </row>
    <row r="226" spans="4:186" x14ac:dyDescent="0.15">
      <c r="AG226"/>
      <c r="AH226"/>
      <c r="AJ226"/>
      <c r="AK226"/>
      <c r="AL226"/>
      <c r="AM226"/>
      <c r="AO226"/>
      <c r="AP226"/>
      <c r="AQ226"/>
      <c r="AR226"/>
      <c r="AS226"/>
      <c r="AT226"/>
      <c r="AU226"/>
      <c r="AV226"/>
      <c r="AW226"/>
      <c r="AX226"/>
      <c r="AY226"/>
      <c r="AZ226"/>
      <c r="BA226"/>
      <c r="BB226"/>
      <c r="BC226"/>
      <c r="BD226"/>
      <c r="BE226"/>
      <c r="BF226"/>
      <c r="BH226"/>
      <c r="BI226"/>
      <c r="BJ226"/>
      <c r="BK226"/>
      <c r="BL226"/>
      <c r="BM226"/>
      <c r="BN226"/>
      <c r="BP226"/>
      <c r="BQ226"/>
      <c r="BR226"/>
      <c r="BS226"/>
      <c r="BT226"/>
      <c r="BU226"/>
      <c r="BV226"/>
      <c r="BW226"/>
      <c r="BZ226"/>
      <c r="CA226"/>
      <c r="CB226"/>
      <c r="CC226"/>
      <c r="CD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Z226"/>
      <c r="EA226"/>
      <c r="EB226"/>
      <c r="EC226"/>
      <c r="ED226"/>
      <c r="EE226"/>
      <c r="EF226"/>
      <c r="EG226"/>
      <c r="EJ226"/>
      <c r="EK226"/>
      <c r="EL226"/>
      <c r="EM226"/>
      <c r="EN226"/>
      <c r="EO226"/>
      <c r="EP226"/>
      <c r="EQ226"/>
      <c r="ER226"/>
      <c r="ES226"/>
      <c r="ET226"/>
      <c r="EU226"/>
      <c r="EV226"/>
      <c r="EW226"/>
      <c r="EX226"/>
      <c r="EY226"/>
      <c r="EZ226"/>
      <c r="FA226"/>
      <c r="FB226"/>
      <c r="FC226"/>
      <c r="FD226"/>
      <c r="FE226"/>
      <c r="FF226"/>
      <c r="FG226"/>
      <c r="FH226"/>
      <c r="FK226" s="449" t="s">
        <v>6858</v>
      </c>
      <c r="FL226" s="457"/>
      <c r="FM226" s="449"/>
      <c r="FN226" s="452"/>
      <c r="FO226" s="452">
        <v>1</v>
      </c>
      <c r="FP226" s="452"/>
      <c r="FQ226" s="452"/>
      <c r="FR226" s="452"/>
      <c r="FS226" s="452"/>
      <c r="FT226" s="452"/>
      <c r="FU226" s="452"/>
      <c r="FV226" s="452"/>
      <c r="FW226" s="452"/>
      <c r="FX226" s="452"/>
      <c r="FY226" s="452"/>
      <c r="FZ226" s="453"/>
      <c r="GA226"/>
      <c r="GB226"/>
      <c r="GC226"/>
      <c r="GD226"/>
    </row>
    <row r="227" spans="4:186" x14ac:dyDescent="0.15">
      <c r="AG227"/>
      <c r="AH227"/>
      <c r="AJ227"/>
      <c r="AK227"/>
      <c r="AL227"/>
      <c r="AM227"/>
      <c r="AO227"/>
      <c r="AP227"/>
      <c r="AQ227"/>
      <c r="AR227"/>
      <c r="AS227"/>
      <c r="AT227"/>
      <c r="AU227"/>
      <c r="AV227"/>
      <c r="AW227"/>
      <c r="AX227"/>
      <c r="AY227"/>
      <c r="AZ227"/>
      <c r="BA227"/>
      <c r="BB227"/>
      <c r="BC227"/>
      <c r="BD227"/>
      <c r="BE227"/>
      <c r="BF227"/>
      <c r="BH227"/>
      <c r="BI227"/>
      <c r="BJ227"/>
      <c r="BK227"/>
      <c r="BL227"/>
      <c r="BM227"/>
      <c r="BN227"/>
      <c r="BP227"/>
      <c r="BQ227"/>
      <c r="BR227"/>
      <c r="BS227"/>
      <c r="BT227"/>
      <c r="BU227"/>
      <c r="BV227"/>
      <c r="BW227"/>
      <c r="BZ227"/>
      <c r="CA227"/>
      <c r="CB227"/>
      <c r="CC227"/>
      <c r="CD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Z227"/>
      <c r="EA227"/>
      <c r="EB227"/>
      <c r="EC227"/>
      <c r="ED227"/>
      <c r="EE227"/>
      <c r="EF227"/>
      <c r="EG227"/>
      <c r="EJ227"/>
      <c r="EK227"/>
      <c r="EL227"/>
      <c r="EM227"/>
      <c r="EN227"/>
      <c r="EO227"/>
      <c r="EP227"/>
      <c r="EQ227"/>
      <c r="ER227"/>
      <c r="ES227"/>
      <c r="ET227"/>
      <c r="EU227"/>
      <c r="EV227"/>
      <c r="EW227"/>
      <c r="EX227"/>
      <c r="EY227"/>
      <c r="EZ227"/>
      <c r="FA227"/>
      <c r="FB227"/>
      <c r="FC227"/>
      <c r="FD227"/>
      <c r="FE227"/>
      <c r="FF227"/>
      <c r="FG227"/>
      <c r="FH227"/>
      <c r="FK227" s="449">
        <v>0.92400000000000004</v>
      </c>
      <c r="FL227" s="449" t="s">
        <v>406</v>
      </c>
      <c r="FM227" s="449"/>
      <c r="FN227" s="452"/>
      <c r="FO227" s="452"/>
      <c r="FP227" s="452"/>
      <c r="FQ227" s="452"/>
      <c r="FR227" s="452"/>
      <c r="FS227" s="452">
        <v>1</v>
      </c>
      <c r="FT227" s="452"/>
      <c r="FU227" s="452"/>
      <c r="FV227" s="452"/>
      <c r="FW227" s="452"/>
      <c r="FX227" s="452"/>
      <c r="FY227" s="452"/>
      <c r="FZ227" s="453"/>
      <c r="GA227"/>
      <c r="GB227"/>
      <c r="GC227"/>
      <c r="GD227"/>
    </row>
    <row r="228" spans="4:186" x14ac:dyDescent="0.15">
      <c r="AG228"/>
      <c r="AH228"/>
      <c r="AJ228"/>
      <c r="AK228"/>
      <c r="AL228"/>
      <c r="AM228"/>
      <c r="AO228"/>
      <c r="AP228"/>
      <c r="AQ228"/>
      <c r="AR228"/>
      <c r="AS228"/>
      <c r="AT228"/>
      <c r="AU228"/>
      <c r="AV228"/>
      <c r="AW228"/>
      <c r="AX228"/>
      <c r="AY228"/>
      <c r="AZ228"/>
      <c r="BA228"/>
      <c r="BB228"/>
      <c r="BC228"/>
      <c r="BD228"/>
      <c r="BE228"/>
      <c r="BF228"/>
      <c r="BH228"/>
      <c r="BI228"/>
      <c r="BJ228"/>
      <c r="BK228"/>
      <c r="BL228"/>
      <c r="BM228"/>
      <c r="BN228"/>
      <c r="BP228"/>
      <c r="BQ228"/>
      <c r="BR228"/>
      <c r="BS228"/>
      <c r="BT228"/>
      <c r="BU228"/>
      <c r="BV228"/>
      <c r="BW228"/>
      <c r="BZ228"/>
      <c r="CA228"/>
      <c r="CB228"/>
      <c r="CC228"/>
      <c r="CD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Z228"/>
      <c r="EA228"/>
      <c r="EB228"/>
      <c r="EC228"/>
      <c r="ED228"/>
      <c r="EE228"/>
      <c r="EF228"/>
      <c r="EG228"/>
      <c r="EJ228"/>
      <c r="EK228"/>
      <c r="EL228"/>
      <c r="EM228"/>
      <c r="EN228"/>
      <c r="EO228"/>
      <c r="EP228"/>
      <c r="EQ228"/>
      <c r="ER228"/>
      <c r="ES228"/>
      <c r="ET228"/>
      <c r="EU228"/>
      <c r="EV228"/>
      <c r="EW228"/>
      <c r="EX228"/>
      <c r="EY228"/>
      <c r="EZ228"/>
      <c r="FA228"/>
      <c r="FB228"/>
      <c r="FC228"/>
      <c r="FD228"/>
      <c r="FE228"/>
      <c r="FF228"/>
      <c r="FG228"/>
      <c r="FH228"/>
      <c r="FK228" s="449" t="s">
        <v>6859</v>
      </c>
      <c r="FL228" s="457"/>
      <c r="FM228" s="449"/>
      <c r="FN228" s="452"/>
      <c r="FO228" s="452"/>
      <c r="FP228" s="452"/>
      <c r="FQ228" s="452"/>
      <c r="FR228" s="452"/>
      <c r="FS228" s="452">
        <v>1</v>
      </c>
      <c r="FT228" s="452"/>
      <c r="FU228" s="452"/>
      <c r="FV228" s="452"/>
      <c r="FW228" s="452"/>
      <c r="FX228" s="452"/>
      <c r="FY228" s="452"/>
      <c r="FZ228" s="453"/>
      <c r="GA228"/>
      <c r="GB228"/>
      <c r="GC228"/>
      <c r="GD228"/>
    </row>
    <row r="229" spans="4:186" ht="18" x14ac:dyDescent="0.2">
      <c r="D229" s="18" t="str">
        <f>$D$1</f>
        <v>Type 'Heading' Here</v>
      </c>
      <c r="AG229"/>
      <c r="AH229"/>
      <c r="AJ229"/>
      <c r="AK229"/>
      <c r="AL229"/>
      <c r="AM229"/>
      <c r="AO229"/>
      <c r="AP229"/>
      <c r="AQ229"/>
      <c r="AR229"/>
      <c r="AS229"/>
      <c r="AT229"/>
      <c r="AU229"/>
      <c r="AV229"/>
      <c r="AW229"/>
      <c r="AX229"/>
      <c r="AY229"/>
      <c r="AZ229"/>
      <c r="BA229"/>
      <c r="BB229"/>
      <c r="BC229"/>
      <c r="BD229"/>
      <c r="BE229"/>
      <c r="BF229"/>
      <c r="BH229"/>
      <c r="BI229"/>
      <c r="BJ229"/>
      <c r="BK229"/>
      <c r="BL229"/>
      <c r="BM229"/>
      <c r="BN229"/>
      <c r="BP229"/>
      <c r="BQ229"/>
      <c r="BR229"/>
      <c r="BS229"/>
      <c r="BT229"/>
      <c r="BU229"/>
      <c r="BV229"/>
      <c r="BW229"/>
      <c r="BZ229"/>
      <c r="CA229"/>
      <c r="CB229"/>
      <c r="CC229"/>
      <c r="CD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Z229"/>
      <c r="EA229"/>
      <c r="EB229"/>
      <c r="EC229"/>
      <c r="ED229"/>
      <c r="EE229"/>
      <c r="EF229"/>
      <c r="EG229"/>
      <c r="EJ229"/>
      <c r="EK229"/>
      <c r="EL229"/>
      <c r="EM229"/>
      <c r="EN229"/>
      <c r="EO229"/>
      <c r="EP229"/>
      <c r="EQ229"/>
      <c r="ER229"/>
      <c r="ES229"/>
      <c r="ET229"/>
      <c r="EU229"/>
      <c r="EV229"/>
      <c r="EW229"/>
      <c r="EX229"/>
      <c r="EY229"/>
      <c r="EZ229"/>
      <c r="FA229"/>
      <c r="FB229"/>
      <c r="FC229"/>
      <c r="FD229"/>
      <c r="FE229"/>
      <c r="FF229"/>
      <c r="FG229"/>
      <c r="FH229"/>
      <c r="FK229" s="449">
        <v>21.347999999999999</v>
      </c>
      <c r="FL229" s="449" t="s">
        <v>411</v>
      </c>
      <c r="FM229" s="449"/>
      <c r="FN229" s="452"/>
      <c r="FO229" s="452"/>
      <c r="FP229" s="452"/>
      <c r="FQ229" s="452"/>
      <c r="FR229" s="452">
        <v>1</v>
      </c>
      <c r="FS229" s="452"/>
      <c r="FT229" s="452"/>
      <c r="FU229" s="452"/>
      <c r="FV229" s="452"/>
      <c r="FW229" s="452"/>
      <c r="FX229" s="452"/>
      <c r="FY229" s="452"/>
      <c r="FZ229" s="453"/>
      <c r="GA229"/>
      <c r="GB229"/>
      <c r="GC229"/>
      <c r="GD229"/>
    </row>
    <row r="230" spans="4:186" x14ac:dyDescent="0.15">
      <c r="D230" s="23" t="s">
        <v>157</v>
      </c>
      <c r="AG230"/>
      <c r="AH230"/>
      <c r="AJ230"/>
      <c r="AK230"/>
      <c r="AL230"/>
      <c r="AM230"/>
      <c r="AO230"/>
      <c r="AP230"/>
      <c r="AQ230"/>
      <c r="AR230"/>
      <c r="AS230"/>
      <c r="AT230"/>
      <c r="AU230"/>
      <c r="AV230"/>
      <c r="AW230"/>
      <c r="AX230"/>
      <c r="AY230"/>
      <c r="AZ230"/>
      <c r="BA230"/>
      <c r="BB230"/>
      <c r="BC230"/>
      <c r="BD230"/>
      <c r="BE230"/>
      <c r="BF230"/>
      <c r="BH230"/>
      <c r="BI230"/>
      <c r="BJ230"/>
      <c r="BK230"/>
      <c r="BL230"/>
      <c r="BM230"/>
      <c r="BN230"/>
      <c r="BP230"/>
      <c r="BQ230"/>
      <c r="BR230"/>
      <c r="BS230"/>
      <c r="BT230"/>
      <c r="BU230"/>
      <c r="BV230"/>
      <c r="BW230"/>
      <c r="BZ230"/>
      <c r="CA230"/>
      <c r="CB230"/>
      <c r="CC230"/>
      <c r="CD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Z230"/>
      <c r="EA230"/>
      <c r="EB230"/>
      <c r="EC230"/>
      <c r="ED230"/>
      <c r="EE230"/>
      <c r="EF230"/>
      <c r="EG230"/>
      <c r="EJ230"/>
      <c r="EK230"/>
      <c r="EL230"/>
      <c r="EM230"/>
      <c r="EN230"/>
      <c r="EO230"/>
      <c r="EP230"/>
      <c r="EQ230"/>
      <c r="ER230"/>
      <c r="ES230"/>
      <c r="ET230"/>
      <c r="EU230"/>
      <c r="EV230"/>
      <c r="EW230"/>
      <c r="EX230"/>
      <c r="EY230"/>
      <c r="EZ230"/>
      <c r="FA230"/>
      <c r="FB230"/>
      <c r="FC230"/>
      <c r="FD230"/>
      <c r="FE230"/>
      <c r="FF230"/>
      <c r="FG230"/>
      <c r="FH230"/>
      <c r="FK230" s="449" t="s">
        <v>6860</v>
      </c>
      <c r="FL230" s="457"/>
      <c r="FM230" s="449"/>
      <c r="FN230" s="452"/>
      <c r="FO230" s="452"/>
      <c r="FP230" s="452"/>
      <c r="FQ230" s="452"/>
      <c r="FR230" s="452">
        <v>1</v>
      </c>
      <c r="FS230" s="452"/>
      <c r="FT230" s="452"/>
      <c r="FU230" s="452"/>
      <c r="FV230" s="452"/>
      <c r="FW230" s="452"/>
      <c r="FX230" s="452"/>
      <c r="FY230" s="452"/>
      <c r="FZ230" s="453"/>
      <c r="GA230"/>
      <c r="GB230"/>
      <c r="GC230"/>
      <c r="GD230"/>
    </row>
    <row r="231" spans="4:186" x14ac:dyDescent="0.15">
      <c r="AG231"/>
      <c r="AH231"/>
      <c r="AJ231"/>
      <c r="AK231"/>
      <c r="AL231"/>
      <c r="AM231"/>
      <c r="AO231"/>
      <c r="AP231"/>
      <c r="AQ231"/>
      <c r="AR231"/>
      <c r="AS231"/>
      <c r="AT231"/>
      <c r="AU231"/>
      <c r="AV231"/>
      <c r="AW231"/>
      <c r="AX231"/>
      <c r="AY231"/>
      <c r="AZ231"/>
      <c r="BA231"/>
      <c r="BB231"/>
      <c r="BC231"/>
      <c r="BD231"/>
      <c r="BE231"/>
      <c r="BF231"/>
      <c r="BH231"/>
      <c r="BI231"/>
      <c r="BJ231"/>
      <c r="BK231"/>
      <c r="BL231"/>
      <c r="BM231"/>
      <c r="BN231"/>
      <c r="BP231"/>
      <c r="BQ231"/>
      <c r="BR231"/>
      <c r="BS231"/>
      <c r="BT231"/>
      <c r="BU231"/>
      <c r="BV231"/>
      <c r="BW231"/>
      <c r="BZ231"/>
      <c r="CA231"/>
      <c r="CB231"/>
      <c r="CC231"/>
      <c r="CD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Z231"/>
      <c r="EA231"/>
      <c r="EB231"/>
      <c r="EC231"/>
      <c r="ED231"/>
      <c r="EE231"/>
      <c r="EF231"/>
      <c r="EG231"/>
      <c r="EJ231"/>
      <c r="EK231"/>
      <c r="EL231"/>
      <c r="EM231"/>
      <c r="EN231"/>
      <c r="EO231"/>
      <c r="EP231"/>
      <c r="EQ231"/>
      <c r="ER231"/>
      <c r="ES231"/>
      <c r="ET231"/>
      <c r="EU231"/>
      <c r="EV231"/>
      <c r="EW231"/>
      <c r="EX231"/>
      <c r="EY231"/>
      <c r="EZ231"/>
      <c r="FA231"/>
      <c r="FB231"/>
      <c r="FC231"/>
      <c r="FD231"/>
      <c r="FE231"/>
      <c r="FF231"/>
      <c r="FG231"/>
      <c r="FH231"/>
      <c r="FK231" s="449">
        <v>2.6840000000000002</v>
      </c>
      <c r="FL231" s="449" t="s">
        <v>405</v>
      </c>
      <c r="FM231" s="449">
        <v>1</v>
      </c>
      <c r="FN231" s="452"/>
      <c r="FO231" s="452"/>
      <c r="FP231" s="452"/>
      <c r="FQ231" s="452"/>
      <c r="FR231" s="452"/>
      <c r="FS231" s="452"/>
      <c r="FT231" s="452"/>
      <c r="FU231" s="452"/>
      <c r="FV231" s="452"/>
      <c r="FW231" s="452"/>
      <c r="FX231" s="452"/>
      <c r="FY231" s="452"/>
      <c r="FZ231" s="453"/>
      <c r="GA231"/>
      <c r="GB231"/>
      <c r="GC231"/>
      <c r="GD231"/>
    </row>
    <row r="232" spans="4:186" x14ac:dyDescent="0.15">
      <c r="AG232"/>
      <c r="AH232"/>
      <c r="AJ232"/>
      <c r="AK232"/>
      <c r="AL232"/>
      <c r="AM232"/>
      <c r="AO232"/>
      <c r="AP232"/>
      <c r="AQ232"/>
      <c r="AR232"/>
      <c r="AS232"/>
      <c r="AT232"/>
      <c r="AU232"/>
      <c r="AV232"/>
      <c r="AW232"/>
      <c r="AX232"/>
      <c r="AY232"/>
      <c r="AZ232"/>
      <c r="BA232"/>
      <c r="BB232"/>
      <c r="BC232"/>
      <c r="BD232"/>
      <c r="BE232"/>
      <c r="BF232"/>
      <c r="BH232"/>
      <c r="BI232"/>
      <c r="BJ232"/>
      <c r="BK232"/>
      <c r="BL232"/>
      <c r="BM232"/>
      <c r="BN232"/>
      <c r="BP232"/>
      <c r="BQ232"/>
      <c r="BR232"/>
      <c r="BS232"/>
      <c r="BT232"/>
      <c r="BU232"/>
      <c r="BV232"/>
      <c r="BW232"/>
      <c r="BZ232"/>
      <c r="CA232"/>
      <c r="CB232"/>
      <c r="CC232"/>
      <c r="CD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Z232"/>
      <c r="EA232"/>
      <c r="EB232"/>
      <c r="EC232"/>
      <c r="ED232"/>
      <c r="EE232"/>
      <c r="EF232"/>
      <c r="EG232"/>
      <c r="EJ232"/>
      <c r="EK232"/>
      <c r="EL232"/>
      <c r="EM232"/>
      <c r="EN232"/>
      <c r="EO232"/>
      <c r="EP232"/>
      <c r="EQ232"/>
      <c r="ER232"/>
      <c r="ES232"/>
      <c r="ET232"/>
      <c r="EU232"/>
      <c r="EV232"/>
      <c r="EW232"/>
      <c r="EX232"/>
      <c r="EY232"/>
      <c r="EZ232"/>
      <c r="FA232"/>
      <c r="FB232"/>
      <c r="FC232"/>
      <c r="FD232"/>
      <c r="FE232"/>
      <c r="FF232"/>
      <c r="FG232"/>
      <c r="FH232"/>
      <c r="FK232" s="449" t="s">
        <v>6861</v>
      </c>
      <c r="FL232" s="457"/>
      <c r="FM232" s="449">
        <v>1</v>
      </c>
      <c r="FN232" s="452"/>
      <c r="FO232" s="452"/>
      <c r="FP232" s="452"/>
      <c r="FQ232" s="452"/>
      <c r="FR232" s="452"/>
      <c r="FS232" s="452"/>
      <c r="FT232" s="452"/>
      <c r="FU232" s="452"/>
      <c r="FV232" s="452"/>
      <c r="FW232" s="452"/>
      <c r="FX232" s="452"/>
      <c r="FY232" s="452"/>
      <c r="FZ232" s="453"/>
      <c r="GA232"/>
      <c r="GB232"/>
      <c r="GC232"/>
      <c r="GD232"/>
    </row>
    <row r="233" spans="4:186" x14ac:dyDescent="0.15">
      <c r="AG233"/>
      <c r="AH233"/>
      <c r="AJ233"/>
      <c r="AK233"/>
      <c r="AL233"/>
      <c r="AM233"/>
      <c r="AO233"/>
      <c r="AP233"/>
      <c r="AQ233"/>
      <c r="AR233"/>
      <c r="AS233"/>
      <c r="AT233"/>
      <c r="AU233"/>
      <c r="AV233"/>
      <c r="AW233"/>
      <c r="AX233"/>
      <c r="AY233"/>
      <c r="AZ233"/>
      <c r="BA233"/>
      <c r="BB233"/>
      <c r="BC233"/>
      <c r="BD233"/>
      <c r="BE233"/>
      <c r="BF233"/>
      <c r="BH233"/>
      <c r="BI233"/>
      <c r="BJ233"/>
      <c r="BK233"/>
      <c r="BL233"/>
      <c r="BM233"/>
      <c r="BN233"/>
      <c r="BP233"/>
      <c r="BQ233"/>
      <c r="BR233"/>
      <c r="BS233"/>
      <c r="BT233"/>
      <c r="BU233"/>
      <c r="BV233"/>
      <c r="BW233"/>
      <c r="BZ233"/>
      <c r="CA233"/>
      <c r="CB233"/>
      <c r="CC233"/>
      <c r="CD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Z233"/>
      <c r="EA233"/>
      <c r="EB233"/>
      <c r="EC233"/>
      <c r="ED233"/>
      <c r="EE233"/>
      <c r="EF233"/>
      <c r="EG233"/>
      <c r="EJ233"/>
      <c r="EK233"/>
      <c r="EL233"/>
      <c r="EM233"/>
      <c r="EN233"/>
      <c r="EO233"/>
      <c r="EP233"/>
      <c r="EQ233"/>
      <c r="ER233"/>
      <c r="ES233"/>
      <c r="ET233"/>
      <c r="EU233"/>
      <c r="EV233"/>
      <c r="EW233"/>
      <c r="EX233"/>
      <c r="EY233"/>
      <c r="EZ233"/>
      <c r="FA233"/>
      <c r="FB233"/>
      <c r="FC233"/>
      <c r="FD233"/>
      <c r="FE233"/>
      <c r="FF233"/>
      <c r="FG233"/>
      <c r="FH233"/>
      <c r="FK233" s="449">
        <v>16.8</v>
      </c>
      <c r="FL233" s="449" t="s">
        <v>397</v>
      </c>
      <c r="FM233" s="449"/>
      <c r="FN233" s="452">
        <v>1</v>
      </c>
      <c r="FO233" s="452"/>
      <c r="FP233" s="452"/>
      <c r="FQ233" s="452"/>
      <c r="FR233" s="452"/>
      <c r="FS233" s="452"/>
      <c r="FT233" s="452"/>
      <c r="FU233" s="452"/>
      <c r="FV233" s="452"/>
      <c r="FW233" s="452"/>
      <c r="FX233" s="452"/>
      <c r="FY233" s="452"/>
      <c r="FZ233" s="453"/>
      <c r="GA233"/>
      <c r="GB233"/>
      <c r="GC233"/>
      <c r="GD233"/>
    </row>
    <row r="234" spans="4:186" x14ac:dyDescent="0.15">
      <c r="AA234" s="7" t="s">
        <v>149</v>
      </c>
      <c r="AG234"/>
      <c r="AH234"/>
      <c r="AJ234"/>
      <c r="AK234"/>
      <c r="AL234"/>
      <c r="AM234"/>
      <c r="AO234"/>
      <c r="AP234"/>
      <c r="AQ234"/>
      <c r="AR234"/>
      <c r="AS234"/>
      <c r="AT234"/>
      <c r="AU234"/>
      <c r="AV234"/>
      <c r="AW234"/>
      <c r="AX234"/>
      <c r="AY234"/>
      <c r="AZ234"/>
      <c r="BA234"/>
      <c r="BB234"/>
      <c r="BC234"/>
      <c r="BD234"/>
      <c r="BE234"/>
      <c r="BF234"/>
      <c r="BH234"/>
      <c r="BI234"/>
      <c r="BJ234"/>
      <c r="BK234"/>
      <c r="BL234"/>
      <c r="BM234"/>
      <c r="BN234"/>
      <c r="BP234"/>
      <c r="BQ234"/>
      <c r="BR234"/>
      <c r="BS234"/>
      <c r="BT234"/>
      <c r="BU234"/>
      <c r="BV234"/>
      <c r="BW234"/>
      <c r="BZ234"/>
      <c r="CA234"/>
      <c r="CB234"/>
      <c r="CC234"/>
      <c r="CD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Z234"/>
      <c r="EA234"/>
      <c r="EB234"/>
      <c r="EC234"/>
      <c r="ED234"/>
      <c r="EE234"/>
      <c r="EF234"/>
      <c r="EG234"/>
      <c r="EJ234"/>
      <c r="EK234"/>
      <c r="EL234"/>
      <c r="EM234"/>
      <c r="EN234"/>
      <c r="EO234"/>
      <c r="EP234"/>
      <c r="EQ234"/>
      <c r="ER234"/>
      <c r="ES234"/>
      <c r="ET234"/>
      <c r="EU234"/>
      <c r="EV234"/>
      <c r="EW234"/>
      <c r="EX234"/>
      <c r="EY234"/>
      <c r="EZ234"/>
      <c r="FA234"/>
      <c r="FB234"/>
      <c r="FC234"/>
      <c r="FD234"/>
      <c r="FE234"/>
      <c r="FF234"/>
      <c r="FG234"/>
      <c r="FH234"/>
      <c r="FK234" s="449" t="s">
        <v>6862</v>
      </c>
      <c r="FL234" s="457"/>
      <c r="FM234" s="449"/>
      <c r="FN234" s="452">
        <v>1</v>
      </c>
      <c r="FO234" s="452"/>
      <c r="FP234" s="452"/>
      <c r="FQ234" s="452"/>
      <c r="FR234" s="452"/>
      <c r="FS234" s="452"/>
      <c r="FT234" s="452"/>
      <c r="FU234" s="452"/>
      <c r="FV234" s="452"/>
      <c r="FW234" s="452"/>
      <c r="FX234" s="452"/>
      <c r="FY234" s="452"/>
      <c r="FZ234" s="453"/>
      <c r="GA234"/>
      <c r="GB234"/>
      <c r="GC234"/>
      <c r="GD234"/>
    </row>
    <row r="235" spans="4:186" x14ac:dyDescent="0.15">
      <c r="AG235"/>
      <c r="AH235"/>
      <c r="AJ235"/>
      <c r="AK235"/>
      <c r="AL235"/>
      <c r="AM235"/>
      <c r="AO235"/>
      <c r="AP235"/>
      <c r="AQ235"/>
      <c r="AR235"/>
      <c r="AS235"/>
      <c r="AT235"/>
      <c r="AU235"/>
      <c r="AV235"/>
      <c r="AW235"/>
      <c r="AX235"/>
      <c r="AY235"/>
      <c r="AZ235"/>
      <c r="BA235"/>
      <c r="BB235"/>
      <c r="BC235"/>
      <c r="BD235"/>
      <c r="BE235"/>
      <c r="BF235"/>
      <c r="BH235"/>
      <c r="BI235"/>
      <c r="BJ235"/>
      <c r="BK235"/>
      <c r="BL235"/>
      <c r="BM235"/>
      <c r="BN235"/>
      <c r="BP235"/>
      <c r="BQ235"/>
      <c r="BR235"/>
      <c r="BS235"/>
      <c r="BT235"/>
      <c r="BU235"/>
      <c r="BV235"/>
      <c r="BW235"/>
      <c r="BZ235"/>
      <c r="CA235"/>
      <c r="CB235"/>
      <c r="CC235"/>
      <c r="CD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Z235"/>
      <c r="EA235"/>
      <c r="EB235"/>
      <c r="EC235"/>
      <c r="ED235"/>
      <c r="EE235"/>
      <c r="EF235"/>
      <c r="EG235"/>
      <c r="EJ235"/>
      <c r="EK235"/>
      <c r="EL235"/>
      <c r="EM235"/>
      <c r="EN235"/>
      <c r="EO235"/>
      <c r="EP235"/>
      <c r="EQ235"/>
      <c r="ER235"/>
      <c r="ES235"/>
      <c r="ET235"/>
      <c r="EU235"/>
      <c r="EV235"/>
      <c r="EW235"/>
      <c r="EX235"/>
      <c r="EY235"/>
      <c r="EZ235"/>
      <c r="FA235"/>
      <c r="FB235"/>
      <c r="FC235"/>
      <c r="FD235"/>
      <c r="FE235"/>
      <c r="FF235"/>
      <c r="FG235"/>
      <c r="FH235"/>
      <c r="FK235" s="449">
        <v>1.7390000000000001</v>
      </c>
      <c r="FL235" s="449" t="s">
        <v>446</v>
      </c>
      <c r="FM235" s="449"/>
      <c r="FN235" s="452"/>
      <c r="FO235" s="452">
        <v>1</v>
      </c>
      <c r="FP235" s="452"/>
      <c r="FQ235" s="452"/>
      <c r="FR235" s="452"/>
      <c r="FS235" s="452"/>
      <c r="FT235" s="452"/>
      <c r="FU235" s="452"/>
      <c r="FV235" s="452"/>
      <c r="FW235" s="452"/>
      <c r="FX235" s="452"/>
      <c r="FY235" s="452"/>
      <c r="FZ235" s="453"/>
      <c r="GA235"/>
      <c r="GB235"/>
      <c r="GC235"/>
      <c r="GD235"/>
    </row>
    <row r="236" spans="4:186" x14ac:dyDescent="0.15">
      <c r="AG236"/>
      <c r="AH236"/>
      <c r="AJ236"/>
      <c r="AK236"/>
      <c r="AL236"/>
      <c r="AM236"/>
      <c r="AO236"/>
      <c r="AP236"/>
      <c r="AQ236"/>
      <c r="AR236"/>
      <c r="AS236"/>
      <c r="AT236"/>
      <c r="AU236"/>
      <c r="AV236"/>
      <c r="AW236"/>
      <c r="AX236"/>
      <c r="AY236"/>
      <c r="AZ236"/>
      <c r="BA236"/>
      <c r="BB236"/>
      <c r="BC236"/>
      <c r="BD236"/>
      <c r="BE236"/>
      <c r="BF236"/>
      <c r="BH236"/>
      <c r="BI236"/>
      <c r="BJ236"/>
      <c r="BK236"/>
      <c r="BL236"/>
      <c r="BM236"/>
      <c r="BN236"/>
      <c r="BP236"/>
      <c r="BQ236"/>
      <c r="BR236"/>
      <c r="BS236"/>
      <c r="BT236"/>
      <c r="BU236"/>
      <c r="BV236"/>
      <c r="BW236"/>
      <c r="BZ236"/>
      <c r="CA236"/>
      <c r="CB236"/>
      <c r="CC236"/>
      <c r="CD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Z236"/>
      <c r="EA236"/>
      <c r="EB236"/>
      <c r="EC236"/>
      <c r="ED236"/>
      <c r="EE236"/>
      <c r="EF236"/>
      <c r="EG236"/>
      <c r="EJ236"/>
      <c r="EK236"/>
      <c r="EL236"/>
      <c r="EM236"/>
      <c r="EN236"/>
      <c r="EO236"/>
      <c r="EP236"/>
      <c r="EQ236"/>
      <c r="ER236"/>
      <c r="ES236"/>
      <c r="ET236"/>
      <c r="EU236"/>
      <c r="EV236"/>
      <c r="EW236"/>
      <c r="EX236"/>
      <c r="EY236"/>
      <c r="EZ236"/>
      <c r="FA236"/>
      <c r="FB236"/>
      <c r="FC236"/>
      <c r="FD236"/>
      <c r="FE236"/>
      <c r="FF236"/>
      <c r="FG236"/>
      <c r="FH236"/>
      <c r="FK236" s="449" t="s">
        <v>6863</v>
      </c>
      <c r="FL236" s="457"/>
      <c r="FM236" s="449"/>
      <c r="FN236" s="452"/>
      <c r="FO236" s="452">
        <v>1</v>
      </c>
      <c r="FP236" s="452"/>
      <c r="FQ236" s="452"/>
      <c r="FR236" s="452"/>
      <c r="FS236" s="452"/>
      <c r="FT236" s="452"/>
      <c r="FU236" s="452"/>
      <c r="FV236" s="452"/>
      <c r="FW236" s="452"/>
      <c r="FX236" s="452"/>
      <c r="FY236" s="452"/>
      <c r="FZ236" s="453"/>
      <c r="GA236"/>
      <c r="GB236"/>
      <c r="GC236"/>
      <c r="GD236"/>
    </row>
    <row r="237" spans="4:186" x14ac:dyDescent="0.15">
      <c r="AG237"/>
      <c r="AH237"/>
      <c r="AJ237"/>
      <c r="AK237"/>
      <c r="AL237"/>
      <c r="AM237"/>
      <c r="AO237"/>
      <c r="AP237"/>
      <c r="AQ237"/>
      <c r="AR237"/>
      <c r="AS237"/>
      <c r="AT237"/>
      <c r="AU237"/>
      <c r="AV237"/>
      <c r="AW237"/>
      <c r="AX237"/>
      <c r="AY237"/>
      <c r="AZ237"/>
      <c r="BA237"/>
      <c r="BB237"/>
      <c r="BC237"/>
      <c r="BD237"/>
      <c r="BE237"/>
      <c r="BF237"/>
      <c r="BH237"/>
      <c r="BI237"/>
      <c r="BJ237"/>
      <c r="BK237"/>
      <c r="BL237"/>
      <c r="BM237"/>
      <c r="BN237"/>
      <c r="BP237"/>
      <c r="BQ237"/>
      <c r="BR237"/>
      <c r="BS237"/>
      <c r="BT237"/>
      <c r="BU237"/>
      <c r="BV237"/>
      <c r="BW237"/>
      <c r="BZ237"/>
      <c r="CA237"/>
      <c r="CB237"/>
      <c r="CC237"/>
      <c r="CD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Z237"/>
      <c r="EA237"/>
      <c r="EB237"/>
      <c r="EC237"/>
      <c r="ED237"/>
      <c r="EE237"/>
      <c r="EF237"/>
      <c r="EG237"/>
      <c r="EJ237"/>
      <c r="EK237"/>
      <c r="EL237"/>
      <c r="EM237"/>
      <c r="EN237"/>
      <c r="EO237"/>
      <c r="EP237"/>
      <c r="EQ237"/>
      <c r="ER237"/>
      <c r="ES237"/>
      <c r="ET237"/>
      <c r="EU237"/>
      <c r="EV237"/>
      <c r="EW237"/>
      <c r="EX237"/>
      <c r="EY237"/>
      <c r="EZ237"/>
      <c r="FA237"/>
      <c r="FB237"/>
      <c r="FC237"/>
      <c r="FD237"/>
      <c r="FE237"/>
      <c r="FF237"/>
      <c r="FG237"/>
      <c r="FH237"/>
      <c r="FK237" s="449">
        <v>6.9489999999999998</v>
      </c>
      <c r="FL237" s="449" t="s">
        <v>411</v>
      </c>
      <c r="FM237" s="449"/>
      <c r="FN237" s="452"/>
      <c r="FO237" s="452">
        <v>1</v>
      </c>
      <c r="FP237" s="452"/>
      <c r="FQ237" s="452"/>
      <c r="FR237" s="452"/>
      <c r="FS237" s="452"/>
      <c r="FT237" s="452"/>
      <c r="FU237" s="452"/>
      <c r="FV237" s="452"/>
      <c r="FW237" s="452"/>
      <c r="FX237" s="452"/>
      <c r="FY237" s="452"/>
      <c r="FZ237" s="453"/>
      <c r="GA237"/>
      <c r="GB237"/>
      <c r="GC237"/>
      <c r="GD237"/>
    </row>
    <row r="238" spans="4:186" x14ac:dyDescent="0.15">
      <c r="AG238"/>
      <c r="AH238"/>
      <c r="AJ238"/>
      <c r="AK238"/>
      <c r="AL238"/>
      <c r="AM238"/>
      <c r="AO238"/>
      <c r="AP238"/>
      <c r="AQ238"/>
      <c r="AR238"/>
      <c r="AS238"/>
      <c r="AT238"/>
      <c r="AU238"/>
      <c r="AV238"/>
      <c r="AW238"/>
      <c r="AX238"/>
      <c r="AY238"/>
      <c r="AZ238"/>
      <c r="BA238"/>
      <c r="BB238"/>
      <c r="BC238"/>
      <c r="BD238"/>
      <c r="BE238"/>
      <c r="BF238"/>
      <c r="BH238"/>
      <c r="BI238"/>
      <c r="BJ238"/>
      <c r="BK238"/>
      <c r="BL238"/>
      <c r="BM238"/>
      <c r="BN238"/>
      <c r="BP238"/>
      <c r="BQ238"/>
      <c r="BR238"/>
      <c r="BS238"/>
      <c r="BT238"/>
      <c r="BU238"/>
      <c r="BV238"/>
      <c r="BW238"/>
      <c r="BZ238"/>
      <c r="CA238"/>
      <c r="CB238"/>
      <c r="CC238"/>
      <c r="CD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Z238"/>
      <c r="EA238"/>
      <c r="EB238"/>
      <c r="EC238"/>
      <c r="ED238"/>
      <c r="EE238"/>
      <c r="EF238"/>
      <c r="EG238"/>
      <c r="EJ238"/>
      <c r="EK238"/>
      <c r="EL238"/>
      <c r="EM238"/>
      <c r="EN238"/>
      <c r="EO238"/>
      <c r="EP238"/>
      <c r="EQ238"/>
      <c r="ER238"/>
      <c r="ES238"/>
      <c r="ET238"/>
      <c r="EU238"/>
      <c r="EV238"/>
      <c r="EW238"/>
      <c r="EX238"/>
      <c r="EY238"/>
      <c r="EZ238"/>
      <c r="FA238"/>
      <c r="FB238"/>
      <c r="FC238"/>
      <c r="FD238"/>
      <c r="FE238"/>
      <c r="FF238"/>
      <c r="FG238"/>
      <c r="FH238"/>
      <c r="FK238" s="449" t="s">
        <v>6864</v>
      </c>
      <c r="FL238" s="457"/>
      <c r="FM238" s="449"/>
      <c r="FN238" s="452"/>
      <c r="FO238" s="452">
        <v>1</v>
      </c>
      <c r="FP238" s="452"/>
      <c r="FQ238" s="452"/>
      <c r="FR238" s="452"/>
      <c r="FS238" s="452"/>
      <c r="FT238" s="452"/>
      <c r="FU238" s="452"/>
      <c r="FV238" s="452"/>
      <c r="FW238" s="452"/>
      <c r="FX238" s="452"/>
      <c r="FY238" s="452"/>
      <c r="FZ238" s="453"/>
      <c r="GA238"/>
      <c r="GB238"/>
      <c r="GC238"/>
      <c r="GD238"/>
    </row>
    <row r="239" spans="4:186" x14ac:dyDescent="0.15">
      <c r="AG239"/>
      <c r="AH239"/>
      <c r="AJ239"/>
      <c r="AK239"/>
      <c r="AL239"/>
      <c r="AM239"/>
      <c r="AO239"/>
      <c r="AP239"/>
      <c r="AQ239"/>
      <c r="AR239"/>
      <c r="AS239"/>
      <c r="AT239"/>
      <c r="AU239"/>
      <c r="AV239"/>
      <c r="AW239"/>
      <c r="AX239"/>
      <c r="AY239"/>
      <c r="AZ239"/>
      <c r="BA239"/>
      <c r="BB239"/>
      <c r="BC239"/>
      <c r="BD239"/>
      <c r="BE239"/>
      <c r="BF239"/>
      <c r="BH239"/>
      <c r="BI239"/>
      <c r="BJ239"/>
      <c r="BK239"/>
      <c r="BL239"/>
      <c r="BM239"/>
      <c r="BN239"/>
      <c r="BP239"/>
      <c r="BQ239"/>
      <c r="BR239"/>
      <c r="BS239"/>
      <c r="BT239"/>
      <c r="BU239"/>
      <c r="BV239"/>
      <c r="BW239"/>
      <c r="BZ239"/>
      <c r="CA239"/>
      <c r="CB239"/>
      <c r="CC239"/>
      <c r="CD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Z239"/>
      <c r="EA239"/>
      <c r="EB239"/>
      <c r="EC239"/>
      <c r="ED239"/>
      <c r="EE239"/>
      <c r="EF239"/>
      <c r="EG239"/>
      <c r="EJ239"/>
      <c r="EK239"/>
      <c r="EL239"/>
      <c r="EM239"/>
      <c r="EN239"/>
      <c r="EO239"/>
      <c r="EP239"/>
      <c r="EQ239"/>
      <c r="ER239"/>
      <c r="ES239"/>
      <c r="ET239"/>
      <c r="EU239"/>
      <c r="EV239"/>
      <c r="EW239"/>
      <c r="EX239"/>
      <c r="EY239"/>
      <c r="EZ239"/>
      <c r="FA239"/>
      <c r="FB239"/>
      <c r="FC239"/>
      <c r="FD239"/>
      <c r="FE239"/>
      <c r="FF239"/>
      <c r="FG239"/>
      <c r="FH239"/>
      <c r="FK239" s="449">
        <v>3.2610000000000001</v>
      </c>
      <c r="FL239" s="449" t="s">
        <v>406</v>
      </c>
      <c r="FM239" s="449"/>
      <c r="FN239" s="452">
        <v>1</v>
      </c>
      <c r="FO239" s="452"/>
      <c r="FP239" s="452"/>
      <c r="FQ239" s="452"/>
      <c r="FR239" s="452"/>
      <c r="FS239" s="452"/>
      <c r="FT239" s="452"/>
      <c r="FU239" s="452"/>
      <c r="FV239" s="452"/>
      <c r="FW239" s="452"/>
      <c r="FX239" s="452"/>
      <c r="FY239" s="452"/>
      <c r="FZ239" s="453"/>
      <c r="GA239"/>
      <c r="GB239"/>
      <c r="GC239"/>
      <c r="GD239"/>
    </row>
    <row r="240" spans="4:186" x14ac:dyDescent="0.15">
      <c r="AG240"/>
      <c r="AH240"/>
      <c r="AJ240"/>
      <c r="AK240"/>
      <c r="AL240"/>
      <c r="AM240"/>
      <c r="AO240"/>
      <c r="AP240"/>
      <c r="AQ240"/>
      <c r="AR240"/>
      <c r="AS240"/>
      <c r="AT240"/>
      <c r="AU240"/>
      <c r="AV240"/>
      <c r="AW240"/>
      <c r="AX240"/>
      <c r="AY240"/>
      <c r="AZ240"/>
      <c r="BA240"/>
      <c r="BB240"/>
      <c r="BC240"/>
      <c r="BD240"/>
      <c r="BE240"/>
      <c r="BF240"/>
      <c r="BH240"/>
      <c r="BI240"/>
      <c r="BJ240"/>
      <c r="BK240"/>
      <c r="BL240"/>
      <c r="BM240"/>
      <c r="BN240"/>
      <c r="BP240"/>
      <c r="BQ240"/>
      <c r="BR240"/>
      <c r="BS240"/>
      <c r="BT240"/>
      <c r="BU240"/>
      <c r="BV240"/>
      <c r="BW240"/>
      <c r="BZ240"/>
      <c r="CA240"/>
      <c r="CB240"/>
      <c r="CC240"/>
      <c r="CD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Z240"/>
      <c r="EA240"/>
      <c r="EB240"/>
      <c r="EC240"/>
      <c r="ED240"/>
      <c r="EE240"/>
      <c r="EF240"/>
      <c r="EG240"/>
      <c r="EJ240"/>
      <c r="EK240"/>
      <c r="EL240"/>
      <c r="EM240"/>
      <c r="EN240"/>
      <c r="EO240"/>
      <c r="EP240"/>
      <c r="EQ240"/>
      <c r="ER240"/>
      <c r="ES240"/>
      <c r="ET240"/>
      <c r="EU240"/>
      <c r="EV240"/>
      <c r="EW240"/>
      <c r="EX240"/>
      <c r="EY240"/>
      <c r="EZ240"/>
      <c r="FA240"/>
      <c r="FB240"/>
      <c r="FC240"/>
      <c r="FD240"/>
      <c r="FE240"/>
      <c r="FF240"/>
      <c r="FG240"/>
      <c r="FH240"/>
      <c r="FK240" s="449" t="s">
        <v>6865</v>
      </c>
      <c r="FL240" s="457"/>
      <c r="FM240" s="449"/>
      <c r="FN240" s="452">
        <v>1</v>
      </c>
      <c r="FO240" s="452"/>
      <c r="FP240" s="452"/>
      <c r="FQ240" s="452"/>
      <c r="FR240" s="452"/>
      <c r="FS240" s="452"/>
      <c r="FT240" s="452"/>
      <c r="FU240" s="452"/>
      <c r="FV240" s="452"/>
      <c r="FW240" s="452"/>
      <c r="FX240" s="452"/>
      <c r="FY240" s="452"/>
      <c r="FZ240" s="453"/>
      <c r="GA240"/>
      <c r="GB240"/>
      <c r="GC240"/>
      <c r="GD240"/>
    </row>
    <row r="241" spans="1:186" x14ac:dyDescent="0.15">
      <c r="AG241"/>
      <c r="AH241"/>
      <c r="AJ241"/>
      <c r="AK241"/>
      <c r="AL241"/>
      <c r="AM241"/>
      <c r="AO241"/>
      <c r="AP241"/>
      <c r="AQ241"/>
      <c r="AR241"/>
      <c r="AS241"/>
      <c r="AT241"/>
      <c r="AU241"/>
      <c r="AV241"/>
      <c r="AW241"/>
      <c r="AX241"/>
      <c r="AY241"/>
      <c r="AZ241"/>
      <c r="BA241"/>
      <c r="BB241"/>
      <c r="BC241"/>
      <c r="BD241"/>
      <c r="BE241"/>
      <c r="BF241"/>
      <c r="BH241"/>
      <c r="BI241"/>
      <c r="BJ241"/>
      <c r="BK241"/>
      <c r="BL241"/>
      <c r="BM241"/>
      <c r="BN241"/>
      <c r="BP241"/>
      <c r="BQ241"/>
      <c r="BR241"/>
      <c r="BS241"/>
      <c r="BT241"/>
      <c r="BU241"/>
      <c r="BV241"/>
      <c r="BW241"/>
      <c r="BZ241"/>
      <c r="CA241"/>
      <c r="CB241"/>
      <c r="CC241"/>
      <c r="CD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Z241"/>
      <c r="EA241"/>
      <c r="EB241"/>
      <c r="EC241"/>
      <c r="ED241"/>
      <c r="EE241"/>
      <c r="EF241"/>
      <c r="EG241"/>
      <c r="EJ241"/>
      <c r="EK241"/>
      <c r="EL241"/>
      <c r="EM241"/>
      <c r="EN241"/>
      <c r="EO241"/>
      <c r="EP241"/>
      <c r="EQ241"/>
      <c r="ER241"/>
      <c r="ES241"/>
      <c r="ET241"/>
      <c r="EU241"/>
      <c r="EV241"/>
      <c r="EW241"/>
      <c r="EX241"/>
      <c r="EY241"/>
      <c r="EZ241"/>
      <c r="FA241"/>
      <c r="FB241"/>
      <c r="FC241"/>
      <c r="FD241"/>
      <c r="FE241"/>
      <c r="FF241"/>
      <c r="FG241"/>
      <c r="FH241"/>
      <c r="FK241" s="449">
        <v>5.0750000000000002</v>
      </c>
      <c r="FL241" s="449" t="s">
        <v>397</v>
      </c>
      <c r="FM241" s="449"/>
      <c r="FN241" s="452">
        <v>1</v>
      </c>
      <c r="FO241" s="452"/>
      <c r="FP241" s="452"/>
      <c r="FQ241" s="452"/>
      <c r="FR241" s="452"/>
      <c r="FS241" s="452"/>
      <c r="FT241" s="452"/>
      <c r="FU241" s="452"/>
      <c r="FV241" s="452"/>
      <c r="FW241" s="452"/>
      <c r="FX241" s="452"/>
      <c r="FY241" s="452"/>
      <c r="FZ241" s="453"/>
      <c r="GA241"/>
      <c r="GB241"/>
      <c r="GC241"/>
      <c r="GD241"/>
    </row>
    <row r="242" spans="1:186" x14ac:dyDescent="0.15">
      <c r="AG242"/>
      <c r="AH242"/>
      <c r="AJ242"/>
      <c r="AK242"/>
      <c r="AL242"/>
      <c r="AM242"/>
      <c r="AO242"/>
      <c r="AP242"/>
      <c r="AQ242"/>
      <c r="AR242"/>
      <c r="AS242"/>
      <c r="AT242"/>
      <c r="AU242"/>
      <c r="AV242"/>
      <c r="AW242"/>
      <c r="AX242"/>
      <c r="AY242"/>
      <c r="AZ242"/>
      <c r="BA242"/>
      <c r="BB242"/>
      <c r="BC242"/>
      <c r="BD242"/>
      <c r="BE242"/>
      <c r="BF242"/>
      <c r="BH242"/>
      <c r="BI242"/>
      <c r="BJ242"/>
      <c r="BK242"/>
      <c r="BL242"/>
      <c r="BM242"/>
      <c r="BN242"/>
      <c r="BP242"/>
      <c r="BQ242"/>
      <c r="BR242"/>
      <c r="BS242"/>
      <c r="BT242"/>
      <c r="BU242"/>
      <c r="BV242"/>
      <c r="BW242"/>
      <c r="BZ242"/>
      <c r="CA242"/>
      <c r="CB242"/>
      <c r="CC242"/>
      <c r="CD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Z242"/>
      <c r="EA242"/>
      <c r="EB242"/>
      <c r="EC242"/>
      <c r="ED242"/>
      <c r="EE242"/>
      <c r="EF242"/>
      <c r="EG242"/>
      <c r="EJ242"/>
      <c r="EK242"/>
      <c r="EL242"/>
      <c r="EM242"/>
      <c r="EN242"/>
      <c r="EO242"/>
      <c r="EP242"/>
      <c r="EQ242"/>
      <c r="ER242"/>
      <c r="ES242"/>
      <c r="ET242"/>
      <c r="EU242"/>
      <c r="EV242"/>
      <c r="EW242"/>
      <c r="EX242"/>
      <c r="EY242"/>
      <c r="EZ242"/>
      <c r="FA242"/>
      <c r="FB242"/>
      <c r="FC242"/>
      <c r="FD242"/>
      <c r="FE242"/>
      <c r="FF242"/>
      <c r="FG242"/>
      <c r="FH242"/>
      <c r="FK242" s="449" t="s">
        <v>6866</v>
      </c>
      <c r="FL242" s="457"/>
      <c r="FM242" s="449"/>
      <c r="FN242" s="452">
        <v>1</v>
      </c>
      <c r="FO242" s="452"/>
      <c r="FP242" s="452"/>
      <c r="FQ242" s="452"/>
      <c r="FR242" s="452"/>
      <c r="FS242" s="452"/>
      <c r="FT242" s="452"/>
      <c r="FU242" s="452"/>
      <c r="FV242" s="452"/>
      <c r="FW242" s="452"/>
      <c r="FX242" s="452"/>
      <c r="FY242" s="452"/>
      <c r="FZ242" s="453"/>
      <c r="GA242"/>
      <c r="GB242"/>
      <c r="GC242"/>
      <c r="GD242"/>
    </row>
    <row r="243" spans="1:186" x14ac:dyDescent="0.15">
      <c r="AG243"/>
      <c r="AH243"/>
      <c r="AJ243"/>
      <c r="AK243"/>
      <c r="AL243"/>
      <c r="AM243"/>
      <c r="AO243"/>
      <c r="AP243"/>
      <c r="AQ243"/>
      <c r="AR243"/>
      <c r="AS243"/>
      <c r="AT243"/>
      <c r="AU243"/>
      <c r="AV243"/>
      <c r="AW243"/>
      <c r="AX243"/>
      <c r="AY243"/>
      <c r="AZ243"/>
      <c r="BA243"/>
      <c r="BB243"/>
      <c r="BC243"/>
      <c r="BD243"/>
      <c r="BE243"/>
      <c r="BF243"/>
      <c r="BH243"/>
      <c r="BI243"/>
      <c r="BJ243"/>
      <c r="BK243"/>
      <c r="BL243"/>
      <c r="BM243"/>
      <c r="BN243"/>
      <c r="BP243"/>
      <c r="BQ243"/>
      <c r="BR243"/>
      <c r="BS243"/>
      <c r="BT243"/>
      <c r="BU243"/>
      <c r="BV243"/>
      <c r="BW243"/>
      <c r="BZ243"/>
      <c r="CA243"/>
      <c r="CB243"/>
      <c r="CC243"/>
      <c r="CD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Z243"/>
      <c r="EA243"/>
      <c r="EB243"/>
      <c r="EC243"/>
      <c r="ED243"/>
      <c r="EE243"/>
      <c r="EF243"/>
      <c r="EG243"/>
      <c r="EJ243"/>
      <c r="EK243"/>
      <c r="EL243"/>
      <c r="EM243"/>
      <c r="EN243"/>
      <c r="EO243"/>
      <c r="EP243"/>
      <c r="EQ243"/>
      <c r="ER243"/>
      <c r="ES243"/>
      <c r="ET243"/>
      <c r="EU243"/>
      <c r="EV243"/>
      <c r="EW243"/>
      <c r="EX243"/>
      <c r="EY243"/>
      <c r="EZ243"/>
      <c r="FA243"/>
      <c r="FB243"/>
      <c r="FC243"/>
      <c r="FD243"/>
      <c r="FE243"/>
      <c r="FF243"/>
      <c r="FG243"/>
      <c r="FH243"/>
      <c r="FK243" s="449">
        <v>0.65700000000000003</v>
      </c>
      <c r="FL243" s="449" t="s">
        <v>406</v>
      </c>
      <c r="FM243" s="449"/>
      <c r="FN243" s="452"/>
      <c r="FO243" s="452"/>
      <c r="FP243" s="452">
        <v>1</v>
      </c>
      <c r="FQ243" s="452"/>
      <c r="FR243" s="452"/>
      <c r="FS243" s="452"/>
      <c r="FT243" s="452"/>
      <c r="FU243" s="452"/>
      <c r="FV243" s="452"/>
      <c r="FW243" s="452"/>
      <c r="FX243" s="452"/>
      <c r="FY243" s="452"/>
      <c r="FZ243" s="453"/>
      <c r="GA243"/>
      <c r="GB243"/>
      <c r="GC243"/>
      <c r="GD243"/>
    </row>
    <row r="244" spans="1:186" x14ac:dyDescent="0.15">
      <c r="AG244"/>
      <c r="AH244"/>
      <c r="AJ244"/>
      <c r="AK244"/>
      <c r="AL244"/>
      <c r="AM244"/>
      <c r="AO244"/>
      <c r="AP244"/>
      <c r="AQ244"/>
      <c r="AR244"/>
      <c r="AS244"/>
      <c r="AT244"/>
      <c r="AU244"/>
      <c r="AV244"/>
      <c r="AW244"/>
      <c r="AX244"/>
      <c r="AY244"/>
      <c r="AZ244"/>
      <c r="BA244"/>
      <c r="BB244"/>
      <c r="BC244"/>
      <c r="BD244"/>
      <c r="BE244"/>
      <c r="BF244"/>
      <c r="BH244"/>
      <c r="BI244"/>
      <c r="BJ244"/>
      <c r="BK244"/>
      <c r="BL244"/>
      <c r="BM244"/>
      <c r="BN244"/>
      <c r="BP244"/>
      <c r="BQ244"/>
      <c r="BR244"/>
      <c r="BS244"/>
      <c r="BT244"/>
      <c r="BU244"/>
      <c r="BV244"/>
      <c r="BW244"/>
      <c r="BZ244"/>
      <c r="CA244"/>
      <c r="CB244"/>
      <c r="CC244"/>
      <c r="CD244"/>
      <c r="CF244"/>
      <c r="CG244"/>
      <c r="CH244"/>
      <c r="CI244"/>
      <c r="CJ244"/>
      <c r="CK244"/>
      <c r="CL244"/>
      <c r="CM244"/>
      <c r="CN244"/>
      <c r="CO244"/>
      <c r="CP244"/>
      <c r="CQ244"/>
      <c r="CR244"/>
      <c r="CS244"/>
      <c r="CT244"/>
      <c r="CU244"/>
      <c r="CV244"/>
      <c r="CW244"/>
      <c r="CX244"/>
      <c r="CY244"/>
      <c r="CZ244"/>
      <c r="DA244"/>
      <c r="DB244"/>
      <c r="DC244"/>
      <c r="DD244"/>
      <c r="DE244"/>
      <c r="DG244"/>
      <c r="DH244"/>
      <c r="DI244"/>
      <c r="DJ244"/>
      <c r="DK244"/>
      <c r="DL244"/>
      <c r="DM244"/>
      <c r="DN244"/>
      <c r="DO244"/>
      <c r="DP244"/>
      <c r="DQ244"/>
      <c r="DR244"/>
      <c r="DS244"/>
      <c r="DT244"/>
      <c r="DU244"/>
      <c r="DV244"/>
      <c r="DW244"/>
      <c r="DZ244"/>
      <c r="EA244"/>
      <c r="EB244"/>
      <c r="EC244"/>
      <c r="ED244"/>
      <c r="EE244"/>
      <c r="EF244"/>
      <c r="EG244"/>
      <c r="EJ244"/>
      <c r="EK244"/>
      <c r="EL244"/>
      <c r="EM244"/>
      <c r="EN244"/>
      <c r="EO244"/>
      <c r="EP244"/>
      <c r="EQ244"/>
      <c r="ER244"/>
      <c r="ES244"/>
      <c r="ET244"/>
      <c r="EU244"/>
      <c r="EV244"/>
      <c r="EW244"/>
      <c r="EX244"/>
      <c r="EY244"/>
      <c r="EZ244"/>
      <c r="FA244"/>
      <c r="FB244"/>
      <c r="FC244"/>
      <c r="FD244"/>
      <c r="FE244"/>
      <c r="FF244"/>
      <c r="FG244"/>
      <c r="FH244"/>
      <c r="FK244" s="449" t="s">
        <v>6867</v>
      </c>
      <c r="FL244" s="457"/>
      <c r="FM244" s="449"/>
      <c r="FN244" s="452"/>
      <c r="FO244" s="452"/>
      <c r="FP244" s="452">
        <v>1</v>
      </c>
      <c r="FQ244" s="452"/>
      <c r="FR244" s="452"/>
      <c r="FS244" s="452"/>
      <c r="FT244" s="452"/>
      <c r="FU244" s="452"/>
      <c r="FV244" s="452"/>
      <c r="FW244" s="452"/>
      <c r="FX244" s="452"/>
      <c r="FY244" s="452"/>
      <c r="FZ244" s="453"/>
      <c r="GA244"/>
      <c r="GB244"/>
      <c r="GC244"/>
      <c r="GD244"/>
    </row>
    <row r="245" spans="1:186" x14ac:dyDescent="0.15">
      <c r="AG245"/>
      <c r="AH245"/>
      <c r="AJ245"/>
      <c r="AK245"/>
      <c r="AL245"/>
      <c r="AM245"/>
      <c r="AO245"/>
      <c r="AP245"/>
      <c r="AQ245"/>
      <c r="AR245"/>
      <c r="AS245"/>
      <c r="AT245"/>
      <c r="AU245"/>
      <c r="AV245"/>
      <c r="AW245"/>
      <c r="AX245"/>
      <c r="AY245"/>
      <c r="AZ245"/>
      <c r="BA245"/>
      <c r="BB245"/>
      <c r="BC245"/>
      <c r="BD245"/>
      <c r="BE245"/>
      <c r="BF245"/>
      <c r="BH245"/>
      <c r="BI245"/>
      <c r="BJ245"/>
      <c r="BK245"/>
      <c r="BL245"/>
      <c r="BM245"/>
      <c r="BN245"/>
      <c r="BP245"/>
      <c r="BQ245"/>
      <c r="BR245"/>
      <c r="BS245"/>
      <c r="BT245"/>
      <c r="BU245"/>
      <c r="BV245"/>
      <c r="BW245"/>
      <c r="BZ245"/>
      <c r="CA245"/>
      <c r="CB245"/>
      <c r="CC245"/>
      <c r="CD245"/>
      <c r="CF245"/>
      <c r="CG245"/>
      <c r="CH245"/>
      <c r="CI245"/>
      <c r="CJ245"/>
      <c r="CK245"/>
      <c r="CL245"/>
      <c r="CM245"/>
      <c r="CN245"/>
      <c r="CO245"/>
      <c r="CP245"/>
      <c r="CQ245"/>
      <c r="CR245"/>
      <c r="CS245"/>
      <c r="CT245"/>
      <c r="CU245"/>
      <c r="CV245"/>
      <c r="CW245"/>
      <c r="CX245"/>
      <c r="CY245"/>
      <c r="CZ245"/>
      <c r="DA245"/>
      <c r="DB245"/>
      <c r="DC245"/>
      <c r="DD245"/>
      <c r="DE245"/>
      <c r="DG245"/>
      <c r="DH245"/>
      <c r="DI245"/>
      <c r="DJ245"/>
      <c r="DK245"/>
      <c r="DL245"/>
      <c r="DM245"/>
      <c r="DN245"/>
      <c r="DO245"/>
      <c r="DP245"/>
      <c r="DQ245"/>
      <c r="DR245"/>
      <c r="DS245"/>
      <c r="DT245"/>
      <c r="DU245"/>
      <c r="DV245"/>
      <c r="DW245"/>
      <c r="DZ245"/>
      <c r="EA245"/>
      <c r="EB245"/>
      <c r="EC245"/>
      <c r="ED245"/>
      <c r="EE245"/>
      <c r="EF245"/>
      <c r="EG245"/>
      <c r="EJ245"/>
      <c r="EK245"/>
      <c r="EL245"/>
      <c r="EM245"/>
      <c r="EN245"/>
      <c r="EO245"/>
      <c r="EP245"/>
      <c r="EQ245"/>
      <c r="ER245"/>
      <c r="ES245"/>
      <c r="ET245"/>
      <c r="EU245"/>
      <c r="EV245"/>
      <c r="EW245"/>
      <c r="EX245"/>
      <c r="EY245"/>
      <c r="EZ245"/>
      <c r="FA245"/>
      <c r="FB245"/>
      <c r="FC245"/>
      <c r="FD245"/>
      <c r="FE245"/>
      <c r="FF245"/>
      <c r="FG245"/>
      <c r="FH245"/>
      <c r="FK245" s="449">
        <v>5.242</v>
      </c>
      <c r="FL245" s="449" t="s">
        <v>397</v>
      </c>
      <c r="FM245" s="449">
        <v>1</v>
      </c>
      <c r="FN245" s="452"/>
      <c r="FO245" s="452"/>
      <c r="FP245" s="452"/>
      <c r="FQ245" s="452"/>
      <c r="FR245" s="452"/>
      <c r="FS245" s="452"/>
      <c r="FT245" s="452"/>
      <c r="FU245" s="452"/>
      <c r="FV245" s="452"/>
      <c r="FW245" s="452"/>
      <c r="FX245" s="452"/>
      <c r="FY245" s="452"/>
      <c r="FZ245" s="453"/>
      <c r="GA245"/>
      <c r="GB245"/>
      <c r="GC245"/>
      <c r="GD245"/>
    </row>
    <row r="246" spans="1:186" x14ac:dyDescent="0.15">
      <c r="AG246"/>
      <c r="AH246"/>
      <c r="AJ246"/>
      <c r="AK246"/>
      <c r="AL246"/>
      <c r="AM246"/>
      <c r="AO246"/>
      <c r="AP246"/>
      <c r="AQ246"/>
      <c r="AR246"/>
      <c r="AS246"/>
      <c r="AT246"/>
      <c r="AU246"/>
      <c r="AV246"/>
      <c r="AW246"/>
      <c r="AX246"/>
      <c r="AY246"/>
      <c r="AZ246"/>
      <c r="BA246"/>
      <c r="BB246"/>
      <c r="BC246"/>
      <c r="BD246"/>
      <c r="BE246"/>
      <c r="BF246"/>
      <c r="BH246"/>
      <c r="BI246"/>
      <c r="BJ246"/>
      <c r="BK246"/>
      <c r="BL246"/>
      <c r="BM246"/>
      <c r="BN246"/>
      <c r="BP246"/>
      <c r="BQ246"/>
      <c r="BR246"/>
      <c r="BS246"/>
      <c r="BT246"/>
      <c r="BU246"/>
      <c r="BV246"/>
      <c r="BW246"/>
      <c r="BZ246"/>
      <c r="CA246"/>
      <c r="CB246"/>
      <c r="CC246"/>
      <c r="CD246"/>
      <c r="CF246"/>
      <c r="CG246"/>
      <c r="CH246"/>
      <c r="CI246"/>
      <c r="CJ246"/>
      <c r="CK246"/>
      <c r="CL246"/>
      <c r="CM246"/>
      <c r="CN246"/>
      <c r="CO246"/>
      <c r="CP246"/>
      <c r="CQ246"/>
      <c r="CR246"/>
      <c r="CS246"/>
      <c r="CT246"/>
      <c r="CU246"/>
      <c r="CV246"/>
      <c r="CW246"/>
      <c r="CX246"/>
      <c r="CY246"/>
      <c r="CZ246"/>
      <c r="DA246"/>
      <c r="DB246"/>
      <c r="DC246"/>
      <c r="DD246"/>
      <c r="DE246"/>
      <c r="DG246"/>
      <c r="DH246"/>
      <c r="DI246"/>
      <c r="DJ246"/>
      <c r="DK246"/>
      <c r="DL246"/>
      <c r="DM246"/>
      <c r="DN246"/>
      <c r="DO246"/>
      <c r="DP246"/>
      <c r="DQ246"/>
      <c r="DR246"/>
      <c r="DS246"/>
      <c r="DT246"/>
      <c r="DU246"/>
      <c r="DV246"/>
      <c r="DW246"/>
      <c r="DZ246"/>
      <c r="EA246"/>
      <c r="EB246"/>
      <c r="EC246"/>
      <c r="ED246"/>
      <c r="EE246"/>
      <c r="EF246"/>
      <c r="EG246"/>
      <c r="EJ246"/>
      <c r="EK246"/>
      <c r="EL246"/>
      <c r="EM246"/>
      <c r="EN246"/>
      <c r="EO246"/>
      <c r="EP246"/>
      <c r="EQ246"/>
      <c r="ER246"/>
      <c r="ES246"/>
      <c r="ET246"/>
      <c r="EU246"/>
      <c r="EV246"/>
      <c r="EW246"/>
      <c r="EX246"/>
      <c r="EY246"/>
      <c r="EZ246"/>
      <c r="FA246"/>
      <c r="FB246"/>
      <c r="FC246"/>
      <c r="FD246"/>
      <c r="FE246"/>
      <c r="FF246"/>
      <c r="FG246"/>
      <c r="FH246"/>
      <c r="FK246" s="449" t="s">
        <v>6868</v>
      </c>
      <c r="FL246" s="457"/>
      <c r="FM246" s="449">
        <v>1</v>
      </c>
      <c r="FN246" s="452"/>
      <c r="FO246" s="452"/>
      <c r="FP246" s="452"/>
      <c r="FQ246" s="452"/>
      <c r="FR246" s="452"/>
      <c r="FS246" s="452"/>
      <c r="FT246" s="452"/>
      <c r="FU246" s="452"/>
      <c r="FV246" s="452"/>
      <c r="FW246" s="452"/>
      <c r="FX246" s="452"/>
      <c r="FY246" s="452"/>
      <c r="FZ246" s="453"/>
      <c r="GA246"/>
      <c r="GB246"/>
      <c r="GC246"/>
      <c r="GD246"/>
    </row>
    <row r="247" spans="1:186" x14ac:dyDescent="0.15">
      <c r="AG247"/>
      <c r="AH247"/>
      <c r="AJ247"/>
      <c r="AK247"/>
      <c r="AL247"/>
      <c r="AM247"/>
      <c r="AO247"/>
      <c r="AP247"/>
      <c r="AQ247"/>
      <c r="AR247"/>
      <c r="AS247"/>
      <c r="AT247"/>
      <c r="AU247"/>
      <c r="AV247"/>
      <c r="AW247"/>
      <c r="AX247"/>
      <c r="AY247"/>
      <c r="AZ247"/>
      <c r="BA247"/>
      <c r="BB247"/>
      <c r="BC247"/>
      <c r="BD247"/>
      <c r="BE247"/>
      <c r="BF247"/>
      <c r="BH247"/>
      <c r="BI247"/>
      <c r="BJ247"/>
      <c r="BK247"/>
      <c r="BL247"/>
      <c r="BM247"/>
      <c r="BN247"/>
      <c r="BP247"/>
      <c r="BQ247"/>
      <c r="BR247"/>
      <c r="BS247"/>
      <c r="BT247"/>
      <c r="BU247"/>
      <c r="BV247"/>
      <c r="BW247"/>
      <c r="BZ247"/>
      <c r="CA247"/>
      <c r="CB247"/>
      <c r="CC247"/>
      <c r="CD247"/>
      <c r="CF247"/>
      <c r="CG247"/>
      <c r="CH247"/>
      <c r="CI247"/>
      <c r="CJ247"/>
      <c r="CK247"/>
      <c r="CL247"/>
      <c r="CM247"/>
      <c r="CN247"/>
      <c r="CO247"/>
      <c r="CP247"/>
      <c r="CQ247"/>
      <c r="CR247"/>
      <c r="CS247"/>
      <c r="CT247"/>
      <c r="CU247"/>
      <c r="CV247"/>
      <c r="CW247"/>
      <c r="CX247"/>
      <c r="CY247"/>
      <c r="CZ247"/>
      <c r="DA247"/>
      <c r="DB247"/>
      <c r="DC247"/>
      <c r="DD247"/>
      <c r="DE247"/>
      <c r="DG247"/>
      <c r="DH247"/>
      <c r="DI247"/>
      <c r="DJ247"/>
      <c r="DK247"/>
      <c r="DL247"/>
      <c r="DM247"/>
      <c r="DN247"/>
      <c r="DO247"/>
      <c r="DP247"/>
      <c r="DQ247"/>
      <c r="DR247"/>
      <c r="DS247"/>
      <c r="DT247"/>
      <c r="DU247"/>
      <c r="DV247"/>
      <c r="DW247"/>
      <c r="DZ247"/>
      <c r="EA247"/>
      <c r="EB247"/>
      <c r="EC247"/>
      <c r="ED247"/>
      <c r="EE247"/>
      <c r="EF247"/>
      <c r="EG247"/>
      <c r="EJ247"/>
      <c r="EK247"/>
      <c r="EL247"/>
      <c r="EM247"/>
      <c r="EN247"/>
      <c r="EO247"/>
      <c r="EP247"/>
      <c r="EQ247"/>
      <c r="ER247"/>
      <c r="ES247"/>
      <c r="ET247"/>
      <c r="EU247"/>
      <c r="EV247"/>
      <c r="EW247"/>
      <c r="EX247"/>
      <c r="EY247"/>
      <c r="EZ247"/>
      <c r="FA247"/>
      <c r="FB247"/>
      <c r="FC247"/>
      <c r="FD247"/>
      <c r="FE247"/>
      <c r="FF247"/>
      <c r="FG247"/>
      <c r="FH247"/>
      <c r="FK247" s="449">
        <v>2.698</v>
      </c>
      <c r="FL247" s="449" t="s">
        <v>445</v>
      </c>
      <c r="FM247" s="449">
        <v>1</v>
      </c>
      <c r="FN247" s="452"/>
      <c r="FO247" s="452"/>
      <c r="FP247" s="452"/>
      <c r="FQ247" s="452"/>
      <c r="FR247" s="452"/>
      <c r="FS247" s="452"/>
      <c r="FT247" s="452"/>
      <c r="FU247" s="452"/>
      <c r="FV247" s="452"/>
      <c r="FW247" s="452"/>
      <c r="FX247" s="452"/>
      <c r="FY247" s="452"/>
      <c r="FZ247" s="453"/>
      <c r="GA247"/>
      <c r="GB247"/>
      <c r="GC247"/>
      <c r="GD247"/>
    </row>
    <row r="248" spans="1:186" x14ac:dyDescent="0.15">
      <c r="AG248"/>
      <c r="AH248"/>
      <c r="AJ248"/>
      <c r="AK248"/>
      <c r="AL248"/>
      <c r="AM248"/>
      <c r="AO248"/>
      <c r="AP248"/>
      <c r="AQ248"/>
      <c r="AR248"/>
      <c r="AS248"/>
      <c r="AT248"/>
      <c r="AU248"/>
      <c r="AV248"/>
      <c r="AW248"/>
      <c r="AX248"/>
      <c r="AY248"/>
      <c r="AZ248"/>
      <c r="BA248"/>
      <c r="BB248"/>
      <c r="BC248"/>
      <c r="BD248"/>
      <c r="BE248"/>
      <c r="BF248"/>
      <c r="BH248"/>
      <c r="BI248"/>
      <c r="BJ248"/>
      <c r="BK248"/>
      <c r="BL248"/>
      <c r="BM248"/>
      <c r="BN248"/>
      <c r="BP248"/>
      <c r="BQ248"/>
      <c r="BR248"/>
      <c r="BS248"/>
      <c r="BT248"/>
      <c r="BU248"/>
      <c r="BV248"/>
      <c r="BW248"/>
      <c r="BZ248"/>
      <c r="CA248"/>
      <c r="CB248"/>
      <c r="CC248"/>
      <c r="CD248"/>
      <c r="CF248"/>
      <c r="CG248"/>
      <c r="CH248"/>
      <c r="CI248"/>
      <c r="CJ248"/>
      <c r="CK248"/>
      <c r="CL248"/>
      <c r="CM248"/>
      <c r="CN248"/>
      <c r="CO248"/>
      <c r="CP248"/>
      <c r="CQ248"/>
      <c r="CR248"/>
      <c r="CS248"/>
      <c r="CT248"/>
      <c r="CU248"/>
      <c r="CV248"/>
      <c r="CW248"/>
      <c r="CX248"/>
      <c r="CY248"/>
      <c r="CZ248"/>
      <c r="DA248"/>
      <c r="DB248"/>
      <c r="DC248"/>
      <c r="DD248"/>
      <c r="DE248"/>
      <c r="DG248"/>
      <c r="DH248"/>
      <c r="DI248"/>
      <c r="DJ248"/>
      <c r="DK248"/>
      <c r="DL248"/>
      <c r="DM248"/>
      <c r="DN248"/>
      <c r="DO248"/>
      <c r="DP248"/>
      <c r="DQ248"/>
      <c r="DR248"/>
      <c r="DS248"/>
      <c r="DT248"/>
      <c r="DU248"/>
      <c r="DV248"/>
      <c r="DW248"/>
      <c r="DZ248"/>
      <c r="EA248"/>
      <c r="EB248"/>
      <c r="EC248"/>
      <c r="ED248"/>
      <c r="EE248"/>
      <c r="EF248"/>
      <c r="EG248"/>
      <c r="EJ248"/>
      <c r="EK248"/>
      <c r="EL248"/>
      <c r="EM248"/>
      <c r="EN248"/>
      <c r="EO248"/>
      <c r="EP248"/>
      <c r="EQ248"/>
      <c r="ER248"/>
      <c r="ES248"/>
      <c r="ET248"/>
      <c r="EU248"/>
      <c r="EV248"/>
      <c r="EW248"/>
      <c r="EX248"/>
      <c r="EY248"/>
      <c r="EZ248"/>
      <c r="FA248"/>
      <c r="FB248"/>
      <c r="FC248"/>
      <c r="FD248"/>
      <c r="FE248"/>
      <c r="FF248"/>
      <c r="FG248"/>
      <c r="FH248"/>
      <c r="FK248" s="449" t="s">
        <v>6869</v>
      </c>
      <c r="FL248" s="457"/>
      <c r="FM248" s="449">
        <v>1</v>
      </c>
      <c r="FN248" s="452"/>
      <c r="FO248" s="452"/>
      <c r="FP248" s="452"/>
      <c r="FQ248" s="452"/>
      <c r="FR248" s="452"/>
      <c r="FS248" s="452"/>
      <c r="FT248" s="452"/>
      <c r="FU248" s="452"/>
      <c r="FV248" s="452"/>
      <c r="FW248" s="452"/>
      <c r="FX248" s="452"/>
      <c r="FY248" s="452"/>
      <c r="FZ248" s="453"/>
      <c r="GA248"/>
      <c r="GB248"/>
      <c r="GC248"/>
      <c r="GD248"/>
    </row>
    <row r="249" spans="1:186" x14ac:dyDescent="0.15">
      <c r="AG249"/>
      <c r="AH249"/>
      <c r="AJ249"/>
      <c r="AK249"/>
      <c r="AL249"/>
      <c r="AM249"/>
      <c r="AO249"/>
      <c r="AP249"/>
      <c r="AQ249"/>
      <c r="AR249"/>
      <c r="AS249"/>
      <c r="AT249"/>
      <c r="AU249"/>
      <c r="AV249"/>
      <c r="AW249"/>
      <c r="AX249"/>
      <c r="AY249"/>
      <c r="AZ249"/>
      <c r="BA249"/>
      <c r="BB249"/>
      <c r="BC249"/>
      <c r="BD249"/>
      <c r="BE249"/>
      <c r="BF249"/>
      <c r="BH249"/>
      <c r="BI249"/>
      <c r="BJ249"/>
      <c r="BK249"/>
      <c r="BL249"/>
      <c r="BM249"/>
      <c r="BN249"/>
      <c r="BP249"/>
      <c r="BQ249"/>
      <c r="BR249"/>
      <c r="BS249"/>
      <c r="BT249"/>
      <c r="BU249"/>
      <c r="BV249"/>
      <c r="BW249"/>
      <c r="BZ249"/>
      <c r="CA249"/>
      <c r="CB249"/>
      <c r="CC249"/>
      <c r="CD249"/>
      <c r="CF249"/>
      <c r="CG249"/>
      <c r="CH249"/>
      <c r="CI249"/>
      <c r="CJ249"/>
      <c r="CK249"/>
      <c r="CL249"/>
      <c r="CM249"/>
      <c r="CN249"/>
      <c r="CO249"/>
      <c r="CP249"/>
      <c r="CQ249"/>
      <c r="CR249"/>
      <c r="CS249"/>
      <c r="CT249"/>
      <c r="CU249"/>
      <c r="CV249"/>
      <c r="CW249"/>
      <c r="CX249"/>
      <c r="CY249"/>
      <c r="CZ249"/>
      <c r="DA249"/>
      <c r="DB249"/>
      <c r="DC249"/>
      <c r="DD249"/>
      <c r="DE249"/>
      <c r="DG249"/>
      <c r="DH249"/>
      <c r="DI249"/>
      <c r="DJ249"/>
      <c r="DK249"/>
      <c r="DL249"/>
      <c r="DM249"/>
      <c r="DN249"/>
      <c r="DO249"/>
      <c r="DP249"/>
      <c r="DQ249"/>
      <c r="DR249"/>
      <c r="DS249"/>
      <c r="DT249"/>
      <c r="DU249"/>
      <c r="DV249"/>
      <c r="DW249"/>
      <c r="DZ249"/>
      <c r="EA249"/>
      <c r="EB249"/>
      <c r="EC249"/>
      <c r="ED249"/>
      <c r="EE249"/>
      <c r="EF249"/>
      <c r="EG249"/>
      <c r="EJ249"/>
      <c r="EK249"/>
      <c r="EL249"/>
      <c r="EM249"/>
      <c r="EN249"/>
      <c r="EO249"/>
      <c r="EP249"/>
      <c r="EQ249"/>
      <c r="ER249"/>
      <c r="ES249"/>
      <c r="ET249"/>
      <c r="EU249"/>
      <c r="EV249"/>
      <c r="EW249"/>
      <c r="EX249"/>
      <c r="EY249"/>
      <c r="EZ249"/>
      <c r="FA249"/>
      <c r="FB249"/>
      <c r="FC249"/>
      <c r="FD249"/>
      <c r="FE249"/>
      <c r="FF249"/>
      <c r="FG249"/>
      <c r="FH249"/>
      <c r="FK249" s="449">
        <v>7.4459999999999997</v>
      </c>
      <c r="FL249" s="449" t="s">
        <v>396</v>
      </c>
      <c r="FM249" s="449">
        <v>1</v>
      </c>
      <c r="FN249" s="452"/>
      <c r="FO249" s="452"/>
      <c r="FP249" s="452"/>
      <c r="FQ249" s="452"/>
      <c r="FR249" s="452"/>
      <c r="FS249" s="452"/>
      <c r="FT249" s="452"/>
      <c r="FU249" s="452"/>
      <c r="FV249" s="452"/>
      <c r="FW249" s="452"/>
      <c r="FX249" s="452"/>
      <c r="FY249" s="452"/>
      <c r="FZ249" s="453"/>
      <c r="GA249"/>
      <c r="GB249"/>
      <c r="GC249"/>
      <c r="GD249"/>
    </row>
    <row r="250" spans="1:186" x14ac:dyDescent="0.15">
      <c r="AG250"/>
      <c r="AH250"/>
      <c r="AJ250"/>
      <c r="AK250"/>
      <c r="AL250"/>
      <c r="AM250"/>
      <c r="AO250"/>
      <c r="AP250"/>
      <c r="AQ250"/>
      <c r="AR250"/>
      <c r="AS250"/>
      <c r="AT250"/>
      <c r="AU250"/>
      <c r="AV250"/>
      <c r="AW250"/>
      <c r="AX250"/>
      <c r="AY250"/>
      <c r="AZ250"/>
      <c r="BA250"/>
      <c r="BB250"/>
      <c r="BC250"/>
      <c r="BD250"/>
      <c r="BE250"/>
      <c r="BF250"/>
      <c r="BH250"/>
      <c r="BI250"/>
      <c r="BJ250"/>
      <c r="BK250"/>
      <c r="BL250"/>
      <c r="BM250"/>
      <c r="BN250"/>
      <c r="BP250"/>
      <c r="BQ250"/>
      <c r="BR250"/>
      <c r="BS250"/>
      <c r="BT250"/>
      <c r="BU250"/>
      <c r="BV250"/>
      <c r="BW250"/>
      <c r="BZ250"/>
      <c r="CA250"/>
      <c r="CB250"/>
      <c r="CC250"/>
      <c r="CD250"/>
      <c r="CF250"/>
      <c r="CG250"/>
      <c r="CH250"/>
      <c r="CI250"/>
      <c r="CJ250"/>
      <c r="CK250"/>
      <c r="CL250"/>
      <c r="CM250"/>
      <c r="CN250"/>
      <c r="CO250"/>
      <c r="CP250"/>
      <c r="CQ250"/>
      <c r="CR250"/>
      <c r="CS250"/>
      <c r="CT250"/>
      <c r="CU250"/>
      <c r="CV250"/>
      <c r="CW250"/>
      <c r="CX250"/>
      <c r="CY250"/>
      <c r="CZ250"/>
      <c r="DA250"/>
      <c r="DB250"/>
      <c r="DC250"/>
      <c r="DD250"/>
      <c r="DE250"/>
      <c r="DG250"/>
      <c r="DH250"/>
      <c r="DI250"/>
      <c r="DJ250"/>
      <c r="DK250"/>
      <c r="DL250"/>
      <c r="DM250"/>
      <c r="DN250"/>
      <c r="DO250"/>
      <c r="DP250"/>
      <c r="DQ250"/>
      <c r="DR250"/>
      <c r="DS250"/>
      <c r="DT250"/>
      <c r="DU250"/>
      <c r="DV250"/>
      <c r="DW250"/>
      <c r="DZ250"/>
      <c r="EA250"/>
      <c r="EB250"/>
      <c r="EC250"/>
      <c r="ED250"/>
      <c r="EE250"/>
      <c r="EF250"/>
      <c r="EG250"/>
      <c r="EJ250"/>
      <c r="EK250"/>
      <c r="EL250"/>
      <c r="EM250"/>
      <c r="EN250"/>
      <c r="EO250"/>
      <c r="EP250"/>
      <c r="EQ250"/>
      <c r="ER250"/>
      <c r="ES250"/>
      <c r="ET250"/>
      <c r="EU250"/>
      <c r="EV250"/>
      <c r="EW250"/>
      <c r="EX250"/>
      <c r="EY250"/>
      <c r="EZ250"/>
      <c r="FA250"/>
      <c r="FB250"/>
      <c r="FC250"/>
      <c r="FD250"/>
      <c r="FE250"/>
      <c r="FF250"/>
      <c r="FG250"/>
      <c r="FH250"/>
      <c r="FK250" s="449" t="s">
        <v>6870</v>
      </c>
      <c r="FL250" s="457"/>
      <c r="FM250" s="449">
        <v>1</v>
      </c>
      <c r="FN250" s="452"/>
      <c r="FO250" s="452"/>
      <c r="FP250" s="452"/>
      <c r="FQ250" s="452"/>
      <c r="FR250" s="452"/>
      <c r="FS250" s="452"/>
      <c r="FT250" s="452"/>
      <c r="FU250" s="452"/>
      <c r="FV250" s="452"/>
      <c r="FW250" s="452"/>
      <c r="FX250" s="452"/>
      <c r="FY250" s="452"/>
      <c r="FZ250" s="453"/>
      <c r="GA250"/>
      <c r="GB250"/>
      <c r="GC250"/>
      <c r="GD250"/>
    </row>
    <row r="251" spans="1:186" x14ac:dyDescent="0.15">
      <c r="AG251"/>
      <c r="AH251"/>
      <c r="AJ251"/>
      <c r="AK251"/>
      <c r="AL251"/>
      <c r="AM251"/>
      <c r="AO251"/>
      <c r="AP251"/>
      <c r="AQ251"/>
      <c r="AR251"/>
      <c r="AS251"/>
      <c r="AT251"/>
      <c r="AU251"/>
      <c r="AV251"/>
      <c r="AW251"/>
      <c r="AX251"/>
      <c r="AY251"/>
      <c r="AZ251"/>
      <c r="BA251"/>
      <c r="BB251"/>
      <c r="BC251"/>
      <c r="BD251"/>
      <c r="BE251"/>
      <c r="BF251"/>
      <c r="BH251"/>
      <c r="BI251"/>
      <c r="BJ251"/>
      <c r="BK251"/>
      <c r="BL251"/>
      <c r="BM251"/>
      <c r="BN251"/>
      <c r="BP251"/>
      <c r="BQ251"/>
      <c r="BR251"/>
      <c r="BS251"/>
      <c r="BT251"/>
      <c r="BU251"/>
      <c r="BV251"/>
      <c r="BW251"/>
      <c r="BZ251"/>
      <c r="CA251"/>
      <c r="CB251"/>
      <c r="CC251"/>
      <c r="CD251"/>
      <c r="CF251"/>
      <c r="CG251"/>
      <c r="CH251"/>
      <c r="CI251"/>
      <c r="CJ251"/>
      <c r="CK251"/>
      <c r="CL251"/>
      <c r="CM251"/>
      <c r="CN251"/>
      <c r="CO251"/>
      <c r="CP251"/>
      <c r="CQ251"/>
      <c r="CR251"/>
      <c r="CS251"/>
      <c r="CT251"/>
      <c r="CU251"/>
      <c r="CV251"/>
      <c r="CW251"/>
      <c r="CX251"/>
      <c r="CY251"/>
      <c r="CZ251"/>
      <c r="DA251"/>
      <c r="DB251"/>
      <c r="DC251"/>
      <c r="DD251"/>
      <c r="DE251"/>
      <c r="DG251"/>
      <c r="DH251"/>
      <c r="DI251"/>
      <c r="DJ251"/>
      <c r="DK251"/>
      <c r="DL251"/>
      <c r="DM251"/>
      <c r="DN251"/>
      <c r="DO251"/>
      <c r="DP251"/>
      <c r="DQ251"/>
      <c r="DR251"/>
      <c r="DS251"/>
      <c r="DT251"/>
      <c r="DU251"/>
      <c r="DV251"/>
      <c r="DW251"/>
      <c r="DZ251"/>
      <c r="EA251"/>
      <c r="EB251"/>
      <c r="EC251"/>
      <c r="ED251"/>
      <c r="EE251"/>
      <c r="EF251"/>
      <c r="EG251"/>
      <c r="EJ251"/>
      <c r="EK251"/>
      <c r="EL251"/>
      <c r="EM251"/>
      <c r="EN251"/>
      <c r="EO251"/>
      <c r="EP251"/>
      <c r="EQ251"/>
      <c r="ER251"/>
      <c r="ES251"/>
      <c r="ET251"/>
      <c r="EU251"/>
      <c r="EV251"/>
      <c r="EW251"/>
      <c r="EX251"/>
      <c r="EY251"/>
      <c r="EZ251"/>
      <c r="FA251"/>
      <c r="FB251"/>
      <c r="FC251"/>
      <c r="FD251"/>
      <c r="FE251"/>
      <c r="FF251"/>
      <c r="FG251"/>
      <c r="FH251"/>
      <c r="FK251" s="449">
        <v>17.276</v>
      </c>
      <c r="FL251" s="449" t="s">
        <v>445</v>
      </c>
      <c r="FM251" s="449"/>
      <c r="FN251" s="452">
        <v>1</v>
      </c>
      <c r="FO251" s="452"/>
      <c r="FP251" s="452"/>
      <c r="FQ251" s="452"/>
      <c r="FR251" s="452"/>
      <c r="FS251" s="452"/>
      <c r="FT251" s="452"/>
      <c r="FU251" s="452"/>
      <c r="FV251" s="452"/>
      <c r="FW251" s="452"/>
      <c r="FX251" s="452"/>
      <c r="FY251" s="452"/>
      <c r="FZ251" s="453"/>
      <c r="GA251"/>
      <c r="GB251"/>
      <c r="GC251"/>
      <c r="GD251"/>
    </row>
    <row r="252" spans="1:186" x14ac:dyDescent="0.15">
      <c r="AG252"/>
      <c r="AH252"/>
      <c r="AJ252"/>
      <c r="AK252"/>
      <c r="AL252"/>
      <c r="AM252"/>
      <c r="AO252"/>
      <c r="AP252"/>
      <c r="AQ252"/>
      <c r="AR252"/>
      <c r="AS252"/>
      <c r="AT252"/>
      <c r="AU252"/>
      <c r="AV252"/>
      <c r="AW252"/>
      <c r="AX252"/>
      <c r="AY252"/>
      <c r="AZ252"/>
      <c r="BA252"/>
      <c r="BB252"/>
      <c r="BC252"/>
      <c r="BD252"/>
      <c r="BE252"/>
      <c r="BF252"/>
      <c r="BH252"/>
      <c r="BI252"/>
      <c r="BJ252"/>
      <c r="BK252"/>
      <c r="BL252"/>
      <c r="BM252"/>
      <c r="BN252"/>
      <c r="BP252"/>
      <c r="BQ252"/>
      <c r="BR252"/>
      <c r="BS252"/>
      <c r="BT252"/>
      <c r="BU252"/>
      <c r="BV252"/>
      <c r="BW252"/>
      <c r="BZ252"/>
      <c r="CA252"/>
      <c r="CB252"/>
      <c r="CC252"/>
      <c r="CD252"/>
      <c r="CF252"/>
      <c r="CG252"/>
      <c r="CH252"/>
      <c r="CI252"/>
      <c r="CJ252"/>
      <c r="CK252"/>
      <c r="CL252"/>
      <c r="CM252"/>
      <c r="CN252"/>
      <c r="CO252"/>
      <c r="CP252"/>
      <c r="CQ252"/>
      <c r="CR252"/>
      <c r="CS252"/>
      <c r="CT252"/>
      <c r="CU252"/>
      <c r="CV252"/>
      <c r="CW252"/>
      <c r="CX252"/>
      <c r="CY252"/>
      <c r="CZ252"/>
      <c r="DA252"/>
      <c r="DB252"/>
      <c r="DC252"/>
      <c r="DD252"/>
      <c r="DE252"/>
      <c r="DG252"/>
      <c r="DH252"/>
      <c r="DI252"/>
      <c r="DJ252"/>
      <c r="DK252"/>
      <c r="DL252"/>
      <c r="DM252"/>
      <c r="DN252"/>
      <c r="DO252"/>
      <c r="DP252"/>
      <c r="DQ252"/>
      <c r="DR252"/>
      <c r="DS252"/>
      <c r="DT252"/>
      <c r="DU252"/>
      <c r="DV252"/>
      <c r="DW252"/>
      <c r="DZ252"/>
      <c r="EA252"/>
      <c r="EB252"/>
      <c r="EC252"/>
      <c r="ED252"/>
      <c r="EE252"/>
      <c r="EF252"/>
      <c r="EG252"/>
      <c r="EJ252"/>
      <c r="EK252"/>
      <c r="EL252"/>
      <c r="EM252"/>
      <c r="EN252"/>
      <c r="EO252"/>
      <c r="EP252"/>
      <c r="EQ252"/>
      <c r="ER252"/>
      <c r="ES252"/>
      <c r="ET252"/>
      <c r="EU252"/>
      <c r="EV252"/>
      <c r="EW252"/>
      <c r="EX252"/>
      <c r="EY252"/>
      <c r="EZ252"/>
      <c r="FA252"/>
      <c r="FB252"/>
      <c r="FC252"/>
      <c r="FD252"/>
      <c r="FE252"/>
      <c r="FF252"/>
      <c r="FG252"/>
      <c r="FH252"/>
      <c r="FK252" s="449" t="s">
        <v>6871</v>
      </c>
      <c r="FL252" s="457"/>
      <c r="FM252" s="449"/>
      <c r="FN252" s="452">
        <v>1</v>
      </c>
      <c r="FO252" s="452"/>
      <c r="FP252" s="452"/>
      <c r="FQ252" s="452"/>
      <c r="FR252" s="452"/>
      <c r="FS252" s="452"/>
      <c r="FT252" s="452"/>
      <c r="FU252" s="452"/>
      <c r="FV252" s="452"/>
      <c r="FW252" s="452"/>
      <c r="FX252" s="452"/>
      <c r="FY252" s="452"/>
      <c r="FZ252" s="453"/>
      <c r="GA252"/>
      <c r="GB252"/>
      <c r="GC252"/>
      <c r="GD252"/>
    </row>
    <row r="253" spans="1:186" x14ac:dyDescent="0.15">
      <c r="A253" s="30" t="s">
        <v>148</v>
      </c>
      <c r="AG253"/>
      <c r="AH253"/>
      <c r="AJ253"/>
      <c r="AK253"/>
      <c r="AL253"/>
      <c r="AM253"/>
      <c r="AO253"/>
      <c r="AP253"/>
      <c r="AQ253"/>
      <c r="AR253"/>
      <c r="AS253"/>
      <c r="AT253"/>
      <c r="AU253"/>
      <c r="AV253"/>
      <c r="AW253"/>
      <c r="AX253"/>
      <c r="AY253"/>
      <c r="AZ253"/>
      <c r="BA253"/>
      <c r="BB253"/>
      <c r="BC253"/>
      <c r="BD253"/>
      <c r="BE253"/>
      <c r="BF253"/>
      <c r="BH253"/>
      <c r="BI253"/>
      <c r="BJ253"/>
      <c r="BK253"/>
      <c r="BL253"/>
      <c r="BM253"/>
      <c r="BN253"/>
      <c r="BP253"/>
      <c r="BQ253"/>
      <c r="BR253"/>
      <c r="BS253"/>
      <c r="BT253"/>
      <c r="BU253"/>
      <c r="BV253"/>
      <c r="BW253"/>
      <c r="BZ253"/>
      <c r="CA253"/>
      <c r="CB253"/>
      <c r="CC253"/>
      <c r="CD253"/>
      <c r="CF253"/>
      <c r="CG253"/>
      <c r="CH253"/>
      <c r="CI253"/>
      <c r="CJ253"/>
      <c r="CK253"/>
      <c r="CL253"/>
      <c r="CM253"/>
      <c r="CN253"/>
      <c r="CO253"/>
      <c r="CP253"/>
      <c r="CQ253"/>
      <c r="CR253"/>
      <c r="CS253"/>
      <c r="CT253"/>
      <c r="CU253"/>
      <c r="CV253"/>
      <c r="CW253"/>
      <c r="CX253"/>
      <c r="CY253"/>
      <c r="CZ253"/>
      <c r="DA253"/>
      <c r="DB253"/>
      <c r="DC253"/>
      <c r="DD253"/>
      <c r="DE253"/>
      <c r="DG253"/>
      <c r="DH253"/>
      <c r="DI253"/>
      <c r="DJ253"/>
      <c r="DK253"/>
      <c r="DL253"/>
      <c r="DM253"/>
      <c r="DN253"/>
      <c r="DO253"/>
      <c r="DP253"/>
      <c r="DQ253"/>
      <c r="DR253"/>
      <c r="DS253"/>
      <c r="DT253"/>
      <c r="DU253"/>
      <c r="DV253"/>
      <c r="DW253"/>
      <c r="DZ253"/>
      <c r="EA253"/>
      <c r="EB253"/>
      <c r="EC253"/>
      <c r="ED253"/>
      <c r="EE253"/>
      <c r="EF253"/>
      <c r="EG253"/>
      <c r="EJ253"/>
      <c r="EK253"/>
      <c r="EL253"/>
      <c r="EM253"/>
      <c r="EN253"/>
      <c r="EO253"/>
      <c r="EP253"/>
      <c r="EQ253"/>
      <c r="ER253"/>
      <c r="ES253"/>
      <c r="ET253"/>
      <c r="EU253"/>
      <c r="EV253"/>
      <c r="EW253"/>
      <c r="EX253"/>
      <c r="EY253"/>
      <c r="EZ253"/>
      <c r="FA253"/>
      <c r="FB253"/>
      <c r="FC253"/>
      <c r="FD253"/>
      <c r="FE253"/>
      <c r="FF253"/>
      <c r="FG253"/>
      <c r="FH253"/>
      <c r="FK253" s="449">
        <v>9.9239999999999995</v>
      </c>
      <c r="FL253" s="449" t="s">
        <v>396</v>
      </c>
      <c r="FM253" s="449"/>
      <c r="FN253" s="452"/>
      <c r="FO253" s="452"/>
      <c r="FP253" s="452"/>
      <c r="FQ253" s="452"/>
      <c r="FR253" s="452">
        <v>1</v>
      </c>
      <c r="FS253" s="452"/>
      <c r="FT253" s="452"/>
      <c r="FU253" s="452"/>
      <c r="FV253" s="452"/>
      <c r="FW253" s="452"/>
      <c r="FX253" s="452"/>
      <c r="FY253" s="452"/>
      <c r="FZ253" s="453"/>
      <c r="GA253"/>
      <c r="GB253"/>
      <c r="GC253"/>
      <c r="GD253"/>
    </row>
    <row r="254" spans="1:186" x14ac:dyDescent="0.15">
      <c r="A254" s="30" t="s">
        <v>147</v>
      </c>
      <c r="AG254"/>
      <c r="AH254"/>
      <c r="AJ254"/>
      <c r="AK254"/>
      <c r="AL254"/>
      <c r="AM254"/>
      <c r="AO254"/>
      <c r="AP254"/>
      <c r="AQ254"/>
      <c r="AR254"/>
      <c r="AS254"/>
      <c r="AT254"/>
      <c r="AU254"/>
      <c r="AV254"/>
      <c r="AW254"/>
      <c r="AX254"/>
      <c r="AY254"/>
      <c r="AZ254"/>
      <c r="BA254"/>
      <c r="BB254"/>
      <c r="BC254"/>
      <c r="BD254"/>
      <c r="BE254"/>
      <c r="BF254"/>
      <c r="BH254"/>
      <c r="BI254"/>
      <c r="BJ254"/>
      <c r="BK254"/>
      <c r="BL254"/>
      <c r="BM254"/>
      <c r="BN254"/>
      <c r="BP254"/>
      <c r="BQ254"/>
      <c r="BR254"/>
      <c r="BS254"/>
      <c r="BT254"/>
      <c r="BU254"/>
      <c r="BV254"/>
      <c r="BW254"/>
      <c r="BZ254"/>
      <c r="CA254"/>
      <c r="CB254"/>
      <c r="CC254"/>
      <c r="CD254"/>
      <c r="CF254"/>
      <c r="CG254"/>
      <c r="CH254"/>
      <c r="CI254"/>
      <c r="CJ254"/>
      <c r="CK254"/>
      <c r="CL254"/>
      <c r="CM254"/>
      <c r="CN254"/>
      <c r="CO254"/>
      <c r="CP254"/>
      <c r="CQ254"/>
      <c r="CR254"/>
      <c r="CS254"/>
      <c r="CT254"/>
      <c r="CU254"/>
      <c r="CV254"/>
      <c r="CW254"/>
      <c r="CX254"/>
      <c r="CY254"/>
      <c r="CZ254"/>
      <c r="DA254"/>
      <c r="DB254"/>
      <c r="DC254"/>
      <c r="DD254"/>
      <c r="DE254"/>
      <c r="DG254"/>
      <c r="DH254"/>
      <c r="DI254"/>
      <c r="DJ254"/>
      <c r="DK254"/>
      <c r="DL254"/>
      <c r="DM254"/>
      <c r="DN254"/>
      <c r="DO254"/>
      <c r="DP254"/>
      <c r="DQ254"/>
      <c r="DR254"/>
      <c r="DS254"/>
      <c r="DT254"/>
      <c r="DU254"/>
      <c r="DV254"/>
      <c r="DW254"/>
      <c r="DZ254"/>
      <c r="EA254"/>
      <c r="EB254"/>
      <c r="EC254"/>
      <c r="ED254"/>
      <c r="EE254"/>
      <c r="EF254"/>
      <c r="EG254"/>
      <c r="EJ254"/>
      <c r="EK254"/>
      <c r="EL254"/>
      <c r="EM254"/>
      <c r="EN254"/>
      <c r="EO254"/>
      <c r="EP254"/>
      <c r="EQ254"/>
      <c r="ER254"/>
      <c r="ES254"/>
      <c r="ET254"/>
      <c r="EU254"/>
      <c r="EV254"/>
      <c r="EW254"/>
      <c r="EX254"/>
      <c r="EY254"/>
      <c r="EZ254"/>
      <c r="FA254"/>
      <c r="FB254"/>
      <c r="FC254"/>
      <c r="FD254"/>
      <c r="FE254"/>
      <c r="FF254"/>
      <c r="FG254"/>
      <c r="FH254"/>
      <c r="FK254" s="449" t="s">
        <v>6872</v>
      </c>
      <c r="FL254" s="457"/>
      <c r="FM254" s="449"/>
      <c r="FN254" s="452"/>
      <c r="FO254" s="452"/>
      <c r="FP254" s="452"/>
      <c r="FQ254" s="452"/>
      <c r="FR254" s="452">
        <v>1</v>
      </c>
      <c r="FS254" s="452"/>
      <c r="FT254" s="452"/>
      <c r="FU254" s="452"/>
      <c r="FV254" s="452"/>
      <c r="FW254" s="452"/>
      <c r="FX254" s="452"/>
      <c r="FY254" s="452"/>
      <c r="FZ254" s="453"/>
      <c r="GA254"/>
      <c r="GB254"/>
      <c r="GC254"/>
      <c r="GD254"/>
    </row>
    <row r="255" spans="1:186" x14ac:dyDescent="0.15">
      <c r="A255" s="30" t="s">
        <v>146</v>
      </c>
      <c r="AG255"/>
      <c r="AH255"/>
      <c r="AJ255"/>
      <c r="AK255"/>
      <c r="AL255"/>
      <c r="AM255"/>
      <c r="AO255"/>
      <c r="AP255"/>
      <c r="AQ255"/>
      <c r="AR255"/>
      <c r="AS255"/>
      <c r="AT255"/>
      <c r="AU255"/>
      <c r="AV255"/>
      <c r="AW255"/>
      <c r="AX255"/>
      <c r="AY255"/>
      <c r="AZ255"/>
      <c r="BA255"/>
      <c r="BB255"/>
      <c r="BC255"/>
      <c r="BD255"/>
      <c r="BE255"/>
      <c r="BF255"/>
      <c r="BH255"/>
      <c r="BI255"/>
      <c r="BJ255"/>
      <c r="BK255"/>
      <c r="BL255"/>
      <c r="BM255"/>
      <c r="BN255"/>
      <c r="BP255"/>
      <c r="BQ255"/>
      <c r="BR255"/>
      <c r="BS255"/>
      <c r="BT255"/>
      <c r="BU255"/>
      <c r="BV255"/>
      <c r="BW255"/>
      <c r="BZ255"/>
      <c r="CA255"/>
      <c r="CB255"/>
      <c r="CC255"/>
      <c r="CD255"/>
      <c r="CF255"/>
      <c r="CG255"/>
      <c r="CH255"/>
      <c r="CI255"/>
      <c r="CJ255"/>
      <c r="CK255"/>
      <c r="CL255"/>
      <c r="CM255"/>
      <c r="CN255"/>
      <c r="CO255"/>
      <c r="CP255"/>
      <c r="CQ255"/>
      <c r="CR255"/>
      <c r="CS255"/>
      <c r="CT255"/>
      <c r="CU255"/>
      <c r="CV255"/>
      <c r="CW255"/>
      <c r="CX255"/>
      <c r="CY255"/>
      <c r="CZ255"/>
      <c r="DA255"/>
      <c r="DB255"/>
      <c r="DC255"/>
      <c r="DD255"/>
      <c r="DE255"/>
      <c r="DG255"/>
      <c r="DH255"/>
      <c r="DI255"/>
      <c r="DJ255"/>
      <c r="DK255"/>
      <c r="DL255"/>
      <c r="DM255"/>
      <c r="DN255"/>
      <c r="DO255"/>
      <c r="DP255"/>
      <c r="DQ255"/>
      <c r="DR255"/>
      <c r="DS255"/>
      <c r="DT255"/>
      <c r="DU255"/>
      <c r="DV255"/>
      <c r="DW255"/>
      <c r="DZ255"/>
      <c r="EA255"/>
      <c r="EB255"/>
      <c r="EC255"/>
      <c r="ED255"/>
      <c r="EE255"/>
      <c r="EF255"/>
      <c r="EG255"/>
      <c r="EJ255"/>
      <c r="EK255"/>
      <c r="EL255"/>
      <c r="EM255"/>
      <c r="EN255"/>
      <c r="EO255"/>
      <c r="EP255"/>
      <c r="EQ255"/>
      <c r="ER255"/>
      <c r="ES255"/>
      <c r="ET255"/>
      <c r="EU255"/>
      <c r="EV255"/>
      <c r="EW255"/>
      <c r="EX255"/>
      <c r="EY255"/>
      <c r="EZ255"/>
      <c r="FA255"/>
      <c r="FB255"/>
      <c r="FC255"/>
      <c r="FD255"/>
      <c r="FE255"/>
      <c r="FF255"/>
      <c r="FG255"/>
      <c r="FH255"/>
      <c r="FK255" s="449">
        <v>3.2909999999999999</v>
      </c>
      <c r="FL255" s="449" t="s">
        <v>405</v>
      </c>
      <c r="FM255" s="449"/>
      <c r="FN255" s="452"/>
      <c r="FO255" s="452"/>
      <c r="FP255" s="452"/>
      <c r="FQ255" s="452"/>
      <c r="FR255" s="452"/>
      <c r="FS255" s="452">
        <v>1</v>
      </c>
      <c r="FT255" s="452"/>
      <c r="FU255" s="452"/>
      <c r="FV255" s="452"/>
      <c r="FW255" s="452"/>
      <c r="FX255" s="452"/>
      <c r="FY255" s="452"/>
      <c r="FZ255" s="453"/>
      <c r="GA255"/>
      <c r="GB255"/>
      <c r="GC255"/>
      <c r="GD255"/>
    </row>
    <row r="256" spans="1:186" x14ac:dyDescent="0.15">
      <c r="A256" s="30" t="s">
        <v>145</v>
      </c>
      <c r="AG256"/>
      <c r="AH256"/>
      <c r="AJ256"/>
      <c r="AK256"/>
      <c r="AL256"/>
      <c r="AM256"/>
      <c r="AO256"/>
      <c r="AP256"/>
      <c r="AQ256"/>
      <c r="AR256"/>
      <c r="AS256"/>
      <c r="AT256"/>
      <c r="AU256"/>
      <c r="AV256"/>
      <c r="AW256"/>
      <c r="AX256"/>
      <c r="AY256"/>
      <c r="AZ256"/>
      <c r="BA256"/>
      <c r="BB256"/>
      <c r="BC256"/>
      <c r="BD256"/>
      <c r="BE256"/>
      <c r="BF256"/>
      <c r="BH256"/>
      <c r="BI256"/>
      <c r="BJ256"/>
      <c r="BK256"/>
      <c r="BL256"/>
      <c r="BM256"/>
      <c r="BN256"/>
      <c r="BP256"/>
      <c r="BQ256"/>
      <c r="BR256"/>
      <c r="BS256"/>
      <c r="BT256"/>
      <c r="BU256"/>
      <c r="BV256"/>
      <c r="BW256"/>
      <c r="BZ256"/>
      <c r="CA256"/>
      <c r="CB256"/>
      <c r="CC256"/>
      <c r="CD256"/>
      <c r="CF256"/>
      <c r="CG256"/>
      <c r="CH256"/>
      <c r="CI256"/>
      <c r="CJ256"/>
      <c r="CK256"/>
      <c r="CL256"/>
      <c r="CM256"/>
      <c r="CN256"/>
      <c r="CO256"/>
      <c r="CP256"/>
      <c r="CQ256"/>
      <c r="CR256"/>
      <c r="CS256"/>
      <c r="CT256"/>
      <c r="CU256"/>
      <c r="CV256"/>
      <c r="CW256"/>
      <c r="CX256"/>
      <c r="CY256"/>
      <c r="CZ256"/>
      <c r="DA256"/>
      <c r="DB256"/>
      <c r="DC256"/>
      <c r="DD256"/>
      <c r="DE256"/>
      <c r="DG256"/>
      <c r="DH256"/>
      <c r="DI256"/>
      <c r="DJ256"/>
      <c r="DK256"/>
      <c r="DL256"/>
      <c r="DM256"/>
      <c r="DN256"/>
      <c r="DO256"/>
      <c r="DP256"/>
      <c r="DQ256"/>
      <c r="DR256"/>
      <c r="DS256"/>
      <c r="DT256"/>
      <c r="DU256"/>
      <c r="DV256"/>
      <c r="DW256"/>
      <c r="DZ256"/>
      <c r="EA256"/>
      <c r="EB256"/>
      <c r="EC256"/>
      <c r="ED256"/>
      <c r="EE256"/>
      <c r="EF256"/>
      <c r="EG256"/>
      <c r="EJ256"/>
      <c r="EK256"/>
      <c r="EL256"/>
      <c r="EM256"/>
      <c r="EN256"/>
      <c r="EO256"/>
      <c r="EP256"/>
      <c r="EQ256"/>
      <c r="ER256"/>
      <c r="ES256"/>
      <c r="ET256"/>
      <c r="EU256"/>
      <c r="EV256"/>
      <c r="EW256"/>
      <c r="EX256"/>
      <c r="EY256"/>
      <c r="EZ256"/>
      <c r="FA256"/>
      <c r="FB256"/>
      <c r="FC256"/>
      <c r="FD256"/>
      <c r="FE256"/>
      <c r="FF256"/>
      <c r="FG256"/>
      <c r="FH256"/>
      <c r="FK256" s="449" t="s">
        <v>6873</v>
      </c>
      <c r="FL256" s="457"/>
      <c r="FM256" s="449"/>
      <c r="FN256" s="452"/>
      <c r="FO256" s="452"/>
      <c r="FP256" s="452"/>
      <c r="FQ256" s="452"/>
      <c r="FR256" s="452"/>
      <c r="FS256" s="452">
        <v>1</v>
      </c>
      <c r="FT256" s="452"/>
      <c r="FU256" s="452"/>
      <c r="FV256" s="452"/>
      <c r="FW256" s="452"/>
      <c r="FX256" s="452"/>
      <c r="FY256" s="452"/>
      <c r="FZ256" s="453"/>
      <c r="GA256"/>
      <c r="GB256"/>
      <c r="GC256"/>
      <c r="GD256"/>
    </row>
    <row r="257" spans="1:186" x14ac:dyDescent="0.15">
      <c r="A257" s="30" t="s">
        <v>144</v>
      </c>
      <c r="AG257"/>
      <c r="AH257"/>
      <c r="AJ257"/>
      <c r="AK257"/>
      <c r="AL257"/>
      <c r="AM257"/>
      <c r="AO257"/>
      <c r="AP257"/>
      <c r="AQ257"/>
      <c r="AR257"/>
      <c r="AS257"/>
      <c r="AT257"/>
      <c r="AU257"/>
      <c r="AV257"/>
      <c r="AW257"/>
      <c r="AX257"/>
      <c r="AY257"/>
      <c r="AZ257"/>
      <c r="BA257"/>
      <c r="BB257"/>
      <c r="BC257"/>
      <c r="BD257"/>
      <c r="BE257"/>
      <c r="BF257"/>
      <c r="BH257"/>
      <c r="BI257"/>
      <c r="BJ257"/>
      <c r="BK257"/>
      <c r="BL257"/>
      <c r="BM257"/>
      <c r="BN257"/>
      <c r="BP257"/>
      <c r="BQ257"/>
      <c r="BR257"/>
      <c r="BS257"/>
      <c r="BT257"/>
      <c r="BU257"/>
      <c r="BV257"/>
      <c r="BW257"/>
      <c r="BZ257"/>
      <c r="CA257"/>
      <c r="CB257"/>
      <c r="CC257"/>
      <c r="CD257"/>
      <c r="CF257"/>
      <c r="CG257"/>
      <c r="CH257"/>
      <c r="CI257"/>
      <c r="CJ257"/>
      <c r="CK257"/>
      <c r="CL257"/>
      <c r="CM257"/>
      <c r="CN257"/>
      <c r="CO257"/>
      <c r="CP257"/>
      <c r="CQ257"/>
      <c r="CR257"/>
      <c r="CS257"/>
      <c r="CT257"/>
      <c r="CU257"/>
      <c r="CV257"/>
      <c r="CW257"/>
      <c r="CX257"/>
      <c r="CY257"/>
      <c r="CZ257"/>
      <c r="DA257"/>
      <c r="DB257"/>
      <c r="DC257"/>
      <c r="DD257"/>
      <c r="DE257"/>
      <c r="DG257"/>
      <c r="DH257"/>
      <c r="DI257"/>
      <c r="DJ257"/>
      <c r="DK257"/>
      <c r="DL257"/>
      <c r="DM257"/>
      <c r="DN257"/>
      <c r="DO257"/>
      <c r="DP257"/>
      <c r="DQ257"/>
      <c r="DR257"/>
      <c r="DS257"/>
      <c r="DT257"/>
      <c r="DU257"/>
      <c r="DV257"/>
      <c r="DW257"/>
      <c r="DZ257"/>
      <c r="EA257"/>
      <c r="EB257"/>
      <c r="EC257"/>
      <c r="ED257"/>
      <c r="EE257"/>
      <c r="EF257"/>
      <c r="EG257"/>
      <c r="EJ257"/>
      <c r="EK257"/>
      <c r="EL257"/>
      <c r="EM257"/>
      <c r="EN257"/>
      <c r="EO257"/>
      <c r="EP257"/>
      <c r="EQ257"/>
      <c r="ER257"/>
      <c r="ES257"/>
      <c r="ET257"/>
      <c r="EU257"/>
      <c r="EV257"/>
      <c r="EW257"/>
      <c r="EX257"/>
      <c r="EY257"/>
      <c r="EZ257"/>
      <c r="FA257"/>
      <c r="FB257"/>
      <c r="FC257"/>
      <c r="FD257"/>
      <c r="FE257"/>
      <c r="FF257"/>
      <c r="FG257"/>
      <c r="FH257"/>
      <c r="FK257" s="449">
        <v>0.754</v>
      </c>
      <c r="FL257" s="449" t="s">
        <v>445</v>
      </c>
      <c r="FM257" s="449">
        <v>1</v>
      </c>
      <c r="FN257" s="452"/>
      <c r="FO257" s="452"/>
      <c r="FP257" s="452"/>
      <c r="FQ257" s="452"/>
      <c r="FR257" s="452"/>
      <c r="FS257" s="452"/>
      <c r="FT257" s="452"/>
      <c r="FU257" s="452"/>
      <c r="FV257" s="452"/>
      <c r="FW257" s="452"/>
      <c r="FX257" s="452"/>
      <c r="FY257" s="452"/>
      <c r="FZ257" s="453"/>
      <c r="GA257"/>
      <c r="GB257"/>
      <c r="GC257"/>
      <c r="GD257"/>
    </row>
    <row r="258" spans="1:186" x14ac:dyDescent="0.15">
      <c r="A258" s="30" t="s">
        <v>143</v>
      </c>
      <c r="AG258"/>
      <c r="AH258"/>
      <c r="AJ258"/>
      <c r="AK258"/>
      <c r="AL258"/>
      <c r="AM258"/>
      <c r="AO258"/>
      <c r="AP258"/>
      <c r="AQ258"/>
      <c r="AR258"/>
      <c r="AS258"/>
      <c r="AT258"/>
      <c r="AU258"/>
      <c r="AV258"/>
      <c r="AW258"/>
      <c r="AX258"/>
      <c r="AY258"/>
      <c r="AZ258"/>
      <c r="BA258"/>
      <c r="BB258"/>
      <c r="BC258"/>
      <c r="BD258"/>
      <c r="BE258"/>
      <c r="BF258"/>
      <c r="BH258"/>
      <c r="BI258"/>
      <c r="BJ258"/>
      <c r="BK258"/>
      <c r="BL258"/>
      <c r="BM258"/>
      <c r="BN258"/>
      <c r="BP258"/>
      <c r="BQ258"/>
      <c r="BR258"/>
      <c r="BS258"/>
      <c r="BT258"/>
      <c r="BU258"/>
      <c r="BV258"/>
      <c r="BW258"/>
      <c r="BZ258"/>
      <c r="CA258"/>
      <c r="CB258"/>
      <c r="CC258"/>
      <c r="CD258"/>
      <c r="CF258"/>
      <c r="CG258"/>
      <c r="CH258"/>
      <c r="CI258"/>
      <c r="CJ258"/>
      <c r="CK258"/>
      <c r="CL258"/>
      <c r="CM258"/>
      <c r="CN258"/>
      <c r="CO258"/>
      <c r="CP258"/>
      <c r="CQ258"/>
      <c r="CR258"/>
      <c r="CS258"/>
      <c r="CT258"/>
      <c r="CU258"/>
      <c r="CV258"/>
      <c r="CW258"/>
      <c r="CX258"/>
      <c r="CY258"/>
      <c r="CZ258"/>
      <c r="DA258"/>
      <c r="DB258"/>
      <c r="DC258"/>
      <c r="DD258"/>
      <c r="DE258"/>
      <c r="DG258"/>
      <c r="DH258"/>
      <c r="DI258"/>
      <c r="DJ258"/>
      <c r="DK258"/>
      <c r="DL258"/>
      <c r="DM258"/>
      <c r="DN258"/>
      <c r="DO258"/>
      <c r="DP258"/>
      <c r="DQ258"/>
      <c r="DR258"/>
      <c r="DS258"/>
      <c r="DT258"/>
      <c r="DU258"/>
      <c r="DV258"/>
      <c r="DW258"/>
      <c r="DZ258"/>
      <c r="EA258"/>
      <c r="EB258"/>
      <c r="EC258"/>
      <c r="ED258"/>
      <c r="EE258"/>
      <c r="EF258"/>
      <c r="EG258"/>
      <c r="EJ258"/>
      <c r="EK258"/>
      <c r="EL258"/>
      <c r="EM258"/>
      <c r="EN258"/>
      <c r="EO258"/>
      <c r="EP258"/>
      <c r="EQ258"/>
      <c r="ER258"/>
      <c r="ES258"/>
      <c r="ET258"/>
      <c r="EU258"/>
      <c r="EV258"/>
      <c r="EW258"/>
      <c r="EX258"/>
      <c r="EY258"/>
      <c r="EZ258"/>
      <c r="FA258"/>
      <c r="FB258"/>
      <c r="FC258"/>
      <c r="FD258"/>
      <c r="FE258"/>
      <c r="FF258"/>
      <c r="FG258"/>
      <c r="FH258"/>
      <c r="FK258" s="449" t="s">
        <v>6874</v>
      </c>
      <c r="FL258" s="457"/>
      <c r="FM258" s="449">
        <v>1</v>
      </c>
      <c r="FN258" s="452"/>
      <c r="FO258" s="452"/>
      <c r="FP258" s="452"/>
      <c r="FQ258" s="452"/>
      <c r="FR258" s="452"/>
      <c r="FS258" s="452"/>
      <c r="FT258" s="452"/>
      <c r="FU258" s="452"/>
      <c r="FV258" s="452"/>
      <c r="FW258" s="452"/>
      <c r="FX258" s="452"/>
      <c r="FY258" s="452"/>
      <c r="FZ258" s="453"/>
      <c r="GA258"/>
      <c r="GB258"/>
      <c r="GC258"/>
      <c r="GD258"/>
    </row>
    <row r="259" spans="1:186" x14ac:dyDescent="0.15">
      <c r="A259" s="30" t="s">
        <v>142</v>
      </c>
      <c r="AG259"/>
      <c r="AH259"/>
      <c r="AJ259"/>
      <c r="AK259"/>
      <c r="AL259"/>
      <c r="AM259"/>
      <c r="AO259"/>
      <c r="AP259"/>
      <c r="AQ259"/>
      <c r="AR259"/>
      <c r="AS259"/>
      <c r="AT259"/>
      <c r="AU259"/>
      <c r="AV259"/>
      <c r="AW259"/>
      <c r="AX259"/>
      <c r="AY259"/>
      <c r="AZ259"/>
      <c r="BA259"/>
      <c r="BB259"/>
      <c r="BC259"/>
      <c r="BD259"/>
      <c r="BE259"/>
      <c r="BF259"/>
      <c r="BH259"/>
      <c r="BI259"/>
      <c r="BJ259"/>
      <c r="BK259"/>
      <c r="BL259"/>
      <c r="BM259"/>
      <c r="BN259"/>
      <c r="BP259"/>
      <c r="BQ259"/>
      <c r="BR259"/>
      <c r="BS259"/>
      <c r="BT259"/>
      <c r="BU259"/>
      <c r="BV259"/>
      <c r="BW259"/>
      <c r="BZ259"/>
      <c r="CA259"/>
      <c r="CB259"/>
      <c r="CC259"/>
      <c r="CD259"/>
      <c r="CF259"/>
      <c r="CG259"/>
      <c r="CH259"/>
      <c r="CI259"/>
      <c r="CJ259"/>
      <c r="CK259"/>
      <c r="CL259"/>
      <c r="CM259"/>
      <c r="CN259"/>
      <c r="CO259"/>
      <c r="CP259"/>
      <c r="CQ259"/>
      <c r="CR259"/>
      <c r="CS259"/>
      <c r="CT259"/>
      <c r="CU259"/>
      <c r="CV259"/>
      <c r="CW259"/>
      <c r="CX259"/>
      <c r="CY259"/>
      <c r="CZ259"/>
      <c r="DA259"/>
      <c r="DB259"/>
      <c r="DC259"/>
      <c r="DD259"/>
      <c r="DE259"/>
      <c r="DG259"/>
      <c r="DH259"/>
      <c r="DI259"/>
      <c r="DJ259"/>
      <c r="DK259"/>
      <c r="DL259"/>
      <c r="DM259"/>
      <c r="DN259"/>
      <c r="DO259"/>
      <c r="DP259"/>
      <c r="DQ259"/>
      <c r="DR259"/>
      <c r="DS259"/>
      <c r="DT259"/>
      <c r="DU259"/>
      <c r="DV259"/>
      <c r="DW259"/>
      <c r="DZ259"/>
      <c r="EA259"/>
      <c r="EB259"/>
      <c r="EC259"/>
      <c r="ED259"/>
      <c r="EE259"/>
      <c r="EF259"/>
      <c r="EG259"/>
      <c r="EJ259"/>
      <c r="EK259"/>
      <c r="EL259"/>
      <c r="EM259"/>
      <c r="EN259"/>
      <c r="EO259"/>
      <c r="EP259"/>
      <c r="EQ259"/>
      <c r="ER259"/>
      <c r="ES259"/>
      <c r="ET259"/>
      <c r="EU259"/>
      <c r="EV259"/>
      <c r="EW259"/>
      <c r="EX259"/>
      <c r="EY259"/>
      <c r="EZ259"/>
      <c r="FA259"/>
      <c r="FB259"/>
      <c r="FC259"/>
      <c r="FD259"/>
      <c r="FE259"/>
      <c r="FF259"/>
      <c r="FG259"/>
      <c r="FH259"/>
      <c r="FK259" s="449">
        <v>6.3869999999999996</v>
      </c>
      <c r="FL259" s="449" t="s">
        <v>411</v>
      </c>
      <c r="FM259" s="449"/>
      <c r="FN259" s="452">
        <v>1</v>
      </c>
      <c r="FO259" s="452"/>
      <c r="FP259" s="452"/>
      <c r="FQ259" s="452"/>
      <c r="FR259" s="452"/>
      <c r="FS259" s="452"/>
      <c r="FT259" s="452"/>
      <c r="FU259" s="452"/>
      <c r="FV259" s="452"/>
      <c r="FW259" s="452"/>
      <c r="FX259" s="452"/>
      <c r="FY259" s="452"/>
      <c r="FZ259" s="453"/>
      <c r="GA259"/>
      <c r="GB259"/>
      <c r="GC259"/>
      <c r="GD259"/>
    </row>
    <row r="260" spans="1:186" x14ac:dyDescent="0.15">
      <c r="A260" s="30" t="s">
        <v>141</v>
      </c>
      <c r="AG260"/>
      <c r="AH260"/>
      <c r="AJ260"/>
      <c r="AK260"/>
      <c r="AL260"/>
      <c r="AM260"/>
      <c r="AO260"/>
      <c r="AP260"/>
      <c r="AQ260"/>
      <c r="AR260"/>
      <c r="AS260"/>
      <c r="AT260"/>
      <c r="AU260"/>
      <c r="AV260"/>
      <c r="AW260"/>
      <c r="AX260"/>
      <c r="AY260"/>
      <c r="AZ260"/>
      <c r="BA260"/>
      <c r="BB260"/>
      <c r="BC260"/>
      <c r="BD260"/>
      <c r="BE260"/>
      <c r="BF260"/>
      <c r="BH260"/>
      <c r="BI260"/>
      <c r="BJ260"/>
      <c r="BK260"/>
      <c r="BL260"/>
      <c r="BM260"/>
      <c r="BN260"/>
      <c r="BP260"/>
      <c r="BQ260"/>
      <c r="BR260"/>
      <c r="BS260"/>
      <c r="BT260"/>
      <c r="BU260"/>
      <c r="BV260"/>
      <c r="BW260"/>
      <c r="BZ260"/>
      <c r="CA260"/>
      <c r="CB260"/>
      <c r="CC260"/>
      <c r="CD260"/>
      <c r="CF260"/>
      <c r="CG260"/>
      <c r="CH260"/>
      <c r="CI260"/>
      <c r="CJ260"/>
      <c r="CK260"/>
      <c r="CL260"/>
      <c r="CM260"/>
      <c r="CN260"/>
      <c r="CO260"/>
      <c r="CP260"/>
      <c r="CQ260"/>
      <c r="CR260"/>
      <c r="CS260"/>
      <c r="CT260"/>
      <c r="CU260"/>
      <c r="CV260"/>
      <c r="CW260"/>
      <c r="CX260"/>
      <c r="CY260"/>
      <c r="CZ260"/>
      <c r="DA260"/>
      <c r="DB260"/>
      <c r="DC260"/>
      <c r="DD260"/>
      <c r="DE260"/>
      <c r="DG260"/>
      <c r="DH260"/>
      <c r="DI260"/>
      <c r="DJ260"/>
      <c r="DK260"/>
      <c r="DL260"/>
      <c r="DM260"/>
      <c r="DN260"/>
      <c r="DO260"/>
      <c r="DP260"/>
      <c r="DQ260"/>
      <c r="DR260"/>
      <c r="DS260"/>
      <c r="DT260"/>
      <c r="DU260"/>
      <c r="DV260"/>
      <c r="DW260"/>
      <c r="DZ260"/>
      <c r="EA260"/>
      <c r="EB260"/>
      <c r="EC260"/>
      <c r="ED260"/>
      <c r="EE260"/>
      <c r="EF260"/>
      <c r="EG260"/>
      <c r="EJ260"/>
      <c r="EK260"/>
      <c r="EL260"/>
      <c r="EM260"/>
      <c r="EN260"/>
      <c r="EO260"/>
      <c r="EP260"/>
      <c r="EQ260"/>
      <c r="ER260"/>
      <c r="ES260"/>
      <c r="ET260"/>
      <c r="EU260"/>
      <c r="EV260"/>
      <c r="EW260"/>
      <c r="EX260"/>
      <c r="EY260"/>
      <c r="EZ260"/>
      <c r="FA260"/>
      <c r="FB260"/>
      <c r="FC260"/>
      <c r="FD260"/>
      <c r="FE260"/>
      <c r="FF260"/>
      <c r="FG260"/>
      <c r="FH260"/>
      <c r="FK260" s="449" t="s">
        <v>6875</v>
      </c>
      <c r="FL260" s="457"/>
      <c r="FM260" s="449"/>
      <c r="FN260" s="452">
        <v>1</v>
      </c>
      <c r="FO260" s="452"/>
      <c r="FP260" s="452"/>
      <c r="FQ260" s="452"/>
      <c r="FR260" s="452"/>
      <c r="FS260" s="452"/>
      <c r="FT260" s="452"/>
      <c r="FU260" s="452"/>
      <c r="FV260" s="452"/>
      <c r="FW260" s="452"/>
      <c r="FX260" s="452"/>
      <c r="FY260" s="452"/>
      <c r="FZ260" s="453"/>
      <c r="GA260"/>
      <c r="GB260"/>
      <c r="GC260"/>
      <c r="GD260"/>
    </row>
    <row r="261" spans="1:186" x14ac:dyDescent="0.15">
      <c r="A261" s="30" t="s">
        <v>140</v>
      </c>
      <c r="AG261"/>
      <c r="AH261"/>
      <c r="AJ261"/>
      <c r="AK261"/>
      <c r="AL261"/>
      <c r="AM261"/>
      <c r="AO261"/>
      <c r="AP261"/>
      <c r="AQ261"/>
      <c r="AR261"/>
      <c r="AS261"/>
      <c r="AT261"/>
      <c r="AU261"/>
      <c r="AV261"/>
      <c r="AW261"/>
      <c r="AX261"/>
      <c r="AY261"/>
      <c r="AZ261"/>
      <c r="BA261"/>
      <c r="BB261"/>
      <c r="BC261"/>
      <c r="BD261"/>
      <c r="BE261"/>
      <c r="BF261"/>
      <c r="BH261"/>
      <c r="BI261"/>
      <c r="BJ261"/>
      <c r="BK261"/>
      <c r="BL261"/>
      <c r="BM261"/>
      <c r="BN261"/>
      <c r="BP261"/>
      <c r="BQ261"/>
      <c r="BR261"/>
      <c r="BS261"/>
      <c r="BT261"/>
      <c r="BU261"/>
      <c r="BV261"/>
      <c r="BW261"/>
      <c r="BZ261"/>
      <c r="CA261"/>
      <c r="CB261"/>
      <c r="CC261"/>
      <c r="CD261"/>
      <c r="CF261"/>
      <c r="CG261"/>
      <c r="CH261"/>
      <c r="CI261"/>
      <c r="CJ261"/>
      <c r="CK261"/>
      <c r="CL261"/>
      <c r="CM261"/>
      <c r="CN261"/>
      <c r="CO261"/>
      <c r="CP261"/>
      <c r="CQ261"/>
      <c r="CR261"/>
      <c r="CS261"/>
      <c r="CT261"/>
      <c r="CU261"/>
      <c r="CV261"/>
      <c r="CW261"/>
      <c r="CX261"/>
      <c r="CY261"/>
      <c r="CZ261"/>
      <c r="DA261"/>
      <c r="DB261"/>
      <c r="DC261"/>
      <c r="DD261"/>
      <c r="DE261"/>
      <c r="DG261"/>
      <c r="DH261"/>
      <c r="DI261"/>
      <c r="DJ261"/>
      <c r="DK261"/>
      <c r="DL261"/>
      <c r="DM261"/>
      <c r="DN261"/>
      <c r="DO261"/>
      <c r="DP261"/>
      <c r="DQ261"/>
      <c r="DR261"/>
      <c r="DS261"/>
      <c r="DT261"/>
      <c r="DU261"/>
      <c r="DV261"/>
      <c r="DW261"/>
      <c r="DZ261"/>
      <c r="EA261"/>
      <c r="EB261"/>
      <c r="EC261"/>
      <c r="ED261"/>
      <c r="EE261"/>
      <c r="EF261"/>
      <c r="EG261"/>
      <c r="EJ261"/>
      <c r="EK261"/>
      <c r="EL261"/>
      <c r="EM261"/>
      <c r="EN261"/>
      <c r="EO261"/>
      <c r="EP261"/>
      <c r="EQ261"/>
      <c r="ER261"/>
      <c r="ES261"/>
      <c r="ET261"/>
      <c r="EU261"/>
      <c r="EV261"/>
      <c r="EW261"/>
      <c r="EX261"/>
      <c r="EY261"/>
      <c r="EZ261"/>
      <c r="FA261"/>
      <c r="FB261"/>
      <c r="FC261"/>
      <c r="FD261"/>
      <c r="FE261"/>
      <c r="FF261"/>
      <c r="FG261"/>
      <c r="FH261"/>
      <c r="FK261" s="449">
        <v>2.762</v>
      </c>
      <c r="FL261" s="449" t="s">
        <v>410</v>
      </c>
      <c r="FM261" s="449"/>
      <c r="FN261" s="452"/>
      <c r="FO261" s="452"/>
      <c r="FP261" s="452"/>
      <c r="FQ261" s="452">
        <v>1</v>
      </c>
      <c r="FR261" s="452"/>
      <c r="FS261" s="452"/>
      <c r="FT261" s="452"/>
      <c r="FU261" s="452"/>
      <c r="FV261" s="452"/>
      <c r="FW261" s="452"/>
      <c r="FX261" s="452"/>
      <c r="FY261" s="452"/>
      <c r="FZ261" s="453"/>
      <c r="GA261"/>
      <c r="GB261"/>
      <c r="GC261"/>
      <c r="GD261"/>
    </row>
    <row r="262" spans="1:186" x14ac:dyDescent="0.15">
      <c r="A262" s="30" t="s">
        <v>139</v>
      </c>
      <c r="AG262"/>
      <c r="AH262"/>
      <c r="AJ262"/>
      <c r="AK262"/>
      <c r="AL262"/>
      <c r="AM262"/>
      <c r="AO262"/>
      <c r="AP262"/>
      <c r="AQ262"/>
      <c r="AR262"/>
      <c r="AS262"/>
      <c r="AT262"/>
      <c r="AU262"/>
      <c r="AV262"/>
      <c r="AW262"/>
      <c r="AX262"/>
      <c r="AY262"/>
      <c r="AZ262"/>
      <c r="BA262"/>
      <c r="BB262"/>
      <c r="BC262"/>
      <c r="BD262"/>
      <c r="BE262"/>
      <c r="BF262"/>
      <c r="BH262"/>
      <c r="BI262"/>
      <c r="BJ262"/>
      <c r="BK262"/>
      <c r="BL262"/>
      <c r="BM262"/>
      <c r="BN262"/>
      <c r="BP262"/>
      <c r="BQ262"/>
      <c r="BR262"/>
      <c r="BS262"/>
      <c r="BT262"/>
      <c r="BU262"/>
      <c r="BV262"/>
      <c r="BW262"/>
      <c r="BZ262"/>
      <c r="CA262"/>
      <c r="CB262"/>
      <c r="CC262"/>
      <c r="CD262"/>
      <c r="CF262"/>
      <c r="CG262"/>
      <c r="CH262"/>
      <c r="CI262"/>
      <c r="CJ262"/>
      <c r="CK262"/>
      <c r="CL262"/>
      <c r="CM262"/>
      <c r="CN262"/>
      <c r="CO262"/>
      <c r="CP262"/>
      <c r="CQ262"/>
      <c r="CR262"/>
      <c r="CS262"/>
      <c r="CT262"/>
      <c r="CU262"/>
      <c r="CV262"/>
      <c r="CW262"/>
      <c r="CX262"/>
      <c r="CY262"/>
      <c r="CZ262"/>
      <c r="DA262"/>
      <c r="DB262"/>
      <c r="DC262"/>
      <c r="DD262"/>
      <c r="DE262"/>
      <c r="DG262"/>
      <c r="DH262"/>
      <c r="DI262"/>
      <c r="DJ262"/>
      <c r="DK262"/>
      <c r="DL262"/>
      <c r="DM262"/>
      <c r="DN262"/>
      <c r="DO262"/>
      <c r="DP262"/>
      <c r="DQ262"/>
      <c r="DR262"/>
      <c r="DS262"/>
      <c r="DT262"/>
      <c r="DU262"/>
      <c r="DV262"/>
      <c r="DW262"/>
      <c r="DZ262"/>
      <c r="EA262"/>
      <c r="EB262"/>
      <c r="EC262"/>
      <c r="ED262"/>
      <c r="EE262"/>
      <c r="EF262"/>
      <c r="EG262"/>
      <c r="EJ262"/>
      <c r="EK262"/>
      <c r="EL262"/>
      <c r="EM262"/>
      <c r="EN262"/>
      <c r="EO262"/>
      <c r="EP262"/>
      <c r="EQ262"/>
      <c r="ER262"/>
      <c r="ES262"/>
      <c r="ET262"/>
      <c r="EU262"/>
      <c r="EV262"/>
      <c r="EW262"/>
      <c r="EX262"/>
      <c r="EY262"/>
      <c r="EZ262"/>
      <c r="FA262"/>
      <c r="FB262"/>
      <c r="FC262"/>
      <c r="FD262"/>
      <c r="FE262"/>
      <c r="FF262"/>
      <c r="FG262"/>
      <c r="FH262"/>
      <c r="FK262" s="449" t="s">
        <v>6876</v>
      </c>
      <c r="FL262" s="457"/>
      <c r="FM262" s="449"/>
      <c r="FN262" s="452"/>
      <c r="FO262" s="452"/>
      <c r="FP262" s="452"/>
      <c r="FQ262" s="452">
        <v>1</v>
      </c>
      <c r="FR262" s="452"/>
      <c r="FS262" s="452"/>
      <c r="FT262" s="452"/>
      <c r="FU262" s="452"/>
      <c r="FV262" s="452"/>
      <c r="FW262" s="452"/>
      <c r="FX262" s="452"/>
      <c r="FY262" s="452"/>
      <c r="FZ262" s="453"/>
      <c r="GA262"/>
      <c r="GB262"/>
      <c r="GC262"/>
      <c r="GD262"/>
    </row>
    <row r="263" spans="1:186" x14ac:dyDescent="0.15">
      <c r="A263" s="30" t="s">
        <v>138</v>
      </c>
      <c r="AG263"/>
      <c r="AH263"/>
      <c r="AJ263"/>
      <c r="AK263"/>
      <c r="AL263"/>
      <c r="AM263"/>
      <c r="AO263"/>
      <c r="AP263"/>
      <c r="AQ263"/>
      <c r="AR263"/>
      <c r="AS263"/>
      <c r="AT263"/>
      <c r="AU263"/>
      <c r="AV263"/>
      <c r="AW263"/>
      <c r="AX263"/>
      <c r="AY263"/>
      <c r="AZ263"/>
      <c r="BA263"/>
      <c r="BB263"/>
      <c r="BC263"/>
      <c r="BD263"/>
      <c r="BE263"/>
      <c r="BF263"/>
      <c r="BH263"/>
      <c r="BI263"/>
      <c r="BJ263"/>
      <c r="BK263"/>
      <c r="BL263"/>
      <c r="BM263"/>
      <c r="BN263"/>
      <c r="BP263"/>
      <c r="BQ263"/>
      <c r="BR263"/>
      <c r="BS263"/>
      <c r="BT263"/>
      <c r="BU263"/>
      <c r="BV263"/>
      <c r="BW263"/>
      <c r="BZ263"/>
      <c r="CA263"/>
      <c r="CB263"/>
      <c r="CC263"/>
      <c r="CD263"/>
      <c r="CF263"/>
      <c r="CG263"/>
      <c r="CH263"/>
      <c r="CI263"/>
      <c r="CJ263"/>
      <c r="CK263"/>
      <c r="CL263"/>
      <c r="CM263"/>
      <c r="CN263"/>
      <c r="CO263"/>
      <c r="CP263"/>
      <c r="CQ263"/>
      <c r="CR263"/>
      <c r="CS263"/>
      <c r="CT263"/>
      <c r="CU263"/>
      <c r="CV263"/>
      <c r="CW263"/>
      <c r="CX263"/>
      <c r="CY263"/>
      <c r="CZ263"/>
      <c r="DA263"/>
      <c r="DB263"/>
      <c r="DC263"/>
      <c r="DD263"/>
      <c r="DE263"/>
      <c r="DG263"/>
      <c r="DH263"/>
      <c r="DI263"/>
      <c r="DJ263"/>
      <c r="DK263"/>
      <c r="DL263"/>
      <c r="DM263"/>
      <c r="DN263"/>
      <c r="DO263"/>
      <c r="DP263"/>
      <c r="DQ263"/>
      <c r="DR263"/>
      <c r="DS263"/>
      <c r="DT263"/>
      <c r="DU263"/>
      <c r="DV263"/>
      <c r="DW263"/>
      <c r="DZ263"/>
      <c r="EA263"/>
      <c r="EB263"/>
      <c r="EC263"/>
      <c r="ED263"/>
      <c r="EE263"/>
      <c r="EF263"/>
      <c r="EG263"/>
      <c r="EJ263"/>
      <c r="EK263"/>
      <c r="EL263"/>
      <c r="EM263"/>
      <c r="EN263"/>
      <c r="EO263"/>
      <c r="EP263"/>
      <c r="EQ263"/>
      <c r="ER263"/>
      <c r="ES263"/>
      <c r="ET263"/>
      <c r="EU263"/>
      <c r="EV263"/>
      <c r="EW263"/>
      <c r="EX263"/>
      <c r="EY263"/>
      <c r="EZ263"/>
      <c r="FA263"/>
      <c r="FB263"/>
      <c r="FC263"/>
      <c r="FD263"/>
      <c r="FE263"/>
      <c r="FF263"/>
      <c r="FG263"/>
      <c r="FH263"/>
      <c r="FK263" s="449">
        <v>6.9809999999999999</v>
      </c>
      <c r="FL263" s="449" t="s">
        <v>445</v>
      </c>
      <c r="FM263" s="449">
        <v>1</v>
      </c>
      <c r="FN263" s="452"/>
      <c r="FO263" s="452"/>
      <c r="FP263" s="452"/>
      <c r="FQ263" s="452"/>
      <c r="FR263" s="452"/>
      <c r="FS263" s="452"/>
      <c r="FT263" s="452"/>
      <c r="FU263" s="452"/>
      <c r="FV263" s="452"/>
      <c r="FW263" s="452"/>
      <c r="FX263" s="452"/>
      <c r="FY263" s="452"/>
      <c r="FZ263" s="453"/>
      <c r="GA263"/>
      <c r="GB263"/>
      <c r="GC263"/>
      <c r="GD263"/>
    </row>
    <row r="264" spans="1:186" x14ac:dyDescent="0.15">
      <c r="A264" s="30" t="s">
        <v>137</v>
      </c>
      <c r="AG264"/>
      <c r="AH264"/>
      <c r="AJ264"/>
      <c r="AK264"/>
      <c r="AL264"/>
      <c r="AM264"/>
      <c r="AO264"/>
      <c r="AP264"/>
      <c r="AQ264"/>
      <c r="AR264"/>
      <c r="AS264"/>
      <c r="AT264"/>
      <c r="AU264"/>
      <c r="AV264"/>
      <c r="AW264"/>
      <c r="AX264"/>
      <c r="AY264"/>
      <c r="AZ264"/>
      <c r="BA264"/>
      <c r="BB264"/>
      <c r="BC264"/>
      <c r="BD264"/>
      <c r="BE264"/>
      <c r="BF264"/>
      <c r="BH264"/>
      <c r="BI264"/>
      <c r="BJ264"/>
      <c r="BK264"/>
      <c r="BL264"/>
      <c r="BM264"/>
      <c r="BN264"/>
      <c r="BP264"/>
      <c r="BQ264"/>
      <c r="BR264"/>
      <c r="BS264"/>
      <c r="BT264"/>
      <c r="BU264"/>
      <c r="BV264"/>
      <c r="BW264"/>
      <c r="BZ264"/>
      <c r="CA264"/>
      <c r="CB264"/>
      <c r="CC264"/>
      <c r="CD264"/>
      <c r="CF264"/>
      <c r="CG264"/>
      <c r="CH264"/>
      <c r="CI264"/>
      <c r="CJ264"/>
      <c r="CK264"/>
      <c r="CL264"/>
      <c r="CM264"/>
      <c r="CN264"/>
      <c r="CO264"/>
      <c r="CP264"/>
      <c r="CQ264"/>
      <c r="CR264"/>
      <c r="CS264"/>
      <c r="CT264"/>
      <c r="CU264"/>
      <c r="CV264"/>
      <c r="CW264"/>
      <c r="CX264"/>
      <c r="CY264"/>
      <c r="CZ264"/>
      <c r="DA264"/>
      <c r="DB264"/>
      <c r="DC264"/>
      <c r="DD264"/>
      <c r="DE264"/>
      <c r="DG264"/>
      <c r="DH264"/>
      <c r="DI264"/>
      <c r="DJ264"/>
      <c r="DK264"/>
      <c r="DL264"/>
      <c r="DM264"/>
      <c r="DN264"/>
      <c r="DO264"/>
      <c r="DP264"/>
      <c r="DQ264"/>
      <c r="DR264"/>
      <c r="DS264"/>
      <c r="DT264"/>
      <c r="DU264"/>
      <c r="DV264"/>
      <c r="DW264"/>
      <c r="DZ264"/>
      <c r="EA264"/>
      <c r="EB264"/>
      <c r="EC264"/>
      <c r="ED264"/>
      <c r="EE264"/>
      <c r="EF264"/>
      <c r="EG264"/>
      <c r="EJ264"/>
      <c r="EK264"/>
      <c r="EL264"/>
      <c r="EM264"/>
      <c r="EN264"/>
      <c r="EO264"/>
      <c r="EP264"/>
      <c r="EQ264"/>
      <c r="ER264"/>
      <c r="ES264"/>
      <c r="ET264"/>
      <c r="EU264"/>
      <c r="EV264"/>
      <c r="EW264"/>
      <c r="EX264"/>
      <c r="EY264"/>
      <c r="EZ264"/>
      <c r="FA264"/>
      <c r="FB264"/>
      <c r="FC264"/>
      <c r="FD264"/>
      <c r="FE264"/>
      <c r="FF264"/>
      <c r="FG264"/>
      <c r="FH264"/>
      <c r="FK264" s="449" t="s">
        <v>6877</v>
      </c>
      <c r="FL264" s="457"/>
      <c r="FM264" s="449">
        <v>1</v>
      </c>
      <c r="FN264" s="452"/>
      <c r="FO264" s="452"/>
      <c r="FP264" s="452"/>
      <c r="FQ264" s="452"/>
      <c r="FR264" s="452"/>
      <c r="FS264" s="452"/>
      <c r="FT264" s="452"/>
      <c r="FU264" s="452"/>
      <c r="FV264" s="452"/>
      <c r="FW264" s="452"/>
      <c r="FX264" s="452"/>
      <c r="FY264" s="452"/>
      <c r="FZ264" s="453"/>
      <c r="GA264"/>
      <c r="GB264"/>
      <c r="GC264"/>
      <c r="GD264"/>
    </row>
    <row r="265" spans="1:186" x14ac:dyDescent="0.15">
      <c r="AG265"/>
      <c r="AH265"/>
      <c r="AJ265"/>
      <c r="AK265"/>
      <c r="AL265"/>
      <c r="AM265"/>
      <c r="AO265"/>
      <c r="AP265"/>
      <c r="AQ265"/>
      <c r="AR265"/>
      <c r="AS265"/>
      <c r="AT265"/>
      <c r="AU265"/>
      <c r="AV265"/>
      <c r="AW265"/>
      <c r="AX265"/>
      <c r="AY265"/>
      <c r="AZ265"/>
      <c r="BA265"/>
      <c r="BB265"/>
      <c r="BC265"/>
      <c r="BD265"/>
      <c r="BE265"/>
      <c r="BF265"/>
      <c r="BH265"/>
      <c r="BI265"/>
      <c r="BJ265"/>
      <c r="BK265"/>
      <c r="BL265"/>
      <c r="BM265"/>
      <c r="BN265"/>
      <c r="BP265"/>
      <c r="BQ265"/>
      <c r="BR265"/>
      <c r="BS265"/>
      <c r="BT265"/>
      <c r="BU265"/>
      <c r="BV265"/>
      <c r="BW265"/>
      <c r="BZ265"/>
      <c r="CA265"/>
      <c r="CB265"/>
      <c r="CC265"/>
      <c r="CD265"/>
      <c r="CF265"/>
      <c r="CG265"/>
      <c r="CH265"/>
      <c r="CI265"/>
      <c r="CJ265"/>
      <c r="CK265"/>
      <c r="CL265"/>
      <c r="CM265"/>
      <c r="CN265"/>
      <c r="CO265"/>
      <c r="CP265"/>
      <c r="CQ265"/>
      <c r="CR265"/>
      <c r="CS265"/>
      <c r="CT265"/>
      <c r="CU265"/>
      <c r="CV265"/>
      <c r="CW265"/>
      <c r="CX265"/>
      <c r="CY265"/>
      <c r="CZ265"/>
      <c r="DA265"/>
      <c r="DB265"/>
      <c r="DC265"/>
      <c r="DD265"/>
      <c r="DE265"/>
      <c r="DG265"/>
      <c r="DH265"/>
      <c r="DI265"/>
      <c r="DJ265"/>
      <c r="DK265"/>
      <c r="DL265"/>
      <c r="DM265"/>
      <c r="DN265"/>
      <c r="DO265"/>
      <c r="DP265"/>
      <c r="DQ265"/>
      <c r="DR265"/>
      <c r="DS265"/>
      <c r="DT265"/>
      <c r="DU265"/>
      <c r="DV265"/>
      <c r="DW265"/>
      <c r="DZ265"/>
      <c r="EA265"/>
      <c r="EB265"/>
      <c r="EC265"/>
      <c r="ED265"/>
      <c r="EE265"/>
      <c r="EF265"/>
      <c r="EG265"/>
      <c r="EJ265"/>
      <c r="EK265"/>
      <c r="EL265"/>
      <c r="EM265"/>
      <c r="EN265"/>
      <c r="EO265"/>
      <c r="EP265"/>
      <c r="EQ265"/>
      <c r="ER265"/>
      <c r="ES265"/>
      <c r="ET265"/>
      <c r="EU265"/>
      <c r="EV265"/>
      <c r="EW265"/>
      <c r="EX265"/>
      <c r="EY265"/>
      <c r="EZ265"/>
      <c r="FA265"/>
      <c r="FB265"/>
      <c r="FC265"/>
      <c r="FD265"/>
      <c r="FE265"/>
      <c r="FF265"/>
      <c r="FG265"/>
      <c r="FH265"/>
      <c r="FK265" s="449">
        <v>10.88</v>
      </c>
      <c r="FL265" s="449" t="s">
        <v>445</v>
      </c>
      <c r="FM265" s="449">
        <v>1</v>
      </c>
      <c r="FN265" s="452"/>
      <c r="FO265" s="452"/>
      <c r="FP265" s="452"/>
      <c r="FQ265" s="452"/>
      <c r="FR265" s="452"/>
      <c r="FS265" s="452"/>
      <c r="FT265" s="452"/>
      <c r="FU265" s="452"/>
      <c r="FV265" s="452"/>
      <c r="FW265" s="452"/>
      <c r="FX265" s="452"/>
      <c r="FY265" s="452"/>
      <c r="FZ265" s="453"/>
      <c r="GA265"/>
      <c r="GB265"/>
      <c r="GC265"/>
      <c r="GD265"/>
    </row>
    <row r="266" spans="1:186" x14ac:dyDescent="0.15">
      <c r="AG266"/>
      <c r="AH266"/>
      <c r="AJ266"/>
      <c r="AK266"/>
      <c r="AL266"/>
      <c r="AM266"/>
      <c r="AO266"/>
      <c r="AP266"/>
      <c r="AQ266"/>
      <c r="AR266"/>
      <c r="AS266"/>
      <c r="AT266"/>
      <c r="AU266"/>
      <c r="AV266"/>
      <c r="AW266"/>
      <c r="AX266"/>
      <c r="AY266"/>
      <c r="AZ266"/>
      <c r="BA266"/>
      <c r="BB266"/>
      <c r="BC266"/>
      <c r="BD266"/>
      <c r="BE266"/>
      <c r="BF266"/>
      <c r="BH266"/>
      <c r="BI266"/>
      <c r="BJ266"/>
      <c r="BK266"/>
      <c r="BL266"/>
      <c r="BM266"/>
      <c r="BN266"/>
      <c r="BP266"/>
      <c r="BQ266"/>
      <c r="BR266"/>
      <c r="BS266"/>
      <c r="BT266"/>
      <c r="BU266"/>
      <c r="BV266"/>
      <c r="BW266"/>
      <c r="BZ266"/>
      <c r="CA266"/>
      <c r="CB266"/>
      <c r="CC266"/>
      <c r="CD266"/>
      <c r="CF266"/>
      <c r="CG266"/>
      <c r="CH266"/>
      <c r="CI266"/>
      <c r="CJ266"/>
      <c r="CK266"/>
      <c r="CL266"/>
      <c r="CM266"/>
      <c r="CN266"/>
      <c r="CO266"/>
      <c r="CP266"/>
      <c r="CQ266"/>
      <c r="CR266"/>
      <c r="CS266"/>
      <c r="CT266"/>
      <c r="CU266"/>
      <c r="CV266"/>
      <c r="CW266"/>
      <c r="CX266"/>
      <c r="CY266"/>
      <c r="CZ266"/>
      <c r="DA266"/>
      <c r="DB266"/>
      <c r="DC266"/>
      <c r="DD266"/>
      <c r="DE266"/>
      <c r="DG266"/>
      <c r="DH266"/>
      <c r="DI266"/>
      <c r="DJ266"/>
      <c r="DK266"/>
      <c r="DL266"/>
      <c r="DM266"/>
      <c r="DN266"/>
      <c r="DO266"/>
      <c r="DP266"/>
      <c r="DQ266"/>
      <c r="DR266"/>
      <c r="DS266"/>
      <c r="DT266"/>
      <c r="DU266"/>
      <c r="DV266"/>
      <c r="DW266"/>
      <c r="DZ266"/>
      <c r="EA266"/>
      <c r="EB266"/>
      <c r="EC266"/>
      <c r="ED266"/>
      <c r="EE266"/>
      <c r="EF266"/>
      <c r="EG266"/>
      <c r="EJ266"/>
      <c r="EK266"/>
      <c r="EL266"/>
      <c r="EM266"/>
      <c r="EN266"/>
      <c r="EO266"/>
      <c r="EP266"/>
      <c r="EQ266"/>
      <c r="ER266"/>
      <c r="ES266"/>
      <c r="ET266"/>
      <c r="EU266"/>
      <c r="EV266"/>
      <c r="EW266"/>
      <c r="EX266"/>
      <c r="EY266"/>
      <c r="EZ266"/>
      <c r="FA266"/>
      <c r="FB266"/>
      <c r="FC266"/>
      <c r="FD266"/>
      <c r="FE266"/>
      <c r="FF266"/>
      <c r="FG266"/>
      <c r="FH266"/>
      <c r="FK266" s="449" t="s">
        <v>6878</v>
      </c>
      <c r="FL266" s="457"/>
      <c r="FM266" s="449">
        <v>1</v>
      </c>
      <c r="FN266" s="452"/>
      <c r="FO266" s="452"/>
      <c r="FP266" s="452"/>
      <c r="FQ266" s="452"/>
      <c r="FR266" s="452"/>
      <c r="FS266" s="452"/>
      <c r="FT266" s="452"/>
      <c r="FU266" s="452"/>
      <c r="FV266" s="452"/>
      <c r="FW266" s="452"/>
      <c r="FX266" s="452"/>
      <c r="FY266" s="452"/>
      <c r="FZ266" s="453"/>
      <c r="GA266"/>
      <c r="GB266"/>
      <c r="GC266"/>
      <c r="GD266"/>
    </row>
    <row r="267" spans="1:186" x14ac:dyDescent="0.15">
      <c r="AG267"/>
      <c r="AH267"/>
      <c r="AJ267"/>
      <c r="AK267"/>
      <c r="AL267"/>
      <c r="AM267"/>
      <c r="AO267"/>
      <c r="AP267"/>
      <c r="AQ267"/>
      <c r="AR267"/>
      <c r="AS267"/>
      <c r="AT267"/>
      <c r="AU267"/>
      <c r="AV267"/>
      <c r="AW267"/>
      <c r="AX267"/>
      <c r="AY267"/>
      <c r="AZ267"/>
      <c r="BA267"/>
      <c r="BB267"/>
      <c r="BC267"/>
      <c r="BD267"/>
      <c r="BE267"/>
      <c r="BF267"/>
      <c r="BH267"/>
      <c r="BI267"/>
      <c r="BJ267"/>
      <c r="BK267"/>
      <c r="BL267"/>
      <c r="BM267"/>
      <c r="BN267"/>
      <c r="BP267"/>
      <c r="BQ267"/>
      <c r="BR267"/>
      <c r="BS267"/>
      <c r="BT267"/>
      <c r="BU267"/>
      <c r="BV267"/>
      <c r="BW267"/>
      <c r="BZ267"/>
      <c r="CA267"/>
      <c r="CB267"/>
      <c r="CC267"/>
      <c r="CD267"/>
      <c r="CF267"/>
      <c r="CG267"/>
      <c r="CH267"/>
      <c r="CI267"/>
      <c r="CJ267"/>
      <c r="CK267"/>
      <c r="CL267"/>
      <c r="CM267"/>
      <c r="CN267"/>
      <c r="CO267"/>
      <c r="CP267"/>
      <c r="CQ267"/>
      <c r="CR267"/>
      <c r="CS267"/>
      <c r="CT267"/>
      <c r="CU267"/>
      <c r="CV267"/>
      <c r="CW267"/>
      <c r="CX267"/>
      <c r="CY267"/>
      <c r="CZ267"/>
      <c r="DA267"/>
      <c r="DB267"/>
      <c r="DC267"/>
      <c r="DD267"/>
      <c r="DE267"/>
      <c r="DG267"/>
      <c r="DH267"/>
      <c r="DI267"/>
      <c r="DJ267"/>
      <c r="DK267"/>
      <c r="DL267"/>
      <c r="DM267"/>
      <c r="DN267"/>
      <c r="DO267"/>
      <c r="DP267"/>
      <c r="DQ267"/>
      <c r="DR267"/>
      <c r="DS267"/>
      <c r="DT267"/>
      <c r="DU267"/>
      <c r="DV267"/>
      <c r="DW267"/>
      <c r="DZ267"/>
      <c r="EA267"/>
      <c r="EB267"/>
      <c r="EC267"/>
      <c r="ED267"/>
      <c r="EE267"/>
      <c r="EF267"/>
      <c r="EG267"/>
      <c r="EJ267"/>
      <c r="EK267"/>
      <c r="EL267"/>
      <c r="EM267"/>
      <c r="EN267"/>
      <c r="EO267"/>
      <c r="EP267"/>
      <c r="EQ267"/>
      <c r="ER267"/>
      <c r="ES267"/>
      <c r="ET267"/>
      <c r="EU267"/>
      <c r="EV267"/>
      <c r="EW267"/>
      <c r="EX267"/>
      <c r="EY267"/>
      <c r="EZ267"/>
      <c r="FA267"/>
      <c r="FB267"/>
      <c r="FC267"/>
      <c r="FD267"/>
      <c r="FE267"/>
      <c r="FF267"/>
      <c r="FG267"/>
      <c r="FH267"/>
      <c r="FK267" s="449">
        <v>17.399999999999999</v>
      </c>
      <c r="FL267" s="449" t="s">
        <v>396</v>
      </c>
      <c r="FM267" s="449"/>
      <c r="FN267" s="452"/>
      <c r="FO267" s="452">
        <v>1</v>
      </c>
      <c r="FP267" s="452"/>
      <c r="FQ267" s="452"/>
      <c r="FR267" s="452"/>
      <c r="FS267" s="452"/>
      <c r="FT267" s="452"/>
      <c r="FU267" s="452"/>
      <c r="FV267" s="452"/>
      <c r="FW267" s="452"/>
      <c r="FX267" s="452"/>
      <c r="FY267" s="452"/>
      <c r="FZ267" s="453"/>
      <c r="GA267"/>
      <c r="GB267"/>
      <c r="GC267"/>
      <c r="GD267"/>
    </row>
    <row r="268" spans="1:186" x14ac:dyDescent="0.15">
      <c r="AG268"/>
      <c r="AH268"/>
      <c r="AJ268"/>
      <c r="AK268"/>
      <c r="AL268"/>
      <c r="AM268"/>
      <c r="AO268"/>
      <c r="AP268"/>
      <c r="AQ268"/>
      <c r="AR268"/>
      <c r="AS268"/>
      <c r="AT268"/>
      <c r="AU268"/>
      <c r="AV268"/>
      <c r="AW268"/>
      <c r="AX268"/>
      <c r="AY268"/>
      <c r="AZ268"/>
      <c r="BA268"/>
      <c r="BB268"/>
      <c r="BC268"/>
      <c r="BD268"/>
      <c r="BE268"/>
      <c r="BF268"/>
      <c r="BH268"/>
      <c r="BI268"/>
      <c r="BJ268"/>
      <c r="BK268"/>
      <c r="BL268"/>
      <c r="BM268"/>
      <c r="BN268"/>
      <c r="BP268"/>
      <c r="BQ268"/>
      <c r="BR268"/>
      <c r="BS268"/>
      <c r="BT268"/>
      <c r="BU268"/>
      <c r="BV268"/>
      <c r="BW268"/>
      <c r="BZ268"/>
      <c r="CA268"/>
      <c r="CB268"/>
      <c r="CC268"/>
      <c r="CD268"/>
      <c r="CF268"/>
      <c r="CG268"/>
      <c r="CH268"/>
      <c r="CI268"/>
      <c r="CJ268"/>
      <c r="CK268"/>
      <c r="CL268"/>
      <c r="CM268"/>
      <c r="CN268"/>
      <c r="CO268"/>
      <c r="CP268"/>
      <c r="CQ268"/>
      <c r="CR268"/>
      <c r="CS268"/>
      <c r="CT268"/>
      <c r="CU268"/>
      <c r="CV268"/>
      <c r="CW268"/>
      <c r="CX268"/>
      <c r="CY268"/>
      <c r="CZ268"/>
      <c r="DA268"/>
      <c r="DB268"/>
      <c r="DC268"/>
      <c r="DD268"/>
      <c r="DE268"/>
      <c r="DG268"/>
      <c r="DH268"/>
      <c r="DI268"/>
      <c r="DJ268"/>
      <c r="DK268"/>
      <c r="DL268"/>
      <c r="DM268"/>
      <c r="DN268"/>
      <c r="DO268"/>
      <c r="DP268"/>
      <c r="DQ268"/>
      <c r="DR268"/>
      <c r="DS268"/>
      <c r="DT268"/>
      <c r="DU268"/>
      <c r="DV268"/>
      <c r="DW268"/>
      <c r="DZ268"/>
      <c r="EA268"/>
      <c r="EB268"/>
      <c r="EC268"/>
      <c r="ED268"/>
      <c r="EE268"/>
      <c r="EF268"/>
      <c r="EG268"/>
      <c r="EJ268"/>
      <c r="EK268"/>
      <c r="EL268"/>
      <c r="EM268"/>
      <c r="EN268"/>
      <c r="EO268"/>
      <c r="EP268"/>
      <c r="EQ268"/>
      <c r="ER268"/>
      <c r="ES268"/>
      <c r="ET268"/>
      <c r="EU268"/>
      <c r="EV268"/>
      <c r="EW268"/>
      <c r="EX268"/>
      <c r="EY268"/>
      <c r="EZ268"/>
      <c r="FA268"/>
      <c r="FB268"/>
      <c r="FC268"/>
      <c r="FD268"/>
      <c r="FE268"/>
      <c r="FF268"/>
      <c r="FG268"/>
      <c r="FH268"/>
      <c r="FK268" s="449" t="s">
        <v>6879</v>
      </c>
      <c r="FL268" s="457"/>
      <c r="FM268" s="449"/>
      <c r="FN268" s="452"/>
      <c r="FO268" s="452">
        <v>1</v>
      </c>
      <c r="FP268" s="452"/>
      <c r="FQ268" s="452"/>
      <c r="FR268" s="452"/>
      <c r="FS268" s="452"/>
      <c r="FT268" s="452"/>
      <c r="FU268" s="452"/>
      <c r="FV268" s="452"/>
      <c r="FW268" s="452"/>
      <c r="FX268" s="452"/>
      <c r="FY268" s="452"/>
      <c r="FZ268" s="453"/>
      <c r="GA268"/>
      <c r="GB268"/>
      <c r="GC268"/>
      <c r="GD268"/>
    </row>
    <row r="269" spans="1:186" x14ac:dyDescent="0.15">
      <c r="AG269"/>
      <c r="AH269"/>
      <c r="AJ269"/>
      <c r="AK269"/>
      <c r="AL269"/>
      <c r="AM269"/>
      <c r="AO269"/>
      <c r="AP269"/>
      <c r="AQ269"/>
      <c r="AR269"/>
      <c r="AS269"/>
      <c r="AT269"/>
      <c r="AU269"/>
      <c r="AV269"/>
      <c r="AW269"/>
      <c r="AX269"/>
      <c r="AY269"/>
      <c r="AZ269"/>
      <c r="BA269"/>
      <c r="BB269"/>
      <c r="BC269"/>
      <c r="BD269"/>
      <c r="BE269"/>
      <c r="BF269"/>
      <c r="BH269"/>
      <c r="BI269"/>
      <c r="BJ269"/>
      <c r="BK269"/>
      <c r="BL269"/>
      <c r="BM269"/>
      <c r="BN269"/>
      <c r="BP269"/>
      <c r="BQ269"/>
      <c r="BR269"/>
      <c r="BS269"/>
      <c r="BT269"/>
      <c r="BU269"/>
      <c r="BV269"/>
      <c r="BW269"/>
      <c r="BZ269"/>
      <c r="CA269"/>
      <c r="CB269"/>
      <c r="CC269"/>
      <c r="CD269"/>
      <c r="CF269"/>
      <c r="CG269"/>
      <c r="CH269"/>
      <c r="CI269"/>
      <c r="CJ269"/>
      <c r="CK269"/>
      <c r="CL269"/>
      <c r="CM269"/>
      <c r="CN269"/>
      <c r="CO269"/>
      <c r="CP269"/>
      <c r="CQ269"/>
      <c r="CR269"/>
      <c r="CS269"/>
      <c r="CT269"/>
      <c r="CU269"/>
      <c r="CV269"/>
      <c r="CW269"/>
      <c r="CX269"/>
      <c r="CY269"/>
      <c r="CZ269"/>
      <c r="DA269"/>
      <c r="DB269"/>
      <c r="DC269"/>
      <c r="DD269"/>
      <c r="DE269"/>
      <c r="DG269"/>
      <c r="DH269"/>
      <c r="DI269"/>
      <c r="DJ269"/>
      <c r="DK269"/>
      <c r="DL269"/>
      <c r="DM269"/>
      <c r="DN269"/>
      <c r="DO269"/>
      <c r="DP269"/>
      <c r="DQ269"/>
      <c r="DR269"/>
      <c r="DS269"/>
      <c r="DT269"/>
      <c r="DU269"/>
      <c r="DV269"/>
      <c r="DW269"/>
      <c r="DZ269"/>
      <c r="EA269"/>
      <c r="EB269"/>
      <c r="EC269"/>
      <c r="ED269"/>
      <c r="EE269"/>
      <c r="EF269"/>
      <c r="EG269"/>
      <c r="EJ269"/>
      <c r="EK269"/>
      <c r="EL269"/>
      <c r="EM269"/>
      <c r="EN269"/>
      <c r="EO269"/>
      <c r="EP269"/>
      <c r="EQ269"/>
      <c r="ER269"/>
      <c r="ES269"/>
      <c r="ET269"/>
      <c r="EU269"/>
      <c r="EV269"/>
      <c r="EW269"/>
      <c r="EX269"/>
      <c r="EY269"/>
      <c r="EZ269"/>
      <c r="FA269"/>
      <c r="FB269"/>
      <c r="FC269"/>
      <c r="FD269"/>
      <c r="FE269"/>
      <c r="FF269"/>
      <c r="FG269"/>
      <c r="FH269"/>
      <c r="FK269" s="449">
        <v>0.99299999999999999</v>
      </c>
      <c r="FL269" s="449" t="s">
        <v>396</v>
      </c>
      <c r="FM269" s="449"/>
      <c r="FN269" s="452"/>
      <c r="FO269" s="452">
        <v>1</v>
      </c>
      <c r="FP269" s="452"/>
      <c r="FQ269" s="452"/>
      <c r="FR269" s="452"/>
      <c r="FS269" s="452"/>
      <c r="FT269" s="452"/>
      <c r="FU269" s="452"/>
      <c r="FV269" s="452"/>
      <c r="FW269" s="452"/>
      <c r="FX269" s="452"/>
      <c r="FY269" s="452"/>
      <c r="FZ269" s="453"/>
      <c r="GA269"/>
      <c r="GB269"/>
      <c r="GC269"/>
      <c r="GD269"/>
    </row>
    <row r="270" spans="1:186" x14ac:dyDescent="0.15">
      <c r="AG270"/>
      <c r="AH270"/>
      <c r="AJ270"/>
      <c r="AK270"/>
      <c r="AL270"/>
      <c r="AM270"/>
      <c r="AO270"/>
      <c r="AP270"/>
      <c r="AQ270"/>
      <c r="AR270"/>
      <c r="AS270"/>
      <c r="AT270"/>
      <c r="AU270"/>
      <c r="AV270"/>
      <c r="AW270"/>
      <c r="AX270"/>
      <c r="AY270"/>
      <c r="AZ270"/>
      <c r="BA270"/>
      <c r="BB270"/>
      <c r="BC270"/>
      <c r="BD270"/>
      <c r="BE270"/>
      <c r="BF270"/>
      <c r="BH270"/>
      <c r="BI270"/>
      <c r="BJ270"/>
      <c r="BK270"/>
      <c r="BL270"/>
      <c r="BM270"/>
      <c r="BN270"/>
      <c r="BP270"/>
      <c r="BQ270"/>
      <c r="BR270"/>
      <c r="BS270"/>
      <c r="BT270"/>
      <c r="BU270"/>
      <c r="BV270"/>
      <c r="BW270"/>
      <c r="BZ270"/>
      <c r="CA270"/>
      <c r="CB270"/>
      <c r="CC270"/>
      <c r="CD270"/>
      <c r="CF270"/>
      <c r="CG270"/>
      <c r="CH270"/>
      <c r="CI270"/>
      <c r="CJ270"/>
      <c r="CK270"/>
      <c r="CL270"/>
      <c r="CM270"/>
      <c r="CN270"/>
      <c r="CO270"/>
      <c r="CP270"/>
      <c r="CQ270"/>
      <c r="CR270"/>
      <c r="CS270"/>
      <c r="CT270"/>
      <c r="CU270"/>
      <c r="CV270"/>
      <c r="CW270"/>
      <c r="CX270"/>
      <c r="CY270"/>
      <c r="CZ270"/>
      <c r="DA270"/>
      <c r="DB270"/>
      <c r="DC270"/>
      <c r="DD270"/>
      <c r="DE270"/>
      <c r="DG270"/>
      <c r="DH270"/>
      <c r="DI270"/>
      <c r="DJ270"/>
      <c r="DK270"/>
      <c r="DL270"/>
      <c r="DM270"/>
      <c r="DN270"/>
      <c r="DO270"/>
      <c r="DP270"/>
      <c r="DQ270"/>
      <c r="DR270"/>
      <c r="DS270"/>
      <c r="DT270"/>
      <c r="DU270"/>
      <c r="DV270"/>
      <c r="DW270"/>
      <c r="DZ270"/>
      <c r="EA270"/>
      <c r="EB270"/>
      <c r="EC270"/>
      <c r="ED270"/>
      <c r="EE270"/>
      <c r="EF270"/>
      <c r="EG270"/>
      <c r="EJ270"/>
      <c r="EK270"/>
      <c r="EL270"/>
      <c r="EM270"/>
      <c r="EN270"/>
      <c r="EO270"/>
      <c r="EP270"/>
      <c r="EQ270"/>
      <c r="ER270"/>
      <c r="ES270"/>
      <c r="ET270"/>
      <c r="EU270"/>
      <c r="EV270"/>
      <c r="EW270"/>
      <c r="EX270"/>
      <c r="EY270"/>
      <c r="EZ270"/>
      <c r="FA270"/>
      <c r="FB270"/>
      <c r="FC270"/>
      <c r="FD270"/>
      <c r="FE270"/>
      <c r="FF270"/>
      <c r="FG270"/>
      <c r="FH270"/>
      <c r="FK270" s="449" t="s">
        <v>6880</v>
      </c>
      <c r="FL270" s="457"/>
      <c r="FM270" s="449"/>
      <c r="FN270" s="452"/>
      <c r="FO270" s="452">
        <v>1</v>
      </c>
      <c r="FP270" s="452"/>
      <c r="FQ270" s="452"/>
      <c r="FR270" s="452"/>
      <c r="FS270" s="452"/>
      <c r="FT270" s="452"/>
      <c r="FU270" s="452"/>
      <c r="FV270" s="452"/>
      <c r="FW270" s="452"/>
      <c r="FX270" s="452"/>
      <c r="FY270" s="452"/>
      <c r="FZ270" s="453"/>
      <c r="GA270"/>
      <c r="GB270"/>
      <c r="GC270"/>
      <c r="GD270"/>
    </row>
    <row r="271" spans="1:186" x14ac:dyDescent="0.15">
      <c r="AG271"/>
      <c r="AH271"/>
      <c r="AJ271"/>
      <c r="AK271"/>
      <c r="AL271"/>
      <c r="AM271"/>
      <c r="AO271"/>
      <c r="AP271"/>
      <c r="AQ271"/>
      <c r="AR271"/>
      <c r="AS271"/>
      <c r="AT271"/>
      <c r="AU271"/>
      <c r="AV271"/>
      <c r="AW271"/>
      <c r="AX271"/>
      <c r="AY271"/>
      <c r="AZ271"/>
      <c r="BA271"/>
      <c r="BB271"/>
      <c r="BC271"/>
      <c r="BD271"/>
      <c r="BE271"/>
      <c r="BF271"/>
      <c r="BH271"/>
      <c r="BI271"/>
      <c r="BJ271"/>
      <c r="BK271"/>
      <c r="BL271"/>
      <c r="BM271"/>
      <c r="BN271"/>
      <c r="BP271"/>
      <c r="BQ271"/>
      <c r="BR271"/>
      <c r="BS271"/>
      <c r="BT271"/>
      <c r="BU271"/>
      <c r="BV271"/>
      <c r="BW271"/>
      <c r="BZ271"/>
      <c r="CA271"/>
      <c r="CB271"/>
      <c r="CC271"/>
      <c r="CD271"/>
      <c r="CF271"/>
      <c r="CG271"/>
      <c r="CH271"/>
      <c r="CI271"/>
      <c r="CJ271"/>
      <c r="CK271"/>
      <c r="CL271"/>
      <c r="CM271"/>
      <c r="CN271"/>
      <c r="CO271"/>
      <c r="CP271"/>
      <c r="CQ271"/>
      <c r="CR271"/>
      <c r="CS271"/>
      <c r="CT271"/>
      <c r="CU271"/>
      <c r="CV271"/>
      <c r="CW271"/>
      <c r="CX271"/>
      <c r="CY271"/>
      <c r="CZ271"/>
      <c r="DA271"/>
      <c r="DB271"/>
      <c r="DC271"/>
      <c r="DD271"/>
      <c r="DE271"/>
      <c r="DG271"/>
      <c r="DH271"/>
      <c r="DI271"/>
      <c r="DJ271"/>
      <c r="DK271"/>
      <c r="DL271"/>
      <c r="DM271"/>
      <c r="DN271"/>
      <c r="DO271"/>
      <c r="DP271"/>
      <c r="DQ271"/>
      <c r="DR271"/>
      <c r="DS271"/>
      <c r="DT271"/>
      <c r="DU271"/>
      <c r="DV271"/>
      <c r="DW271"/>
      <c r="DZ271"/>
      <c r="EA271"/>
      <c r="EB271"/>
      <c r="EC271"/>
      <c r="ED271"/>
      <c r="EE271"/>
      <c r="EF271"/>
      <c r="EG271"/>
      <c r="EJ271"/>
      <c r="EK271"/>
      <c r="EL271"/>
      <c r="EM271"/>
      <c r="EN271"/>
      <c r="EO271"/>
      <c r="EP271"/>
      <c r="EQ271"/>
      <c r="ER271"/>
      <c r="ES271"/>
      <c r="ET271"/>
      <c r="EU271"/>
      <c r="EV271"/>
      <c r="EW271"/>
      <c r="EX271"/>
      <c r="EY271"/>
      <c r="EZ271"/>
      <c r="FA271"/>
      <c r="FB271"/>
      <c r="FC271"/>
      <c r="FD271"/>
      <c r="FE271"/>
      <c r="FF271"/>
      <c r="FG271"/>
      <c r="FH271"/>
      <c r="FK271" s="449">
        <v>8.0180000000000007</v>
      </c>
      <c r="FL271" s="449" t="s">
        <v>406</v>
      </c>
      <c r="FM271" s="449">
        <v>1</v>
      </c>
      <c r="FN271" s="452"/>
      <c r="FO271" s="452"/>
      <c r="FP271" s="452"/>
      <c r="FQ271" s="452"/>
      <c r="FR271" s="452"/>
      <c r="FS271" s="452"/>
      <c r="FT271" s="452"/>
      <c r="FU271" s="452"/>
      <c r="FV271" s="452"/>
      <c r="FW271" s="452"/>
      <c r="FX271" s="452"/>
      <c r="FY271" s="452"/>
      <c r="FZ271" s="453"/>
      <c r="GA271"/>
      <c r="GB271"/>
      <c r="GC271"/>
      <c r="GD271"/>
    </row>
    <row r="272" spans="1:186" x14ac:dyDescent="0.15">
      <c r="AG272"/>
      <c r="AH272"/>
      <c r="AJ272"/>
      <c r="AK272"/>
      <c r="AL272"/>
      <c r="AM272"/>
      <c r="AO272"/>
      <c r="AP272"/>
      <c r="AQ272"/>
      <c r="AR272"/>
      <c r="AS272"/>
      <c r="AT272"/>
      <c r="AU272"/>
      <c r="AV272"/>
      <c r="AW272"/>
      <c r="AX272"/>
      <c r="AY272"/>
      <c r="AZ272"/>
      <c r="BA272"/>
      <c r="BB272"/>
      <c r="BC272"/>
      <c r="BD272"/>
      <c r="BE272"/>
      <c r="BF272"/>
      <c r="BH272"/>
      <c r="BI272"/>
      <c r="BJ272"/>
      <c r="BK272"/>
      <c r="BL272"/>
      <c r="BM272"/>
      <c r="BN272"/>
      <c r="BP272"/>
      <c r="BQ272"/>
      <c r="BR272"/>
      <c r="BS272"/>
      <c r="BT272"/>
      <c r="BU272"/>
      <c r="BV272"/>
      <c r="BW272"/>
      <c r="BZ272"/>
      <c r="CA272"/>
      <c r="CB272"/>
      <c r="CC272"/>
      <c r="CD272"/>
      <c r="CF272"/>
      <c r="CG272"/>
      <c r="CH272"/>
      <c r="CI272"/>
      <c r="CJ272"/>
      <c r="CK272"/>
      <c r="CL272"/>
      <c r="CM272"/>
      <c r="CN272"/>
      <c r="CO272"/>
      <c r="CP272"/>
      <c r="CQ272"/>
      <c r="CR272"/>
      <c r="CS272"/>
      <c r="CT272"/>
      <c r="CU272"/>
      <c r="CV272"/>
      <c r="CW272"/>
      <c r="CX272"/>
      <c r="CY272"/>
      <c r="CZ272"/>
      <c r="DA272"/>
      <c r="DB272"/>
      <c r="DC272"/>
      <c r="DD272"/>
      <c r="DE272"/>
      <c r="DG272"/>
      <c r="DH272"/>
      <c r="DI272"/>
      <c r="DJ272"/>
      <c r="DK272"/>
      <c r="DL272"/>
      <c r="DM272"/>
      <c r="DN272"/>
      <c r="DO272"/>
      <c r="DP272"/>
      <c r="DQ272"/>
      <c r="DR272"/>
      <c r="DS272"/>
      <c r="DT272"/>
      <c r="DU272"/>
      <c r="DV272"/>
      <c r="DW272"/>
      <c r="DZ272"/>
      <c r="EA272"/>
      <c r="EB272"/>
      <c r="EC272"/>
      <c r="ED272"/>
      <c r="EE272"/>
      <c r="EF272"/>
      <c r="EG272"/>
      <c r="EJ272"/>
      <c r="EK272"/>
      <c r="EL272"/>
      <c r="EM272"/>
      <c r="EN272"/>
      <c r="EO272"/>
      <c r="EP272"/>
      <c r="EQ272"/>
      <c r="ER272"/>
      <c r="ES272"/>
      <c r="ET272"/>
      <c r="EU272"/>
      <c r="EV272"/>
      <c r="EW272"/>
      <c r="EX272"/>
      <c r="EY272"/>
      <c r="EZ272"/>
      <c r="FA272"/>
      <c r="FB272"/>
      <c r="FC272"/>
      <c r="FD272"/>
      <c r="FE272"/>
      <c r="FF272"/>
      <c r="FG272"/>
      <c r="FH272"/>
      <c r="FK272" s="449" t="s">
        <v>6881</v>
      </c>
      <c r="FL272" s="457"/>
      <c r="FM272" s="449">
        <v>1</v>
      </c>
      <c r="FN272" s="452"/>
      <c r="FO272" s="452"/>
      <c r="FP272" s="452"/>
      <c r="FQ272" s="452"/>
      <c r="FR272" s="452"/>
      <c r="FS272" s="452"/>
      <c r="FT272" s="452"/>
      <c r="FU272" s="452"/>
      <c r="FV272" s="452"/>
      <c r="FW272" s="452"/>
      <c r="FX272" s="452"/>
      <c r="FY272" s="452"/>
      <c r="FZ272" s="453"/>
      <c r="GA272"/>
      <c r="GB272"/>
      <c r="GC272"/>
      <c r="GD272"/>
    </row>
    <row r="273" spans="4:186" x14ac:dyDescent="0.15">
      <c r="AG273"/>
      <c r="AH273"/>
      <c r="AJ273"/>
      <c r="AK273"/>
      <c r="AL273"/>
      <c r="AM273"/>
      <c r="AO273"/>
      <c r="AP273"/>
      <c r="AQ273"/>
      <c r="AR273"/>
      <c r="AS273"/>
      <c r="AT273"/>
      <c r="AU273"/>
      <c r="AV273"/>
      <c r="AW273"/>
      <c r="AX273"/>
      <c r="AY273"/>
      <c r="AZ273"/>
      <c r="BA273"/>
      <c r="BB273"/>
      <c r="BC273"/>
      <c r="BD273"/>
      <c r="BE273"/>
      <c r="BF273"/>
      <c r="BH273"/>
      <c r="BI273"/>
      <c r="BJ273"/>
      <c r="BK273"/>
      <c r="BL273"/>
      <c r="BM273"/>
      <c r="BN273"/>
      <c r="BP273"/>
      <c r="BQ273"/>
      <c r="BR273"/>
      <c r="BS273"/>
      <c r="BT273"/>
      <c r="BU273"/>
      <c r="BV273"/>
      <c r="BW273"/>
      <c r="BZ273"/>
      <c r="CA273"/>
      <c r="CB273"/>
      <c r="CC273"/>
      <c r="CD273"/>
      <c r="CF273"/>
      <c r="CG273"/>
      <c r="CH273"/>
      <c r="CI273"/>
      <c r="CJ273"/>
      <c r="CK273"/>
      <c r="CL273"/>
      <c r="CM273"/>
      <c r="CN273"/>
      <c r="CO273"/>
      <c r="CP273"/>
      <c r="CQ273"/>
      <c r="CR273"/>
      <c r="CS273"/>
      <c r="CT273"/>
      <c r="CU273"/>
      <c r="CV273"/>
      <c r="CW273"/>
      <c r="CX273"/>
      <c r="CY273"/>
      <c r="CZ273"/>
      <c r="DA273"/>
      <c r="DB273"/>
      <c r="DC273"/>
      <c r="DD273"/>
      <c r="DE273"/>
      <c r="DG273"/>
      <c r="DH273"/>
      <c r="DI273"/>
      <c r="DJ273"/>
      <c r="DK273"/>
      <c r="DL273"/>
      <c r="DM273"/>
      <c r="DN273"/>
      <c r="DO273"/>
      <c r="DP273"/>
      <c r="DQ273"/>
      <c r="DR273"/>
      <c r="DS273"/>
      <c r="DT273"/>
      <c r="DU273"/>
      <c r="DV273"/>
      <c r="DW273"/>
      <c r="DZ273"/>
      <c r="EA273"/>
      <c r="EB273"/>
      <c r="EC273"/>
      <c r="ED273"/>
      <c r="EE273"/>
      <c r="EF273"/>
      <c r="EG273"/>
      <c r="EJ273"/>
      <c r="EK273"/>
      <c r="EL273"/>
      <c r="EM273"/>
      <c r="EN273"/>
      <c r="EO273"/>
      <c r="EP273"/>
      <c r="EQ273"/>
      <c r="ER273"/>
      <c r="ES273"/>
      <c r="ET273"/>
      <c r="EU273"/>
      <c r="EV273"/>
      <c r="EW273"/>
      <c r="EX273"/>
      <c r="EY273"/>
      <c r="EZ273"/>
      <c r="FA273"/>
      <c r="FB273"/>
      <c r="FC273"/>
      <c r="FD273"/>
      <c r="FE273"/>
      <c r="FF273"/>
      <c r="FG273"/>
      <c r="FH273"/>
      <c r="FK273" s="449">
        <v>9.98</v>
      </c>
      <c r="FL273" s="449" t="s">
        <v>406</v>
      </c>
      <c r="FM273" s="449"/>
      <c r="FN273" s="452"/>
      <c r="FO273" s="452">
        <v>1</v>
      </c>
      <c r="FP273" s="452"/>
      <c r="FQ273" s="452"/>
      <c r="FR273" s="452"/>
      <c r="FS273" s="452"/>
      <c r="FT273" s="452"/>
      <c r="FU273" s="452"/>
      <c r="FV273" s="452"/>
      <c r="FW273" s="452"/>
      <c r="FX273" s="452"/>
      <c r="FY273" s="452"/>
      <c r="FZ273" s="453"/>
      <c r="GA273"/>
      <c r="GB273"/>
      <c r="GC273"/>
      <c r="GD273"/>
    </row>
    <row r="274" spans="4:186" x14ac:dyDescent="0.15">
      <c r="AG274"/>
      <c r="AH274"/>
      <c r="AJ274"/>
      <c r="AK274"/>
      <c r="AL274"/>
      <c r="AM274"/>
      <c r="AO274"/>
      <c r="AP274"/>
      <c r="AQ274"/>
      <c r="AR274"/>
      <c r="AS274"/>
      <c r="AT274"/>
      <c r="AU274"/>
      <c r="AV274"/>
      <c r="AW274"/>
      <c r="AX274"/>
      <c r="AY274"/>
      <c r="AZ274"/>
      <c r="BA274"/>
      <c r="BB274"/>
      <c r="BC274"/>
      <c r="BD274"/>
      <c r="BE274"/>
      <c r="BF274"/>
      <c r="BH274"/>
      <c r="BI274"/>
      <c r="BJ274"/>
      <c r="BK274"/>
      <c r="BL274"/>
      <c r="BM274"/>
      <c r="BN274"/>
      <c r="BP274"/>
      <c r="BQ274"/>
      <c r="BR274"/>
      <c r="BS274"/>
      <c r="BT274"/>
      <c r="BU274"/>
      <c r="BV274"/>
      <c r="BW274"/>
      <c r="BZ274"/>
      <c r="CA274"/>
      <c r="CB274"/>
      <c r="CC274"/>
      <c r="CD274"/>
      <c r="CF274"/>
      <c r="CG274"/>
      <c r="CH274"/>
      <c r="CI274"/>
      <c r="CJ274"/>
      <c r="CK274"/>
      <c r="CL274"/>
      <c r="CM274"/>
      <c r="CN274"/>
      <c r="CO274"/>
      <c r="CP274"/>
      <c r="CQ274"/>
      <c r="CR274"/>
      <c r="CS274"/>
      <c r="CT274"/>
      <c r="CU274"/>
      <c r="CV274"/>
      <c r="CW274"/>
      <c r="CX274"/>
      <c r="CY274"/>
      <c r="CZ274"/>
      <c r="DA274"/>
      <c r="DB274"/>
      <c r="DC274"/>
      <c r="DD274"/>
      <c r="DE274"/>
      <c r="DG274"/>
      <c r="DH274"/>
      <c r="DI274"/>
      <c r="DJ274"/>
      <c r="DK274"/>
      <c r="DL274"/>
      <c r="DM274"/>
      <c r="DN274"/>
      <c r="DO274"/>
      <c r="DP274"/>
      <c r="DQ274"/>
      <c r="DR274"/>
      <c r="DS274"/>
      <c r="DT274"/>
      <c r="DU274"/>
      <c r="DV274"/>
      <c r="DW274"/>
      <c r="DZ274"/>
      <c r="EA274"/>
      <c r="EB274"/>
      <c r="EC274"/>
      <c r="ED274"/>
      <c r="EE274"/>
      <c r="EF274"/>
      <c r="EG274"/>
      <c r="EJ274"/>
      <c r="EK274"/>
      <c r="EL274"/>
      <c r="EM274"/>
      <c r="EN274"/>
      <c r="EO274"/>
      <c r="EP274"/>
      <c r="EQ274"/>
      <c r="ER274"/>
      <c r="ES274"/>
      <c r="ET274"/>
      <c r="EU274"/>
      <c r="EV274"/>
      <c r="EW274"/>
      <c r="EX274"/>
      <c r="EY274"/>
      <c r="EZ274"/>
      <c r="FA274"/>
      <c r="FB274"/>
      <c r="FC274"/>
      <c r="FD274"/>
      <c r="FE274"/>
      <c r="FF274"/>
      <c r="FG274"/>
      <c r="FH274"/>
      <c r="FK274" s="449" t="s">
        <v>6882</v>
      </c>
      <c r="FL274" s="457"/>
      <c r="FM274" s="449"/>
      <c r="FN274" s="452"/>
      <c r="FO274" s="452">
        <v>1</v>
      </c>
      <c r="FP274" s="452"/>
      <c r="FQ274" s="452"/>
      <c r="FR274" s="452"/>
      <c r="FS274" s="452"/>
      <c r="FT274" s="452"/>
      <c r="FU274" s="452"/>
      <c r="FV274" s="452"/>
      <c r="FW274" s="452"/>
      <c r="FX274" s="452"/>
      <c r="FY274" s="452"/>
      <c r="FZ274" s="453"/>
      <c r="GA274"/>
      <c r="GB274"/>
      <c r="GC274"/>
      <c r="GD274"/>
    </row>
    <row r="275" spans="4:186" x14ac:dyDescent="0.15">
      <c r="AG275"/>
      <c r="AH275"/>
      <c r="AJ275"/>
      <c r="AK275"/>
      <c r="AL275"/>
      <c r="AM275"/>
      <c r="AO275"/>
      <c r="AP275"/>
      <c r="AQ275"/>
      <c r="AR275"/>
      <c r="AS275"/>
      <c r="AT275"/>
      <c r="AU275"/>
      <c r="AV275"/>
      <c r="AW275"/>
      <c r="AX275"/>
      <c r="AY275"/>
      <c r="AZ275"/>
      <c r="BA275"/>
      <c r="BB275"/>
      <c r="BC275"/>
      <c r="BD275"/>
      <c r="BE275"/>
      <c r="BF275"/>
      <c r="BH275"/>
      <c r="BI275"/>
      <c r="BJ275"/>
      <c r="BK275"/>
      <c r="BL275"/>
      <c r="BM275"/>
      <c r="BN275"/>
      <c r="BP275"/>
      <c r="BQ275"/>
      <c r="BR275"/>
      <c r="BS275"/>
      <c r="BT275"/>
      <c r="BU275"/>
      <c r="BV275"/>
      <c r="BW275"/>
      <c r="BZ275"/>
      <c r="CA275"/>
      <c r="CB275"/>
      <c r="CC275"/>
      <c r="CD275"/>
      <c r="CF275"/>
      <c r="CG275"/>
      <c r="CH275"/>
      <c r="CI275"/>
      <c r="CJ275"/>
      <c r="CK275"/>
      <c r="CL275"/>
      <c r="CM275"/>
      <c r="CN275"/>
      <c r="CO275"/>
      <c r="CP275"/>
      <c r="CQ275"/>
      <c r="CR275"/>
      <c r="CS275"/>
      <c r="CT275"/>
      <c r="CU275"/>
      <c r="CV275"/>
      <c r="CW275"/>
      <c r="CX275"/>
      <c r="CY275"/>
      <c r="CZ275"/>
      <c r="DA275"/>
      <c r="DB275"/>
      <c r="DC275"/>
      <c r="DD275"/>
      <c r="DE275"/>
      <c r="DG275"/>
      <c r="DH275"/>
      <c r="DI275"/>
      <c r="DJ275"/>
      <c r="DK275"/>
      <c r="DL275"/>
      <c r="DM275"/>
      <c r="DN275"/>
      <c r="DO275"/>
      <c r="DP275"/>
      <c r="DQ275"/>
      <c r="DR275"/>
      <c r="DS275"/>
      <c r="DT275"/>
      <c r="DU275"/>
      <c r="DV275"/>
      <c r="DW275"/>
      <c r="DZ275"/>
      <c r="EA275"/>
      <c r="EB275"/>
      <c r="EC275"/>
      <c r="ED275"/>
      <c r="EE275"/>
      <c r="EF275"/>
      <c r="EG275"/>
      <c r="EJ275"/>
      <c r="EK275"/>
      <c r="EL275"/>
      <c r="EM275"/>
      <c r="EN275"/>
      <c r="EO275"/>
      <c r="EP275"/>
      <c r="EQ275"/>
      <c r="ER275"/>
      <c r="ES275"/>
      <c r="ET275"/>
      <c r="EU275"/>
      <c r="EV275"/>
      <c r="EW275"/>
      <c r="EX275"/>
      <c r="EY275"/>
      <c r="EZ275"/>
      <c r="FA275"/>
      <c r="FB275"/>
      <c r="FC275"/>
      <c r="FD275"/>
      <c r="FE275"/>
      <c r="FF275"/>
      <c r="FG275"/>
      <c r="FH275"/>
      <c r="FK275" s="449">
        <v>2.367</v>
      </c>
      <c r="FL275" s="449" t="s">
        <v>405</v>
      </c>
      <c r="FM275" s="449"/>
      <c r="FN275" s="452"/>
      <c r="FO275" s="452"/>
      <c r="FP275" s="452"/>
      <c r="FQ275" s="452"/>
      <c r="FR275" s="452"/>
      <c r="FS275" s="452"/>
      <c r="FT275" s="452">
        <v>1</v>
      </c>
      <c r="FU275" s="452"/>
      <c r="FV275" s="452"/>
      <c r="FW275" s="452"/>
      <c r="FX275" s="452"/>
      <c r="FY275" s="452"/>
      <c r="FZ275" s="453"/>
      <c r="GA275"/>
      <c r="GB275"/>
      <c r="GC275"/>
      <c r="GD275"/>
    </row>
    <row r="276" spans="4:186" x14ac:dyDescent="0.15">
      <c r="AG276"/>
      <c r="AH276"/>
      <c r="AJ276"/>
      <c r="AK276"/>
      <c r="AL276"/>
      <c r="AM276"/>
      <c r="AO276"/>
      <c r="AP276"/>
      <c r="AQ276"/>
      <c r="AR276"/>
      <c r="AS276"/>
      <c r="AT276"/>
      <c r="AU276"/>
      <c r="AV276"/>
      <c r="AW276"/>
      <c r="AX276"/>
      <c r="AY276"/>
      <c r="AZ276"/>
      <c r="BA276"/>
      <c r="BB276"/>
      <c r="BC276"/>
      <c r="BD276"/>
      <c r="BE276"/>
      <c r="BF276"/>
      <c r="BH276"/>
      <c r="BI276"/>
      <c r="BJ276"/>
      <c r="BK276"/>
      <c r="BL276"/>
      <c r="BM276"/>
      <c r="BN276"/>
      <c r="BP276"/>
      <c r="BQ276"/>
      <c r="BR276"/>
      <c r="BS276"/>
      <c r="BT276"/>
      <c r="BU276"/>
      <c r="BV276"/>
      <c r="BW276"/>
      <c r="BZ276"/>
      <c r="CA276"/>
      <c r="CB276"/>
      <c r="CC276"/>
      <c r="CD276"/>
      <c r="CF276"/>
      <c r="CG276"/>
      <c r="CH276"/>
      <c r="CI276"/>
      <c r="CJ276"/>
      <c r="CK276"/>
      <c r="CL276"/>
      <c r="CM276"/>
      <c r="CN276"/>
      <c r="CO276"/>
      <c r="CP276"/>
      <c r="CQ276"/>
      <c r="CR276"/>
      <c r="CS276"/>
      <c r="CT276"/>
      <c r="CU276"/>
      <c r="CV276"/>
      <c r="CW276"/>
      <c r="CX276"/>
      <c r="CY276"/>
      <c r="CZ276"/>
      <c r="DA276"/>
      <c r="DB276"/>
      <c r="DC276"/>
      <c r="DD276"/>
      <c r="DE276"/>
      <c r="DG276"/>
      <c r="DH276"/>
      <c r="DI276"/>
      <c r="DJ276"/>
      <c r="DK276"/>
      <c r="DL276"/>
      <c r="DM276"/>
      <c r="DN276"/>
      <c r="DO276"/>
      <c r="DP276"/>
      <c r="DQ276"/>
      <c r="DR276"/>
      <c r="DS276"/>
      <c r="DT276"/>
      <c r="DU276"/>
      <c r="DV276"/>
      <c r="DW276"/>
      <c r="DZ276"/>
      <c r="EA276"/>
      <c r="EB276"/>
      <c r="EC276"/>
      <c r="ED276"/>
      <c r="EE276"/>
      <c r="EF276"/>
      <c r="EG276"/>
      <c r="EJ276"/>
      <c r="EK276"/>
      <c r="EL276"/>
      <c r="EM276"/>
      <c r="EN276"/>
      <c r="EO276"/>
      <c r="EP276"/>
      <c r="EQ276"/>
      <c r="ER276"/>
      <c r="ES276"/>
      <c r="ET276"/>
      <c r="EU276"/>
      <c r="EV276"/>
      <c r="EW276"/>
      <c r="EX276"/>
      <c r="EY276"/>
      <c r="EZ276"/>
      <c r="FA276"/>
      <c r="FB276"/>
      <c r="FC276"/>
      <c r="FD276"/>
      <c r="FE276"/>
      <c r="FF276"/>
      <c r="FG276"/>
      <c r="FH276"/>
      <c r="FK276" s="449" t="s">
        <v>6883</v>
      </c>
      <c r="FL276" s="457"/>
      <c r="FM276" s="449"/>
      <c r="FN276" s="452"/>
      <c r="FO276" s="452"/>
      <c r="FP276" s="452"/>
      <c r="FQ276" s="452"/>
      <c r="FR276" s="452"/>
      <c r="FS276" s="452"/>
      <c r="FT276" s="452">
        <v>1</v>
      </c>
      <c r="FU276" s="452"/>
      <c r="FV276" s="452"/>
      <c r="FW276" s="452"/>
      <c r="FX276" s="452"/>
      <c r="FY276" s="452"/>
      <c r="FZ276" s="453"/>
      <c r="GA276"/>
      <c r="GB276"/>
      <c r="GC276"/>
      <c r="GD276"/>
    </row>
    <row r="277" spans="4:186" x14ac:dyDescent="0.15">
      <c r="AG277"/>
      <c r="AH277"/>
      <c r="AJ277"/>
      <c r="AK277"/>
      <c r="AL277"/>
      <c r="AM277"/>
      <c r="AO277"/>
      <c r="AP277"/>
      <c r="AQ277"/>
      <c r="AR277"/>
      <c r="AS277"/>
      <c r="AT277"/>
      <c r="AU277"/>
      <c r="AV277"/>
      <c r="AW277"/>
      <c r="AX277"/>
      <c r="AY277"/>
      <c r="AZ277"/>
      <c r="BA277"/>
      <c r="BB277"/>
      <c r="BC277"/>
      <c r="BD277"/>
      <c r="BE277"/>
      <c r="BF277"/>
      <c r="BH277"/>
      <c r="BI277"/>
      <c r="BJ277"/>
      <c r="BK277"/>
      <c r="BL277"/>
      <c r="BM277"/>
      <c r="BN277"/>
      <c r="BP277"/>
      <c r="BQ277"/>
      <c r="BR277"/>
      <c r="BS277"/>
      <c r="BT277"/>
      <c r="BU277"/>
      <c r="BV277"/>
      <c r="BW277"/>
      <c r="BZ277"/>
      <c r="CA277"/>
      <c r="CB277"/>
      <c r="CC277"/>
      <c r="CD277"/>
      <c r="CF277"/>
      <c r="CG277"/>
      <c r="CH277"/>
      <c r="CI277"/>
      <c r="CJ277"/>
      <c r="CK277"/>
      <c r="CL277"/>
      <c r="CM277"/>
      <c r="CN277"/>
      <c r="CO277"/>
      <c r="CP277"/>
      <c r="CQ277"/>
      <c r="CR277"/>
      <c r="CS277"/>
      <c r="CT277"/>
      <c r="CU277"/>
      <c r="CV277"/>
      <c r="CW277"/>
      <c r="CX277"/>
      <c r="CY277"/>
      <c r="CZ277"/>
      <c r="DA277"/>
      <c r="DB277"/>
      <c r="DC277"/>
      <c r="DD277"/>
      <c r="DE277"/>
      <c r="DG277"/>
      <c r="DH277"/>
      <c r="DI277"/>
      <c r="DJ277"/>
      <c r="DK277"/>
      <c r="DL277"/>
      <c r="DM277"/>
      <c r="DN277"/>
      <c r="DO277"/>
      <c r="DP277"/>
      <c r="DQ277"/>
      <c r="DR277"/>
      <c r="DS277"/>
      <c r="DT277"/>
      <c r="DU277"/>
      <c r="DV277"/>
      <c r="DW277"/>
      <c r="DZ277"/>
      <c r="EA277"/>
      <c r="EB277"/>
      <c r="EC277"/>
      <c r="ED277"/>
      <c r="EE277"/>
      <c r="EF277"/>
      <c r="EG277"/>
      <c r="EJ277"/>
      <c r="EK277"/>
      <c r="EL277"/>
      <c r="EM277"/>
      <c r="EN277"/>
      <c r="EO277"/>
      <c r="EP277"/>
      <c r="EQ277"/>
      <c r="ER277"/>
      <c r="ES277"/>
      <c r="ET277"/>
      <c r="EU277"/>
      <c r="EV277"/>
      <c r="EW277"/>
      <c r="EX277"/>
      <c r="EY277"/>
      <c r="EZ277"/>
      <c r="FA277"/>
      <c r="FB277"/>
      <c r="FC277"/>
      <c r="FD277"/>
      <c r="FE277"/>
      <c r="FF277"/>
      <c r="FG277"/>
      <c r="FH277"/>
      <c r="FK277" s="449">
        <v>8.1839999999999993</v>
      </c>
      <c r="FL277" s="449" t="s">
        <v>411</v>
      </c>
      <c r="FM277" s="449"/>
      <c r="FN277" s="452"/>
      <c r="FO277" s="452"/>
      <c r="FP277" s="452"/>
      <c r="FQ277" s="452"/>
      <c r="FR277" s="452"/>
      <c r="FS277" s="452"/>
      <c r="FT277" s="452">
        <v>1</v>
      </c>
      <c r="FU277" s="452"/>
      <c r="FV277" s="452"/>
      <c r="FW277" s="452"/>
      <c r="FX277" s="452"/>
      <c r="FY277" s="452"/>
      <c r="FZ277" s="453"/>
      <c r="GA277"/>
      <c r="GB277"/>
      <c r="GC277"/>
      <c r="GD277"/>
    </row>
    <row r="278" spans="4:186" x14ac:dyDescent="0.15">
      <c r="AG278"/>
      <c r="AH278"/>
      <c r="AJ278"/>
      <c r="AK278"/>
      <c r="AL278"/>
      <c r="AM278"/>
      <c r="AO278"/>
      <c r="AP278"/>
      <c r="AQ278"/>
      <c r="AR278"/>
      <c r="AS278"/>
      <c r="AT278"/>
      <c r="AU278"/>
      <c r="AV278"/>
      <c r="AW278"/>
      <c r="AX278"/>
      <c r="AY278"/>
      <c r="AZ278"/>
      <c r="BA278"/>
      <c r="BB278"/>
      <c r="BC278"/>
      <c r="BD278"/>
      <c r="BE278"/>
      <c r="BF278"/>
      <c r="BH278"/>
      <c r="BI278"/>
      <c r="BJ278"/>
      <c r="BK278"/>
      <c r="BL278"/>
      <c r="BM278"/>
      <c r="BN278"/>
      <c r="BP278"/>
      <c r="BQ278"/>
      <c r="BR278"/>
      <c r="BS278"/>
      <c r="BT278"/>
      <c r="BU278"/>
      <c r="BV278"/>
      <c r="BW278"/>
      <c r="BZ278"/>
      <c r="CA278"/>
      <c r="CB278"/>
      <c r="CC278"/>
      <c r="CD278"/>
      <c r="CF278"/>
      <c r="CG278"/>
      <c r="CH278"/>
      <c r="CI278"/>
      <c r="CJ278"/>
      <c r="CK278"/>
      <c r="CL278"/>
      <c r="CM278"/>
      <c r="CN278"/>
      <c r="CO278"/>
      <c r="CP278"/>
      <c r="CQ278"/>
      <c r="CR278"/>
      <c r="CS278"/>
      <c r="CT278"/>
      <c r="CU278"/>
      <c r="CV278"/>
      <c r="CW278"/>
      <c r="CX278"/>
      <c r="CY278"/>
      <c r="CZ278"/>
      <c r="DA278"/>
      <c r="DB278"/>
      <c r="DC278"/>
      <c r="DD278"/>
      <c r="DE278"/>
      <c r="DG278"/>
      <c r="DH278"/>
      <c r="DI278"/>
      <c r="DJ278"/>
      <c r="DK278"/>
      <c r="DL278"/>
      <c r="DM278"/>
      <c r="DN278"/>
      <c r="DO278"/>
      <c r="DP278"/>
      <c r="DQ278"/>
      <c r="DR278"/>
      <c r="DS278"/>
      <c r="DT278"/>
      <c r="DU278"/>
      <c r="DV278"/>
      <c r="DW278"/>
      <c r="DZ278"/>
      <c r="EA278"/>
      <c r="EB278"/>
      <c r="EC278"/>
      <c r="ED278"/>
      <c r="EE278"/>
      <c r="EF278"/>
      <c r="EG278"/>
      <c r="EJ278"/>
      <c r="EK278"/>
      <c r="EL278"/>
      <c r="EM278"/>
      <c r="EN278"/>
      <c r="EO278"/>
      <c r="EP278"/>
      <c r="EQ278"/>
      <c r="ER278"/>
      <c r="ES278"/>
      <c r="ET278"/>
      <c r="EU278"/>
      <c r="EV278"/>
      <c r="EW278"/>
      <c r="EX278"/>
      <c r="EY278"/>
      <c r="EZ278"/>
      <c r="FA278"/>
      <c r="FB278"/>
      <c r="FC278"/>
      <c r="FD278"/>
      <c r="FE278"/>
      <c r="FF278"/>
      <c r="FG278"/>
      <c r="FH278"/>
      <c r="FK278" s="449" t="s">
        <v>6884</v>
      </c>
      <c r="FL278" s="457"/>
      <c r="FM278" s="449"/>
      <c r="FN278" s="452"/>
      <c r="FO278" s="452"/>
      <c r="FP278" s="452"/>
      <c r="FQ278" s="452"/>
      <c r="FR278" s="452"/>
      <c r="FS278" s="452"/>
      <c r="FT278" s="452">
        <v>1</v>
      </c>
      <c r="FU278" s="452"/>
      <c r="FV278" s="452"/>
      <c r="FW278" s="452"/>
      <c r="FX278" s="452"/>
      <c r="FY278" s="452"/>
      <c r="FZ278" s="453"/>
      <c r="GA278"/>
      <c r="GB278"/>
      <c r="GC278"/>
      <c r="GD278"/>
    </row>
    <row r="279" spans="4:186" x14ac:dyDescent="0.15">
      <c r="AG279"/>
      <c r="AH279"/>
      <c r="AJ279"/>
      <c r="AK279"/>
      <c r="AL279"/>
      <c r="AM279"/>
      <c r="AO279"/>
      <c r="AP279"/>
      <c r="AQ279"/>
      <c r="AR279"/>
      <c r="AS279"/>
      <c r="AT279"/>
      <c r="AU279"/>
      <c r="AV279"/>
      <c r="AW279"/>
      <c r="AX279"/>
      <c r="AY279"/>
      <c r="AZ279"/>
      <c r="BA279"/>
      <c r="BB279"/>
      <c r="BC279"/>
      <c r="BD279"/>
      <c r="BE279"/>
      <c r="BF279"/>
      <c r="BH279"/>
      <c r="BI279"/>
      <c r="BJ279"/>
      <c r="BK279"/>
      <c r="BL279"/>
      <c r="BM279"/>
      <c r="BN279"/>
      <c r="BP279"/>
      <c r="BQ279"/>
      <c r="BR279"/>
      <c r="BS279"/>
      <c r="BT279"/>
      <c r="BU279"/>
      <c r="BV279"/>
      <c r="BW279"/>
      <c r="BZ279"/>
      <c r="CA279"/>
      <c r="CB279"/>
      <c r="CC279"/>
      <c r="CD279"/>
      <c r="CF279"/>
      <c r="CG279"/>
      <c r="CH279"/>
      <c r="CI279"/>
      <c r="CJ279"/>
      <c r="CK279"/>
      <c r="CL279"/>
      <c r="CM279"/>
      <c r="CN279"/>
      <c r="CO279"/>
      <c r="CP279"/>
      <c r="CQ279"/>
      <c r="CR279"/>
      <c r="CS279"/>
      <c r="CT279"/>
      <c r="CU279"/>
      <c r="CV279"/>
      <c r="CW279"/>
      <c r="CX279"/>
      <c r="CY279"/>
      <c r="CZ279"/>
      <c r="DA279"/>
      <c r="DB279"/>
      <c r="DC279"/>
      <c r="DD279"/>
      <c r="DE279"/>
      <c r="DG279"/>
      <c r="DH279"/>
      <c r="DI279"/>
      <c r="DJ279"/>
      <c r="DK279"/>
      <c r="DL279"/>
      <c r="DM279"/>
      <c r="DN279"/>
      <c r="DO279"/>
      <c r="DP279"/>
      <c r="DQ279"/>
      <c r="DR279"/>
      <c r="DS279"/>
      <c r="DT279"/>
      <c r="DU279"/>
      <c r="DV279"/>
      <c r="DW279"/>
      <c r="DZ279"/>
      <c r="EA279"/>
      <c r="EB279"/>
      <c r="EC279"/>
      <c r="ED279"/>
      <c r="EE279"/>
      <c r="EF279"/>
      <c r="EG279"/>
      <c r="EJ279"/>
      <c r="EK279"/>
      <c r="EL279"/>
      <c r="EM279"/>
      <c r="EN279"/>
      <c r="EO279"/>
      <c r="EP279"/>
      <c r="EQ279"/>
      <c r="ER279"/>
      <c r="ES279"/>
      <c r="ET279"/>
      <c r="EU279"/>
      <c r="EV279"/>
      <c r="EW279"/>
      <c r="EX279"/>
      <c r="EY279"/>
      <c r="EZ279"/>
      <c r="FA279"/>
      <c r="FB279"/>
      <c r="FC279"/>
      <c r="FD279"/>
      <c r="FE279"/>
      <c r="FF279"/>
      <c r="FG279"/>
      <c r="FH279"/>
      <c r="FK279" s="449">
        <v>0.371</v>
      </c>
      <c r="FL279" s="449" t="s">
        <v>445</v>
      </c>
      <c r="FM279" s="449">
        <v>1</v>
      </c>
      <c r="FN279" s="452"/>
      <c r="FO279" s="452"/>
      <c r="FP279" s="452"/>
      <c r="FQ279" s="452"/>
      <c r="FR279" s="452"/>
      <c r="FS279" s="452"/>
      <c r="FT279" s="452"/>
      <c r="FU279" s="452"/>
      <c r="FV279" s="452"/>
      <c r="FW279" s="452"/>
      <c r="FX279" s="452"/>
      <c r="FY279" s="452"/>
      <c r="FZ279" s="453"/>
      <c r="GA279"/>
      <c r="GB279"/>
      <c r="GC279"/>
      <c r="GD279"/>
    </row>
    <row r="280" spans="4:186" x14ac:dyDescent="0.15">
      <c r="AG280"/>
      <c r="AH280"/>
      <c r="AJ280"/>
      <c r="AK280"/>
      <c r="AL280"/>
      <c r="AM280"/>
      <c r="AO280"/>
      <c r="AP280"/>
      <c r="AQ280"/>
      <c r="AR280"/>
      <c r="AS280"/>
      <c r="AT280"/>
      <c r="AU280"/>
      <c r="AV280"/>
      <c r="AW280"/>
      <c r="AX280"/>
      <c r="AY280"/>
      <c r="AZ280"/>
      <c r="BA280"/>
      <c r="BB280"/>
      <c r="BC280"/>
      <c r="BD280"/>
      <c r="BE280"/>
      <c r="BF280"/>
      <c r="BH280"/>
      <c r="BI280"/>
      <c r="BJ280"/>
      <c r="BK280"/>
      <c r="BL280"/>
      <c r="BM280"/>
      <c r="BN280"/>
      <c r="BP280"/>
      <c r="BQ280"/>
      <c r="BR280"/>
      <c r="BS280"/>
      <c r="BT280"/>
      <c r="BU280"/>
      <c r="BV280"/>
      <c r="BW280"/>
      <c r="BZ280"/>
      <c r="CA280"/>
      <c r="CB280"/>
      <c r="CC280"/>
      <c r="CD280"/>
      <c r="CF280"/>
      <c r="CG280"/>
      <c r="CH280"/>
      <c r="CI280"/>
      <c r="CJ280"/>
      <c r="CK280"/>
      <c r="CL280"/>
      <c r="CM280"/>
      <c r="CN280"/>
      <c r="CO280"/>
      <c r="CP280"/>
      <c r="CQ280"/>
      <c r="CR280"/>
      <c r="CS280"/>
      <c r="CT280"/>
      <c r="CU280"/>
      <c r="CV280"/>
      <c r="CW280"/>
      <c r="CX280"/>
      <c r="CY280"/>
      <c r="CZ280"/>
      <c r="DA280"/>
      <c r="DB280"/>
      <c r="DC280"/>
      <c r="DD280"/>
      <c r="DE280"/>
      <c r="DG280"/>
      <c r="DH280"/>
      <c r="DI280"/>
      <c r="DJ280"/>
      <c r="DK280"/>
      <c r="DL280"/>
      <c r="DM280"/>
      <c r="DN280"/>
      <c r="DO280"/>
      <c r="DP280"/>
      <c r="DQ280"/>
      <c r="DR280"/>
      <c r="DS280"/>
      <c r="DT280"/>
      <c r="DU280"/>
      <c r="DV280"/>
      <c r="DW280"/>
      <c r="DZ280"/>
      <c r="EA280"/>
      <c r="EB280"/>
      <c r="EC280"/>
      <c r="ED280"/>
      <c r="EE280"/>
      <c r="EF280"/>
      <c r="EG280"/>
      <c r="EJ280"/>
      <c r="EK280"/>
      <c r="EL280"/>
      <c r="EM280"/>
      <c r="EN280"/>
      <c r="EO280"/>
      <c r="EP280"/>
      <c r="EQ280"/>
      <c r="ER280"/>
      <c r="ES280"/>
      <c r="ET280"/>
      <c r="EU280"/>
      <c r="EV280"/>
      <c r="EW280"/>
      <c r="EX280"/>
      <c r="EY280"/>
      <c r="EZ280"/>
      <c r="FA280"/>
      <c r="FB280"/>
      <c r="FC280"/>
      <c r="FD280"/>
      <c r="FE280"/>
      <c r="FF280"/>
      <c r="FG280"/>
      <c r="FH280"/>
      <c r="FK280" s="449" t="s">
        <v>6885</v>
      </c>
      <c r="FL280" s="457"/>
      <c r="FM280" s="449">
        <v>1</v>
      </c>
      <c r="FN280" s="452"/>
      <c r="FO280" s="452"/>
      <c r="FP280" s="452"/>
      <c r="FQ280" s="452"/>
      <c r="FR280" s="452"/>
      <c r="FS280" s="452"/>
      <c r="FT280" s="452"/>
      <c r="FU280" s="452"/>
      <c r="FV280" s="452"/>
      <c r="FW280" s="452"/>
      <c r="FX280" s="452"/>
      <c r="FY280" s="452"/>
      <c r="FZ280" s="453"/>
      <c r="GA280"/>
      <c r="GB280"/>
      <c r="GC280"/>
      <c r="GD280"/>
    </row>
    <row r="281" spans="4:186" x14ac:dyDescent="0.15">
      <c r="AG281"/>
      <c r="AH281"/>
      <c r="AJ281"/>
      <c r="AK281"/>
      <c r="AL281"/>
      <c r="AM281"/>
      <c r="AO281"/>
      <c r="AP281"/>
      <c r="AQ281"/>
      <c r="AR281"/>
      <c r="AS281"/>
      <c r="AT281"/>
      <c r="AU281"/>
      <c r="AV281"/>
      <c r="AW281"/>
      <c r="AX281"/>
      <c r="AY281"/>
      <c r="AZ281"/>
      <c r="BA281"/>
      <c r="BB281"/>
      <c r="BC281"/>
      <c r="BD281"/>
      <c r="BE281"/>
      <c r="BF281"/>
      <c r="BH281"/>
      <c r="BI281"/>
      <c r="BJ281"/>
      <c r="BK281"/>
      <c r="BL281"/>
      <c r="BM281"/>
      <c r="BN281"/>
      <c r="BP281"/>
      <c r="BQ281"/>
      <c r="BR281"/>
      <c r="BS281"/>
      <c r="BT281"/>
      <c r="BU281"/>
      <c r="BV281"/>
      <c r="BW281"/>
      <c r="BZ281"/>
      <c r="CA281"/>
      <c r="CB281"/>
      <c r="CC281"/>
      <c r="CD281"/>
      <c r="CF281"/>
      <c r="CG281"/>
      <c r="CH281"/>
      <c r="CI281"/>
      <c r="CJ281"/>
      <c r="CK281"/>
      <c r="CL281"/>
      <c r="CM281"/>
      <c r="CN281"/>
      <c r="CO281"/>
      <c r="CP281"/>
      <c r="CQ281"/>
      <c r="CR281"/>
      <c r="CS281"/>
      <c r="CT281"/>
      <c r="CU281"/>
      <c r="CV281"/>
      <c r="CW281"/>
      <c r="CX281"/>
      <c r="CY281"/>
      <c r="CZ281"/>
      <c r="DA281"/>
      <c r="DB281"/>
      <c r="DC281"/>
      <c r="DD281"/>
      <c r="DE281"/>
      <c r="DG281"/>
      <c r="DH281"/>
      <c r="DI281"/>
      <c r="DJ281"/>
      <c r="DK281"/>
      <c r="DL281"/>
      <c r="DM281"/>
      <c r="DN281"/>
      <c r="DO281"/>
      <c r="DP281"/>
      <c r="DQ281"/>
      <c r="DR281"/>
      <c r="DS281"/>
      <c r="DT281"/>
      <c r="DU281"/>
      <c r="DV281"/>
      <c r="DW281"/>
      <c r="DZ281"/>
      <c r="EA281"/>
      <c r="EB281"/>
      <c r="EC281"/>
      <c r="ED281"/>
      <c r="EE281"/>
      <c r="EF281"/>
      <c r="EG281"/>
      <c r="EJ281"/>
      <c r="EK281"/>
      <c r="EL281"/>
      <c r="EM281"/>
      <c r="EN281"/>
      <c r="EO281"/>
      <c r="EP281"/>
      <c r="EQ281"/>
      <c r="ER281"/>
      <c r="ES281"/>
      <c r="ET281"/>
      <c r="EU281"/>
      <c r="EV281"/>
      <c r="EW281"/>
      <c r="EX281"/>
      <c r="EY281"/>
      <c r="EZ281"/>
      <c r="FA281"/>
      <c r="FB281"/>
      <c r="FC281"/>
      <c r="FD281"/>
      <c r="FE281"/>
      <c r="FF281"/>
      <c r="FG281"/>
      <c r="FH281"/>
      <c r="FK281" s="449">
        <v>0.158</v>
      </c>
      <c r="FL281" s="449" t="s">
        <v>445</v>
      </c>
      <c r="FM281" s="449"/>
      <c r="FN281" s="452"/>
      <c r="FO281" s="452"/>
      <c r="FP281" s="452"/>
      <c r="FQ281" s="452"/>
      <c r="FR281" s="452"/>
      <c r="FS281" s="452">
        <v>1</v>
      </c>
      <c r="FT281" s="452"/>
      <c r="FU281" s="452"/>
      <c r="FV281" s="452"/>
      <c r="FW281" s="452"/>
      <c r="FX281" s="452"/>
      <c r="FY281" s="452"/>
      <c r="FZ281" s="453"/>
      <c r="GA281"/>
      <c r="GB281"/>
      <c r="GC281"/>
      <c r="GD281"/>
    </row>
    <row r="282" spans="4:186" x14ac:dyDescent="0.15">
      <c r="AG282"/>
      <c r="AH282"/>
      <c r="AJ282"/>
      <c r="AK282"/>
      <c r="AL282"/>
      <c r="AM282"/>
      <c r="AO282"/>
      <c r="AP282"/>
      <c r="AQ282"/>
      <c r="AR282"/>
      <c r="AS282"/>
      <c r="AT282"/>
      <c r="AU282"/>
      <c r="AV282"/>
      <c r="AW282"/>
      <c r="AX282"/>
      <c r="AY282"/>
      <c r="AZ282"/>
      <c r="BA282"/>
      <c r="BB282"/>
      <c r="BC282"/>
      <c r="BD282"/>
      <c r="BE282"/>
      <c r="BF282"/>
      <c r="BH282"/>
      <c r="BI282"/>
      <c r="BJ282"/>
      <c r="BK282"/>
      <c r="BL282"/>
      <c r="BM282"/>
      <c r="BN282"/>
      <c r="BP282"/>
      <c r="BQ282"/>
      <c r="BR282"/>
      <c r="BS282"/>
      <c r="BT282"/>
      <c r="BU282"/>
      <c r="BV282"/>
      <c r="BW282"/>
      <c r="BZ282"/>
      <c r="CA282"/>
      <c r="CB282"/>
      <c r="CC282"/>
      <c r="CD282"/>
      <c r="CF282"/>
      <c r="CG282"/>
      <c r="CH282"/>
      <c r="CI282"/>
      <c r="CJ282"/>
      <c r="CK282"/>
      <c r="CL282"/>
      <c r="CM282"/>
      <c r="CN282"/>
      <c r="CO282"/>
      <c r="CP282"/>
      <c r="CQ282"/>
      <c r="CR282"/>
      <c r="CS282"/>
      <c r="CT282"/>
      <c r="CU282"/>
      <c r="CV282"/>
      <c r="CW282"/>
      <c r="CX282"/>
      <c r="CY282"/>
      <c r="CZ282"/>
      <c r="DA282"/>
      <c r="DB282"/>
      <c r="DC282"/>
      <c r="DD282"/>
      <c r="DE282"/>
      <c r="DG282"/>
      <c r="DH282"/>
      <c r="DI282"/>
      <c r="DJ282"/>
      <c r="DK282"/>
      <c r="DL282"/>
      <c r="DM282"/>
      <c r="DN282"/>
      <c r="DO282"/>
      <c r="DP282"/>
      <c r="DQ282"/>
      <c r="DR282"/>
      <c r="DS282"/>
      <c r="DT282"/>
      <c r="DU282"/>
      <c r="DV282"/>
      <c r="DW282"/>
      <c r="DZ282"/>
      <c r="EA282"/>
      <c r="EB282"/>
      <c r="EC282"/>
      <c r="ED282"/>
      <c r="EE282"/>
      <c r="EF282"/>
      <c r="EG282"/>
      <c r="EJ282"/>
      <c r="EK282"/>
      <c r="EL282"/>
      <c r="EM282"/>
      <c r="EN282"/>
      <c r="EO282"/>
      <c r="EP282"/>
      <c r="EQ282"/>
      <c r="ER282"/>
      <c r="ES282"/>
      <c r="ET282"/>
      <c r="EU282"/>
      <c r="EV282"/>
      <c r="EW282"/>
      <c r="EX282"/>
      <c r="EY282"/>
      <c r="EZ282"/>
      <c r="FA282"/>
      <c r="FB282"/>
      <c r="FC282"/>
      <c r="FD282"/>
      <c r="FE282"/>
      <c r="FF282"/>
      <c r="FG282"/>
      <c r="FH282"/>
      <c r="FK282" s="449" t="s">
        <v>6886</v>
      </c>
      <c r="FL282" s="457"/>
      <c r="FM282" s="449"/>
      <c r="FN282" s="452"/>
      <c r="FO282" s="452"/>
      <c r="FP282" s="452"/>
      <c r="FQ282" s="452"/>
      <c r="FR282" s="452"/>
      <c r="FS282" s="452">
        <v>1</v>
      </c>
      <c r="FT282" s="452"/>
      <c r="FU282" s="452"/>
      <c r="FV282" s="452"/>
      <c r="FW282" s="452"/>
      <c r="FX282" s="452"/>
      <c r="FY282" s="452"/>
      <c r="FZ282" s="453"/>
      <c r="GA282"/>
      <c r="GB282"/>
      <c r="GC282"/>
      <c r="GD282"/>
    </row>
    <row r="283" spans="4:186" x14ac:dyDescent="0.15">
      <c r="AG283"/>
      <c r="AH283"/>
      <c r="AJ283"/>
      <c r="AK283"/>
      <c r="AL283"/>
      <c r="AM283"/>
      <c r="AO283"/>
      <c r="AP283"/>
      <c r="AQ283"/>
      <c r="AR283"/>
      <c r="AS283"/>
      <c r="AT283"/>
      <c r="AU283"/>
      <c r="AV283"/>
      <c r="AW283"/>
      <c r="AX283"/>
      <c r="AY283"/>
      <c r="AZ283"/>
      <c r="BA283"/>
      <c r="BB283"/>
      <c r="BC283"/>
      <c r="BD283"/>
      <c r="BE283"/>
      <c r="BF283"/>
      <c r="BH283"/>
      <c r="BI283"/>
      <c r="BJ283"/>
      <c r="BK283"/>
      <c r="BL283"/>
      <c r="BM283"/>
      <c r="BN283"/>
      <c r="BP283"/>
      <c r="BQ283"/>
      <c r="BR283"/>
      <c r="BS283"/>
      <c r="BT283"/>
      <c r="BU283"/>
      <c r="BV283"/>
      <c r="BW283"/>
      <c r="BZ283"/>
      <c r="CA283"/>
      <c r="CB283"/>
      <c r="CC283"/>
      <c r="CD283"/>
      <c r="CF283"/>
      <c r="CG283"/>
      <c r="CH283"/>
      <c r="CI283"/>
      <c r="CJ283"/>
      <c r="CK283"/>
      <c r="CL283"/>
      <c r="CM283"/>
      <c r="CN283"/>
      <c r="CO283"/>
      <c r="CP283"/>
      <c r="CQ283"/>
      <c r="CR283"/>
      <c r="CS283"/>
      <c r="CT283"/>
      <c r="CU283"/>
      <c r="CV283"/>
      <c r="CW283"/>
      <c r="CX283"/>
      <c r="CY283"/>
      <c r="CZ283"/>
      <c r="DA283"/>
      <c r="DB283"/>
      <c r="DC283"/>
      <c r="DD283"/>
      <c r="DE283"/>
      <c r="DG283"/>
      <c r="DH283"/>
      <c r="DI283"/>
      <c r="DJ283"/>
      <c r="DK283"/>
      <c r="DL283"/>
      <c r="DM283"/>
      <c r="DN283"/>
      <c r="DO283"/>
      <c r="DP283"/>
      <c r="DQ283"/>
      <c r="DR283"/>
      <c r="DS283"/>
      <c r="DT283"/>
      <c r="DU283"/>
      <c r="DV283"/>
      <c r="DW283"/>
      <c r="DZ283"/>
      <c r="EA283"/>
      <c r="EB283"/>
      <c r="EC283"/>
      <c r="ED283"/>
      <c r="EE283"/>
      <c r="EF283"/>
      <c r="EG283"/>
      <c r="EJ283"/>
      <c r="EK283"/>
      <c r="EL283"/>
      <c r="EM283"/>
      <c r="EN283"/>
      <c r="EO283"/>
      <c r="EP283"/>
      <c r="EQ283"/>
      <c r="ER283"/>
      <c r="ES283"/>
      <c r="ET283"/>
      <c r="EU283"/>
      <c r="EV283"/>
      <c r="EW283"/>
      <c r="EX283"/>
      <c r="EY283"/>
      <c r="EZ283"/>
      <c r="FA283"/>
      <c r="FB283"/>
      <c r="FC283"/>
      <c r="FD283"/>
      <c r="FE283"/>
      <c r="FF283"/>
      <c r="FG283"/>
      <c r="FH283"/>
      <c r="FK283" s="449">
        <v>7.01</v>
      </c>
      <c r="FL283" s="449" t="s">
        <v>405</v>
      </c>
      <c r="FM283" s="449">
        <v>1</v>
      </c>
      <c r="FN283" s="452"/>
      <c r="FO283" s="452"/>
      <c r="FP283" s="452"/>
      <c r="FQ283" s="452"/>
      <c r="FR283" s="452"/>
      <c r="FS283" s="452"/>
      <c r="FT283" s="452"/>
      <c r="FU283" s="452"/>
      <c r="FV283" s="452"/>
      <c r="FW283" s="452"/>
      <c r="FX283" s="452"/>
      <c r="FY283" s="452"/>
      <c r="FZ283" s="453"/>
      <c r="GA283"/>
      <c r="GB283"/>
      <c r="GC283"/>
      <c r="GD283"/>
    </row>
    <row r="284" spans="4:186" x14ac:dyDescent="0.15">
      <c r="AG284"/>
      <c r="AH284"/>
      <c r="AJ284"/>
      <c r="AK284"/>
      <c r="AL284"/>
      <c r="AM284"/>
      <c r="AO284"/>
      <c r="AP284"/>
      <c r="AQ284"/>
      <c r="AR284"/>
      <c r="AS284"/>
      <c r="AT284"/>
      <c r="AU284"/>
      <c r="AV284"/>
      <c r="AW284"/>
      <c r="AX284"/>
      <c r="AY284"/>
      <c r="AZ284"/>
      <c r="BA284"/>
      <c r="BB284"/>
      <c r="BC284"/>
      <c r="BD284"/>
      <c r="BE284"/>
      <c r="BF284"/>
      <c r="BH284"/>
      <c r="BI284"/>
      <c r="BJ284"/>
      <c r="BK284"/>
      <c r="BL284"/>
      <c r="BM284"/>
      <c r="BN284"/>
      <c r="BP284"/>
      <c r="BQ284"/>
      <c r="BR284"/>
      <c r="BS284"/>
      <c r="BT284"/>
      <c r="BU284"/>
      <c r="BV284"/>
      <c r="BW284"/>
      <c r="BZ284"/>
      <c r="CA284"/>
      <c r="CB284"/>
      <c r="CC284"/>
      <c r="CD284"/>
      <c r="CF284"/>
      <c r="CG284"/>
      <c r="CH284"/>
      <c r="CI284"/>
      <c r="CJ284"/>
      <c r="CK284"/>
      <c r="CL284"/>
      <c r="CM284"/>
      <c r="CN284"/>
      <c r="CO284"/>
      <c r="CP284"/>
      <c r="CQ284"/>
      <c r="CR284"/>
      <c r="CS284"/>
      <c r="CT284"/>
      <c r="CU284"/>
      <c r="CV284"/>
      <c r="CW284"/>
      <c r="CX284"/>
      <c r="CY284"/>
      <c r="CZ284"/>
      <c r="DA284"/>
      <c r="DB284"/>
      <c r="DC284"/>
      <c r="DD284"/>
      <c r="DE284"/>
      <c r="DG284"/>
      <c r="DH284"/>
      <c r="DI284"/>
      <c r="DJ284"/>
      <c r="DK284"/>
      <c r="DL284"/>
      <c r="DM284"/>
      <c r="DN284"/>
      <c r="DO284"/>
      <c r="DP284"/>
      <c r="DQ284"/>
      <c r="DR284"/>
      <c r="DS284"/>
      <c r="DT284"/>
      <c r="DU284"/>
      <c r="DV284"/>
      <c r="DW284"/>
      <c r="DZ284"/>
      <c r="EA284"/>
      <c r="EB284"/>
      <c r="EC284"/>
      <c r="ED284"/>
      <c r="EE284"/>
      <c r="EF284"/>
      <c r="EG284"/>
      <c r="EJ284"/>
      <c r="EK284"/>
      <c r="EL284"/>
      <c r="EM284"/>
      <c r="EN284"/>
      <c r="EO284"/>
      <c r="EP284"/>
      <c r="EQ284"/>
      <c r="ER284"/>
      <c r="ES284"/>
      <c r="ET284"/>
      <c r="EU284"/>
      <c r="EV284"/>
      <c r="EW284"/>
      <c r="EX284"/>
      <c r="EY284"/>
      <c r="EZ284"/>
      <c r="FA284"/>
      <c r="FB284"/>
      <c r="FC284"/>
      <c r="FD284"/>
      <c r="FE284"/>
      <c r="FF284"/>
      <c r="FG284"/>
      <c r="FH284"/>
      <c r="FK284" s="449" t="s">
        <v>6887</v>
      </c>
      <c r="FL284" s="457"/>
      <c r="FM284" s="449">
        <v>1</v>
      </c>
      <c r="FN284" s="452"/>
      <c r="FO284" s="452"/>
      <c r="FP284" s="452"/>
      <c r="FQ284" s="452"/>
      <c r="FR284" s="452"/>
      <c r="FS284" s="452"/>
      <c r="FT284" s="452"/>
      <c r="FU284" s="452"/>
      <c r="FV284" s="452"/>
      <c r="FW284" s="452"/>
      <c r="FX284" s="452"/>
      <c r="FY284" s="452"/>
      <c r="FZ284" s="453"/>
      <c r="GA284"/>
      <c r="GB284"/>
      <c r="GC284"/>
      <c r="GD284"/>
    </row>
    <row r="285" spans="4:186" x14ac:dyDescent="0.15">
      <c r="AG285"/>
      <c r="AH285"/>
      <c r="AJ285"/>
      <c r="AK285"/>
      <c r="AL285"/>
      <c r="AM285"/>
      <c r="AO285"/>
      <c r="AP285"/>
      <c r="AQ285"/>
      <c r="AR285"/>
      <c r="AS285"/>
      <c r="AT285"/>
      <c r="AU285"/>
      <c r="AV285"/>
      <c r="AW285"/>
      <c r="AX285"/>
      <c r="AY285"/>
      <c r="AZ285"/>
      <c r="BA285"/>
      <c r="BB285"/>
      <c r="BC285"/>
      <c r="BD285"/>
      <c r="BE285"/>
      <c r="BF285"/>
      <c r="BH285"/>
      <c r="BI285"/>
      <c r="BJ285"/>
      <c r="BK285"/>
      <c r="BL285"/>
      <c r="BM285"/>
      <c r="BN285"/>
      <c r="BP285"/>
      <c r="BQ285"/>
      <c r="BR285"/>
      <c r="BS285"/>
      <c r="BT285"/>
      <c r="BU285"/>
      <c r="BV285"/>
      <c r="BW285"/>
      <c r="BZ285"/>
      <c r="CA285"/>
      <c r="CB285"/>
      <c r="CC285"/>
      <c r="CD285"/>
      <c r="CF285"/>
      <c r="CG285"/>
      <c r="CH285"/>
      <c r="CI285"/>
      <c r="CJ285"/>
      <c r="CK285"/>
      <c r="CL285"/>
      <c r="CM285"/>
      <c r="CN285"/>
      <c r="CO285"/>
      <c r="CP285"/>
      <c r="CQ285"/>
      <c r="CR285"/>
      <c r="CS285"/>
      <c r="CT285"/>
      <c r="CU285"/>
      <c r="CV285"/>
      <c r="CW285"/>
      <c r="CX285"/>
      <c r="CY285"/>
      <c r="CZ285"/>
      <c r="DA285"/>
      <c r="DB285"/>
      <c r="DC285"/>
      <c r="DD285"/>
      <c r="DE285"/>
      <c r="DG285"/>
      <c r="DH285"/>
      <c r="DI285"/>
      <c r="DJ285"/>
      <c r="DK285"/>
      <c r="DL285"/>
      <c r="DM285"/>
      <c r="DN285"/>
      <c r="DO285"/>
      <c r="DP285"/>
      <c r="DQ285"/>
      <c r="DR285"/>
      <c r="DS285"/>
      <c r="DT285"/>
      <c r="DU285"/>
      <c r="DV285"/>
      <c r="DW285"/>
      <c r="DZ285"/>
      <c r="EA285"/>
      <c r="EB285"/>
      <c r="EC285"/>
      <c r="ED285"/>
      <c r="EE285"/>
      <c r="EF285"/>
      <c r="EG285"/>
      <c r="EJ285"/>
      <c r="EK285"/>
      <c r="EL285"/>
      <c r="EM285"/>
      <c r="EN285"/>
      <c r="EO285"/>
      <c r="EP285"/>
      <c r="EQ285"/>
      <c r="ER285"/>
      <c r="ES285"/>
      <c r="ET285"/>
      <c r="EU285"/>
      <c r="EV285"/>
      <c r="EW285"/>
      <c r="EX285"/>
      <c r="EY285"/>
      <c r="EZ285"/>
      <c r="FA285"/>
      <c r="FB285"/>
      <c r="FC285"/>
      <c r="FD285"/>
      <c r="FE285"/>
      <c r="FF285"/>
      <c r="FG285"/>
      <c r="FH285"/>
      <c r="FK285" s="449">
        <v>9.8580000000000005</v>
      </c>
      <c r="FL285" s="449" t="s">
        <v>397</v>
      </c>
      <c r="FM285" s="449">
        <v>1</v>
      </c>
      <c r="FN285" s="452"/>
      <c r="FO285" s="452"/>
      <c r="FP285" s="452"/>
      <c r="FQ285" s="452"/>
      <c r="FR285" s="452"/>
      <c r="FS285" s="452"/>
      <c r="FT285" s="452"/>
      <c r="FU285" s="452"/>
      <c r="FV285" s="452"/>
      <c r="FW285" s="452"/>
      <c r="FX285" s="452"/>
      <c r="FY285" s="452"/>
      <c r="FZ285" s="453"/>
      <c r="GA285"/>
      <c r="GB285"/>
      <c r="GC285"/>
      <c r="GD285"/>
    </row>
    <row r="286" spans="4:186" ht="18" x14ac:dyDescent="0.2">
      <c r="D286" s="18" t="str">
        <f>$D$1</f>
        <v>Type 'Heading' Here</v>
      </c>
      <c r="AG286"/>
      <c r="AH286"/>
      <c r="AJ286"/>
      <c r="AK286"/>
      <c r="AL286"/>
      <c r="AM286"/>
      <c r="AO286"/>
      <c r="AP286"/>
      <c r="AQ286"/>
      <c r="AR286"/>
      <c r="AS286"/>
      <c r="AT286"/>
      <c r="AU286"/>
      <c r="AV286"/>
      <c r="AW286"/>
      <c r="AX286"/>
      <c r="AY286"/>
      <c r="AZ286"/>
      <c r="BA286"/>
      <c r="BB286"/>
      <c r="BC286"/>
      <c r="BD286"/>
      <c r="BE286"/>
      <c r="BF286"/>
      <c r="BH286"/>
      <c r="BI286"/>
      <c r="BJ286"/>
      <c r="BK286"/>
      <c r="BL286"/>
      <c r="BM286"/>
      <c r="BN286"/>
      <c r="BP286"/>
      <c r="BQ286"/>
      <c r="BR286"/>
      <c r="BS286"/>
      <c r="BT286"/>
      <c r="BU286"/>
      <c r="BV286"/>
      <c r="BW286"/>
      <c r="BZ286"/>
      <c r="CA286"/>
      <c r="CB286"/>
      <c r="CC286"/>
      <c r="CD286"/>
      <c r="CF286"/>
      <c r="CG286"/>
      <c r="CH286"/>
      <c r="CI286"/>
      <c r="CJ286"/>
      <c r="CK286"/>
      <c r="CL286"/>
      <c r="CM286"/>
      <c r="CN286"/>
      <c r="CO286"/>
      <c r="CP286"/>
      <c r="CQ286"/>
      <c r="CR286"/>
      <c r="CS286"/>
      <c r="CT286"/>
      <c r="CU286"/>
      <c r="CV286"/>
      <c r="CW286"/>
      <c r="CX286"/>
      <c r="CY286"/>
      <c r="CZ286"/>
      <c r="DA286"/>
      <c r="DB286"/>
      <c r="DC286"/>
      <c r="DD286"/>
      <c r="DE286"/>
      <c r="DG286"/>
      <c r="DH286"/>
      <c r="DI286"/>
      <c r="DJ286"/>
      <c r="DK286"/>
      <c r="DL286"/>
      <c r="DM286"/>
      <c r="DN286"/>
      <c r="DO286"/>
      <c r="DP286"/>
      <c r="DQ286"/>
      <c r="DR286"/>
      <c r="DS286"/>
      <c r="DT286"/>
      <c r="DU286"/>
      <c r="DV286"/>
      <c r="DW286"/>
      <c r="DZ286"/>
      <c r="EA286"/>
      <c r="EB286"/>
      <c r="EC286"/>
      <c r="ED286"/>
      <c r="EE286"/>
      <c r="EF286"/>
      <c r="EG286"/>
      <c r="EJ286"/>
      <c r="EK286"/>
      <c r="EL286"/>
      <c r="EM286"/>
      <c r="EN286"/>
      <c r="EO286"/>
      <c r="EP286"/>
      <c r="EQ286"/>
      <c r="ER286"/>
      <c r="ES286"/>
      <c r="ET286"/>
      <c r="EU286"/>
      <c r="EV286"/>
      <c r="EW286"/>
      <c r="EX286"/>
      <c r="EY286"/>
      <c r="EZ286"/>
      <c r="FA286"/>
      <c r="FB286"/>
      <c r="FC286"/>
      <c r="FD286"/>
      <c r="FE286"/>
      <c r="FF286"/>
      <c r="FG286"/>
      <c r="FH286"/>
      <c r="FK286" s="449" t="s">
        <v>6888</v>
      </c>
      <c r="FL286" s="457"/>
      <c r="FM286" s="449">
        <v>1</v>
      </c>
      <c r="FN286" s="452"/>
      <c r="FO286" s="452"/>
      <c r="FP286" s="452"/>
      <c r="FQ286" s="452"/>
      <c r="FR286" s="452"/>
      <c r="FS286" s="452"/>
      <c r="FT286" s="452"/>
      <c r="FU286" s="452"/>
      <c r="FV286" s="452"/>
      <c r="FW286" s="452"/>
      <c r="FX286" s="452"/>
      <c r="FY286" s="452"/>
      <c r="FZ286" s="453"/>
      <c r="GA286"/>
      <c r="GB286"/>
      <c r="GC286"/>
      <c r="GD286"/>
    </row>
    <row r="287" spans="4:186" x14ac:dyDescent="0.15">
      <c r="D287" s="23" t="s">
        <v>156</v>
      </c>
      <c r="AG287"/>
      <c r="AH287"/>
      <c r="AJ287"/>
      <c r="AK287"/>
      <c r="AL287"/>
      <c r="AM287"/>
      <c r="AO287"/>
      <c r="AP287"/>
      <c r="AQ287"/>
      <c r="AR287"/>
      <c r="AS287"/>
      <c r="AT287"/>
      <c r="AU287"/>
      <c r="AV287"/>
      <c r="AW287"/>
      <c r="AX287"/>
      <c r="AY287"/>
      <c r="AZ287"/>
      <c r="BA287"/>
      <c r="BB287"/>
      <c r="BC287"/>
      <c r="BD287"/>
      <c r="BE287"/>
      <c r="BF287"/>
      <c r="BH287"/>
      <c r="BI287"/>
      <c r="BJ287"/>
      <c r="BK287"/>
      <c r="BL287"/>
      <c r="BM287"/>
      <c r="BN287"/>
      <c r="BP287"/>
      <c r="BQ287"/>
      <c r="BR287"/>
      <c r="BS287"/>
      <c r="BT287"/>
      <c r="BU287"/>
      <c r="BV287"/>
      <c r="BW287"/>
      <c r="BZ287"/>
      <c r="CA287"/>
      <c r="CB287"/>
      <c r="CC287"/>
      <c r="CD287"/>
      <c r="CF287"/>
      <c r="CG287"/>
      <c r="CH287"/>
      <c r="CI287"/>
      <c r="CJ287"/>
      <c r="CK287"/>
      <c r="CL287"/>
      <c r="CM287"/>
      <c r="CN287"/>
      <c r="CO287"/>
      <c r="CP287"/>
      <c r="CQ287"/>
      <c r="CR287"/>
      <c r="CS287"/>
      <c r="CT287"/>
      <c r="CU287"/>
      <c r="CV287"/>
      <c r="CW287"/>
      <c r="CX287"/>
      <c r="CY287"/>
      <c r="CZ287"/>
      <c r="DA287"/>
      <c r="DB287"/>
      <c r="DC287"/>
      <c r="DD287"/>
      <c r="DE287"/>
      <c r="DG287"/>
      <c r="DH287"/>
      <c r="DI287"/>
      <c r="DJ287"/>
      <c r="DK287"/>
      <c r="DL287"/>
      <c r="DM287"/>
      <c r="DN287"/>
      <c r="DO287"/>
      <c r="DP287"/>
      <c r="DQ287"/>
      <c r="DR287"/>
      <c r="DS287"/>
      <c r="DT287"/>
      <c r="DU287"/>
      <c r="DV287"/>
      <c r="DW287"/>
      <c r="DZ287"/>
      <c r="EA287"/>
      <c r="EB287"/>
      <c r="EC287"/>
      <c r="ED287"/>
      <c r="EE287"/>
      <c r="EF287"/>
      <c r="EG287"/>
      <c r="EJ287"/>
      <c r="EK287"/>
      <c r="EL287"/>
      <c r="EM287"/>
      <c r="EN287"/>
      <c r="EO287"/>
      <c r="EP287"/>
      <c r="EQ287"/>
      <c r="ER287"/>
      <c r="ES287"/>
      <c r="ET287"/>
      <c r="EU287"/>
      <c r="EV287"/>
      <c r="EW287"/>
      <c r="EX287"/>
      <c r="EY287"/>
      <c r="EZ287"/>
      <c r="FA287"/>
      <c r="FB287"/>
      <c r="FC287"/>
      <c r="FD287"/>
      <c r="FE287"/>
      <c r="FF287"/>
      <c r="FG287"/>
      <c r="FH287"/>
      <c r="FK287" s="449">
        <v>10.648</v>
      </c>
      <c r="FL287" s="449" t="s">
        <v>405</v>
      </c>
      <c r="FM287" s="449">
        <v>1</v>
      </c>
      <c r="FN287" s="452"/>
      <c r="FO287" s="452"/>
      <c r="FP287" s="452"/>
      <c r="FQ287" s="452"/>
      <c r="FR287" s="452"/>
      <c r="FS287" s="452"/>
      <c r="FT287" s="452"/>
      <c r="FU287" s="452"/>
      <c r="FV287" s="452"/>
      <c r="FW287" s="452"/>
      <c r="FX287" s="452"/>
      <c r="FY287" s="452"/>
      <c r="FZ287" s="453"/>
      <c r="GA287"/>
      <c r="GB287"/>
      <c r="GC287"/>
      <c r="GD287"/>
    </row>
    <row r="288" spans="4:186" x14ac:dyDescent="0.15">
      <c r="AG288"/>
      <c r="AH288"/>
      <c r="AJ288"/>
      <c r="AK288"/>
      <c r="AL288"/>
      <c r="AM288"/>
      <c r="AO288"/>
      <c r="AP288"/>
      <c r="AQ288"/>
      <c r="AR288"/>
      <c r="AS288"/>
      <c r="AT288"/>
      <c r="AU288"/>
      <c r="AV288"/>
      <c r="AW288"/>
      <c r="AX288"/>
      <c r="AY288"/>
      <c r="AZ288"/>
      <c r="BA288"/>
      <c r="BB288"/>
      <c r="BC288"/>
      <c r="BD288"/>
      <c r="BE288"/>
      <c r="BF288"/>
      <c r="BH288"/>
      <c r="BI288"/>
      <c r="BJ288"/>
      <c r="BK288"/>
      <c r="BL288"/>
      <c r="BM288"/>
      <c r="BN288"/>
      <c r="BP288"/>
      <c r="BQ288"/>
      <c r="BR288"/>
      <c r="BS288"/>
      <c r="BT288"/>
      <c r="BU288"/>
      <c r="BV288"/>
      <c r="BW288"/>
      <c r="BZ288"/>
      <c r="CA288"/>
      <c r="CB288"/>
      <c r="CC288"/>
      <c r="CD288"/>
      <c r="CF288"/>
      <c r="CG288"/>
      <c r="CH288"/>
      <c r="CI288"/>
      <c r="CJ288"/>
      <c r="CK288"/>
      <c r="CL288"/>
      <c r="CM288"/>
      <c r="CN288"/>
      <c r="CO288"/>
      <c r="CP288"/>
      <c r="CQ288"/>
      <c r="CR288"/>
      <c r="CS288"/>
      <c r="CT288"/>
      <c r="CU288"/>
      <c r="CV288"/>
      <c r="CW288"/>
      <c r="CX288"/>
      <c r="CY288"/>
      <c r="CZ288"/>
      <c r="DA288"/>
      <c r="DB288"/>
      <c r="DC288"/>
      <c r="DD288"/>
      <c r="DE288"/>
      <c r="DG288"/>
      <c r="DH288"/>
      <c r="DI288"/>
      <c r="DJ288"/>
      <c r="DK288"/>
      <c r="DL288"/>
      <c r="DM288"/>
      <c r="DN288"/>
      <c r="DO288"/>
      <c r="DP288"/>
      <c r="DQ288"/>
      <c r="DR288"/>
      <c r="DS288"/>
      <c r="DT288"/>
      <c r="DU288"/>
      <c r="DV288"/>
      <c r="DW288"/>
      <c r="DZ288"/>
      <c r="EA288"/>
      <c r="EB288"/>
      <c r="EC288"/>
      <c r="ED288"/>
      <c r="EE288"/>
      <c r="EF288"/>
      <c r="EG288"/>
      <c r="EJ288"/>
      <c r="EK288"/>
      <c r="EL288"/>
      <c r="EM288"/>
      <c r="EN288"/>
      <c r="EO288"/>
      <c r="EP288"/>
      <c r="EQ288"/>
      <c r="ER288"/>
      <c r="ES288"/>
      <c r="ET288"/>
      <c r="EU288"/>
      <c r="EV288"/>
      <c r="EW288"/>
      <c r="EX288"/>
      <c r="EY288"/>
      <c r="EZ288"/>
      <c r="FA288"/>
      <c r="FB288"/>
      <c r="FC288"/>
      <c r="FD288"/>
      <c r="FE288"/>
      <c r="FF288"/>
      <c r="FG288"/>
      <c r="FH288"/>
      <c r="FK288" s="449" t="s">
        <v>6889</v>
      </c>
      <c r="FL288" s="457"/>
      <c r="FM288" s="449">
        <v>1</v>
      </c>
      <c r="FN288" s="452"/>
      <c r="FO288" s="452"/>
      <c r="FP288" s="452"/>
      <c r="FQ288" s="452"/>
      <c r="FR288" s="452"/>
      <c r="FS288" s="452"/>
      <c r="FT288" s="452"/>
      <c r="FU288" s="452"/>
      <c r="FV288" s="452"/>
      <c r="FW288" s="452"/>
      <c r="FX288" s="452"/>
      <c r="FY288" s="452"/>
      <c r="FZ288" s="453"/>
      <c r="GA288"/>
      <c r="GB288"/>
      <c r="GC288"/>
      <c r="GD288"/>
    </row>
    <row r="289" spans="27:186" x14ac:dyDescent="0.15">
      <c r="AG289"/>
      <c r="AH289"/>
      <c r="AJ289"/>
      <c r="AK289"/>
      <c r="AL289"/>
      <c r="AM289"/>
      <c r="AO289"/>
      <c r="AP289"/>
      <c r="AQ289"/>
      <c r="AR289"/>
      <c r="AS289"/>
      <c r="AT289"/>
      <c r="AU289"/>
      <c r="AV289"/>
      <c r="AW289"/>
      <c r="AX289"/>
      <c r="AY289"/>
      <c r="AZ289"/>
      <c r="BA289"/>
      <c r="BB289"/>
      <c r="BC289"/>
      <c r="BD289"/>
      <c r="BE289"/>
      <c r="BF289"/>
      <c r="BH289"/>
      <c r="BI289"/>
      <c r="BJ289"/>
      <c r="BK289"/>
      <c r="BL289"/>
      <c r="BM289"/>
      <c r="BN289"/>
      <c r="BP289"/>
      <c r="BQ289"/>
      <c r="BR289"/>
      <c r="BS289"/>
      <c r="BT289"/>
      <c r="BU289"/>
      <c r="BV289"/>
      <c r="BW289"/>
      <c r="BZ289"/>
      <c r="CA289"/>
      <c r="CB289"/>
      <c r="CC289"/>
      <c r="CD289"/>
      <c r="CF289"/>
      <c r="CG289"/>
      <c r="CH289"/>
      <c r="CI289"/>
      <c r="CJ289"/>
      <c r="CK289"/>
      <c r="CL289"/>
      <c r="CM289"/>
      <c r="CN289"/>
      <c r="CO289"/>
      <c r="CP289"/>
      <c r="CQ289"/>
      <c r="CR289"/>
      <c r="CS289"/>
      <c r="CT289"/>
      <c r="CU289"/>
      <c r="CV289"/>
      <c r="CW289"/>
      <c r="CX289"/>
      <c r="CY289"/>
      <c r="CZ289"/>
      <c r="DA289"/>
      <c r="DB289"/>
      <c r="DC289"/>
      <c r="DD289"/>
      <c r="DE289"/>
      <c r="DG289"/>
      <c r="DH289"/>
      <c r="DI289"/>
      <c r="DJ289"/>
      <c r="DK289"/>
      <c r="DL289"/>
      <c r="DM289"/>
      <c r="DN289"/>
      <c r="DO289"/>
      <c r="DP289"/>
      <c r="DQ289"/>
      <c r="DR289"/>
      <c r="DS289"/>
      <c r="DT289"/>
      <c r="DU289"/>
      <c r="DV289"/>
      <c r="DW289"/>
      <c r="DZ289"/>
      <c r="EA289"/>
      <c r="EB289"/>
      <c r="EC289"/>
      <c r="ED289"/>
      <c r="EE289"/>
      <c r="EF289"/>
      <c r="EG289"/>
      <c r="EJ289"/>
      <c r="EK289"/>
      <c r="EL289"/>
      <c r="EM289"/>
      <c r="EN289"/>
      <c r="EO289"/>
      <c r="EP289"/>
      <c r="EQ289"/>
      <c r="ER289"/>
      <c r="ES289"/>
      <c r="ET289"/>
      <c r="EU289"/>
      <c r="EV289"/>
      <c r="EW289"/>
      <c r="EX289"/>
      <c r="EY289"/>
      <c r="EZ289"/>
      <c r="FA289"/>
      <c r="FB289"/>
      <c r="FC289"/>
      <c r="FD289"/>
      <c r="FE289"/>
      <c r="FF289"/>
      <c r="FG289"/>
      <c r="FH289"/>
      <c r="FK289" s="449">
        <v>3.786</v>
      </c>
      <c r="FL289" s="449" t="s">
        <v>410</v>
      </c>
      <c r="FM289" s="449"/>
      <c r="FN289" s="452"/>
      <c r="FO289" s="452"/>
      <c r="FP289" s="452"/>
      <c r="FQ289" s="452"/>
      <c r="FR289" s="452"/>
      <c r="FS289" s="452">
        <v>1</v>
      </c>
      <c r="FT289" s="452"/>
      <c r="FU289" s="452"/>
      <c r="FV289" s="452"/>
      <c r="FW289" s="452"/>
      <c r="FX289" s="452"/>
      <c r="FY289" s="452"/>
      <c r="FZ289" s="453"/>
      <c r="GA289"/>
      <c r="GB289"/>
      <c r="GC289"/>
      <c r="GD289"/>
    </row>
    <row r="290" spans="27:186" x14ac:dyDescent="0.15">
      <c r="AG290"/>
      <c r="AH290"/>
      <c r="AJ290"/>
      <c r="AK290"/>
      <c r="AL290"/>
      <c r="AM290"/>
      <c r="AO290"/>
      <c r="AP290"/>
      <c r="AQ290"/>
      <c r="AR290"/>
      <c r="AS290"/>
      <c r="AT290"/>
      <c r="AU290"/>
      <c r="AV290"/>
      <c r="AW290"/>
      <c r="AX290"/>
      <c r="AY290"/>
      <c r="AZ290"/>
      <c r="BA290"/>
      <c r="BB290"/>
      <c r="BC290"/>
      <c r="BD290"/>
      <c r="BE290"/>
      <c r="BF290"/>
      <c r="BH290"/>
      <c r="BI290"/>
      <c r="BJ290"/>
      <c r="BK290"/>
      <c r="BL290"/>
      <c r="BM290"/>
      <c r="BN290"/>
      <c r="BP290"/>
      <c r="BQ290"/>
      <c r="BR290"/>
      <c r="BS290"/>
      <c r="BT290"/>
      <c r="BU290"/>
      <c r="BV290"/>
      <c r="BW290"/>
      <c r="BZ290"/>
      <c r="CA290"/>
      <c r="CB290"/>
      <c r="CC290"/>
      <c r="CD290"/>
      <c r="CF290"/>
      <c r="CG290"/>
      <c r="CH290"/>
      <c r="CI290"/>
      <c r="CJ290"/>
      <c r="CK290"/>
      <c r="CL290"/>
      <c r="CM290"/>
      <c r="CN290"/>
      <c r="CO290"/>
      <c r="CP290"/>
      <c r="CQ290"/>
      <c r="CR290"/>
      <c r="CS290"/>
      <c r="CT290"/>
      <c r="CU290"/>
      <c r="CV290"/>
      <c r="CW290"/>
      <c r="CX290"/>
      <c r="CY290"/>
      <c r="CZ290"/>
      <c r="DA290"/>
      <c r="DB290"/>
      <c r="DC290"/>
      <c r="DD290"/>
      <c r="DE290"/>
      <c r="DG290"/>
      <c r="DH290"/>
      <c r="DI290"/>
      <c r="DJ290"/>
      <c r="DK290"/>
      <c r="DL290"/>
      <c r="DM290"/>
      <c r="DN290"/>
      <c r="DO290"/>
      <c r="DP290"/>
      <c r="DQ290"/>
      <c r="DR290"/>
      <c r="DS290"/>
      <c r="DT290"/>
      <c r="DU290"/>
      <c r="DV290"/>
      <c r="DW290"/>
      <c r="DZ290"/>
      <c r="EA290"/>
      <c r="EB290"/>
      <c r="EC290"/>
      <c r="ED290"/>
      <c r="EE290"/>
      <c r="EF290"/>
      <c r="EG290"/>
      <c r="EJ290"/>
      <c r="EK290"/>
      <c r="EL290"/>
      <c r="EM290"/>
      <c r="EN290"/>
      <c r="EO290"/>
      <c r="EP290"/>
      <c r="EQ290"/>
      <c r="ER290"/>
      <c r="ES290"/>
      <c r="ET290"/>
      <c r="EU290"/>
      <c r="EV290"/>
      <c r="EW290"/>
      <c r="EX290"/>
      <c r="EY290"/>
      <c r="EZ290"/>
      <c r="FA290"/>
      <c r="FB290"/>
      <c r="FC290"/>
      <c r="FD290"/>
      <c r="FE290"/>
      <c r="FF290"/>
      <c r="FG290"/>
      <c r="FH290"/>
      <c r="FK290" s="449" t="s">
        <v>6890</v>
      </c>
      <c r="FL290" s="457"/>
      <c r="FM290" s="449"/>
      <c r="FN290" s="452"/>
      <c r="FO290" s="452"/>
      <c r="FP290" s="452"/>
      <c r="FQ290" s="452"/>
      <c r="FR290" s="452"/>
      <c r="FS290" s="452">
        <v>1</v>
      </c>
      <c r="FT290" s="452"/>
      <c r="FU290" s="452"/>
      <c r="FV290" s="452"/>
      <c r="FW290" s="452"/>
      <c r="FX290" s="452"/>
      <c r="FY290" s="452"/>
      <c r="FZ290" s="453"/>
      <c r="GA290"/>
      <c r="GB290"/>
      <c r="GC290"/>
      <c r="GD290"/>
    </row>
    <row r="291" spans="27:186" x14ac:dyDescent="0.15">
      <c r="AG291"/>
      <c r="AH291"/>
      <c r="AJ291"/>
      <c r="AK291"/>
      <c r="AL291"/>
      <c r="AM291"/>
      <c r="AO291"/>
      <c r="AP291"/>
      <c r="AQ291"/>
      <c r="AR291"/>
      <c r="AS291"/>
      <c r="AT291"/>
      <c r="AU291"/>
      <c r="AV291"/>
      <c r="AW291"/>
      <c r="AX291"/>
      <c r="AY291"/>
      <c r="AZ291"/>
      <c r="BA291"/>
      <c r="BB291"/>
      <c r="BC291"/>
      <c r="BD291"/>
      <c r="BE291"/>
      <c r="BF291"/>
      <c r="BH291"/>
      <c r="BI291"/>
      <c r="BJ291"/>
      <c r="BK291"/>
      <c r="BL291"/>
      <c r="BM291"/>
      <c r="BN291"/>
      <c r="BP291"/>
      <c r="BQ291"/>
      <c r="BR291"/>
      <c r="BS291"/>
      <c r="BT291"/>
      <c r="BU291"/>
      <c r="BV291"/>
      <c r="BW291"/>
      <c r="BZ291"/>
      <c r="CA291"/>
      <c r="CB291"/>
      <c r="CC291"/>
      <c r="CD291"/>
      <c r="CF291"/>
      <c r="CG291"/>
      <c r="CH291"/>
      <c r="CI291"/>
      <c r="CJ291"/>
      <c r="CK291"/>
      <c r="CL291"/>
      <c r="CM291"/>
      <c r="CN291"/>
      <c r="CO291"/>
      <c r="CP291"/>
      <c r="CQ291"/>
      <c r="CR291"/>
      <c r="CS291"/>
      <c r="CT291"/>
      <c r="CU291"/>
      <c r="CV291"/>
      <c r="CW291"/>
      <c r="CX291"/>
      <c r="CY291"/>
      <c r="CZ291"/>
      <c r="DA291"/>
      <c r="DB291"/>
      <c r="DC291"/>
      <c r="DD291"/>
      <c r="DE291"/>
      <c r="DG291"/>
      <c r="DH291"/>
      <c r="DI291"/>
      <c r="DJ291"/>
      <c r="DK291"/>
      <c r="DL291"/>
      <c r="DM291"/>
      <c r="DN291"/>
      <c r="DO291"/>
      <c r="DP291"/>
      <c r="DQ291"/>
      <c r="DR291"/>
      <c r="DS291"/>
      <c r="DT291"/>
      <c r="DU291"/>
      <c r="DV291"/>
      <c r="DW291"/>
      <c r="DZ291"/>
      <c r="EA291"/>
      <c r="EB291"/>
      <c r="EC291"/>
      <c r="ED291"/>
      <c r="EE291"/>
      <c r="EF291"/>
      <c r="EG291"/>
      <c r="EJ291"/>
      <c r="EK291"/>
      <c r="EL291"/>
      <c r="EM291"/>
      <c r="EN291"/>
      <c r="EO291"/>
      <c r="EP291"/>
      <c r="EQ291"/>
      <c r="ER291"/>
      <c r="ES291"/>
      <c r="ET291"/>
      <c r="EU291"/>
      <c r="EV291"/>
      <c r="EW291"/>
      <c r="EX291"/>
      <c r="EY291"/>
      <c r="EZ291"/>
      <c r="FA291"/>
      <c r="FB291"/>
      <c r="FC291"/>
      <c r="FD291"/>
      <c r="FE291"/>
      <c r="FF291"/>
      <c r="FG291"/>
      <c r="FH291"/>
      <c r="FK291" s="449">
        <v>0.70599999999999996</v>
      </c>
      <c r="FL291" s="449" t="s">
        <v>411</v>
      </c>
      <c r="FM291" s="449"/>
      <c r="FN291" s="452"/>
      <c r="FO291" s="452"/>
      <c r="FP291" s="452">
        <v>1</v>
      </c>
      <c r="FQ291" s="452"/>
      <c r="FR291" s="452"/>
      <c r="FS291" s="452"/>
      <c r="FT291" s="452"/>
      <c r="FU291" s="452"/>
      <c r="FV291" s="452"/>
      <c r="FW291" s="452"/>
      <c r="FX291" s="452"/>
      <c r="FY291" s="452"/>
      <c r="FZ291" s="453"/>
      <c r="GA291"/>
      <c r="GB291"/>
      <c r="GC291"/>
      <c r="GD291"/>
    </row>
    <row r="292" spans="27:186" x14ac:dyDescent="0.15">
      <c r="AG292"/>
      <c r="AH292"/>
      <c r="AJ292"/>
      <c r="AK292"/>
      <c r="AL292"/>
      <c r="AM292"/>
      <c r="AO292"/>
      <c r="AP292"/>
      <c r="AQ292"/>
      <c r="AR292"/>
      <c r="AS292"/>
      <c r="AT292"/>
      <c r="AU292"/>
      <c r="AV292"/>
      <c r="AW292"/>
      <c r="AX292"/>
      <c r="AY292"/>
      <c r="AZ292"/>
      <c r="BA292"/>
      <c r="BB292"/>
      <c r="BC292"/>
      <c r="BD292"/>
      <c r="BE292"/>
      <c r="BF292"/>
      <c r="BH292"/>
      <c r="BI292"/>
      <c r="BJ292"/>
      <c r="BK292"/>
      <c r="BL292"/>
      <c r="BM292"/>
      <c r="BN292"/>
      <c r="BP292"/>
      <c r="BQ292"/>
      <c r="BR292"/>
      <c r="BS292"/>
      <c r="BT292"/>
      <c r="BU292"/>
      <c r="BV292"/>
      <c r="BW292"/>
      <c r="BZ292"/>
      <c r="CA292"/>
      <c r="CB292"/>
      <c r="CC292"/>
      <c r="CD292"/>
      <c r="CF292"/>
      <c r="CG292"/>
      <c r="CH292"/>
      <c r="CI292"/>
      <c r="CJ292"/>
      <c r="CK292"/>
      <c r="CL292"/>
      <c r="CM292"/>
      <c r="CN292"/>
      <c r="CO292"/>
      <c r="CP292"/>
      <c r="CQ292"/>
      <c r="CR292"/>
      <c r="CS292"/>
      <c r="CT292"/>
      <c r="CU292"/>
      <c r="CV292"/>
      <c r="CW292"/>
      <c r="CX292"/>
      <c r="CY292"/>
      <c r="CZ292"/>
      <c r="DA292"/>
      <c r="DB292"/>
      <c r="DC292"/>
      <c r="DD292"/>
      <c r="DE292"/>
      <c r="DG292"/>
      <c r="DH292"/>
      <c r="DI292"/>
      <c r="DJ292"/>
      <c r="DK292"/>
      <c r="DL292"/>
      <c r="DM292"/>
      <c r="DN292"/>
      <c r="DO292"/>
      <c r="DP292"/>
      <c r="DQ292"/>
      <c r="DR292"/>
      <c r="DS292"/>
      <c r="DT292"/>
      <c r="DU292"/>
      <c r="DV292"/>
      <c r="DW292"/>
      <c r="DZ292"/>
      <c r="EA292"/>
      <c r="EB292"/>
      <c r="EC292"/>
      <c r="ED292"/>
      <c r="EE292"/>
      <c r="EF292"/>
      <c r="EG292"/>
      <c r="EJ292"/>
      <c r="EK292"/>
      <c r="EL292"/>
      <c r="EM292"/>
      <c r="EN292"/>
      <c r="EO292"/>
      <c r="EP292"/>
      <c r="EQ292"/>
      <c r="ER292"/>
      <c r="ES292"/>
      <c r="ET292"/>
      <c r="EU292"/>
      <c r="EV292"/>
      <c r="EW292"/>
      <c r="EX292"/>
      <c r="EY292"/>
      <c r="EZ292"/>
      <c r="FA292"/>
      <c r="FB292"/>
      <c r="FC292"/>
      <c r="FD292"/>
      <c r="FE292"/>
      <c r="FF292"/>
      <c r="FG292"/>
      <c r="FH292"/>
      <c r="FK292" s="449" t="s">
        <v>6891</v>
      </c>
      <c r="FL292" s="457"/>
      <c r="FM292" s="449"/>
      <c r="FN292" s="452"/>
      <c r="FO292" s="452"/>
      <c r="FP292" s="452">
        <v>1</v>
      </c>
      <c r="FQ292" s="452"/>
      <c r="FR292" s="452"/>
      <c r="FS292" s="452"/>
      <c r="FT292" s="452"/>
      <c r="FU292" s="452"/>
      <c r="FV292" s="452"/>
      <c r="FW292" s="452"/>
      <c r="FX292" s="452"/>
      <c r="FY292" s="452"/>
      <c r="FZ292" s="453"/>
      <c r="GA292"/>
      <c r="GB292"/>
      <c r="GC292"/>
      <c r="GD292"/>
    </row>
    <row r="293" spans="27:186" x14ac:dyDescent="0.15">
      <c r="AG293"/>
      <c r="AH293"/>
      <c r="AJ293"/>
      <c r="AK293"/>
      <c r="AL293"/>
      <c r="AM293"/>
      <c r="AO293"/>
      <c r="AP293"/>
      <c r="AQ293"/>
      <c r="AR293"/>
      <c r="AS293"/>
      <c r="AT293"/>
      <c r="AU293"/>
      <c r="AV293"/>
      <c r="AW293"/>
      <c r="AX293"/>
      <c r="AY293"/>
      <c r="AZ293"/>
      <c r="BA293"/>
      <c r="BB293"/>
      <c r="BC293"/>
      <c r="BD293"/>
      <c r="BE293"/>
      <c r="BF293"/>
      <c r="BH293"/>
      <c r="BI293"/>
      <c r="BJ293"/>
      <c r="BK293"/>
      <c r="BL293"/>
      <c r="BM293"/>
      <c r="BN293"/>
      <c r="BP293"/>
      <c r="BQ293"/>
      <c r="BR293"/>
      <c r="BS293"/>
      <c r="BT293"/>
      <c r="BU293"/>
      <c r="BV293"/>
      <c r="BW293"/>
      <c r="BZ293"/>
      <c r="CA293"/>
      <c r="CB293"/>
      <c r="CC293"/>
      <c r="CD293"/>
      <c r="CF293"/>
      <c r="CG293"/>
      <c r="CH293"/>
      <c r="CI293"/>
      <c r="CJ293"/>
      <c r="CK293"/>
      <c r="CL293"/>
      <c r="CM293"/>
      <c r="CN293"/>
      <c r="CO293"/>
      <c r="CP293"/>
      <c r="CQ293"/>
      <c r="CR293"/>
      <c r="CS293"/>
      <c r="CT293"/>
      <c r="CU293"/>
      <c r="CV293"/>
      <c r="CW293"/>
      <c r="CX293"/>
      <c r="CY293"/>
      <c r="CZ293"/>
      <c r="DA293"/>
      <c r="DB293"/>
      <c r="DC293"/>
      <c r="DD293"/>
      <c r="DE293"/>
      <c r="DG293"/>
      <c r="DH293"/>
      <c r="DI293"/>
      <c r="DJ293"/>
      <c r="DK293"/>
      <c r="DL293"/>
      <c r="DM293"/>
      <c r="DN293"/>
      <c r="DO293"/>
      <c r="DP293"/>
      <c r="DQ293"/>
      <c r="DR293"/>
      <c r="DS293"/>
      <c r="DT293"/>
      <c r="DU293"/>
      <c r="DV293"/>
      <c r="DW293"/>
      <c r="DZ293"/>
      <c r="EA293"/>
      <c r="EB293"/>
      <c r="EC293"/>
      <c r="ED293"/>
      <c r="EE293"/>
      <c r="EF293"/>
      <c r="EG293"/>
      <c r="EJ293"/>
      <c r="EK293"/>
      <c r="EL293"/>
      <c r="EM293"/>
      <c r="EN293"/>
      <c r="EO293"/>
      <c r="EP293"/>
      <c r="EQ293"/>
      <c r="ER293"/>
      <c r="ES293"/>
      <c r="ET293"/>
      <c r="EU293"/>
      <c r="EV293"/>
      <c r="EW293"/>
      <c r="EX293"/>
      <c r="EY293"/>
      <c r="EZ293"/>
      <c r="FA293"/>
      <c r="FB293"/>
      <c r="FC293"/>
      <c r="FD293"/>
      <c r="FE293"/>
      <c r="FF293"/>
      <c r="FG293"/>
      <c r="FH293"/>
      <c r="FK293" s="449">
        <v>0.26600000000000001</v>
      </c>
      <c r="FL293" s="449" t="s">
        <v>406</v>
      </c>
      <c r="FM293" s="449">
        <v>1</v>
      </c>
      <c r="FN293" s="452"/>
      <c r="FO293" s="452"/>
      <c r="FP293" s="452"/>
      <c r="FQ293" s="452"/>
      <c r="FR293" s="452"/>
      <c r="FS293" s="452"/>
      <c r="FT293" s="452"/>
      <c r="FU293" s="452"/>
      <c r="FV293" s="452"/>
      <c r="FW293" s="452"/>
      <c r="FX293" s="452"/>
      <c r="FY293" s="452"/>
      <c r="FZ293" s="453"/>
      <c r="GA293"/>
      <c r="GB293"/>
      <c r="GC293"/>
      <c r="GD293"/>
    </row>
    <row r="294" spans="27:186" x14ac:dyDescent="0.15">
      <c r="AA294" s="7" t="s">
        <v>149</v>
      </c>
      <c r="AG294"/>
      <c r="AH294"/>
      <c r="AJ294"/>
      <c r="AK294"/>
      <c r="AL294"/>
      <c r="AM294"/>
      <c r="AO294"/>
      <c r="AP294"/>
      <c r="AQ294"/>
      <c r="AR294"/>
      <c r="AS294"/>
      <c r="AT294"/>
      <c r="AU294"/>
      <c r="AV294"/>
      <c r="AW294"/>
      <c r="AX294"/>
      <c r="AY294"/>
      <c r="AZ294"/>
      <c r="BA294"/>
      <c r="BB294"/>
      <c r="BC294"/>
      <c r="BD294"/>
      <c r="BE294"/>
      <c r="BF294"/>
      <c r="BH294"/>
      <c r="BI294"/>
      <c r="BJ294"/>
      <c r="BK294"/>
      <c r="BL294"/>
      <c r="BM294"/>
      <c r="BN294"/>
      <c r="BP294"/>
      <c r="BQ294"/>
      <c r="BR294"/>
      <c r="BS294"/>
      <c r="BT294"/>
      <c r="BU294"/>
      <c r="BV294"/>
      <c r="BW294"/>
      <c r="BZ294"/>
      <c r="CA294"/>
      <c r="CB294"/>
      <c r="CC294"/>
      <c r="CD294"/>
      <c r="CF294"/>
      <c r="CG294"/>
      <c r="CH294"/>
      <c r="CI294"/>
      <c r="CJ294"/>
      <c r="CK294"/>
      <c r="CL294"/>
      <c r="CM294"/>
      <c r="CN294"/>
      <c r="CO294"/>
      <c r="CP294"/>
      <c r="CQ294"/>
      <c r="CR294"/>
      <c r="CS294"/>
      <c r="CT294"/>
      <c r="CU294"/>
      <c r="CV294"/>
      <c r="CW294"/>
      <c r="CX294"/>
      <c r="CY294"/>
      <c r="CZ294"/>
      <c r="DA294"/>
      <c r="DB294"/>
      <c r="DC294"/>
      <c r="DD294"/>
      <c r="DE294"/>
      <c r="DG294"/>
      <c r="DH294"/>
      <c r="DI294"/>
      <c r="DJ294"/>
      <c r="DK294"/>
      <c r="DL294"/>
      <c r="DM294"/>
      <c r="DN294"/>
      <c r="DO294"/>
      <c r="DP294"/>
      <c r="DQ294"/>
      <c r="DR294"/>
      <c r="DS294"/>
      <c r="DT294"/>
      <c r="DU294"/>
      <c r="DV294"/>
      <c r="DW294"/>
      <c r="DZ294"/>
      <c r="EA294"/>
      <c r="EB294"/>
      <c r="EC294"/>
      <c r="ED294"/>
      <c r="EE294"/>
      <c r="EF294"/>
      <c r="EG294"/>
      <c r="EJ294"/>
      <c r="EK294"/>
      <c r="EL294"/>
      <c r="EM294"/>
      <c r="EN294"/>
      <c r="EO294"/>
      <c r="EP294"/>
      <c r="EQ294"/>
      <c r="ER294"/>
      <c r="ES294"/>
      <c r="ET294"/>
      <c r="EU294"/>
      <c r="EV294"/>
      <c r="EW294"/>
      <c r="EX294"/>
      <c r="EY294"/>
      <c r="EZ294"/>
      <c r="FA294"/>
      <c r="FB294"/>
      <c r="FC294"/>
      <c r="FD294"/>
      <c r="FE294"/>
      <c r="FF294"/>
      <c r="FG294"/>
      <c r="FH294"/>
      <c r="FK294" s="449" t="s">
        <v>6892</v>
      </c>
      <c r="FL294" s="457"/>
      <c r="FM294" s="449">
        <v>1</v>
      </c>
      <c r="FN294" s="452"/>
      <c r="FO294" s="452"/>
      <c r="FP294" s="452"/>
      <c r="FQ294" s="452"/>
      <c r="FR294" s="452"/>
      <c r="FS294" s="452"/>
      <c r="FT294" s="452"/>
      <c r="FU294" s="452"/>
      <c r="FV294" s="452"/>
      <c r="FW294" s="452"/>
      <c r="FX294" s="452"/>
      <c r="FY294" s="452"/>
      <c r="FZ294" s="453"/>
      <c r="GA294"/>
      <c r="GB294"/>
      <c r="GC294"/>
      <c r="GD294"/>
    </row>
    <row r="295" spans="27:186" x14ac:dyDescent="0.15">
      <c r="AG295"/>
      <c r="AH295"/>
      <c r="AJ295"/>
      <c r="AK295"/>
      <c r="AL295"/>
      <c r="AM295"/>
      <c r="AO295"/>
      <c r="AP295"/>
      <c r="AQ295"/>
      <c r="AR295"/>
      <c r="AS295"/>
      <c r="AT295"/>
      <c r="AU295"/>
      <c r="AV295"/>
      <c r="AW295"/>
      <c r="AX295"/>
      <c r="AY295"/>
      <c r="AZ295"/>
      <c r="BA295"/>
      <c r="BB295"/>
      <c r="BC295"/>
      <c r="BD295"/>
      <c r="BE295"/>
      <c r="BF295"/>
      <c r="BH295"/>
      <c r="BI295"/>
      <c r="BJ295"/>
      <c r="BK295"/>
      <c r="BL295"/>
      <c r="BM295"/>
      <c r="BN295"/>
      <c r="BP295"/>
      <c r="BQ295"/>
      <c r="BR295"/>
      <c r="BS295"/>
      <c r="BT295"/>
      <c r="BU295"/>
      <c r="BV295"/>
      <c r="BW295"/>
      <c r="BZ295"/>
      <c r="CA295"/>
      <c r="CB295"/>
      <c r="CC295"/>
      <c r="CD295"/>
      <c r="CF295"/>
      <c r="CG295"/>
      <c r="CH295"/>
      <c r="CI295"/>
      <c r="CJ295"/>
      <c r="CK295"/>
      <c r="CL295"/>
      <c r="CM295"/>
      <c r="CN295"/>
      <c r="CO295"/>
      <c r="CP295"/>
      <c r="CQ295"/>
      <c r="CR295"/>
      <c r="CS295"/>
      <c r="CT295"/>
      <c r="CU295"/>
      <c r="CV295"/>
      <c r="CW295"/>
      <c r="CX295"/>
      <c r="CY295"/>
      <c r="CZ295"/>
      <c r="DA295"/>
      <c r="DB295"/>
      <c r="DC295"/>
      <c r="DD295"/>
      <c r="DE295"/>
      <c r="DG295"/>
      <c r="DH295"/>
      <c r="DI295"/>
      <c r="DJ295"/>
      <c r="DK295"/>
      <c r="DL295"/>
      <c r="DM295"/>
      <c r="DN295"/>
      <c r="DO295"/>
      <c r="DP295"/>
      <c r="DQ295"/>
      <c r="DR295"/>
      <c r="DS295"/>
      <c r="DT295"/>
      <c r="DU295"/>
      <c r="DV295"/>
      <c r="DW295"/>
      <c r="DZ295"/>
      <c r="EA295"/>
      <c r="EB295"/>
      <c r="EC295"/>
      <c r="ED295"/>
      <c r="EE295"/>
      <c r="EF295"/>
      <c r="EG295"/>
      <c r="EJ295"/>
      <c r="EK295"/>
      <c r="EL295"/>
      <c r="EM295"/>
      <c r="EN295"/>
      <c r="EO295"/>
      <c r="EP295"/>
      <c r="EQ295"/>
      <c r="ER295"/>
      <c r="ES295"/>
      <c r="ET295"/>
      <c r="EU295"/>
      <c r="EV295"/>
      <c r="EW295"/>
      <c r="EX295"/>
      <c r="EY295"/>
      <c r="EZ295"/>
      <c r="FA295"/>
      <c r="FB295"/>
      <c r="FC295"/>
      <c r="FD295"/>
      <c r="FE295"/>
      <c r="FF295"/>
      <c r="FG295"/>
      <c r="FH295"/>
      <c r="FK295" s="449">
        <v>5.6020000000000003</v>
      </c>
      <c r="FL295" s="449" t="s">
        <v>446</v>
      </c>
      <c r="FM295" s="449"/>
      <c r="FN295" s="452"/>
      <c r="FO295" s="452"/>
      <c r="FP295" s="452"/>
      <c r="FQ295" s="452"/>
      <c r="FR295" s="452"/>
      <c r="FS295" s="452">
        <v>1</v>
      </c>
      <c r="FT295" s="452"/>
      <c r="FU295" s="452"/>
      <c r="FV295" s="452"/>
      <c r="FW295" s="452"/>
      <c r="FX295" s="452"/>
      <c r="FY295" s="452"/>
      <c r="FZ295" s="453"/>
      <c r="GA295"/>
      <c r="GB295"/>
      <c r="GC295"/>
      <c r="GD295"/>
    </row>
    <row r="296" spans="27:186" x14ac:dyDescent="0.15">
      <c r="AG296"/>
      <c r="AH296"/>
      <c r="AJ296"/>
      <c r="AK296"/>
      <c r="AL296"/>
      <c r="AM296"/>
      <c r="AO296"/>
      <c r="AP296"/>
      <c r="AQ296"/>
      <c r="AR296"/>
      <c r="AS296"/>
      <c r="AT296"/>
      <c r="AU296"/>
      <c r="AV296"/>
      <c r="AW296"/>
      <c r="AX296"/>
      <c r="AY296"/>
      <c r="AZ296"/>
      <c r="BA296"/>
      <c r="BB296"/>
      <c r="BC296"/>
      <c r="BD296"/>
      <c r="BE296"/>
      <c r="BF296"/>
      <c r="BH296"/>
      <c r="BI296"/>
      <c r="BJ296"/>
      <c r="BK296"/>
      <c r="BL296"/>
      <c r="BM296"/>
      <c r="BN296"/>
      <c r="BP296"/>
      <c r="BQ296"/>
      <c r="BR296"/>
      <c r="BS296"/>
      <c r="BT296"/>
      <c r="BU296"/>
      <c r="BV296"/>
      <c r="BW296"/>
      <c r="BZ296"/>
      <c r="CA296"/>
      <c r="CB296"/>
      <c r="CC296"/>
      <c r="CD296"/>
      <c r="CF296"/>
      <c r="CG296"/>
      <c r="CH296"/>
      <c r="CI296"/>
      <c r="CJ296"/>
      <c r="CK296"/>
      <c r="CL296"/>
      <c r="CM296"/>
      <c r="CN296"/>
      <c r="CO296"/>
      <c r="CP296"/>
      <c r="CQ296"/>
      <c r="CR296"/>
      <c r="CS296"/>
      <c r="CT296"/>
      <c r="CU296"/>
      <c r="CV296"/>
      <c r="CW296"/>
      <c r="CX296"/>
      <c r="CY296"/>
      <c r="CZ296"/>
      <c r="DA296"/>
      <c r="DB296"/>
      <c r="DC296"/>
      <c r="DD296"/>
      <c r="DE296"/>
      <c r="DG296"/>
      <c r="DH296"/>
      <c r="DI296"/>
      <c r="DJ296"/>
      <c r="DK296"/>
      <c r="DL296"/>
      <c r="DM296"/>
      <c r="DN296"/>
      <c r="DO296"/>
      <c r="DP296"/>
      <c r="DQ296"/>
      <c r="DR296"/>
      <c r="DS296"/>
      <c r="DT296"/>
      <c r="DU296"/>
      <c r="DV296"/>
      <c r="DW296"/>
      <c r="DZ296"/>
      <c r="EA296"/>
      <c r="EB296"/>
      <c r="EC296"/>
      <c r="ED296"/>
      <c r="EE296"/>
      <c r="EF296"/>
      <c r="EG296"/>
      <c r="EJ296"/>
      <c r="EK296"/>
      <c r="EL296"/>
      <c r="EM296"/>
      <c r="EN296"/>
      <c r="EO296"/>
      <c r="EP296"/>
      <c r="EQ296"/>
      <c r="ER296"/>
      <c r="ES296"/>
      <c r="ET296"/>
      <c r="EU296"/>
      <c r="EV296"/>
      <c r="EW296"/>
      <c r="EX296"/>
      <c r="EY296"/>
      <c r="EZ296"/>
      <c r="FA296"/>
      <c r="FB296"/>
      <c r="FC296"/>
      <c r="FD296"/>
      <c r="FE296"/>
      <c r="FF296"/>
      <c r="FG296"/>
      <c r="FH296"/>
      <c r="FK296" s="449" t="s">
        <v>6893</v>
      </c>
      <c r="FL296" s="457"/>
      <c r="FM296" s="449"/>
      <c r="FN296" s="452"/>
      <c r="FO296" s="452"/>
      <c r="FP296" s="452"/>
      <c r="FQ296" s="452"/>
      <c r="FR296" s="452"/>
      <c r="FS296" s="452">
        <v>1</v>
      </c>
      <c r="FT296" s="452"/>
      <c r="FU296" s="452"/>
      <c r="FV296" s="452"/>
      <c r="FW296" s="452"/>
      <c r="FX296" s="452"/>
      <c r="FY296" s="452"/>
      <c r="FZ296" s="453"/>
      <c r="GA296"/>
      <c r="GB296"/>
      <c r="GC296"/>
      <c r="GD296"/>
    </row>
    <row r="297" spans="27:186" x14ac:dyDescent="0.15">
      <c r="AG297"/>
      <c r="AH297"/>
      <c r="AJ297"/>
      <c r="AK297"/>
      <c r="AL297"/>
      <c r="AM297"/>
      <c r="AO297"/>
      <c r="AP297"/>
      <c r="AQ297"/>
      <c r="AR297"/>
      <c r="AS297"/>
      <c r="AT297"/>
      <c r="AU297"/>
      <c r="AV297"/>
      <c r="AW297"/>
      <c r="AX297"/>
      <c r="AY297"/>
      <c r="AZ297"/>
      <c r="BA297"/>
      <c r="BB297"/>
      <c r="BC297"/>
      <c r="BD297"/>
      <c r="BE297"/>
      <c r="BF297"/>
      <c r="BH297"/>
      <c r="BI297"/>
      <c r="BJ297"/>
      <c r="BK297"/>
      <c r="BL297"/>
      <c r="BM297"/>
      <c r="BN297"/>
      <c r="BP297"/>
      <c r="BQ297"/>
      <c r="BR297"/>
      <c r="BS297"/>
      <c r="BT297"/>
      <c r="BU297"/>
      <c r="BV297"/>
      <c r="BW297"/>
      <c r="BZ297"/>
      <c r="CA297"/>
      <c r="CB297"/>
      <c r="CC297"/>
      <c r="CD297"/>
      <c r="CF297"/>
      <c r="CG297"/>
      <c r="CH297"/>
      <c r="CI297"/>
      <c r="CJ297"/>
      <c r="CK297"/>
      <c r="CL297"/>
      <c r="CM297"/>
      <c r="CN297"/>
      <c r="CO297"/>
      <c r="CP297"/>
      <c r="CQ297"/>
      <c r="CR297"/>
      <c r="CS297"/>
      <c r="CT297"/>
      <c r="CU297"/>
      <c r="CV297"/>
      <c r="CW297"/>
      <c r="CX297"/>
      <c r="CY297"/>
      <c r="CZ297"/>
      <c r="DA297"/>
      <c r="DB297"/>
      <c r="DC297"/>
      <c r="DD297"/>
      <c r="DE297"/>
      <c r="DG297"/>
      <c r="DH297"/>
      <c r="DI297"/>
      <c r="DJ297"/>
      <c r="DK297"/>
      <c r="DL297"/>
      <c r="DM297"/>
      <c r="DN297"/>
      <c r="DO297"/>
      <c r="DP297"/>
      <c r="DQ297"/>
      <c r="DR297"/>
      <c r="DS297"/>
      <c r="DT297"/>
      <c r="DU297"/>
      <c r="DV297"/>
      <c r="DW297"/>
      <c r="DZ297"/>
      <c r="EA297"/>
      <c r="EB297"/>
      <c r="EC297"/>
      <c r="ED297"/>
      <c r="EE297"/>
      <c r="EF297"/>
      <c r="EG297"/>
      <c r="EJ297"/>
      <c r="EK297"/>
      <c r="EL297"/>
      <c r="EM297"/>
      <c r="EN297"/>
      <c r="EO297"/>
      <c r="EP297"/>
      <c r="EQ297"/>
      <c r="ER297"/>
      <c r="ES297"/>
      <c r="ET297"/>
      <c r="EU297"/>
      <c r="EV297"/>
      <c r="EW297"/>
      <c r="EX297"/>
      <c r="EY297"/>
      <c r="EZ297"/>
      <c r="FA297"/>
      <c r="FB297"/>
      <c r="FC297"/>
      <c r="FD297"/>
      <c r="FE297"/>
      <c r="FF297"/>
      <c r="FG297"/>
      <c r="FH297"/>
      <c r="FK297" s="449">
        <v>2E-3</v>
      </c>
      <c r="FL297" s="449" t="s">
        <v>397</v>
      </c>
      <c r="FM297" s="449"/>
      <c r="FN297" s="452"/>
      <c r="FO297" s="452"/>
      <c r="FP297" s="452"/>
      <c r="FQ297" s="452"/>
      <c r="FR297" s="452"/>
      <c r="FS297" s="452"/>
      <c r="FT297" s="452">
        <v>1</v>
      </c>
      <c r="FU297" s="452"/>
      <c r="FV297" s="452"/>
      <c r="FW297" s="452"/>
      <c r="FX297" s="452"/>
      <c r="FY297" s="452"/>
      <c r="FZ297" s="453"/>
      <c r="GA297"/>
      <c r="GB297"/>
      <c r="GC297"/>
      <c r="GD297"/>
    </row>
    <row r="298" spans="27:186" x14ac:dyDescent="0.15">
      <c r="AG298"/>
      <c r="AH298"/>
      <c r="AJ298"/>
      <c r="AK298"/>
      <c r="AL298"/>
      <c r="AM298"/>
      <c r="AO298"/>
      <c r="AP298"/>
      <c r="AQ298"/>
      <c r="AR298"/>
      <c r="AS298"/>
      <c r="AT298"/>
      <c r="AU298"/>
      <c r="AV298"/>
      <c r="AW298"/>
      <c r="AX298"/>
      <c r="AY298"/>
      <c r="AZ298"/>
      <c r="BA298"/>
      <c r="BB298"/>
      <c r="BC298"/>
      <c r="BD298"/>
      <c r="BE298"/>
      <c r="BF298"/>
      <c r="BH298"/>
      <c r="BI298"/>
      <c r="BJ298"/>
      <c r="BK298"/>
      <c r="BL298"/>
      <c r="BM298"/>
      <c r="BN298"/>
      <c r="BP298"/>
      <c r="BQ298"/>
      <c r="BR298"/>
      <c r="BS298"/>
      <c r="BT298"/>
      <c r="BU298"/>
      <c r="BV298"/>
      <c r="BW298"/>
      <c r="BZ298"/>
      <c r="CA298"/>
      <c r="CB298"/>
      <c r="CC298"/>
      <c r="CD298"/>
      <c r="CF298"/>
      <c r="CG298"/>
      <c r="CH298"/>
      <c r="CI298"/>
      <c r="CJ298"/>
      <c r="CK298"/>
      <c r="CL298"/>
      <c r="CM298"/>
      <c r="CN298"/>
      <c r="CO298"/>
      <c r="CP298"/>
      <c r="CQ298"/>
      <c r="CR298"/>
      <c r="CS298"/>
      <c r="CT298"/>
      <c r="CU298"/>
      <c r="CV298"/>
      <c r="CW298"/>
      <c r="CX298"/>
      <c r="CY298"/>
      <c r="CZ298"/>
      <c r="DA298"/>
      <c r="DB298"/>
      <c r="DC298"/>
      <c r="DD298"/>
      <c r="DE298"/>
      <c r="DG298"/>
      <c r="DH298"/>
      <c r="DI298"/>
      <c r="DJ298"/>
      <c r="DK298"/>
      <c r="DL298"/>
      <c r="DM298"/>
      <c r="DN298"/>
      <c r="DO298"/>
      <c r="DP298"/>
      <c r="DQ298"/>
      <c r="DR298"/>
      <c r="DS298"/>
      <c r="DT298"/>
      <c r="DU298"/>
      <c r="DV298"/>
      <c r="DW298"/>
      <c r="DZ298"/>
      <c r="EA298"/>
      <c r="EB298"/>
      <c r="EC298"/>
      <c r="ED298"/>
      <c r="EE298"/>
      <c r="EF298"/>
      <c r="EG298"/>
      <c r="EJ298"/>
      <c r="EK298"/>
      <c r="EL298"/>
      <c r="EM298"/>
      <c r="EN298"/>
      <c r="EO298"/>
      <c r="EP298"/>
      <c r="EQ298"/>
      <c r="ER298"/>
      <c r="ES298"/>
      <c r="ET298"/>
      <c r="EU298"/>
      <c r="EV298"/>
      <c r="EW298"/>
      <c r="EX298"/>
      <c r="EY298"/>
      <c r="EZ298"/>
      <c r="FA298"/>
      <c r="FB298"/>
      <c r="FC298"/>
      <c r="FD298"/>
      <c r="FE298"/>
      <c r="FF298"/>
      <c r="FG298"/>
      <c r="FH298"/>
      <c r="FK298" s="449" t="s">
        <v>6894</v>
      </c>
      <c r="FL298" s="457"/>
      <c r="FM298" s="449"/>
      <c r="FN298" s="452"/>
      <c r="FO298" s="452"/>
      <c r="FP298" s="452"/>
      <c r="FQ298" s="452"/>
      <c r="FR298" s="452"/>
      <c r="FS298" s="452"/>
      <c r="FT298" s="452">
        <v>1</v>
      </c>
      <c r="FU298" s="452"/>
      <c r="FV298" s="452"/>
      <c r="FW298" s="452"/>
      <c r="FX298" s="452"/>
      <c r="FY298" s="452"/>
      <c r="FZ298" s="453"/>
      <c r="GA298"/>
      <c r="GB298"/>
      <c r="GC298"/>
      <c r="GD298"/>
    </row>
    <row r="299" spans="27:186" x14ac:dyDescent="0.15">
      <c r="AG299"/>
      <c r="AH299"/>
      <c r="AJ299"/>
      <c r="AK299"/>
      <c r="AL299"/>
      <c r="AM299"/>
      <c r="AO299"/>
      <c r="AP299"/>
      <c r="AQ299"/>
      <c r="AR299"/>
      <c r="AS299"/>
      <c r="AT299"/>
      <c r="AU299"/>
      <c r="AV299"/>
      <c r="AW299"/>
      <c r="AX299"/>
      <c r="AY299"/>
      <c r="AZ299"/>
      <c r="BA299"/>
      <c r="BB299"/>
      <c r="BC299"/>
      <c r="BD299"/>
      <c r="BE299"/>
      <c r="BF299"/>
      <c r="BH299"/>
      <c r="BI299"/>
      <c r="BJ299"/>
      <c r="BK299"/>
      <c r="BL299"/>
      <c r="BM299"/>
      <c r="BN299"/>
      <c r="BP299"/>
      <c r="BQ299"/>
      <c r="BR299"/>
      <c r="BS299"/>
      <c r="BT299"/>
      <c r="BU299"/>
      <c r="BV299"/>
      <c r="BW299"/>
      <c r="BZ299"/>
      <c r="CA299"/>
      <c r="CB299"/>
      <c r="CC299"/>
      <c r="CD299"/>
      <c r="CF299"/>
      <c r="CG299"/>
      <c r="CH299"/>
      <c r="CI299"/>
      <c r="CJ299"/>
      <c r="CK299"/>
      <c r="CL299"/>
      <c r="CM299"/>
      <c r="CN299"/>
      <c r="CO299"/>
      <c r="CP299"/>
      <c r="CQ299"/>
      <c r="CR299"/>
      <c r="CS299"/>
      <c r="CT299"/>
      <c r="CU299"/>
      <c r="CV299"/>
      <c r="CW299"/>
      <c r="CX299"/>
      <c r="CY299"/>
      <c r="CZ299"/>
      <c r="DA299"/>
      <c r="DB299"/>
      <c r="DC299"/>
      <c r="DD299"/>
      <c r="DE299"/>
      <c r="DG299"/>
      <c r="DH299"/>
      <c r="DI299"/>
      <c r="DJ299"/>
      <c r="DK299"/>
      <c r="DL299"/>
      <c r="DM299"/>
      <c r="DN299"/>
      <c r="DO299"/>
      <c r="DP299"/>
      <c r="DQ299"/>
      <c r="DR299"/>
      <c r="DS299"/>
      <c r="DT299"/>
      <c r="DU299"/>
      <c r="DV299"/>
      <c r="DW299"/>
      <c r="DZ299"/>
      <c r="EA299"/>
      <c r="EB299"/>
      <c r="EC299"/>
      <c r="ED299"/>
      <c r="EE299"/>
      <c r="EF299"/>
      <c r="EG299"/>
      <c r="EJ299"/>
      <c r="EK299"/>
      <c r="EL299"/>
      <c r="EM299"/>
      <c r="EN299"/>
      <c r="EO299"/>
      <c r="EP299"/>
      <c r="EQ299"/>
      <c r="ER299"/>
      <c r="ES299"/>
      <c r="ET299"/>
      <c r="EU299"/>
      <c r="EV299"/>
      <c r="EW299"/>
      <c r="EX299"/>
      <c r="EY299"/>
      <c r="EZ299"/>
      <c r="FA299"/>
      <c r="FB299"/>
      <c r="FC299"/>
      <c r="FD299"/>
      <c r="FE299"/>
      <c r="FF299"/>
      <c r="FG299"/>
      <c r="FH299"/>
      <c r="FK299" s="449">
        <v>8.5169999999999995</v>
      </c>
      <c r="FL299" s="449" t="s">
        <v>406</v>
      </c>
      <c r="FM299" s="449"/>
      <c r="FN299" s="452"/>
      <c r="FO299" s="452"/>
      <c r="FP299" s="452">
        <v>1</v>
      </c>
      <c r="FQ299" s="452"/>
      <c r="FR299" s="452"/>
      <c r="FS299" s="452"/>
      <c r="FT299" s="452"/>
      <c r="FU299" s="452"/>
      <c r="FV299" s="452"/>
      <c r="FW299" s="452"/>
      <c r="FX299" s="452"/>
      <c r="FY299" s="452"/>
      <c r="FZ299" s="453"/>
      <c r="GA299"/>
      <c r="GB299"/>
      <c r="GC299"/>
      <c r="GD299"/>
    </row>
    <row r="300" spans="27:186" x14ac:dyDescent="0.15">
      <c r="AG300"/>
      <c r="AH300"/>
      <c r="AJ300"/>
      <c r="AK300"/>
      <c r="AL300"/>
      <c r="AM300"/>
      <c r="AO300"/>
      <c r="AP300"/>
      <c r="AQ300"/>
      <c r="AR300"/>
      <c r="AS300"/>
      <c r="AT300"/>
      <c r="AU300"/>
      <c r="AV300"/>
      <c r="AW300"/>
      <c r="AX300"/>
      <c r="AY300"/>
      <c r="AZ300"/>
      <c r="BA300"/>
      <c r="BB300"/>
      <c r="BC300"/>
      <c r="BD300"/>
      <c r="BE300"/>
      <c r="BF300"/>
      <c r="BH300"/>
      <c r="BI300"/>
      <c r="BJ300"/>
      <c r="BK300"/>
      <c r="BL300"/>
      <c r="BM300"/>
      <c r="BN300"/>
      <c r="BP300"/>
      <c r="BQ300"/>
      <c r="BR300"/>
      <c r="BS300"/>
      <c r="BT300"/>
      <c r="BU300"/>
      <c r="BV300"/>
      <c r="BW300"/>
      <c r="BZ300"/>
      <c r="CA300"/>
      <c r="CB300"/>
      <c r="CC300"/>
      <c r="CD300"/>
      <c r="CF300"/>
      <c r="CG300"/>
      <c r="CH300"/>
      <c r="CI300"/>
      <c r="CJ300"/>
      <c r="CK300"/>
      <c r="CL300"/>
      <c r="CM300"/>
      <c r="CN300"/>
      <c r="CO300"/>
      <c r="CP300"/>
      <c r="CQ300"/>
      <c r="CR300"/>
      <c r="CS300"/>
      <c r="CT300"/>
      <c r="CU300"/>
      <c r="CV300"/>
      <c r="CW300"/>
      <c r="CX300"/>
      <c r="CY300"/>
      <c r="CZ300"/>
      <c r="DA300"/>
      <c r="DB300"/>
      <c r="DC300"/>
      <c r="DD300"/>
      <c r="DE300"/>
      <c r="DG300"/>
      <c r="DH300"/>
      <c r="DI300"/>
      <c r="DJ300"/>
      <c r="DK300"/>
      <c r="DL300"/>
      <c r="DM300"/>
      <c r="DN300"/>
      <c r="DO300"/>
      <c r="DP300"/>
      <c r="DQ300"/>
      <c r="DR300"/>
      <c r="DS300"/>
      <c r="DT300"/>
      <c r="DU300"/>
      <c r="DV300"/>
      <c r="DW300"/>
      <c r="DZ300"/>
      <c r="EA300"/>
      <c r="EB300"/>
      <c r="EC300"/>
      <c r="ED300"/>
      <c r="EE300"/>
      <c r="EF300"/>
      <c r="EG300"/>
      <c r="EJ300"/>
      <c r="EK300"/>
      <c r="EL300"/>
      <c r="EM300"/>
      <c r="EN300"/>
      <c r="EO300"/>
      <c r="EP300"/>
      <c r="EQ300"/>
      <c r="ER300"/>
      <c r="ES300"/>
      <c r="ET300"/>
      <c r="EU300"/>
      <c r="EV300"/>
      <c r="EW300"/>
      <c r="EX300"/>
      <c r="EY300"/>
      <c r="EZ300"/>
      <c r="FA300"/>
      <c r="FB300"/>
      <c r="FC300"/>
      <c r="FD300"/>
      <c r="FE300"/>
      <c r="FF300"/>
      <c r="FG300"/>
      <c r="FH300"/>
      <c r="FK300" s="449" t="s">
        <v>6895</v>
      </c>
      <c r="FL300" s="457"/>
      <c r="FM300" s="449"/>
      <c r="FN300" s="452"/>
      <c r="FO300" s="452"/>
      <c r="FP300" s="452">
        <v>1</v>
      </c>
      <c r="FQ300" s="452"/>
      <c r="FR300" s="452"/>
      <c r="FS300" s="452"/>
      <c r="FT300" s="452"/>
      <c r="FU300" s="452"/>
      <c r="FV300" s="452"/>
      <c r="FW300" s="452"/>
      <c r="FX300" s="452"/>
      <c r="FY300" s="452"/>
      <c r="FZ300" s="453"/>
      <c r="GA300"/>
      <c r="GB300"/>
      <c r="GC300"/>
      <c r="GD300"/>
    </row>
    <row r="301" spans="27:186" x14ac:dyDescent="0.15">
      <c r="AG301"/>
      <c r="AH301"/>
      <c r="AJ301"/>
      <c r="AK301"/>
      <c r="AL301"/>
      <c r="AM301"/>
      <c r="AO301"/>
      <c r="AP301"/>
      <c r="AQ301"/>
      <c r="AR301"/>
      <c r="AS301"/>
      <c r="AT301"/>
      <c r="AU301"/>
      <c r="AV301"/>
      <c r="AW301"/>
      <c r="AX301"/>
      <c r="AY301"/>
      <c r="AZ301"/>
      <c r="BA301"/>
      <c r="BB301"/>
      <c r="BC301"/>
      <c r="BD301"/>
      <c r="BE301"/>
      <c r="BF301"/>
      <c r="BH301"/>
      <c r="BI301"/>
      <c r="BJ301"/>
      <c r="BK301"/>
      <c r="BL301"/>
      <c r="BM301"/>
      <c r="BN301"/>
      <c r="BP301"/>
      <c r="BQ301"/>
      <c r="BR301"/>
      <c r="BS301"/>
      <c r="BT301"/>
      <c r="BU301"/>
      <c r="BV301"/>
      <c r="BW301"/>
      <c r="BZ301"/>
      <c r="CA301"/>
      <c r="CB301"/>
      <c r="CC301"/>
      <c r="CD301"/>
      <c r="CF301"/>
      <c r="CG301"/>
      <c r="CH301"/>
      <c r="CI301"/>
      <c r="CJ301"/>
      <c r="CK301"/>
      <c r="CL301"/>
      <c r="CM301"/>
      <c r="CN301"/>
      <c r="CO301"/>
      <c r="CP301"/>
      <c r="CQ301"/>
      <c r="CR301"/>
      <c r="CS301"/>
      <c r="CT301"/>
      <c r="CU301"/>
      <c r="CV301"/>
      <c r="CW301"/>
      <c r="CX301"/>
      <c r="CY301"/>
      <c r="CZ301"/>
      <c r="DA301"/>
      <c r="DB301"/>
      <c r="DC301"/>
      <c r="DD301"/>
      <c r="DE301"/>
      <c r="DG301"/>
      <c r="DH301"/>
      <c r="DI301"/>
      <c r="DJ301"/>
      <c r="DK301"/>
      <c r="DL301"/>
      <c r="DM301"/>
      <c r="DN301"/>
      <c r="DO301"/>
      <c r="DP301"/>
      <c r="DQ301"/>
      <c r="DR301"/>
      <c r="DS301"/>
      <c r="DT301"/>
      <c r="DU301"/>
      <c r="DV301"/>
      <c r="DW301"/>
      <c r="DZ301"/>
      <c r="EA301"/>
      <c r="EB301"/>
      <c r="EC301"/>
      <c r="ED301"/>
      <c r="EE301"/>
      <c r="EF301"/>
      <c r="EG301"/>
      <c r="EJ301"/>
      <c r="EK301"/>
      <c r="EL301"/>
      <c r="EM301"/>
      <c r="EN301"/>
      <c r="EO301"/>
      <c r="EP301"/>
      <c r="EQ301"/>
      <c r="ER301"/>
      <c r="ES301"/>
      <c r="ET301"/>
      <c r="EU301"/>
      <c r="EV301"/>
      <c r="EW301"/>
      <c r="EX301"/>
      <c r="EY301"/>
      <c r="EZ301"/>
      <c r="FA301"/>
      <c r="FB301"/>
      <c r="FC301"/>
      <c r="FD301"/>
      <c r="FE301"/>
      <c r="FF301"/>
      <c r="FG301"/>
      <c r="FH301"/>
      <c r="FK301" s="449">
        <v>2.2949999999999999</v>
      </c>
      <c r="FL301" s="449" t="s">
        <v>405</v>
      </c>
      <c r="FM301" s="449"/>
      <c r="FN301" s="452">
        <v>1</v>
      </c>
      <c r="FO301" s="452"/>
      <c r="FP301" s="452"/>
      <c r="FQ301" s="452"/>
      <c r="FR301" s="452"/>
      <c r="FS301" s="452"/>
      <c r="FT301" s="452"/>
      <c r="FU301" s="452"/>
      <c r="FV301" s="452"/>
      <c r="FW301" s="452"/>
      <c r="FX301" s="452"/>
      <c r="FY301" s="452"/>
      <c r="FZ301" s="453"/>
      <c r="GA301"/>
      <c r="GB301"/>
      <c r="GC301"/>
      <c r="GD301"/>
    </row>
    <row r="302" spans="27:186" x14ac:dyDescent="0.15">
      <c r="AG302"/>
      <c r="AH302"/>
      <c r="AJ302"/>
      <c r="AK302"/>
      <c r="AL302"/>
      <c r="AM302"/>
      <c r="AO302"/>
      <c r="AP302"/>
      <c r="AQ302"/>
      <c r="AR302"/>
      <c r="AS302"/>
      <c r="AT302"/>
      <c r="AU302"/>
      <c r="AV302"/>
      <c r="AW302"/>
      <c r="AX302"/>
      <c r="AY302"/>
      <c r="AZ302"/>
      <c r="BA302"/>
      <c r="BB302"/>
      <c r="BC302"/>
      <c r="BD302"/>
      <c r="BE302"/>
      <c r="BF302"/>
      <c r="BH302"/>
      <c r="BI302"/>
      <c r="BJ302"/>
      <c r="BK302"/>
      <c r="BL302"/>
      <c r="BM302"/>
      <c r="BN302"/>
      <c r="BP302"/>
      <c r="BQ302"/>
      <c r="BR302"/>
      <c r="BS302"/>
      <c r="BT302"/>
      <c r="BU302"/>
      <c r="BV302"/>
      <c r="BW302"/>
      <c r="BZ302"/>
      <c r="CA302"/>
      <c r="CB302"/>
      <c r="CC302"/>
      <c r="CD302"/>
      <c r="CF302"/>
      <c r="CG302"/>
      <c r="CH302"/>
      <c r="CI302"/>
      <c r="CJ302"/>
      <c r="CK302"/>
      <c r="CL302"/>
      <c r="CM302"/>
      <c r="CN302"/>
      <c r="CO302"/>
      <c r="CP302"/>
      <c r="CQ302"/>
      <c r="CR302"/>
      <c r="CS302"/>
      <c r="CT302"/>
      <c r="CU302"/>
      <c r="CV302"/>
      <c r="CW302"/>
      <c r="CX302"/>
      <c r="CY302"/>
      <c r="CZ302"/>
      <c r="DA302"/>
      <c r="DB302"/>
      <c r="DC302"/>
      <c r="DD302"/>
      <c r="DE302"/>
      <c r="DG302"/>
      <c r="DH302"/>
      <c r="DI302"/>
      <c r="DJ302"/>
      <c r="DK302"/>
      <c r="DL302"/>
      <c r="DM302"/>
      <c r="DN302"/>
      <c r="DO302"/>
      <c r="DP302"/>
      <c r="DQ302"/>
      <c r="DR302"/>
      <c r="DS302"/>
      <c r="DT302"/>
      <c r="DU302"/>
      <c r="DV302"/>
      <c r="DW302"/>
      <c r="DZ302"/>
      <c r="EA302"/>
      <c r="EB302"/>
      <c r="EC302"/>
      <c r="ED302"/>
      <c r="EE302"/>
      <c r="EF302"/>
      <c r="EG302"/>
      <c r="EJ302"/>
      <c r="EK302"/>
      <c r="EL302"/>
      <c r="EM302"/>
      <c r="EN302"/>
      <c r="EO302"/>
      <c r="EP302"/>
      <c r="EQ302"/>
      <c r="ER302"/>
      <c r="ES302"/>
      <c r="ET302"/>
      <c r="EU302"/>
      <c r="EV302"/>
      <c r="EW302"/>
      <c r="EX302"/>
      <c r="EY302"/>
      <c r="EZ302"/>
      <c r="FA302"/>
      <c r="FB302"/>
      <c r="FC302"/>
      <c r="FD302"/>
      <c r="FE302"/>
      <c r="FF302"/>
      <c r="FG302"/>
      <c r="FH302"/>
      <c r="FK302" s="449" t="s">
        <v>6896</v>
      </c>
      <c r="FL302" s="457"/>
      <c r="FM302" s="449"/>
      <c r="FN302" s="452">
        <v>1</v>
      </c>
      <c r="FO302" s="452"/>
      <c r="FP302" s="452"/>
      <c r="FQ302" s="452"/>
      <c r="FR302" s="452"/>
      <c r="FS302" s="452"/>
      <c r="FT302" s="452"/>
      <c r="FU302" s="452"/>
      <c r="FV302" s="452"/>
      <c r="FW302" s="452"/>
      <c r="FX302" s="452"/>
      <c r="FY302" s="452"/>
      <c r="FZ302" s="453"/>
      <c r="GA302"/>
      <c r="GB302"/>
      <c r="GC302"/>
      <c r="GD302"/>
    </row>
    <row r="303" spans="27:186" x14ac:dyDescent="0.15">
      <c r="AG303"/>
      <c r="AH303"/>
      <c r="AJ303"/>
      <c r="AK303"/>
      <c r="AL303"/>
      <c r="AM303"/>
      <c r="AO303"/>
      <c r="AP303"/>
      <c r="AQ303"/>
      <c r="AR303"/>
      <c r="AS303"/>
      <c r="AT303"/>
      <c r="AU303"/>
      <c r="AV303"/>
      <c r="AW303"/>
      <c r="AX303"/>
      <c r="AY303"/>
      <c r="AZ303"/>
      <c r="BA303"/>
      <c r="BB303"/>
      <c r="BC303"/>
      <c r="BD303"/>
      <c r="BE303"/>
      <c r="BF303"/>
      <c r="BH303"/>
      <c r="BI303"/>
      <c r="BJ303"/>
      <c r="BK303"/>
      <c r="BL303"/>
      <c r="BM303"/>
      <c r="BN303"/>
      <c r="BP303"/>
      <c r="BQ303"/>
      <c r="BR303"/>
      <c r="BS303"/>
      <c r="BT303"/>
      <c r="BU303"/>
      <c r="BV303"/>
      <c r="BW303"/>
      <c r="BZ303"/>
      <c r="CA303"/>
      <c r="CB303"/>
      <c r="CC303"/>
      <c r="CD303"/>
      <c r="CF303"/>
      <c r="CG303"/>
      <c r="CH303"/>
      <c r="CI303"/>
      <c r="CJ303"/>
      <c r="CK303"/>
      <c r="CL303"/>
      <c r="CM303"/>
      <c r="CN303"/>
      <c r="CO303"/>
      <c r="CP303"/>
      <c r="CQ303"/>
      <c r="CR303"/>
      <c r="CS303"/>
      <c r="CT303"/>
      <c r="CU303"/>
      <c r="CV303"/>
      <c r="CW303"/>
      <c r="CX303"/>
      <c r="CY303"/>
      <c r="CZ303"/>
      <c r="DA303"/>
      <c r="DB303"/>
      <c r="DC303"/>
      <c r="DD303"/>
      <c r="DE303"/>
      <c r="DG303"/>
      <c r="DH303"/>
      <c r="DI303"/>
      <c r="DJ303"/>
      <c r="DK303"/>
      <c r="DL303"/>
      <c r="DM303"/>
      <c r="DN303"/>
      <c r="DO303"/>
      <c r="DP303"/>
      <c r="DQ303"/>
      <c r="DR303"/>
      <c r="DS303"/>
      <c r="DT303"/>
      <c r="DU303"/>
      <c r="DV303"/>
      <c r="DW303"/>
      <c r="DZ303"/>
      <c r="EA303"/>
      <c r="EB303"/>
      <c r="EC303"/>
      <c r="ED303"/>
      <c r="EE303"/>
      <c r="EF303"/>
      <c r="EG303"/>
      <c r="EJ303"/>
      <c r="EK303"/>
      <c r="EL303"/>
      <c r="EM303"/>
      <c r="EN303"/>
      <c r="EO303"/>
      <c r="EP303"/>
      <c r="EQ303"/>
      <c r="ER303"/>
      <c r="ES303"/>
      <c r="ET303"/>
      <c r="EU303"/>
      <c r="EV303"/>
      <c r="EW303"/>
      <c r="EX303"/>
      <c r="EY303"/>
      <c r="EZ303"/>
      <c r="FA303"/>
      <c r="FB303"/>
      <c r="FC303"/>
      <c r="FD303"/>
      <c r="FE303"/>
      <c r="FF303"/>
      <c r="FG303"/>
      <c r="FH303"/>
      <c r="FK303" s="449">
        <v>1.361</v>
      </c>
      <c r="FL303" s="449" t="s">
        <v>397</v>
      </c>
      <c r="FM303" s="449"/>
      <c r="FN303" s="452"/>
      <c r="FO303" s="452"/>
      <c r="FP303" s="452"/>
      <c r="FQ303" s="452"/>
      <c r="FR303" s="452"/>
      <c r="FS303" s="452">
        <v>1</v>
      </c>
      <c r="FT303" s="452"/>
      <c r="FU303" s="452"/>
      <c r="FV303" s="452"/>
      <c r="FW303" s="452"/>
      <c r="FX303" s="452"/>
      <c r="FY303" s="452"/>
      <c r="FZ303" s="453"/>
      <c r="GA303"/>
      <c r="GB303"/>
      <c r="GC303"/>
      <c r="GD303"/>
    </row>
    <row r="304" spans="27:186" x14ac:dyDescent="0.15">
      <c r="AG304"/>
      <c r="AH304"/>
      <c r="AJ304"/>
      <c r="AK304"/>
      <c r="AL304"/>
      <c r="AM304"/>
      <c r="AO304"/>
      <c r="AP304"/>
      <c r="AQ304"/>
      <c r="AR304"/>
      <c r="AS304"/>
      <c r="AT304"/>
      <c r="AU304"/>
      <c r="AV304"/>
      <c r="AW304"/>
      <c r="AX304"/>
      <c r="AY304"/>
      <c r="AZ304"/>
      <c r="BA304"/>
      <c r="BB304"/>
      <c r="BC304"/>
      <c r="BD304"/>
      <c r="BE304"/>
      <c r="BF304"/>
      <c r="BH304"/>
      <c r="BI304"/>
      <c r="BJ304"/>
      <c r="BK304"/>
      <c r="BL304"/>
      <c r="BM304"/>
      <c r="BN304"/>
      <c r="BP304"/>
      <c r="BQ304"/>
      <c r="BR304"/>
      <c r="BS304"/>
      <c r="BT304"/>
      <c r="BU304"/>
      <c r="BV304"/>
      <c r="BW304"/>
      <c r="BZ304"/>
      <c r="CA304"/>
      <c r="CB304"/>
      <c r="CC304"/>
      <c r="CD304"/>
      <c r="CF304"/>
      <c r="CG304"/>
      <c r="CH304"/>
      <c r="CI304"/>
      <c r="CJ304"/>
      <c r="CK304"/>
      <c r="CL304"/>
      <c r="CM304"/>
      <c r="CN304"/>
      <c r="CO304"/>
      <c r="CP304"/>
      <c r="CQ304"/>
      <c r="CR304"/>
      <c r="CS304"/>
      <c r="CT304"/>
      <c r="CU304"/>
      <c r="CV304"/>
      <c r="CW304"/>
      <c r="CX304"/>
      <c r="CY304"/>
      <c r="CZ304"/>
      <c r="DA304"/>
      <c r="DB304"/>
      <c r="DC304"/>
      <c r="DD304"/>
      <c r="DE304"/>
      <c r="DG304"/>
      <c r="DH304"/>
      <c r="DI304"/>
      <c r="DJ304"/>
      <c r="DK304"/>
      <c r="DL304"/>
      <c r="DM304"/>
      <c r="DN304"/>
      <c r="DO304"/>
      <c r="DP304"/>
      <c r="DQ304"/>
      <c r="DR304"/>
      <c r="DS304"/>
      <c r="DT304"/>
      <c r="DU304"/>
      <c r="DV304"/>
      <c r="DW304"/>
      <c r="DZ304"/>
      <c r="EA304"/>
      <c r="EB304"/>
      <c r="EC304"/>
      <c r="ED304"/>
      <c r="EE304"/>
      <c r="EF304"/>
      <c r="EG304"/>
      <c r="EJ304"/>
      <c r="EK304"/>
      <c r="EL304"/>
      <c r="EM304"/>
      <c r="EN304"/>
      <c r="EO304"/>
      <c r="EP304"/>
      <c r="EQ304"/>
      <c r="ER304"/>
      <c r="ES304"/>
      <c r="ET304"/>
      <c r="EU304"/>
      <c r="EV304"/>
      <c r="EW304"/>
      <c r="EX304"/>
      <c r="EY304"/>
      <c r="EZ304"/>
      <c r="FA304"/>
      <c r="FB304"/>
      <c r="FC304"/>
      <c r="FD304"/>
      <c r="FE304"/>
      <c r="FF304"/>
      <c r="FG304"/>
      <c r="FH304"/>
      <c r="FK304" s="449" t="s">
        <v>6897</v>
      </c>
      <c r="FL304" s="457"/>
      <c r="FM304" s="449"/>
      <c r="FN304" s="452"/>
      <c r="FO304" s="452"/>
      <c r="FP304" s="452"/>
      <c r="FQ304" s="452"/>
      <c r="FR304" s="452"/>
      <c r="FS304" s="452">
        <v>1</v>
      </c>
      <c r="FT304" s="452"/>
      <c r="FU304" s="452"/>
      <c r="FV304" s="452"/>
      <c r="FW304" s="452"/>
      <c r="FX304" s="452"/>
      <c r="FY304" s="452"/>
      <c r="FZ304" s="453"/>
      <c r="GA304"/>
      <c r="GB304"/>
      <c r="GC304"/>
      <c r="GD304"/>
    </row>
    <row r="305" spans="1:186" x14ac:dyDescent="0.15">
      <c r="AG305"/>
      <c r="AH305"/>
      <c r="AJ305"/>
      <c r="AK305"/>
      <c r="AL305"/>
      <c r="AM305"/>
      <c r="AO305"/>
      <c r="AP305"/>
      <c r="AQ305"/>
      <c r="AR305"/>
      <c r="AS305"/>
      <c r="AT305"/>
      <c r="AU305"/>
      <c r="AV305"/>
      <c r="AW305"/>
      <c r="AX305"/>
      <c r="AY305"/>
      <c r="AZ305"/>
      <c r="BA305"/>
      <c r="BB305"/>
      <c r="BC305"/>
      <c r="BD305"/>
      <c r="BE305"/>
      <c r="BF305"/>
      <c r="BH305"/>
      <c r="BI305"/>
      <c r="BJ305"/>
      <c r="BK305"/>
      <c r="BL305"/>
      <c r="BM305"/>
      <c r="BN305"/>
      <c r="BP305"/>
      <c r="BQ305"/>
      <c r="BR305"/>
      <c r="BS305"/>
      <c r="BT305"/>
      <c r="BU305"/>
      <c r="BV305"/>
      <c r="BW305"/>
      <c r="BZ305"/>
      <c r="CA305"/>
      <c r="CB305"/>
      <c r="CC305"/>
      <c r="CD305"/>
      <c r="CF305"/>
      <c r="CG305"/>
      <c r="CH305"/>
      <c r="CI305"/>
      <c r="CJ305"/>
      <c r="CK305"/>
      <c r="CL305"/>
      <c r="CM305"/>
      <c r="CN305"/>
      <c r="CO305"/>
      <c r="CP305"/>
      <c r="CQ305"/>
      <c r="CR305"/>
      <c r="CS305"/>
      <c r="CT305"/>
      <c r="CU305"/>
      <c r="CV305"/>
      <c r="CW305"/>
      <c r="CX305"/>
      <c r="CY305"/>
      <c r="CZ305"/>
      <c r="DA305"/>
      <c r="DB305"/>
      <c r="DC305"/>
      <c r="DD305"/>
      <c r="DE305"/>
      <c r="DG305"/>
      <c r="DH305"/>
      <c r="DI305"/>
      <c r="DJ305"/>
      <c r="DK305"/>
      <c r="DL305"/>
      <c r="DM305"/>
      <c r="DN305"/>
      <c r="DO305"/>
      <c r="DP305"/>
      <c r="DQ305"/>
      <c r="DR305"/>
      <c r="DS305"/>
      <c r="DT305"/>
      <c r="DU305"/>
      <c r="DV305"/>
      <c r="DW305"/>
      <c r="DZ305"/>
      <c r="EA305"/>
      <c r="EB305"/>
      <c r="EC305"/>
      <c r="ED305"/>
      <c r="EE305"/>
      <c r="EF305"/>
      <c r="EG305"/>
      <c r="EJ305"/>
      <c r="EK305"/>
      <c r="EL305"/>
      <c r="EM305"/>
      <c r="EN305"/>
      <c r="EO305"/>
      <c r="EP305"/>
      <c r="EQ305"/>
      <c r="ER305"/>
      <c r="ES305"/>
      <c r="ET305"/>
      <c r="EU305"/>
      <c r="EV305"/>
      <c r="EW305"/>
      <c r="EX305"/>
      <c r="EY305"/>
      <c r="EZ305"/>
      <c r="FA305"/>
      <c r="FB305"/>
      <c r="FC305"/>
      <c r="FD305"/>
      <c r="FE305"/>
      <c r="FF305"/>
      <c r="FG305"/>
      <c r="FH305"/>
      <c r="FK305" s="449">
        <v>2.1259999999999999</v>
      </c>
      <c r="FL305" s="449" t="s">
        <v>406</v>
      </c>
      <c r="FM305" s="449">
        <v>1</v>
      </c>
      <c r="FN305" s="452"/>
      <c r="FO305" s="452"/>
      <c r="FP305" s="452"/>
      <c r="FQ305" s="452"/>
      <c r="FR305" s="452"/>
      <c r="FS305" s="452"/>
      <c r="FT305" s="452"/>
      <c r="FU305" s="452"/>
      <c r="FV305" s="452"/>
      <c r="FW305" s="452"/>
      <c r="FX305" s="452"/>
      <c r="FY305" s="452"/>
      <c r="FZ305" s="453"/>
      <c r="GA305"/>
      <c r="GB305"/>
      <c r="GC305"/>
      <c r="GD305"/>
    </row>
    <row r="306" spans="1:186" x14ac:dyDescent="0.15">
      <c r="AG306"/>
      <c r="AH306"/>
      <c r="AJ306"/>
      <c r="AK306"/>
      <c r="AL306"/>
      <c r="AM306"/>
      <c r="AO306"/>
      <c r="AP306"/>
      <c r="AQ306"/>
      <c r="AR306"/>
      <c r="AS306"/>
      <c r="AT306"/>
      <c r="AU306"/>
      <c r="AV306"/>
      <c r="AW306"/>
      <c r="AX306"/>
      <c r="AY306"/>
      <c r="AZ306"/>
      <c r="BA306"/>
      <c r="BB306"/>
      <c r="BC306"/>
      <c r="BD306"/>
      <c r="BE306"/>
      <c r="BF306"/>
      <c r="BH306"/>
      <c r="BI306"/>
      <c r="BJ306"/>
      <c r="BK306"/>
      <c r="BL306"/>
      <c r="BM306"/>
      <c r="BN306"/>
      <c r="BP306"/>
      <c r="BQ306"/>
      <c r="BR306"/>
      <c r="BS306"/>
      <c r="BT306"/>
      <c r="BU306"/>
      <c r="BV306"/>
      <c r="BW306"/>
      <c r="BZ306"/>
      <c r="CA306"/>
      <c r="CB306"/>
      <c r="CC306"/>
      <c r="CD306"/>
      <c r="CF306"/>
      <c r="CG306"/>
      <c r="CH306"/>
      <c r="CI306"/>
      <c r="CJ306"/>
      <c r="CK306"/>
      <c r="CL306"/>
      <c r="CM306"/>
      <c r="CN306"/>
      <c r="CO306"/>
      <c r="CP306"/>
      <c r="CQ306"/>
      <c r="CR306"/>
      <c r="CS306"/>
      <c r="CT306"/>
      <c r="CU306"/>
      <c r="CV306"/>
      <c r="CW306"/>
      <c r="CX306"/>
      <c r="CY306"/>
      <c r="CZ306"/>
      <c r="DA306"/>
      <c r="DB306"/>
      <c r="DC306"/>
      <c r="DD306"/>
      <c r="DE306"/>
      <c r="DG306"/>
      <c r="DH306"/>
      <c r="DI306"/>
      <c r="DJ306"/>
      <c r="DK306"/>
      <c r="DL306"/>
      <c r="DM306"/>
      <c r="DN306"/>
      <c r="DO306"/>
      <c r="DP306"/>
      <c r="DQ306"/>
      <c r="DR306"/>
      <c r="DS306"/>
      <c r="DT306"/>
      <c r="DU306"/>
      <c r="DV306"/>
      <c r="DW306"/>
      <c r="DZ306"/>
      <c r="EA306"/>
      <c r="EB306"/>
      <c r="EC306"/>
      <c r="ED306"/>
      <c r="EE306"/>
      <c r="EF306"/>
      <c r="EG306"/>
      <c r="EJ306"/>
      <c r="EK306"/>
      <c r="EL306"/>
      <c r="EM306"/>
      <c r="EN306"/>
      <c r="EO306"/>
      <c r="EP306"/>
      <c r="EQ306"/>
      <c r="ER306"/>
      <c r="ES306"/>
      <c r="ET306"/>
      <c r="EU306"/>
      <c r="EV306"/>
      <c r="EW306"/>
      <c r="EX306"/>
      <c r="EY306"/>
      <c r="EZ306"/>
      <c r="FA306"/>
      <c r="FB306"/>
      <c r="FC306"/>
      <c r="FD306"/>
      <c r="FE306"/>
      <c r="FF306"/>
      <c r="FG306"/>
      <c r="FH306"/>
      <c r="FK306" s="449" t="s">
        <v>6898</v>
      </c>
      <c r="FL306" s="457"/>
      <c r="FM306" s="449">
        <v>1</v>
      </c>
      <c r="FN306" s="452"/>
      <c r="FO306" s="452"/>
      <c r="FP306" s="452"/>
      <c r="FQ306" s="452"/>
      <c r="FR306" s="452"/>
      <c r="FS306" s="452"/>
      <c r="FT306" s="452"/>
      <c r="FU306" s="452"/>
      <c r="FV306" s="452"/>
      <c r="FW306" s="452"/>
      <c r="FX306" s="452"/>
      <c r="FY306" s="452"/>
      <c r="FZ306" s="453"/>
      <c r="GA306"/>
      <c r="GB306"/>
      <c r="GC306"/>
      <c r="GD306"/>
    </row>
    <row r="307" spans="1:186" x14ac:dyDescent="0.15">
      <c r="AG307"/>
      <c r="AH307"/>
      <c r="AJ307"/>
      <c r="AK307"/>
      <c r="AL307"/>
      <c r="AM307"/>
      <c r="AO307"/>
      <c r="AP307"/>
      <c r="AQ307"/>
      <c r="AR307"/>
      <c r="AS307"/>
      <c r="AT307"/>
      <c r="AU307"/>
      <c r="AV307"/>
      <c r="AW307"/>
      <c r="AX307"/>
      <c r="AY307"/>
      <c r="AZ307"/>
      <c r="BA307"/>
      <c r="BB307"/>
      <c r="BC307"/>
      <c r="BD307"/>
      <c r="BE307"/>
      <c r="BF307"/>
      <c r="BH307"/>
      <c r="BI307"/>
      <c r="BJ307"/>
      <c r="BK307"/>
      <c r="BL307"/>
      <c r="BM307"/>
      <c r="BN307"/>
      <c r="BP307"/>
      <c r="BQ307"/>
      <c r="BR307"/>
      <c r="BS307"/>
      <c r="BT307"/>
      <c r="BU307"/>
      <c r="BV307"/>
      <c r="BW307"/>
      <c r="BZ307"/>
      <c r="CA307"/>
      <c r="CB307"/>
      <c r="CC307"/>
      <c r="CD307"/>
      <c r="CF307"/>
      <c r="CG307"/>
      <c r="CH307"/>
      <c r="CI307"/>
      <c r="CJ307"/>
      <c r="CK307"/>
      <c r="CL307"/>
      <c r="CM307"/>
      <c r="CN307"/>
      <c r="CO307"/>
      <c r="CP307"/>
      <c r="CQ307"/>
      <c r="CR307"/>
      <c r="CS307"/>
      <c r="CT307"/>
      <c r="CU307"/>
      <c r="CV307"/>
      <c r="CW307"/>
      <c r="CX307"/>
      <c r="CY307"/>
      <c r="CZ307"/>
      <c r="DA307"/>
      <c r="DB307"/>
      <c r="DC307"/>
      <c r="DD307"/>
      <c r="DE307"/>
      <c r="DG307"/>
      <c r="DH307"/>
      <c r="DI307"/>
      <c r="DJ307"/>
      <c r="DK307"/>
      <c r="DL307"/>
      <c r="DM307"/>
      <c r="DN307"/>
      <c r="DO307"/>
      <c r="DP307"/>
      <c r="DQ307"/>
      <c r="DR307"/>
      <c r="DS307"/>
      <c r="DT307"/>
      <c r="DU307"/>
      <c r="DV307"/>
      <c r="DW307"/>
      <c r="DZ307"/>
      <c r="EA307"/>
      <c r="EB307"/>
      <c r="EC307"/>
      <c r="ED307"/>
      <c r="EE307"/>
      <c r="EF307"/>
      <c r="EG307"/>
      <c r="EJ307"/>
      <c r="EK307"/>
      <c r="EL307"/>
      <c r="EM307"/>
      <c r="EN307"/>
      <c r="EO307"/>
      <c r="EP307"/>
      <c r="EQ307"/>
      <c r="ER307"/>
      <c r="ES307"/>
      <c r="ET307"/>
      <c r="EU307"/>
      <c r="EV307"/>
      <c r="EW307"/>
      <c r="EX307"/>
      <c r="EY307"/>
      <c r="EZ307"/>
      <c r="FA307"/>
      <c r="FB307"/>
      <c r="FC307"/>
      <c r="FD307"/>
      <c r="FE307"/>
      <c r="FF307"/>
      <c r="FG307"/>
      <c r="FH307"/>
      <c r="FK307" s="449">
        <v>3.1760000000000002</v>
      </c>
      <c r="FL307" s="449" t="s">
        <v>410</v>
      </c>
      <c r="FM307" s="449"/>
      <c r="FN307" s="452"/>
      <c r="FO307" s="452"/>
      <c r="FP307" s="452"/>
      <c r="FQ307" s="452"/>
      <c r="FR307" s="452"/>
      <c r="FS307" s="452"/>
      <c r="FT307" s="452"/>
      <c r="FU307" s="452"/>
      <c r="FV307" s="452"/>
      <c r="FW307" s="452"/>
      <c r="FX307" s="452"/>
      <c r="FY307" s="452"/>
      <c r="FZ307" s="453">
        <v>1</v>
      </c>
      <c r="GA307"/>
      <c r="GB307"/>
      <c r="GC307"/>
      <c r="GD307"/>
    </row>
    <row r="308" spans="1:186" x14ac:dyDescent="0.15">
      <c r="AG308"/>
      <c r="AH308"/>
      <c r="AJ308"/>
      <c r="AK308"/>
      <c r="AL308"/>
      <c r="AM308"/>
      <c r="AO308"/>
      <c r="AP308"/>
      <c r="AQ308"/>
      <c r="AR308"/>
      <c r="AS308"/>
      <c r="AT308"/>
      <c r="AU308"/>
      <c r="AV308"/>
      <c r="AW308"/>
      <c r="AX308"/>
      <c r="AY308"/>
      <c r="AZ308"/>
      <c r="BA308"/>
      <c r="BB308"/>
      <c r="BC308"/>
      <c r="BD308"/>
      <c r="BE308"/>
      <c r="BF308"/>
      <c r="BH308"/>
      <c r="BI308"/>
      <c r="BJ308"/>
      <c r="BK308"/>
      <c r="BL308"/>
      <c r="BM308"/>
      <c r="BN308"/>
      <c r="BP308"/>
      <c r="BQ308"/>
      <c r="BR308"/>
      <c r="BS308"/>
      <c r="BT308"/>
      <c r="BU308"/>
      <c r="BV308"/>
      <c r="BW308"/>
      <c r="BZ308"/>
      <c r="CA308"/>
      <c r="CB308"/>
      <c r="CC308"/>
      <c r="CD308"/>
      <c r="CF308"/>
      <c r="CG308"/>
      <c r="CH308"/>
      <c r="CI308"/>
      <c r="CJ308"/>
      <c r="CK308"/>
      <c r="CL308"/>
      <c r="CM308"/>
      <c r="CN308"/>
      <c r="CO308"/>
      <c r="CP308"/>
      <c r="CQ308"/>
      <c r="CR308"/>
      <c r="CS308"/>
      <c r="CT308"/>
      <c r="CU308"/>
      <c r="CV308"/>
      <c r="CW308"/>
      <c r="CX308"/>
      <c r="CY308"/>
      <c r="CZ308"/>
      <c r="DA308"/>
      <c r="DB308"/>
      <c r="DC308"/>
      <c r="DD308"/>
      <c r="DE308"/>
      <c r="DG308"/>
      <c r="DH308"/>
      <c r="DI308"/>
      <c r="DJ308"/>
      <c r="DK308"/>
      <c r="DL308"/>
      <c r="DM308"/>
      <c r="DN308"/>
      <c r="DO308"/>
      <c r="DP308"/>
      <c r="DQ308"/>
      <c r="DR308"/>
      <c r="DS308"/>
      <c r="DT308"/>
      <c r="DU308"/>
      <c r="DV308"/>
      <c r="DW308"/>
      <c r="DZ308"/>
      <c r="EA308"/>
      <c r="EB308"/>
      <c r="EC308"/>
      <c r="ED308"/>
      <c r="EE308"/>
      <c r="EF308"/>
      <c r="EG308"/>
      <c r="EJ308"/>
      <c r="EK308"/>
      <c r="EL308"/>
      <c r="EM308"/>
      <c r="EN308"/>
      <c r="EO308"/>
      <c r="EP308"/>
      <c r="EQ308"/>
      <c r="ER308"/>
      <c r="ES308"/>
      <c r="ET308"/>
      <c r="EU308"/>
      <c r="EV308"/>
      <c r="EW308"/>
      <c r="EX308"/>
      <c r="EY308"/>
      <c r="EZ308"/>
      <c r="FA308"/>
      <c r="FB308"/>
      <c r="FC308"/>
      <c r="FD308"/>
      <c r="FE308"/>
      <c r="FF308"/>
      <c r="FG308"/>
      <c r="FH308"/>
      <c r="FK308" s="449" t="s">
        <v>6899</v>
      </c>
      <c r="FL308" s="457"/>
      <c r="FM308" s="449"/>
      <c r="FN308" s="452"/>
      <c r="FO308" s="452"/>
      <c r="FP308" s="452"/>
      <c r="FQ308" s="452"/>
      <c r="FR308" s="452"/>
      <c r="FS308" s="452"/>
      <c r="FT308" s="452"/>
      <c r="FU308" s="452"/>
      <c r="FV308" s="452"/>
      <c r="FW308" s="452"/>
      <c r="FX308" s="452"/>
      <c r="FY308" s="452"/>
      <c r="FZ308" s="453">
        <v>1</v>
      </c>
      <c r="GA308"/>
      <c r="GB308"/>
      <c r="GC308"/>
      <c r="GD308"/>
    </row>
    <row r="309" spans="1:186" x14ac:dyDescent="0.15">
      <c r="AG309"/>
      <c r="AH309"/>
      <c r="AJ309"/>
      <c r="AK309"/>
      <c r="AL309"/>
      <c r="AM309"/>
      <c r="AO309"/>
      <c r="AP309"/>
      <c r="AQ309"/>
      <c r="AR309"/>
      <c r="AS309"/>
      <c r="AT309"/>
      <c r="AU309"/>
      <c r="AV309"/>
      <c r="AW309"/>
      <c r="AX309"/>
      <c r="AY309"/>
      <c r="AZ309"/>
      <c r="BA309"/>
      <c r="BB309"/>
      <c r="BC309"/>
      <c r="BD309"/>
      <c r="BE309"/>
      <c r="BF309"/>
      <c r="BH309"/>
      <c r="BI309"/>
      <c r="BJ309"/>
      <c r="BK309"/>
      <c r="BL309"/>
      <c r="BM309"/>
      <c r="BN309"/>
      <c r="BP309"/>
      <c r="BQ309"/>
      <c r="BR309"/>
      <c r="BS309"/>
      <c r="BT309"/>
      <c r="BU309"/>
      <c r="BV309"/>
      <c r="BW309"/>
      <c r="BZ309"/>
      <c r="CA309"/>
      <c r="CB309"/>
      <c r="CC309"/>
      <c r="CD309"/>
      <c r="CF309"/>
      <c r="CG309"/>
      <c r="CH309"/>
      <c r="CI309"/>
      <c r="CJ309"/>
      <c r="CK309"/>
      <c r="CL309"/>
      <c r="CM309"/>
      <c r="CN309"/>
      <c r="CO309"/>
      <c r="CP309"/>
      <c r="CQ309"/>
      <c r="CR309"/>
      <c r="CS309"/>
      <c r="CT309"/>
      <c r="CU309"/>
      <c r="CV309"/>
      <c r="CW309"/>
      <c r="CX309"/>
      <c r="CY309"/>
      <c r="CZ309"/>
      <c r="DA309"/>
      <c r="DB309"/>
      <c r="DC309"/>
      <c r="DD309"/>
      <c r="DE309"/>
      <c r="DG309"/>
      <c r="DH309"/>
      <c r="DI309"/>
      <c r="DJ309"/>
      <c r="DK309"/>
      <c r="DL309"/>
      <c r="DM309"/>
      <c r="DN309"/>
      <c r="DO309"/>
      <c r="DP309"/>
      <c r="DQ309"/>
      <c r="DR309"/>
      <c r="DS309"/>
      <c r="DT309"/>
      <c r="DU309"/>
      <c r="DV309"/>
      <c r="DW309"/>
      <c r="DZ309"/>
      <c r="EA309"/>
      <c r="EB309"/>
      <c r="EC309"/>
      <c r="ED309"/>
      <c r="EE309"/>
      <c r="EF309"/>
      <c r="EG309"/>
      <c r="EJ309"/>
      <c r="EK309"/>
      <c r="EL309"/>
      <c r="EM309"/>
      <c r="EN309"/>
      <c r="EO309"/>
      <c r="EP309"/>
      <c r="EQ309"/>
      <c r="ER309"/>
      <c r="ES309"/>
      <c r="ET309"/>
      <c r="EU309"/>
      <c r="EV309"/>
      <c r="EW309"/>
      <c r="EX309"/>
      <c r="EY309"/>
      <c r="EZ309"/>
      <c r="FA309"/>
      <c r="FB309"/>
      <c r="FC309"/>
      <c r="FD309"/>
      <c r="FE309"/>
      <c r="FF309"/>
      <c r="FG309"/>
      <c r="FH309"/>
      <c r="FK309" s="449">
        <v>7.7190000000000003</v>
      </c>
      <c r="FL309" s="449" t="s">
        <v>401</v>
      </c>
      <c r="FM309" s="449"/>
      <c r="FN309" s="452"/>
      <c r="FO309" s="452"/>
      <c r="FP309" s="452">
        <v>1</v>
      </c>
      <c r="FQ309" s="452"/>
      <c r="FR309" s="452"/>
      <c r="FS309" s="452"/>
      <c r="FT309" s="452"/>
      <c r="FU309" s="452"/>
      <c r="FV309" s="452"/>
      <c r="FW309" s="452"/>
      <c r="FX309" s="452"/>
      <c r="FY309" s="452"/>
      <c r="FZ309" s="453"/>
      <c r="GA309"/>
      <c r="GB309"/>
      <c r="GC309"/>
      <c r="GD309"/>
    </row>
    <row r="310" spans="1:186" x14ac:dyDescent="0.15">
      <c r="A310" s="30" t="s">
        <v>148</v>
      </c>
      <c r="AG310"/>
      <c r="AH310"/>
      <c r="AJ310"/>
      <c r="AK310"/>
      <c r="AL310"/>
      <c r="AM310"/>
      <c r="AO310"/>
      <c r="AP310"/>
      <c r="AQ310"/>
      <c r="AR310"/>
      <c r="AS310"/>
      <c r="AT310"/>
      <c r="AU310"/>
      <c r="AV310"/>
      <c r="AW310"/>
      <c r="AX310"/>
      <c r="AY310"/>
      <c r="AZ310"/>
      <c r="BA310"/>
      <c r="BB310"/>
      <c r="BC310"/>
      <c r="BD310"/>
      <c r="BE310"/>
      <c r="BF310"/>
      <c r="BH310"/>
      <c r="BI310"/>
      <c r="BJ310"/>
      <c r="BK310"/>
      <c r="BL310"/>
      <c r="BM310"/>
      <c r="BN310"/>
      <c r="BP310"/>
      <c r="BQ310"/>
      <c r="BR310"/>
      <c r="BS310"/>
      <c r="BT310"/>
      <c r="BU310"/>
      <c r="BV310"/>
      <c r="BW310"/>
      <c r="BZ310"/>
      <c r="CA310"/>
      <c r="CB310"/>
      <c r="CC310"/>
      <c r="CD310"/>
      <c r="CF310"/>
      <c r="CG310"/>
      <c r="CH310"/>
      <c r="CI310"/>
      <c r="CJ310"/>
      <c r="CK310"/>
      <c r="CL310"/>
      <c r="CM310"/>
      <c r="CN310"/>
      <c r="CO310"/>
      <c r="CP310"/>
      <c r="CQ310"/>
      <c r="CR310"/>
      <c r="CS310"/>
      <c r="CT310"/>
      <c r="CU310"/>
      <c r="CV310"/>
      <c r="CW310"/>
      <c r="CX310"/>
      <c r="CY310"/>
      <c r="CZ310"/>
      <c r="DA310"/>
      <c r="DB310"/>
      <c r="DC310"/>
      <c r="DD310"/>
      <c r="DE310"/>
      <c r="DG310"/>
      <c r="DH310"/>
      <c r="DI310"/>
      <c r="DJ310"/>
      <c r="DK310"/>
      <c r="DL310"/>
      <c r="DM310"/>
      <c r="DN310"/>
      <c r="DO310"/>
      <c r="DP310"/>
      <c r="DQ310"/>
      <c r="DR310"/>
      <c r="DS310"/>
      <c r="DT310"/>
      <c r="DU310"/>
      <c r="DV310"/>
      <c r="DW310"/>
      <c r="DZ310"/>
      <c r="EA310"/>
      <c r="EB310"/>
      <c r="EC310"/>
      <c r="ED310"/>
      <c r="EE310"/>
      <c r="EF310"/>
      <c r="EG310"/>
      <c r="EJ310"/>
      <c r="EK310"/>
      <c r="EL310"/>
      <c r="EM310"/>
      <c r="EN310"/>
      <c r="EO310"/>
      <c r="EP310"/>
      <c r="EQ310"/>
      <c r="ER310"/>
      <c r="ES310"/>
      <c r="ET310"/>
      <c r="EU310"/>
      <c r="EV310"/>
      <c r="EW310"/>
      <c r="EX310"/>
      <c r="EY310"/>
      <c r="EZ310"/>
      <c r="FA310"/>
      <c r="FB310"/>
      <c r="FC310"/>
      <c r="FD310"/>
      <c r="FE310"/>
      <c r="FF310"/>
      <c r="FG310"/>
      <c r="FH310"/>
      <c r="FK310" s="449" t="s">
        <v>6900</v>
      </c>
      <c r="FL310" s="457"/>
      <c r="FM310" s="449"/>
      <c r="FN310" s="452"/>
      <c r="FO310" s="452"/>
      <c r="FP310" s="452">
        <v>1</v>
      </c>
      <c r="FQ310" s="452"/>
      <c r="FR310" s="452"/>
      <c r="FS310" s="452"/>
      <c r="FT310" s="452"/>
      <c r="FU310" s="452"/>
      <c r="FV310" s="452"/>
      <c r="FW310" s="452"/>
      <c r="FX310" s="452"/>
      <c r="FY310" s="452"/>
      <c r="FZ310" s="453"/>
      <c r="GA310"/>
      <c r="GB310"/>
      <c r="GC310"/>
      <c r="GD310"/>
    </row>
    <row r="311" spans="1:186" x14ac:dyDescent="0.15">
      <c r="A311" s="30" t="s">
        <v>147</v>
      </c>
      <c r="AG311"/>
      <c r="AH311"/>
      <c r="AJ311"/>
      <c r="AK311"/>
      <c r="AL311"/>
      <c r="AM311"/>
      <c r="AO311"/>
      <c r="AP311"/>
      <c r="AQ311"/>
      <c r="AR311"/>
      <c r="AS311"/>
      <c r="AT311"/>
      <c r="AU311"/>
      <c r="AV311"/>
      <c r="AW311"/>
      <c r="AX311"/>
      <c r="AY311"/>
      <c r="AZ311"/>
      <c r="BA311"/>
      <c r="BB311"/>
      <c r="BC311"/>
      <c r="BD311"/>
      <c r="BE311"/>
      <c r="BF311"/>
      <c r="BH311"/>
      <c r="BI311"/>
      <c r="BJ311"/>
      <c r="BK311"/>
      <c r="BL311"/>
      <c r="BM311"/>
      <c r="BN311"/>
      <c r="BP311"/>
      <c r="BQ311"/>
      <c r="BR311"/>
      <c r="BS311"/>
      <c r="BT311"/>
      <c r="BU311"/>
      <c r="BV311"/>
      <c r="BW311"/>
      <c r="BZ311"/>
      <c r="CA311"/>
      <c r="CB311"/>
      <c r="CC311"/>
      <c r="CD311"/>
      <c r="CF311"/>
      <c r="CG311"/>
      <c r="CH311"/>
      <c r="CI311"/>
      <c r="CJ311"/>
      <c r="CK311"/>
      <c r="CL311"/>
      <c r="CM311"/>
      <c r="CN311"/>
      <c r="CO311"/>
      <c r="CP311"/>
      <c r="CQ311"/>
      <c r="CR311"/>
      <c r="CS311"/>
      <c r="CT311"/>
      <c r="CU311"/>
      <c r="CV311"/>
      <c r="CW311"/>
      <c r="CX311"/>
      <c r="CY311"/>
      <c r="CZ311"/>
      <c r="DA311"/>
      <c r="DB311"/>
      <c r="DC311"/>
      <c r="DD311"/>
      <c r="DE311"/>
      <c r="DG311"/>
      <c r="DH311"/>
      <c r="DI311"/>
      <c r="DJ311"/>
      <c r="DK311"/>
      <c r="DL311"/>
      <c r="DM311"/>
      <c r="DN311"/>
      <c r="DO311"/>
      <c r="DP311"/>
      <c r="DQ311"/>
      <c r="DR311"/>
      <c r="DS311"/>
      <c r="DT311"/>
      <c r="DU311"/>
      <c r="DV311"/>
      <c r="DW311"/>
      <c r="DZ311"/>
      <c r="EA311"/>
      <c r="EB311"/>
      <c r="EC311"/>
      <c r="ED311"/>
      <c r="EE311"/>
      <c r="EF311"/>
      <c r="EG311"/>
      <c r="EJ311"/>
      <c r="EK311"/>
      <c r="EL311"/>
      <c r="EM311"/>
      <c r="EN311"/>
      <c r="EO311"/>
      <c r="EP311"/>
      <c r="EQ311"/>
      <c r="ER311"/>
      <c r="ES311"/>
      <c r="ET311"/>
      <c r="EU311"/>
      <c r="EV311"/>
      <c r="EW311"/>
      <c r="EX311"/>
      <c r="EY311"/>
      <c r="EZ311"/>
      <c r="FA311"/>
      <c r="FB311"/>
      <c r="FC311"/>
      <c r="FD311"/>
      <c r="FE311"/>
      <c r="FF311"/>
      <c r="FG311"/>
      <c r="FH311"/>
      <c r="FK311" s="449">
        <v>7.6820000000000004</v>
      </c>
      <c r="FL311" s="449" t="s">
        <v>411</v>
      </c>
      <c r="FM311" s="449"/>
      <c r="FN311" s="452"/>
      <c r="FO311" s="452">
        <v>1</v>
      </c>
      <c r="FP311" s="452"/>
      <c r="FQ311" s="452"/>
      <c r="FR311" s="452"/>
      <c r="FS311" s="452"/>
      <c r="FT311" s="452"/>
      <c r="FU311" s="452"/>
      <c r="FV311" s="452"/>
      <c r="FW311" s="452"/>
      <c r="FX311" s="452"/>
      <c r="FY311" s="452"/>
      <c r="FZ311" s="453"/>
      <c r="GA311"/>
      <c r="GB311"/>
      <c r="GC311"/>
      <c r="GD311"/>
    </row>
    <row r="312" spans="1:186" x14ac:dyDescent="0.15">
      <c r="A312" s="30" t="s">
        <v>146</v>
      </c>
      <c r="AG312"/>
      <c r="AH312"/>
      <c r="AJ312"/>
      <c r="AK312"/>
      <c r="AL312"/>
      <c r="AM312"/>
      <c r="AO312"/>
      <c r="AP312"/>
      <c r="AQ312"/>
      <c r="AR312"/>
      <c r="AS312"/>
      <c r="AT312"/>
      <c r="AU312"/>
      <c r="AV312"/>
      <c r="AW312"/>
      <c r="AX312"/>
      <c r="AY312"/>
      <c r="AZ312"/>
      <c r="BA312"/>
      <c r="BB312"/>
      <c r="BC312"/>
      <c r="BD312"/>
      <c r="BE312"/>
      <c r="BF312"/>
      <c r="BH312"/>
      <c r="BI312"/>
      <c r="BJ312"/>
      <c r="BK312"/>
      <c r="BL312"/>
      <c r="BM312"/>
      <c r="BN312"/>
      <c r="BP312"/>
      <c r="BQ312"/>
      <c r="BR312"/>
      <c r="BS312"/>
      <c r="BT312"/>
      <c r="BU312"/>
      <c r="BV312"/>
      <c r="BW312"/>
      <c r="BZ312"/>
      <c r="CA312"/>
      <c r="CB312"/>
      <c r="CC312"/>
      <c r="CD312"/>
      <c r="CF312"/>
      <c r="CG312"/>
      <c r="CH312"/>
      <c r="CI312"/>
      <c r="CJ312"/>
      <c r="CK312"/>
      <c r="CL312"/>
      <c r="CM312"/>
      <c r="CN312"/>
      <c r="CO312"/>
      <c r="CP312"/>
      <c r="CQ312"/>
      <c r="CR312"/>
      <c r="CS312"/>
      <c r="CT312"/>
      <c r="CU312"/>
      <c r="CV312"/>
      <c r="CW312"/>
      <c r="CX312"/>
      <c r="CY312"/>
      <c r="CZ312"/>
      <c r="DA312"/>
      <c r="DB312"/>
      <c r="DC312"/>
      <c r="DD312"/>
      <c r="DE312"/>
      <c r="DG312"/>
      <c r="DH312"/>
      <c r="DI312"/>
      <c r="DJ312"/>
      <c r="DK312"/>
      <c r="DL312"/>
      <c r="DM312"/>
      <c r="DN312"/>
      <c r="DO312"/>
      <c r="DP312"/>
      <c r="DQ312"/>
      <c r="DR312"/>
      <c r="DS312"/>
      <c r="DT312"/>
      <c r="DU312"/>
      <c r="DV312"/>
      <c r="DW312"/>
      <c r="DZ312"/>
      <c r="EA312"/>
      <c r="EB312"/>
      <c r="EC312"/>
      <c r="ED312"/>
      <c r="EE312"/>
      <c r="EF312"/>
      <c r="EG312"/>
      <c r="EJ312"/>
      <c r="EK312"/>
      <c r="EL312"/>
      <c r="EM312"/>
      <c r="EN312"/>
      <c r="EO312"/>
      <c r="EP312"/>
      <c r="EQ312"/>
      <c r="ER312"/>
      <c r="ES312"/>
      <c r="ET312"/>
      <c r="EU312"/>
      <c r="EV312"/>
      <c r="EW312"/>
      <c r="EX312"/>
      <c r="EY312"/>
      <c r="EZ312"/>
      <c r="FA312"/>
      <c r="FB312"/>
      <c r="FC312"/>
      <c r="FD312"/>
      <c r="FE312"/>
      <c r="FF312"/>
      <c r="FG312"/>
      <c r="FH312"/>
      <c r="FK312" s="449" t="s">
        <v>6901</v>
      </c>
      <c r="FL312" s="457"/>
      <c r="FM312" s="449"/>
      <c r="FN312" s="452"/>
      <c r="FO312" s="452">
        <v>1</v>
      </c>
      <c r="FP312" s="452"/>
      <c r="FQ312" s="452"/>
      <c r="FR312" s="452"/>
      <c r="FS312" s="452"/>
      <c r="FT312" s="452"/>
      <c r="FU312" s="452"/>
      <c r="FV312" s="452"/>
      <c r="FW312" s="452"/>
      <c r="FX312" s="452"/>
      <c r="FY312" s="452"/>
      <c r="FZ312" s="453"/>
      <c r="GA312"/>
      <c r="GB312"/>
      <c r="GC312"/>
      <c r="GD312"/>
    </row>
    <row r="313" spans="1:186" x14ac:dyDescent="0.15">
      <c r="A313" s="30" t="s">
        <v>145</v>
      </c>
      <c r="AG313"/>
      <c r="AH313"/>
      <c r="AJ313"/>
      <c r="AK313"/>
      <c r="AL313"/>
      <c r="AM313"/>
      <c r="AO313"/>
      <c r="AP313"/>
      <c r="AQ313"/>
      <c r="AR313"/>
      <c r="AS313"/>
      <c r="AT313"/>
      <c r="AU313"/>
      <c r="AV313"/>
      <c r="AW313"/>
      <c r="AX313"/>
      <c r="AY313"/>
      <c r="AZ313"/>
      <c r="BA313"/>
      <c r="BB313"/>
      <c r="BC313"/>
      <c r="BD313"/>
      <c r="BE313"/>
      <c r="BF313"/>
      <c r="BH313"/>
      <c r="BI313"/>
      <c r="BJ313"/>
      <c r="BK313"/>
      <c r="BL313"/>
      <c r="BM313"/>
      <c r="BN313"/>
      <c r="BP313"/>
      <c r="BQ313"/>
      <c r="BR313"/>
      <c r="BS313"/>
      <c r="BT313"/>
      <c r="BU313"/>
      <c r="BV313"/>
      <c r="BW313"/>
      <c r="BZ313"/>
      <c r="CA313"/>
      <c r="CB313"/>
      <c r="CC313"/>
      <c r="CD313"/>
      <c r="CF313"/>
      <c r="CG313"/>
      <c r="CH313"/>
      <c r="CI313"/>
      <c r="CJ313"/>
      <c r="CK313"/>
      <c r="CL313"/>
      <c r="CM313"/>
      <c r="CN313"/>
      <c r="CO313"/>
      <c r="CP313"/>
      <c r="CQ313"/>
      <c r="CR313"/>
      <c r="CS313"/>
      <c r="CT313"/>
      <c r="CU313"/>
      <c r="CV313"/>
      <c r="CW313"/>
      <c r="CX313"/>
      <c r="CY313"/>
      <c r="CZ313"/>
      <c r="DA313"/>
      <c r="DB313"/>
      <c r="DC313"/>
      <c r="DD313"/>
      <c r="DE313"/>
      <c r="DG313"/>
      <c r="DH313"/>
      <c r="DI313"/>
      <c r="DJ313"/>
      <c r="DK313"/>
      <c r="DL313"/>
      <c r="DM313"/>
      <c r="DN313"/>
      <c r="DO313"/>
      <c r="DP313"/>
      <c r="DQ313"/>
      <c r="DR313"/>
      <c r="DS313"/>
      <c r="DT313"/>
      <c r="DU313"/>
      <c r="DV313"/>
      <c r="DW313"/>
      <c r="DZ313"/>
      <c r="EA313"/>
      <c r="EB313"/>
      <c r="EC313"/>
      <c r="ED313"/>
      <c r="EE313"/>
      <c r="EF313"/>
      <c r="EG313"/>
      <c r="EJ313"/>
      <c r="EK313"/>
      <c r="EL313"/>
      <c r="EM313"/>
      <c r="EN313"/>
      <c r="EO313"/>
      <c r="EP313"/>
      <c r="EQ313"/>
      <c r="ER313"/>
      <c r="ES313"/>
      <c r="ET313"/>
      <c r="EU313"/>
      <c r="EV313"/>
      <c r="EW313"/>
      <c r="EX313"/>
      <c r="EY313"/>
      <c r="EZ313"/>
      <c r="FA313"/>
      <c r="FB313"/>
      <c r="FC313"/>
      <c r="FD313"/>
      <c r="FE313"/>
      <c r="FF313"/>
      <c r="FG313"/>
      <c r="FH313"/>
      <c r="FK313" s="449">
        <v>8.702</v>
      </c>
      <c r="FL313" s="449" t="s">
        <v>411</v>
      </c>
      <c r="FM313" s="449"/>
      <c r="FN313" s="452"/>
      <c r="FO313" s="452"/>
      <c r="FP313" s="452"/>
      <c r="FQ313" s="452"/>
      <c r="FR313" s="452"/>
      <c r="FS313" s="452"/>
      <c r="FT313" s="452"/>
      <c r="FU313" s="452">
        <v>1</v>
      </c>
      <c r="FV313" s="452"/>
      <c r="FW313" s="452"/>
      <c r="FX313" s="452"/>
      <c r="FY313" s="452"/>
      <c r="FZ313" s="453"/>
      <c r="GA313"/>
      <c r="GB313"/>
      <c r="GC313"/>
      <c r="GD313"/>
    </row>
    <row r="314" spans="1:186" x14ac:dyDescent="0.15">
      <c r="A314" s="30" t="s">
        <v>144</v>
      </c>
      <c r="AG314"/>
      <c r="AH314"/>
      <c r="AJ314"/>
      <c r="AK314"/>
      <c r="AL314"/>
      <c r="AM314"/>
      <c r="AO314"/>
      <c r="AP314"/>
      <c r="AQ314"/>
      <c r="AR314"/>
      <c r="AS314"/>
      <c r="AT314"/>
      <c r="AU314"/>
      <c r="AV314"/>
      <c r="AW314"/>
      <c r="AX314"/>
      <c r="AY314"/>
      <c r="AZ314"/>
      <c r="BA314"/>
      <c r="BB314"/>
      <c r="BC314"/>
      <c r="BD314"/>
      <c r="BE314"/>
      <c r="BF314"/>
      <c r="BH314"/>
      <c r="BI314"/>
      <c r="BJ314"/>
      <c r="BK314"/>
      <c r="BL314"/>
      <c r="BM314"/>
      <c r="BN314"/>
      <c r="BP314"/>
      <c r="BQ314"/>
      <c r="BR314"/>
      <c r="BS314"/>
      <c r="BT314"/>
      <c r="BU314"/>
      <c r="BV314"/>
      <c r="BW314"/>
      <c r="BZ314"/>
      <c r="CA314"/>
      <c r="CB314"/>
      <c r="CC314"/>
      <c r="CD314"/>
      <c r="CF314"/>
      <c r="CG314"/>
      <c r="CH314"/>
      <c r="CI314"/>
      <c r="CJ314"/>
      <c r="CK314"/>
      <c r="CL314"/>
      <c r="CM314"/>
      <c r="CN314"/>
      <c r="CO314"/>
      <c r="CP314"/>
      <c r="CQ314"/>
      <c r="CR314"/>
      <c r="CS314"/>
      <c r="CT314"/>
      <c r="CU314"/>
      <c r="CV314"/>
      <c r="CW314"/>
      <c r="CX314"/>
      <c r="CY314"/>
      <c r="CZ314"/>
      <c r="DA314"/>
      <c r="DB314"/>
      <c r="DC314"/>
      <c r="DD314"/>
      <c r="DE314"/>
      <c r="DG314"/>
      <c r="DH314"/>
      <c r="DI314"/>
      <c r="DJ314"/>
      <c r="DK314"/>
      <c r="DL314"/>
      <c r="DM314"/>
      <c r="DN314"/>
      <c r="DO314"/>
      <c r="DP314"/>
      <c r="DQ314"/>
      <c r="DR314"/>
      <c r="DS314"/>
      <c r="DT314"/>
      <c r="DU314"/>
      <c r="DV314"/>
      <c r="DW314"/>
      <c r="DZ314"/>
      <c r="EA314"/>
      <c r="EB314"/>
      <c r="EC314"/>
      <c r="ED314"/>
      <c r="EE314"/>
      <c r="EF314"/>
      <c r="EG314"/>
      <c r="EJ314"/>
      <c r="EK314"/>
      <c r="EL314"/>
      <c r="EM314"/>
      <c r="EN314"/>
      <c r="EO314"/>
      <c r="EP314"/>
      <c r="EQ314"/>
      <c r="ER314"/>
      <c r="ES314"/>
      <c r="ET314"/>
      <c r="EU314"/>
      <c r="EV314"/>
      <c r="EW314"/>
      <c r="EX314"/>
      <c r="EY314"/>
      <c r="EZ314"/>
      <c r="FA314"/>
      <c r="FB314"/>
      <c r="FC314"/>
      <c r="FD314"/>
      <c r="FE314"/>
      <c r="FF314"/>
      <c r="FG314"/>
      <c r="FH314"/>
      <c r="FK314" s="449" t="s">
        <v>6902</v>
      </c>
      <c r="FL314" s="457"/>
      <c r="FM314" s="449"/>
      <c r="FN314" s="452"/>
      <c r="FO314" s="452"/>
      <c r="FP314" s="452"/>
      <c r="FQ314" s="452"/>
      <c r="FR314" s="452"/>
      <c r="FS314" s="452"/>
      <c r="FT314" s="452"/>
      <c r="FU314" s="452">
        <v>1</v>
      </c>
      <c r="FV314" s="452"/>
      <c r="FW314" s="452"/>
      <c r="FX314" s="452"/>
      <c r="FY314" s="452"/>
      <c r="FZ314" s="453"/>
      <c r="GA314"/>
      <c r="GB314"/>
      <c r="GC314"/>
      <c r="GD314"/>
    </row>
    <row r="315" spans="1:186" x14ac:dyDescent="0.15">
      <c r="A315" s="30" t="s">
        <v>143</v>
      </c>
      <c r="AG315"/>
      <c r="AH315"/>
      <c r="AJ315"/>
      <c r="AK315"/>
      <c r="AL315"/>
      <c r="AM315"/>
      <c r="AO315"/>
      <c r="AP315"/>
      <c r="AQ315"/>
      <c r="AR315"/>
      <c r="AS315"/>
      <c r="AT315"/>
      <c r="AU315"/>
      <c r="AV315"/>
      <c r="AW315"/>
      <c r="AX315"/>
      <c r="AY315"/>
      <c r="AZ315"/>
      <c r="BA315"/>
      <c r="BB315"/>
      <c r="BC315"/>
      <c r="BD315"/>
      <c r="BE315"/>
      <c r="BF315"/>
      <c r="BH315"/>
      <c r="BI315"/>
      <c r="BJ315"/>
      <c r="BK315"/>
      <c r="BL315"/>
      <c r="BM315"/>
      <c r="BN315"/>
      <c r="BP315"/>
      <c r="BQ315"/>
      <c r="BR315"/>
      <c r="BS315"/>
      <c r="BT315"/>
      <c r="BU315"/>
      <c r="BV315"/>
      <c r="BW315"/>
      <c r="BZ315"/>
      <c r="CA315"/>
      <c r="CB315"/>
      <c r="CC315"/>
      <c r="CD315"/>
      <c r="CF315"/>
      <c r="CG315"/>
      <c r="CH315"/>
      <c r="CI315"/>
      <c r="CJ315"/>
      <c r="CK315"/>
      <c r="CL315"/>
      <c r="CM315"/>
      <c r="CN315"/>
      <c r="CO315"/>
      <c r="CP315"/>
      <c r="CQ315"/>
      <c r="CR315"/>
      <c r="CS315"/>
      <c r="CT315"/>
      <c r="CU315"/>
      <c r="CV315"/>
      <c r="CW315"/>
      <c r="CX315"/>
      <c r="CY315"/>
      <c r="CZ315"/>
      <c r="DA315"/>
      <c r="DB315"/>
      <c r="DC315"/>
      <c r="DD315"/>
      <c r="DE315"/>
      <c r="DG315"/>
      <c r="DH315"/>
      <c r="DI315"/>
      <c r="DJ315"/>
      <c r="DK315"/>
      <c r="DL315"/>
      <c r="DM315"/>
      <c r="DN315"/>
      <c r="DO315"/>
      <c r="DP315"/>
      <c r="DQ315"/>
      <c r="DR315"/>
      <c r="DS315"/>
      <c r="DT315"/>
      <c r="DU315"/>
      <c r="DV315"/>
      <c r="DW315"/>
      <c r="DZ315"/>
      <c r="EA315"/>
      <c r="EB315"/>
      <c r="EC315"/>
      <c r="ED315"/>
      <c r="EE315"/>
      <c r="EF315"/>
      <c r="EG315"/>
      <c r="EJ315"/>
      <c r="EK315"/>
      <c r="EL315"/>
      <c r="EM315"/>
      <c r="EN315"/>
      <c r="EO315"/>
      <c r="EP315"/>
      <c r="EQ315"/>
      <c r="ER315"/>
      <c r="ES315"/>
      <c r="ET315"/>
      <c r="EU315"/>
      <c r="EV315"/>
      <c r="EW315"/>
      <c r="EX315"/>
      <c r="EY315"/>
      <c r="EZ315"/>
      <c r="FA315"/>
      <c r="FB315"/>
      <c r="FC315"/>
      <c r="FD315"/>
      <c r="FE315"/>
      <c r="FF315"/>
      <c r="FG315"/>
      <c r="FH315"/>
      <c r="FK315" s="449">
        <v>0.56799999999999995</v>
      </c>
      <c r="FL315" s="449" t="s">
        <v>411</v>
      </c>
      <c r="FM315" s="449"/>
      <c r="FN315" s="452"/>
      <c r="FO315" s="452">
        <v>1</v>
      </c>
      <c r="FP315" s="452"/>
      <c r="FQ315" s="452"/>
      <c r="FR315" s="452"/>
      <c r="FS315" s="452"/>
      <c r="FT315" s="452"/>
      <c r="FU315" s="452"/>
      <c r="FV315" s="452"/>
      <c r="FW315" s="452"/>
      <c r="FX315" s="452"/>
      <c r="FY315" s="452"/>
      <c r="FZ315" s="453"/>
      <c r="GA315"/>
      <c r="GB315"/>
      <c r="GC315"/>
      <c r="GD315"/>
    </row>
    <row r="316" spans="1:186" x14ac:dyDescent="0.15">
      <c r="A316" s="30" t="s">
        <v>142</v>
      </c>
      <c r="AG316"/>
      <c r="AH316"/>
      <c r="AJ316"/>
      <c r="AK316"/>
      <c r="AL316"/>
      <c r="AM316"/>
      <c r="AO316"/>
      <c r="AP316"/>
      <c r="AQ316"/>
      <c r="AR316"/>
      <c r="AS316"/>
      <c r="AT316"/>
      <c r="AU316"/>
      <c r="AV316"/>
      <c r="AW316"/>
      <c r="AX316"/>
      <c r="AY316"/>
      <c r="AZ316"/>
      <c r="BA316"/>
      <c r="BB316"/>
      <c r="BC316"/>
      <c r="BD316"/>
      <c r="BE316"/>
      <c r="BF316"/>
      <c r="BH316"/>
      <c r="BI316"/>
      <c r="BJ316"/>
      <c r="BK316"/>
      <c r="BL316"/>
      <c r="BM316"/>
      <c r="BN316"/>
      <c r="BP316"/>
      <c r="BQ316"/>
      <c r="BR316"/>
      <c r="BS316"/>
      <c r="BT316"/>
      <c r="BU316"/>
      <c r="BV316"/>
      <c r="BW316"/>
      <c r="BZ316"/>
      <c r="CA316"/>
      <c r="CB316"/>
      <c r="CC316"/>
      <c r="CD316"/>
      <c r="CF316"/>
      <c r="CG316"/>
      <c r="CH316"/>
      <c r="CI316"/>
      <c r="CJ316"/>
      <c r="CK316"/>
      <c r="CL316"/>
      <c r="CM316"/>
      <c r="CN316"/>
      <c r="CO316"/>
      <c r="CP316"/>
      <c r="CQ316"/>
      <c r="CR316"/>
      <c r="CS316"/>
      <c r="CT316"/>
      <c r="CU316"/>
      <c r="CV316"/>
      <c r="CW316"/>
      <c r="CX316"/>
      <c r="CY316"/>
      <c r="CZ316"/>
      <c r="DA316"/>
      <c r="DB316"/>
      <c r="DC316"/>
      <c r="DD316"/>
      <c r="DE316"/>
      <c r="DG316"/>
      <c r="DH316"/>
      <c r="DI316"/>
      <c r="DJ316"/>
      <c r="DK316"/>
      <c r="DL316"/>
      <c r="DM316"/>
      <c r="DN316"/>
      <c r="DO316"/>
      <c r="DP316"/>
      <c r="DQ316"/>
      <c r="DR316"/>
      <c r="DS316"/>
      <c r="DT316"/>
      <c r="DU316"/>
      <c r="DV316"/>
      <c r="DW316"/>
      <c r="DZ316"/>
      <c r="EA316"/>
      <c r="EB316"/>
      <c r="EC316"/>
      <c r="ED316"/>
      <c r="EE316"/>
      <c r="EF316"/>
      <c r="EG316"/>
      <c r="EJ316"/>
      <c r="EK316"/>
      <c r="EL316"/>
      <c r="EM316"/>
      <c r="EN316"/>
      <c r="EO316"/>
      <c r="EP316"/>
      <c r="EQ316"/>
      <c r="ER316"/>
      <c r="ES316"/>
      <c r="ET316"/>
      <c r="EU316"/>
      <c r="EV316"/>
      <c r="EW316"/>
      <c r="EX316"/>
      <c r="EY316"/>
      <c r="EZ316"/>
      <c r="FA316"/>
      <c r="FB316"/>
      <c r="FC316"/>
      <c r="FD316"/>
      <c r="FE316"/>
      <c r="FF316"/>
      <c r="FG316"/>
      <c r="FH316"/>
      <c r="FK316" s="449" t="s">
        <v>6903</v>
      </c>
      <c r="FL316" s="457"/>
      <c r="FM316" s="449"/>
      <c r="FN316" s="452"/>
      <c r="FO316" s="452">
        <v>1</v>
      </c>
      <c r="FP316" s="452"/>
      <c r="FQ316" s="452"/>
      <c r="FR316" s="452"/>
      <c r="FS316" s="452"/>
      <c r="FT316" s="452"/>
      <c r="FU316" s="452"/>
      <c r="FV316" s="452"/>
      <c r="FW316" s="452"/>
      <c r="FX316" s="452"/>
      <c r="FY316" s="452"/>
      <c r="FZ316" s="453"/>
      <c r="GA316"/>
      <c r="GB316"/>
      <c r="GC316"/>
      <c r="GD316"/>
    </row>
    <row r="317" spans="1:186" x14ac:dyDescent="0.15">
      <c r="A317" s="30" t="s">
        <v>141</v>
      </c>
      <c r="AG317"/>
      <c r="AH317"/>
      <c r="AJ317"/>
      <c r="AK317"/>
      <c r="AL317"/>
      <c r="AM317"/>
      <c r="AO317"/>
      <c r="AP317"/>
      <c r="AQ317"/>
      <c r="AR317"/>
      <c r="AS317"/>
      <c r="AT317"/>
      <c r="AU317"/>
      <c r="AV317"/>
      <c r="AW317"/>
      <c r="AX317"/>
      <c r="AY317"/>
      <c r="AZ317"/>
      <c r="BA317"/>
      <c r="BB317"/>
      <c r="BC317"/>
      <c r="BD317"/>
      <c r="BE317"/>
      <c r="BF317"/>
      <c r="BH317"/>
      <c r="BI317"/>
      <c r="BJ317"/>
      <c r="BK317"/>
      <c r="BL317"/>
      <c r="BM317"/>
      <c r="BN317"/>
      <c r="BP317"/>
      <c r="BQ317"/>
      <c r="BR317"/>
      <c r="BS317"/>
      <c r="BT317"/>
      <c r="BU317"/>
      <c r="BV317"/>
      <c r="BW317"/>
      <c r="BZ317"/>
      <c r="CA317"/>
      <c r="CB317"/>
      <c r="CC317"/>
      <c r="CD317"/>
      <c r="CF317"/>
      <c r="CG317"/>
      <c r="CH317"/>
      <c r="CI317"/>
      <c r="CJ317"/>
      <c r="CK317"/>
      <c r="CL317"/>
      <c r="CM317"/>
      <c r="CN317"/>
      <c r="CO317"/>
      <c r="CP317"/>
      <c r="CQ317"/>
      <c r="CR317"/>
      <c r="CS317"/>
      <c r="CT317"/>
      <c r="CU317"/>
      <c r="CV317"/>
      <c r="CW317"/>
      <c r="CX317"/>
      <c r="CY317"/>
      <c r="CZ317"/>
      <c r="DA317"/>
      <c r="DB317"/>
      <c r="DC317"/>
      <c r="DD317"/>
      <c r="DE317"/>
      <c r="DG317"/>
      <c r="DH317"/>
      <c r="DI317"/>
      <c r="DJ317"/>
      <c r="DK317"/>
      <c r="DL317"/>
      <c r="DM317"/>
      <c r="DN317"/>
      <c r="DO317"/>
      <c r="DP317"/>
      <c r="DQ317"/>
      <c r="DR317"/>
      <c r="DS317"/>
      <c r="DT317"/>
      <c r="DU317"/>
      <c r="DV317"/>
      <c r="DW317"/>
      <c r="DZ317"/>
      <c r="EA317"/>
      <c r="EB317"/>
      <c r="EC317"/>
      <c r="ED317"/>
      <c r="EE317"/>
      <c r="EF317"/>
      <c r="EG317"/>
      <c r="EJ317"/>
      <c r="EK317"/>
      <c r="EL317"/>
      <c r="EM317"/>
      <c r="EN317"/>
      <c r="EO317"/>
      <c r="EP317"/>
      <c r="EQ317"/>
      <c r="ER317"/>
      <c r="ES317"/>
      <c r="ET317"/>
      <c r="EU317"/>
      <c r="EV317"/>
      <c r="EW317"/>
      <c r="EX317"/>
      <c r="EY317"/>
      <c r="EZ317"/>
      <c r="FA317"/>
      <c r="FB317"/>
      <c r="FC317"/>
      <c r="FD317"/>
      <c r="FE317"/>
      <c r="FF317"/>
      <c r="FG317"/>
      <c r="FH317"/>
      <c r="FK317" s="449">
        <v>18.545000000000002</v>
      </c>
      <c r="FL317" s="449" t="s">
        <v>405</v>
      </c>
      <c r="FM317" s="449"/>
      <c r="FN317" s="452">
        <v>1</v>
      </c>
      <c r="FO317" s="452"/>
      <c r="FP317" s="452"/>
      <c r="FQ317" s="452"/>
      <c r="FR317" s="452"/>
      <c r="FS317" s="452"/>
      <c r="FT317" s="452"/>
      <c r="FU317" s="452"/>
      <c r="FV317" s="452"/>
      <c r="FW317" s="452"/>
      <c r="FX317" s="452"/>
      <c r="FY317" s="452"/>
      <c r="FZ317" s="453"/>
      <c r="GA317"/>
      <c r="GB317"/>
      <c r="GC317"/>
      <c r="GD317"/>
    </row>
    <row r="318" spans="1:186" x14ac:dyDescent="0.15">
      <c r="A318" s="30" t="s">
        <v>140</v>
      </c>
      <c r="AG318"/>
      <c r="AH318"/>
      <c r="AJ318"/>
      <c r="AK318"/>
      <c r="AL318"/>
      <c r="AM318"/>
      <c r="AO318"/>
      <c r="AP318"/>
      <c r="AQ318"/>
      <c r="AR318"/>
      <c r="AS318"/>
      <c r="AT318"/>
      <c r="AU318"/>
      <c r="AV318"/>
      <c r="AW318"/>
      <c r="AX318"/>
      <c r="AY318"/>
      <c r="AZ318"/>
      <c r="BA318"/>
      <c r="BB318"/>
      <c r="BC318"/>
      <c r="BD318"/>
      <c r="BE318"/>
      <c r="BF318"/>
      <c r="BH318"/>
      <c r="BI318"/>
      <c r="BJ318"/>
      <c r="BK318"/>
      <c r="BL318"/>
      <c r="BM318"/>
      <c r="BN318"/>
      <c r="BP318"/>
      <c r="BQ318"/>
      <c r="BR318"/>
      <c r="BS318"/>
      <c r="BT318"/>
      <c r="BU318"/>
      <c r="BV318"/>
      <c r="BW318"/>
      <c r="BZ318"/>
      <c r="CA318"/>
      <c r="CB318"/>
      <c r="CC318"/>
      <c r="CD318"/>
      <c r="CF318"/>
      <c r="CG318"/>
      <c r="CH318"/>
      <c r="CI318"/>
      <c r="CJ318"/>
      <c r="CK318"/>
      <c r="CL318"/>
      <c r="CM318"/>
      <c r="CN318"/>
      <c r="CO318"/>
      <c r="CP318"/>
      <c r="CQ318"/>
      <c r="CR318"/>
      <c r="CS318"/>
      <c r="CT318"/>
      <c r="CU318"/>
      <c r="CV318"/>
      <c r="CW318"/>
      <c r="CX318"/>
      <c r="CY318"/>
      <c r="CZ318"/>
      <c r="DA318"/>
      <c r="DB318"/>
      <c r="DC318"/>
      <c r="DD318"/>
      <c r="DE318"/>
      <c r="DG318"/>
      <c r="DH318"/>
      <c r="DI318"/>
      <c r="DJ318"/>
      <c r="DK318"/>
      <c r="DL318"/>
      <c r="DM318"/>
      <c r="DN318"/>
      <c r="DO318"/>
      <c r="DP318"/>
      <c r="DQ318"/>
      <c r="DR318"/>
      <c r="DS318"/>
      <c r="DT318"/>
      <c r="DU318"/>
      <c r="DV318"/>
      <c r="DW318"/>
      <c r="DZ318"/>
      <c r="EA318"/>
      <c r="EB318"/>
      <c r="EC318"/>
      <c r="ED318"/>
      <c r="EE318"/>
      <c r="EF318"/>
      <c r="EG318"/>
      <c r="EJ318"/>
      <c r="EK318"/>
      <c r="EL318"/>
      <c r="EM318"/>
      <c r="EN318"/>
      <c r="EO318"/>
      <c r="EP318"/>
      <c r="EQ318"/>
      <c r="ER318"/>
      <c r="ES318"/>
      <c r="ET318"/>
      <c r="EU318"/>
      <c r="EV318"/>
      <c r="EW318"/>
      <c r="EX318"/>
      <c r="EY318"/>
      <c r="EZ318"/>
      <c r="FA318"/>
      <c r="FB318"/>
      <c r="FC318"/>
      <c r="FD318"/>
      <c r="FE318"/>
      <c r="FF318"/>
      <c r="FG318"/>
      <c r="FH318"/>
      <c r="FK318" s="449" t="s">
        <v>6904</v>
      </c>
      <c r="FL318" s="457"/>
      <c r="FM318" s="449"/>
      <c r="FN318" s="452">
        <v>1</v>
      </c>
      <c r="FO318" s="452"/>
      <c r="FP318" s="452"/>
      <c r="FQ318" s="452"/>
      <c r="FR318" s="452"/>
      <c r="FS318" s="452"/>
      <c r="FT318" s="452"/>
      <c r="FU318" s="452"/>
      <c r="FV318" s="452"/>
      <c r="FW318" s="452"/>
      <c r="FX318" s="452"/>
      <c r="FY318" s="452"/>
      <c r="FZ318" s="453"/>
      <c r="GA318"/>
      <c r="GB318"/>
      <c r="GC318"/>
      <c r="GD318"/>
    </row>
    <row r="319" spans="1:186" x14ac:dyDescent="0.15">
      <c r="A319" s="30" t="s">
        <v>139</v>
      </c>
      <c r="AG319"/>
      <c r="AH319"/>
      <c r="AJ319"/>
      <c r="AK319"/>
      <c r="AL319"/>
      <c r="AM319"/>
      <c r="AO319"/>
      <c r="AP319"/>
      <c r="AQ319"/>
      <c r="AR319"/>
      <c r="AS319"/>
      <c r="AT319"/>
      <c r="AU319"/>
      <c r="AV319"/>
      <c r="AW319"/>
      <c r="AX319"/>
      <c r="AY319"/>
      <c r="AZ319"/>
      <c r="BA319"/>
      <c r="BB319"/>
      <c r="BC319"/>
      <c r="BD319"/>
      <c r="BE319"/>
      <c r="BF319"/>
      <c r="BH319"/>
      <c r="BI319"/>
      <c r="BJ319"/>
      <c r="BK319"/>
      <c r="BL319"/>
      <c r="BM319"/>
      <c r="BN319"/>
      <c r="BP319"/>
      <c r="BQ319"/>
      <c r="BR319"/>
      <c r="BS319"/>
      <c r="BT319"/>
      <c r="BU319"/>
      <c r="BV319"/>
      <c r="BW319"/>
      <c r="BZ319"/>
      <c r="CA319"/>
      <c r="CB319"/>
      <c r="CC319"/>
      <c r="CD319"/>
      <c r="CF319"/>
      <c r="CG319"/>
      <c r="CH319"/>
      <c r="CI319"/>
      <c r="CJ319"/>
      <c r="CK319"/>
      <c r="CL319"/>
      <c r="CM319"/>
      <c r="CN319"/>
      <c r="CO319"/>
      <c r="CP319"/>
      <c r="CQ319"/>
      <c r="CR319"/>
      <c r="CS319"/>
      <c r="CT319"/>
      <c r="CU319"/>
      <c r="CV319"/>
      <c r="CW319"/>
      <c r="CX319"/>
      <c r="CY319"/>
      <c r="CZ319"/>
      <c r="DA319"/>
      <c r="DB319"/>
      <c r="DC319"/>
      <c r="DD319"/>
      <c r="DE319"/>
      <c r="DG319"/>
      <c r="DH319"/>
      <c r="DI319"/>
      <c r="DJ319"/>
      <c r="DK319"/>
      <c r="DL319"/>
      <c r="DM319"/>
      <c r="DN319"/>
      <c r="DO319"/>
      <c r="DP319"/>
      <c r="DQ319"/>
      <c r="DR319"/>
      <c r="DS319"/>
      <c r="DT319"/>
      <c r="DU319"/>
      <c r="DV319"/>
      <c r="DW319"/>
      <c r="DZ319"/>
      <c r="EA319"/>
      <c r="EB319"/>
      <c r="EC319"/>
      <c r="ED319"/>
      <c r="EE319"/>
      <c r="EF319"/>
      <c r="EG319"/>
      <c r="EJ319"/>
      <c r="EK319"/>
      <c r="EL319"/>
      <c r="EM319"/>
      <c r="EN319"/>
      <c r="EO319"/>
      <c r="EP319"/>
      <c r="EQ319"/>
      <c r="ER319"/>
      <c r="ES319"/>
      <c r="ET319"/>
      <c r="EU319"/>
      <c r="EV319"/>
      <c r="EW319"/>
      <c r="EX319"/>
      <c r="EY319"/>
      <c r="EZ319"/>
      <c r="FA319"/>
      <c r="FB319"/>
      <c r="FC319"/>
      <c r="FD319"/>
      <c r="FE319"/>
      <c r="FF319"/>
      <c r="FG319"/>
      <c r="FH319"/>
      <c r="FK319" s="449">
        <v>0.35199999999999998</v>
      </c>
      <c r="FL319" s="449" t="s">
        <v>401</v>
      </c>
      <c r="FM319" s="449"/>
      <c r="FN319" s="452"/>
      <c r="FO319" s="452"/>
      <c r="FP319" s="452">
        <v>1</v>
      </c>
      <c r="FQ319" s="452"/>
      <c r="FR319" s="452"/>
      <c r="FS319" s="452"/>
      <c r="FT319" s="452"/>
      <c r="FU319" s="452"/>
      <c r="FV319" s="452"/>
      <c r="FW319" s="452"/>
      <c r="FX319" s="452"/>
      <c r="FY319" s="452"/>
      <c r="FZ319" s="453"/>
      <c r="GA319"/>
      <c r="GB319"/>
      <c r="GC319"/>
      <c r="GD319"/>
    </row>
    <row r="320" spans="1:186" x14ac:dyDescent="0.15">
      <c r="A320" s="30" t="s">
        <v>138</v>
      </c>
      <c r="AG320"/>
      <c r="AH320"/>
      <c r="AJ320"/>
      <c r="AK320"/>
      <c r="AL320"/>
      <c r="AM320"/>
      <c r="AO320"/>
      <c r="AP320"/>
      <c r="AQ320"/>
      <c r="AR320"/>
      <c r="AS320"/>
      <c r="AT320"/>
      <c r="AU320"/>
      <c r="AV320"/>
      <c r="AW320"/>
      <c r="AX320"/>
      <c r="AY320"/>
      <c r="AZ320"/>
      <c r="BA320"/>
      <c r="BB320"/>
      <c r="BC320"/>
      <c r="BD320"/>
      <c r="BE320"/>
      <c r="BF320"/>
      <c r="BH320"/>
      <c r="BI320"/>
      <c r="BJ320"/>
      <c r="BK320"/>
      <c r="BL320"/>
      <c r="BM320"/>
      <c r="BN320"/>
      <c r="BP320"/>
      <c r="BQ320"/>
      <c r="BR320"/>
      <c r="BS320"/>
      <c r="BT320"/>
      <c r="BU320"/>
      <c r="BV320"/>
      <c r="BW320"/>
      <c r="BZ320"/>
      <c r="CA320"/>
      <c r="CB320"/>
      <c r="CC320"/>
      <c r="CD320"/>
      <c r="CF320"/>
      <c r="CG320"/>
      <c r="CH320"/>
      <c r="CI320"/>
      <c r="CJ320"/>
      <c r="CK320"/>
      <c r="CL320"/>
      <c r="CM320"/>
      <c r="CN320"/>
      <c r="CO320"/>
      <c r="CP320"/>
      <c r="CQ320"/>
      <c r="CR320"/>
      <c r="CS320"/>
      <c r="CT320"/>
      <c r="CU320"/>
      <c r="CV320"/>
      <c r="CW320"/>
      <c r="CX320"/>
      <c r="CY320"/>
      <c r="CZ320"/>
      <c r="DA320"/>
      <c r="DB320"/>
      <c r="DC320"/>
      <c r="DD320"/>
      <c r="DE320"/>
      <c r="DG320"/>
      <c r="DH320"/>
      <c r="DI320"/>
      <c r="DJ320"/>
      <c r="DK320"/>
      <c r="DL320"/>
      <c r="DM320"/>
      <c r="DN320"/>
      <c r="DO320"/>
      <c r="DP320"/>
      <c r="DQ320"/>
      <c r="DR320"/>
      <c r="DS320"/>
      <c r="DT320"/>
      <c r="DU320"/>
      <c r="DV320"/>
      <c r="DW320"/>
      <c r="DZ320"/>
      <c r="EA320"/>
      <c r="EB320"/>
      <c r="EC320"/>
      <c r="ED320"/>
      <c r="EE320"/>
      <c r="EF320"/>
      <c r="EG320"/>
      <c r="EJ320"/>
      <c r="EK320"/>
      <c r="EL320"/>
      <c r="EM320"/>
      <c r="EN320"/>
      <c r="EO320"/>
      <c r="EP320"/>
      <c r="EQ320"/>
      <c r="ER320"/>
      <c r="ES320"/>
      <c r="ET320"/>
      <c r="EU320"/>
      <c r="EV320"/>
      <c r="EW320"/>
      <c r="EX320"/>
      <c r="EY320"/>
      <c r="EZ320"/>
      <c r="FA320"/>
      <c r="FB320"/>
      <c r="FC320"/>
      <c r="FD320"/>
      <c r="FE320"/>
      <c r="FF320"/>
      <c r="FG320"/>
      <c r="FH320"/>
      <c r="FK320" s="449" t="s">
        <v>6905</v>
      </c>
      <c r="FL320" s="457"/>
      <c r="FM320" s="449"/>
      <c r="FN320" s="452"/>
      <c r="FO320" s="452"/>
      <c r="FP320" s="452">
        <v>1</v>
      </c>
      <c r="FQ320" s="452"/>
      <c r="FR320" s="452"/>
      <c r="FS320" s="452"/>
      <c r="FT320" s="452"/>
      <c r="FU320" s="452"/>
      <c r="FV320" s="452"/>
      <c r="FW320" s="452"/>
      <c r="FX320" s="452"/>
      <c r="FY320" s="452"/>
      <c r="FZ320" s="453"/>
      <c r="GA320"/>
      <c r="GB320"/>
      <c r="GC320"/>
      <c r="GD320"/>
    </row>
    <row r="321" spans="1:186" x14ac:dyDescent="0.15">
      <c r="A321" s="30" t="s">
        <v>137</v>
      </c>
      <c r="AG321"/>
      <c r="AH321"/>
      <c r="AJ321"/>
      <c r="AK321"/>
      <c r="AL321"/>
      <c r="AM321"/>
      <c r="AO321"/>
      <c r="AP321"/>
      <c r="AQ321"/>
      <c r="AR321"/>
      <c r="AS321"/>
      <c r="AT321"/>
      <c r="AU321"/>
      <c r="AV321"/>
      <c r="AW321"/>
      <c r="AX321"/>
      <c r="AY321"/>
      <c r="AZ321"/>
      <c r="BA321"/>
      <c r="BB321"/>
      <c r="BC321"/>
      <c r="BD321"/>
      <c r="BE321"/>
      <c r="BF321"/>
      <c r="BH321"/>
      <c r="BI321"/>
      <c r="BJ321"/>
      <c r="BK321"/>
      <c r="BL321"/>
      <c r="BM321"/>
      <c r="BN321"/>
      <c r="BP321"/>
      <c r="BQ321"/>
      <c r="BR321"/>
      <c r="BS321"/>
      <c r="BT321"/>
      <c r="BU321"/>
      <c r="BV321"/>
      <c r="BW321"/>
      <c r="BZ321"/>
      <c r="CA321"/>
      <c r="CB321"/>
      <c r="CC321"/>
      <c r="CD321"/>
      <c r="CF321"/>
      <c r="CG321"/>
      <c r="CH321"/>
      <c r="CI321"/>
      <c r="CJ321"/>
      <c r="CK321"/>
      <c r="CL321"/>
      <c r="CM321"/>
      <c r="CN321"/>
      <c r="CO321"/>
      <c r="CP321"/>
      <c r="CQ321"/>
      <c r="CR321"/>
      <c r="CS321"/>
      <c r="CT321"/>
      <c r="CU321"/>
      <c r="CV321"/>
      <c r="CW321"/>
      <c r="CX321"/>
      <c r="CY321"/>
      <c r="CZ321"/>
      <c r="DA321"/>
      <c r="DB321"/>
      <c r="DC321"/>
      <c r="DD321"/>
      <c r="DE321"/>
      <c r="DG321"/>
      <c r="DH321"/>
      <c r="DI321"/>
      <c r="DJ321"/>
      <c r="DK321"/>
      <c r="DL321"/>
      <c r="DM321"/>
      <c r="DN321"/>
      <c r="DO321"/>
      <c r="DP321"/>
      <c r="DQ321"/>
      <c r="DR321"/>
      <c r="DS321"/>
      <c r="DT321"/>
      <c r="DU321"/>
      <c r="DV321"/>
      <c r="DW321"/>
      <c r="DZ321"/>
      <c r="EA321"/>
      <c r="EB321"/>
      <c r="EC321"/>
      <c r="ED321"/>
      <c r="EE321"/>
      <c r="EF321"/>
      <c r="EG321"/>
      <c r="EJ321"/>
      <c r="EK321"/>
      <c r="EL321"/>
      <c r="EM321"/>
      <c r="EN321"/>
      <c r="EO321"/>
      <c r="EP321"/>
      <c r="EQ321"/>
      <c r="ER321"/>
      <c r="ES321"/>
      <c r="ET321"/>
      <c r="EU321"/>
      <c r="EV321"/>
      <c r="EW321"/>
      <c r="EX321"/>
      <c r="EY321"/>
      <c r="EZ321"/>
      <c r="FA321"/>
      <c r="FB321"/>
      <c r="FC321"/>
      <c r="FD321"/>
      <c r="FE321"/>
      <c r="FF321"/>
      <c r="FG321"/>
      <c r="FH321"/>
      <c r="FK321" s="449">
        <v>0.35499999999999998</v>
      </c>
      <c r="FL321" s="449" t="s">
        <v>405</v>
      </c>
      <c r="FM321" s="449">
        <v>1</v>
      </c>
      <c r="FN321" s="452"/>
      <c r="FO321" s="452"/>
      <c r="FP321" s="452"/>
      <c r="FQ321" s="452"/>
      <c r="FR321" s="452"/>
      <c r="FS321" s="452"/>
      <c r="FT321" s="452"/>
      <c r="FU321" s="452"/>
      <c r="FV321" s="452"/>
      <c r="FW321" s="452"/>
      <c r="FX321" s="452"/>
      <c r="FY321" s="452"/>
      <c r="FZ321" s="453"/>
      <c r="GA321"/>
      <c r="GB321"/>
      <c r="GC321"/>
      <c r="GD321"/>
    </row>
    <row r="322" spans="1:186" x14ac:dyDescent="0.15">
      <c r="AG322"/>
      <c r="AH322"/>
      <c r="AJ322"/>
      <c r="AK322"/>
      <c r="AL322"/>
      <c r="AM322"/>
      <c r="AO322"/>
      <c r="AP322"/>
      <c r="AQ322"/>
      <c r="AR322"/>
      <c r="AS322"/>
      <c r="AT322"/>
      <c r="AU322"/>
      <c r="AV322"/>
      <c r="AW322"/>
      <c r="AX322"/>
      <c r="AY322"/>
      <c r="AZ322"/>
      <c r="BA322"/>
      <c r="BB322"/>
      <c r="BC322"/>
      <c r="BD322"/>
      <c r="BE322"/>
      <c r="BF322"/>
      <c r="BH322"/>
      <c r="BI322"/>
      <c r="BJ322"/>
      <c r="BK322"/>
      <c r="BL322"/>
      <c r="BM322"/>
      <c r="BN322"/>
      <c r="BP322"/>
      <c r="BQ322"/>
      <c r="BR322"/>
      <c r="BS322"/>
      <c r="BT322"/>
      <c r="BU322"/>
      <c r="BV322"/>
      <c r="BW322"/>
      <c r="BZ322"/>
      <c r="CA322"/>
      <c r="CB322"/>
      <c r="CC322"/>
      <c r="CD322"/>
      <c r="CF322"/>
      <c r="CG322"/>
      <c r="CH322"/>
      <c r="CI322"/>
      <c r="CJ322"/>
      <c r="CK322"/>
      <c r="CL322"/>
      <c r="CM322"/>
      <c r="CN322"/>
      <c r="CO322"/>
      <c r="CP322"/>
      <c r="CQ322"/>
      <c r="CR322"/>
      <c r="CS322"/>
      <c r="CT322"/>
      <c r="CU322"/>
      <c r="CV322"/>
      <c r="CW322"/>
      <c r="CX322"/>
      <c r="CY322"/>
      <c r="CZ322"/>
      <c r="DA322"/>
      <c r="DB322"/>
      <c r="DC322"/>
      <c r="DD322"/>
      <c r="DE322"/>
      <c r="DG322"/>
      <c r="DH322"/>
      <c r="DI322"/>
      <c r="DJ322"/>
      <c r="DK322"/>
      <c r="DL322"/>
      <c r="DM322"/>
      <c r="DN322"/>
      <c r="DO322"/>
      <c r="DP322"/>
      <c r="DQ322"/>
      <c r="DR322"/>
      <c r="DS322"/>
      <c r="DT322"/>
      <c r="DU322"/>
      <c r="DV322"/>
      <c r="DW322"/>
      <c r="DZ322"/>
      <c r="EA322"/>
      <c r="EB322"/>
      <c r="EC322"/>
      <c r="ED322"/>
      <c r="EE322"/>
      <c r="EF322"/>
      <c r="EG322"/>
      <c r="EJ322"/>
      <c r="EK322"/>
      <c r="EL322"/>
      <c r="EM322"/>
      <c r="EN322"/>
      <c r="EO322"/>
      <c r="EP322"/>
      <c r="EQ322"/>
      <c r="ER322"/>
      <c r="ES322"/>
      <c r="ET322"/>
      <c r="EU322"/>
      <c r="EV322"/>
      <c r="EW322"/>
      <c r="EX322"/>
      <c r="EY322"/>
      <c r="EZ322"/>
      <c r="FA322"/>
      <c r="FB322"/>
      <c r="FC322"/>
      <c r="FD322"/>
      <c r="FE322"/>
      <c r="FF322"/>
      <c r="FG322"/>
      <c r="FH322"/>
      <c r="FK322" s="449" t="s">
        <v>6906</v>
      </c>
      <c r="FL322" s="457"/>
      <c r="FM322" s="449">
        <v>1</v>
      </c>
      <c r="FN322" s="452"/>
      <c r="FO322" s="452"/>
      <c r="FP322" s="452"/>
      <c r="FQ322" s="452"/>
      <c r="FR322" s="452"/>
      <c r="FS322" s="452"/>
      <c r="FT322" s="452"/>
      <c r="FU322" s="452"/>
      <c r="FV322" s="452"/>
      <c r="FW322" s="452"/>
      <c r="FX322" s="452"/>
      <c r="FY322" s="452"/>
      <c r="FZ322" s="453"/>
      <c r="GA322"/>
      <c r="GB322"/>
      <c r="GC322"/>
      <c r="GD322"/>
    </row>
    <row r="323" spans="1:186" x14ac:dyDescent="0.15">
      <c r="AG323"/>
      <c r="AH323"/>
      <c r="AJ323"/>
      <c r="AK323"/>
      <c r="AL323"/>
      <c r="AM323"/>
      <c r="AO323"/>
      <c r="AP323"/>
      <c r="AQ323"/>
      <c r="AR323"/>
      <c r="AS323"/>
      <c r="AT323"/>
      <c r="AU323"/>
      <c r="AV323"/>
      <c r="AW323"/>
      <c r="AX323"/>
      <c r="AY323"/>
      <c r="AZ323"/>
      <c r="BA323"/>
      <c r="BB323"/>
      <c r="BC323"/>
      <c r="BD323"/>
      <c r="BE323"/>
      <c r="BF323"/>
      <c r="BH323"/>
      <c r="BI323"/>
      <c r="BJ323"/>
      <c r="BK323"/>
      <c r="BL323"/>
      <c r="BM323"/>
      <c r="BN323"/>
      <c r="BP323"/>
      <c r="BQ323"/>
      <c r="BR323"/>
      <c r="BS323"/>
      <c r="BT323"/>
      <c r="BU323"/>
      <c r="BV323"/>
      <c r="BW323"/>
      <c r="BZ323"/>
      <c r="CA323"/>
      <c r="CB323"/>
      <c r="CC323"/>
      <c r="CD323"/>
      <c r="CF323"/>
      <c r="CG323"/>
      <c r="CH323"/>
      <c r="CI323"/>
      <c r="CJ323"/>
      <c r="CK323"/>
      <c r="CL323"/>
      <c r="CM323"/>
      <c r="CN323"/>
      <c r="CO323"/>
      <c r="CP323"/>
      <c r="CQ323"/>
      <c r="CR323"/>
      <c r="CS323"/>
      <c r="CT323"/>
      <c r="CU323"/>
      <c r="CV323"/>
      <c r="CW323"/>
      <c r="CX323"/>
      <c r="CY323"/>
      <c r="CZ323"/>
      <c r="DA323"/>
      <c r="DB323"/>
      <c r="DC323"/>
      <c r="DD323"/>
      <c r="DE323"/>
      <c r="DG323"/>
      <c r="DH323"/>
      <c r="DI323"/>
      <c r="DJ323"/>
      <c r="DK323"/>
      <c r="DL323"/>
      <c r="DM323"/>
      <c r="DN323"/>
      <c r="DO323"/>
      <c r="DP323"/>
      <c r="DQ323"/>
      <c r="DR323"/>
      <c r="DS323"/>
      <c r="DT323"/>
      <c r="DU323"/>
      <c r="DV323"/>
      <c r="DW323"/>
      <c r="DZ323"/>
      <c r="EA323"/>
      <c r="EB323"/>
      <c r="EC323"/>
      <c r="ED323"/>
      <c r="EE323"/>
      <c r="EF323"/>
      <c r="EG323"/>
      <c r="EJ323"/>
      <c r="EK323"/>
      <c r="EL323"/>
      <c r="EM323"/>
      <c r="EN323"/>
      <c r="EO323"/>
      <c r="EP323"/>
      <c r="EQ323"/>
      <c r="ER323"/>
      <c r="ES323"/>
      <c r="ET323"/>
      <c r="EU323"/>
      <c r="EV323"/>
      <c r="EW323"/>
      <c r="EX323"/>
      <c r="EY323"/>
      <c r="EZ323"/>
      <c r="FA323"/>
      <c r="FB323"/>
      <c r="FC323"/>
      <c r="FD323"/>
      <c r="FE323"/>
      <c r="FF323"/>
      <c r="FG323"/>
      <c r="FH323"/>
      <c r="FK323" s="449">
        <v>0.15</v>
      </c>
      <c r="FL323" s="449" t="s">
        <v>406</v>
      </c>
      <c r="FM323" s="449"/>
      <c r="FN323" s="452"/>
      <c r="FO323" s="452"/>
      <c r="FP323" s="452">
        <v>1</v>
      </c>
      <c r="FQ323" s="452"/>
      <c r="FR323" s="452"/>
      <c r="FS323" s="452"/>
      <c r="FT323" s="452"/>
      <c r="FU323" s="452"/>
      <c r="FV323" s="452"/>
      <c r="FW323" s="452"/>
      <c r="FX323" s="452"/>
      <c r="FY323" s="452"/>
      <c r="FZ323" s="453"/>
      <c r="GA323"/>
      <c r="GB323"/>
      <c r="GC323"/>
      <c r="GD323"/>
    </row>
    <row r="324" spans="1:186" x14ac:dyDescent="0.15">
      <c r="AG324"/>
      <c r="AH324"/>
      <c r="AJ324"/>
      <c r="AK324"/>
      <c r="AL324"/>
      <c r="AM324"/>
      <c r="AO324"/>
      <c r="AP324"/>
      <c r="AQ324"/>
      <c r="AR324"/>
      <c r="AS324"/>
      <c r="AT324"/>
      <c r="AU324"/>
      <c r="AV324"/>
      <c r="AW324"/>
      <c r="AX324"/>
      <c r="AY324"/>
      <c r="AZ324"/>
      <c r="BA324"/>
      <c r="BB324"/>
      <c r="BC324"/>
      <c r="BD324"/>
      <c r="BE324"/>
      <c r="BF324"/>
      <c r="BH324"/>
      <c r="BI324"/>
      <c r="BJ324"/>
      <c r="BK324"/>
      <c r="BL324"/>
      <c r="BM324"/>
      <c r="BN324"/>
      <c r="BP324"/>
      <c r="BQ324"/>
      <c r="BR324"/>
      <c r="BS324"/>
      <c r="BT324"/>
      <c r="BU324"/>
      <c r="BV324"/>
      <c r="BW324"/>
      <c r="BZ324"/>
      <c r="CA324"/>
      <c r="CB324"/>
      <c r="CC324"/>
      <c r="CD324"/>
      <c r="CF324"/>
      <c r="CG324"/>
      <c r="CH324"/>
      <c r="CI324"/>
      <c r="CJ324"/>
      <c r="CK324"/>
      <c r="CL324"/>
      <c r="CM324"/>
      <c r="CN324"/>
      <c r="CO324"/>
      <c r="CP324"/>
      <c r="CQ324"/>
      <c r="CR324"/>
      <c r="CS324"/>
      <c r="CT324"/>
      <c r="CU324"/>
      <c r="CV324"/>
      <c r="CW324"/>
      <c r="CX324"/>
      <c r="CY324"/>
      <c r="CZ324"/>
      <c r="DA324"/>
      <c r="DB324"/>
      <c r="DC324"/>
      <c r="DD324"/>
      <c r="DE324"/>
      <c r="DG324"/>
      <c r="DH324"/>
      <c r="DI324"/>
      <c r="DJ324"/>
      <c r="DK324"/>
      <c r="DL324"/>
      <c r="DM324"/>
      <c r="DN324"/>
      <c r="DO324"/>
      <c r="DP324"/>
      <c r="DQ324"/>
      <c r="DR324"/>
      <c r="DS324"/>
      <c r="DT324"/>
      <c r="DU324"/>
      <c r="DV324"/>
      <c r="DW324"/>
      <c r="DZ324"/>
      <c r="EA324"/>
      <c r="EB324"/>
      <c r="EC324"/>
      <c r="ED324"/>
      <c r="EE324"/>
      <c r="EF324"/>
      <c r="EG324"/>
      <c r="EJ324"/>
      <c r="EK324"/>
      <c r="EL324"/>
      <c r="EM324"/>
      <c r="EN324"/>
      <c r="EO324"/>
      <c r="EP324"/>
      <c r="EQ324"/>
      <c r="ER324"/>
      <c r="ES324"/>
      <c r="ET324"/>
      <c r="EU324"/>
      <c r="EV324"/>
      <c r="EW324"/>
      <c r="EX324"/>
      <c r="EY324"/>
      <c r="EZ324"/>
      <c r="FA324"/>
      <c r="FB324"/>
      <c r="FC324"/>
      <c r="FD324"/>
      <c r="FE324"/>
      <c r="FF324"/>
      <c r="FG324"/>
      <c r="FH324"/>
      <c r="FK324" s="449" t="s">
        <v>6907</v>
      </c>
      <c r="FL324" s="457"/>
      <c r="FM324" s="449"/>
      <c r="FN324" s="452"/>
      <c r="FO324" s="452"/>
      <c r="FP324" s="452">
        <v>1</v>
      </c>
      <c r="FQ324" s="452"/>
      <c r="FR324" s="452"/>
      <c r="FS324" s="452"/>
      <c r="FT324" s="452"/>
      <c r="FU324" s="452"/>
      <c r="FV324" s="452"/>
      <c r="FW324" s="452"/>
      <c r="FX324" s="452"/>
      <c r="FY324" s="452"/>
      <c r="FZ324" s="453"/>
      <c r="GA324"/>
      <c r="GB324"/>
      <c r="GC324"/>
      <c r="GD324"/>
    </row>
    <row r="325" spans="1:186" x14ac:dyDescent="0.15">
      <c r="AG325"/>
      <c r="AH325"/>
      <c r="AJ325"/>
      <c r="AK325"/>
      <c r="AL325"/>
      <c r="AM325"/>
      <c r="AO325"/>
      <c r="AP325"/>
      <c r="AQ325"/>
      <c r="AR325"/>
      <c r="AS325"/>
      <c r="AT325"/>
      <c r="AU325"/>
      <c r="AV325"/>
      <c r="AW325"/>
      <c r="AX325"/>
      <c r="AY325"/>
      <c r="AZ325"/>
      <c r="BA325"/>
      <c r="BB325"/>
      <c r="BC325"/>
      <c r="BD325"/>
      <c r="BE325"/>
      <c r="BF325"/>
      <c r="BH325"/>
      <c r="BI325"/>
      <c r="BJ325"/>
      <c r="BK325"/>
      <c r="BL325"/>
      <c r="BM325"/>
      <c r="BN325"/>
      <c r="BP325"/>
      <c r="BQ325"/>
      <c r="BR325"/>
      <c r="BS325"/>
      <c r="BT325"/>
      <c r="BU325"/>
      <c r="BV325"/>
      <c r="BW325"/>
      <c r="BZ325"/>
      <c r="CA325"/>
      <c r="CB325"/>
      <c r="CC325"/>
      <c r="CD325"/>
      <c r="CF325"/>
      <c r="CG325"/>
      <c r="CH325"/>
      <c r="CI325"/>
      <c r="CJ325"/>
      <c r="CK325"/>
      <c r="CL325"/>
      <c r="CM325"/>
      <c r="CN325"/>
      <c r="CO325"/>
      <c r="CP325"/>
      <c r="CQ325"/>
      <c r="CR325"/>
      <c r="CS325"/>
      <c r="CT325"/>
      <c r="CU325"/>
      <c r="CV325"/>
      <c r="CW325"/>
      <c r="CX325"/>
      <c r="CY325"/>
      <c r="CZ325"/>
      <c r="DA325"/>
      <c r="DB325"/>
      <c r="DC325"/>
      <c r="DD325"/>
      <c r="DE325"/>
      <c r="DG325"/>
      <c r="DH325"/>
      <c r="DI325"/>
      <c r="DJ325"/>
      <c r="DK325"/>
      <c r="DL325"/>
      <c r="DM325"/>
      <c r="DN325"/>
      <c r="DO325"/>
      <c r="DP325"/>
      <c r="DQ325"/>
      <c r="DR325"/>
      <c r="DS325"/>
      <c r="DT325"/>
      <c r="DU325"/>
      <c r="DV325"/>
      <c r="DW325"/>
      <c r="DZ325"/>
      <c r="EA325"/>
      <c r="EB325"/>
      <c r="EC325"/>
      <c r="ED325"/>
      <c r="EE325"/>
      <c r="EF325"/>
      <c r="EG325"/>
      <c r="EJ325"/>
      <c r="EK325"/>
      <c r="EL325"/>
      <c r="EM325"/>
      <c r="EN325"/>
      <c r="EO325"/>
      <c r="EP325"/>
      <c r="EQ325"/>
      <c r="ER325"/>
      <c r="ES325"/>
      <c r="ET325"/>
      <c r="EU325"/>
      <c r="EV325"/>
      <c r="EW325"/>
      <c r="EX325"/>
      <c r="EY325"/>
      <c r="EZ325"/>
      <c r="FA325"/>
      <c r="FB325"/>
      <c r="FC325"/>
      <c r="FD325"/>
      <c r="FE325"/>
      <c r="FF325"/>
      <c r="FG325"/>
      <c r="FH325"/>
      <c r="FK325" s="449">
        <v>2.1720000000000002</v>
      </c>
      <c r="FL325" s="449" t="s">
        <v>411</v>
      </c>
      <c r="FM325" s="449"/>
      <c r="FN325" s="452"/>
      <c r="FO325" s="452">
        <v>1</v>
      </c>
      <c r="FP325" s="452"/>
      <c r="FQ325" s="452"/>
      <c r="FR325" s="452"/>
      <c r="FS325" s="452"/>
      <c r="FT325" s="452"/>
      <c r="FU325" s="452"/>
      <c r="FV325" s="452"/>
      <c r="FW325" s="452"/>
      <c r="FX325" s="452"/>
      <c r="FY325" s="452"/>
      <c r="FZ325" s="453"/>
      <c r="GA325"/>
      <c r="GB325"/>
      <c r="GC325"/>
      <c r="GD325"/>
    </row>
    <row r="326" spans="1:186" x14ac:dyDescent="0.15">
      <c r="AG326"/>
      <c r="AH326"/>
      <c r="AJ326"/>
      <c r="AK326"/>
      <c r="AL326"/>
      <c r="AM326"/>
      <c r="AO326"/>
      <c r="AP326"/>
      <c r="AQ326"/>
      <c r="AR326"/>
      <c r="AS326"/>
      <c r="AT326"/>
      <c r="AU326"/>
      <c r="AV326"/>
      <c r="AW326"/>
      <c r="AX326"/>
      <c r="AY326"/>
      <c r="AZ326"/>
      <c r="BA326"/>
      <c r="BB326"/>
      <c r="BC326"/>
      <c r="BD326"/>
      <c r="BE326"/>
      <c r="BF326"/>
      <c r="BH326"/>
      <c r="BI326"/>
      <c r="BJ326"/>
      <c r="BK326"/>
      <c r="BL326"/>
      <c r="BM326"/>
      <c r="BN326"/>
      <c r="BP326"/>
      <c r="BQ326"/>
      <c r="BR326"/>
      <c r="BS326"/>
      <c r="BT326"/>
      <c r="BU326"/>
      <c r="BV326"/>
      <c r="BW326"/>
      <c r="BZ326"/>
      <c r="CA326"/>
      <c r="CB326"/>
      <c r="CC326"/>
      <c r="CD326"/>
      <c r="CF326"/>
      <c r="CG326"/>
      <c r="CH326"/>
      <c r="CI326"/>
      <c r="CJ326"/>
      <c r="CK326"/>
      <c r="CL326"/>
      <c r="CM326"/>
      <c r="CN326"/>
      <c r="CO326"/>
      <c r="CP326"/>
      <c r="CQ326"/>
      <c r="CR326"/>
      <c r="CS326"/>
      <c r="CT326"/>
      <c r="CU326"/>
      <c r="CV326"/>
      <c r="CW326"/>
      <c r="CX326"/>
      <c r="CY326"/>
      <c r="CZ326"/>
      <c r="DA326"/>
      <c r="DB326"/>
      <c r="DC326"/>
      <c r="DD326"/>
      <c r="DE326"/>
      <c r="DG326"/>
      <c r="DH326"/>
      <c r="DI326"/>
      <c r="DJ326"/>
      <c r="DK326"/>
      <c r="DL326"/>
      <c r="DM326"/>
      <c r="DN326"/>
      <c r="DO326"/>
      <c r="DP326"/>
      <c r="DQ326"/>
      <c r="DR326"/>
      <c r="DS326"/>
      <c r="DT326"/>
      <c r="DU326"/>
      <c r="DV326"/>
      <c r="DW326"/>
      <c r="DZ326"/>
      <c r="EA326"/>
      <c r="EB326"/>
      <c r="EC326"/>
      <c r="ED326"/>
      <c r="EE326"/>
      <c r="EF326"/>
      <c r="EG326"/>
      <c r="EJ326"/>
      <c r="EK326"/>
      <c r="EL326"/>
      <c r="EM326"/>
      <c r="EN326"/>
      <c r="EO326"/>
      <c r="EP326"/>
      <c r="EQ326"/>
      <c r="ER326"/>
      <c r="ES326"/>
      <c r="ET326"/>
      <c r="EU326"/>
      <c r="EV326"/>
      <c r="EW326"/>
      <c r="EX326"/>
      <c r="EY326"/>
      <c r="EZ326"/>
      <c r="FA326"/>
      <c r="FB326"/>
      <c r="FC326"/>
      <c r="FD326"/>
      <c r="FE326"/>
      <c r="FF326"/>
      <c r="FG326"/>
      <c r="FH326"/>
      <c r="FK326" s="449" t="s">
        <v>6908</v>
      </c>
      <c r="FL326" s="457"/>
      <c r="FM326" s="449"/>
      <c r="FN326" s="452"/>
      <c r="FO326" s="452">
        <v>1</v>
      </c>
      <c r="FP326" s="452"/>
      <c r="FQ326" s="452"/>
      <c r="FR326" s="452"/>
      <c r="FS326" s="452"/>
      <c r="FT326" s="452"/>
      <c r="FU326" s="452"/>
      <c r="FV326" s="452"/>
      <c r="FW326" s="452"/>
      <c r="FX326" s="452"/>
      <c r="FY326" s="452"/>
      <c r="FZ326" s="453"/>
      <c r="GA326"/>
      <c r="GB326"/>
      <c r="GC326"/>
      <c r="GD326"/>
    </row>
    <row r="327" spans="1:186" x14ac:dyDescent="0.15">
      <c r="AG327"/>
      <c r="AH327"/>
      <c r="AJ327"/>
      <c r="AK327"/>
      <c r="AL327"/>
      <c r="AM327"/>
      <c r="AO327"/>
      <c r="AP327"/>
      <c r="AQ327"/>
      <c r="AR327"/>
      <c r="AS327"/>
      <c r="AT327"/>
      <c r="AU327"/>
      <c r="AV327"/>
      <c r="AW327"/>
      <c r="AX327"/>
      <c r="AY327"/>
      <c r="AZ327"/>
      <c r="BA327"/>
      <c r="BB327"/>
      <c r="BC327"/>
      <c r="BD327"/>
      <c r="BE327"/>
      <c r="BF327"/>
      <c r="BH327"/>
      <c r="BI327"/>
      <c r="BJ327"/>
      <c r="BK327"/>
      <c r="BL327"/>
      <c r="BM327"/>
      <c r="BN327"/>
      <c r="BP327"/>
      <c r="BQ327"/>
      <c r="BR327"/>
      <c r="BS327"/>
      <c r="BT327"/>
      <c r="BU327"/>
      <c r="BV327"/>
      <c r="BW327"/>
      <c r="BZ327"/>
      <c r="CA327"/>
      <c r="CB327"/>
      <c r="CC327"/>
      <c r="CD327"/>
      <c r="CF327"/>
      <c r="CG327"/>
      <c r="CH327"/>
      <c r="CI327"/>
      <c r="CJ327"/>
      <c r="CK327"/>
      <c r="CL327"/>
      <c r="CM327"/>
      <c r="CN327"/>
      <c r="CO327"/>
      <c r="CP327"/>
      <c r="CQ327"/>
      <c r="CR327"/>
      <c r="CS327"/>
      <c r="CT327"/>
      <c r="CU327"/>
      <c r="CV327"/>
      <c r="CW327"/>
      <c r="CX327"/>
      <c r="CY327"/>
      <c r="CZ327"/>
      <c r="DA327"/>
      <c r="DB327"/>
      <c r="DC327"/>
      <c r="DD327"/>
      <c r="DE327"/>
      <c r="DG327"/>
      <c r="DH327"/>
      <c r="DI327"/>
      <c r="DJ327"/>
      <c r="DK327"/>
      <c r="DL327"/>
      <c r="DM327"/>
      <c r="DN327"/>
      <c r="DO327"/>
      <c r="DP327"/>
      <c r="DQ327"/>
      <c r="DR327"/>
      <c r="DS327"/>
      <c r="DT327"/>
      <c r="DU327"/>
      <c r="DV327"/>
      <c r="DW327"/>
      <c r="DZ327"/>
      <c r="EA327"/>
      <c r="EB327"/>
      <c r="EC327"/>
      <c r="ED327"/>
      <c r="EE327"/>
      <c r="EF327"/>
      <c r="EG327"/>
      <c r="EJ327"/>
      <c r="EK327"/>
      <c r="EL327"/>
      <c r="EM327"/>
      <c r="EN327"/>
      <c r="EO327"/>
      <c r="EP327"/>
      <c r="EQ327"/>
      <c r="ER327"/>
      <c r="ES327"/>
      <c r="ET327"/>
      <c r="EU327"/>
      <c r="EV327"/>
      <c r="EW327"/>
      <c r="EX327"/>
      <c r="EY327"/>
      <c r="EZ327"/>
      <c r="FA327"/>
      <c r="FB327"/>
      <c r="FC327"/>
      <c r="FD327"/>
      <c r="FE327"/>
      <c r="FF327"/>
      <c r="FG327"/>
      <c r="FH327"/>
      <c r="FK327" s="449">
        <v>5.3010000000000002</v>
      </c>
      <c r="FL327" s="449" t="s">
        <v>405</v>
      </c>
      <c r="FM327" s="449">
        <v>1</v>
      </c>
      <c r="FN327" s="452"/>
      <c r="FO327" s="452"/>
      <c r="FP327" s="452"/>
      <c r="FQ327" s="452"/>
      <c r="FR327" s="452"/>
      <c r="FS327" s="452"/>
      <c r="FT327" s="452"/>
      <c r="FU327" s="452"/>
      <c r="FV327" s="452"/>
      <c r="FW327" s="452"/>
      <c r="FX327" s="452"/>
      <c r="FY327" s="452"/>
      <c r="FZ327" s="453"/>
      <c r="GA327"/>
      <c r="GB327"/>
      <c r="GC327"/>
      <c r="GD327"/>
    </row>
    <row r="328" spans="1:186" x14ac:dyDescent="0.15">
      <c r="AG328"/>
      <c r="AH328"/>
      <c r="AJ328"/>
      <c r="AK328"/>
      <c r="AL328"/>
      <c r="AM328"/>
      <c r="AO328"/>
      <c r="AP328"/>
      <c r="AQ328"/>
      <c r="AR328"/>
      <c r="AS328"/>
      <c r="AT328"/>
      <c r="AU328"/>
      <c r="AV328"/>
      <c r="AW328"/>
      <c r="AX328"/>
      <c r="AY328"/>
      <c r="AZ328"/>
      <c r="BA328"/>
      <c r="BB328"/>
      <c r="BC328"/>
      <c r="BD328"/>
      <c r="BE328"/>
      <c r="BF328"/>
      <c r="BH328"/>
      <c r="BI328"/>
      <c r="BJ328"/>
      <c r="BK328"/>
      <c r="BL328"/>
      <c r="BM328"/>
      <c r="BN328"/>
      <c r="BP328"/>
      <c r="BQ328"/>
      <c r="BR328"/>
      <c r="BS328"/>
      <c r="BT328"/>
      <c r="BU328"/>
      <c r="BV328"/>
      <c r="BW328"/>
      <c r="BZ328"/>
      <c r="CA328"/>
      <c r="CB328"/>
      <c r="CC328"/>
      <c r="CD328"/>
      <c r="CF328"/>
      <c r="CG328"/>
      <c r="CH328"/>
      <c r="CI328"/>
      <c r="CJ328"/>
      <c r="CK328"/>
      <c r="CL328"/>
      <c r="CM328"/>
      <c r="CN328"/>
      <c r="CO328"/>
      <c r="CP328"/>
      <c r="CQ328"/>
      <c r="CR328"/>
      <c r="CS328"/>
      <c r="CT328"/>
      <c r="CU328"/>
      <c r="CV328"/>
      <c r="CW328"/>
      <c r="CX328"/>
      <c r="CY328"/>
      <c r="CZ328"/>
      <c r="DA328"/>
      <c r="DB328"/>
      <c r="DC328"/>
      <c r="DD328"/>
      <c r="DE328"/>
      <c r="DG328"/>
      <c r="DH328"/>
      <c r="DI328"/>
      <c r="DJ328"/>
      <c r="DK328"/>
      <c r="DL328"/>
      <c r="DM328"/>
      <c r="DN328"/>
      <c r="DO328"/>
      <c r="DP328"/>
      <c r="DQ328"/>
      <c r="DR328"/>
      <c r="DS328"/>
      <c r="DT328"/>
      <c r="DU328"/>
      <c r="DV328"/>
      <c r="DW328"/>
      <c r="DZ328"/>
      <c r="EA328"/>
      <c r="EB328"/>
      <c r="EC328"/>
      <c r="ED328"/>
      <c r="EE328"/>
      <c r="EF328"/>
      <c r="EG328"/>
      <c r="EJ328"/>
      <c r="EK328"/>
      <c r="EL328"/>
      <c r="EM328"/>
      <c r="EN328"/>
      <c r="EO328"/>
      <c r="EP328"/>
      <c r="EQ328"/>
      <c r="ER328"/>
      <c r="ES328"/>
      <c r="ET328"/>
      <c r="EU328"/>
      <c r="EV328"/>
      <c r="EW328"/>
      <c r="EX328"/>
      <c r="EY328"/>
      <c r="EZ328"/>
      <c r="FA328"/>
      <c r="FB328"/>
      <c r="FC328"/>
      <c r="FD328"/>
      <c r="FE328"/>
      <c r="FF328"/>
      <c r="FG328"/>
      <c r="FH328"/>
      <c r="FK328" s="449" t="s">
        <v>6909</v>
      </c>
      <c r="FL328" s="457"/>
      <c r="FM328" s="449">
        <v>1</v>
      </c>
      <c r="FN328" s="452"/>
      <c r="FO328" s="452"/>
      <c r="FP328" s="452"/>
      <c r="FQ328" s="452"/>
      <c r="FR328" s="452"/>
      <c r="FS328" s="452"/>
      <c r="FT328" s="452"/>
      <c r="FU328" s="452"/>
      <c r="FV328" s="452"/>
      <c r="FW328" s="452"/>
      <c r="FX328" s="452"/>
      <c r="FY328" s="452"/>
      <c r="FZ328" s="453"/>
      <c r="GA328"/>
      <c r="GB328"/>
      <c r="GC328"/>
      <c r="GD328"/>
    </row>
    <row r="329" spans="1:186" x14ac:dyDescent="0.15">
      <c r="AG329"/>
      <c r="AH329"/>
      <c r="AJ329"/>
      <c r="AK329"/>
      <c r="AL329"/>
      <c r="AM329"/>
      <c r="AO329"/>
      <c r="AP329"/>
      <c r="AQ329"/>
      <c r="AR329"/>
      <c r="AS329"/>
      <c r="AT329"/>
      <c r="AU329"/>
      <c r="AV329"/>
      <c r="AW329"/>
      <c r="AX329"/>
      <c r="AY329"/>
      <c r="AZ329"/>
      <c r="BA329"/>
      <c r="BB329"/>
      <c r="BC329"/>
      <c r="BD329"/>
      <c r="BE329"/>
      <c r="BF329"/>
      <c r="BH329"/>
      <c r="BI329"/>
      <c r="BJ329"/>
      <c r="BK329"/>
      <c r="BL329"/>
      <c r="BM329"/>
      <c r="BN329"/>
      <c r="BP329"/>
      <c r="BQ329"/>
      <c r="BR329"/>
      <c r="BS329"/>
      <c r="BT329"/>
      <c r="BU329"/>
      <c r="BV329"/>
      <c r="BW329"/>
      <c r="BZ329"/>
      <c r="CA329"/>
      <c r="CB329"/>
      <c r="CC329"/>
      <c r="CD329"/>
      <c r="CF329"/>
      <c r="CG329"/>
      <c r="CH329"/>
      <c r="CI329"/>
      <c r="CJ329"/>
      <c r="CK329"/>
      <c r="CL329"/>
      <c r="CM329"/>
      <c r="CN329"/>
      <c r="CO329"/>
      <c r="CP329"/>
      <c r="CQ329"/>
      <c r="CR329"/>
      <c r="CS329"/>
      <c r="CT329"/>
      <c r="CU329"/>
      <c r="CV329"/>
      <c r="CW329"/>
      <c r="CX329"/>
      <c r="CY329"/>
      <c r="CZ329"/>
      <c r="DA329"/>
      <c r="DB329"/>
      <c r="DC329"/>
      <c r="DD329"/>
      <c r="DE329"/>
      <c r="DG329"/>
      <c r="DH329"/>
      <c r="DI329"/>
      <c r="DJ329"/>
      <c r="DK329"/>
      <c r="DL329"/>
      <c r="DM329"/>
      <c r="DN329"/>
      <c r="DO329"/>
      <c r="DP329"/>
      <c r="DQ329"/>
      <c r="DR329"/>
      <c r="DS329"/>
      <c r="DT329"/>
      <c r="DU329"/>
      <c r="DV329"/>
      <c r="DW329"/>
      <c r="DZ329"/>
      <c r="EA329"/>
      <c r="EB329"/>
      <c r="EC329"/>
      <c r="ED329"/>
      <c r="EE329"/>
      <c r="EF329"/>
      <c r="EG329"/>
      <c r="EJ329"/>
      <c r="EK329"/>
      <c r="EL329"/>
      <c r="EM329"/>
      <c r="EN329"/>
      <c r="EO329"/>
      <c r="EP329"/>
      <c r="EQ329"/>
      <c r="ER329"/>
      <c r="ES329"/>
      <c r="ET329"/>
      <c r="EU329"/>
      <c r="EV329"/>
      <c r="EW329"/>
      <c r="EX329"/>
      <c r="EY329"/>
      <c r="EZ329"/>
      <c r="FA329"/>
      <c r="FB329"/>
      <c r="FC329"/>
      <c r="FD329"/>
      <c r="FE329"/>
      <c r="FF329"/>
      <c r="FG329"/>
      <c r="FH329"/>
      <c r="FK329" s="449">
        <v>6.8719999999999999</v>
      </c>
      <c r="FL329" s="449" t="s">
        <v>410</v>
      </c>
      <c r="FM329" s="449"/>
      <c r="FN329" s="452"/>
      <c r="FO329" s="452">
        <v>1</v>
      </c>
      <c r="FP329" s="452"/>
      <c r="FQ329" s="452"/>
      <c r="FR329" s="452"/>
      <c r="FS329" s="452"/>
      <c r="FT329" s="452"/>
      <c r="FU329" s="452"/>
      <c r="FV329" s="452"/>
      <c r="FW329" s="452"/>
      <c r="FX329" s="452"/>
      <c r="FY329" s="452"/>
      <c r="FZ329" s="453"/>
      <c r="GA329"/>
      <c r="GB329"/>
      <c r="GC329"/>
      <c r="GD329"/>
    </row>
    <row r="330" spans="1:186" x14ac:dyDescent="0.15">
      <c r="AG330"/>
      <c r="AH330"/>
      <c r="AJ330"/>
      <c r="AK330"/>
      <c r="AL330"/>
      <c r="AM330"/>
      <c r="AO330"/>
      <c r="AP330"/>
      <c r="AQ330"/>
      <c r="AR330"/>
      <c r="AS330"/>
      <c r="AT330"/>
      <c r="AU330"/>
      <c r="AV330"/>
      <c r="AW330"/>
      <c r="AX330"/>
      <c r="AY330"/>
      <c r="AZ330"/>
      <c r="BA330"/>
      <c r="BB330"/>
      <c r="BC330"/>
      <c r="BD330"/>
      <c r="BE330"/>
      <c r="BF330"/>
      <c r="BH330"/>
      <c r="BI330"/>
      <c r="BJ330"/>
      <c r="BK330"/>
      <c r="BL330"/>
      <c r="BM330"/>
      <c r="BN330"/>
      <c r="BP330"/>
      <c r="BQ330"/>
      <c r="BR330"/>
      <c r="BS330"/>
      <c r="BT330"/>
      <c r="BU330"/>
      <c r="BV330"/>
      <c r="BW330"/>
      <c r="BZ330"/>
      <c r="CA330"/>
      <c r="CB330"/>
      <c r="CC330"/>
      <c r="CD330"/>
      <c r="CF330"/>
      <c r="CG330"/>
      <c r="CH330"/>
      <c r="CI330"/>
      <c r="CJ330"/>
      <c r="CK330"/>
      <c r="CL330"/>
      <c r="CM330"/>
      <c r="CN330"/>
      <c r="CO330"/>
      <c r="CP330"/>
      <c r="CQ330"/>
      <c r="CR330"/>
      <c r="CS330"/>
      <c r="CT330"/>
      <c r="CU330"/>
      <c r="CV330"/>
      <c r="CW330"/>
      <c r="CX330"/>
      <c r="CY330"/>
      <c r="CZ330"/>
      <c r="DA330"/>
      <c r="DB330"/>
      <c r="DC330"/>
      <c r="DD330"/>
      <c r="DE330"/>
      <c r="DG330"/>
      <c r="DH330"/>
      <c r="DI330"/>
      <c r="DJ330"/>
      <c r="DK330"/>
      <c r="DL330"/>
      <c r="DM330"/>
      <c r="DN330"/>
      <c r="DO330"/>
      <c r="DP330"/>
      <c r="DQ330"/>
      <c r="DR330"/>
      <c r="DS330"/>
      <c r="DT330"/>
      <c r="DU330"/>
      <c r="DV330"/>
      <c r="DW330"/>
      <c r="DZ330"/>
      <c r="EA330"/>
      <c r="EB330"/>
      <c r="EC330"/>
      <c r="ED330"/>
      <c r="EE330"/>
      <c r="EF330"/>
      <c r="EG330"/>
      <c r="EJ330"/>
      <c r="EK330"/>
      <c r="EL330"/>
      <c r="EM330"/>
      <c r="EN330"/>
      <c r="EO330"/>
      <c r="EP330"/>
      <c r="EQ330"/>
      <c r="ER330"/>
      <c r="ES330"/>
      <c r="ET330"/>
      <c r="EU330"/>
      <c r="EV330"/>
      <c r="EW330"/>
      <c r="EX330"/>
      <c r="EY330"/>
      <c r="EZ330"/>
      <c r="FA330"/>
      <c r="FB330"/>
      <c r="FC330"/>
      <c r="FD330"/>
      <c r="FE330"/>
      <c r="FF330"/>
      <c r="FG330"/>
      <c r="FH330"/>
      <c r="FK330" s="449" t="s">
        <v>6910</v>
      </c>
      <c r="FL330" s="457"/>
      <c r="FM330" s="449"/>
      <c r="FN330" s="452"/>
      <c r="FO330" s="452">
        <v>1</v>
      </c>
      <c r="FP330" s="452"/>
      <c r="FQ330" s="452"/>
      <c r="FR330" s="452"/>
      <c r="FS330" s="452"/>
      <c r="FT330" s="452"/>
      <c r="FU330" s="452"/>
      <c r="FV330" s="452"/>
      <c r="FW330" s="452"/>
      <c r="FX330" s="452"/>
      <c r="FY330" s="452"/>
      <c r="FZ330" s="453"/>
      <c r="GA330"/>
      <c r="GB330"/>
      <c r="GC330"/>
      <c r="GD330"/>
    </row>
    <row r="331" spans="1:186" x14ac:dyDescent="0.15">
      <c r="AG331"/>
      <c r="AH331"/>
      <c r="AJ331"/>
      <c r="AK331"/>
      <c r="AL331"/>
      <c r="AM331"/>
      <c r="AO331"/>
      <c r="AP331"/>
      <c r="AQ331"/>
      <c r="AR331"/>
      <c r="AS331"/>
      <c r="AT331"/>
      <c r="AU331"/>
      <c r="AV331"/>
      <c r="AW331"/>
      <c r="AX331"/>
      <c r="AY331"/>
      <c r="AZ331"/>
      <c r="BA331"/>
      <c r="BB331"/>
      <c r="BC331"/>
      <c r="BD331"/>
      <c r="BE331"/>
      <c r="BF331"/>
      <c r="BH331"/>
      <c r="BI331"/>
      <c r="BJ331"/>
      <c r="BK331"/>
      <c r="BL331"/>
      <c r="BM331"/>
      <c r="BN331"/>
      <c r="BP331"/>
      <c r="BQ331"/>
      <c r="BR331"/>
      <c r="BS331"/>
      <c r="BT331"/>
      <c r="BU331"/>
      <c r="BV331"/>
      <c r="BW331"/>
      <c r="BZ331"/>
      <c r="CA331"/>
      <c r="CB331"/>
      <c r="CC331"/>
      <c r="CD331"/>
      <c r="CF331"/>
      <c r="CG331"/>
      <c r="CH331"/>
      <c r="CI331"/>
      <c r="CJ331"/>
      <c r="CK331"/>
      <c r="CL331"/>
      <c r="CM331"/>
      <c r="CN331"/>
      <c r="CO331"/>
      <c r="CP331"/>
      <c r="CQ331"/>
      <c r="CR331"/>
      <c r="CS331"/>
      <c r="CT331"/>
      <c r="CU331"/>
      <c r="CV331"/>
      <c r="CW331"/>
      <c r="CX331"/>
      <c r="CY331"/>
      <c r="CZ331"/>
      <c r="DA331"/>
      <c r="DB331"/>
      <c r="DC331"/>
      <c r="DD331"/>
      <c r="DE331"/>
      <c r="DG331"/>
      <c r="DH331"/>
      <c r="DI331"/>
      <c r="DJ331"/>
      <c r="DK331"/>
      <c r="DL331"/>
      <c r="DM331"/>
      <c r="DN331"/>
      <c r="DO331"/>
      <c r="DP331"/>
      <c r="DQ331"/>
      <c r="DR331"/>
      <c r="DS331"/>
      <c r="DT331"/>
      <c r="DU331"/>
      <c r="DV331"/>
      <c r="DW331"/>
      <c r="DZ331"/>
      <c r="EA331"/>
      <c r="EB331"/>
      <c r="EC331"/>
      <c r="ED331"/>
      <c r="EE331"/>
      <c r="EF331"/>
      <c r="EG331"/>
      <c r="EJ331"/>
      <c r="EK331"/>
      <c r="EL331"/>
      <c r="EM331"/>
      <c r="EN331"/>
      <c r="EO331"/>
      <c r="EP331"/>
      <c r="EQ331"/>
      <c r="ER331"/>
      <c r="ES331"/>
      <c r="ET331"/>
      <c r="EU331"/>
      <c r="EV331"/>
      <c r="EW331"/>
      <c r="EX331"/>
      <c r="EY331"/>
      <c r="EZ331"/>
      <c r="FA331"/>
      <c r="FB331"/>
      <c r="FC331"/>
      <c r="FD331"/>
      <c r="FE331"/>
      <c r="FF331"/>
      <c r="FG331"/>
      <c r="FH331"/>
      <c r="FK331" s="449">
        <v>1.296</v>
      </c>
      <c r="FL331" s="449" t="s">
        <v>406</v>
      </c>
      <c r="FM331" s="449">
        <v>1</v>
      </c>
      <c r="FN331" s="452"/>
      <c r="FO331" s="452"/>
      <c r="FP331" s="452"/>
      <c r="FQ331" s="452"/>
      <c r="FR331" s="452"/>
      <c r="FS331" s="452"/>
      <c r="FT331" s="452"/>
      <c r="FU331" s="452"/>
      <c r="FV331" s="452"/>
      <c r="FW331" s="452"/>
      <c r="FX331" s="452"/>
      <c r="FY331" s="452"/>
      <c r="FZ331" s="453"/>
      <c r="GA331"/>
      <c r="GB331"/>
      <c r="GC331"/>
      <c r="GD331"/>
    </row>
    <row r="332" spans="1:186" x14ac:dyDescent="0.15">
      <c r="AG332"/>
      <c r="AH332"/>
      <c r="AJ332"/>
      <c r="AK332"/>
      <c r="AL332"/>
      <c r="AM332"/>
      <c r="AO332"/>
      <c r="AP332"/>
      <c r="AQ332"/>
      <c r="AR332"/>
      <c r="AS332"/>
      <c r="AT332"/>
      <c r="AU332"/>
      <c r="AV332"/>
      <c r="AW332"/>
      <c r="AX332"/>
      <c r="AY332"/>
      <c r="AZ332"/>
      <c r="BA332"/>
      <c r="BB332"/>
      <c r="BC332"/>
      <c r="BD332"/>
      <c r="BE332"/>
      <c r="BF332"/>
      <c r="BH332"/>
      <c r="BI332"/>
      <c r="BJ332"/>
      <c r="BK332"/>
      <c r="BL332"/>
      <c r="BM332"/>
      <c r="BN332"/>
      <c r="BP332"/>
      <c r="BQ332"/>
      <c r="BR332"/>
      <c r="BS332"/>
      <c r="BT332"/>
      <c r="BU332"/>
      <c r="BV332"/>
      <c r="BW332"/>
      <c r="BZ332"/>
      <c r="CA332"/>
      <c r="CB332"/>
      <c r="CC332"/>
      <c r="CD332"/>
      <c r="CF332"/>
      <c r="CG332"/>
      <c r="CH332"/>
      <c r="CI332"/>
      <c r="CJ332"/>
      <c r="CK332"/>
      <c r="CL332"/>
      <c r="CM332"/>
      <c r="CN332"/>
      <c r="CO332"/>
      <c r="CP332"/>
      <c r="CQ332"/>
      <c r="CR332"/>
      <c r="CS332"/>
      <c r="CT332"/>
      <c r="CU332"/>
      <c r="CV332"/>
      <c r="CW332"/>
      <c r="CX332"/>
      <c r="CY332"/>
      <c r="CZ332"/>
      <c r="DA332"/>
      <c r="DB332"/>
      <c r="DC332"/>
      <c r="DD332"/>
      <c r="DE332"/>
      <c r="DG332"/>
      <c r="DH332"/>
      <c r="DI332"/>
      <c r="DJ332"/>
      <c r="DK332"/>
      <c r="DL332"/>
      <c r="DM332"/>
      <c r="DN332"/>
      <c r="DO332"/>
      <c r="DP332"/>
      <c r="DQ332"/>
      <c r="DR332"/>
      <c r="DS332"/>
      <c r="DT332"/>
      <c r="DU332"/>
      <c r="DV332"/>
      <c r="DW332"/>
      <c r="DZ332"/>
      <c r="EA332"/>
      <c r="EB332"/>
      <c r="EC332"/>
      <c r="ED332"/>
      <c r="EE332"/>
      <c r="EF332"/>
      <c r="EG332"/>
      <c r="EJ332"/>
      <c r="EK332"/>
      <c r="EL332"/>
      <c r="EM332"/>
      <c r="EN332"/>
      <c r="EO332"/>
      <c r="EP332"/>
      <c r="EQ332"/>
      <c r="ER332"/>
      <c r="ES332"/>
      <c r="ET332"/>
      <c r="EU332"/>
      <c r="EV332"/>
      <c r="EW332"/>
      <c r="EX332"/>
      <c r="EY332"/>
      <c r="EZ332"/>
      <c r="FA332"/>
      <c r="FB332"/>
      <c r="FC332"/>
      <c r="FD332"/>
      <c r="FE332"/>
      <c r="FF332"/>
      <c r="FG332"/>
      <c r="FH332"/>
      <c r="FK332" s="449" t="s">
        <v>6911</v>
      </c>
      <c r="FL332" s="457"/>
      <c r="FM332" s="449">
        <v>1</v>
      </c>
      <c r="FN332" s="452"/>
      <c r="FO332" s="452"/>
      <c r="FP332" s="452"/>
      <c r="FQ332" s="452"/>
      <c r="FR332" s="452"/>
      <c r="FS332" s="452"/>
      <c r="FT332" s="452"/>
      <c r="FU332" s="452"/>
      <c r="FV332" s="452"/>
      <c r="FW332" s="452"/>
      <c r="FX332" s="452"/>
      <c r="FY332" s="452"/>
      <c r="FZ332" s="453"/>
      <c r="GA332"/>
      <c r="GB332"/>
      <c r="GC332"/>
      <c r="GD332"/>
    </row>
    <row r="333" spans="1:186" x14ac:dyDescent="0.15">
      <c r="AG333"/>
      <c r="AH333"/>
      <c r="AJ333"/>
      <c r="AK333"/>
      <c r="AL333"/>
      <c r="AM333"/>
      <c r="AO333"/>
      <c r="AP333"/>
      <c r="AQ333"/>
      <c r="AR333"/>
      <c r="AS333"/>
      <c r="AT333"/>
      <c r="AU333"/>
      <c r="AV333"/>
      <c r="AW333"/>
      <c r="AX333"/>
      <c r="AY333"/>
      <c r="AZ333"/>
      <c r="BA333"/>
      <c r="BB333"/>
      <c r="BC333"/>
      <c r="BD333"/>
      <c r="BE333"/>
      <c r="BF333"/>
      <c r="BH333"/>
      <c r="BI333"/>
      <c r="BJ333"/>
      <c r="BK333"/>
      <c r="BL333"/>
      <c r="BM333"/>
      <c r="BN333"/>
      <c r="BP333"/>
      <c r="BQ333"/>
      <c r="BR333"/>
      <c r="BS333"/>
      <c r="BT333"/>
      <c r="BU333"/>
      <c r="BV333"/>
      <c r="BW333"/>
      <c r="BZ333"/>
      <c r="CA333"/>
      <c r="CB333"/>
      <c r="CC333"/>
      <c r="CD333"/>
      <c r="CF333"/>
      <c r="CG333"/>
      <c r="CH333"/>
      <c r="CI333"/>
      <c r="CJ333"/>
      <c r="CK333"/>
      <c r="CL333"/>
      <c r="CM333"/>
      <c r="CN333"/>
      <c r="CO333"/>
      <c r="CP333"/>
      <c r="CQ333"/>
      <c r="CR333"/>
      <c r="CS333"/>
      <c r="CT333"/>
      <c r="CU333"/>
      <c r="CV333"/>
      <c r="CW333"/>
      <c r="CX333"/>
      <c r="CY333"/>
      <c r="CZ333"/>
      <c r="DA333"/>
      <c r="DB333"/>
      <c r="DC333"/>
      <c r="DD333"/>
      <c r="DE333"/>
      <c r="DG333"/>
      <c r="DH333"/>
      <c r="DI333"/>
      <c r="DJ333"/>
      <c r="DK333"/>
      <c r="DL333"/>
      <c r="DM333"/>
      <c r="DN333"/>
      <c r="DO333"/>
      <c r="DP333"/>
      <c r="DQ333"/>
      <c r="DR333"/>
      <c r="DS333"/>
      <c r="DT333"/>
      <c r="DU333"/>
      <c r="DV333"/>
      <c r="DW333"/>
      <c r="DZ333"/>
      <c r="EA333"/>
      <c r="EB333"/>
      <c r="EC333"/>
      <c r="ED333"/>
      <c r="EE333"/>
      <c r="EF333"/>
      <c r="EG333"/>
      <c r="EJ333"/>
      <c r="EK333"/>
      <c r="EL333"/>
      <c r="EM333"/>
      <c r="EN333"/>
      <c r="EO333"/>
      <c r="EP333"/>
      <c r="EQ333"/>
      <c r="ER333"/>
      <c r="ES333"/>
      <c r="ET333"/>
      <c r="EU333"/>
      <c r="EV333"/>
      <c r="EW333"/>
      <c r="EX333"/>
      <c r="EY333"/>
      <c r="EZ333"/>
      <c r="FA333"/>
      <c r="FB333"/>
      <c r="FC333"/>
      <c r="FD333"/>
      <c r="FE333"/>
      <c r="FF333"/>
      <c r="FG333"/>
      <c r="FH333"/>
      <c r="FK333" s="449">
        <v>3.9239999999999999</v>
      </c>
      <c r="FL333" s="449" t="s">
        <v>405</v>
      </c>
      <c r="FM333" s="449"/>
      <c r="FN333" s="452">
        <v>1</v>
      </c>
      <c r="FO333" s="452"/>
      <c r="FP333" s="452"/>
      <c r="FQ333" s="452"/>
      <c r="FR333" s="452"/>
      <c r="FS333" s="452"/>
      <c r="FT333" s="452"/>
      <c r="FU333" s="452"/>
      <c r="FV333" s="452"/>
      <c r="FW333" s="452"/>
      <c r="FX333" s="452"/>
      <c r="FY333" s="452"/>
      <c r="FZ333" s="453"/>
      <c r="GA333"/>
      <c r="GB333"/>
      <c r="GC333"/>
      <c r="GD333"/>
    </row>
    <row r="334" spans="1:186" x14ac:dyDescent="0.15">
      <c r="AG334"/>
      <c r="AH334"/>
      <c r="AJ334"/>
      <c r="AK334"/>
      <c r="AL334"/>
      <c r="AM334"/>
      <c r="AO334"/>
      <c r="AP334"/>
      <c r="AQ334"/>
      <c r="AR334"/>
      <c r="AS334"/>
      <c r="AT334"/>
      <c r="AU334"/>
      <c r="AV334"/>
      <c r="AW334"/>
      <c r="AX334"/>
      <c r="AY334"/>
      <c r="AZ334"/>
      <c r="BA334"/>
      <c r="BB334"/>
      <c r="BC334"/>
      <c r="BD334"/>
      <c r="BE334"/>
      <c r="BF334"/>
      <c r="BH334"/>
      <c r="BI334"/>
      <c r="BJ334"/>
      <c r="BK334"/>
      <c r="BL334"/>
      <c r="BM334"/>
      <c r="BN334"/>
      <c r="BP334"/>
      <c r="BQ334"/>
      <c r="BR334"/>
      <c r="BS334"/>
      <c r="BT334"/>
      <c r="BU334"/>
      <c r="BV334"/>
      <c r="BW334"/>
      <c r="BZ334"/>
      <c r="CA334"/>
      <c r="CB334"/>
      <c r="CC334"/>
      <c r="CD334"/>
      <c r="CF334"/>
      <c r="CG334"/>
      <c r="CH334"/>
      <c r="CI334"/>
      <c r="CJ334"/>
      <c r="CK334"/>
      <c r="CL334"/>
      <c r="CM334"/>
      <c r="CN334"/>
      <c r="CO334"/>
      <c r="CP334"/>
      <c r="CQ334"/>
      <c r="CR334"/>
      <c r="CS334"/>
      <c r="CT334"/>
      <c r="CU334"/>
      <c r="CV334"/>
      <c r="CW334"/>
      <c r="CX334"/>
      <c r="CY334"/>
      <c r="CZ334"/>
      <c r="DA334"/>
      <c r="DB334"/>
      <c r="DC334"/>
      <c r="DD334"/>
      <c r="DE334"/>
      <c r="DG334"/>
      <c r="DH334"/>
      <c r="DI334"/>
      <c r="DJ334"/>
      <c r="DK334"/>
      <c r="DL334"/>
      <c r="DM334"/>
      <c r="DN334"/>
      <c r="DO334"/>
      <c r="DP334"/>
      <c r="DQ334"/>
      <c r="DR334"/>
      <c r="DS334"/>
      <c r="DT334"/>
      <c r="DU334"/>
      <c r="DV334"/>
      <c r="DW334"/>
      <c r="DZ334"/>
      <c r="EA334"/>
      <c r="EB334"/>
      <c r="EC334"/>
      <c r="ED334"/>
      <c r="EE334"/>
      <c r="EF334"/>
      <c r="EG334"/>
      <c r="EJ334"/>
      <c r="EK334"/>
      <c r="EL334"/>
      <c r="EM334"/>
      <c r="EN334"/>
      <c r="EO334"/>
      <c r="EP334"/>
      <c r="EQ334"/>
      <c r="ER334"/>
      <c r="ES334"/>
      <c r="ET334"/>
      <c r="EU334"/>
      <c r="EV334"/>
      <c r="EW334"/>
      <c r="EX334"/>
      <c r="EY334"/>
      <c r="EZ334"/>
      <c r="FA334"/>
      <c r="FB334"/>
      <c r="FC334"/>
      <c r="FD334"/>
      <c r="FE334"/>
      <c r="FF334"/>
      <c r="FG334"/>
      <c r="FH334"/>
      <c r="FK334" s="449" t="s">
        <v>6912</v>
      </c>
      <c r="FL334" s="457"/>
      <c r="FM334" s="449"/>
      <c r="FN334" s="452">
        <v>1</v>
      </c>
      <c r="FO334" s="452"/>
      <c r="FP334" s="452"/>
      <c r="FQ334" s="452"/>
      <c r="FR334" s="452"/>
      <c r="FS334" s="452"/>
      <c r="FT334" s="452"/>
      <c r="FU334" s="452"/>
      <c r="FV334" s="452"/>
      <c r="FW334" s="452"/>
      <c r="FX334" s="452"/>
      <c r="FY334" s="452"/>
      <c r="FZ334" s="453"/>
      <c r="GA334"/>
      <c r="GB334"/>
      <c r="GC334"/>
      <c r="GD334"/>
    </row>
    <row r="335" spans="1:186" x14ac:dyDescent="0.15">
      <c r="AG335"/>
      <c r="AH335"/>
      <c r="AJ335"/>
      <c r="AK335"/>
      <c r="AL335"/>
      <c r="AM335"/>
      <c r="AO335"/>
      <c r="AP335"/>
      <c r="AQ335"/>
      <c r="AR335"/>
      <c r="AS335"/>
      <c r="AT335"/>
      <c r="AU335"/>
      <c r="AV335"/>
      <c r="AW335"/>
      <c r="AX335"/>
      <c r="AY335"/>
      <c r="AZ335"/>
      <c r="BA335"/>
      <c r="BB335"/>
      <c r="BC335"/>
      <c r="BD335"/>
      <c r="BE335"/>
      <c r="BF335"/>
      <c r="BH335"/>
      <c r="BI335"/>
      <c r="BJ335"/>
      <c r="BK335"/>
      <c r="BL335"/>
      <c r="BM335"/>
      <c r="BN335"/>
      <c r="BP335"/>
      <c r="BQ335"/>
      <c r="BR335"/>
      <c r="BS335"/>
      <c r="BT335"/>
      <c r="BU335"/>
      <c r="BV335"/>
      <c r="BW335"/>
      <c r="BZ335"/>
      <c r="CA335"/>
      <c r="CB335"/>
      <c r="CC335"/>
      <c r="CD335"/>
      <c r="CF335"/>
      <c r="CG335"/>
      <c r="CH335"/>
      <c r="CI335"/>
      <c r="CJ335"/>
      <c r="CK335"/>
      <c r="CL335"/>
      <c r="CM335"/>
      <c r="CN335"/>
      <c r="CO335"/>
      <c r="CP335"/>
      <c r="CQ335"/>
      <c r="CR335"/>
      <c r="CS335"/>
      <c r="CT335"/>
      <c r="CU335"/>
      <c r="CV335"/>
      <c r="CW335"/>
      <c r="CX335"/>
      <c r="CY335"/>
      <c r="CZ335"/>
      <c r="DA335"/>
      <c r="DB335"/>
      <c r="DC335"/>
      <c r="DD335"/>
      <c r="DE335"/>
      <c r="DG335"/>
      <c r="DH335"/>
      <c r="DI335"/>
      <c r="DJ335"/>
      <c r="DK335"/>
      <c r="DL335"/>
      <c r="DM335"/>
      <c r="DN335"/>
      <c r="DO335"/>
      <c r="DP335"/>
      <c r="DQ335"/>
      <c r="DR335"/>
      <c r="DS335"/>
      <c r="DT335"/>
      <c r="DU335"/>
      <c r="DV335"/>
      <c r="DW335"/>
      <c r="DZ335"/>
      <c r="EA335"/>
      <c r="EB335"/>
      <c r="EC335"/>
      <c r="ED335"/>
      <c r="EE335"/>
      <c r="EF335"/>
      <c r="EG335"/>
      <c r="EJ335"/>
      <c r="EK335"/>
      <c r="EL335"/>
      <c r="EM335"/>
      <c r="EN335"/>
      <c r="EO335"/>
      <c r="EP335"/>
      <c r="EQ335"/>
      <c r="ER335"/>
      <c r="ES335"/>
      <c r="ET335"/>
      <c r="EU335"/>
      <c r="EV335"/>
      <c r="EW335"/>
      <c r="EX335"/>
      <c r="EY335"/>
      <c r="EZ335"/>
      <c r="FA335"/>
      <c r="FB335"/>
      <c r="FC335"/>
      <c r="FD335"/>
      <c r="FE335"/>
      <c r="FF335"/>
      <c r="FG335"/>
      <c r="FH335"/>
      <c r="FK335" s="449">
        <v>0.84699999999999998</v>
      </c>
      <c r="FL335" s="449" t="s">
        <v>406</v>
      </c>
      <c r="FM335" s="449">
        <v>1</v>
      </c>
      <c r="FN335" s="452"/>
      <c r="FO335" s="452"/>
      <c r="FP335" s="452"/>
      <c r="FQ335" s="452"/>
      <c r="FR335" s="452"/>
      <c r="FS335" s="452"/>
      <c r="FT335" s="452"/>
      <c r="FU335" s="452"/>
      <c r="FV335" s="452"/>
      <c r="FW335" s="452"/>
      <c r="FX335" s="452"/>
      <c r="FY335" s="452"/>
      <c r="FZ335" s="453"/>
      <c r="GA335"/>
      <c r="GB335"/>
      <c r="GC335"/>
      <c r="GD335"/>
    </row>
    <row r="336" spans="1:186" x14ac:dyDescent="0.15">
      <c r="AG336"/>
      <c r="AH336"/>
      <c r="AJ336"/>
      <c r="AK336"/>
      <c r="AL336"/>
      <c r="AM336"/>
      <c r="AO336"/>
      <c r="AP336"/>
      <c r="AQ336"/>
      <c r="AR336"/>
      <c r="AS336"/>
      <c r="AT336"/>
      <c r="AU336"/>
      <c r="AV336"/>
      <c r="AW336"/>
      <c r="AX336"/>
      <c r="AY336"/>
      <c r="AZ336"/>
      <c r="BA336"/>
      <c r="BB336"/>
      <c r="BC336"/>
      <c r="BD336"/>
      <c r="BE336"/>
      <c r="BF336"/>
      <c r="BH336"/>
      <c r="BI336"/>
      <c r="BJ336"/>
      <c r="BK336"/>
      <c r="BL336"/>
      <c r="BM336"/>
      <c r="BN336"/>
      <c r="BP336"/>
      <c r="BQ336"/>
      <c r="BR336"/>
      <c r="BS336"/>
      <c r="BT336"/>
      <c r="BU336"/>
      <c r="BV336"/>
      <c r="BW336"/>
      <c r="BZ336"/>
      <c r="CA336"/>
      <c r="CB336"/>
      <c r="CC336"/>
      <c r="CD336"/>
      <c r="CF336"/>
      <c r="CG336"/>
      <c r="CH336"/>
      <c r="CI336"/>
      <c r="CJ336"/>
      <c r="CK336"/>
      <c r="CL336"/>
      <c r="CM336"/>
      <c r="CN336"/>
      <c r="CO336"/>
      <c r="CP336"/>
      <c r="CQ336"/>
      <c r="CR336"/>
      <c r="CS336"/>
      <c r="CT336"/>
      <c r="CU336"/>
      <c r="CV336"/>
      <c r="CW336"/>
      <c r="CX336"/>
      <c r="CY336"/>
      <c r="CZ336"/>
      <c r="DA336"/>
      <c r="DB336"/>
      <c r="DC336"/>
      <c r="DD336"/>
      <c r="DE336"/>
      <c r="DG336"/>
      <c r="DH336"/>
      <c r="DI336"/>
      <c r="DJ336"/>
      <c r="DK336"/>
      <c r="DL336"/>
      <c r="DM336"/>
      <c r="DN336"/>
      <c r="DO336"/>
      <c r="DP336"/>
      <c r="DQ336"/>
      <c r="DR336"/>
      <c r="DS336"/>
      <c r="DT336"/>
      <c r="DU336"/>
      <c r="DV336"/>
      <c r="DW336"/>
      <c r="DZ336"/>
      <c r="EA336"/>
      <c r="EB336"/>
      <c r="EC336"/>
      <c r="ED336"/>
      <c r="EE336"/>
      <c r="EF336"/>
      <c r="EG336"/>
      <c r="EJ336"/>
      <c r="EK336"/>
      <c r="EL336"/>
      <c r="EM336"/>
      <c r="EN336"/>
      <c r="EO336"/>
      <c r="EP336"/>
      <c r="EQ336"/>
      <c r="ER336"/>
      <c r="ES336"/>
      <c r="ET336"/>
      <c r="EU336"/>
      <c r="EV336"/>
      <c r="EW336"/>
      <c r="EX336"/>
      <c r="EY336"/>
      <c r="EZ336"/>
      <c r="FA336"/>
      <c r="FB336"/>
      <c r="FC336"/>
      <c r="FD336"/>
      <c r="FE336"/>
      <c r="FF336"/>
      <c r="FG336"/>
      <c r="FH336"/>
      <c r="FK336" s="449" t="s">
        <v>6913</v>
      </c>
      <c r="FL336" s="457"/>
      <c r="FM336" s="449">
        <v>1</v>
      </c>
      <c r="FN336" s="452"/>
      <c r="FO336" s="452"/>
      <c r="FP336" s="452"/>
      <c r="FQ336" s="452"/>
      <c r="FR336" s="452"/>
      <c r="FS336" s="452"/>
      <c r="FT336" s="452"/>
      <c r="FU336" s="452"/>
      <c r="FV336" s="452"/>
      <c r="FW336" s="452"/>
      <c r="FX336" s="452"/>
      <c r="FY336" s="452"/>
      <c r="FZ336" s="453"/>
      <c r="GA336"/>
      <c r="GB336"/>
      <c r="GC336"/>
      <c r="GD336"/>
    </row>
    <row r="337" spans="4:186" x14ac:dyDescent="0.15">
      <c r="AG337"/>
      <c r="AH337"/>
      <c r="AJ337"/>
      <c r="AK337"/>
      <c r="AL337"/>
      <c r="AM337"/>
      <c r="AO337"/>
      <c r="AP337"/>
      <c r="AQ337"/>
      <c r="AR337"/>
      <c r="AS337"/>
      <c r="AT337"/>
      <c r="AU337"/>
      <c r="AV337"/>
      <c r="AW337"/>
      <c r="AX337"/>
      <c r="AY337"/>
      <c r="AZ337"/>
      <c r="BA337"/>
      <c r="BB337"/>
      <c r="BC337"/>
      <c r="BD337"/>
      <c r="BE337"/>
      <c r="BF337"/>
      <c r="BH337"/>
      <c r="BI337"/>
      <c r="BJ337"/>
      <c r="BK337"/>
      <c r="BL337"/>
      <c r="BM337"/>
      <c r="BN337"/>
      <c r="BP337"/>
      <c r="BQ337"/>
      <c r="BR337"/>
      <c r="BS337"/>
      <c r="BT337"/>
      <c r="BU337"/>
      <c r="BV337"/>
      <c r="BW337"/>
      <c r="BZ337"/>
      <c r="CA337"/>
      <c r="CB337"/>
      <c r="CC337"/>
      <c r="CD337"/>
      <c r="CF337"/>
      <c r="CG337"/>
      <c r="CH337"/>
      <c r="CI337"/>
      <c r="CJ337"/>
      <c r="CK337"/>
      <c r="CL337"/>
      <c r="CM337"/>
      <c r="CN337"/>
      <c r="CO337"/>
      <c r="CP337"/>
      <c r="CQ337"/>
      <c r="CR337"/>
      <c r="CS337"/>
      <c r="CT337"/>
      <c r="CU337"/>
      <c r="CV337"/>
      <c r="CW337"/>
      <c r="CX337"/>
      <c r="CY337"/>
      <c r="CZ337"/>
      <c r="DA337"/>
      <c r="DB337"/>
      <c r="DC337"/>
      <c r="DD337"/>
      <c r="DE337"/>
      <c r="DG337"/>
      <c r="DH337"/>
      <c r="DI337"/>
      <c r="DJ337"/>
      <c r="DK337"/>
      <c r="DL337"/>
      <c r="DM337"/>
      <c r="DN337"/>
      <c r="DO337"/>
      <c r="DP337"/>
      <c r="DQ337"/>
      <c r="DR337"/>
      <c r="DS337"/>
      <c r="DT337"/>
      <c r="DU337"/>
      <c r="DV337"/>
      <c r="DW337"/>
      <c r="DZ337"/>
      <c r="EA337"/>
      <c r="EB337"/>
      <c r="EC337"/>
      <c r="ED337"/>
      <c r="EE337"/>
      <c r="EF337"/>
      <c r="EG337"/>
      <c r="EJ337"/>
      <c r="EK337"/>
      <c r="EL337"/>
      <c r="EM337"/>
      <c r="EN337"/>
      <c r="EO337"/>
      <c r="EP337"/>
      <c r="EQ337"/>
      <c r="ER337"/>
      <c r="ES337"/>
      <c r="ET337"/>
      <c r="EU337"/>
      <c r="EV337"/>
      <c r="EW337"/>
      <c r="EX337"/>
      <c r="EY337"/>
      <c r="EZ337"/>
      <c r="FA337"/>
      <c r="FB337"/>
      <c r="FC337"/>
      <c r="FD337"/>
      <c r="FE337"/>
      <c r="FF337"/>
      <c r="FG337"/>
      <c r="FH337"/>
      <c r="FK337" s="449">
        <v>18.212</v>
      </c>
      <c r="FL337" s="449" t="s">
        <v>445</v>
      </c>
      <c r="FM337" s="449"/>
      <c r="FN337" s="452"/>
      <c r="FO337" s="452"/>
      <c r="FP337" s="452"/>
      <c r="FQ337" s="452"/>
      <c r="FR337" s="452"/>
      <c r="FS337" s="452"/>
      <c r="FT337" s="452"/>
      <c r="FU337" s="452">
        <v>1</v>
      </c>
      <c r="FV337" s="452"/>
      <c r="FW337" s="452"/>
      <c r="FX337" s="452"/>
      <c r="FY337" s="452"/>
      <c r="FZ337" s="453"/>
      <c r="GA337"/>
      <c r="GB337"/>
      <c r="GC337"/>
      <c r="GD337"/>
    </row>
    <row r="338" spans="4:186" x14ac:dyDescent="0.15">
      <c r="AG338"/>
      <c r="AH338"/>
      <c r="AJ338"/>
      <c r="AK338"/>
      <c r="AL338"/>
      <c r="AM338"/>
      <c r="AO338"/>
      <c r="AP338"/>
      <c r="AQ338"/>
      <c r="AR338"/>
      <c r="AS338"/>
      <c r="AT338"/>
      <c r="AU338"/>
      <c r="AV338"/>
      <c r="AW338"/>
      <c r="AX338"/>
      <c r="AY338"/>
      <c r="AZ338"/>
      <c r="BA338"/>
      <c r="BB338"/>
      <c r="BC338"/>
      <c r="BD338"/>
      <c r="BE338"/>
      <c r="BF338"/>
      <c r="BH338"/>
      <c r="BI338"/>
      <c r="BJ338"/>
      <c r="BK338"/>
      <c r="BL338"/>
      <c r="BM338"/>
      <c r="BN338"/>
      <c r="BP338"/>
      <c r="BQ338"/>
      <c r="BR338"/>
      <c r="BS338"/>
      <c r="BT338"/>
      <c r="BU338"/>
      <c r="BV338"/>
      <c r="BW338"/>
      <c r="BZ338"/>
      <c r="CA338"/>
      <c r="CB338"/>
      <c r="CC338"/>
      <c r="CD338"/>
      <c r="CF338"/>
      <c r="CG338"/>
      <c r="CH338"/>
      <c r="CI338"/>
      <c r="CJ338"/>
      <c r="CK338"/>
      <c r="CL338"/>
      <c r="CM338"/>
      <c r="CN338"/>
      <c r="CO338"/>
      <c r="CP338"/>
      <c r="CQ338"/>
      <c r="CR338"/>
      <c r="CS338"/>
      <c r="CT338"/>
      <c r="CU338"/>
      <c r="CV338"/>
      <c r="CW338"/>
      <c r="CX338"/>
      <c r="CY338"/>
      <c r="CZ338"/>
      <c r="DA338"/>
      <c r="DB338"/>
      <c r="DC338"/>
      <c r="DD338"/>
      <c r="DE338"/>
      <c r="DG338"/>
      <c r="DH338"/>
      <c r="DI338"/>
      <c r="DJ338"/>
      <c r="DK338"/>
      <c r="DL338"/>
      <c r="DM338"/>
      <c r="DN338"/>
      <c r="DO338"/>
      <c r="DP338"/>
      <c r="DQ338"/>
      <c r="DR338"/>
      <c r="DS338"/>
      <c r="DT338"/>
      <c r="DU338"/>
      <c r="DV338"/>
      <c r="DW338"/>
      <c r="DZ338"/>
      <c r="EA338"/>
      <c r="EB338"/>
      <c r="EC338"/>
      <c r="ED338"/>
      <c r="EE338"/>
      <c r="EF338"/>
      <c r="EG338"/>
      <c r="EJ338"/>
      <c r="EK338"/>
      <c r="EL338"/>
      <c r="EM338"/>
      <c r="EN338"/>
      <c r="EO338"/>
      <c r="EP338"/>
      <c r="EQ338"/>
      <c r="ER338"/>
      <c r="ES338"/>
      <c r="ET338"/>
      <c r="EU338"/>
      <c r="EV338"/>
      <c r="EW338"/>
      <c r="EX338"/>
      <c r="EY338"/>
      <c r="EZ338"/>
      <c r="FA338"/>
      <c r="FB338"/>
      <c r="FC338"/>
      <c r="FD338"/>
      <c r="FE338"/>
      <c r="FF338"/>
      <c r="FG338"/>
      <c r="FH338"/>
      <c r="FK338" s="449" t="s">
        <v>6914</v>
      </c>
      <c r="FL338" s="457"/>
      <c r="FM338" s="449"/>
      <c r="FN338" s="452"/>
      <c r="FO338" s="452"/>
      <c r="FP338" s="452"/>
      <c r="FQ338" s="452"/>
      <c r="FR338" s="452"/>
      <c r="FS338" s="452"/>
      <c r="FT338" s="452"/>
      <c r="FU338" s="452">
        <v>1</v>
      </c>
      <c r="FV338" s="452"/>
      <c r="FW338" s="452"/>
      <c r="FX338" s="452"/>
      <c r="FY338" s="452"/>
      <c r="FZ338" s="453"/>
      <c r="GA338"/>
      <c r="GB338"/>
      <c r="GC338"/>
      <c r="GD338"/>
    </row>
    <row r="339" spans="4:186" x14ac:dyDescent="0.15">
      <c r="AG339"/>
      <c r="AH339"/>
      <c r="AJ339"/>
      <c r="AK339"/>
      <c r="AL339"/>
      <c r="AM339"/>
      <c r="AO339"/>
      <c r="AP339"/>
      <c r="AQ339"/>
      <c r="AR339"/>
      <c r="AS339"/>
      <c r="AT339"/>
      <c r="AU339"/>
      <c r="AV339"/>
      <c r="AW339"/>
      <c r="AX339"/>
      <c r="AY339"/>
      <c r="AZ339"/>
      <c r="BA339"/>
      <c r="BB339"/>
      <c r="BC339"/>
      <c r="BD339"/>
      <c r="BE339"/>
      <c r="BF339"/>
      <c r="BH339"/>
      <c r="BI339"/>
      <c r="BJ339"/>
      <c r="BK339"/>
      <c r="BL339"/>
      <c r="BM339"/>
      <c r="BN339"/>
      <c r="BP339"/>
      <c r="BQ339"/>
      <c r="BR339"/>
      <c r="BS339"/>
      <c r="BT339"/>
      <c r="BU339"/>
      <c r="BV339"/>
      <c r="BW339"/>
      <c r="BZ339"/>
      <c r="CA339"/>
      <c r="CB339"/>
      <c r="CC339"/>
      <c r="CD339"/>
      <c r="CF339"/>
      <c r="CG339"/>
      <c r="CH339"/>
      <c r="CI339"/>
      <c r="CJ339"/>
      <c r="CK339"/>
      <c r="CL339"/>
      <c r="CM339"/>
      <c r="CN339"/>
      <c r="CO339"/>
      <c r="CP339"/>
      <c r="CQ339"/>
      <c r="CR339"/>
      <c r="CS339"/>
      <c r="CT339"/>
      <c r="CU339"/>
      <c r="CV339"/>
      <c r="CW339"/>
      <c r="CX339"/>
      <c r="CY339"/>
      <c r="CZ339"/>
      <c r="DA339"/>
      <c r="DB339"/>
      <c r="DC339"/>
      <c r="DD339"/>
      <c r="DE339"/>
      <c r="DG339"/>
      <c r="DH339"/>
      <c r="DI339"/>
      <c r="DJ339"/>
      <c r="DK339"/>
      <c r="DL339"/>
      <c r="DM339"/>
      <c r="DN339"/>
      <c r="DO339"/>
      <c r="DP339"/>
      <c r="DQ339"/>
      <c r="DR339"/>
      <c r="DS339"/>
      <c r="DT339"/>
      <c r="DU339"/>
      <c r="DV339"/>
      <c r="DW339"/>
      <c r="DZ339"/>
      <c r="EA339"/>
      <c r="EB339"/>
      <c r="EC339"/>
      <c r="ED339"/>
      <c r="EE339"/>
      <c r="EF339"/>
      <c r="EG339"/>
      <c r="EJ339"/>
      <c r="EK339"/>
      <c r="EL339"/>
      <c r="EM339"/>
      <c r="EN339"/>
      <c r="EO339"/>
      <c r="EP339"/>
      <c r="EQ339"/>
      <c r="ER339"/>
      <c r="ES339"/>
      <c r="ET339"/>
      <c r="EU339"/>
      <c r="EV339"/>
      <c r="EW339"/>
      <c r="EX339"/>
      <c r="EY339"/>
      <c r="EZ339"/>
      <c r="FA339"/>
      <c r="FB339"/>
      <c r="FC339"/>
      <c r="FD339"/>
      <c r="FE339"/>
      <c r="FF339"/>
      <c r="FG339"/>
      <c r="FH339"/>
      <c r="FK339" s="449">
        <v>1.8340000000000001</v>
      </c>
      <c r="FL339" s="449" t="s">
        <v>405</v>
      </c>
      <c r="FM339" s="449"/>
      <c r="FN339" s="452"/>
      <c r="FO339" s="452"/>
      <c r="FP339" s="452"/>
      <c r="FQ339" s="452"/>
      <c r="FR339" s="452"/>
      <c r="FS339" s="452"/>
      <c r="FT339" s="452"/>
      <c r="FU339" s="452">
        <v>1</v>
      </c>
      <c r="FV339" s="452"/>
      <c r="FW339" s="452"/>
      <c r="FX339" s="452"/>
      <c r="FY339" s="452"/>
      <c r="FZ339" s="453"/>
      <c r="GA339"/>
      <c r="GB339"/>
      <c r="GC339"/>
      <c r="GD339"/>
    </row>
    <row r="340" spans="4:186" x14ac:dyDescent="0.15">
      <c r="AG340"/>
      <c r="AH340"/>
      <c r="AJ340"/>
      <c r="AK340"/>
      <c r="AL340"/>
      <c r="AM340"/>
      <c r="AO340"/>
      <c r="AP340"/>
      <c r="AQ340"/>
      <c r="AR340"/>
      <c r="AS340"/>
      <c r="AT340"/>
      <c r="AU340"/>
      <c r="AV340"/>
      <c r="AW340"/>
      <c r="AX340"/>
      <c r="AY340"/>
      <c r="AZ340"/>
      <c r="BA340"/>
      <c r="BB340"/>
      <c r="BC340"/>
      <c r="BD340"/>
      <c r="BE340"/>
      <c r="BF340"/>
      <c r="BH340"/>
      <c r="BI340"/>
      <c r="BJ340"/>
      <c r="BK340"/>
      <c r="BL340"/>
      <c r="BM340"/>
      <c r="BN340"/>
      <c r="BP340"/>
      <c r="BQ340"/>
      <c r="BR340"/>
      <c r="BS340"/>
      <c r="BT340"/>
      <c r="BU340"/>
      <c r="BV340"/>
      <c r="BW340"/>
      <c r="BZ340"/>
      <c r="CA340"/>
      <c r="CB340"/>
      <c r="CC340"/>
      <c r="CD340"/>
      <c r="CF340"/>
      <c r="CG340"/>
      <c r="CH340"/>
      <c r="CI340"/>
      <c r="CJ340"/>
      <c r="CK340"/>
      <c r="CL340"/>
      <c r="CM340"/>
      <c r="CN340"/>
      <c r="CO340"/>
      <c r="CP340"/>
      <c r="CQ340"/>
      <c r="CR340"/>
      <c r="CS340"/>
      <c r="CT340"/>
      <c r="CU340"/>
      <c r="CV340"/>
      <c r="CW340"/>
      <c r="CX340"/>
      <c r="CY340"/>
      <c r="CZ340"/>
      <c r="DA340"/>
      <c r="DB340"/>
      <c r="DC340"/>
      <c r="DD340"/>
      <c r="DE340"/>
      <c r="DG340"/>
      <c r="DH340"/>
      <c r="DI340"/>
      <c r="DJ340"/>
      <c r="DK340"/>
      <c r="DL340"/>
      <c r="DM340"/>
      <c r="DN340"/>
      <c r="DO340"/>
      <c r="DP340"/>
      <c r="DQ340"/>
      <c r="DR340"/>
      <c r="DS340"/>
      <c r="DT340"/>
      <c r="DU340"/>
      <c r="DV340"/>
      <c r="DW340"/>
      <c r="DZ340"/>
      <c r="EA340"/>
      <c r="EB340"/>
      <c r="EC340"/>
      <c r="ED340"/>
      <c r="EE340"/>
      <c r="EF340"/>
      <c r="EG340"/>
      <c r="EJ340"/>
      <c r="EK340"/>
      <c r="EL340"/>
      <c r="EM340"/>
      <c r="EN340"/>
      <c r="EO340"/>
      <c r="EP340"/>
      <c r="EQ340"/>
      <c r="ER340"/>
      <c r="ES340"/>
      <c r="ET340"/>
      <c r="EU340"/>
      <c r="EV340"/>
      <c r="EW340"/>
      <c r="EX340"/>
      <c r="EY340"/>
      <c r="EZ340"/>
      <c r="FA340"/>
      <c r="FB340"/>
      <c r="FC340"/>
      <c r="FD340"/>
      <c r="FE340"/>
      <c r="FF340"/>
      <c r="FG340"/>
      <c r="FH340"/>
      <c r="FK340" s="449" t="s">
        <v>6915</v>
      </c>
      <c r="FL340" s="457"/>
      <c r="FM340" s="449"/>
      <c r="FN340" s="452"/>
      <c r="FO340" s="452"/>
      <c r="FP340" s="452"/>
      <c r="FQ340" s="452"/>
      <c r="FR340" s="452"/>
      <c r="FS340" s="452"/>
      <c r="FT340" s="452"/>
      <c r="FU340" s="452">
        <v>1</v>
      </c>
      <c r="FV340" s="452"/>
      <c r="FW340" s="452"/>
      <c r="FX340" s="452"/>
      <c r="FY340" s="452"/>
      <c r="FZ340" s="453"/>
      <c r="GA340"/>
      <c r="GB340"/>
      <c r="GC340"/>
      <c r="GD340"/>
    </row>
    <row r="341" spans="4:186" x14ac:dyDescent="0.15">
      <c r="AG341"/>
      <c r="AH341"/>
      <c r="AJ341"/>
      <c r="AK341"/>
      <c r="AL341"/>
      <c r="AM341"/>
      <c r="AO341"/>
      <c r="AP341"/>
      <c r="AQ341"/>
      <c r="AR341"/>
      <c r="AS341"/>
      <c r="AT341"/>
      <c r="AU341"/>
      <c r="AV341"/>
      <c r="AW341"/>
      <c r="AX341"/>
      <c r="AY341"/>
      <c r="AZ341"/>
      <c r="BA341"/>
      <c r="BB341"/>
      <c r="BC341"/>
      <c r="BD341"/>
      <c r="BE341"/>
      <c r="BF341"/>
      <c r="BH341"/>
      <c r="BI341"/>
      <c r="BJ341"/>
      <c r="BK341"/>
      <c r="BL341"/>
      <c r="BM341"/>
      <c r="BN341"/>
      <c r="BP341"/>
      <c r="BQ341"/>
      <c r="BR341"/>
      <c r="BS341"/>
      <c r="BT341"/>
      <c r="BU341"/>
      <c r="BV341"/>
      <c r="BW341"/>
      <c r="BZ341"/>
      <c r="CA341"/>
      <c r="CB341"/>
      <c r="CC341"/>
      <c r="CD341"/>
      <c r="CF341"/>
      <c r="CG341"/>
      <c r="CH341"/>
      <c r="CI341"/>
      <c r="CJ341"/>
      <c r="CK341"/>
      <c r="CL341"/>
      <c r="CM341"/>
      <c r="CN341"/>
      <c r="CO341"/>
      <c r="CP341"/>
      <c r="CQ341"/>
      <c r="CR341"/>
      <c r="CS341"/>
      <c r="CT341"/>
      <c r="CU341"/>
      <c r="CV341"/>
      <c r="CW341"/>
      <c r="CX341"/>
      <c r="CY341"/>
      <c r="CZ341"/>
      <c r="DA341"/>
      <c r="DB341"/>
      <c r="DC341"/>
      <c r="DD341"/>
      <c r="DE341"/>
      <c r="DG341"/>
      <c r="DH341"/>
      <c r="DI341"/>
      <c r="DJ341"/>
      <c r="DK341"/>
      <c r="DL341"/>
      <c r="DM341"/>
      <c r="DN341"/>
      <c r="DO341"/>
      <c r="DP341"/>
      <c r="DQ341"/>
      <c r="DR341"/>
      <c r="DS341"/>
      <c r="DT341"/>
      <c r="DU341"/>
      <c r="DV341"/>
      <c r="DW341"/>
      <c r="DZ341"/>
      <c r="EA341"/>
      <c r="EB341"/>
      <c r="EC341"/>
      <c r="ED341"/>
      <c r="EE341"/>
      <c r="EF341"/>
      <c r="EG341"/>
      <c r="EJ341"/>
      <c r="EK341"/>
      <c r="EL341"/>
      <c r="EM341"/>
      <c r="EN341"/>
      <c r="EO341"/>
      <c r="EP341"/>
      <c r="EQ341"/>
      <c r="ER341"/>
      <c r="ES341"/>
      <c r="ET341"/>
      <c r="EU341"/>
      <c r="EV341"/>
      <c r="EW341"/>
      <c r="EX341"/>
      <c r="EY341"/>
      <c r="EZ341"/>
      <c r="FA341"/>
      <c r="FB341"/>
      <c r="FC341"/>
      <c r="FD341"/>
      <c r="FE341"/>
      <c r="FF341"/>
      <c r="FG341"/>
      <c r="FH341"/>
      <c r="FK341" s="449">
        <v>14.118</v>
      </c>
      <c r="FL341" s="449" t="s">
        <v>411</v>
      </c>
      <c r="FM341" s="449"/>
      <c r="FN341" s="452">
        <v>1</v>
      </c>
      <c r="FO341" s="452"/>
      <c r="FP341" s="452"/>
      <c r="FQ341" s="452"/>
      <c r="FR341" s="452"/>
      <c r="FS341" s="452"/>
      <c r="FT341" s="452"/>
      <c r="FU341" s="452"/>
      <c r="FV341" s="452"/>
      <c r="FW341" s="452"/>
      <c r="FX341" s="452"/>
      <c r="FY341" s="452"/>
      <c r="FZ341" s="453"/>
      <c r="GA341"/>
      <c r="GB341"/>
      <c r="GC341"/>
      <c r="GD341"/>
    </row>
    <row r="342" spans="4:186" x14ac:dyDescent="0.15">
      <c r="AG342"/>
      <c r="AH342"/>
      <c r="AJ342"/>
      <c r="AK342"/>
      <c r="AL342"/>
      <c r="AM342"/>
      <c r="AO342"/>
      <c r="AP342"/>
      <c r="AQ342"/>
      <c r="AR342"/>
      <c r="AS342"/>
      <c r="AT342"/>
      <c r="AU342"/>
      <c r="AV342"/>
      <c r="AW342"/>
      <c r="AX342"/>
      <c r="AY342"/>
      <c r="AZ342"/>
      <c r="BA342"/>
      <c r="BB342"/>
      <c r="BC342"/>
      <c r="BD342"/>
      <c r="BE342"/>
      <c r="BF342"/>
      <c r="BH342"/>
      <c r="BI342"/>
      <c r="BJ342"/>
      <c r="BK342"/>
      <c r="BL342"/>
      <c r="BM342"/>
      <c r="BN342"/>
      <c r="BP342"/>
      <c r="BQ342"/>
      <c r="BR342"/>
      <c r="BS342"/>
      <c r="BT342"/>
      <c r="BU342"/>
      <c r="BV342"/>
      <c r="BW342"/>
      <c r="BZ342"/>
      <c r="CA342"/>
      <c r="CB342"/>
      <c r="CC342"/>
      <c r="CD342"/>
      <c r="CF342"/>
      <c r="CG342"/>
      <c r="CH342"/>
      <c r="CI342"/>
      <c r="CJ342"/>
      <c r="CK342"/>
      <c r="CL342"/>
      <c r="CM342"/>
      <c r="CN342"/>
      <c r="CO342"/>
      <c r="CP342"/>
      <c r="CQ342"/>
      <c r="CR342"/>
      <c r="CS342"/>
      <c r="CT342"/>
      <c r="CU342"/>
      <c r="CV342"/>
      <c r="CW342"/>
      <c r="CX342"/>
      <c r="CY342"/>
      <c r="CZ342"/>
      <c r="DA342"/>
      <c r="DB342"/>
      <c r="DC342"/>
      <c r="DD342"/>
      <c r="DE342"/>
      <c r="DG342"/>
      <c r="DH342"/>
      <c r="DI342"/>
      <c r="DJ342"/>
      <c r="DK342"/>
      <c r="DL342"/>
      <c r="DM342"/>
      <c r="DN342"/>
      <c r="DO342"/>
      <c r="DP342"/>
      <c r="DQ342"/>
      <c r="DR342"/>
      <c r="DS342"/>
      <c r="DT342"/>
      <c r="DU342"/>
      <c r="DV342"/>
      <c r="DW342"/>
      <c r="DZ342"/>
      <c r="EA342"/>
      <c r="EB342"/>
      <c r="EC342"/>
      <c r="ED342"/>
      <c r="EE342"/>
      <c r="EF342"/>
      <c r="EG342"/>
      <c r="EJ342"/>
      <c r="EK342"/>
      <c r="EL342"/>
      <c r="EM342"/>
      <c r="EN342"/>
      <c r="EO342"/>
      <c r="EP342"/>
      <c r="EQ342"/>
      <c r="ER342"/>
      <c r="ES342"/>
      <c r="ET342"/>
      <c r="EU342"/>
      <c r="EV342"/>
      <c r="EW342"/>
      <c r="EX342"/>
      <c r="EY342"/>
      <c r="EZ342"/>
      <c r="FA342"/>
      <c r="FB342"/>
      <c r="FC342"/>
      <c r="FD342"/>
      <c r="FE342"/>
      <c r="FF342"/>
      <c r="FG342"/>
      <c r="FH342"/>
      <c r="FK342" s="449" t="s">
        <v>6916</v>
      </c>
      <c r="FL342" s="457"/>
      <c r="FM342" s="449"/>
      <c r="FN342" s="452">
        <v>1</v>
      </c>
      <c r="FO342" s="452"/>
      <c r="FP342" s="452"/>
      <c r="FQ342" s="452"/>
      <c r="FR342" s="452"/>
      <c r="FS342" s="452"/>
      <c r="FT342" s="452"/>
      <c r="FU342" s="452"/>
      <c r="FV342" s="452"/>
      <c r="FW342" s="452"/>
      <c r="FX342" s="452"/>
      <c r="FY342" s="452"/>
      <c r="FZ342" s="453"/>
      <c r="GA342"/>
      <c r="GB342"/>
      <c r="GC342"/>
      <c r="GD342"/>
    </row>
    <row r="343" spans="4:186" ht="18" x14ac:dyDescent="0.2">
      <c r="D343" s="18" t="str">
        <f>$D$1</f>
        <v>Type 'Heading' Here</v>
      </c>
      <c r="AG343"/>
      <c r="AH343"/>
      <c r="AJ343"/>
      <c r="AK343"/>
      <c r="AL343"/>
      <c r="AM343"/>
      <c r="AO343"/>
      <c r="AP343"/>
      <c r="AQ343"/>
      <c r="AR343"/>
      <c r="AS343"/>
      <c r="AT343"/>
      <c r="AU343"/>
      <c r="AV343"/>
      <c r="AW343"/>
      <c r="AX343"/>
      <c r="AY343"/>
      <c r="AZ343"/>
      <c r="BA343"/>
      <c r="BB343"/>
      <c r="BC343"/>
      <c r="BD343"/>
      <c r="BE343"/>
      <c r="BF343"/>
      <c r="BH343"/>
      <c r="BI343"/>
      <c r="BJ343"/>
      <c r="BK343"/>
      <c r="BL343"/>
      <c r="BM343"/>
      <c r="BN343"/>
      <c r="BP343"/>
      <c r="BQ343"/>
      <c r="BR343"/>
      <c r="BS343"/>
      <c r="BT343"/>
      <c r="BU343"/>
      <c r="BV343"/>
      <c r="BW343"/>
      <c r="BZ343"/>
      <c r="CA343"/>
      <c r="CB343"/>
      <c r="CC343"/>
      <c r="CD343"/>
      <c r="CF343"/>
      <c r="CG343"/>
      <c r="CH343"/>
      <c r="CI343"/>
      <c r="CJ343"/>
      <c r="CK343"/>
      <c r="CL343"/>
      <c r="CM343"/>
      <c r="CN343"/>
      <c r="CO343"/>
      <c r="CP343"/>
      <c r="CQ343"/>
      <c r="CR343"/>
      <c r="CS343"/>
      <c r="CT343"/>
      <c r="CU343"/>
      <c r="CV343"/>
      <c r="CW343"/>
      <c r="CX343"/>
      <c r="CY343"/>
      <c r="CZ343"/>
      <c r="DA343"/>
      <c r="DB343"/>
      <c r="DC343"/>
      <c r="DD343"/>
      <c r="DE343"/>
      <c r="DG343"/>
      <c r="DH343"/>
      <c r="DI343"/>
      <c r="DJ343"/>
      <c r="DK343"/>
      <c r="DL343"/>
      <c r="DM343"/>
      <c r="DN343"/>
      <c r="DO343"/>
      <c r="DP343"/>
      <c r="DQ343"/>
      <c r="DR343"/>
      <c r="DS343"/>
      <c r="DT343"/>
      <c r="DU343"/>
      <c r="DV343"/>
      <c r="DW343"/>
      <c r="DZ343"/>
      <c r="EA343"/>
      <c r="EB343"/>
      <c r="EC343"/>
      <c r="ED343"/>
      <c r="EE343"/>
      <c r="EF343"/>
      <c r="EG343"/>
      <c r="EJ343"/>
      <c r="EK343"/>
      <c r="EL343"/>
      <c r="EM343"/>
      <c r="EN343"/>
      <c r="EO343"/>
      <c r="EP343"/>
      <c r="EQ343"/>
      <c r="ER343"/>
      <c r="ES343"/>
      <c r="ET343"/>
      <c r="EU343"/>
      <c r="EV343"/>
      <c r="EW343"/>
      <c r="EX343"/>
      <c r="EY343"/>
      <c r="EZ343"/>
      <c r="FA343"/>
      <c r="FB343"/>
      <c r="FC343"/>
      <c r="FD343"/>
      <c r="FE343"/>
      <c r="FF343"/>
      <c r="FG343"/>
      <c r="FH343"/>
      <c r="FK343" s="451" t="s">
        <v>100</v>
      </c>
      <c r="FL343" s="459"/>
      <c r="FM343" s="451">
        <v>50</v>
      </c>
      <c r="FN343" s="565">
        <v>37</v>
      </c>
      <c r="FO343" s="565">
        <v>31</v>
      </c>
      <c r="FP343" s="565">
        <v>19</v>
      </c>
      <c r="FQ343" s="565">
        <v>9</v>
      </c>
      <c r="FR343" s="565">
        <v>8</v>
      </c>
      <c r="FS343" s="565">
        <v>8</v>
      </c>
      <c r="FT343" s="565">
        <v>8</v>
      </c>
      <c r="FU343" s="565">
        <v>6</v>
      </c>
      <c r="FV343" s="565">
        <v>3</v>
      </c>
      <c r="FW343" s="565">
        <v>3</v>
      </c>
      <c r="FX343" s="565">
        <v>2</v>
      </c>
      <c r="FY343" s="565">
        <v>1</v>
      </c>
      <c r="FZ343" s="566">
        <v>1</v>
      </c>
      <c r="GA343"/>
      <c r="GB343"/>
      <c r="GC343"/>
      <c r="GD343"/>
    </row>
    <row r="344" spans="4:186" x14ac:dyDescent="0.15">
      <c r="D344" s="23" t="s">
        <v>155</v>
      </c>
      <c r="AG344"/>
      <c r="AH344"/>
      <c r="AJ344"/>
      <c r="AK344"/>
      <c r="AL344"/>
      <c r="AM344"/>
      <c r="AO344"/>
      <c r="AP344"/>
      <c r="AQ344"/>
      <c r="AR344"/>
      <c r="AS344"/>
      <c r="AT344"/>
      <c r="AU344"/>
      <c r="AV344"/>
      <c r="AW344"/>
      <c r="AX344"/>
      <c r="AY344"/>
      <c r="AZ344"/>
      <c r="BA344"/>
      <c r="BB344"/>
      <c r="BC344"/>
      <c r="BD344"/>
      <c r="BE344"/>
      <c r="BF344"/>
      <c r="BH344"/>
      <c r="BI344"/>
      <c r="BJ344"/>
      <c r="BK344"/>
      <c r="BL344"/>
      <c r="BM344"/>
      <c r="BN344"/>
      <c r="BP344"/>
      <c r="BQ344"/>
      <c r="BR344"/>
      <c r="BS344"/>
      <c r="BT344"/>
      <c r="BU344"/>
      <c r="BV344"/>
      <c r="BW344"/>
      <c r="BZ344"/>
      <c r="CA344"/>
      <c r="CB344"/>
      <c r="CC344"/>
      <c r="CD344"/>
      <c r="CF344"/>
      <c r="CG344"/>
      <c r="CH344"/>
      <c r="CI344"/>
      <c r="CJ344"/>
      <c r="CK344"/>
      <c r="CL344"/>
      <c r="CM344"/>
      <c r="CN344"/>
      <c r="CO344"/>
      <c r="CP344"/>
      <c r="CQ344"/>
      <c r="CR344"/>
      <c r="CS344"/>
      <c r="CT344"/>
      <c r="CU344"/>
      <c r="CV344"/>
      <c r="CW344"/>
      <c r="CX344"/>
      <c r="CY344"/>
      <c r="CZ344"/>
      <c r="DA344"/>
      <c r="DB344"/>
      <c r="DC344"/>
      <c r="DD344"/>
      <c r="DE344"/>
      <c r="DG344"/>
      <c r="DH344"/>
      <c r="DI344"/>
      <c r="DJ344"/>
      <c r="DK344"/>
      <c r="DL344"/>
      <c r="DM344"/>
      <c r="DN344"/>
      <c r="DO344"/>
      <c r="DP344"/>
      <c r="DQ344"/>
      <c r="DR344"/>
      <c r="DS344"/>
      <c r="DT344"/>
      <c r="DU344"/>
      <c r="DV344"/>
      <c r="DW344"/>
      <c r="DZ344"/>
      <c r="EA344"/>
      <c r="EB344"/>
      <c r="EC344"/>
      <c r="ED344"/>
      <c r="EE344"/>
      <c r="EF344"/>
      <c r="EG344"/>
      <c r="EJ344"/>
      <c r="EK344"/>
      <c r="EL344"/>
      <c r="EM344"/>
      <c r="EN344"/>
      <c r="EO344"/>
      <c r="EP344"/>
      <c r="EQ344"/>
      <c r="ER344"/>
      <c r="ES344"/>
      <c r="ET344"/>
      <c r="EU344"/>
      <c r="EV344"/>
      <c r="EW344"/>
      <c r="EX344"/>
      <c r="EY344"/>
      <c r="EZ344"/>
      <c r="FA344"/>
      <c r="FB344"/>
      <c r="FC344"/>
      <c r="FD344"/>
      <c r="FE344"/>
      <c r="FF344"/>
      <c r="FG344"/>
      <c r="FH344"/>
      <c r="FK344"/>
      <c r="FL344"/>
      <c r="FM344"/>
      <c r="FN344"/>
      <c r="FO344"/>
      <c r="FP344"/>
      <c r="FQ344"/>
      <c r="FR344"/>
      <c r="FS344"/>
      <c r="FT344"/>
      <c r="FU344"/>
      <c r="FV344"/>
      <c r="FW344"/>
      <c r="FX344"/>
      <c r="FY344"/>
      <c r="FZ344"/>
      <c r="GA344"/>
      <c r="GB344"/>
      <c r="GC344"/>
      <c r="GD344"/>
    </row>
    <row r="345" spans="4:186" x14ac:dyDescent="0.15">
      <c r="AG345"/>
      <c r="AH345"/>
      <c r="AJ345"/>
      <c r="AK345"/>
      <c r="AL345"/>
      <c r="AM345"/>
      <c r="AO345"/>
      <c r="AP345"/>
      <c r="AQ345"/>
      <c r="AR345"/>
      <c r="AS345"/>
      <c r="AT345"/>
      <c r="AU345"/>
      <c r="AV345"/>
      <c r="AW345"/>
      <c r="AX345"/>
      <c r="AY345"/>
      <c r="AZ345"/>
      <c r="BA345"/>
      <c r="BB345"/>
      <c r="BC345"/>
      <c r="BD345"/>
      <c r="BE345"/>
      <c r="BF345"/>
      <c r="BH345"/>
      <c r="BI345"/>
      <c r="BJ345"/>
      <c r="BK345"/>
      <c r="BL345"/>
      <c r="BM345"/>
      <c r="BN345"/>
      <c r="BP345"/>
      <c r="BQ345"/>
      <c r="BR345"/>
      <c r="BS345"/>
      <c r="BT345"/>
      <c r="BU345"/>
      <c r="BV345"/>
      <c r="BW345"/>
      <c r="BZ345"/>
      <c r="CA345"/>
      <c r="CB345"/>
      <c r="CC345"/>
      <c r="CD345"/>
      <c r="CF345"/>
      <c r="CG345"/>
      <c r="CH345"/>
      <c r="CI345"/>
      <c r="CJ345"/>
      <c r="CK345"/>
      <c r="CL345"/>
      <c r="CM345"/>
      <c r="CN345"/>
      <c r="CO345"/>
      <c r="CP345"/>
      <c r="CQ345"/>
      <c r="CR345"/>
      <c r="CS345"/>
      <c r="CT345"/>
      <c r="CU345"/>
      <c r="CV345"/>
      <c r="CW345"/>
      <c r="CX345"/>
      <c r="CY345"/>
      <c r="CZ345"/>
      <c r="DA345"/>
      <c r="DB345"/>
      <c r="DC345"/>
      <c r="DD345"/>
      <c r="DE345"/>
      <c r="DG345"/>
      <c r="DH345"/>
      <c r="DI345"/>
      <c r="DJ345"/>
      <c r="DK345"/>
      <c r="DL345"/>
      <c r="DM345"/>
      <c r="DN345"/>
      <c r="DO345"/>
      <c r="DP345"/>
      <c r="DQ345"/>
      <c r="DR345"/>
      <c r="DS345"/>
      <c r="DT345"/>
      <c r="DU345"/>
      <c r="DV345"/>
      <c r="DW345"/>
      <c r="DZ345"/>
      <c r="EA345"/>
      <c r="EB345"/>
      <c r="EC345"/>
      <c r="ED345"/>
      <c r="EE345"/>
      <c r="EF345"/>
      <c r="EG345"/>
      <c r="EJ345"/>
      <c r="EK345"/>
      <c r="EL345"/>
      <c r="EM345"/>
      <c r="EN345"/>
      <c r="EO345"/>
      <c r="EP345"/>
      <c r="EQ345"/>
      <c r="ER345"/>
      <c r="ES345"/>
      <c r="ET345"/>
      <c r="EU345"/>
      <c r="EV345"/>
      <c r="EW345"/>
      <c r="EX345"/>
      <c r="EY345"/>
      <c r="EZ345"/>
      <c r="FA345"/>
      <c r="FB345"/>
      <c r="FC345"/>
      <c r="FD345"/>
      <c r="FE345"/>
      <c r="FF345"/>
      <c r="FG345"/>
      <c r="FH345"/>
      <c r="FK345"/>
      <c r="FL345"/>
      <c r="FM345"/>
      <c r="FN345"/>
      <c r="FO345"/>
      <c r="FP345"/>
      <c r="FQ345"/>
      <c r="FR345"/>
      <c r="FS345"/>
      <c r="FT345"/>
      <c r="FU345"/>
      <c r="FV345"/>
      <c r="FW345"/>
      <c r="FX345"/>
      <c r="FY345"/>
      <c r="FZ345"/>
      <c r="GA345"/>
      <c r="GB345"/>
      <c r="GC345"/>
      <c r="GD345"/>
    </row>
    <row r="346" spans="4:186" x14ac:dyDescent="0.15">
      <c r="AG346"/>
      <c r="AH346"/>
      <c r="AJ346"/>
      <c r="AK346"/>
      <c r="AL346"/>
      <c r="AM346"/>
      <c r="AO346"/>
      <c r="AP346"/>
      <c r="AQ346"/>
      <c r="AR346"/>
      <c r="AS346"/>
      <c r="AT346"/>
      <c r="AU346"/>
      <c r="AV346"/>
      <c r="AW346"/>
      <c r="AX346"/>
      <c r="AY346"/>
      <c r="AZ346"/>
      <c r="BA346"/>
      <c r="BB346"/>
      <c r="BC346"/>
      <c r="BD346"/>
      <c r="BE346"/>
      <c r="BF346"/>
      <c r="BH346"/>
      <c r="BI346"/>
      <c r="BJ346"/>
      <c r="BK346"/>
      <c r="BL346"/>
      <c r="BM346"/>
      <c r="BN346"/>
      <c r="BP346"/>
      <c r="BQ346"/>
      <c r="BR346"/>
      <c r="BS346"/>
      <c r="BT346"/>
      <c r="BU346"/>
      <c r="BV346"/>
      <c r="BW346"/>
      <c r="BZ346"/>
      <c r="CA346"/>
      <c r="CB346"/>
      <c r="CC346"/>
      <c r="CD346"/>
      <c r="CF346"/>
      <c r="CG346"/>
      <c r="CH346"/>
      <c r="CI346"/>
      <c r="CJ346"/>
      <c r="CK346"/>
      <c r="CL346"/>
      <c r="CM346"/>
      <c r="CN346"/>
      <c r="CO346"/>
      <c r="CP346"/>
      <c r="CQ346"/>
      <c r="CR346"/>
      <c r="CS346"/>
      <c r="CT346"/>
      <c r="CU346"/>
      <c r="CV346"/>
      <c r="CW346"/>
      <c r="CX346"/>
      <c r="CY346"/>
      <c r="CZ346"/>
      <c r="DA346"/>
      <c r="DB346"/>
      <c r="DC346"/>
      <c r="DD346"/>
      <c r="DE346"/>
      <c r="DG346"/>
      <c r="DH346"/>
      <c r="DI346"/>
      <c r="DJ346"/>
      <c r="DK346"/>
      <c r="DL346"/>
      <c r="DM346"/>
      <c r="DN346"/>
      <c r="DO346"/>
      <c r="DP346"/>
      <c r="DQ346"/>
      <c r="DR346"/>
      <c r="DS346"/>
      <c r="DT346"/>
      <c r="DU346"/>
      <c r="DV346"/>
      <c r="DW346"/>
      <c r="DZ346"/>
      <c r="EA346"/>
      <c r="EB346"/>
      <c r="EC346"/>
      <c r="ED346"/>
      <c r="EE346"/>
      <c r="EF346"/>
      <c r="EG346"/>
      <c r="EJ346"/>
      <c r="EK346"/>
      <c r="EL346"/>
      <c r="EM346"/>
      <c r="EN346"/>
      <c r="EO346"/>
      <c r="EP346"/>
      <c r="EQ346"/>
      <c r="ER346"/>
      <c r="ES346"/>
      <c r="ET346"/>
      <c r="EU346"/>
      <c r="EV346"/>
      <c r="EW346"/>
      <c r="EX346"/>
      <c r="EY346"/>
      <c r="EZ346"/>
      <c r="FA346"/>
      <c r="FB346"/>
      <c r="FC346"/>
      <c r="FD346"/>
      <c r="FE346"/>
      <c r="FF346"/>
      <c r="FG346"/>
      <c r="FH346"/>
      <c r="FK346"/>
      <c r="FL346"/>
      <c r="FM346"/>
      <c r="FN346"/>
      <c r="FO346"/>
      <c r="FP346"/>
      <c r="FQ346"/>
      <c r="FR346"/>
      <c r="FS346"/>
      <c r="FT346"/>
      <c r="FU346"/>
      <c r="FV346"/>
      <c r="FW346"/>
      <c r="FX346"/>
      <c r="FY346"/>
      <c r="FZ346"/>
      <c r="GA346"/>
      <c r="GB346"/>
      <c r="GC346"/>
      <c r="GD346"/>
    </row>
    <row r="347" spans="4:186" x14ac:dyDescent="0.15">
      <c r="AG347"/>
      <c r="AH347"/>
      <c r="AJ347"/>
      <c r="AK347"/>
      <c r="AL347"/>
      <c r="AM347"/>
      <c r="AO347"/>
      <c r="AP347"/>
      <c r="AQ347"/>
      <c r="AR347"/>
      <c r="AS347"/>
      <c r="AT347"/>
      <c r="AU347"/>
      <c r="AV347"/>
      <c r="AW347"/>
      <c r="AX347"/>
      <c r="AY347"/>
      <c r="AZ347"/>
      <c r="BA347"/>
      <c r="BB347"/>
      <c r="BC347"/>
      <c r="BD347"/>
      <c r="BE347"/>
      <c r="BF347"/>
      <c r="BH347"/>
      <c r="BI347"/>
      <c r="BJ347"/>
      <c r="BK347"/>
      <c r="BL347"/>
      <c r="BM347"/>
      <c r="BN347"/>
      <c r="BP347"/>
      <c r="BQ347"/>
      <c r="BR347"/>
      <c r="BS347"/>
      <c r="BT347"/>
      <c r="BU347"/>
      <c r="BV347"/>
      <c r="BW347"/>
      <c r="BZ347"/>
      <c r="CA347"/>
      <c r="CB347"/>
      <c r="CC347"/>
      <c r="CD347"/>
      <c r="CF347"/>
      <c r="CG347"/>
      <c r="CH347"/>
      <c r="CI347"/>
      <c r="CJ347"/>
      <c r="CK347"/>
      <c r="CL347"/>
      <c r="CM347"/>
      <c r="CN347"/>
      <c r="CO347"/>
      <c r="CP347"/>
      <c r="CQ347"/>
      <c r="CR347"/>
      <c r="CS347"/>
      <c r="CT347"/>
      <c r="CU347"/>
      <c r="CV347"/>
      <c r="CW347"/>
      <c r="CX347"/>
      <c r="CY347"/>
      <c r="CZ347"/>
      <c r="DA347"/>
      <c r="DB347"/>
      <c r="DC347"/>
      <c r="DD347"/>
      <c r="DE347"/>
      <c r="DG347"/>
      <c r="DH347"/>
      <c r="DI347"/>
      <c r="DJ347"/>
      <c r="DK347"/>
      <c r="DL347"/>
      <c r="DM347"/>
      <c r="DN347"/>
      <c r="DO347"/>
      <c r="DP347"/>
      <c r="DQ347"/>
      <c r="DR347"/>
      <c r="DS347"/>
      <c r="DT347"/>
      <c r="DU347"/>
      <c r="DV347"/>
      <c r="DW347"/>
      <c r="DZ347"/>
      <c r="EA347"/>
      <c r="EB347"/>
      <c r="EC347"/>
      <c r="ED347"/>
      <c r="EE347"/>
      <c r="EF347"/>
      <c r="EG347"/>
      <c r="EJ347"/>
      <c r="EK347"/>
      <c r="EL347"/>
      <c r="EM347"/>
      <c r="EN347"/>
      <c r="EO347"/>
      <c r="EP347"/>
      <c r="EQ347"/>
      <c r="ER347"/>
      <c r="ES347"/>
      <c r="ET347"/>
      <c r="EU347"/>
      <c r="EV347"/>
      <c r="EW347"/>
      <c r="EX347"/>
      <c r="EY347"/>
      <c r="EZ347"/>
      <c r="FA347"/>
      <c r="FB347"/>
      <c r="FC347"/>
      <c r="FD347"/>
      <c r="FE347"/>
      <c r="FF347"/>
      <c r="FG347"/>
      <c r="FH347"/>
      <c r="FK347"/>
      <c r="FL347"/>
      <c r="FM347"/>
      <c r="FN347"/>
      <c r="FO347"/>
      <c r="FP347"/>
      <c r="FQ347"/>
      <c r="FR347"/>
      <c r="FS347"/>
      <c r="FT347"/>
      <c r="FU347"/>
      <c r="FV347"/>
      <c r="FW347"/>
      <c r="FX347"/>
      <c r="FY347"/>
      <c r="FZ347"/>
      <c r="GA347"/>
      <c r="GB347"/>
      <c r="GC347"/>
      <c r="GD347"/>
    </row>
    <row r="348" spans="4:186" x14ac:dyDescent="0.15">
      <c r="AG348"/>
      <c r="AH348"/>
      <c r="AJ348"/>
      <c r="AK348"/>
      <c r="AL348"/>
      <c r="AM348"/>
      <c r="AO348"/>
      <c r="AP348"/>
      <c r="AQ348"/>
      <c r="AR348"/>
      <c r="AS348"/>
      <c r="AT348"/>
      <c r="AU348"/>
      <c r="AV348"/>
      <c r="AW348"/>
      <c r="AX348"/>
      <c r="AY348"/>
      <c r="AZ348"/>
      <c r="BA348"/>
      <c r="BB348"/>
      <c r="BC348"/>
      <c r="BD348"/>
      <c r="BE348"/>
      <c r="BF348"/>
      <c r="BH348"/>
      <c r="BI348"/>
      <c r="BJ348"/>
      <c r="BK348"/>
      <c r="BL348"/>
      <c r="BM348"/>
      <c r="BN348"/>
      <c r="BP348"/>
      <c r="BQ348"/>
      <c r="BR348"/>
      <c r="BS348"/>
      <c r="BT348"/>
      <c r="BU348"/>
      <c r="BV348"/>
      <c r="BW348"/>
      <c r="BZ348"/>
      <c r="CA348"/>
      <c r="CB348"/>
      <c r="CC348"/>
      <c r="CD348"/>
      <c r="CF348"/>
      <c r="CG348"/>
      <c r="CH348"/>
      <c r="CI348"/>
      <c r="CJ348"/>
      <c r="CK348"/>
      <c r="CL348"/>
      <c r="CM348"/>
      <c r="CN348"/>
      <c r="CO348"/>
      <c r="CP348"/>
      <c r="CQ348"/>
      <c r="CR348"/>
      <c r="CS348"/>
      <c r="CT348"/>
      <c r="CU348"/>
      <c r="CV348"/>
      <c r="CW348"/>
      <c r="CX348"/>
      <c r="CY348"/>
      <c r="CZ348"/>
      <c r="DA348"/>
      <c r="DB348"/>
      <c r="DC348"/>
      <c r="DD348"/>
      <c r="DE348"/>
      <c r="DG348"/>
      <c r="DH348"/>
      <c r="DI348"/>
      <c r="DJ348"/>
      <c r="DK348"/>
      <c r="DL348"/>
      <c r="DM348"/>
      <c r="DN348"/>
      <c r="DO348"/>
      <c r="DP348"/>
      <c r="DQ348"/>
      <c r="DR348"/>
      <c r="DS348"/>
      <c r="DT348"/>
      <c r="DU348"/>
      <c r="DV348"/>
      <c r="DW348"/>
      <c r="DZ348"/>
      <c r="EA348"/>
      <c r="EB348"/>
      <c r="EC348"/>
      <c r="ED348"/>
      <c r="EE348"/>
      <c r="EF348"/>
      <c r="EG348"/>
      <c r="EJ348"/>
      <c r="EK348"/>
      <c r="EL348"/>
      <c r="EM348"/>
      <c r="EN348"/>
      <c r="EO348"/>
      <c r="EP348"/>
      <c r="EQ348"/>
      <c r="ER348"/>
      <c r="ES348"/>
      <c r="ET348"/>
      <c r="EU348"/>
      <c r="EV348"/>
      <c r="EW348"/>
      <c r="EX348"/>
      <c r="EY348"/>
      <c r="EZ348"/>
      <c r="FA348"/>
      <c r="FB348"/>
      <c r="FC348"/>
      <c r="FD348"/>
      <c r="FE348"/>
      <c r="FF348"/>
      <c r="FG348"/>
      <c r="FH348"/>
      <c r="FK348"/>
      <c r="FL348"/>
      <c r="FM348"/>
      <c r="FN348"/>
      <c r="FO348"/>
      <c r="FP348"/>
      <c r="FQ348"/>
      <c r="FR348"/>
      <c r="FS348"/>
      <c r="FT348"/>
      <c r="FU348"/>
      <c r="FV348"/>
      <c r="FW348"/>
      <c r="FX348"/>
      <c r="FY348"/>
      <c r="FZ348"/>
      <c r="GA348"/>
      <c r="GB348"/>
      <c r="GC348"/>
      <c r="GD348"/>
    </row>
    <row r="349" spans="4:186" x14ac:dyDescent="0.15">
      <c r="AG349"/>
      <c r="AH349"/>
      <c r="AJ349"/>
      <c r="AK349"/>
      <c r="AL349"/>
      <c r="AM349"/>
      <c r="AO349"/>
      <c r="AP349"/>
      <c r="AQ349"/>
      <c r="AR349"/>
      <c r="AS349"/>
      <c r="AT349"/>
      <c r="AU349"/>
      <c r="AV349"/>
      <c r="AW349"/>
      <c r="AX349"/>
      <c r="AY349"/>
      <c r="AZ349"/>
      <c r="BA349"/>
      <c r="BB349"/>
      <c r="BC349"/>
      <c r="BD349"/>
      <c r="BE349"/>
      <c r="BF349"/>
      <c r="BH349"/>
      <c r="BI349"/>
      <c r="BJ349"/>
      <c r="BK349"/>
      <c r="BL349"/>
      <c r="BM349"/>
      <c r="BN349"/>
      <c r="BP349"/>
      <c r="BQ349"/>
      <c r="BR349"/>
      <c r="BS349"/>
      <c r="BT349"/>
      <c r="BU349"/>
      <c r="BV349"/>
      <c r="BW349"/>
      <c r="BZ349"/>
      <c r="CA349"/>
      <c r="CB349"/>
      <c r="CC349"/>
      <c r="CD349"/>
      <c r="CF349"/>
      <c r="CG349"/>
      <c r="CH349"/>
      <c r="CI349"/>
      <c r="CJ349"/>
      <c r="CK349"/>
      <c r="CL349"/>
      <c r="CM349"/>
      <c r="CN349"/>
      <c r="CO349"/>
      <c r="CP349"/>
      <c r="CQ349"/>
      <c r="CR349"/>
      <c r="CS349"/>
      <c r="CT349"/>
      <c r="CU349"/>
      <c r="CV349"/>
      <c r="CW349"/>
      <c r="CX349"/>
      <c r="CY349"/>
      <c r="CZ349"/>
      <c r="DA349"/>
      <c r="DB349"/>
      <c r="DC349"/>
      <c r="DD349"/>
      <c r="DE349"/>
      <c r="DG349"/>
      <c r="DH349"/>
      <c r="DI349"/>
      <c r="DJ349"/>
      <c r="DK349"/>
      <c r="DL349"/>
      <c r="DM349"/>
      <c r="DN349"/>
      <c r="DO349"/>
      <c r="DP349"/>
      <c r="DQ349"/>
      <c r="DR349"/>
      <c r="DS349"/>
      <c r="DT349"/>
      <c r="DU349"/>
      <c r="DV349"/>
      <c r="DW349"/>
      <c r="DZ349"/>
      <c r="EA349"/>
      <c r="EB349"/>
      <c r="EC349"/>
      <c r="ED349"/>
      <c r="EE349"/>
      <c r="EF349"/>
      <c r="EG349"/>
      <c r="EJ349"/>
      <c r="EK349"/>
      <c r="EL349"/>
      <c r="EM349"/>
      <c r="EN349"/>
      <c r="EO349"/>
      <c r="EP349"/>
      <c r="EQ349"/>
      <c r="ER349"/>
      <c r="ES349"/>
      <c r="ET349"/>
      <c r="EU349"/>
      <c r="EV349"/>
      <c r="EW349"/>
      <c r="EX349"/>
      <c r="EY349"/>
      <c r="EZ349"/>
      <c r="FA349"/>
      <c r="FB349"/>
      <c r="FC349"/>
      <c r="FD349"/>
      <c r="FE349"/>
      <c r="FF349"/>
      <c r="FG349"/>
      <c r="FH349"/>
      <c r="FK349"/>
      <c r="FL349"/>
      <c r="FM349"/>
      <c r="FN349"/>
      <c r="FO349"/>
      <c r="FP349"/>
      <c r="FQ349"/>
      <c r="FR349"/>
      <c r="FS349"/>
      <c r="FT349"/>
      <c r="FU349"/>
      <c r="FV349"/>
      <c r="FW349"/>
      <c r="FX349"/>
      <c r="FY349"/>
      <c r="FZ349"/>
      <c r="GA349"/>
      <c r="GB349"/>
      <c r="GC349"/>
      <c r="GD349"/>
    </row>
    <row r="350" spans="4:186" x14ac:dyDescent="0.15">
      <c r="AA350" s="7" t="s">
        <v>149</v>
      </c>
      <c r="AG350"/>
      <c r="AH350"/>
      <c r="AJ350"/>
      <c r="AK350"/>
      <c r="AL350"/>
      <c r="AM350"/>
      <c r="AO350"/>
      <c r="AP350"/>
      <c r="AQ350"/>
      <c r="AR350"/>
      <c r="AS350"/>
      <c r="AT350"/>
      <c r="AU350"/>
      <c r="AV350"/>
      <c r="AW350"/>
      <c r="AX350"/>
      <c r="AY350"/>
      <c r="AZ350"/>
      <c r="BA350"/>
      <c r="BB350"/>
      <c r="BC350"/>
      <c r="BD350"/>
      <c r="BE350"/>
      <c r="BF350"/>
      <c r="BH350"/>
      <c r="BI350"/>
      <c r="BJ350"/>
      <c r="BK350"/>
      <c r="BL350"/>
      <c r="BM350"/>
      <c r="BN350"/>
      <c r="BP350"/>
      <c r="BQ350"/>
      <c r="BR350"/>
      <c r="BS350"/>
      <c r="BT350"/>
      <c r="BU350"/>
      <c r="BV350"/>
      <c r="BW350"/>
      <c r="BZ350"/>
      <c r="CA350"/>
      <c r="CB350"/>
      <c r="CC350"/>
      <c r="CD350"/>
      <c r="CF350"/>
      <c r="CG350"/>
      <c r="CH350"/>
      <c r="CI350"/>
      <c r="CJ350"/>
      <c r="CK350"/>
      <c r="CL350"/>
      <c r="CM350"/>
      <c r="CN350"/>
      <c r="CO350"/>
      <c r="CP350"/>
      <c r="CQ350"/>
      <c r="CR350"/>
      <c r="CS350"/>
      <c r="CT350"/>
      <c r="CU350"/>
      <c r="CV350"/>
      <c r="CW350"/>
      <c r="CX350"/>
      <c r="CY350"/>
      <c r="CZ350"/>
      <c r="DA350"/>
      <c r="DB350"/>
      <c r="DC350"/>
      <c r="DD350"/>
      <c r="DE350"/>
      <c r="DG350"/>
      <c r="DH350"/>
      <c r="DI350"/>
      <c r="DJ350"/>
      <c r="DK350"/>
      <c r="DL350"/>
      <c r="DM350"/>
      <c r="DN350"/>
      <c r="DO350"/>
      <c r="DP350"/>
      <c r="DQ350"/>
      <c r="DR350"/>
      <c r="DS350"/>
      <c r="DT350"/>
      <c r="DU350"/>
      <c r="DV350"/>
      <c r="DW350"/>
      <c r="DZ350"/>
      <c r="EA350"/>
      <c r="EB350"/>
      <c r="EC350"/>
      <c r="ED350"/>
      <c r="EE350"/>
      <c r="EF350"/>
      <c r="EG350"/>
      <c r="EJ350"/>
      <c r="EK350"/>
      <c r="EL350"/>
      <c r="EM350"/>
      <c r="EN350"/>
      <c r="EO350"/>
      <c r="EP350"/>
      <c r="EQ350"/>
      <c r="ER350"/>
      <c r="ES350"/>
      <c r="ET350"/>
      <c r="EU350"/>
      <c r="EV350"/>
      <c r="EW350"/>
      <c r="EX350"/>
      <c r="EY350"/>
      <c r="EZ350"/>
      <c r="FA350"/>
      <c r="FB350"/>
      <c r="FC350"/>
      <c r="FD350"/>
      <c r="FE350"/>
      <c r="FF350"/>
      <c r="FG350"/>
      <c r="FH350"/>
      <c r="FK350"/>
      <c r="FL350"/>
      <c r="FM350"/>
      <c r="FN350"/>
      <c r="FO350"/>
      <c r="FP350"/>
      <c r="FQ350"/>
      <c r="FR350"/>
      <c r="FS350"/>
      <c r="FT350"/>
      <c r="FU350"/>
      <c r="FV350"/>
      <c r="FW350"/>
      <c r="FX350"/>
      <c r="FY350"/>
      <c r="FZ350"/>
      <c r="GA350"/>
      <c r="GB350"/>
      <c r="GC350"/>
      <c r="GD350"/>
    </row>
    <row r="351" spans="4:186" x14ac:dyDescent="0.15">
      <c r="AG351"/>
      <c r="AH351"/>
      <c r="AJ351"/>
      <c r="AK351"/>
      <c r="AL351"/>
      <c r="AM351"/>
      <c r="AO351"/>
      <c r="AP351"/>
      <c r="AQ351"/>
      <c r="AR351"/>
      <c r="AS351"/>
      <c r="AT351"/>
      <c r="AU351"/>
      <c r="AV351"/>
      <c r="AW351"/>
      <c r="AX351"/>
      <c r="AY351"/>
      <c r="AZ351"/>
      <c r="BA351"/>
      <c r="BB351"/>
      <c r="BC351"/>
      <c r="BD351"/>
      <c r="BE351"/>
      <c r="BF351"/>
      <c r="BH351"/>
      <c r="BI351"/>
      <c r="BJ351"/>
      <c r="BK351"/>
      <c r="BL351"/>
      <c r="BM351"/>
      <c r="BN351"/>
      <c r="BP351"/>
      <c r="BQ351"/>
      <c r="BR351"/>
      <c r="BS351"/>
      <c r="BT351"/>
      <c r="BU351"/>
      <c r="BV351"/>
      <c r="BW351"/>
      <c r="BZ351"/>
      <c r="CA351"/>
      <c r="CB351"/>
      <c r="CC351"/>
      <c r="CD351"/>
      <c r="CF351"/>
      <c r="CG351"/>
      <c r="CH351"/>
      <c r="CI351"/>
      <c r="CJ351"/>
      <c r="CK351"/>
      <c r="CL351"/>
      <c r="CM351"/>
      <c r="CN351"/>
      <c r="CO351"/>
      <c r="CP351"/>
      <c r="CQ351"/>
      <c r="CR351"/>
      <c r="CS351"/>
      <c r="CT351"/>
      <c r="CU351"/>
      <c r="CV351"/>
      <c r="CW351"/>
      <c r="CX351"/>
      <c r="CY351"/>
      <c r="CZ351"/>
      <c r="DA351"/>
      <c r="DB351"/>
      <c r="DC351"/>
      <c r="DD351"/>
      <c r="DE351"/>
      <c r="DG351"/>
      <c r="DH351"/>
      <c r="DI351"/>
      <c r="DJ351"/>
      <c r="DK351"/>
      <c r="DL351"/>
      <c r="DM351"/>
      <c r="DN351"/>
      <c r="DO351"/>
      <c r="DP351"/>
      <c r="DQ351"/>
      <c r="DR351"/>
      <c r="DS351"/>
      <c r="DT351"/>
      <c r="DU351"/>
      <c r="DV351"/>
      <c r="DW351"/>
      <c r="DZ351"/>
      <c r="EA351"/>
      <c r="EB351"/>
      <c r="EC351"/>
      <c r="ED351"/>
      <c r="EE351"/>
      <c r="EF351"/>
      <c r="EG351"/>
      <c r="EJ351"/>
      <c r="EK351"/>
      <c r="EL351"/>
      <c r="EM351"/>
      <c r="EN351"/>
      <c r="EO351"/>
      <c r="EP351"/>
      <c r="EQ351"/>
      <c r="ER351"/>
      <c r="ES351"/>
      <c r="ET351"/>
      <c r="EU351"/>
      <c r="EV351"/>
      <c r="EW351"/>
      <c r="EX351"/>
      <c r="EY351"/>
      <c r="EZ351"/>
      <c r="FA351"/>
      <c r="FB351"/>
      <c r="FC351"/>
      <c r="FD351"/>
      <c r="FE351"/>
      <c r="FF351"/>
      <c r="FG351"/>
      <c r="FH351"/>
      <c r="FK351"/>
      <c r="FL351"/>
      <c r="FM351"/>
      <c r="FN351"/>
      <c r="FO351"/>
      <c r="FP351"/>
      <c r="FQ351"/>
      <c r="FR351"/>
      <c r="FS351"/>
      <c r="FT351"/>
      <c r="FU351"/>
      <c r="FV351"/>
      <c r="FW351"/>
      <c r="FX351"/>
      <c r="FY351"/>
      <c r="FZ351"/>
      <c r="GA351"/>
      <c r="GB351"/>
      <c r="GC351"/>
      <c r="GD351"/>
    </row>
    <row r="352" spans="4:186" x14ac:dyDescent="0.15">
      <c r="AG352"/>
      <c r="AH352"/>
      <c r="AJ352"/>
      <c r="AK352"/>
      <c r="AL352"/>
      <c r="AM352"/>
      <c r="AO352"/>
      <c r="AP352"/>
      <c r="AQ352"/>
      <c r="AR352"/>
      <c r="AS352"/>
      <c r="AT352"/>
      <c r="AU352"/>
      <c r="AV352"/>
      <c r="AW352"/>
      <c r="AX352"/>
      <c r="AY352"/>
      <c r="AZ352"/>
      <c r="BA352"/>
      <c r="BB352"/>
      <c r="BC352"/>
      <c r="BD352"/>
      <c r="BE352"/>
      <c r="BF352"/>
      <c r="BH352"/>
      <c r="BI352"/>
      <c r="BJ352"/>
      <c r="BK352"/>
      <c r="BL352"/>
      <c r="BM352"/>
      <c r="BN352"/>
      <c r="BP352"/>
      <c r="BQ352"/>
      <c r="BR352"/>
      <c r="BS352"/>
      <c r="BT352"/>
      <c r="BU352"/>
      <c r="BV352"/>
      <c r="BW352"/>
      <c r="BZ352"/>
      <c r="CA352"/>
      <c r="CB352"/>
      <c r="CC352"/>
      <c r="CD352"/>
      <c r="CF352"/>
      <c r="CG352"/>
      <c r="CH352"/>
      <c r="CI352"/>
      <c r="CJ352"/>
      <c r="CK352"/>
      <c r="CL352"/>
      <c r="CM352"/>
      <c r="CN352"/>
      <c r="CO352"/>
      <c r="CP352"/>
      <c r="CQ352"/>
      <c r="CR352"/>
      <c r="CS352"/>
      <c r="CT352"/>
      <c r="CU352"/>
      <c r="CV352"/>
      <c r="CW352"/>
      <c r="CX352"/>
      <c r="CY352"/>
      <c r="CZ352"/>
      <c r="DA352"/>
      <c r="DB352"/>
      <c r="DC352"/>
      <c r="DD352"/>
      <c r="DE352"/>
      <c r="DG352"/>
      <c r="DH352"/>
      <c r="DI352"/>
      <c r="DJ352"/>
      <c r="DK352"/>
      <c r="DL352"/>
      <c r="DM352"/>
      <c r="DN352"/>
      <c r="DO352"/>
      <c r="DP352"/>
      <c r="DQ352"/>
      <c r="DR352"/>
      <c r="DS352"/>
      <c r="DT352"/>
      <c r="DU352"/>
      <c r="DV352"/>
      <c r="DW352"/>
      <c r="DZ352"/>
      <c r="EA352"/>
      <c r="EB352"/>
      <c r="EC352"/>
      <c r="ED352"/>
      <c r="EE352"/>
      <c r="EF352"/>
      <c r="EG352"/>
      <c r="EJ352"/>
      <c r="EK352"/>
      <c r="EL352"/>
      <c r="EM352"/>
      <c r="EN352"/>
      <c r="EO352"/>
      <c r="EP352"/>
      <c r="EQ352"/>
      <c r="ER352"/>
      <c r="ES352"/>
      <c r="ET352"/>
      <c r="EU352"/>
      <c r="EV352"/>
      <c r="EW352"/>
      <c r="EX352"/>
      <c r="EY352"/>
      <c r="EZ352"/>
      <c r="FA352"/>
      <c r="FB352"/>
      <c r="FC352"/>
      <c r="FD352"/>
      <c r="FE352"/>
      <c r="FF352"/>
      <c r="FG352"/>
      <c r="FH352"/>
      <c r="FK352"/>
      <c r="FL352"/>
      <c r="FM352"/>
      <c r="FN352"/>
      <c r="FO352"/>
      <c r="FP352"/>
      <c r="FQ352"/>
      <c r="FR352"/>
      <c r="FS352"/>
      <c r="FT352"/>
      <c r="FU352"/>
      <c r="FV352"/>
      <c r="FW352"/>
      <c r="FX352"/>
      <c r="FY352"/>
      <c r="FZ352"/>
      <c r="GA352"/>
      <c r="GB352"/>
      <c r="GC352"/>
      <c r="GD352"/>
    </row>
    <row r="353" spans="1:186" x14ac:dyDescent="0.15">
      <c r="AG353"/>
      <c r="AH353"/>
      <c r="AJ353"/>
      <c r="AK353"/>
      <c r="AL353"/>
      <c r="AM353"/>
      <c r="AO353"/>
      <c r="AP353"/>
      <c r="AQ353"/>
      <c r="AR353"/>
      <c r="AS353"/>
      <c r="AT353"/>
      <c r="AU353"/>
      <c r="AV353"/>
      <c r="AW353"/>
      <c r="AX353"/>
      <c r="AY353"/>
      <c r="AZ353"/>
      <c r="BA353"/>
      <c r="BB353"/>
      <c r="BC353"/>
      <c r="BD353"/>
      <c r="BE353"/>
      <c r="BF353"/>
      <c r="BH353"/>
      <c r="BI353"/>
      <c r="BJ353"/>
      <c r="BK353"/>
      <c r="BL353"/>
      <c r="BM353"/>
      <c r="BN353"/>
      <c r="BP353"/>
      <c r="BQ353"/>
      <c r="BR353"/>
      <c r="BS353"/>
      <c r="BT353"/>
      <c r="BU353"/>
      <c r="BV353"/>
      <c r="BW353"/>
      <c r="BZ353"/>
      <c r="CA353"/>
      <c r="CB353"/>
      <c r="CC353"/>
      <c r="CD353"/>
      <c r="CF353"/>
      <c r="CG353"/>
      <c r="CH353"/>
      <c r="CI353"/>
      <c r="CJ353"/>
      <c r="CK353"/>
      <c r="CL353"/>
      <c r="CM353"/>
      <c r="CN353"/>
      <c r="CO353"/>
      <c r="CP353"/>
      <c r="CQ353"/>
      <c r="CR353"/>
      <c r="CS353"/>
      <c r="CT353"/>
      <c r="CU353"/>
      <c r="CV353"/>
      <c r="CW353"/>
      <c r="CX353"/>
      <c r="CY353"/>
      <c r="CZ353"/>
      <c r="DA353"/>
      <c r="DB353"/>
      <c r="DC353"/>
      <c r="DD353"/>
      <c r="DE353"/>
      <c r="DG353"/>
      <c r="DH353"/>
      <c r="DI353"/>
      <c r="DJ353"/>
      <c r="DK353"/>
      <c r="DL353"/>
      <c r="DM353"/>
      <c r="DN353"/>
      <c r="DO353"/>
      <c r="DP353"/>
      <c r="DQ353"/>
      <c r="DR353"/>
      <c r="DS353"/>
      <c r="DT353"/>
      <c r="DU353"/>
      <c r="DV353"/>
      <c r="DW353"/>
      <c r="DZ353"/>
      <c r="EA353"/>
      <c r="EB353"/>
      <c r="EC353"/>
      <c r="ED353"/>
      <c r="EE353"/>
      <c r="EF353"/>
      <c r="EG353"/>
      <c r="EJ353"/>
      <c r="EK353"/>
      <c r="EL353"/>
      <c r="EM353"/>
      <c r="EN353"/>
      <c r="EO353"/>
      <c r="EP353"/>
      <c r="EQ353"/>
      <c r="ER353"/>
      <c r="ES353"/>
      <c r="ET353"/>
      <c r="EU353"/>
      <c r="EV353"/>
      <c r="EW353"/>
      <c r="EX353"/>
      <c r="EY353"/>
      <c r="EZ353"/>
      <c r="FA353"/>
      <c r="FB353"/>
      <c r="FC353"/>
      <c r="FD353"/>
      <c r="FE353"/>
      <c r="FF353"/>
      <c r="FG353"/>
      <c r="FH353"/>
      <c r="FK353"/>
      <c r="FL353"/>
      <c r="FM353"/>
      <c r="FN353"/>
      <c r="FO353"/>
      <c r="FP353"/>
      <c r="FQ353"/>
      <c r="FR353"/>
      <c r="FS353"/>
      <c r="FT353"/>
      <c r="FU353"/>
      <c r="FV353"/>
      <c r="FW353"/>
      <c r="FX353"/>
      <c r="FY353"/>
      <c r="FZ353"/>
      <c r="GA353"/>
      <c r="GB353"/>
      <c r="GC353"/>
      <c r="GD353"/>
    </row>
    <row r="354" spans="1:186" x14ac:dyDescent="0.15">
      <c r="AG354"/>
      <c r="AH354"/>
      <c r="AJ354"/>
      <c r="AK354"/>
      <c r="AL354"/>
      <c r="AM354"/>
      <c r="AO354"/>
      <c r="AP354"/>
      <c r="AQ354"/>
      <c r="AR354"/>
      <c r="AS354"/>
      <c r="AT354"/>
      <c r="AU354"/>
      <c r="AV354"/>
      <c r="AW354"/>
      <c r="AX354"/>
      <c r="AY354"/>
      <c r="AZ354"/>
      <c r="BA354"/>
      <c r="BB354"/>
      <c r="BC354"/>
      <c r="BD354"/>
      <c r="BE354"/>
      <c r="BF354"/>
      <c r="BH354"/>
      <c r="BI354"/>
      <c r="BJ354"/>
      <c r="BK354"/>
      <c r="BL354"/>
      <c r="BM354"/>
      <c r="BN354"/>
      <c r="BP354"/>
      <c r="BQ354"/>
      <c r="BR354"/>
      <c r="BS354"/>
      <c r="BT354"/>
      <c r="BU354"/>
      <c r="BV354"/>
      <c r="BW354"/>
      <c r="BZ354"/>
      <c r="CA354"/>
      <c r="CB354"/>
      <c r="CC354"/>
      <c r="CD354"/>
      <c r="CF354"/>
      <c r="CG354"/>
      <c r="CH354"/>
      <c r="CI354"/>
      <c r="CJ354"/>
      <c r="CK354"/>
      <c r="CL354"/>
      <c r="CM354"/>
      <c r="CN354"/>
      <c r="CO354"/>
      <c r="CP354"/>
      <c r="CQ354"/>
      <c r="CR354"/>
      <c r="CS354"/>
      <c r="CT354"/>
      <c r="CU354"/>
      <c r="CV354"/>
      <c r="CW354"/>
      <c r="CX354"/>
      <c r="CY354"/>
      <c r="CZ354"/>
      <c r="DA354"/>
      <c r="DB354"/>
      <c r="DC354"/>
      <c r="DD354"/>
      <c r="DE354"/>
      <c r="DG354"/>
      <c r="DH354"/>
      <c r="DI354"/>
      <c r="DJ354"/>
      <c r="DK354"/>
      <c r="DL354"/>
      <c r="DM354"/>
      <c r="DN354"/>
      <c r="DO354"/>
      <c r="DP354"/>
      <c r="DQ354"/>
      <c r="DR354"/>
      <c r="DS354"/>
      <c r="DT354"/>
      <c r="DU354"/>
      <c r="DV354"/>
      <c r="DW354"/>
      <c r="DZ354"/>
      <c r="EA354"/>
      <c r="EB354"/>
      <c r="EC354"/>
      <c r="ED354"/>
      <c r="EE354"/>
      <c r="EF354"/>
      <c r="EG354"/>
      <c r="EJ354"/>
      <c r="EK354"/>
      <c r="EL354"/>
      <c r="EM354"/>
      <c r="EN354"/>
      <c r="EO354"/>
      <c r="EP354"/>
      <c r="EQ354"/>
      <c r="ER354"/>
      <c r="ES354"/>
      <c r="ET354"/>
      <c r="EU354"/>
      <c r="EV354"/>
      <c r="EW354"/>
      <c r="EX354"/>
      <c r="EY354"/>
      <c r="EZ354"/>
      <c r="FA354"/>
      <c r="FB354"/>
      <c r="FC354"/>
      <c r="FD354"/>
      <c r="FE354"/>
      <c r="FF354"/>
      <c r="FG354"/>
      <c r="FH354"/>
      <c r="FK354"/>
      <c r="FL354"/>
      <c r="FM354"/>
      <c r="FN354"/>
      <c r="FO354"/>
      <c r="FP354"/>
      <c r="FQ354"/>
      <c r="FR354"/>
      <c r="FS354"/>
      <c r="FT354"/>
      <c r="FU354"/>
      <c r="FV354"/>
      <c r="FW354"/>
      <c r="FX354"/>
      <c r="FY354"/>
      <c r="FZ354"/>
      <c r="GA354"/>
      <c r="GB354"/>
      <c r="GC354"/>
      <c r="GD354"/>
    </row>
    <row r="355" spans="1:186" x14ac:dyDescent="0.15">
      <c r="AG355"/>
      <c r="AH355"/>
      <c r="AJ355"/>
      <c r="AK355"/>
      <c r="AL355"/>
      <c r="AM355"/>
      <c r="AO355"/>
      <c r="AP355"/>
      <c r="AQ355"/>
      <c r="AR355"/>
      <c r="AS355"/>
      <c r="AT355"/>
      <c r="AU355"/>
      <c r="AV355"/>
      <c r="AW355"/>
      <c r="AX355"/>
      <c r="AY355"/>
      <c r="AZ355"/>
      <c r="BA355"/>
      <c r="BB355"/>
      <c r="BC355"/>
      <c r="BD355"/>
      <c r="BE355"/>
      <c r="BF355"/>
      <c r="BH355"/>
      <c r="BI355"/>
      <c r="BJ355"/>
      <c r="BK355"/>
      <c r="BL355"/>
      <c r="BM355"/>
      <c r="BN355"/>
      <c r="BP355"/>
      <c r="BQ355"/>
      <c r="BR355"/>
      <c r="BS355"/>
      <c r="BT355"/>
      <c r="BU355"/>
      <c r="BV355"/>
      <c r="BW355"/>
      <c r="BZ355"/>
      <c r="CA355"/>
      <c r="CB355"/>
      <c r="CC355"/>
      <c r="CD355"/>
      <c r="CF355"/>
      <c r="CG355"/>
      <c r="CH355"/>
      <c r="CI355"/>
      <c r="CJ355"/>
      <c r="CK355"/>
      <c r="CL355"/>
      <c r="CM355"/>
      <c r="CN355"/>
      <c r="CO355"/>
      <c r="CP355"/>
      <c r="CQ355"/>
      <c r="CR355"/>
      <c r="CS355"/>
      <c r="CT355"/>
      <c r="CU355"/>
      <c r="CV355"/>
      <c r="CW355"/>
      <c r="CX355"/>
      <c r="CY355"/>
      <c r="CZ355"/>
      <c r="DA355"/>
      <c r="DB355"/>
      <c r="DC355"/>
      <c r="DD355"/>
      <c r="DE355"/>
      <c r="DG355"/>
      <c r="DH355"/>
      <c r="DI355"/>
      <c r="DJ355"/>
      <c r="DK355"/>
      <c r="DL355"/>
      <c r="DM355"/>
      <c r="DN355"/>
      <c r="DO355"/>
      <c r="DP355"/>
      <c r="DQ355"/>
      <c r="DR355"/>
      <c r="DS355"/>
      <c r="DT355"/>
      <c r="DU355"/>
      <c r="DV355"/>
      <c r="DW355"/>
      <c r="DZ355"/>
      <c r="EA355"/>
      <c r="EB355"/>
      <c r="EC355"/>
      <c r="ED355"/>
      <c r="EE355"/>
      <c r="EF355"/>
      <c r="EG355"/>
      <c r="EJ355"/>
      <c r="EK355"/>
      <c r="EL355"/>
      <c r="EM355"/>
      <c r="EN355"/>
      <c r="EO355"/>
      <c r="EP355"/>
      <c r="EQ355"/>
      <c r="ER355"/>
      <c r="ES355"/>
      <c r="ET355"/>
      <c r="EU355"/>
      <c r="EV355"/>
      <c r="EW355"/>
      <c r="EX355"/>
      <c r="EY355"/>
      <c r="EZ355"/>
      <c r="FA355"/>
      <c r="FB355"/>
      <c r="FC355"/>
      <c r="FD355"/>
      <c r="FE355"/>
      <c r="FF355"/>
      <c r="FG355"/>
      <c r="FH355"/>
      <c r="FK355"/>
      <c r="FL355"/>
      <c r="FM355"/>
      <c r="FN355"/>
      <c r="FO355"/>
      <c r="FP355"/>
      <c r="FQ355"/>
      <c r="FR355"/>
      <c r="FS355"/>
      <c r="FT355"/>
      <c r="FU355"/>
      <c r="FV355"/>
      <c r="FW355"/>
      <c r="FX355"/>
      <c r="FY355"/>
      <c r="FZ355"/>
      <c r="GA355"/>
      <c r="GB355"/>
      <c r="GC355"/>
      <c r="GD355"/>
    </row>
    <row r="356" spans="1:186" x14ac:dyDescent="0.15">
      <c r="AG356"/>
      <c r="AH356"/>
      <c r="AJ356"/>
      <c r="AK356"/>
      <c r="AL356"/>
      <c r="AM356"/>
      <c r="AO356"/>
      <c r="AP356"/>
      <c r="AQ356"/>
      <c r="AR356"/>
      <c r="AS356"/>
      <c r="AT356"/>
      <c r="AU356"/>
      <c r="AV356"/>
      <c r="AW356"/>
      <c r="AX356"/>
      <c r="AY356"/>
      <c r="AZ356"/>
      <c r="BA356"/>
      <c r="BB356"/>
      <c r="BC356"/>
      <c r="BD356"/>
      <c r="BE356"/>
      <c r="BF356"/>
      <c r="BH356"/>
      <c r="BI356"/>
      <c r="BJ356"/>
      <c r="BK356"/>
      <c r="BL356"/>
      <c r="BM356"/>
      <c r="BN356"/>
      <c r="BP356"/>
      <c r="BQ356"/>
      <c r="BR356"/>
      <c r="BS356"/>
      <c r="BT356"/>
      <c r="BU356"/>
      <c r="BV356"/>
      <c r="BW356"/>
      <c r="BZ356"/>
      <c r="CA356"/>
      <c r="CB356"/>
      <c r="CC356"/>
      <c r="CD356"/>
      <c r="CF356"/>
      <c r="CG356"/>
      <c r="CH356"/>
      <c r="CI356"/>
      <c r="CJ356"/>
      <c r="CK356"/>
      <c r="CL356"/>
      <c r="CM356"/>
      <c r="CN356"/>
      <c r="CO356"/>
      <c r="CP356"/>
      <c r="CQ356"/>
      <c r="CR356"/>
      <c r="CS356"/>
      <c r="CT356"/>
      <c r="CU356"/>
      <c r="CV356"/>
      <c r="CW356"/>
      <c r="CX356"/>
      <c r="CY356"/>
      <c r="CZ356"/>
      <c r="DA356"/>
      <c r="DB356"/>
      <c r="DC356"/>
      <c r="DD356"/>
      <c r="DE356"/>
      <c r="DG356"/>
      <c r="DH356"/>
      <c r="DI356"/>
      <c r="DJ356"/>
      <c r="DK356"/>
      <c r="DL356"/>
      <c r="DM356"/>
      <c r="DN356"/>
      <c r="DO356"/>
      <c r="DP356"/>
      <c r="DQ356"/>
      <c r="DR356"/>
      <c r="DS356"/>
      <c r="DT356"/>
      <c r="DU356"/>
      <c r="DV356"/>
      <c r="DW356"/>
      <c r="DZ356"/>
      <c r="EA356"/>
      <c r="EB356"/>
      <c r="EC356"/>
      <c r="ED356"/>
      <c r="EE356"/>
      <c r="EF356"/>
      <c r="EG356"/>
      <c r="EJ356"/>
      <c r="EK356"/>
      <c r="EL356"/>
      <c r="EM356"/>
      <c r="EN356"/>
      <c r="EO356"/>
      <c r="EP356"/>
      <c r="EQ356"/>
      <c r="ER356"/>
      <c r="ES356"/>
      <c r="ET356"/>
      <c r="EU356"/>
      <c r="EV356"/>
      <c r="EW356"/>
      <c r="EX356"/>
      <c r="EY356"/>
      <c r="EZ356"/>
      <c r="FA356"/>
      <c r="FB356"/>
      <c r="FC356"/>
      <c r="FD356"/>
      <c r="FE356"/>
      <c r="FF356"/>
      <c r="FG356"/>
      <c r="FH356"/>
      <c r="FK356"/>
      <c r="FL356"/>
      <c r="FM356"/>
      <c r="FN356"/>
      <c r="FO356"/>
      <c r="FP356"/>
      <c r="FQ356"/>
      <c r="FR356"/>
      <c r="FS356"/>
      <c r="FT356"/>
      <c r="FU356"/>
      <c r="FV356"/>
      <c r="FW356"/>
      <c r="FX356"/>
      <c r="FY356"/>
      <c r="FZ356"/>
      <c r="GA356"/>
      <c r="GB356"/>
      <c r="GC356"/>
      <c r="GD356"/>
    </row>
    <row r="357" spans="1:186" x14ac:dyDescent="0.15">
      <c r="AG357"/>
      <c r="AH357"/>
      <c r="AJ357"/>
      <c r="AK357"/>
      <c r="AL357"/>
      <c r="AM357"/>
      <c r="AO357"/>
      <c r="AP357"/>
      <c r="AQ357"/>
      <c r="AR357"/>
      <c r="AS357"/>
      <c r="AT357"/>
      <c r="AU357"/>
      <c r="AV357"/>
      <c r="AW357"/>
      <c r="AX357"/>
      <c r="AY357"/>
      <c r="AZ357"/>
      <c r="BA357"/>
      <c r="BB357"/>
      <c r="BC357"/>
      <c r="BD357"/>
      <c r="BE357"/>
      <c r="BF357"/>
      <c r="BH357"/>
      <c r="BI357"/>
      <c r="BJ357"/>
      <c r="BK357"/>
      <c r="BL357"/>
      <c r="BM357"/>
      <c r="BN357"/>
      <c r="BP357"/>
      <c r="BQ357"/>
      <c r="BR357"/>
      <c r="BS357"/>
      <c r="BT357"/>
      <c r="BU357"/>
      <c r="BV357"/>
      <c r="BW357"/>
      <c r="BZ357"/>
      <c r="CA357"/>
      <c r="CB357"/>
      <c r="CC357"/>
      <c r="CD357"/>
      <c r="CF357"/>
      <c r="CG357"/>
      <c r="CH357"/>
      <c r="CI357"/>
      <c r="CJ357"/>
      <c r="CK357"/>
      <c r="CL357"/>
      <c r="CM357"/>
      <c r="CN357"/>
      <c r="CO357"/>
      <c r="CP357"/>
      <c r="CQ357"/>
      <c r="CR357"/>
      <c r="CS357"/>
      <c r="CT357"/>
      <c r="CU357"/>
      <c r="CV357"/>
      <c r="CW357"/>
      <c r="CX357"/>
      <c r="CY357"/>
      <c r="CZ357"/>
      <c r="DA357"/>
      <c r="DB357"/>
      <c r="DC357"/>
      <c r="DD357"/>
      <c r="DE357"/>
      <c r="DG357"/>
      <c r="DH357"/>
      <c r="DI357"/>
      <c r="DJ357"/>
      <c r="DK357"/>
      <c r="DL357"/>
      <c r="DM357"/>
      <c r="DN357"/>
      <c r="DO357"/>
      <c r="DP357"/>
      <c r="DQ357"/>
      <c r="DR357"/>
      <c r="DS357"/>
      <c r="DT357"/>
      <c r="DU357"/>
      <c r="DV357"/>
      <c r="DW357"/>
      <c r="DZ357"/>
      <c r="EA357"/>
      <c r="EB357"/>
      <c r="EC357"/>
      <c r="ED357"/>
      <c r="EE357"/>
      <c r="EF357"/>
      <c r="EG357"/>
      <c r="EJ357"/>
      <c r="EK357"/>
      <c r="EL357"/>
      <c r="EM357"/>
      <c r="EN357"/>
      <c r="EO357"/>
      <c r="EP357"/>
      <c r="EQ357"/>
      <c r="ER357"/>
      <c r="ES357"/>
      <c r="ET357"/>
      <c r="EU357"/>
      <c r="EV357"/>
      <c r="EW357"/>
      <c r="EX357"/>
      <c r="EY357"/>
      <c r="EZ357"/>
      <c r="FA357"/>
      <c r="FB357"/>
      <c r="FC357"/>
      <c r="FD357"/>
      <c r="FE357"/>
      <c r="FF357"/>
      <c r="FG357"/>
      <c r="FH357"/>
      <c r="FK357"/>
      <c r="FL357"/>
      <c r="FM357"/>
      <c r="FN357"/>
      <c r="FO357"/>
      <c r="FP357"/>
      <c r="FQ357"/>
      <c r="FR357"/>
      <c r="FS357"/>
      <c r="FT357"/>
      <c r="FU357"/>
      <c r="FV357"/>
      <c r="FW357"/>
      <c r="FX357"/>
      <c r="FY357"/>
      <c r="FZ357"/>
      <c r="GA357"/>
      <c r="GB357"/>
      <c r="GC357"/>
      <c r="GD357"/>
    </row>
    <row r="358" spans="1:186" x14ac:dyDescent="0.15">
      <c r="AG358"/>
      <c r="AH358"/>
      <c r="AJ358"/>
      <c r="AK358"/>
      <c r="AL358"/>
      <c r="AM358"/>
      <c r="AO358"/>
      <c r="AP358"/>
      <c r="AQ358"/>
      <c r="AR358"/>
      <c r="AS358"/>
      <c r="AT358"/>
      <c r="AU358"/>
      <c r="AV358"/>
      <c r="AW358"/>
      <c r="AX358"/>
      <c r="AY358"/>
      <c r="AZ358"/>
      <c r="BA358"/>
      <c r="BB358"/>
      <c r="BC358"/>
      <c r="BD358"/>
      <c r="BE358"/>
      <c r="BF358"/>
      <c r="BH358"/>
      <c r="BI358"/>
      <c r="BJ358"/>
      <c r="BK358"/>
      <c r="BL358"/>
      <c r="BM358"/>
      <c r="BN358"/>
      <c r="BP358"/>
      <c r="BQ358"/>
      <c r="BR358"/>
      <c r="BS358"/>
      <c r="BT358"/>
      <c r="BU358"/>
      <c r="BV358"/>
      <c r="BW358"/>
      <c r="BZ358"/>
      <c r="CA358"/>
      <c r="CB358"/>
      <c r="CC358"/>
      <c r="CD358"/>
      <c r="CF358"/>
      <c r="CG358"/>
      <c r="CH358"/>
      <c r="CI358"/>
      <c r="CJ358"/>
      <c r="CK358"/>
      <c r="CL358"/>
      <c r="CM358"/>
      <c r="CN358"/>
      <c r="CO358"/>
      <c r="CP358"/>
      <c r="CQ358"/>
      <c r="CR358"/>
      <c r="CS358"/>
      <c r="CT358"/>
      <c r="CU358"/>
      <c r="CV358"/>
      <c r="CW358"/>
      <c r="CX358"/>
      <c r="CY358"/>
      <c r="CZ358"/>
      <c r="DA358"/>
      <c r="DB358"/>
      <c r="DC358"/>
      <c r="DD358"/>
      <c r="DE358"/>
      <c r="DG358"/>
      <c r="DH358"/>
      <c r="DI358"/>
      <c r="DJ358"/>
      <c r="DK358"/>
      <c r="DL358"/>
      <c r="DM358"/>
      <c r="DN358"/>
      <c r="DO358"/>
      <c r="DP358"/>
      <c r="DQ358"/>
      <c r="DR358"/>
      <c r="DS358"/>
      <c r="DT358"/>
      <c r="DU358"/>
      <c r="DV358"/>
      <c r="DW358"/>
      <c r="DZ358"/>
      <c r="EA358"/>
      <c r="EB358"/>
      <c r="EC358"/>
      <c r="ED358"/>
      <c r="EE358"/>
      <c r="EF358"/>
      <c r="EG358"/>
      <c r="EJ358"/>
      <c r="EK358"/>
      <c r="EL358"/>
      <c r="EM358"/>
      <c r="EN358"/>
      <c r="EO358"/>
      <c r="EP358"/>
      <c r="EQ358"/>
      <c r="ER358"/>
      <c r="ES358"/>
      <c r="ET358"/>
      <c r="EU358"/>
      <c r="EV358"/>
      <c r="EW358"/>
      <c r="EX358"/>
      <c r="EY358"/>
      <c r="EZ358"/>
      <c r="FA358"/>
      <c r="FB358"/>
      <c r="FC358"/>
      <c r="FD358"/>
      <c r="FE358"/>
      <c r="FF358"/>
      <c r="FG358"/>
      <c r="FH358"/>
      <c r="FK358"/>
      <c r="FL358"/>
      <c r="FM358"/>
      <c r="FN358"/>
      <c r="FO358"/>
      <c r="FP358"/>
      <c r="FQ358"/>
      <c r="FR358"/>
      <c r="FS358"/>
      <c r="FT358"/>
      <c r="FU358"/>
      <c r="FV358"/>
      <c r="FW358"/>
      <c r="FX358"/>
      <c r="FY358"/>
      <c r="FZ358"/>
      <c r="GA358"/>
      <c r="GB358"/>
      <c r="GC358"/>
      <c r="GD358"/>
    </row>
    <row r="359" spans="1:186" x14ac:dyDescent="0.15">
      <c r="AG359"/>
      <c r="AH359"/>
      <c r="AJ359"/>
      <c r="AK359"/>
      <c r="AL359"/>
      <c r="AM359"/>
      <c r="AO359"/>
      <c r="AP359"/>
      <c r="AQ359"/>
      <c r="AR359"/>
      <c r="AS359"/>
      <c r="AT359"/>
      <c r="AU359"/>
      <c r="AV359"/>
      <c r="AW359"/>
      <c r="AX359"/>
      <c r="AY359"/>
      <c r="AZ359"/>
      <c r="BA359"/>
      <c r="BB359"/>
      <c r="BC359"/>
      <c r="BD359"/>
      <c r="BE359"/>
      <c r="BF359"/>
      <c r="BH359"/>
      <c r="BI359"/>
      <c r="BJ359"/>
      <c r="BK359"/>
      <c r="BL359"/>
      <c r="BM359"/>
      <c r="BN359"/>
      <c r="BP359"/>
      <c r="BQ359"/>
      <c r="BR359"/>
      <c r="BS359"/>
      <c r="BT359"/>
      <c r="BU359"/>
      <c r="BV359"/>
      <c r="BW359"/>
      <c r="BZ359"/>
      <c r="CA359"/>
      <c r="CB359"/>
      <c r="CC359"/>
      <c r="CD359"/>
      <c r="CF359"/>
      <c r="CG359"/>
      <c r="CH359"/>
      <c r="CI359"/>
      <c r="CJ359"/>
      <c r="CK359"/>
      <c r="CL359"/>
      <c r="CM359"/>
      <c r="CN359"/>
      <c r="CO359"/>
      <c r="CP359"/>
      <c r="CQ359"/>
      <c r="CR359"/>
      <c r="CS359"/>
      <c r="CT359"/>
      <c r="CU359"/>
      <c r="CV359"/>
      <c r="CW359"/>
      <c r="CX359"/>
      <c r="CY359"/>
      <c r="CZ359"/>
      <c r="DA359"/>
      <c r="DB359"/>
      <c r="DC359"/>
      <c r="DD359"/>
      <c r="DE359"/>
      <c r="DG359"/>
      <c r="DH359"/>
      <c r="DI359"/>
      <c r="DJ359"/>
      <c r="DK359"/>
      <c r="DL359"/>
      <c r="DM359"/>
      <c r="DN359"/>
      <c r="DO359"/>
      <c r="DP359"/>
      <c r="DQ359"/>
      <c r="DR359"/>
      <c r="DS359"/>
      <c r="DT359"/>
      <c r="DU359"/>
      <c r="DV359"/>
      <c r="DW359"/>
      <c r="DZ359"/>
      <c r="EA359"/>
      <c r="EB359"/>
      <c r="EC359"/>
      <c r="ED359"/>
      <c r="EE359"/>
      <c r="EF359"/>
      <c r="EG359"/>
      <c r="EJ359"/>
      <c r="EK359"/>
      <c r="EL359"/>
      <c r="EM359"/>
      <c r="EN359"/>
      <c r="EO359"/>
      <c r="EP359"/>
      <c r="EQ359"/>
      <c r="ER359"/>
      <c r="ES359"/>
      <c r="ET359"/>
      <c r="EU359"/>
      <c r="EV359"/>
      <c r="EW359"/>
      <c r="EX359"/>
      <c r="EY359"/>
      <c r="EZ359"/>
      <c r="FA359"/>
      <c r="FB359"/>
      <c r="FC359"/>
      <c r="FD359"/>
      <c r="FE359"/>
      <c r="FF359"/>
      <c r="FG359"/>
      <c r="FH359"/>
      <c r="FK359"/>
      <c r="FL359"/>
      <c r="FM359"/>
      <c r="FN359"/>
      <c r="FO359"/>
      <c r="FP359"/>
      <c r="FQ359"/>
      <c r="FR359"/>
      <c r="FS359"/>
      <c r="FT359"/>
      <c r="FU359"/>
      <c r="FV359"/>
      <c r="FW359"/>
      <c r="FX359"/>
      <c r="FY359"/>
      <c r="FZ359"/>
      <c r="GA359"/>
      <c r="GB359"/>
      <c r="GC359"/>
      <c r="GD359"/>
    </row>
    <row r="360" spans="1:186" x14ac:dyDescent="0.15">
      <c r="AG360"/>
      <c r="AH360"/>
      <c r="AJ360"/>
      <c r="AK360"/>
      <c r="AL360"/>
      <c r="AM360"/>
      <c r="AO360"/>
      <c r="AP360"/>
      <c r="AQ360"/>
      <c r="AR360"/>
      <c r="AS360"/>
      <c r="AT360"/>
      <c r="AU360"/>
      <c r="AV360"/>
      <c r="AW360"/>
      <c r="AX360"/>
      <c r="AY360"/>
      <c r="AZ360"/>
      <c r="BA360"/>
      <c r="BB360"/>
      <c r="BC360"/>
      <c r="BD360"/>
      <c r="BE360"/>
      <c r="BF360"/>
      <c r="BH360"/>
      <c r="BI360"/>
      <c r="BJ360"/>
      <c r="BK360"/>
      <c r="BL360"/>
      <c r="BM360"/>
      <c r="BN360"/>
      <c r="BP360"/>
      <c r="BQ360"/>
      <c r="BR360"/>
      <c r="BS360"/>
      <c r="BT360"/>
      <c r="BU360"/>
      <c r="BV360"/>
      <c r="BW360"/>
      <c r="BZ360"/>
      <c r="CA360"/>
      <c r="CB360"/>
      <c r="CC360"/>
      <c r="CD360"/>
      <c r="CF360"/>
      <c r="CG360"/>
      <c r="CH360"/>
      <c r="CI360"/>
      <c r="CJ360"/>
      <c r="CK360"/>
      <c r="CL360"/>
      <c r="CM360"/>
      <c r="CN360"/>
      <c r="CO360"/>
      <c r="CP360"/>
      <c r="CQ360"/>
      <c r="CR360"/>
      <c r="CS360"/>
      <c r="CT360"/>
      <c r="CU360"/>
      <c r="CV360"/>
      <c r="CW360"/>
      <c r="CX360"/>
      <c r="CY360"/>
      <c r="CZ360"/>
      <c r="DA360"/>
      <c r="DB360"/>
      <c r="DC360"/>
      <c r="DD360"/>
      <c r="DE360"/>
      <c r="DG360"/>
      <c r="DH360"/>
      <c r="DI360"/>
      <c r="DJ360"/>
      <c r="DK360"/>
      <c r="DL360"/>
      <c r="DM360"/>
      <c r="DN360"/>
      <c r="DO360"/>
      <c r="DP360"/>
      <c r="DQ360"/>
      <c r="DR360"/>
      <c r="DS360"/>
      <c r="DT360"/>
      <c r="DU360"/>
      <c r="DV360"/>
      <c r="DW360"/>
      <c r="DZ360"/>
      <c r="EA360"/>
      <c r="EB360"/>
      <c r="EC360"/>
      <c r="ED360"/>
      <c r="EE360"/>
      <c r="EF360"/>
      <c r="EG360"/>
      <c r="EJ360"/>
      <c r="EK360"/>
      <c r="EL360"/>
      <c r="EM360"/>
      <c r="EN360"/>
      <c r="EO360"/>
      <c r="EP360"/>
      <c r="EQ360"/>
      <c r="ER360"/>
      <c r="ES360"/>
      <c r="ET360"/>
      <c r="EU360"/>
      <c r="EV360"/>
      <c r="EW360"/>
      <c r="EX360"/>
      <c r="EY360"/>
      <c r="EZ360"/>
      <c r="FA360"/>
      <c r="FB360"/>
      <c r="FC360"/>
      <c r="FD360"/>
      <c r="FE360"/>
      <c r="FF360"/>
      <c r="FG360"/>
      <c r="FH360"/>
      <c r="FK360"/>
      <c r="FL360"/>
      <c r="FM360"/>
      <c r="FN360"/>
      <c r="FO360"/>
      <c r="FP360"/>
      <c r="FQ360"/>
      <c r="FR360"/>
      <c r="FS360"/>
      <c r="FT360"/>
      <c r="FU360"/>
      <c r="FV360"/>
      <c r="FW360"/>
      <c r="FX360"/>
      <c r="FY360"/>
      <c r="FZ360"/>
      <c r="GA360"/>
      <c r="GB360"/>
      <c r="GC360"/>
      <c r="GD360"/>
    </row>
    <row r="361" spans="1:186" x14ac:dyDescent="0.15">
      <c r="AG361"/>
      <c r="AH361"/>
      <c r="AJ361"/>
      <c r="AK361"/>
      <c r="AL361"/>
      <c r="AM361"/>
      <c r="AO361"/>
      <c r="AP361"/>
      <c r="AQ361"/>
      <c r="AR361"/>
      <c r="AS361"/>
      <c r="AT361"/>
      <c r="AU361"/>
      <c r="AV361"/>
      <c r="AW361"/>
      <c r="AX361"/>
      <c r="AY361"/>
      <c r="AZ361"/>
      <c r="BA361"/>
      <c r="BB361"/>
      <c r="BC361"/>
      <c r="BD361"/>
      <c r="BE361"/>
      <c r="BF361"/>
      <c r="BH361"/>
      <c r="BI361"/>
      <c r="BJ361"/>
      <c r="BK361"/>
      <c r="BL361"/>
      <c r="BM361"/>
      <c r="BN361"/>
      <c r="BP361"/>
      <c r="BQ361"/>
      <c r="BR361"/>
      <c r="BS361"/>
      <c r="BT361"/>
      <c r="BU361"/>
      <c r="BV361"/>
      <c r="BW361"/>
      <c r="BZ361"/>
      <c r="CA361"/>
      <c r="CB361"/>
      <c r="CC361"/>
      <c r="CD361"/>
      <c r="CF361"/>
      <c r="CG361"/>
      <c r="CH361"/>
      <c r="CI361"/>
      <c r="CJ361"/>
      <c r="CK361"/>
      <c r="CL361"/>
      <c r="CM361"/>
      <c r="CN361"/>
      <c r="CO361"/>
      <c r="CP361"/>
      <c r="CQ361"/>
      <c r="CR361"/>
      <c r="CS361"/>
      <c r="CT361"/>
      <c r="CU361"/>
      <c r="CV361"/>
      <c r="CW361"/>
      <c r="CX361"/>
      <c r="CY361"/>
      <c r="CZ361"/>
      <c r="DA361"/>
      <c r="DB361"/>
      <c r="DC361"/>
      <c r="DD361"/>
      <c r="DE361"/>
      <c r="DG361"/>
      <c r="DH361"/>
      <c r="DI361"/>
      <c r="DJ361"/>
      <c r="DK361"/>
      <c r="DL361"/>
      <c r="DM361"/>
      <c r="DN361"/>
      <c r="DO361"/>
      <c r="DP361"/>
      <c r="DQ361"/>
      <c r="DR361"/>
      <c r="DS361"/>
      <c r="DT361"/>
      <c r="DU361"/>
      <c r="DV361"/>
      <c r="DW361"/>
      <c r="DZ361"/>
      <c r="EA361"/>
      <c r="EB361"/>
      <c r="EC361"/>
      <c r="ED361"/>
      <c r="EE361"/>
      <c r="EF361"/>
      <c r="EG361"/>
      <c r="EJ361"/>
      <c r="EK361"/>
      <c r="EL361"/>
      <c r="EM361"/>
      <c r="EN361"/>
      <c r="EO361"/>
      <c r="EP361"/>
      <c r="EQ361"/>
      <c r="ER361"/>
      <c r="ES361"/>
      <c r="ET361"/>
      <c r="EU361"/>
      <c r="EV361"/>
      <c r="EW361"/>
      <c r="EX361"/>
      <c r="EY361"/>
      <c r="EZ361"/>
      <c r="FA361"/>
      <c r="FB361"/>
      <c r="FC361"/>
      <c r="FD361"/>
      <c r="FE361"/>
      <c r="FF361"/>
      <c r="FG361"/>
      <c r="FH361"/>
      <c r="FK361"/>
      <c r="FL361"/>
      <c r="FM361"/>
      <c r="FN361"/>
      <c r="FO361"/>
      <c r="FP361"/>
      <c r="FQ361"/>
      <c r="FR361"/>
      <c r="FS361"/>
      <c r="FT361"/>
      <c r="FU361"/>
      <c r="FV361"/>
      <c r="FW361"/>
      <c r="FX361"/>
      <c r="FY361"/>
      <c r="FZ361"/>
      <c r="GA361"/>
      <c r="GB361"/>
      <c r="GC361"/>
      <c r="GD361"/>
    </row>
    <row r="362" spans="1:186" x14ac:dyDescent="0.15">
      <c r="AG362"/>
      <c r="AH362"/>
      <c r="AJ362"/>
      <c r="AK362"/>
      <c r="AL362"/>
      <c r="AM362"/>
      <c r="AO362"/>
      <c r="AP362"/>
      <c r="AQ362"/>
      <c r="AR362"/>
      <c r="AS362"/>
      <c r="AT362"/>
      <c r="AU362"/>
      <c r="AV362"/>
      <c r="AW362"/>
      <c r="AX362"/>
      <c r="AY362"/>
      <c r="AZ362"/>
      <c r="BA362"/>
      <c r="BB362"/>
      <c r="BC362"/>
      <c r="BD362"/>
      <c r="BE362"/>
      <c r="BF362"/>
      <c r="BH362"/>
      <c r="BI362"/>
      <c r="BJ362"/>
      <c r="BK362"/>
      <c r="BL362"/>
      <c r="BM362"/>
      <c r="BN362"/>
      <c r="BP362"/>
      <c r="BQ362"/>
      <c r="BR362"/>
      <c r="BS362"/>
      <c r="BT362"/>
      <c r="BU362"/>
      <c r="BV362"/>
      <c r="BW362"/>
      <c r="BZ362"/>
      <c r="CA362"/>
      <c r="CB362"/>
      <c r="CC362"/>
      <c r="CD362"/>
      <c r="CF362"/>
      <c r="CG362"/>
      <c r="CH362"/>
      <c r="CI362"/>
      <c r="CJ362"/>
      <c r="CK362"/>
      <c r="CL362"/>
      <c r="CM362"/>
      <c r="CN362"/>
      <c r="CO362"/>
      <c r="CP362"/>
      <c r="CQ362"/>
      <c r="CR362"/>
      <c r="CS362"/>
      <c r="CT362"/>
      <c r="CU362"/>
      <c r="CV362"/>
      <c r="CW362"/>
      <c r="CX362"/>
      <c r="CY362"/>
      <c r="CZ362"/>
      <c r="DA362"/>
      <c r="DB362"/>
      <c r="DC362"/>
      <c r="DD362"/>
      <c r="DE362"/>
      <c r="DG362"/>
      <c r="DH362"/>
      <c r="DI362"/>
      <c r="DJ362"/>
      <c r="DK362"/>
      <c r="DL362"/>
      <c r="DM362"/>
      <c r="DN362"/>
      <c r="DO362"/>
      <c r="DP362"/>
      <c r="DQ362"/>
      <c r="DR362"/>
      <c r="DS362"/>
      <c r="DT362"/>
      <c r="DU362"/>
      <c r="DV362"/>
      <c r="DW362"/>
      <c r="DZ362"/>
      <c r="EA362"/>
      <c r="EB362"/>
      <c r="EC362"/>
      <c r="ED362"/>
      <c r="EE362"/>
      <c r="EF362"/>
      <c r="EG362"/>
      <c r="EJ362"/>
      <c r="EK362"/>
      <c r="EL362"/>
      <c r="EM362"/>
      <c r="EN362"/>
      <c r="EO362"/>
      <c r="EP362"/>
      <c r="EQ362"/>
      <c r="ER362"/>
      <c r="ES362"/>
      <c r="ET362"/>
      <c r="EU362"/>
      <c r="EV362"/>
      <c r="EW362"/>
      <c r="EX362"/>
      <c r="EY362"/>
      <c r="EZ362"/>
      <c r="FA362"/>
      <c r="FB362"/>
      <c r="FC362"/>
      <c r="FD362"/>
      <c r="FE362"/>
      <c r="FF362"/>
      <c r="FG362"/>
      <c r="FH362"/>
      <c r="FK362"/>
      <c r="FL362"/>
      <c r="FM362"/>
      <c r="FN362"/>
      <c r="FO362"/>
      <c r="FP362"/>
      <c r="FQ362"/>
      <c r="FR362"/>
      <c r="FS362"/>
      <c r="FT362"/>
      <c r="FU362"/>
      <c r="FV362"/>
      <c r="FW362"/>
      <c r="FX362"/>
      <c r="FY362"/>
      <c r="FZ362"/>
      <c r="GA362"/>
      <c r="GB362"/>
      <c r="GC362"/>
      <c r="GD362"/>
    </row>
    <row r="363" spans="1:186" x14ac:dyDescent="0.15">
      <c r="AG363"/>
      <c r="AH363"/>
      <c r="AJ363"/>
      <c r="AK363"/>
      <c r="AL363"/>
      <c r="AM363"/>
      <c r="AO363"/>
      <c r="AP363"/>
      <c r="AQ363"/>
      <c r="AR363"/>
      <c r="AS363"/>
      <c r="AT363"/>
      <c r="AU363"/>
      <c r="AV363"/>
      <c r="AW363"/>
      <c r="AX363"/>
      <c r="AY363"/>
      <c r="AZ363"/>
      <c r="BA363"/>
      <c r="BB363"/>
      <c r="BC363"/>
      <c r="BD363"/>
      <c r="BE363"/>
      <c r="BF363"/>
      <c r="BH363"/>
      <c r="BI363"/>
      <c r="BJ363"/>
      <c r="BK363"/>
      <c r="BL363"/>
      <c r="BM363"/>
      <c r="BN363"/>
      <c r="BP363"/>
      <c r="BQ363"/>
      <c r="BR363"/>
      <c r="BS363"/>
      <c r="BT363"/>
      <c r="BU363"/>
      <c r="BV363"/>
      <c r="BW363"/>
      <c r="BZ363"/>
      <c r="CA363"/>
      <c r="CB363"/>
      <c r="CC363"/>
      <c r="CD363"/>
      <c r="CF363"/>
      <c r="CG363"/>
      <c r="CH363"/>
      <c r="CI363"/>
      <c r="CJ363"/>
      <c r="CK363"/>
      <c r="CL363"/>
      <c r="CM363"/>
      <c r="CN363"/>
      <c r="CO363"/>
      <c r="CP363"/>
      <c r="CQ363"/>
      <c r="CR363"/>
      <c r="CS363"/>
      <c r="CT363"/>
      <c r="CU363"/>
      <c r="CV363"/>
      <c r="CW363"/>
      <c r="CX363"/>
      <c r="CY363"/>
      <c r="CZ363"/>
      <c r="DA363"/>
      <c r="DB363"/>
      <c r="DC363"/>
      <c r="DD363"/>
      <c r="DE363"/>
      <c r="DG363"/>
      <c r="DH363"/>
      <c r="DI363"/>
      <c r="DJ363"/>
      <c r="DK363"/>
      <c r="DL363"/>
      <c r="DM363"/>
      <c r="DN363"/>
      <c r="DO363"/>
      <c r="DP363"/>
      <c r="DQ363"/>
      <c r="DR363"/>
      <c r="DS363"/>
      <c r="DT363"/>
      <c r="DU363"/>
      <c r="DV363"/>
      <c r="DW363"/>
      <c r="DZ363"/>
      <c r="EA363"/>
      <c r="EB363"/>
      <c r="EC363"/>
      <c r="ED363"/>
      <c r="EE363"/>
      <c r="EF363"/>
      <c r="EG363"/>
      <c r="EJ363"/>
      <c r="EK363"/>
      <c r="EL363"/>
      <c r="EM363"/>
      <c r="EN363"/>
      <c r="EO363"/>
      <c r="EP363"/>
      <c r="EQ363"/>
      <c r="ER363"/>
      <c r="ES363"/>
      <c r="ET363"/>
      <c r="EU363"/>
      <c r="EV363"/>
      <c r="EW363"/>
      <c r="EX363"/>
      <c r="EY363"/>
      <c r="EZ363"/>
      <c r="FA363"/>
      <c r="FB363"/>
      <c r="FC363"/>
      <c r="FD363"/>
      <c r="FE363"/>
      <c r="FF363"/>
      <c r="FG363"/>
      <c r="FH363"/>
      <c r="FK363"/>
      <c r="FL363"/>
      <c r="FM363"/>
      <c r="FN363"/>
      <c r="FO363"/>
      <c r="FP363"/>
      <c r="FQ363"/>
      <c r="FR363"/>
      <c r="FS363"/>
      <c r="FT363"/>
      <c r="FU363"/>
      <c r="FV363"/>
      <c r="FW363"/>
      <c r="FX363"/>
      <c r="FY363"/>
      <c r="FZ363"/>
      <c r="GA363"/>
      <c r="GB363"/>
      <c r="GC363"/>
      <c r="GD363"/>
    </row>
    <row r="364" spans="1:186" x14ac:dyDescent="0.15">
      <c r="AG364"/>
      <c r="AH364"/>
      <c r="AJ364"/>
      <c r="AK364"/>
      <c r="AL364"/>
      <c r="AM364"/>
      <c r="AO364"/>
      <c r="AP364"/>
      <c r="AQ364"/>
      <c r="AR364"/>
      <c r="AS364"/>
      <c r="AT364"/>
      <c r="AU364"/>
      <c r="AV364"/>
      <c r="AW364"/>
      <c r="AX364"/>
      <c r="AY364"/>
      <c r="AZ364"/>
      <c r="BA364"/>
      <c r="BB364"/>
      <c r="BC364"/>
      <c r="BD364"/>
      <c r="BE364"/>
      <c r="BF364"/>
      <c r="BH364"/>
      <c r="BI364"/>
      <c r="BJ364"/>
      <c r="BK364"/>
      <c r="BL364"/>
      <c r="BM364"/>
      <c r="BN364"/>
      <c r="BP364"/>
      <c r="BQ364"/>
      <c r="BR364"/>
      <c r="BS364"/>
      <c r="BT364"/>
      <c r="BU364"/>
      <c r="BV364"/>
      <c r="BW364"/>
      <c r="BZ364"/>
      <c r="CA364"/>
      <c r="CB364"/>
      <c r="CC364"/>
      <c r="CD364"/>
      <c r="CF364"/>
      <c r="CG364"/>
      <c r="CH364"/>
      <c r="CI364"/>
      <c r="CJ364"/>
      <c r="CK364"/>
      <c r="CL364"/>
      <c r="CM364"/>
      <c r="CN364"/>
      <c r="CO364"/>
      <c r="CP364"/>
      <c r="CQ364"/>
      <c r="CR364"/>
      <c r="CS364"/>
      <c r="CT364"/>
      <c r="CU364"/>
      <c r="CV364"/>
      <c r="CW364"/>
      <c r="CX364"/>
      <c r="CY364"/>
      <c r="CZ364"/>
      <c r="DA364"/>
      <c r="DB364"/>
      <c r="DC364"/>
      <c r="DD364"/>
      <c r="DE364"/>
      <c r="DG364"/>
      <c r="DH364"/>
      <c r="DI364"/>
      <c r="DJ364"/>
      <c r="DK364"/>
      <c r="DL364"/>
      <c r="DM364"/>
      <c r="DN364"/>
      <c r="DO364"/>
      <c r="DP364"/>
      <c r="DQ364"/>
      <c r="DR364"/>
      <c r="DS364"/>
      <c r="DT364"/>
      <c r="DU364"/>
      <c r="DV364"/>
      <c r="DW364"/>
      <c r="DZ364"/>
      <c r="EA364"/>
      <c r="EB364"/>
      <c r="EC364"/>
      <c r="ED364"/>
      <c r="EE364"/>
      <c r="EF364"/>
      <c r="EG364"/>
      <c r="EJ364"/>
      <c r="EK364"/>
      <c r="EL364"/>
      <c r="EM364"/>
      <c r="EN364"/>
      <c r="EO364"/>
      <c r="EP364"/>
      <c r="EQ364"/>
      <c r="ER364"/>
      <c r="ES364"/>
      <c r="ET364"/>
      <c r="EU364"/>
      <c r="EV364"/>
      <c r="EW364"/>
      <c r="EX364"/>
      <c r="EY364"/>
      <c r="EZ364"/>
      <c r="FA364"/>
      <c r="FB364"/>
      <c r="FC364"/>
      <c r="FD364"/>
      <c r="FE364"/>
      <c r="FF364"/>
      <c r="FG364"/>
      <c r="FH364"/>
      <c r="FK364"/>
      <c r="FL364"/>
      <c r="FM364"/>
      <c r="FN364"/>
      <c r="FO364"/>
      <c r="FP364"/>
      <c r="FQ364"/>
      <c r="FR364"/>
      <c r="FS364"/>
      <c r="FT364"/>
      <c r="FU364"/>
      <c r="FV364"/>
      <c r="FW364"/>
      <c r="FX364"/>
      <c r="FY364"/>
      <c r="FZ364"/>
      <c r="GA364"/>
      <c r="GB364"/>
      <c r="GC364"/>
      <c r="GD364"/>
    </row>
    <row r="365" spans="1:186" x14ac:dyDescent="0.15">
      <c r="AG365"/>
      <c r="AH365"/>
      <c r="AJ365"/>
      <c r="AK365"/>
      <c r="AL365"/>
      <c r="AM365"/>
      <c r="AO365"/>
      <c r="AP365"/>
      <c r="AQ365"/>
      <c r="AR365"/>
      <c r="AS365"/>
      <c r="AT365"/>
      <c r="AU365"/>
      <c r="AV365"/>
      <c r="AW365"/>
      <c r="AX365"/>
      <c r="AY365"/>
      <c r="AZ365"/>
      <c r="BA365"/>
      <c r="BB365"/>
      <c r="BC365"/>
      <c r="BD365"/>
      <c r="BE365"/>
      <c r="BF365"/>
      <c r="BH365"/>
      <c r="BI365"/>
      <c r="BJ365"/>
      <c r="BK365"/>
      <c r="BL365"/>
      <c r="BM365"/>
      <c r="BN365"/>
      <c r="BP365"/>
      <c r="BQ365"/>
      <c r="BR365"/>
      <c r="BS365"/>
      <c r="BT365"/>
      <c r="BU365"/>
      <c r="BV365"/>
      <c r="BW365"/>
      <c r="BZ365"/>
      <c r="CA365"/>
      <c r="CB365"/>
      <c r="CC365"/>
      <c r="CD365"/>
      <c r="CF365"/>
      <c r="CG365"/>
      <c r="CH365"/>
      <c r="CI365"/>
      <c r="CJ365"/>
      <c r="CK365"/>
      <c r="CL365"/>
      <c r="CM365"/>
      <c r="CN365"/>
      <c r="CO365"/>
      <c r="CP365"/>
      <c r="CQ365"/>
      <c r="CR365"/>
      <c r="CS365"/>
      <c r="CT365"/>
      <c r="CU365"/>
      <c r="CV365"/>
      <c r="CW365"/>
      <c r="CX365"/>
      <c r="CY365"/>
      <c r="CZ365"/>
      <c r="DA365"/>
      <c r="DB365"/>
      <c r="DC365"/>
      <c r="DD365"/>
      <c r="DE365"/>
      <c r="DG365"/>
      <c r="DH365"/>
      <c r="DI365"/>
      <c r="DJ365"/>
      <c r="DK365"/>
      <c r="DL365"/>
      <c r="DM365"/>
      <c r="DN365"/>
      <c r="DO365"/>
      <c r="DP365"/>
      <c r="DQ365"/>
      <c r="DR365"/>
      <c r="DS365"/>
      <c r="DT365"/>
      <c r="DU365"/>
      <c r="DV365"/>
      <c r="DW365"/>
      <c r="DZ365"/>
      <c r="EA365"/>
      <c r="EB365"/>
      <c r="EC365"/>
      <c r="ED365"/>
      <c r="EE365"/>
      <c r="EF365"/>
      <c r="EG365"/>
      <c r="EJ365"/>
      <c r="EK365"/>
      <c r="EL365"/>
      <c r="EM365"/>
      <c r="EN365"/>
      <c r="EO365"/>
      <c r="EP365"/>
      <c r="EQ365"/>
      <c r="ER365"/>
      <c r="ES365"/>
      <c r="ET365"/>
      <c r="EU365"/>
      <c r="EV365"/>
      <c r="EW365"/>
      <c r="EX365"/>
      <c r="EY365"/>
      <c r="EZ365"/>
      <c r="FA365"/>
      <c r="FB365"/>
      <c r="FC365"/>
      <c r="FD365"/>
      <c r="FE365"/>
      <c r="FF365"/>
      <c r="FG365"/>
      <c r="FH365"/>
      <c r="FK365"/>
      <c r="FL365"/>
      <c r="FM365"/>
      <c r="FN365"/>
      <c r="FO365"/>
      <c r="FP365"/>
      <c r="FQ365"/>
      <c r="FR365"/>
      <c r="FS365"/>
      <c r="FT365"/>
      <c r="FU365"/>
      <c r="FV365"/>
      <c r="FW365"/>
      <c r="FX365"/>
      <c r="FY365"/>
      <c r="FZ365"/>
      <c r="GA365"/>
      <c r="GB365"/>
      <c r="GC365"/>
      <c r="GD365"/>
    </row>
    <row r="366" spans="1:186" x14ac:dyDescent="0.15">
      <c r="AG366"/>
      <c r="AH366"/>
      <c r="AJ366"/>
      <c r="AK366"/>
      <c r="AL366"/>
      <c r="AM366"/>
      <c r="AO366"/>
      <c r="AP366"/>
      <c r="AQ366"/>
      <c r="AR366"/>
      <c r="AS366"/>
      <c r="AT366"/>
      <c r="AU366"/>
      <c r="AV366"/>
      <c r="AW366"/>
      <c r="AX366"/>
      <c r="AY366"/>
      <c r="AZ366"/>
      <c r="BA366"/>
      <c r="BB366"/>
      <c r="BC366"/>
      <c r="BD366"/>
      <c r="BE366"/>
      <c r="BF366"/>
      <c r="BH366"/>
      <c r="BI366"/>
      <c r="BJ366"/>
      <c r="BK366"/>
      <c r="BL366"/>
      <c r="BM366"/>
      <c r="BN366"/>
      <c r="BP366"/>
      <c r="BQ366"/>
      <c r="BR366"/>
      <c r="BS366"/>
      <c r="BT366"/>
      <c r="BU366"/>
      <c r="BV366"/>
      <c r="BW366"/>
      <c r="BZ366"/>
      <c r="CA366"/>
      <c r="CB366"/>
      <c r="CC366"/>
      <c r="CD366"/>
      <c r="CF366"/>
      <c r="CG366"/>
      <c r="CH366"/>
      <c r="CI366"/>
      <c r="CJ366"/>
      <c r="CK366"/>
      <c r="CL366"/>
      <c r="CM366"/>
      <c r="CN366"/>
      <c r="CO366"/>
      <c r="CP366"/>
      <c r="CQ366"/>
      <c r="CR366"/>
      <c r="CS366"/>
      <c r="CT366"/>
      <c r="CU366"/>
      <c r="CV366"/>
      <c r="CW366"/>
      <c r="CX366"/>
      <c r="CY366"/>
      <c r="CZ366"/>
      <c r="DA366"/>
      <c r="DB366"/>
      <c r="DC366"/>
      <c r="DD366"/>
      <c r="DE366"/>
      <c r="DG366"/>
      <c r="DH366"/>
      <c r="DI366"/>
      <c r="DJ366"/>
      <c r="DK366"/>
      <c r="DL366"/>
      <c r="DM366"/>
      <c r="DN366"/>
      <c r="DO366"/>
      <c r="DP366"/>
      <c r="DQ366"/>
      <c r="DR366"/>
      <c r="DS366"/>
      <c r="DT366"/>
      <c r="DU366"/>
      <c r="DV366"/>
      <c r="DW366"/>
      <c r="DZ366"/>
      <c r="EA366"/>
      <c r="EB366"/>
      <c r="EC366"/>
      <c r="ED366"/>
      <c r="EE366"/>
      <c r="EF366"/>
      <c r="EG366"/>
      <c r="EJ366"/>
      <c r="EK366"/>
      <c r="EL366"/>
      <c r="EM366"/>
      <c r="EN366"/>
      <c r="EO366"/>
      <c r="EP366"/>
      <c r="EQ366"/>
      <c r="ER366"/>
      <c r="ES366"/>
      <c r="ET366"/>
      <c r="EU366"/>
      <c r="EV366"/>
      <c r="EW366"/>
      <c r="EX366"/>
      <c r="EY366"/>
      <c r="EZ366"/>
      <c r="FA366"/>
      <c r="FB366"/>
      <c r="FC366"/>
      <c r="FD366"/>
      <c r="FE366"/>
      <c r="FF366"/>
      <c r="FG366"/>
      <c r="FH366"/>
      <c r="FK366"/>
      <c r="FL366"/>
      <c r="FM366"/>
      <c r="FN366"/>
      <c r="FO366"/>
      <c r="FP366"/>
      <c r="FQ366"/>
      <c r="FR366"/>
      <c r="FS366"/>
      <c r="FT366"/>
      <c r="FU366"/>
      <c r="FV366"/>
      <c r="FW366"/>
      <c r="FX366"/>
      <c r="FY366"/>
      <c r="FZ366"/>
      <c r="GA366"/>
      <c r="GB366"/>
      <c r="GC366"/>
      <c r="GD366"/>
    </row>
    <row r="367" spans="1:186" x14ac:dyDescent="0.15">
      <c r="A367" s="30" t="s">
        <v>148</v>
      </c>
      <c r="AG367"/>
      <c r="AH367"/>
      <c r="AJ367"/>
      <c r="AK367"/>
      <c r="AL367"/>
      <c r="AM367"/>
      <c r="AO367"/>
      <c r="AP367"/>
      <c r="AQ367"/>
      <c r="AR367"/>
      <c r="AS367"/>
      <c r="AT367"/>
      <c r="AU367"/>
      <c r="AV367"/>
      <c r="AW367"/>
      <c r="AX367"/>
      <c r="AY367"/>
      <c r="AZ367"/>
      <c r="BA367"/>
      <c r="BB367"/>
      <c r="BC367"/>
      <c r="BD367"/>
      <c r="BE367"/>
      <c r="BF367"/>
      <c r="BH367"/>
      <c r="BI367"/>
      <c r="BJ367"/>
      <c r="BK367"/>
      <c r="BL367"/>
      <c r="BM367"/>
      <c r="BN367"/>
      <c r="BP367"/>
      <c r="BQ367"/>
      <c r="BR367"/>
      <c r="BS367"/>
      <c r="BT367"/>
      <c r="BU367"/>
      <c r="BV367"/>
      <c r="BW367"/>
      <c r="BZ367"/>
      <c r="CA367"/>
      <c r="CB367"/>
      <c r="CC367"/>
      <c r="CD367"/>
      <c r="CF367"/>
      <c r="CG367"/>
      <c r="CH367"/>
      <c r="CI367"/>
      <c r="CJ367"/>
      <c r="CK367"/>
      <c r="CL367"/>
      <c r="CM367"/>
      <c r="CN367"/>
      <c r="CO367"/>
      <c r="CP367"/>
      <c r="CQ367"/>
      <c r="CR367"/>
      <c r="CS367"/>
      <c r="CT367"/>
      <c r="CU367"/>
      <c r="CV367"/>
      <c r="CW367"/>
      <c r="CX367"/>
      <c r="CY367"/>
      <c r="CZ367"/>
      <c r="DA367"/>
      <c r="DB367"/>
      <c r="DC367"/>
      <c r="DD367"/>
      <c r="DE367"/>
      <c r="DG367"/>
      <c r="DH367"/>
      <c r="DI367"/>
      <c r="DJ367"/>
      <c r="DK367"/>
      <c r="DL367"/>
      <c r="DM367"/>
      <c r="DN367"/>
      <c r="DO367"/>
      <c r="DP367"/>
      <c r="DQ367"/>
      <c r="DR367"/>
      <c r="DS367"/>
      <c r="DT367"/>
      <c r="DU367"/>
      <c r="DV367"/>
      <c r="DW367"/>
      <c r="DZ367"/>
      <c r="EA367"/>
      <c r="EB367"/>
      <c r="EC367"/>
      <c r="ED367"/>
      <c r="EE367"/>
      <c r="EF367"/>
      <c r="EG367"/>
      <c r="EJ367"/>
      <c r="EK367"/>
      <c r="EL367"/>
      <c r="EM367"/>
      <c r="EN367"/>
      <c r="EO367"/>
      <c r="EP367"/>
      <c r="EQ367"/>
      <c r="ER367"/>
      <c r="ES367"/>
      <c r="ET367"/>
      <c r="EU367"/>
      <c r="EV367"/>
      <c r="EW367"/>
      <c r="EX367"/>
      <c r="EY367"/>
      <c r="EZ367"/>
      <c r="FA367"/>
      <c r="FB367"/>
      <c r="FC367"/>
      <c r="FD367"/>
      <c r="FE367"/>
      <c r="FF367"/>
      <c r="FG367"/>
      <c r="FH367"/>
      <c r="FK367"/>
      <c r="FL367"/>
      <c r="FM367"/>
      <c r="FN367"/>
      <c r="FO367"/>
      <c r="FP367"/>
      <c r="FQ367"/>
      <c r="FR367"/>
      <c r="FS367"/>
      <c r="FT367"/>
      <c r="FU367"/>
      <c r="FV367"/>
      <c r="FW367"/>
      <c r="FX367"/>
      <c r="FY367"/>
      <c r="FZ367"/>
      <c r="GA367"/>
      <c r="GB367"/>
      <c r="GC367"/>
      <c r="GD367"/>
    </row>
    <row r="368" spans="1:186" x14ac:dyDescent="0.15">
      <c r="A368" s="30" t="s">
        <v>147</v>
      </c>
      <c r="AG368"/>
      <c r="AH368"/>
      <c r="AJ368"/>
      <c r="AK368"/>
      <c r="AL368"/>
      <c r="AM368"/>
      <c r="AO368"/>
      <c r="AP368"/>
      <c r="AQ368"/>
      <c r="AR368"/>
      <c r="AS368"/>
      <c r="AT368"/>
      <c r="AU368"/>
      <c r="AV368"/>
      <c r="AW368"/>
      <c r="AX368"/>
      <c r="AY368"/>
      <c r="AZ368"/>
      <c r="BA368"/>
      <c r="BB368"/>
      <c r="BC368"/>
      <c r="BD368"/>
      <c r="BE368"/>
      <c r="BF368"/>
      <c r="BH368"/>
      <c r="BI368"/>
      <c r="BJ368"/>
      <c r="BK368"/>
      <c r="BL368"/>
      <c r="BM368"/>
      <c r="BN368"/>
      <c r="BP368"/>
      <c r="BQ368"/>
      <c r="BR368"/>
      <c r="BS368"/>
      <c r="BT368"/>
      <c r="BU368"/>
      <c r="BV368"/>
      <c r="BW368"/>
      <c r="BZ368"/>
      <c r="CA368"/>
      <c r="CB368"/>
      <c r="CC368"/>
      <c r="CD368"/>
      <c r="CF368"/>
      <c r="CG368"/>
      <c r="CH368"/>
      <c r="CI368"/>
      <c r="CJ368"/>
      <c r="CK368"/>
      <c r="CL368"/>
      <c r="CM368"/>
      <c r="CN368"/>
      <c r="CO368"/>
      <c r="CP368"/>
      <c r="CQ368"/>
      <c r="CR368"/>
      <c r="CS368"/>
      <c r="CT368"/>
      <c r="CU368"/>
      <c r="CV368"/>
      <c r="CW368"/>
      <c r="CX368"/>
      <c r="CY368"/>
      <c r="CZ368"/>
      <c r="DA368"/>
      <c r="DB368"/>
      <c r="DC368"/>
      <c r="DD368"/>
      <c r="DE368"/>
      <c r="DG368"/>
      <c r="DH368"/>
      <c r="DI368"/>
      <c r="DJ368"/>
      <c r="DK368"/>
      <c r="DL368"/>
      <c r="DM368"/>
      <c r="DN368"/>
      <c r="DO368"/>
      <c r="DP368"/>
      <c r="DQ368"/>
      <c r="DR368"/>
      <c r="DS368"/>
      <c r="DT368"/>
      <c r="DU368"/>
      <c r="DV368"/>
      <c r="DW368"/>
      <c r="DZ368"/>
      <c r="EA368"/>
      <c r="EB368"/>
      <c r="EC368"/>
      <c r="ED368"/>
      <c r="EE368"/>
      <c r="EF368"/>
      <c r="EG368"/>
      <c r="EJ368"/>
      <c r="EK368"/>
      <c r="EL368"/>
      <c r="EM368"/>
      <c r="EN368"/>
      <c r="EO368"/>
      <c r="EP368"/>
      <c r="EQ368"/>
      <c r="ER368"/>
      <c r="ES368"/>
      <c r="ET368"/>
      <c r="EU368"/>
      <c r="EV368"/>
      <c r="EW368"/>
      <c r="EX368"/>
      <c r="EY368"/>
      <c r="EZ368"/>
      <c r="FA368"/>
      <c r="FB368"/>
      <c r="FC368"/>
      <c r="FD368"/>
      <c r="FE368"/>
      <c r="FF368"/>
      <c r="FG368"/>
      <c r="FH368"/>
      <c r="FK368"/>
      <c r="FL368"/>
      <c r="FM368"/>
      <c r="FN368"/>
      <c r="FO368"/>
      <c r="FP368"/>
      <c r="FQ368"/>
      <c r="FR368"/>
      <c r="FS368"/>
      <c r="FT368"/>
      <c r="FU368"/>
      <c r="FV368"/>
      <c r="FW368"/>
      <c r="FX368"/>
      <c r="FY368"/>
      <c r="FZ368"/>
      <c r="GA368"/>
      <c r="GB368"/>
      <c r="GC368"/>
      <c r="GD368"/>
    </row>
    <row r="369" spans="1:186" x14ac:dyDescent="0.15">
      <c r="A369" s="30" t="s">
        <v>146</v>
      </c>
      <c r="AG369"/>
      <c r="AH369"/>
      <c r="AJ369"/>
      <c r="AK369"/>
      <c r="AL369"/>
      <c r="AM369"/>
      <c r="AO369"/>
      <c r="AP369"/>
      <c r="AQ369"/>
      <c r="AR369"/>
      <c r="AS369"/>
      <c r="AT369"/>
      <c r="AU369"/>
      <c r="AV369"/>
      <c r="AW369"/>
      <c r="AX369"/>
      <c r="AY369"/>
      <c r="AZ369"/>
      <c r="BA369"/>
      <c r="BB369"/>
      <c r="BC369"/>
      <c r="BD369"/>
      <c r="BE369"/>
      <c r="BF369"/>
      <c r="BH369"/>
      <c r="BI369"/>
      <c r="BJ369"/>
      <c r="BK369"/>
      <c r="BL369"/>
      <c r="BM369"/>
      <c r="BN369"/>
      <c r="BP369"/>
      <c r="BQ369"/>
      <c r="BR369"/>
      <c r="BS369"/>
      <c r="BT369"/>
      <c r="BU369"/>
      <c r="BV369"/>
      <c r="BW369"/>
      <c r="BZ369"/>
      <c r="CA369"/>
      <c r="CB369"/>
      <c r="CC369"/>
      <c r="CD369"/>
      <c r="CF369"/>
      <c r="CG369"/>
      <c r="CH369"/>
      <c r="CI369"/>
      <c r="CJ369"/>
      <c r="CK369"/>
      <c r="CL369"/>
      <c r="CM369"/>
      <c r="CN369"/>
      <c r="CO369"/>
      <c r="CP369"/>
      <c r="CQ369"/>
      <c r="CR369"/>
      <c r="CS369"/>
      <c r="CT369"/>
      <c r="CU369"/>
      <c r="CV369"/>
      <c r="CW369"/>
      <c r="CX369"/>
      <c r="CY369"/>
      <c r="CZ369"/>
      <c r="DA369"/>
      <c r="DB369"/>
      <c r="DC369"/>
      <c r="DD369"/>
      <c r="DE369"/>
      <c r="DG369"/>
      <c r="DH369"/>
      <c r="DI369"/>
      <c r="DJ369"/>
      <c r="DK369"/>
      <c r="DL369"/>
      <c r="DM369"/>
      <c r="DN369"/>
      <c r="DO369"/>
      <c r="DP369"/>
      <c r="DQ369"/>
      <c r="DR369"/>
      <c r="DS369"/>
      <c r="DT369"/>
      <c r="DU369"/>
      <c r="DV369"/>
      <c r="DW369"/>
      <c r="DZ369"/>
      <c r="EA369"/>
      <c r="EB369"/>
      <c r="EC369"/>
      <c r="ED369"/>
      <c r="EE369"/>
      <c r="EF369"/>
      <c r="EG369"/>
      <c r="EJ369"/>
      <c r="EK369"/>
      <c r="EL369"/>
      <c r="EM369"/>
      <c r="EN369"/>
      <c r="EO369"/>
      <c r="EP369"/>
      <c r="EQ369"/>
      <c r="ER369"/>
      <c r="ES369"/>
      <c r="ET369"/>
      <c r="EU369"/>
      <c r="EV369"/>
      <c r="EW369"/>
      <c r="EX369"/>
      <c r="EY369"/>
      <c r="EZ369"/>
      <c r="FA369"/>
      <c r="FB369"/>
      <c r="FC369"/>
      <c r="FD369"/>
      <c r="FE369"/>
      <c r="FF369"/>
      <c r="FG369"/>
      <c r="FH369"/>
      <c r="FK369"/>
      <c r="FL369"/>
      <c r="FM369"/>
      <c r="FN369"/>
      <c r="FO369"/>
      <c r="FP369"/>
      <c r="FQ369"/>
      <c r="FR369"/>
      <c r="FS369"/>
      <c r="FT369"/>
      <c r="FU369"/>
      <c r="FV369"/>
      <c r="FW369"/>
      <c r="FX369"/>
      <c r="FY369"/>
      <c r="FZ369"/>
      <c r="GA369"/>
      <c r="GB369"/>
      <c r="GC369"/>
      <c r="GD369"/>
    </row>
    <row r="370" spans="1:186" x14ac:dyDescent="0.15">
      <c r="A370" s="30" t="s">
        <v>145</v>
      </c>
      <c r="AG370"/>
      <c r="AH370"/>
      <c r="AJ370"/>
      <c r="AK370"/>
      <c r="AL370"/>
      <c r="AM370"/>
      <c r="AO370"/>
      <c r="AP370"/>
      <c r="AQ370"/>
      <c r="AR370"/>
      <c r="AS370"/>
      <c r="AT370"/>
      <c r="AU370"/>
      <c r="AV370"/>
      <c r="AW370"/>
      <c r="AX370"/>
      <c r="AY370"/>
      <c r="AZ370"/>
      <c r="BA370"/>
      <c r="BB370"/>
      <c r="BC370"/>
      <c r="BD370"/>
      <c r="BE370"/>
      <c r="BF370"/>
      <c r="BH370"/>
      <c r="BI370"/>
      <c r="BJ370"/>
      <c r="BK370"/>
      <c r="BL370"/>
      <c r="BM370"/>
      <c r="BN370"/>
      <c r="BP370"/>
      <c r="BQ370"/>
      <c r="BR370"/>
      <c r="BS370"/>
      <c r="BT370"/>
      <c r="BU370"/>
      <c r="BV370"/>
      <c r="BW370"/>
      <c r="BZ370"/>
      <c r="CA370"/>
      <c r="CB370"/>
      <c r="CC370"/>
      <c r="CD370"/>
      <c r="CF370"/>
      <c r="CG370"/>
      <c r="CH370"/>
      <c r="CI370"/>
      <c r="CJ370"/>
      <c r="CK370"/>
      <c r="CL370"/>
      <c r="CM370"/>
      <c r="CN370"/>
      <c r="CO370"/>
      <c r="CP370"/>
      <c r="CQ370"/>
      <c r="CR370"/>
      <c r="CS370"/>
      <c r="CT370"/>
      <c r="CU370"/>
      <c r="CV370"/>
      <c r="CW370"/>
      <c r="CX370"/>
      <c r="CY370"/>
      <c r="CZ370"/>
      <c r="DA370"/>
      <c r="DB370"/>
      <c r="DC370"/>
      <c r="DD370"/>
      <c r="DE370"/>
      <c r="DG370"/>
      <c r="DH370"/>
      <c r="DI370"/>
      <c r="DJ370"/>
      <c r="DK370"/>
      <c r="DL370"/>
      <c r="DM370"/>
      <c r="DN370"/>
      <c r="DO370"/>
      <c r="DP370"/>
      <c r="DQ370"/>
      <c r="DR370"/>
      <c r="DS370"/>
      <c r="DT370"/>
      <c r="DU370"/>
      <c r="DV370"/>
      <c r="DW370"/>
      <c r="DZ370"/>
      <c r="EA370"/>
      <c r="EB370"/>
      <c r="EC370"/>
      <c r="ED370"/>
      <c r="EE370"/>
      <c r="EF370"/>
      <c r="EG370"/>
      <c r="EJ370"/>
      <c r="EK370"/>
      <c r="EL370"/>
      <c r="EM370"/>
      <c r="EN370"/>
      <c r="EO370"/>
      <c r="EP370"/>
      <c r="EQ370"/>
      <c r="ER370"/>
      <c r="ES370"/>
      <c r="ET370"/>
      <c r="EU370"/>
      <c r="EV370"/>
      <c r="EW370"/>
      <c r="EX370"/>
      <c r="EY370"/>
      <c r="EZ370"/>
      <c r="FA370"/>
      <c r="FB370"/>
      <c r="FC370"/>
      <c r="FD370"/>
      <c r="FE370"/>
      <c r="FF370"/>
      <c r="FG370"/>
      <c r="FH370"/>
      <c r="FK370"/>
      <c r="FL370"/>
      <c r="FM370"/>
      <c r="FN370"/>
      <c r="FO370"/>
      <c r="FP370"/>
      <c r="FQ370"/>
      <c r="FR370"/>
      <c r="FS370"/>
      <c r="FT370"/>
      <c r="FU370"/>
      <c r="FV370"/>
      <c r="FW370"/>
      <c r="FX370"/>
      <c r="FY370"/>
      <c r="FZ370"/>
      <c r="GA370"/>
      <c r="GB370"/>
      <c r="GC370"/>
      <c r="GD370"/>
    </row>
    <row r="371" spans="1:186" x14ac:dyDescent="0.15">
      <c r="A371" s="30" t="s">
        <v>144</v>
      </c>
      <c r="AG371"/>
      <c r="AH371"/>
      <c r="AJ371"/>
      <c r="AK371"/>
      <c r="AL371"/>
      <c r="AM371"/>
      <c r="AO371"/>
      <c r="AP371"/>
      <c r="AQ371"/>
      <c r="AR371"/>
      <c r="AS371"/>
      <c r="AT371"/>
      <c r="AU371"/>
      <c r="AV371"/>
      <c r="AW371"/>
      <c r="AX371"/>
      <c r="AY371"/>
      <c r="AZ371"/>
      <c r="BA371"/>
      <c r="BB371"/>
      <c r="BC371"/>
      <c r="BD371"/>
      <c r="BE371"/>
      <c r="BF371"/>
      <c r="BH371"/>
      <c r="BI371"/>
      <c r="BJ371"/>
      <c r="BK371"/>
      <c r="BL371"/>
      <c r="BM371"/>
      <c r="BN371"/>
      <c r="BP371"/>
      <c r="BQ371"/>
      <c r="BR371"/>
      <c r="BS371"/>
      <c r="BT371"/>
      <c r="BU371"/>
      <c r="BV371"/>
      <c r="BW371"/>
      <c r="BZ371"/>
      <c r="CA371"/>
      <c r="CB371"/>
      <c r="CC371"/>
      <c r="CD371"/>
      <c r="CF371"/>
      <c r="CG371"/>
      <c r="CH371"/>
      <c r="CI371"/>
      <c r="CJ371"/>
      <c r="CK371"/>
      <c r="CL371"/>
      <c r="CM371"/>
      <c r="CN371"/>
      <c r="CO371"/>
      <c r="CP371"/>
      <c r="CQ371"/>
      <c r="CR371"/>
      <c r="CS371"/>
      <c r="CT371"/>
      <c r="CU371"/>
      <c r="CV371"/>
      <c r="CW371"/>
      <c r="CX371"/>
      <c r="CY371"/>
      <c r="CZ371"/>
      <c r="DA371"/>
      <c r="DB371"/>
      <c r="DC371"/>
      <c r="DD371"/>
      <c r="DE371"/>
      <c r="DG371"/>
      <c r="DH371"/>
      <c r="DI371"/>
      <c r="DJ371"/>
      <c r="DK371"/>
      <c r="DL371"/>
      <c r="DM371"/>
      <c r="DN371"/>
      <c r="DO371"/>
      <c r="DP371"/>
      <c r="DQ371"/>
      <c r="DR371"/>
      <c r="DS371"/>
      <c r="DT371"/>
      <c r="DU371"/>
      <c r="DV371"/>
      <c r="DW371"/>
      <c r="DZ371"/>
      <c r="EA371"/>
      <c r="EB371"/>
      <c r="EC371"/>
      <c r="ED371"/>
      <c r="EE371"/>
      <c r="EF371"/>
      <c r="EG371"/>
      <c r="EJ371"/>
      <c r="EK371"/>
      <c r="EL371"/>
      <c r="EM371"/>
      <c r="EN371"/>
      <c r="EO371"/>
      <c r="EP371"/>
      <c r="EQ371"/>
      <c r="ER371"/>
      <c r="ES371"/>
      <c r="ET371"/>
      <c r="EU371"/>
      <c r="EV371"/>
      <c r="EW371"/>
      <c r="EX371"/>
      <c r="EY371"/>
      <c r="EZ371"/>
      <c r="FA371"/>
      <c r="FB371"/>
      <c r="FC371"/>
      <c r="FD371"/>
      <c r="FE371"/>
      <c r="FF371"/>
      <c r="FG371"/>
      <c r="FH371"/>
      <c r="FK371"/>
      <c r="FL371"/>
      <c r="FM371"/>
      <c r="FN371"/>
      <c r="FO371"/>
      <c r="FP371"/>
      <c r="FQ371"/>
      <c r="FR371"/>
      <c r="FS371"/>
      <c r="FT371"/>
      <c r="FU371"/>
      <c r="FV371"/>
      <c r="FW371"/>
      <c r="FX371"/>
      <c r="FY371"/>
      <c r="FZ371"/>
      <c r="GA371"/>
      <c r="GB371"/>
      <c r="GC371"/>
      <c r="GD371"/>
    </row>
    <row r="372" spans="1:186" x14ac:dyDescent="0.15">
      <c r="A372" s="30" t="s">
        <v>143</v>
      </c>
      <c r="AG372"/>
      <c r="AH372"/>
      <c r="AJ372"/>
      <c r="AK372"/>
      <c r="AL372"/>
      <c r="AM372"/>
      <c r="AO372"/>
      <c r="AP372"/>
      <c r="AQ372"/>
      <c r="AR372"/>
      <c r="AS372"/>
      <c r="AT372"/>
      <c r="AU372"/>
      <c r="AV372"/>
      <c r="AW372"/>
      <c r="AX372"/>
      <c r="AY372"/>
      <c r="AZ372"/>
      <c r="BA372"/>
      <c r="BB372"/>
      <c r="BC372"/>
      <c r="BD372"/>
      <c r="BE372"/>
      <c r="BF372"/>
      <c r="BH372"/>
      <c r="BI372"/>
      <c r="BJ372"/>
      <c r="BK372"/>
      <c r="BL372"/>
      <c r="BM372"/>
      <c r="BN372"/>
      <c r="BP372"/>
      <c r="BQ372"/>
      <c r="BR372"/>
      <c r="BS372"/>
      <c r="BT372"/>
      <c r="BU372"/>
      <c r="BV372"/>
      <c r="BW372"/>
      <c r="BZ372"/>
      <c r="CA372"/>
      <c r="CB372"/>
      <c r="CC372"/>
      <c r="CD372"/>
      <c r="CF372"/>
      <c r="CG372"/>
      <c r="CH372"/>
      <c r="CI372"/>
      <c r="CJ372"/>
      <c r="CK372"/>
      <c r="CL372"/>
      <c r="CM372"/>
      <c r="CN372"/>
      <c r="CO372"/>
      <c r="CP372"/>
      <c r="CQ372"/>
      <c r="CR372"/>
      <c r="CS372"/>
      <c r="CT372"/>
      <c r="CU372"/>
      <c r="CV372"/>
      <c r="CW372"/>
      <c r="CX372"/>
      <c r="CY372"/>
      <c r="CZ372"/>
      <c r="DA372"/>
      <c r="DB372"/>
      <c r="DC372"/>
      <c r="DD372"/>
      <c r="DE372"/>
      <c r="DG372"/>
      <c r="DH372"/>
      <c r="DI372"/>
      <c r="DJ372"/>
      <c r="DK372"/>
      <c r="DL372"/>
      <c r="DM372"/>
      <c r="DN372"/>
      <c r="DO372"/>
      <c r="DP372"/>
      <c r="DQ372"/>
      <c r="DR372"/>
      <c r="DS372"/>
      <c r="DT372"/>
      <c r="DU372"/>
      <c r="DV372"/>
      <c r="DW372"/>
      <c r="DZ372"/>
      <c r="EA372"/>
      <c r="EB372"/>
      <c r="EC372"/>
      <c r="ED372"/>
      <c r="EE372"/>
      <c r="EF372"/>
      <c r="EG372"/>
      <c r="EJ372"/>
      <c r="EK372"/>
      <c r="EL372"/>
      <c r="EM372"/>
      <c r="EN372"/>
      <c r="EO372"/>
      <c r="EP372"/>
      <c r="EQ372"/>
      <c r="ER372"/>
      <c r="ES372"/>
      <c r="ET372"/>
      <c r="EU372"/>
      <c r="EV372"/>
      <c r="EW372"/>
      <c r="EX372"/>
      <c r="EY372"/>
      <c r="EZ372"/>
      <c r="FA372"/>
      <c r="FB372"/>
      <c r="FC372"/>
      <c r="FD372"/>
      <c r="FE372"/>
      <c r="FF372"/>
      <c r="FG372"/>
      <c r="FH372"/>
      <c r="FK372"/>
      <c r="FL372"/>
      <c r="FM372"/>
      <c r="FN372"/>
      <c r="FO372"/>
      <c r="FP372"/>
      <c r="FQ372"/>
      <c r="FR372"/>
      <c r="FS372"/>
      <c r="FT372"/>
      <c r="FU372"/>
      <c r="FV372"/>
      <c r="FW372"/>
      <c r="FX372"/>
      <c r="FY372"/>
      <c r="FZ372"/>
      <c r="GA372"/>
      <c r="GB372"/>
      <c r="GC372"/>
      <c r="GD372"/>
    </row>
    <row r="373" spans="1:186" x14ac:dyDescent="0.15">
      <c r="A373" s="30" t="s">
        <v>142</v>
      </c>
      <c r="AG373"/>
      <c r="AH373"/>
      <c r="AJ373"/>
      <c r="AK373"/>
      <c r="AL373"/>
      <c r="AM373"/>
      <c r="AO373"/>
      <c r="AP373"/>
      <c r="AQ373"/>
      <c r="AR373"/>
      <c r="AS373"/>
      <c r="AT373"/>
      <c r="AU373"/>
      <c r="AV373"/>
      <c r="AW373"/>
      <c r="AX373"/>
      <c r="AY373"/>
      <c r="AZ373"/>
      <c r="BA373"/>
      <c r="BB373"/>
      <c r="BC373"/>
      <c r="BD373"/>
      <c r="BE373"/>
      <c r="BF373"/>
      <c r="BH373"/>
      <c r="BI373"/>
      <c r="BJ373"/>
      <c r="BK373"/>
      <c r="BL373"/>
      <c r="BM373"/>
      <c r="BN373"/>
      <c r="BP373"/>
      <c r="BQ373"/>
      <c r="BR373"/>
      <c r="BS373"/>
      <c r="BT373"/>
      <c r="BU373"/>
      <c r="BV373"/>
      <c r="BW373"/>
      <c r="BZ373"/>
      <c r="CA373"/>
      <c r="CB373"/>
      <c r="CC373"/>
      <c r="CD373"/>
      <c r="CF373"/>
      <c r="CG373"/>
      <c r="CH373"/>
      <c r="CI373"/>
      <c r="CJ373"/>
      <c r="CK373"/>
      <c r="CL373"/>
      <c r="CM373"/>
      <c r="CN373"/>
      <c r="CO373"/>
      <c r="CP373"/>
      <c r="CQ373"/>
      <c r="CR373"/>
      <c r="CS373"/>
      <c r="CT373"/>
      <c r="CU373"/>
      <c r="CV373"/>
      <c r="CW373"/>
      <c r="CX373"/>
      <c r="CY373"/>
      <c r="CZ373"/>
      <c r="DA373"/>
      <c r="DB373"/>
      <c r="DC373"/>
      <c r="DD373"/>
      <c r="DE373"/>
      <c r="DG373"/>
      <c r="DH373"/>
      <c r="DI373"/>
      <c r="DJ373"/>
      <c r="DK373"/>
      <c r="DL373"/>
      <c r="DM373"/>
      <c r="DN373"/>
      <c r="DO373"/>
      <c r="DP373"/>
      <c r="DQ373"/>
      <c r="DR373"/>
      <c r="DS373"/>
      <c r="DT373"/>
      <c r="DU373"/>
      <c r="DV373"/>
      <c r="DW373"/>
      <c r="DZ373"/>
      <c r="EA373"/>
      <c r="EB373"/>
      <c r="EC373"/>
      <c r="ED373"/>
      <c r="EE373"/>
      <c r="EF373"/>
      <c r="EG373"/>
      <c r="EJ373"/>
      <c r="EK373"/>
      <c r="EL373"/>
      <c r="EM373"/>
      <c r="EN373"/>
      <c r="EO373"/>
      <c r="EP373"/>
      <c r="EQ373"/>
      <c r="ER373"/>
      <c r="ES373"/>
      <c r="ET373"/>
      <c r="EU373"/>
      <c r="EV373"/>
      <c r="EW373"/>
      <c r="EX373"/>
      <c r="EY373"/>
      <c r="EZ373"/>
      <c r="FA373"/>
      <c r="FB373"/>
      <c r="FC373"/>
      <c r="FD373"/>
      <c r="FE373"/>
      <c r="FF373"/>
      <c r="FG373"/>
      <c r="FH373"/>
      <c r="FK373"/>
      <c r="FL373"/>
      <c r="FM373"/>
      <c r="FN373"/>
      <c r="FO373"/>
      <c r="FP373"/>
      <c r="FQ373"/>
      <c r="FR373"/>
      <c r="FS373"/>
      <c r="FT373"/>
      <c r="FU373"/>
      <c r="FV373"/>
      <c r="FW373"/>
      <c r="FX373"/>
      <c r="FY373"/>
      <c r="FZ373"/>
      <c r="GA373"/>
      <c r="GB373"/>
      <c r="GC373"/>
      <c r="GD373"/>
    </row>
    <row r="374" spans="1:186" x14ac:dyDescent="0.15">
      <c r="A374" s="30" t="s">
        <v>141</v>
      </c>
      <c r="AG374"/>
      <c r="AH374"/>
      <c r="AJ374"/>
      <c r="AK374"/>
      <c r="AL374"/>
      <c r="AM374"/>
      <c r="AO374"/>
      <c r="AP374"/>
      <c r="AQ374"/>
      <c r="AR374"/>
      <c r="AS374"/>
      <c r="AT374"/>
      <c r="AU374"/>
      <c r="AV374"/>
      <c r="AW374"/>
      <c r="AX374"/>
      <c r="AY374"/>
      <c r="AZ374"/>
      <c r="BA374"/>
      <c r="BB374"/>
      <c r="BC374"/>
      <c r="BD374"/>
      <c r="BE374"/>
      <c r="BF374"/>
      <c r="BH374"/>
      <c r="BI374"/>
      <c r="BJ374"/>
      <c r="BK374"/>
      <c r="BL374"/>
      <c r="BM374"/>
      <c r="BN374"/>
      <c r="BP374"/>
      <c r="BQ374"/>
      <c r="BR374"/>
      <c r="BS374"/>
      <c r="BT374"/>
      <c r="BU374"/>
      <c r="BV374"/>
      <c r="BW374"/>
      <c r="BZ374"/>
      <c r="CA374"/>
      <c r="CB374"/>
      <c r="CC374"/>
      <c r="CD374"/>
      <c r="CF374"/>
      <c r="CG374"/>
      <c r="CH374"/>
      <c r="CI374"/>
      <c r="CJ374"/>
      <c r="CK374"/>
      <c r="CL374"/>
      <c r="CM374"/>
      <c r="CN374"/>
      <c r="CO374"/>
      <c r="CP374"/>
      <c r="CQ374"/>
      <c r="CR374"/>
      <c r="CS374"/>
      <c r="CT374"/>
      <c r="CU374"/>
      <c r="CV374"/>
      <c r="CW374"/>
      <c r="CX374"/>
      <c r="CY374"/>
      <c r="CZ374"/>
      <c r="DA374"/>
      <c r="DB374"/>
      <c r="DC374"/>
      <c r="DD374"/>
      <c r="DE374"/>
      <c r="DG374"/>
      <c r="DH374"/>
      <c r="DI374"/>
      <c r="DJ374"/>
      <c r="DK374"/>
      <c r="DL374"/>
      <c r="DM374"/>
      <c r="DN374"/>
      <c r="DO374"/>
      <c r="DP374"/>
      <c r="DQ374"/>
      <c r="DR374"/>
      <c r="DS374"/>
      <c r="DT374"/>
      <c r="DU374"/>
      <c r="DV374"/>
      <c r="DW374"/>
      <c r="DZ374"/>
      <c r="EA374"/>
      <c r="EB374"/>
      <c r="EC374"/>
      <c r="ED374"/>
      <c r="EE374"/>
      <c r="EF374"/>
      <c r="EG374"/>
      <c r="EJ374"/>
      <c r="EK374"/>
      <c r="EL374"/>
      <c r="EM374"/>
      <c r="EN374"/>
      <c r="EO374"/>
      <c r="EP374"/>
      <c r="EQ374"/>
      <c r="ER374"/>
      <c r="ES374"/>
      <c r="ET374"/>
      <c r="EU374"/>
      <c r="EV374"/>
      <c r="EW374"/>
      <c r="EX374"/>
      <c r="EY374"/>
      <c r="EZ374"/>
      <c r="FA374"/>
      <c r="FB374"/>
      <c r="FC374"/>
      <c r="FD374"/>
      <c r="FE374"/>
      <c r="FF374"/>
      <c r="FG374"/>
      <c r="FH374"/>
      <c r="FK374"/>
      <c r="FL374"/>
      <c r="FM374"/>
      <c r="FN374"/>
      <c r="FO374"/>
      <c r="FP374"/>
      <c r="FQ374"/>
      <c r="FR374"/>
      <c r="FS374"/>
      <c r="FT374"/>
      <c r="FU374"/>
      <c r="FV374"/>
      <c r="FW374"/>
      <c r="FX374"/>
      <c r="FY374"/>
      <c r="FZ374"/>
      <c r="GA374"/>
      <c r="GB374"/>
      <c r="GC374"/>
      <c r="GD374"/>
    </row>
    <row r="375" spans="1:186" x14ac:dyDescent="0.15">
      <c r="A375" s="30" t="s">
        <v>140</v>
      </c>
      <c r="AG375"/>
      <c r="AH375"/>
      <c r="AJ375"/>
      <c r="AK375"/>
      <c r="AL375"/>
      <c r="AM375"/>
      <c r="AO375"/>
      <c r="AP375"/>
      <c r="AQ375"/>
      <c r="AR375"/>
      <c r="AS375"/>
      <c r="AT375"/>
      <c r="AU375"/>
      <c r="AV375"/>
      <c r="AW375"/>
      <c r="AX375"/>
      <c r="AY375"/>
      <c r="AZ375"/>
      <c r="BA375"/>
      <c r="BB375"/>
      <c r="BC375"/>
      <c r="BD375"/>
      <c r="BE375"/>
      <c r="BF375"/>
      <c r="BH375"/>
      <c r="BI375"/>
      <c r="BJ375"/>
      <c r="BK375"/>
      <c r="BL375"/>
      <c r="BM375"/>
      <c r="BN375"/>
      <c r="BP375"/>
      <c r="BQ375"/>
      <c r="BR375"/>
      <c r="BS375"/>
      <c r="BT375"/>
      <c r="BU375"/>
      <c r="BV375"/>
      <c r="BW375"/>
      <c r="BZ375"/>
      <c r="CA375"/>
      <c r="CB375"/>
      <c r="CC375"/>
      <c r="CD375"/>
      <c r="CF375"/>
      <c r="CG375"/>
      <c r="CH375"/>
      <c r="CI375"/>
      <c r="CJ375"/>
      <c r="CK375"/>
      <c r="CL375"/>
      <c r="CM375"/>
      <c r="CN375"/>
      <c r="CO375"/>
      <c r="CP375"/>
      <c r="CQ375"/>
      <c r="CR375"/>
      <c r="CS375"/>
      <c r="CT375"/>
      <c r="CU375"/>
      <c r="CV375"/>
      <c r="CW375"/>
      <c r="CX375"/>
      <c r="CY375"/>
      <c r="CZ375"/>
      <c r="DA375"/>
      <c r="DB375"/>
      <c r="DC375"/>
      <c r="DD375"/>
      <c r="DE375"/>
      <c r="DG375"/>
      <c r="DH375"/>
      <c r="DI375"/>
      <c r="DJ375"/>
      <c r="DK375"/>
      <c r="DL375"/>
      <c r="DM375"/>
      <c r="DN375"/>
      <c r="DO375"/>
      <c r="DP375"/>
      <c r="DQ375"/>
      <c r="DR375"/>
      <c r="DS375"/>
      <c r="DT375"/>
      <c r="DU375"/>
      <c r="DV375"/>
      <c r="DW375"/>
      <c r="DZ375"/>
      <c r="EA375"/>
      <c r="EB375"/>
      <c r="EC375"/>
      <c r="ED375"/>
      <c r="EE375"/>
      <c r="EF375"/>
      <c r="EG375"/>
      <c r="EJ375"/>
      <c r="EK375"/>
      <c r="EL375"/>
      <c r="EM375"/>
      <c r="EN375"/>
      <c r="EO375"/>
      <c r="EP375"/>
      <c r="EQ375"/>
      <c r="ER375"/>
      <c r="ES375"/>
      <c r="ET375"/>
      <c r="EU375"/>
      <c r="EV375"/>
      <c r="EW375"/>
      <c r="EX375"/>
      <c r="EY375"/>
      <c r="EZ375"/>
      <c r="FA375"/>
      <c r="FB375"/>
      <c r="FC375"/>
      <c r="FD375"/>
      <c r="FE375"/>
      <c r="FF375"/>
      <c r="FG375"/>
      <c r="FH375"/>
      <c r="FK375"/>
      <c r="FL375"/>
      <c r="FM375"/>
      <c r="FN375"/>
      <c r="FO375"/>
      <c r="FP375"/>
      <c r="FQ375"/>
      <c r="FR375"/>
      <c r="FS375"/>
      <c r="FT375"/>
      <c r="FU375"/>
      <c r="FV375"/>
      <c r="FW375"/>
      <c r="FX375"/>
      <c r="FY375"/>
      <c r="FZ375"/>
      <c r="GA375"/>
      <c r="GB375"/>
      <c r="GC375"/>
      <c r="GD375"/>
    </row>
    <row r="376" spans="1:186" x14ac:dyDescent="0.15">
      <c r="A376" s="30" t="s">
        <v>139</v>
      </c>
      <c r="AG376"/>
      <c r="AH376"/>
      <c r="AJ376"/>
      <c r="AK376"/>
      <c r="AL376"/>
      <c r="AM376"/>
      <c r="AO376"/>
      <c r="AP376"/>
      <c r="AQ376"/>
      <c r="AR376"/>
      <c r="AS376"/>
      <c r="AT376"/>
      <c r="AU376"/>
      <c r="AV376"/>
      <c r="AW376"/>
      <c r="AX376"/>
      <c r="AY376"/>
      <c r="AZ376"/>
      <c r="BA376"/>
      <c r="BB376"/>
      <c r="BC376"/>
      <c r="BD376"/>
      <c r="BE376"/>
      <c r="BF376"/>
      <c r="BH376"/>
      <c r="BI376"/>
      <c r="BJ376"/>
      <c r="BK376"/>
      <c r="BL376"/>
      <c r="BM376"/>
      <c r="BN376"/>
      <c r="BP376"/>
      <c r="BQ376"/>
      <c r="BR376"/>
      <c r="BS376"/>
      <c r="BT376"/>
      <c r="BU376"/>
      <c r="BV376"/>
      <c r="BW376"/>
      <c r="BZ376"/>
      <c r="CA376"/>
      <c r="CB376"/>
      <c r="CC376"/>
      <c r="CD376"/>
      <c r="CF376"/>
      <c r="CG376"/>
      <c r="CH376"/>
      <c r="CI376"/>
      <c r="CJ376"/>
      <c r="CK376"/>
      <c r="CL376"/>
      <c r="CM376"/>
      <c r="CN376"/>
      <c r="CO376"/>
      <c r="CP376"/>
      <c r="CQ376"/>
      <c r="CR376"/>
      <c r="CS376"/>
      <c r="CT376"/>
      <c r="CU376"/>
      <c r="CV376"/>
      <c r="CW376"/>
      <c r="CX376"/>
      <c r="CY376"/>
      <c r="CZ376"/>
      <c r="DA376"/>
      <c r="DB376"/>
      <c r="DC376"/>
      <c r="DD376"/>
      <c r="DE376"/>
      <c r="DG376"/>
      <c r="DH376"/>
      <c r="DI376"/>
      <c r="DJ376"/>
      <c r="DK376"/>
      <c r="DL376"/>
      <c r="DM376"/>
      <c r="DN376"/>
      <c r="DO376"/>
      <c r="DP376"/>
      <c r="DQ376"/>
      <c r="DR376"/>
      <c r="DS376"/>
      <c r="DT376"/>
      <c r="DU376"/>
      <c r="DV376"/>
      <c r="DW376"/>
      <c r="DZ376"/>
      <c r="EA376"/>
      <c r="EB376"/>
      <c r="EC376"/>
      <c r="ED376"/>
      <c r="EE376"/>
      <c r="EF376"/>
      <c r="EG376"/>
      <c r="EJ376"/>
      <c r="EK376"/>
      <c r="EL376"/>
      <c r="EM376"/>
      <c r="EN376"/>
      <c r="EO376"/>
      <c r="EP376"/>
      <c r="EQ376"/>
      <c r="ER376"/>
      <c r="ES376"/>
      <c r="ET376"/>
      <c r="EU376"/>
      <c r="EV376"/>
      <c r="EW376"/>
      <c r="EX376"/>
      <c r="EY376"/>
      <c r="EZ376"/>
      <c r="FA376"/>
      <c r="FB376"/>
      <c r="FC376"/>
      <c r="FD376"/>
      <c r="FE376"/>
      <c r="FF376"/>
      <c r="FG376"/>
      <c r="FH376"/>
      <c r="FK376"/>
      <c r="FL376"/>
      <c r="FM376"/>
      <c r="FN376"/>
      <c r="FO376"/>
      <c r="FP376"/>
      <c r="FQ376"/>
      <c r="FR376"/>
      <c r="FS376"/>
      <c r="FT376"/>
      <c r="FU376"/>
      <c r="FV376"/>
      <c r="FW376"/>
      <c r="FX376"/>
      <c r="FY376"/>
      <c r="FZ376"/>
      <c r="GA376"/>
      <c r="GB376"/>
      <c r="GC376"/>
      <c r="GD376"/>
    </row>
    <row r="377" spans="1:186" x14ac:dyDescent="0.15">
      <c r="A377" s="30" t="s">
        <v>138</v>
      </c>
      <c r="AG377"/>
      <c r="AH377"/>
      <c r="AJ377"/>
      <c r="AK377"/>
      <c r="AL377"/>
      <c r="AM377"/>
      <c r="AO377"/>
      <c r="AP377"/>
      <c r="AQ377"/>
      <c r="AR377"/>
      <c r="AS377"/>
      <c r="AT377"/>
      <c r="AU377"/>
      <c r="AV377"/>
      <c r="AW377"/>
      <c r="AX377"/>
      <c r="AY377"/>
      <c r="AZ377"/>
      <c r="BA377"/>
      <c r="BB377"/>
      <c r="BC377"/>
      <c r="BD377"/>
      <c r="BE377"/>
      <c r="BF377"/>
      <c r="BH377"/>
      <c r="BI377"/>
      <c r="BJ377"/>
      <c r="BK377"/>
      <c r="BL377"/>
      <c r="BM377"/>
      <c r="BN377"/>
      <c r="BP377"/>
      <c r="BQ377"/>
      <c r="BR377"/>
      <c r="BS377"/>
      <c r="BT377"/>
      <c r="BU377"/>
      <c r="BV377"/>
      <c r="BW377"/>
      <c r="BZ377"/>
      <c r="CA377"/>
      <c r="CB377"/>
      <c r="CC377"/>
      <c r="CD377"/>
      <c r="CF377"/>
      <c r="CG377"/>
      <c r="CH377"/>
      <c r="CI377"/>
      <c r="CJ377"/>
      <c r="CK377"/>
      <c r="CL377"/>
      <c r="CM377"/>
      <c r="CN377"/>
      <c r="CO377"/>
      <c r="CP377"/>
      <c r="CQ377"/>
      <c r="CR377"/>
      <c r="CS377"/>
      <c r="CT377"/>
      <c r="CU377"/>
      <c r="CV377"/>
      <c r="CW377"/>
      <c r="CX377"/>
      <c r="CY377"/>
      <c r="CZ377"/>
      <c r="DA377"/>
      <c r="DB377"/>
      <c r="DC377"/>
      <c r="DD377"/>
      <c r="DE377"/>
      <c r="DG377"/>
      <c r="DH377"/>
      <c r="DI377"/>
      <c r="DJ377"/>
      <c r="DK377"/>
      <c r="DL377"/>
      <c r="DM377"/>
      <c r="DN377"/>
      <c r="DO377"/>
      <c r="DP377"/>
      <c r="DQ377"/>
      <c r="DR377"/>
      <c r="DS377"/>
      <c r="DT377"/>
      <c r="DU377"/>
      <c r="DV377"/>
      <c r="DW377"/>
      <c r="DZ377"/>
      <c r="EA377"/>
      <c r="EB377"/>
      <c r="EC377"/>
      <c r="ED377"/>
      <c r="EE377"/>
      <c r="EF377"/>
      <c r="EG377"/>
      <c r="EJ377"/>
      <c r="EK377"/>
      <c r="EL377"/>
      <c r="EM377"/>
      <c r="EN377"/>
      <c r="EO377"/>
      <c r="EP377"/>
      <c r="EQ377"/>
      <c r="ER377"/>
      <c r="ES377"/>
      <c r="ET377"/>
      <c r="EU377"/>
      <c r="EV377"/>
      <c r="EW377"/>
      <c r="EX377"/>
      <c r="EY377"/>
      <c r="EZ377"/>
      <c r="FA377"/>
      <c r="FB377"/>
      <c r="FC377"/>
      <c r="FD377"/>
      <c r="FE377"/>
      <c r="FF377"/>
      <c r="FG377"/>
      <c r="FH377"/>
      <c r="FK377"/>
      <c r="FL377"/>
      <c r="FM377"/>
      <c r="FN377"/>
      <c r="FO377"/>
      <c r="FP377"/>
      <c r="FQ377"/>
      <c r="FR377"/>
      <c r="FS377"/>
      <c r="FT377"/>
      <c r="FU377"/>
      <c r="FV377"/>
      <c r="FW377"/>
      <c r="FX377"/>
      <c r="FY377"/>
      <c r="FZ377"/>
      <c r="GA377"/>
      <c r="GB377"/>
      <c r="GC377"/>
      <c r="GD377"/>
    </row>
    <row r="378" spans="1:186" x14ac:dyDescent="0.15">
      <c r="A378" s="30" t="s">
        <v>137</v>
      </c>
      <c r="AG378"/>
      <c r="AH378"/>
      <c r="AJ378"/>
      <c r="AK378"/>
      <c r="AL378"/>
      <c r="AM378"/>
      <c r="AO378"/>
      <c r="AP378"/>
      <c r="AQ378"/>
      <c r="AR378"/>
      <c r="AS378"/>
      <c r="AT378"/>
      <c r="AU378"/>
      <c r="AV378"/>
      <c r="AW378"/>
      <c r="AX378"/>
      <c r="AY378"/>
      <c r="AZ378"/>
      <c r="BA378"/>
      <c r="BB378"/>
      <c r="BC378"/>
      <c r="BD378"/>
      <c r="BE378"/>
      <c r="BF378"/>
      <c r="BH378"/>
      <c r="BI378"/>
      <c r="BJ378"/>
      <c r="BK378"/>
      <c r="BL378"/>
      <c r="BM378"/>
      <c r="BN378"/>
      <c r="BP378"/>
      <c r="BQ378"/>
      <c r="BR378"/>
      <c r="BS378"/>
      <c r="BT378"/>
      <c r="BU378"/>
      <c r="BV378"/>
      <c r="BW378"/>
      <c r="BZ378"/>
      <c r="CA378"/>
      <c r="CB378"/>
      <c r="CC378"/>
      <c r="CD378"/>
      <c r="CF378"/>
      <c r="CG378"/>
      <c r="CH378"/>
      <c r="CI378"/>
      <c r="CJ378"/>
      <c r="CK378"/>
      <c r="CL378"/>
      <c r="CM378"/>
      <c r="CN378"/>
      <c r="CO378"/>
      <c r="CP378"/>
      <c r="CQ378"/>
      <c r="CR378"/>
      <c r="CS378"/>
      <c r="CT378"/>
      <c r="CU378"/>
      <c r="CV378"/>
      <c r="CW378"/>
      <c r="CX378"/>
      <c r="CY378"/>
      <c r="CZ378"/>
      <c r="DA378"/>
      <c r="DB378"/>
      <c r="DC378"/>
      <c r="DD378"/>
      <c r="DE378"/>
      <c r="DG378"/>
      <c r="DH378"/>
      <c r="DI378"/>
      <c r="DJ378"/>
      <c r="DK378"/>
      <c r="DL378"/>
      <c r="DM378"/>
      <c r="DN378"/>
      <c r="DO378"/>
      <c r="DP378"/>
      <c r="DQ378"/>
      <c r="DR378"/>
      <c r="DS378"/>
      <c r="DT378"/>
      <c r="DU378"/>
      <c r="DV378"/>
      <c r="DW378"/>
      <c r="DZ378"/>
      <c r="EA378"/>
      <c r="EB378"/>
      <c r="EC378"/>
      <c r="ED378"/>
      <c r="EE378"/>
      <c r="EF378"/>
      <c r="EG378"/>
      <c r="EJ378"/>
      <c r="EK378"/>
      <c r="EL378"/>
      <c r="EM378"/>
      <c r="EN378"/>
      <c r="EO378"/>
      <c r="EP378"/>
      <c r="EQ378"/>
      <c r="ER378"/>
      <c r="ES378"/>
      <c r="ET378"/>
      <c r="EU378"/>
      <c r="EV378"/>
      <c r="EW378"/>
      <c r="EX378"/>
      <c r="EY378"/>
      <c r="EZ378"/>
      <c r="FA378"/>
      <c r="FB378"/>
      <c r="FC378"/>
      <c r="FD378"/>
      <c r="FE378"/>
      <c r="FF378"/>
      <c r="FG378"/>
      <c r="FH378"/>
      <c r="FK378"/>
      <c r="FL378"/>
      <c r="FM378"/>
      <c r="FN378"/>
      <c r="FO378"/>
      <c r="FP378"/>
      <c r="FQ378"/>
      <c r="FR378"/>
      <c r="FS378"/>
      <c r="FT378"/>
      <c r="FU378"/>
      <c r="FV378"/>
      <c r="FW378"/>
      <c r="FX378"/>
      <c r="FY378"/>
      <c r="FZ378"/>
      <c r="GA378"/>
      <c r="GB378"/>
      <c r="GC378"/>
      <c r="GD378"/>
    </row>
    <row r="379" spans="1:186" x14ac:dyDescent="0.15">
      <c r="AG379"/>
      <c r="AH379"/>
      <c r="AJ379"/>
      <c r="AK379"/>
      <c r="AL379"/>
      <c r="AM379"/>
      <c r="AO379"/>
      <c r="AP379"/>
      <c r="AQ379"/>
      <c r="AR379"/>
      <c r="AS379"/>
      <c r="AT379"/>
      <c r="AU379"/>
      <c r="AV379"/>
      <c r="AW379"/>
      <c r="AX379"/>
      <c r="AY379"/>
      <c r="AZ379"/>
      <c r="BA379"/>
      <c r="BB379"/>
      <c r="BC379"/>
      <c r="BD379"/>
      <c r="BE379"/>
      <c r="BF379"/>
      <c r="BH379"/>
      <c r="BI379"/>
      <c r="BJ379"/>
      <c r="BK379"/>
      <c r="BL379"/>
      <c r="BM379"/>
      <c r="BN379"/>
      <c r="BP379"/>
      <c r="BQ379"/>
      <c r="BR379"/>
      <c r="BS379"/>
      <c r="BT379"/>
      <c r="BU379"/>
      <c r="BV379"/>
      <c r="BW379"/>
      <c r="BZ379"/>
      <c r="CA379"/>
      <c r="CB379"/>
      <c r="CC379"/>
      <c r="CD379"/>
      <c r="CF379"/>
      <c r="CG379"/>
      <c r="CH379"/>
      <c r="CI379"/>
      <c r="CJ379"/>
      <c r="CK379"/>
      <c r="CL379"/>
      <c r="CM379"/>
      <c r="CN379"/>
      <c r="CO379"/>
      <c r="CP379"/>
      <c r="CQ379"/>
      <c r="CR379"/>
      <c r="CS379"/>
      <c r="CT379"/>
      <c r="CU379"/>
      <c r="CV379"/>
      <c r="CW379"/>
      <c r="CX379"/>
      <c r="CY379"/>
      <c r="CZ379"/>
      <c r="DA379"/>
      <c r="DB379"/>
      <c r="DC379"/>
      <c r="DD379"/>
      <c r="DE379"/>
      <c r="DG379"/>
      <c r="DH379"/>
      <c r="DI379"/>
      <c r="DJ379"/>
      <c r="DK379"/>
      <c r="DL379"/>
      <c r="DM379"/>
      <c r="DN379"/>
      <c r="DO379"/>
      <c r="DP379"/>
      <c r="DQ379"/>
      <c r="DR379"/>
      <c r="DS379"/>
      <c r="DT379"/>
      <c r="DU379"/>
      <c r="DV379"/>
      <c r="DW379"/>
      <c r="DZ379"/>
      <c r="EA379"/>
      <c r="EB379"/>
      <c r="EC379"/>
      <c r="ED379"/>
      <c r="EE379"/>
      <c r="EF379"/>
      <c r="EG379"/>
      <c r="EJ379"/>
      <c r="EK379"/>
      <c r="EL379"/>
      <c r="EM379"/>
      <c r="EN379"/>
      <c r="EO379"/>
      <c r="EP379"/>
      <c r="EQ379"/>
      <c r="ER379"/>
      <c r="ES379"/>
      <c r="ET379"/>
      <c r="EU379"/>
      <c r="EV379"/>
      <c r="EW379"/>
      <c r="EX379"/>
      <c r="EY379"/>
      <c r="EZ379"/>
      <c r="FA379"/>
      <c r="FB379"/>
      <c r="FC379"/>
      <c r="FD379"/>
      <c r="FE379"/>
      <c r="FF379"/>
      <c r="FG379"/>
      <c r="FH379"/>
      <c r="FK379"/>
      <c r="FL379"/>
      <c r="FM379"/>
      <c r="FN379"/>
      <c r="FO379"/>
      <c r="FP379"/>
      <c r="FQ379"/>
      <c r="FR379"/>
      <c r="FS379"/>
      <c r="FT379"/>
      <c r="FU379"/>
      <c r="FV379"/>
      <c r="FW379"/>
      <c r="FX379"/>
      <c r="FY379"/>
      <c r="FZ379"/>
      <c r="GA379"/>
      <c r="GB379"/>
      <c r="GC379"/>
      <c r="GD379"/>
    </row>
    <row r="380" spans="1:186" x14ac:dyDescent="0.15">
      <c r="AG380"/>
      <c r="AH380"/>
      <c r="AJ380"/>
      <c r="AK380"/>
      <c r="AL380"/>
      <c r="AM380"/>
      <c r="AO380"/>
      <c r="AP380"/>
      <c r="AQ380"/>
      <c r="AR380"/>
      <c r="AS380"/>
      <c r="AT380"/>
      <c r="AU380"/>
      <c r="AV380"/>
      <c r="AW380"/>
      <c r="AX380"/>
      <c r="AY380"/>
      <c r="AZ380"/>
      <c r="BA380"/>
      <c r="BB380"/>
      <c r="BC380"/>
      <c r="BD380"/>
      <c r="BE380"/>
      <c r="BF380"/>
      <c r="BH380"/>
      <c r="BI380"/>
      <c r="BJ380"/>
      <c r="BK380"/>
      <c r="BL380"/>
      <c r="BM380"/>
      <c r="BN380"/>
      <c r="BP380"/>
      <c r="BQ380"/>
      <c r="BR380"/>
      <c r="BS380"/>
      <c r="BT380"/>
      <c r="BU380"/>
      <c r="BV380"/>
      <c r="BW380"/>
      <c r="BZ380"/>
      <c r="CA380"/>
      <c r="CB380"/>
      <c r="CC380"/>
      <c r="CD380"/>
      <c r="CF380"/>
      <c r="CG380"/>
      <c r="CH380"/>
      <c r="CI380"/>
      <c r="CJ380"/>
      <c r="CK380"/>
      <c r="CL380"/>
      <c r="CM380"/>
      <c r="CN380"/>
      <c r="CO380"/>
      <c r="CP380"/>
      <c r="CQ380"/>
      <c r="CR380"/>
      <c r="CS380"/>
      <c r="CT380"/>
      <c r="CU380"/>
      <c r="CV380"/>
      <c r="CW380"/>
      <c r="CX380"/>
      <c r="CY380"/>
      <c r="CZ380"/>
      <c r="DA380"/>
      <c r="DB380"/>
      <c r="DC380"/>
      <c r="DD380"/>
      <c r="DE380"/>
      <c r="DG380"/>
      <c r="DH380"/>
      <c r="DI380"/>
      <c r="DJ380"/>
      <c r="DK380"/>
      <c r="DL380"/>
      <c r="DM380"/>
      <c r="DN380"/>
      <c r="DO380"/>
      <c r="DP380"/>
      <c r="DQ380"/>
      <c r="DR380"/>
      <c r="DS380"/>
      <c r="DT380"/>
      <c r="DU380"/>
      <c r="DV380"/>
      <c r="DW380"/>
      <c r="DZ380"/>
      <c r="EA380"/>
      <c r="EB380"/>
      <c r="EC380"/>
      <c r="ED380"/>
      <c r="EE380"/>
      <c r="EF380"/>
      <c r="EG380"/>
      <c r="EJ380"/>
      <c r="EK380"/>
      <c r="EL380"/>
      <c r="EM380"/>
      <c r="EN380"/>
      <c r="EO380"/>
      <c r="EP380"/>
      <c r="EQ380"/>
      <c r="ER380"/>
      <c r="ES380"/>
      <c r="ET380"/>
      <c r="EU380"/>
      <c r="EV380"/>
      <c r="EW380"/>
      <c r="EX380"/>
      <c r="EY380"/>
      <c r="EZ380"/>
      <c r="FA380"/>
      <c r="FB380"/>
      <c r="FC380"/>
      <c r="FD380"/>
      <c r="FE380"/>
      <c r="FF380"/>
      <c r="FG380"/>
      <c r="FH380"/>
      <c r="FK380"/>
      <c r="FL380"/>
      <c r="FM380"/>
      <c r="FN380"/>
      <c r="FO380"/>
      <c r="FP380"/>
      <c r="FQ380"/>
      <c r="FR380"/>
      <c r="FS380"/>
      <c r="FT380"/>
      <c r="FU380"/>
      <c r="FV380"/>
      <c r="FW380"/>
      <c r="FX380"/>
      <c r="FY380"/>
      <c r="FZ380"/>
      <c r="GA380"/>
      <c r="GB380"/>
      <c r="GC380"/>
      <c r="GD380"/>
    </row>
    <row r="381" spans="1:186" x14ac:dyDescent="0.15">
      <c r="AG381"/>
      <c r="AH381"/>
      <c r="AJ381"/>
      <c r="AK381"/>
      <c r="AL381"/>
      <c r="AM381"/>
      <c r="AO381"/>
      <c r="AP381"/>
      <c r="AQ381"/>
      <c r="AR381"/>
      <c r="AS381"/>
      <c r="AT381"/>
      <c r="AU381"/>
      <c r="AV381"/>
      <c r="AW381"/>
      <c r="AX381"/>
      <c r="AY381"/>
      <c r="AZ381"/>
      <c r="BA381"/>
      <c r="BB381"/>
      <c r="BC381"/>
      <c r="BD381"/>
      <c r="BE381"/>
      <c r="BF381"/>
      <c r="BH381"/>
      <c r="BI381"/>
      <c r="BJ381"/>
      <c r="BK381"/>
      <c r="BL381"/>
      <c r="BM381"/>
      <c r="BN381"/>
      <c r="BP381"/>
      <c r="BQ381"/>
      <c r="BR381"/>
      <c r="BS381"/>
      <c r="BT381"/>
      <c r="BU381"/>
      <c r="BV381"/>
      <c r="BW381"/>
      <c r="BZ381"/>
      <c r="CA381"/>
      <c r="CB381"/>
      <c r="CC381"/>
      <c r="CD381"/>
      <c r="CF381"/>
      <c r="CG381"/>
      <c r="CH381"/>
      <c r="CI381"/>
      <c r="CJ381"/>
      <c r="CK381"/>
      <c r="CL381"/>
      <c r="CM381"/>
      <c r="CN381"/>
      <c r="CO381"/>
      <c r="CP381"/>
      <c r="CQ381"/>
      <c r="CR381"/>
      <c r="CS381"/>
      <c r="CT381"/>
      <c r="CU381"/>
      <c r="CV381"/>
      <c r="CW381"/>
      <c r="CX381"/>
      <c r="CY381"/>
      <c r="CZ381"/>
      <c r="DA381"/>
      <c r="DB381"/>
      <c r="DC381"/>
      <c r="DD381"/>
      <c r="DE381"/>
      <c r="DG381"/>
      <c r="DH381"/>
      <c r="DI381"/>
      <c r="DJ381"/>
      <c r="DK381"/>
      <c r="DL381"/>
      <c r="DM381"/>
      <c r="DN381"/>
      <c r="DO381"/>
      <c r="DP381"/>
      <c r="DQ381"/>
      <c r="DR381"/>
      <c r="DS381"/>
      <c r="DT381"/>
      <c r="DU381"/>
      <c r="DV381"/>
      <c r="DW381"/>
      <c r="DZ381"/>
      <c r="EA381"/>
      <c r="EB381"/>
      <c r="EC381"/>
      <c r="ED381"/>
      <c r="EE381"/>
      <c r="EF381"/>
      <c r="EG381"/>
      <c r="EJ381"/>
      <c r="EK381"/>
      <c r="EL381"/>
      <c r="EM381"/>
      <c r="EN381"/>
      <c r="EO381"/>
      <c r="EP381"/>
      <c r="EQ381"/>
      <c r="ER381"/>
      <c r="ES381"/>
      <c r="ET381"/>
      <c r="EU381"/>
      <c r="EV381"/>
      <c r="EW381"/>
      <c r="EX381"/>
      <c r="EY381"/>
      <c r="EZ381"/>
      <c r="FA381"/>
      <c r="FB381"/>
      <c r="FC381"/>
      <c r="FD381"/>
      <c r="FE381"/>
      <c r="FF381"/>
      <c r="FG381"/>
      <c r="FH381"/>
      <c r="FK381"/>
      <c r="FL381"/>
      <c r="FM381"/>
      <c r="FN381"/>
      <c r="FO381"/>
      <c r="FP381"/>
      <c r="FQ381"/>
      <c r="FR381"/>
      <c r="FS381"/>
      <c r="FT381"/>
      <c r="FU381"/>
      <c r="FV381"/>
      <c r="FW381"/>
      <c r="FX381"/>
      <c r="FY381"/>
      <c r="FZ381"/>
      <c r="GA381"/>
      <c r="GB381"/>
      <c r="GC381"/>
      <c r="GD381"/>
    </row>
    <row r="382" spans="1:186" x14ac:dyDescent="0.15">
      <c r="AG382"/>
      <c r="AH382"/>
      <c r="AJ382"/>
      <c r="AK382"/>
      <c r="AL382"/>
      <c r="AM382"/>
      <c r="AO382"/>
      <c r="AP382"/>
      <c r="AQ382"/>
      <c r="AR382"/>
      <c r="AS382"/>
      <c r="AT382"/>
      <c r="AU382"/>
      <c r="AV382"/>
      <c r="AW382"/>
      <c r="AX382"/>
      <c r="AY382"/>
      <c r="AZ382"/>
      <c r="BA382"/>
      <c r="BB382"/>
      <c r="BC382"/>
      <c r="BD382"/>
      <c r="BE382"/>
      <c r="BF382"/>
      <c r="BH382"/>
      <c r="BI382"/>
      <c r="BJ382"/>
      <c r="BK382"/>
      <c r="BL382"/>
      <c r="BM382"/>
      <c r="BN382"/>
      <c r="BP382"/>
      <c r="BQ382"/>
      <c r="BR382"/>
      <c r="BS382"/>
      <c r="BT382"/>
      <c r="BU382"/>
      <c r="BV382"/>
      <c r="BW382"/>
      <c r="BZ382"/>
      <c r="CA382"/>
      <c r="CB382"/>
      <c r="CC382"/>
      <c r="CD382"/>
      <c r="CF382"/>
      <c r="CG382"/>
      <c r="CH382"/>
      <c r="CI382"/>
      <c r="CJ382"/>
      <c r="CK382"/>
      <c r="CL382"/>
      <c r="CM382"/>
      <c r="CN382"/>
      <c r="CO382"/>
      <c r="CP382"/>
      <c r="CQ382"/>
      <c r="CR382"/>
      <c r="CS382"/>
      <c r="CT382"/>
      <c r="CU382"/>
      <c r="CV382"/>
      <c r="CW382"/>
      <c r="CX382"/>
      <c r="CY382"/>
      <c r="CZ382"/>
      <c r="DA382"/>
      <c r="DB382"/>
      <c r="DC382"/>
      <c r="DD382"/>
      <c r="DE382"/>
      <c r="DG382"/>
      <c r="DH382"/>
      <c r="DI382"/>
      <c r="DJ382"/>
      <c r="DK382"/>
      <c r="DL382"/>
      <c r="DM382"/>
      <c r="DN382"/>
      <c r="DO382"/>
      <c r="DP382"/>
      <c r="DQ382"/>
      <c r="DR382"/>
      <c r="DS382"/>
      <c r="DT382"/>
      <c r="DU382"/>
      <c r="DV382"/>
      <c r="DW382"/>
      <c r="DZ382"/>
      <c r="EA382"/>
      <c r="EB382"/>
      <c r="EC382"/>
      <c r="ED382"/>
      <c r="EE382"/>
      <c r="EF382"/>
      <c r="EG382"/>
      <c r="EJ382"/>
      <c r="EK382"/>
      <c r="EL382"/>
      <c r="EM382"/>
      <c r="EN382"/>
      <c r="EO382"/>
      <c r="EP382"/>
      <c r="EQ382"/>
      <c r="ER382"/>
      <c r="ES382"/>
      <c r="ET382"/>
      <c r="EU382"/>
      <c r="EV382"/>
      <c r="EW382"/>
      <c r="EX382"/>
      <c r="EY382"/>
      <c r="EZ382"/>
      <c r="FA382"/>
      <c r="FB382"/>
      <c r="FC382"/>
      <c r="FD382"/>
      <c r="FE382"/>
      <c r="FF382"/>
      <c r="FG382"/>
      <c r="FH382"/>
      <c r="FK382"/>
      <c r="FL382"/>
      <c r="FM382"/>
      <c r="FN382"/>
      <c r="FO382"/>
      <c r="FP382"/>
      <c r="FQ382"/>
      <c r="FR382"/>
      <c r="FS382"/>
      <c r="FT382"/>
      <c r="FU382"/>
      <c r="FV382"/>
      <c r="FW382"/>
      <c r="FX382"/>
      <c r="FY382"/>
      <c r="FZ382"/>
      <c r="GA382"/>
      <c r="GB382"/>
      <c r="GC382"/>
      <c r="GD382"/>
    </row>
    <row r="383" spans="1:186" x14ac:dyDescent="0.15">
      <c r="AG383"/>
      <c r="AH383"/>
      <c r="AJ383"/>
      <c r="AK383"/>
      <c r="AL383"/>
      <c r="AM383"/>
      <c r="AO383"/>
      <c r="AP383"/>
      <c r="AQ383"/>
      <c r="AR383"/>
      <c r="AS383"/>
      <c r="AT383"/>
      <c r="AU383"/>
      <c r="AV383"/>
      <c r="AW383"/>
      <c r="AX383"/>
      <c r="AY383"/>
      <c r="AZ383"/>
      <c r="BA383"/>
      <c r="BB383"/>
      <c r="BC383"/>
      <c r="BD383"/>
      <c r="BE383"/>
      <c r="BF383"/>
      <c r="BH383"/>
      <c r="BI383"/>
      <c r="BJ383"/>
      <c r="BK383"/>
      <c r="BL383"/>
      <c r="BM383"/>
      <c r="BN383"/>
      <c r="BP383"/>
      <c r="BQ383"/>
      <c r="BR383"/>
      <c r="BS383"/>
      <c r="BT383"/>
      <c r="BU383"/>
      <c r="BV383"/>
      <c r="BW383"/>
      <c r="BZ383"/>
      <c r="CA383"/>
      <c r="CB383"/>
      <c r="CC383"/>
      <c r="CD383"/>
      <c r="CF383"/>
      <c r="CG383"/>
      <c r="CH383"/>
      <c r="CI383"/>
      <c r="CJ383"/>
      <c r="CK383"/>
      <c r="CL383"/>
      <c r="CM383"/>
      <c r="CN383"/>
      <c r="CO383"/>
      <c r="CP383"/>
      <c r="CQ383"/>
      <c r="CR383"/>
      <c r="CS383"/>
      <c r="CT383"/>
      <c r="CU383"/>
      <c r="CV383"/>
      <c r="CW383"/>
      <c r="CX383"/>
      <c r="CY383"/>
      <c r="CZ383"/>
      <c r="DA383"/>
      <c r="DB383"/>
      <c r="DC383"/>
      <c r="DD383"/>
      <c r="DE383"/>
      <c r="DG383"/>
      <c r="DH383"/>
      <c r="DI383"/>
      <c r="DJ383"/>
      <c r="DK383"/>
      <c r="DL383"/>
      <c r="DM383"/>
      <c r="DN383"/>
      <c r="DO383"/>
      <c r="DP383"/>
      <c r="DQ383"/>
      <c r="DR383"/>
      <c r="DS383"/>
      <c r="DT383"/>
      <c r="DU383"/>
      <c r="DV383"/>
      <c r="DW383"/>
      <c r="DZ383"/>
      <c r="EA383"/>
      <c r="EB383"/>
      <c r="EC383"/>
      <c r="ED383"/>
      <c r="EE383"/>
      <c r="EF383"/>
      <c r="EG383"/>
      <c r="EJ383"/>
      <c r="EK383"/>
      <c r="EL383"/>
      <c r="EM383"/>
      <c r="EN383"/>
      <c r="EO383"/>
      <c r="EP383"/>
      <c r="EQ383"/>
      <c r="ER383"/>
      <c r="ES383"/>
      <c r="ET383"/>
      <c r="EU383"/>
      <c r="EV383"/>
      <c r="EW383"/>
      <c r="EX383"/>
      <c r="EY383"/>
      <c r="EZ383"/>
      <c r="FA383"/>
      <c r="FB383"/>
      <c r="FC383"/>
      <c r="FD383"/>
      <c r="FE383"/>
      <c r="FF383"/>
      <c r="FG383"/>
      <c r="FH383"/>
      <c r="FK383"/>
      <c r="FL383"/>
      <c r="FM383"/>
      <c r="FN383"/>
      <c r="FO383"/>
      <c r="FP383"/>
      <c r="FQ383"/>
      <c r="FR383"/>
      <c r="FS383"/>
      <c r="FT383"/>
      <c r="FU383"/>
      <c r="FV383"/>
      <c r="FW383"/>
      <c r="FX383"/>
      <c r="FY383"/>
      <c r="FZ383"/>
      <c r="GA383"/>
      <c r="GB383"/>
      <c r="GC383"/>
      <c r="GD383"/>
    </row>
    <row r="384" spans="1:186" x14ac:dyDescent="0.15">
      <c r="AG384"/>
      <c r="AH384"/>
      <c r="AJ384"/>
      <c r="AK384"/>
      <c r="AL384"/>
      <c r="AM384"/>
      <c r="AO384"/>
      <c r="AP384"/>
      <c r="AQ384"/>
      <c r="AR384"/>
      <c r="AS384"/>
      <c r="AT384"/>
      <c r="AU384"/>
      <c r="AV384"/>
      <c r="AW384"/>
      <c r="AX384"/>
      <c r="AY384"/>
      <c r="AZ384"/>
      <c r="BA384"/>
      <c r="BB384"/>
      <c r="BC384"/>
      <c r="BD384"/>
      <c r="BE384"/>
      <c r="BF384"/>
      <c r="BH384"/>
      <c r="BI384"/>
      <c r="BJ384"/>
      <c r="BK384"/>
      <c r="BL384"/>
      <c r="BM384"/>
      <c r="BN384"/>
      <c r="BP384"/>
      <c r="BQ384"/>
      <c r="BR384"/>
      <c r="BS384"/>
      <c r="BT384"/>
      <c r="BU384"/>
      <c r="BV384"/>
      <c r="BW384"/>
      <c r="BZ384"/>
      <c r="CA384"/>
      <c r="CB384"/>
      <c r="CC384"/>
      <c r="CD384"/>
      <c r="CF384"/>
      <c r="CG384"/>
      <c r="CH384"/>
      <c r="CI384"/>
      <c r="CJ384"/>
      <c r="CK384"/>
      <c r="CL384"/>
      <c r="CM384"/>
      <c r="CN384"/>
      <c r="CO384"/>
      <c r="CP384"/>
      <c r="CQ384"/>
      <c r="CR384"/>
      <c r="CS384"/>
      <c r="CT384"/>
      <c r="CU384"/>
      <c r="CV384"/>
      <c r="CW384"/>
      <c r="CX384"/>
      <c r="CY384"/>
      <c r="CZ384"/>
      <c r="DA384"/>
      <c r="DB384"/>
      <c r="DC384"/>
      <c r="DD384"/>
      <c r="DE384"/>
      <c r="DG384"/>
      <c r="DH384"/>
      <c r="DI384"/>
      <c r="DJ384"/>
      <c r="DK384"/>
      <c r="DL384"/>
      <c r="DM384"/>
      <c r="DN384"/>
      <c r="DO384"/>
      <c r="DP384"/>
      <c r="DQ384"/>
      <c r="DR384"/>
      <c r="DS384"/>
      <c r="DT384"/>
      <c r="DU384"/>
      <c r="DV384"/>
      <c r="DW384"/>
      <c r="DZ384"/>
      <c r="EA384"/>
      <c r="EB384"/>
      <c r="EC384"/>
      <c r="ED384"/>
      <c r="EE384"/>
      <c r="EF384"/>
      <c r="EG384"/>
      <c r="EJ384"/>
      <c r="EK384"/>
      <c r="EL384"/>
      <c r="EM384"/>
      <c r="EN384"/>
      <c r="EO384"/>
      <c r="EP384"/>
      <c r="EQ384"/>
      <c r="ER384"/>
      <c r="ES384"/>
      <c r="ET384"/>
      <c r="EU384"/>
      <c r="EV384"/>
      <c r="EW384"/>
      <c r="EX384"/>
      <c r="EY384"/>
      <c r="EZ384"/>
      <c r="FA384"/>
      <c r="FB384"/>
      <c r="FC384"/>
      <c r="FD384"/>
      <c r="FE384"/>
      <c r="FF384"/>
      <c r="FG384"/>
      <c r="FH384"/>
      <c r="FK384"/>
      <c r="FL384"/>
      <c r="FM384"/>
      <c r="FN384"/>
      <c r="FO384"/>
      <c r="FP384"/>
      <c r="FQ384"/>
      <c r="FR384"/>
      <c r="FS384"/>
      <c r="FT384"/>
      <c r="FU384"/>
      <c r="FV384"/>
      <c r="FW384"/>
      <c r="FX384"/>
      <c r="FY384"/>
      <c r="FZ384"/>
      <c r="GA384"/>
      <c r="GB384"/>
      <c r="GC384"/>
      <c r="GD384"/>
    </row>
    <row r="385" spans="4:186" x14ac:dyDescent="0.15">
      <c r="AG385"/>
      <c r="AH385"/>
      <c r="AJ385"/>
      <c r="AK385"/>
      <c r="AL385"/>
      <c r="AM385"/>
      <c r="AO385"/>
      <c r="AP385"/>
      <c r="AQ385"/>
      <c r="AR385"/>
      <c r="AS385"/>
      <c r="AT385"/>
      <c r="AU385"/>
      <c r="AV385"/>
      <c r="AW385"/>
      <c r="AX385"/>
      <c r="AY385"/>
      <c r="AZ385"/>
      <c r="BA385"/>
      <c r="BB385"/>
      <c r="BC385"/>
      <c r="BD385"/>
      <c r="BE385"/>
      <c r="BF385"/>
      <c r="BH385"/>
      <c r="BI385"/>
      <c r="BJ385"/>
      <c r="BK385"/>
      <c r="BL385"/>
      <c r="BM385"/>
      <c r="BN385"/>
      <c r="BP385"/>
      <c r="BQ385"/>
      <c r="BR385"/>
      <c r="BS385"/>
      <c r="BT385"/>
      <c r="BU385"/>
      <c r="BV385"/>
      <c r="BW385"/>
      <c r="BZ385"/>
      <c r="CA385"/>
      <c r="CB385"/>
      <c r="CC385"/>
      <c r="CD385"/>
      <c r="CF385"/>
      <c r="CG385"/>
      <c r="CH385"/>
      <c r="CI385"/>
      <c r="CJ385"/>
      <c r="CK385"/>
      <c r="CL385"/>
      <c r="CM385"/>
      <c r="CN385"/>
      <c r="CO385"/>
      <c r="CP385"/>
      <c r="CQ385"/>
      <c r="CR385"/>
      <c r="CS385"/>
      <c r="CT385"/>
      <c r="CU385"/>
      <c r="CV385"/>
      <c r="CW385"/>
      <c r="CX385"/>
      <c r="CY385"/>
      <c r="CZ385"/>
      <c r="DA385"/>
      <c r="DB385"/>
      <c r="DC385"/>
      <c r="DD385"/>
      <c r="DE385"/>
      <c r="DG385"/>
      <c r="DH385"/>
      <c r="DI385"/>
      <c r="DJ385"/>
      <c r="DK385"/>
      <c r="DL385"/>
      <c r="DM385"/>
      <c r="DN385"/>
      <c r="DO385"/>
      <c r="DP385"/>
      <c r="DQ385"/>
      <c r="DR385"/>
      <c r="DS385"/>
      <c r="DT385"/>
      <c r="DU385"/>
      <c r="DV385"/>
      <c r="DW385"/>
      <c r="DZ385"/>
      <c r="EA385"/>
      <c r="EB385"/>
      <c r="EC385"/>
      <c r="ED385"/>
      <c r="EE385"/>
      <c r="EF385"/>
      <c r="EG385"/>
      <c r="EJ385"/>
      <c r="EK385"/>
      <c r="EL385"/>
      <c r="EM385"/>
      <c r="EN385"/>
      <c r="EO385"/>
      <c r="EP385"/>
      <c r="EQ385"/>
      <c r="ER385"/>
      <c r="ES385"/>
      <c r="ET385"/>
      <c r="EU385"/>
      <c r="EV385"/>
      <c r="EW385"/>
      <c r="EX385"/>
      <c r="EY385"/>
      <c r="EZ385"/>
      <c r="FA385"/>
      <c r="FB385"/>
      <c r="FC385"/>
      <c r="FD385"/>
      <c r="FE385"/>
      <c r="FF385"/>
      <c r="FG385"/>
      <c r="FH385"/>
      <c r="FK385"/>
      <c r="FL385"/>
      <c r="FM385"/>
      <c r="FN385"/>
      <c r="FO385"/>
      <c r="FP385"/>
      <c r="FQ385"/>
      <c r="FR385"/>
      <c r="FS385"/>
      <c r="FT385"/>
      <c r="FU385"/>
      <c r="FV385"/>
      <c r="FW385"/>
      <c r="FX385"/>
      <c r="FY385"/>
      <c r="FZ385"/>
      <c r="GA385"/>
      <c r="GB385"/>
      <c r="GC385"/>
      <c r="GD385"/>
    </row>
    <row r="386" spans="4:186" x14ac:dyDescent="0.15">
      <c r="AG386"/>
      <c r="AH386"/>
      <c r="AJ386"/>
      <c r="AK386"/>
      <c r="AL386"/>
      <c r="AM386"/>
      <c r="AO386"/>
      <c r="AP386"/>
      <c r="AQ386"/>
      <c r="AR386"/>
      <c r="AS386"/>
      <c r="AT386"/>
      <c r="AU386"/>
      <c r="AV386"/>
      <c r="AW386"/>
      <c r="AX386"/>
      <c r="AY386"/>
      <c r="AZ386"/>
      <c r="BA386"/>
      <c r="BB386"/>
      <c r="BC386"/>
      <c r="BD386"/>
      <c r="BE386"/>
      <c r="BF386"/>
      <c r="BH386"/>
      <c r="BI386"/>
      <c r="BJ386"/>
      <c r="BK386"/>
      <c r="BL386"/>
      <c r="BM386"/>
      <c r="BN386"/>
      <c r="BP386"/>
      <c r="BQ386"/>
      <c r="BR386"/>
      <c r="BS386"/>
      <c r="BT386"/>
      <c r="BU386"/>
      <c r="BV386"/>
      <c r="BW386"/>
      <c r="BZ386"/>
      <c r="CA386"/>
      <c r="CB386"/>
      <c r="CC386"/>
      <c r="CD386"/>
      <c r="CF386"/>
      <c r="CG386"/>
      <c r="CH386"/>
      <c r="CI386"/>
      <c r="CJ386"/>
      <c r="CK386"/>
      <c r="CL386"/>
      <c r="CM386"/>
      <c r="CN386"/>
      <c r="CO386"/>
      <c r="CP386"/>
      <c r="CQ386"/>
      <c r="CR386"/>
      <c r="CS386"/>
      <c r="CT386"/>
      <c r="CU386"/>
      <c r="CV386"/>
      <c r="CW386"/>
      <c r="CX386"/>
      <c r="CY386"/>
      <c r="CZ386"/>
      <c r="DA386"/>
      <c r="DB386"/>
      <c r="DC386"/>
      <c r="DD386"/>
      <c r="DE386"/>
      <c r="DG386"/>
      <c r="DH386"/>
      <c r="DI386"/>
      <c r="DJ386"/>
      <c r="DK386"/>
      <c r="DL386"/>
      <c r="DM386"/>
      <c r="DN386"/>
      <c r="DO386"/>
      <c r="DP386"/>
      <c r="DQ386"/>
      <c r="DR386"/>
      <c r="DS386"/>
      <c r="DT386"/>
      <c r="DU386"/>
      <c r="DV386"/>
      <c r="DW386"/>
      <c r="DZ386"/>
      <c r="EA386"/>
      <c r="EB386"/>
      <c r="EC386"/>
      <c r="ED386"/>
      <c r="EE386"/>
      <c r="EF386"/>
      <c r="EG386"/>
      <c r="EJ386"/>
      <c r="EK386"/>
      <c r="EL386"/>
      <c r="EM386"/>
      <c r="EN386"/>
      <c r="EO386"/>
      <c r="EP386"/>
      <c r="EQ386"/>
      <c r="ER386"/>
      <c r="ES386"/>
      <c r="ET386"/>
      <c r="EU386"/>
      <c r="EV386"/>
      <c r="EW386"/>
      <c r="EX386"/>
      <c r="EY386"/>
      <c r="EZ386"/>
      <c r="FA386"/>
      <c r="FB386"/>
      <c r="FC386"/>
      <c r="FD386"/>
      <c r="FE386"/>
      <c r="FF386"/>
      <c r="FG386"/>
      <c r="FH386"/>
      <c r="FK386"/>
      <c r="FL386"/>
      <c r="FM386"/>
      <c r="FN386"/>
      <c r="FO386"/>
      <c r="FP386"/>
      <c r="FQ386"/>
      <c r="FR386"/>
      <c r="FS386"/>
      <c r="FT386"/>
      <c r="FU386"/>
      <c r="FV386"/>
      <c r="FW386"/>
      <c r="FX386"/>
      <c r="FY386"/>
      <c r="FZ386"/>
      <c r="GA386"/>
      <c r="GB386"/>
      <c r="GC386"/>
      <c r="GD386"/>
    </row>
    <row r="387" spans="4:186" x14ac:dyDescent="0.15">
      <c r="AG387"/>
      <c r="AH387"/>
      <c r="AJ387"/>
      <c r="AK387"/>
      <c r="AL387"/>
      <c r="AM387"/>
      <c r="AO387"/>
      <c r="AP387"/>
      <c r="AQ387"/>
      <c r="AR387"/>
      <c r="AS387"/>
      <c r="AT387"/>
      <c r="AU387"/>
      <c r="AV387"/>
      <c r="AW387"/>
      <c r="AX387"/>
      <c r="AY387"/>
      <c r="AZ387"/>
      <c r="BA387"/>
      <c r="BB387"/>
      <c r="BC387"/>
      <c r="BD387"/>
      <c r="BE387"/>
      <c r="BF387"/>
      <c r="BH387"/>
      <c r="BI387"/>
      <c r="BJ387"/>
      <c r="BK387"/>
      <c r="BL387"/>
      <c r="BM387"/>
      <c r="BN387"/>
      <c r="BP387"/>
      <c r="BQ387"/>
      <c r="BR387"/>
      <c r="BS387"/>
      <c r="BT387"/>
      <c r="BU387"/>
      <c r="BV387"/>
      <c r="BW387"/>
      <c r="BZ387"/>
      <c r="CA387"/>
      <c r="CB387"/>
      <c r="CC387"/>
      <c r="CD387"/>
      <c r="CF387"/>
      <c r="CG387"/>
      <c r="CH387"/>
      <c r="CI387"/>
      <c r="CJ387"/>
      <c r="CK387"/>
      <c r="CL387"/>
      <c r="CM387"/>
      <c r="CN387"/>
      <c r="CO387"/>
      <c r="CP387"/>
      <c r="CQ387"/>
      <c r="CR387"/>
      <c r="CS387"/>
      <c r="CT387"/>
      <c r="CU387"/>
      <c r="CV387"/>
      <c r="CW387"/>
      <c r="CX387"/>
      <c r="CY387"/>
      <c r="CZ387"/>
      <c r="DA387"/>
      <c r="DB387"/>
      <c r="DC387"/>
      <c r="DD387"/>
      <c r="DE387"/>
      <c r="DG387"/>
      <c r="DH387"/>
      <c r="DI387"/>
      <c r="DJ387"/>
      <c r="DK387"/>
      <c r="DL387"/>
      <c r="DM387"/>
      <c r="DN387"/>
      <c r="DO387"/>
      <c r="DP387"/>
      <c r="DQ387"/>
      <c r="DR387"/>
      <c r="DS387"/>
      <c r="DT387"/>
      <c r="DU387"/>
      <c r="DV387"/>
      <c r="DW387"/>
      <c r="DZ387"/>
      <c r="EA387"/>
      <c r="EB387"/>
      <c r="EC387"/>
      <c r="ED387"/>
      <c r="EE387"/>
      <c r="EF387"/>
      <c r="EG387"/>
      <c r="EJ387"/>
      <c r="EK387"/>
      <c r="EL387"/>
      <c r="EM387"/>
      <c r="EN387"/>
      <c r="EO387"/>
      <c r="EP387"/>
      <c r="EQ387"/>
      <c r="ER387"/>
      <c r="ES387"/>
      <c r="ET387"/>
      <c r="EU387"/>
      <c r="EV387"/>
      <c r="EW387"/>
      <c r="EX387"/>
      <c r="EY387"/>
      <c r="EZ387"/>
      <c r="FA387"/>
      <c r="FB387"/>
      <c r="FC387"/>
      <c r="FD387"/>
      <c r="FE387"/>
      <c r="FF387"/>
      <c r="FG387"/>
      <c r="FH387"/>
      <c r="FK387"/>
      <c r="FL387"/>
      <c r="FM387"/>
      <c r="FN387"/>
      <c r="FO387"/>
      <c r="FP387"/>
      <c r="FQ387"/>
      <c r="FR387"/>
      <c r="FS387"/>
      <c r="FT387"/>
      <c r="FU387"/>
      <c r="FV387"/>
      <c r="FW387"/>
      <c r="FX387"/>
      <c r="FY387"/>
      <c r="FZ387"/>
      <c r="GA387"/>
      <c r="GB387"/>
      <c r="GC387"/>
      <c r="GD387"/>
    </row>
    <row r="388" spans="4:186" x14ac:dyDescent="0.15">
      <c r="AG388"/>
      <c r="AH388"/>
      <c r="AJ388"/>
      <c r="AK388"/>
      <c r="AL388"/>
      <c r="AM388"/>
      <c r="AO388"/>
      <c r="AP388"/>
      <c r="AQ388"/>
      <c r="AR388"/>
      <c r="AS388"/>
      <c r="AT388"/>
      <c r="AU388"/>
      <c r="AV388"/>
      <c r="AW388"/>
      <c r="AX388"/>
      <c r="AY388"/>
      <c r="AZ388"/>
      <c r="BA388"/>
      <c r="BB388"/>
      <c r="BC388"/>
      <c r="BD388"/>
      <c r="BE388"/>
      <c r="BF388"/>
      <c r="BH388"/>
      <c r="BI388"/>
      <c r="BJ388"/>
      <c r="BK388"/>
      <c r="BL388"/>
      <c r="BM388"/>
      <c r="BN388"/>
      <c r="BP388"/>
      <c r="BQ388"/>
      <c r="BR388"/>
      <c r="BS388"/>
      <c r="BT388"/>
      <c r="BU388"/>
      <c r="BV388"/>
      <c r="BW388"/>
      <c r="BZ388"/>
      <c r="CA388"/>
      <c r="CB388"/>
      <c r="CC388"/>
      <c r="CD388"/>
      <c r="CF388"/>
      <c r="CG388"/>
      <c r="CH388"/>
      <c r="CI388"/>
      <c r="CJ388"/>
      <c r="CK388"/>
      <c r="CL388"/>
      <c r="CM388"/>
      <c r="CN388"/>
      <c r="CO388"/>
      <c r="CP388"/>
      <c r="CQ388"/>
      <c r="CR388"/>
      <c r="CS388"/>
      <c r="CT388"/>
      <c r="CU388"/>
      <c r="CV388"/>
      <c r="CW388"/>
      <c r="CX388"/>
      <c r="CY388"/>
      <c r="CZ388"/>
      <c r="DA388"/>
      <c r="DB388"/>
      <c r="DC388"/>
      <c r="DD388"/>
      <c r="DE388"/>
      <c r="DG388"/>
      <c r="DH388"/>
      <c r="DI388"/>
      <c r="DJ388"/>
      <c r="DK388"/>
      <c r="DL388"/>
      <c r="DM388"/>
      <c r="DN388"/>
      <c r="DO388"/>
      <c r="DP388"/>
      <c r="DQ388"/>
      <c r="DR388"/>
      <c r="DS388"/>
      <c r="DT388"/>
      <c r="DU388"/>
      <c r="DV388"/>
      <c r="DW388"/>
      <c r="DZ388"/>
      <c r="EA388"/>
      <c r="EB388"/>
      <c r="EC388"/>
      <c r="ED388"/>
      <c r="EE388"/>
      <c r="EF388"/>
      <c r="EG388"/>
      <c r="EJ388"/>
      <c r="EK388"/>
      <c r="EL388"/>
      <c r="EM388"/>
      <c r="EN388"/>
      <c r="EO388"/>
      <c r="EP388"/>
      <c r="EQ388"/>
      <c r="ER388"/>
      <c r="ES388"/>
      <c r="ET388"/>
      <c r="EU388"/>
      <c r="EV388"/>
      <c r="EW388"/>
      <c r="EX388"/>
      <c r="EY388"/>
      <c r="EZ388"/>
      <c r="FA388"/>
      <c r="FB388"/>
      <c r="FC388"/>
      <c r="FD388"/>
      <c r="FE388"/>
      <c r="FF388"/>
      <c r="FG388"/>
      <c r="FH388"/>
      <c r="FK388"/>
      <c r="FL388"/>
      <c r="FM388"/>
      <c r="FN388"/>
      <c r="FO388"/>
      <c r="FP388"/>
      <c r="FQ388"/>
      <c r="FR388"/>
      <c r="FS388"/>
      <c r="FT388"/>
      <c r="FU388"/>
      <c r="FV388"/>
      <c r="FW388"/>
      <c r="FX388"/>
      <c r="FY388"/>
      <c r="FZ388"/>
      <c r="GA388"/>
      <c r="GB388"/>
      <c r="GC388"/>
      <c r="GD388"/>
    </row>
    <row r="389" spans="4:186" x14ac:dyDescent="0.15">
      <c r="AG389"/>
      <c r="AH389"/>
      <c r="AJ389"/>
      <c r="AK389"/>
      <c r="AL389"/>
      <c r="AM389"/>
      <c r="AO389"/>
      <c r="AP389"/>
      <c r="AQ389"/>
      <c r="AR389"/>
      <c r="AS389"/>
      <c r="AT389"/>
      <c r="AU389"/>
      <c r="AV389"/>
      <c r="AW389"/>
      <c r="AX389"/>
      <c r="AY389"/>
      <c r="AZ389"/>
      <c r="BA389"/>
      <c r="BB389"/>
      <c r="BC389"/>
      <c r="BD389"/>
      <c r="BE389"/>
      <c r="BF389"/>
      <c r="BH389"/>
      <c r="BI389"/>
      <c r="BJ389"/>
      <c r="BK389"/>
      <c r="BL389"/>
      <c r="BM389"/>
      <c r="BN389"/>
      <c r="BP389"/>
      <c r="BQ389"/>
      <c r="BR389"/>
      <c r="BS389"/>
      <c r="BT389"/>
      <c r="BU389"/>
      <c r="BV389"/>
      <c r="BW389"/>
      <c r="BZ389"/>
      <c r="CA389"/>
      <c r="CB389"/>
      <c r="CC389"/>
      <c r="CD389"/>
      <c r="CF389"/>
      <c r="CG389"/>
      <c r="CH389"/>
      <c r="CI389"/>
      <c r="CJ389"/>
      <c r="CK389"/>
      <c r="CL389"/>
      <c r="CM389"/>
      <c r="CN389"/>
      <c r="CO389"/>
      <c r="CP389"/>
      <c r="CQ389"/>
      <c r="CR389"/>
      <c r="CS389"/>
      <c r="CT389"/>
      <c r="CU389"/>
      <c r="CV389"/>
      <c r="CW389"/>
      <c r="CX389"/>
      <c r="CY389"/>
      <c r="CZ389"/>
      <c r="DA389"/>
      <c r="DB389"/>
      <c r="DC389"/>
      <c r="DD389"/>
      <c r="DE389"/>
      <c r="DG389"/>
      <c r="DH389"/>
      <c r="DI389"/>
      <c r="DJ389"/>
      <c r="DK389"/>
      <c r="DL389"/>
      <c r="DM389"/>
      <c r="DN389"/>
      <c r="DO389"/>
      <c r="DP389"/>
      <c r="DQ389"/>
      <c r="DR389"/>
      <c r="DS389"/>
      <c r="DT389"/>
      <c r="DU389"/>
      <c r="DV389"/>
      <c r="DW389"/>
      <c r="DZ389"/>
      <c r="EA389"/>
      <c r="EB389"/>
      <c r="EC389"/>
      <c r="ED389"/>
      <c r="EE389"/>
      <c r="EF389"/>
      <c r="EG389"/>
      <c r="EJ389"/>
      <c r="EK389"/>
      <c r="EL389"/>
      <c r="EM389"/>
      <c r="EN389"/>
      <c r="EO389"/>
      <c r="EP389"/>
      <c r="EQ389"/>
      <c r="ER389"/>
      <c r="ES389"/>
      <c r="ET389"/>
      <c r="EU389"/>
      <c r="EV389"/>
      <c r="EW389"/>
      <c r="EX389"/>
      <c r="EY389"/>
      <c r="EZ389"/>
      <c r="FA389"/>
      <c r="FB389"/>
      <c r="FC389"/>
      <c r="FD389"/>
      <c r="FE389"/>
      <c r="FF389"/>
      <c r="FG389"/>
      <c r="FH389"/>
      <c r="FK389"/>
      <c r="FL389"/>
      <c r="FM389"/>
      <c r="FN389"/>
      <c r="FO389"/>
      <c r="FP389"/>
      <c r="FQ389"/>
      <c r="FR389"/>
      <c r="FS389"/>
      <c r="FT389"/>
      <c r="FU389"/>
      <c r="FV389"/>
      <c r="FW389"/>
      <c r="FX389"/>
      <c r="FY389"/>
      <c r="FZ389"/>
      <c r="GA389"/>
      <c r="GB389"/>
      <c r="GC389"/>
      <c r="GD389"/>
    </row>
    <row r="390" spans="4:186" x14ac:dyDescent="0.15">
      <c r="AG390"/>
      <c r="AH390"/>
      <c r="AJ390"/>
      <c r="AK390"/>
      <c r="AL390"/>
      <c r="AM390"/>
      <c r="AO390"/>
      <c r="AP390"/>
      <c r="AQ390"/>
      <c r="AR390"/>
      <c r="AS390"/>
      <c r="AT390"/>
      <c r="AU390"/>
      <c r="AV390"/>
      <c r="AW390"/>
      <c r="AX390"/>
      <c r="AY390"/>
      <c r="AZ390"/>
      <c r="BA390"/>
      <c r="BB390"/>
      <c r="BC390"/>
      <c r="BD390"/>
      <c r="BE390"/>
      <c r="BF390"/>
      <c r="BH390"/>
      <c r="BI390"/>
      <c r="BJ390"/>
      <c r="BK390"/>
      <c r="BL390"/>
      <c r="BM390"/>
      <c r="BN390"/>
      <c r="BP390"/>
      <c r="BQ390"/>
      <c r="BR390"/>
      <c r="BS390"/>
      <c r="BT390"/>
      <c r="BU390"/>
      <c r="BV390"/>
      <c r="BW390"/>
      <c r="BZ390"/>
      <c r="CA390"/>
      <c r="CB390"/>
      <c r="CC390"/>
      <c r="CD390"/>
      <c r="CF390"/>
      <c r="CG390"/>
      <c r="CH390"/>
      <c r="CI390"/>
      <c r="CJ390"/>
      <c r="CK390"/>
      <c r="CL390"/>
      <c r="CM390"/>
      <c r="CN390"/>
      <c r="CO390"/>
      <c r="CP390"/>
      <c r="CQ390"/>
      <c r="CR390"/>
      <c r="CS390"/>
      <c r="CT390"/>
      <c r="CU390"/>
      <c r="CV390"/>
      <c r="CW390"/>
      <c r="CX390"/>
      <c r="CY390"/>
      <c r="CZ390"/>
      <c r="DA390"/>
      <c r="DB390"/>
      <c r="DC390"/>
      <c r="DD390"/>
      <c r="DE390"/>
      <c r="DG390"/>
      <c r="DH390"/>
      <c r="DI390"/>
      <c r="DJ390"/>
      <c r="DK390"/>
      <c r="DL390"/>
      <c r="DM390"/>
      <c r="DN390"/>
      <c r="DO390"/>
      <c r="DP390"/>
      <c r="DQ390"/>
      <c r="DR390"/>
      <c r="DS390"/>
      <c r="DT390"/>
      <c r="DU390"/>
      <c r="DV390"/>
      <c r="DW390"/>
      <c r="DZ390"/>
      <c r="EA390"/>
      <c r="EB390"/>
      <c r="EC390"/>
      <c r="ED390"/>
      <c r="EE390"/>
      <c r="EF390"/>
      <c r="EG390"/>
      <c r="EJ390"/>
      <c r="EK390"/>
      <c r="EL390"/>
      <c r="EM390"/>
      <c r="EN390"/>
      <c r="EO390"/>
      <c r="EP390"/>
      <c r="EQ390"/>
      <c r="ER390"/>
      <c r="ES390"/>
      <c r="ET390"/>
      <c r="EU390"/>
      <c r="EV390"/>
      <c r="EW390"/>
      <c r="EX390"/>
      <c r="EY390"/>
      <c r="EZ390"/>
      <c r="FA390"/>
      <c r="FB390"/>
      <c r="FC390"/>
      <c r="FD390"/>
      <c r="FE390"/>
      <c r="FF390"/>
      <c r="FG390"/>
      <c r="FH390"/>
      <c r="FK390"/>
      <c r="FL390"/>
      <c r="FM390"/>
      <c r="FN390"/>
      <c r="FO390"/>
      <c r="FP390"/>
      <c r="FQ390"/>
      <c r="FR390"/>
      <c r="FS390"/>
      <c r="FT390"/>
      <c r="FU390"/>
      <c r="FV390"/>
      <c r="FW390"/>
      <c r="FX390"/>
      <c r="FY390"/>
      <c r="FZ390"/>
      <c r="GA390"/>
      <c r="GB390"/>
      <c r="GC390"/>
      <c r="GD390"/>
    </row>
    <row r="391" spans="4:186" x14ac:dyDescent="0.15">
      <c r="AG391"/>
      <c r="AH391"/>
      <c r="AJ391"/>
      <c r="AK391"/>
      <c r="AL391"/>
      <c r="AM391"/>
      <c r="AO391"/>
      <c r="AP391"/>
      <c r="AQ391"/>
      <c r="AR391"/>
      <c r="AS391"/>
      <c r="AT391"/>
      <c r="AU391"/>
      <c r="AV391"/>
      <c r="AW391"/>
      <c r="AX391"/>
      <c r="AY391"/>
      <c r="AZ391"/>
      <c r="BA391"/>
      <c r="BB391"/>
      <c r="BC391"/>
      <c r="BD391"/>
      <c r="BE391"/>
      <c r="BF391"/>
      <c r="BH391"/>
      <c r="BI391"/>
      <c r="BJ391"/>
      <c r="BK391"/>
      <c r="BL391"/>
      <c r="BM391"/>
      <c r="BN391"/>
      <c r="BP391"/>
      <c r="BQ391"/>
      <c r="BR391"/>
      <c r="BS391"/>
      <c r="BT391"/>
      <c r="BU391"/>
      <c r="BV391"/>
      <c r="BW391"/>
      <c r="BZ391"/>
      <c r="CA391"/>
      <c r="CB391"/>
      <c r="CC391"/>
      <c r="CD391"/>
      <c r="CF391"/>
      <c r="CG391"/>
      <c r="CH391"/>
      <c r="CI391"/>
      <c r="CJ391"/>
      <c r="CK391"/>
      <c r="CL391"/>
      <c r="CM391"/>
      <c r="CN391"/>
      <c r="CO391"/>
      <c r="CP391"/>
      <c r="CQ391"/>
      <c r="CR391"/>
      <c r="CS391"/>
      <c r="CT391"/>
      <c r="CU391"/>
      <c r="CV391"/>
      <c r="CW391"/>
      <c r="CX391"/>
      <c r="CY391"/>
      <c r="CZ391"/>
      <c r="DA391"/>
      <c r="DB391"/>
      <c r="DC391"/>
      <c r="DD391"/>
      <c r="DE391"/>
      <c r="DG391"/>
      <c r="DH391"/>
      <c r="DI391"/>
      <c r="DJ391"/>
      <c r="DK391"/>
      <c r="DL391"/>
      <c r="DM391"/>
      <c r="DN391"/>
      <c r="DO391"/>
      <c r="DP391"/>
      <c r="DQ391"/>
      <c r="DR391"/>
      <c r="DS391"/>
      <c r="DT391"/>
      <c r="DU391"/>
      <c r="DV391"/>
      <c r="DW391"/>
      <c r="DZ391"/>
      <c r="EA391"/>
      <c r="EB391"/>
      <c r="EC391"/>
      <c r="ED391"/>
      <c r="EE391"/>
      <c r="EF391"/>
      <c r="EG391"/>
      <c r="EJ391"/>
      <c r="EK391"/>
      <c r="EL391"/>
      <c r="EM391"/>
      <c r="EN391"/>
      <c r="EO391"/>
      <c r="EP391"/>
      <c r="EQ391"/>
      <c r="ER391"/>
      <c r="ES391"/>
      <c r="ET391"/>
      <c r="EU391"/>
      <c r="EV391"/>
      <c r="EW391"/>
      <c r="EX391"/>
      <c r="EY391"/>
      <c r="EZ391"/>
      <c r="FA391"/>
      <c r="FB391"/>
      <c r="FC391"/>
      <c r="FD391"/>
      <c r="FE391"/>
      <c r="FF391"/>
      <c r="FG391"/>
      <c r="FH391"/>
      <c r="FK391"/>
      <c r="FL391"/>
      <c r="FM391"/>
      <c r="FN391"/>
      <c r="FO391"/>
      <c r="FP391"/>
      <c r="FQ391"/>
      <c r="FR391"/>
      <c r="FS391"/>
      <c r="FT391"/>
      <c r="FU391"/>
      <c r="FV391"/>
      <c r="FW391"/>
      <c r="FX391"/>
      <c r="FY391"/>
      <c r="FZ391"/>
      <c r="GA391"/>
      <c r="GB391"/>
      <c r="GC391"/>
      <c r="GD391"/>
    </row>
    <row r="392" spans="4:186" x14ac:dyDescent="0.15">
      <c r="AG392"/>
      <c r="AH392"/>
      <c r="AJ392"/>
      <c r="AK392"/>
      <c r="AL392"/>
      <c r="AM392"/>
      <c r="AO392"/>
      <c r="AP392"/>
      <c r="AQ392"/>
      <c r="AR392"/>
      <c r="AS392"/>
      <c r="AT392"/>
      <c r="AU392"/>
      <c r="AV392"/>
      <c r="AW392"/>
      <c r="AX392"/>
      <c r="AY392"/>
      <c r="AZ392"/>
      <c r="BA392"/>
      <c r="BB392"/>
      <c r="BC392"/>
      <c r="BD392"/>
      <c r="BE392"/>
      <c r="BF392"/>
      <c r="BH392"/>
      <c r="BI392"/>
      <c r="BJ392"/>
      <c r="BK392"/>
      <c r="BL392"/>
      <c r="BM392"/>
      <c r="BN392"/>
      <c r="BP392"/>
      <c r="BQ392"/>
      <c r="BR392"/>
      <c r="BS392"/>
      <c r="BT392"/>
      <c r="BU392"/>
      <c r="BV392"/>
      <c r="BW392"/>
      <c r="BZ392"/>
      <c r="CA392"/>
      <c r="CB392"/>
      <c r="CC392"/>
      <c r="CD392"/>
      <c r="CF392"/>
      <c r="CG392"/>
      <c r="CH392"/>
      <c r="CI392"/>
      <c r="CJ392"/>
      <c r="CK392"/>
      <c r="CL392"/>
      <c r="CM392"/>
      <c r="CN392"/>
      <c r="CO392"/>
      <c r="CP392"/>
      <c r="CQ392"/>
      <c r="CR392"/>
      <c r="CS392"/>
      <c r="CT392"/>
      <c r="CU392"/>
      <c r="CV392"/>
      <c r="CW392"/>
      <c r="CX392"/>
      <c r="CY392"/>
      <c r="CZ392"/>
      <c r="DA392"/>
      <c r="DB392"/>
      <c r="DC392"/>
      <c r="DD392"/>
      <c r="DE392"/>
      <c r="DG392"/>
      <c r="DH392"/>
      <c r="DI392"/>
      <c r="DJ392"/>
      <c r="DK392"/>
      <c r="DL392"/>
      <c r="DM392"/>
      <c r="DN392"/>
      <c r="DO392"/>
      <c r="DP392"/>
      <c r="DQ392"/>
      <c r="DR392"/>
      <c r="DS392"/>
      <c r="DT392"/>
      <c r="DU392"/>
      <c r="DV392"/>
      <c r="DW392"/>
      <c r="DZ392"/>
      <c r="EA392"/>
      <c r="EB392"/>
      <c r="EC392"/>
      <c r="ED392"/>
      <c r="EE392"/>
      <c r="EF392"/>
      <c r="EG392"/>
      <c r="EJ392"/>
      <c r="EK392"/>
      <c r="EL392"/>
      <c r="EM392"/>
      <c r="EN392"/>
      <c r="EO392"/>
      <c r="EP392"/>
      <c r="EQ392"/>
      <c r="ER392"/>
      <c r="ES392"/>
      <c r="ET392"/>
      <c r="EU392"/>
      <c r="EV392"/>
      <c r="EW392"/>
      <c r="EX392"/>
      <c r="EY392"/>
      <c r="EZ392"/>
      <c r="FA392"/>
      <c r="FB392"/>
      <c r="FC392"/>
      <c r="FD392"/>
      <c r="FE392"/>
      <c r="FF392"/>
      <c r="FG392"/>
      <c r="FH392"/>
      <c r="FK392"/>
      <c r="FL392"/>
      <c r="FM392"/>
      <c r="FN392"/>
      <c r="FO392"/>
      <c r="FP392"/>
      <c r="FQ392"/>
      <c r="FR392"/>
      <c r="FS392"/>
      <c r="FT392"/>
      <c r="FU392"/>
      <c r="FV392"/>
      <c r="FW392"/>
      <c r="FX392"/>
      <c r="FY392"/>
      <c r="FZ392"/>
      <c r="GA392"/>
      <c r="GB392"/>
      <c r="GC392"/>
      <c r="GD392"/>
    </row>
    <row r="393" spans="4:186" x14ac:dyDescent="0.15">
      <c r="AG393"/>
      <c r="AH393"/>
      <c r="AJ393"/>
      <c r="AK393"/>
      <c r="AL393"/>
      <c r="AM393"/>
      <c r="AO393"/>
      <c r="AP393"/>
      <c r="AQ393"/>
      <c r="AR393"/>
      <c r="AS393"/>
      <c r="AT393"/>
      <c r="AU393"/>
      <c r="AV393"/>
      <c r="AW393"/>
      <c r="AX393"/>
      <c r="AY393"/>
      <c r="AZ393"/>
      <c r="BA393"/>
      <c r="BB393"/>
      <c r="BC393"/>
      <c r="BD393"/>
      <c r="BE393"/>
      <c r="BF393"/>
      <c r="BH393"/>
      <c r="BI393"/>
      <c r="BJ393"/>
      <c r="BK393"/>
      <c r="BL393"/>
      <c r="BM393"/>
      <c r="BN393"/>
      <c r="BP393"/>
      <c r="BQ393"/>
      <c r="BR393"/>
      <c r="BS393"/>
      <c r="BT393"/>
      <c r="BU393"/>
      <c r="BV393"/>
      <c r="BW393"/>
      <c r="BZ393"/>
      <c r="CA393"/>
      <c r="CB393"/>
      <c r="CC393"/>
      <c r="CD393"/>
      <c r="CF393"/>
      <c r="CG393"/>
      <c r="CH393"/>
      <c r="CI393"/>
      <c r="CJ393"/>
      <c r="CK393"/>
      <c r="CL393"/>
      <c r="CM393"/>
      <c r="CN393"/>
      <c r="CO393"/>
      <c r="CP393"/>
      <c r="CQ393"/>
      <c r="CR393"/>
      <c r="CS393"/>
      <c r="CT393"/>
      <c r="CU393"/>
      <c r="CV393"/>
      <c r="CW393"/>
      <c r="CX393"/>
      <c r="CY393"/>
      <c r="CZ393"/>
      <c r="DA393"/>
      <c r="DB393"/>
      <c r="DC393"/>
      <c r="DD393"/>
      <c r="DE393"/>
      <c r="DG393"/>
      <c r="DH393"/>
      <c r="DI393"/>
      <c r="DJ393"/>
      <c r="DK393"/>
      <c r="DL393"/>
      <c r="DM393"/>
      <c r="DN393"/>
      <c r="DO393"/>
      <c r="DP393"/>
      <c r="DQ393"/>
      <c r="DR393"/>
      <c r="DS393"/>
      <c r="DT393"/>
      <c r="DU393"/>
      <c r="DV393"/>
      <c r="DW393"/>
      <c r="DZ393"/>
      <c r="EA393"/>
      <c r="EB393"/>
      <c r="EC393"/>
      <c r="ED393"/>
      <c r="EE393"/>
      <c r="EF393"/>
      <c r="EG393"/>
      <c r="EJ393"/>
      <c r="EK393"/>
      <c r="EL393"/>
      <c r="EM393"/>
      <c r="EN393"/>
      <c r="EO393"/>
      <c r="EP393"/>
      <c r="EQ393"/>
      <c r="ER393"/>
      <c r="ES393"/>
      <c r="ET393"/>
      <c r="EU393"/>
      <c r="EV393"/>
      <c r="EW393"/>
      <c r="EX393"/>
      <c r="EY393"/>
      <c r="EZ393"/>
      <c r="FA393"/>
      <c r="FB393"/>
      <c r="FC393"/>
      <c r="FD393"/>
      <c r="FE393"/>
      <c r="FF393"/>
      <c r="FG393"/>
      <c r="FH393"/>
      <c r="FK393"/>
      <c r="FL393"/>
      <c r="FM393"/>
      <c r="FN393"/>
      <c r="FO393"/>
      <c r="FP393"/>
      <c r="FQ393"/>
      <c r="FR393"/>
      <c r="FS393"/>
      <c r="FT393"/>
      <c r="FU393"/>
      <c r="FV393"/>
      <c r="FW393"/>
      <c r="FX393"/>
      <c r="FY393"/>
      <c r="FZ393"/>
      <c r="GA393"/>
      <c r="GB393"/>
      <c r="GC393"/>
      <c r="GD393"/>
    </row>
    <row r="394" spans="4:186" x14ac:dyDescent="0.15">
      <c r="AG394"/>
      <c r="AH394"/>
      <c r="AJ394"/>
      <c r="AK394"/>
      <c r="AL394"/>
      <c r="AM394"/>
      <c r="AO394"/>
      <c r="AP394"/>
      <c r="AQ394"/>
      <c r="AR394"/>
      <c r="AS394"/>
      <c r="AT394"/>
      <c r="AU394"/>
      <c r="AV394"/>
      <c r="AW394"/>
      <c r="AX394"/>
      <c r="AY394"/>
      <c r="AZ394"/>
      <c r="BA394"/>
      <c r="BB394"/>
      <c r="BC394"/>
      <c r="BD394"/>
      <c r="BE394"/>
      <c r="BF394"/>
      <c r="BH394"/>
      <c r="BI394"/>
      <c r="BJ394"/>
      <c r="BK394"/>
      <c r="BL394"/>
      <c r="BM394"/>
      <c r="BN394"/>
      <c r="BP394"/>
      <c r="BQ394"/>
      <c r="BR394"/>
      <c r="BS394"/>
      <c r="BT394"/>
      <c r="BU394"/>
      <c r="BV394"/>
      <c r="BW394"/>
      <c r="BZ394"/>
      <c r="CA394"/>
      <c r="CB394"/>
      <c r="CC394"/>
      <c r="CD394"/>
      <c r="CF394"/>
      <c r="CG394"/>
      <c r="CH394"/>
      <c r="CI394"/>
      <c r="CJ394"/>
      <c r="CK394"/>
      <c r="CL394"/>
      <c r="CM394"/>
      <c r="CN394"/>
      <c r="CO394"/>
      <c r="CP394"/>
      <c r="CQ394"/>
      <c r="CR394"/>
      <c r="CS394"/>
      <c r="CT394"/>
      <c r="CU394"/>
      <c r="CV394"/>
      <c r="CW394"/>
      <c r="CX394"/>
      <c r="CY394"/>
      <c r="CZ394"/>
      <c r="DA394"/>
      <c r="DB394"/>
      <c r="DC394"/>
      <c r="DD394"/>
      <c r="DE394"/>
      <c r="DG394"/>
      <c r="DH394"/>
      <c r="DI394"/>
      <c r="DJ394"/>
      <c r="DK394"/>
      <c r="DL394"/>
      <c r="DM394"/>
      <c r="DN394"/>
      <c r="DO394"/>
      <c r="DP394"/>
      <c r="DQ394"/>
      <c r="DR394"/>
      <c r="DS394"/>
      <c r="DT394"/>
      <c r="DU394"/>
      <c r="DV394"/>
      <c r="DW394"/>
      <c r="DZ394"/>
      <c r="EA394"/>
      <c r="EB394"/>
      <c r="EC394"/>
      <c r="ED394"/>
      <c r="EE394"/>
      <c r="EF394"/>
      <c r="EG394"/>
      <c r="EJ394"/>
      <c r="EK394"/>
      <c r="EL394"/>
      <c r="EM394"/>
      <c r="EN394"/>
      <c r="EO394"/>
      <c r="EP394"/>
      <c r="EQ394"/>
      <c r="ER394"/>
      <c r="ES394"/>
      <c r="ET394"/>
      <c r="EU394"/>
      <c r="EV394"/>
      <c r="EW394"/>
      <c r="EX394"/>
      <c r="EY394"/>
      <c r="EZ394"/>
      <c r="FA394"/>
      <c r="FB394"/>
      <c r="FC394"/>
      <c r="FD394"/>
      <c r="FE394"/>
      <c r="FF394"/>
      <c r="FG394"/>
      <c r="FH394"/>
      <c r="FK394"/>
      <c r="FL394"/>
      <c r="FM394"/>
      <c r="FN394"/>
      <c r="FO394"/>
      <c r="FP394"/>
      <c r="FQ394"/>
      <c r="FR394"/>
      <c r="FS394"/>
      <c r="FT394"/>
      <c r="FU394"/>
      <c r="FV394"/>
      <c r="FW394"/>
      <c r="FX394"/>
      <c r="FY394"/>
      <c r="FZ394"/>
      <c r="GA394"/>
      <c r="GB394"/>
      <c r="GC394"/>
      <c r="GD394"/>
    </row>
    <row r="395" spans="4:186" x14ac:dyDescent="0.15">
      <c r="AG395"/>
      <c r="AH395"/>
      <c r="AJ395"/>
      <c r="AK395"/>
      <c r="AL395"/>
      <c r="AM395"/>
      <c r="AO395"/>
      <c r="AP395"/>
      <c r="AQ395"/>
      <c r="AR395"/>
      <c r="AS395"/>
      <c r="AT395"/>
      <c r="AU395"/>
      <c r="AV395"/>
      <c r="AW395"/>
      <c r="AX395"/>
      <c r="AY395"/>
      <c r="AZ395"/>
      <c r="BA395"/>
      <c r="BB395"/>
      <c r="BC395"/>
      <c r="BD395"/>
      <c r="BE395"/>
      <c r="BF395"/>
      <c r="BH395"/>
      <c r="BI395"/>
      <c r="BJ395"/>
      <c r="BK395"/>
      <c r="BL395"/>
      <c r="BM395"/>
      <c r="BN395"/>
      <c r="BP395"/>
      <c r="BQ395"/>
      <c r="BR395"/>
      <c r="BS395"/>
      <c r="BT395"/>
      <c r="BU395"/>
      <c r="BV395"/>
      <c r="BW395"/>
      <c r="BZ395"/>
      <c r="CA395"/>
      <c r="CB395"/>
      <c r="CC395"/>
      <c r="CD395"/>
      <c r="CF395"/>
      <c r="CG395"/>
      <c r="CH395"/>
      <c r="CI395"/>
      <c r="CJ395"/>
      <c r="CK395"/>
      <c r="CL395"/>
      <c r="CM395"/>
      <c r="CN395"/>
      <c r="CO395"/>
      <c r="CP395"/>
      <c r="CQ395"/>
      <c r="CR395"/>
      <c r="CS395"/>
      <c r="CT395"/>
      <c r="CU395"/>
      <c r="CV395"/>
      <c r="CW395"/>
      <c r="CX395"/>
      <c r="CY395"/>
      <c r="CZ395"/>
      <c r="DA395"/>
      <c r="DB395"/>
      <c r="DC395"/>
      <c r="DD395"/>
      <c r="DE395"/>
      <c r="DG395"/>
      <c r="DH395"/>
      <c r="DI395"/>
      <c r="DJ395"/>
      <c r="DK395"/>
      <c r="DL395"/>
      <c r="DM395"/>
      <c r="DN395"/>
      <c r="DO395"/>
      <c r="DP395"/>
      <c r="DQ395"/>
      <c r="DR395"/>
      <c r="DS395"/>
      <c r="DT395"/>
      <c r="DU395"/>
      <c r="DV395"/>
      <c r="DW395"/>
      <c r="DZ395"/>
      <c r="EA395"/>
      <c r="EB395"/>
      <c r="EC395"/>
      <c r="ED395"/>
      <c r="EE395"/>
      <c r="EF395"/>
      <c r="EG395"/>
      <c r="EJ395"/>
      <c r="EK395"/>
      <c r="EL395"/>
      <c r="EM395"/>
      <c r="EN395"/>
      <c r="EO395"/>
      <c r="EP395"/>
      <c r="EQ395"/>
      <c r="ER395"/>
      <c r="ES395"/>
      <c r="ET395"/>
      <c r="EU395"/>
      <c r="EV395"/>
      <c r="EW395"/>
      <c r="EX395"/>
      <c r="EY395"/>
      <c r="EZ395"/>
      <c r="FA395"/>
      <c r="FB395"/>
      <c r="FC395"/>
      <c r="FD395"/>
      <c r="FE395"/>
      <c r="FF395"/>
      <c r="FG395"/>
      <c r="FH395"/>
      <c r="FK395"/>
      <c r="FL395"/>
      <c r="FM395"/>
      <c r="FN395"/>
      <c r="FO395"/>
      <c r="FP395"/>
      <c r="FQ395"/>
      <c r="FR395"/>
      <c r="FS395"/>
      <c r="FT395"/>
      <c r="FU395"/>
      <c r="FV395"/>
      <c r="FW395"/>
      <c r="FX395"/>
      <c r="FY395"/>
      <c r="FZ395"/>
      <c r="GA395"/>
      <c r="GB395"/>
      <c r="GC395"/>
      <c r="GD395"/>
    </row>
    <row r="396" spans="4:186" x14ac:dyDescent="0.15">
      <c r="AG396"/>
      <c r="AH396"/>
      <c r="AJ396"/>
      <c r="AK396"/>
      <c r="AL396"/>
      <c r="AM396"/>
      <c r="AO396"/>
      <c r="AP396"/>
      <c r="AQ396"/>
      <c r="AR396"/>
      <c r="AS396"/>
      <c r="AT396"/>
      <c r="AU396"/>
      <c r="AV396"/>
      <c r="AW396"/>
      <c r="AX396"/>
      <c r="AY396"/>
      <c r="AZ396"/>
      <c r="BA396"/>
      <c r="BB396"/>
      <c r="BC396"/>
      <c r="BD396"/>
      <c r="BE396"/>
      <c r="BF396"/>
      <c r="BH396"/>
      <c r="BI396"/>
      <c r="BJ396"/>
      <c r="BK396"/>
      <c r="BL396"/>
      <c r="BM396"/>
      <c r="BN396"/>
      <c r="BP396"/>
      <c r="BQ396"/>
      <c r="BR396"/>
      <c r="BS396"/>
      <c r="BT396"/>
      <c r="BU396"/>
      <c r="BV396"/>
      <c r="BW396"/>
      <c r="BZ396"/>
      <c r="CA396"/>
      <c r="CB396"/>
      <c r="CC396"/>
      <c r="CD396"/>
      <c r="CF396"/>
      <c r="CG396"/>
      <c r="CH396"/>
      <c r="CI396"/>
      <c r="CJ396"/>
      <c r="CK396"/>
      <c r="CL396"/>
      <c r="CM396"/>
      <c r="CN396"/>
      <c r="CO396"/>
      <c r="CP396"/>
      <c r="CQ396"/>
      <c r="CR396"/>
      <c r="CS396"/>
      <c r="CT396"/>
      <c r="CU396"/>
      <c r="CV396"/>
      <c r="CW396"/>
      <c r="CX396"/>
      <c r="CY396"/>
      <c r="CZ396"/>
      <c r="DA396"/>
      <c r="DB396"/>
      <c r="DC396"/>
      <c r="DD396"/>
      <c r="DE396"/>
      <c r="DG396"/>
      <c r="DH396"/>
      <c r="DI396"/>
      <c r="DJ396"/>
      <c r="DK396"/>
      <c r="DL396"/>
      <c r="DM396"/>
      <c r="DN396"/>
      <c r="DO396"/>
      <c r="DP396"/>
      <c r="DQ396"/>
      <c r="DR396"/>
      <c r="DS396"/>
      <c r="DT396"/>
      <c r="DU396"/>
      <c r="DV396"/>
      <c r="DW396"/>
      <c r="DZ396"/>
      <c r="EA396"/>
      <c r="EB396"/>
      <c r="EC396"/>
      <c r="ED396"/>
      <c r="EE396"/>
      <c r="EF396"/>
      <c r="EG396"/>
      <c r="EJ396"/>
      <c r="EK396"/>
      <c r="EL396"/>
      <c r="EM396"/>
      <c r="EN396"/>
      <c r="EO396"/>
      <c r="EP396"/>
      <c r="EQ396"/>
      <c r="ER396"/>
      <c r="ES396"/>
      <c r="ET396"/>
      <c r="EU396"/>
      <c r="EV396"/>
      <c r="EW396"/>
      <c r="EX396"/>
      <c r="EY396"/>
      <c r="EZ396"/>
      <c r="FA396"/>
      <c r="FB396"/>
      <c r="FC396"/>
      <c r="FD396"/>
      <c r="FE396"/>
      <c r="FF396"/>
      <c r="FG396"/>
      <c r="FH396"/>
      <c r="FK396"/>
      <c r="FL396"/>
      <c r="FM396"/>
      <c r="FN396"/>
      <c r="FO396"/>
      <c r="FP396"/>
      <c r="FQ396"/>
      <c r="FR396"/>
      <c r="FS396"/>
      <c r="FT396"/>
      <c r="FU396"/>
      <c r="FV396"/>
      <c r="FW396"/>
      <c r="FX396"/>
      <c r="FY396"/>
      <c r="FZ396"/>
      <c r="GA396"/>
      <c r="GB396"/>
      <c r="GC396"/>
      <c r="GD396"/>
    </row>
    <row r="397" spans="4:186" x14ac:dyDescent="0.15">
      <c r="AG397"/>
      <c r="AH397"/>
      <c r="AJ397"/>
      <c r="AK397"/>
      <c r="AL397"/>
      <c r="AM397"/>
      <c r="AO397"/>
      <c r="AP397"/>
      <c r="AQ397"/>
      <c r="AR397"/>
      <c r="AS397"/>
      <c r="AT397"/>
      <c r="AU397"/>
      <c r="AV397"/>
      <c r="AW397"/>
      <c r="AX397"/>
      <c r="AY397"/>
      <c r="AZ397"/>
      <c r="BA397"/>
      <c r="BB397"/>
      <c r="BC397"/>
      <c r="BD397"/>
      <c r="BE397"/>
      <c r="BF397"/>
      <c r="BH397"/>
      <c r="BI397"/>
      <c r="BJ397"/>
      <c r="BK397"/>
      <c r="BL397"/>
      <c r="BM397"/>
      <c r="BN397"/>
      <c r="BP397"/>
      <c r="BQ397"/>
      <c r="BR397"/>
      <c r="BS397"/>
      <c r="BT397"/>
      <c r="BU397"/>
      <c r="BV397"/>
      <c r="BW397"/>
      <c r="BZ397"/>
      <c r="CA397"/>
      <c r="CB397"/>
      <c r="CC397"/>
      <c r="CD397"/>
      <c r="CF397"/>
      <c r="CG397"/>
      <c r="CH397"/>
      <c r="CI397"/>
      <c r="CJ397"/>
      <c r="CK397"/>
      <c r="CL397"/>
      <c r="CM397"/>
      <c r="CN397"/>
      <c r="CO397"/>
      <c r="CP397"/>
      <c r="CQ397"/>
      <c r="CR397"/>
      <c r="CS397"/>
      <c r="CT397"/>
      <c r="CU397"/>
      <c r="CV397"/>
      <c r="CW397"/>
      <c r="CX397"/>
      <c r="CY397"/>
      <c r="CZ397"/>
      <c r="DA397"/>
      <c r="DB397"/>
      <c r="DC397"/>
      <c r="DD397"/>
      <c r="DE397"/>
      <c r="DG397"/>
      <c r="DH397"/>
      <c r="DI397"/>
      <c r="DJ397"/>
      <c r="DK397"/>
      <c r="DL397"/>
      <c r="DM397"/>
      <c r="DN397"/>
      <c r="DO397"/>
      <c r="DP397"/>
      <c r="DQ397"/>
      <c r="DR397"/>
      <c r="DS397"/>
      <c r="DT397"/>
      <c r="DU397"/>
      <c r="DV397"/>
      <c r="DW397"/>
      <c r="DZ397"/>
      <c r="EA397"/>
      <c r="EB397"/>
      <c r="EC397"/>
      <c r="ED397"/>
      <c r="EE397"/>
      <c r="EF397"/>
      <c r="EG397"/>
      <c r="EJ397"/>
      <c r="EK397"/>
      <c r="EL397"/>
      <c r="EM397"/>
      <c r="EN397"/>
      <c r="EO397"/>
      <c r="EP397"/>
      <c r="EQ397"/>
      <c r="ER397"/>
      <c r="ES397"/>
      <c r="ET397"/>
      <c r="EU397"/>
      <c r="EV397"/>
      <c r="EW397"/>
      <c r="EX397"/>
      <c r="EY397"/>
      <c r="EZ397"/>
      <c r="FA397"/>
      <c r="FB397"/>
      <c r="FC397"/>
      <c r="FD397"/>
      <c r="FE397"/>
      <c r="FF397"/>
      <c r="FG397"/>
      <c r="FH397"/>
      <c r="FK397"/>
      <c r="FL397"/>
      <c r="FM397"/>
      <c r="FN397"/>
      <c r="FO397"/>
      <c r="FP397"/>
      <c r="FQ397"/>
      <c r="FR397"/>
      <c r="FS397"/>
      <c r="FT397"/>
      <c r="FU397"/>
      <c r="FV397"/>
      <c r="FW397"/>
      <c r="FX397"/>
      <c r="FY397"/>
      <c r="FZ397"/>
      <c r="GA397"/>
      <c r="GB397"/>
      <c r="GC397"/>
      <c r="GD397"/>
    </row>
    <row r="398" spans="4:186" x14ac:dyDescent="0.15">
      <c r="AG398"/>
      <c r="AH398"/>
      <c r="AJ398"/>
      <c r="AK398"/>
      <c r="AL398"/>
      <c r="AM398"/>
      <c r="AO398"/>
      <c r="AP398"/>
      <c r="AQ398"/>
      <c r="AR398"/>
      <c r="AS398"/>
      <c r="AT398"/>
      <c r="AU398"/>
      <c r="AV398"/>
      <c r="AW398"/>
      <c r="AX398"/>
      <c r="AY398"/>
      <c r="AZ398"/>
      <c r="BA398"/>
      <c r="BB398"/>
      <c r="BC398"/>
      <c r="BD398"/>
      <c r="BE398"/>
      <c r="BF398"/>
      <c r="BH398"/>
      <c r="BI398"/>
      <c r="BJ398"/>
      <c r="BK398"/>
      <c r="BL398"/>
      <c r="BM398"/>
      <c r="BN398"/>
      <c r="BP398"/>
      <c r="BQ398"/>
      <c r="BR398"/>
      <c r="BS398"/>
      <c r="BT398"/>
      <c r="BU398"/>
      <c r="BV398"/>
      <c r="BW398"/>
      <c r="BZ398"/>
      <c r="CA398"/>
      <c r="CB398"/>
      <c r="CC398"/>
      <c r="CD398"/>
      <c r="CF398"/>
      <c r="CG398"/>
      <c r="CH398"/>
      <c r="CI398"/>
      <c r="CJ398"/>
      <c r="CK398"/>
      <c r="CL398"/>
      <c r="CM398"/>
      <c r="CN398"/>
      <c r="CO398"/>
      <c r="CP398"/>
      <c r="CQ398"/>
      <c r="CR398"/>
      <c r="CS398"/>
      <c r="CT398"/>
      <c r="CU398"/>
      <c r="CV398"/>
      <c r="CW398"/>
      <c r="CX398"/>
      <c r="CY398"/>
      <c r="CZ398"/>
      <c r="DA398"/>
      <c r="DB398"/>
      <c r="DC398"/>
      <c r="DD398"/>
      <c r="DE398"/>
      <c r="DG398"/>
      <c r="DH398"/>
      <c r="DI398"/>
      <c r="DJ398"/>
      <c r="DK398"/>
      <c r="DL398"/>
      <c r="DM398"/>
      <c r="DN398"/>
      <c r="DO398"/>
      <c r="DP398"/>
      <c r="DQ398"/>
      <c r="DR398"/>
      <c r="DS398"/>
      <c r="DT398"/>
      <c r="DU398"/>
      <c r="DV398"/>
      <c r="DW398"/>
      <c r="DZ398"/>
      <c r="EA398"/>
      <c r="EB398"/>
      <c r="EC398"/>
      <c r="ED398"/>
      <c r="EE398"/>
      <c r="EF398"/>
      <c r="EG398"/>
      <c r="EJ398"/>
      <c r="EK398"/>
      <c r="EL398"/>
      <c r="EM398"/>
      <c r="EN398"/>
      <c r="EO398"/>
      <c r="EP398"/>
      <c r="EQ398"/>
      <c r="ER398"/>
      <c r="ES398"/>
      <c r="ET398"/>
      <c r="EU398"/>
      <c r="EV398"/>
      <c r="EW398"/>
      <c r="EX398"/>
      <c r="EY398"/>
      <c r="EZ398"/>
      <c r="FA398"/>
      <c r="FB398"/>
      <c r="FC398"/>
      <c r="FD398"/>
      <c r="FE398"/>
      <c r="FF398"/>
      <c r="FG398"/>
      <c r="FH398"/>
      <c r="FK398"/>
      <c r="FL398"/>
      <c r="FM398"/>
      <c r="FN398"/>
      <c r="FO398"/>
      <c r="FP398"/>
      <c r="FQ398"/>
      <c r="FR398"/>
      <c r="FS398"/>
      <c r="FT398"/>
      <c r="FU398"/>
      <c r="FV398"/>
      <c r="FW398"/>
      <c r="FX398"/>
      <c r="FY398"/>
      <c r="FZ398"/>
      <c r="GA398"/>
      <c r="GB398"/>
      <c r="GC398"/>
      <c r="GD398"/>
    </row>
    <row r="399" spans="4:186" x14ac:dyDescent="0.15">
      <c r="AG399"/>
      <c r="AH399"/>
      <c r="AJ399"/>
      <c r="AK399"/>
      <c r="AL399"/>
      <c r="AM399"/>
      <c r="AO399"/>
      <c r="AP399"/>
      <c r="AQ399"/>
      <c r="AR399"/>
      <c r="AS399"/>
      <c r="AT399"/>
      <c r="AU399"/>
      <c r="AV399"/>
      <c r="AW399"/>
      <c r="AX399"/>
      <c r="AY399"/>
      <c r="AZ399"/>
      <c r="BA399"/>
      <c r="BB399"/>
      <c r="BC399"/>
      <c r="BD399"/>
      <c r="BE399"/>
      <c r="BF399"/>
      <c r="BH399"/>
      <c r="BI399"/>
      <c r="BJ399"/>
      <c r="BK399"/>
      <c r="BL399"/>
      <c r="BM399"/>
      <c r="BN399"/>
      <c r="BP399"/>
      <c r="BQ399"/>
      <c r="BR399"/>
      <c r="BS399"/>
      <c r="BT399"/>
      <c r="BU399"/>
      <c r="BV399"/>
      <c r="BW399"/>
      <c r="BZ399"/>
      <c r="CA399"/>
      <c r="CB399"/>
      <c r="CC399"/>
      <c r="CD399"/>
      <c r="CF399"/>
      <c r="CG399"/>
      <c r="CH399"/>
      <c r="CI399"/>
      <c r="CJ399"/>
      <c r="CK399"/>
      <c r="CL399"/>
      <c r="CM399"/>
      <c r="CN399"/>
      <c r="CO399"/>
      <c r="CP399"/>
      <c r="CQ399"/>
      <c r="CR399"/>
      <c r="CS399"/>
      <c r="CT399"/>
      <c r="CU399"/>
      <c r="CV399"/>
      <c r="CW399"/>
      <c r="CX399"/>
      <c r="CY399"/>
      <c r="CZ399"/>
      <c r="DA399"/>
      <c r="DB399"/>
      <c r="DC399"/>
      <c r="DD399"/>
      <c r="DE399"/>
      <c r="DG399"/>
      <c r="DH399"/>
      <c r="DI399"/>
      <c r="DJ399"/>
      <c r="DK399"/>
      <c r="DL399"/>
      <c r="DM399"/>
      <c r="DN399"/>
      <c r="DO399"/>
      <c r="DP399"/>
      <c r="DQ399"/>
      <c r="DR399"/>
      <c r="DS399"/>
      <c r="DT399"/>
      <c r="DU399"/>
      <c r="DV399"/>
      <c r="DW399"/>
      <c r="DZ399"/>
      <c r="EA399"/>
      <c r="EB399"/>
      <c r="EC399"/>
      <c r="ED399"/>
      <c r="EE399"/>
      <c r="EF399"/>
      <c r="EG399"/>
      <c r="EJ399"/>
      <c r="EK399"/>
      <c r="EL399"/>
      <c r="EM399"/>
      <c r="EN399"/>
      <c r="EO399"/>
      <c r="EP399"/>
      <c r="EQ399"/>
      <c r="ER399"/>
      <c r="ES399"/>
      <c r="ET399"/>
      <c r="EU399"/>
      <c r="EV399"/>
      <c r="EW399"/>
      <c r="EX399"/>
      <c r="EY399"/>
      <c r="EZ399"/>
      <c r="FA399"/>
      <c r="FB399"/>
      <c r="FC399"/>
      <c r="FD399"/>
      <c r="FE399"/>
      <c r="FF399"/>
      <c r="FG399"/>
      <c r="FH399"/>
      <c r="FK399"/>
      <c r="FL399"/>
      <c r="FM399"/>
      <c r="FN399"/>
      <c r="FO399"/>
      <c r="FP399"/>
      <c r="FQ399"/>
      <c r="FR399"/>
      <c r="FS399"/>
      <c r="FT399"/>
      <c r="FU399"/>
      <c r="FV399"/>
      <c r="FW399"/>
      <c r="FX399"/>
      <c r="FY399"/>
      <c r="FZ399"/>
      <c r="GA399"/>
      <c r="GB399"/>
      <c r="GC399"/>
      <c r="GD399"/>
    </row>
    <row r="400" spans="4:186" ht="18" x14ac:dyDescent="0.2">
      <c r="D400" s="18" t="str">
        <f>$D$1</f>
        <v>Type 'Heading' Here</v>
      </c>
      <c r="AG400"/>
      <c r="AH400"/>
      <c r="AJ400"/>
      <c r="AK400"/>
      <c r="AL400"/>
      <c r="AM400"/>
      <c r="AO400"/>
      <c r="AP400"/>
      <c r="AQ400"/>
      <c r="AR400"/>
      <c r="AS400"/>
      <c r="AT400"/>
      <c r="AU400"/>
      <c r="AV400"/>
      <c r="AW400"/>
      <c r="AX400"/>
      <c r="AY400"/>
      <c r="AZ400"/>
      <c r="BA400"/>
      <c r="BB400"/>
      <c r="BC400"/>
      <c r="BD400"/>
      <c r="BE400"/>
      <c r="BF400"/>
      <c r="BH400"/>
      <c r="BI400"/>
      <c r="BJ400"/>
      <c r="BK400"/>
      <c r="BL400"/>
      <c r="BM400"/>
      <c r="BN400"/>
      <c r="BP400"/>
      <c r="BQ400"/>
      <c r="BR400"/>
      <c r="BS400"/>
      <c r="BT400"/>
      <c r="BU400"/>
      <c r="BV400"/>
      <c r="BW400"/>
      <c r="BZ400"/>
      <c r="CA400"/>
      <c r="CB400"/>
      <c r="CC400"/>
      <c r="CD400"/>
      <c r="CF400"/>
      <c r="CG400"/>
      <c r="CH400"/>
      <c r="CI400"/>
      <c r="CJ400"/>
      <c r="CK400"/>
      <c r="CL400"/>
      <c r="CM400"/>
      <c r="CN400"/>
      <c r="CO400"/>
      <c r="CP400"/>
      <c r="CQ400"/>
      <c r="CR400"/>
      <c r="CS400"/>
      <c r="CT400"/>
      <c r="CU400"/>
      <c r="CV400"/>
      <c r="CW400"/>
      <c r="CX400"/>
      <c r="CY400"/>
      <c r="CZ400"/>
      <c r="DA400"/>
      <c r="DB400"/>
      <c r="DC400"/>
      <c r="DD400"/>
      <c r="DE400"/>
      <c r="DG400"/>
      <c r="DH400"/>
      <c r="DI400"/>
      <c r="DJ400"/>
      <c r="DK400"/>
      <c r="DL400"/>
      <c r="DM400"/>
      <c r="DN400"/>
      <c r="DO400"/>
      <c r="DP400"/>
      <c r="DQ400"/>
      <c r="DR400"/>
      <c r="DS400"/>
      <c r="DT400"/>
      <c r="DU400"/>
      <c r="DV400"/>
      <c r="DW400"/>
      <c r="DZ400"/>
      <c r="EA400"/>
      <c r="EB400"/>
      <c r="EC400"/>
      <c r="ED400"/>
      <c r="EE400"/>
      <c r="EF400"/>
      <c r="EG400"/>
      <c r="EJ400"/>
      <c r="EK400"/>
      <c r="EL400"/>
      <c r="EM400"/>
      <c r="EN400"/>
      <c r="EO400"/>
      <c r="EP400"/>
      <c r="EQ400"/>
      <c r="ER400"/>
      <c r="ES400"/>
      <c r="ET400"/>
      <c r="EU400"/>
      <c r="EV400"/>
      <c r="EW400"/>
      <c r="EX400"/>
      <c r="EY400"/>
      <c r="EZ400"/>
      <c r="FA400"/>
      <c r="FB400"/>
      <c r="FC400"/>
      <c r="FD400"/>
      <c r="FE400"/>
      <c r="FF400"/>
      <c r="FG400"/>
      <c r="FH400"/>
      <c r="FK400"/>
      <c r="FL400"/>
      <c r="FM400"/>
      <c r="FN400"/>
      <c r="FO400"/>
      <c r="FP400"/>
      <c r="FQ400"/>
      <c r="FR400"/>
      <c r="FS400"/>
      <c r="FT400"/>
      <c r="FU400"/>
      <c r="FV400"/>
      <c r="FW400"/>
      <c r="FX400"/>
      <c r="FY400"/>
      <c r="FZ400"/>
      <c r="GA400"/>
      <c r="GB400"/>
      <c r="GC400"/>
      <c r="GD400"/>
    </row>
    <row r="401" spans="4:186" x14ac:dyDescent="0.15">
      <c r="D401" s="23" t="s">
        <v>154</v>
      </c>
      <c r="AG401"/>
      <c r="AH401"/>
      <c r="AJ401"/>
      <c r="AK401"/>
      <c r="AL401"/>
      <c r="AM401"/>
      <c r="AO401"/>
      <c r="AP401"/>
      <c r="AQ401"/>
      <c r="AR401"/>
      <c r="AS401"/>
      <c r="AT401"/>
      <c r="AU401"/>
      <c r="AV401"/>
      <c r="AW401"/>
      <c r="AX401"/>
      <c r="AY401"/>
      <c r="AZ401"/>
      <c r="BA401"/>
      <c r="BB401"/>
      <c r="BC401"/>
      <c r="BD401"/>
      <c r="BE401"/>
      <c r="BF401"/>
      <c r="BH401"/>
      <c r="BI401"/>
      <c r="BJ401"/>
      <c r="BK401"/>
      <c r="BL401"/>
      <c r="BM401"/>
      <c r="BN401"/>
      <c r="BP401"/>
      <c r="BQ401"/>
      <c r="BR401"/>
      <c r="BS401"/>
      <c r="BT401"/>
      <c r="BU401"/>
      <c r="BV401"/>
      <c r="BW401"/>
      <c r="BZ401"/>
      <c r="CA401"/>
      <c r="CB401"/>
      <c r="CC401"/>
      <c r="CD401"/>
      <c r="CF401"/>
      <c r="CG401"/>
      <c r="CH401"/>
      <c r="CI401"/>
      <c r="CJ401"/>
      <c r="CK401"/>
      <c r="CL401"/>
      <c r="CM401"/>
      <c r="CN401"/>
      <c r="CO401"/>
      <c r="CP401"/>
      <c r="CQ401"/>
      <c r="CR401"/>
      <c r="CS401"/>
      <c r="CT401"/>
      <c r="CU401"/>
      <c r="CV401"/>
      <c r="CW401"/>
      <c r="CX401"/>
      <c r="CY401"/>
      <c r="CZ401"/>
      <c r="DA401"/>
      <c r="DB401"/>
      <c r="DC401"/>
      <c r="DD401"/>
      <c r="DE401"/>
      <c r="DG401"/>
      <c r="DH401"/>
      <c r="DI401"/>
      <c r="DJ401"/>
      <c r="DK401"/>
      <c r="DL401"/>
      <c r="DM401"/>
      <c r="DN401"/>
      <c r="DO401"/>
      <c r="DP401"/>
      <c r="DQ401"/>
      <c r="DR401"/>
      <c r="DS401"/>
      <c r="DT401"/>
      <c r="DU401"/>
      <c r="DV401"/>
      <c r="DW401"/>
      <c r="DZ401"/>
      <c r="EA401"/>
      <c r="EB401"/>
      <c r="EC401"/>
      <c r="ED401"/>
      <c r="EE401"/>
      <c r="EF401"/>
      <c r="EG401"/>
      <c r="EJ401"/>
      <c r="EK401"/>
      <c r="EL401"/>
      <c r="EM401"/>
      <c r="EN401"/>
      <c r="EO401"/>
      <c r="EP401"/>
      <c r="EQ401"/>
      <c r="ER401"/>
      <c r="ES401"/>
      <c r="ET401"/>
      <c r="EU401"/>
      <c r="EV401"/>
      <c r="EW401"/>
      <c r="EX401"/>
      <c r="EY401"/>
      <c r="EZ401"/>
      <c r="FA401"/>
      <c r="FB401"/>
      <c r="FC401"/>
      <c r="FD401"/>
      <c r="FE401"/>
      <c r="FF401"/>
      <c r="FG401"/>
      <c r="FH401"/>
      <c r="FK401"/>
      <c r="FL401"/>
      <c r="FM401"/>
      <c r="FN401"/>
      <c r="FO401"/>
      <c r="FP401"/>
      <c r="FQ401"/>
      <c r="FR401"/>
      <c r="FS401"/>
      <c r="FT401"/>
      <c r="FU401"/>
      <c r="FV401"/>
      <c r="FW401"/>
      <c r="FX401"/>
      <c r="FY401"/>
      <c r="FZ401"/>
      <c r="GA401"/>
      <c r="GB401"/>
      <c r="GC401"/>
      <c r="GD401"/>
    </row>
    <row r="402" spans="4:186" x14ac:dyDescent="0.15">
      <c r="AG402"/>
      <c r="AH402"/>
      <c r="AJ402"/>
      <c r="AK402"/>
      <c r="AL402"/>
      <c r="AM402"/>
      <c r="AO402"/>
      <c r="AP402"/>
      <c r="AQ402"/>
      <c r="AR402"/>
      <c r="AS402"/>
      <c r="AT402"/>
      <c r="AU402"/>
      <c r="AV402"/>
      <c r="AW402"/>
      <c r="AX402"/>
      <c r="AY402"/>
      <c r="AZ402"/>
      <c r="BA402"/>
      <c r="BB402"/>
      <c r="BC402"/>
      <c r="BD402"/>
      <c r="BE402"/>
      <c r="BF402"/>
      <c r="BH402"/>
      <c r="BI402"/>
      <c r="BJ402"/>
      <c r="BK402"/>
      <c r="BL402"/>
      <c r="BM402"/>
      <c r="BN402"/>
      <c r="BP402"/>
      <c r="BQ402"/>
      <c r="BR402"/>
      <c r="BS402"/>
      <c r="BT402"/>
      <c r="BU402"/>
      <c r="BV402"/>
      <c r="BW402"/>
      <c r="BZ402"/>
      <c r="CA402"/>
      <c r="CB402"/>
      <c r="CC402"/>
      <c r="CD402"/>
      <c r="CF402"/>
      <c r="CG402"/>
      <c r="CH402"/>
      <c r="CI402"/>
      <c r="CJ402"/>
      <c r="CK402"/>
      <c r="CL402"/>
      <c r="CM402"/>
      <c r="CN402"/>
      <c r="CO402"/>
      <c r="CP402"/>
      <c r="CQ402"/>
      <c r="CR402"/>
      <c r="CS402"/>
      <c r="CT402"/>
      <c r="CU402"/>
      <c r="CV402"/>
      <c r="CW402"/>
      <c r="CX402"/>
      <c r="CY402"/>
      <c r="CZ402"/>
      <c r="DA402"/>
      <c r="DB402"/>
      <c r="DC402"/>
      <c r="DD402"/>
      <c r="DE402"/>
      <c r="DG402"/>
      <c r="DH402"/>
      <c r="DI402"/>
      <c r="DJ402"/>
      <c r="DK402"/>
      <c r="DL402"/>
      <c r="DM402"/>
      <c r="DN402"/>
      <c r="DO402"/>
      <c r="DP402"/>
      <c r="DQ402"/>
      <c r="DR402"/>
      <c r="DS402"/>
      <c r="DT402"/>
      <c r="DU402"/>
      <c r="DV402"/>
      <c r="DW402"/>
      <c r="DZ402"/>
      <c r="EA402"/>
      <c r="EB402"/>
      <c r="EC402"/>
      <c r="ED402"/>
      <c r="EE402"/>
      <c r="EF402"/>
      <c r="EG402"/>
      <c r="EJ402"/>
      <c r="EK402"/>
      <c r="EL402"/>
      <c r="EM402"/>
      <c r="EN402"/>
      <c r="EO402"/>
      <c r="EP402"/>
      <c r="EQ402"/>
      <c r="ER402"/>
      <c r="ES402"/>
      <c r="ET402"/>
      <c r="EU402"/>
      <c r="EV402"/>
      <c r="EW402"/>
      <c r="EX402"/>
      <c r="EY402"/>
      <c r="EZ402"/>
      <c r="FA402"/>
      <c r="FB402"/>
      <c r="FC402"/>
      <c r="FD402"/>
      <c r="FE402"/>
      <c r="FF402"/>
      <c r="FG402"/>
      <c r="FH402"/>
      <c r="FK402"/>
      <c r="FL402"/>
      <c r="FM402"/>
      <c r="FN402"/>
      <c r="FO402"/>
      <c r="FP402"/>
      <c r="FQ402"/>
      <c r="FR402"/>
      <c r="FS402"/>
      <c r="FT402"/>
      <c r="FU402"/>
      <c r="FV402"/>
      <c r="FW402"/>
      <c r="FX402"/>
      <c r="FY402"/>
      <c r="FZ402"/>
      <c r="GA402"/>
      <c r="GB402"/>
      <c r="GC402"/>
      <c r="GD402"/>
    </row>
    <row r="403" spans="4:186" x14ac:dyDescent="0.15">
      <c r="AG403"/>
      <c r="AH403"/>
      <c r="AJ403"/>
      <c r="AK403"/>
      <c r="AL403"/>
      <c r="AM403"/>
      <c r="AO403"/>
      <c r="AP403"/>
      <c r="AQ403"/>
      <c r="AR403"/>
      <c r="AS403"/>
      <c r="AT403"/>
      <c r="AU403"/>
      <c r="AV403"/>
      <c r="AW403"/>
      <c r="AX403"/>
      <c r="AY403"/>
      <c r="AZ403"/>
      <c r="BA403"/>
      <c r="BB403"/>
      <c r="BC403"/>
      <c r="BD403"/>
      <c r="BE403"/>
      <c r="BF403"/>
      <c r="BH403"/>
      <c r="BI403"/>
      <c r="BJ403"/>
      <c r="BK403"/>
      <c r="BL403"/>
      <c r="BM403"/>
      <c r="BN403"/>
      <c r="BP403"/>
      <c r="BQ403"/>
      <c r="BR403"/>
      <c r="BS403"/>
      <c r="BT403"/>
      <c r="BU403"/>
      <c r="BV403"/>
      <c r="BW403"/>
      <c r="BZ403"/>
      <c r="CA403"/>
      <c r="CB403"/>
      <c r="CC403"/>
      <c r="CD403"/>
      <c r="CF403"/>
      <c r="CG403"/>
      <c r="CH403"/>
      <c r="CI403"/>
      <c r="CJ403"/>
      <c r="CK403"/>
      <c r="CL403"/>
      <c r="CM403"/>
      <c r="CN403"/>
      <c r="CO403"/>
      <c r="CP403"/>
      <c r="CQ403"/>
      <c r="CR403"/>
      <c r="CS403"/>
      <c r="CT403"/>
      <c r="CU403"/>
      <c r="CV403"/>
      <c r="CW403"/>
      <c r="CX403"/>
      <c r="CY403"/>
      <c r="CZ403"/>
      <c r="DA403"/>
      <c r="DB403"/>
      <c r="DC403"/>
      <c r="DD403"/>
      <c r="DE403"/>
      <c r="DG403"/>
      <c r="DH403"/>
      <c r="DI403"/>
      <c r="DJ403"/>
      <c r="DK403"/>
      <c r="DL403"/>
      <c r="DM403"/>
      <c r="DN403"/>
      <c r="DO403"/>
      <c r="DP403"/>
      <c r="DQ403"/>
      <c r="DR403"/>
      <c r="DS403"/>
      <c r="DT403"/>
      <c r="DU403"/>
      <c r="DV403"/>
      <c r="DW403"/>
      <c r="DZ403"/>
      <c r="EA403"/>
      <c r="EB403"/>
      <c r="EC403"/>
      <c r="ED403"/>
      <c r="EE403"/>
      <c r="EF403"/>
      <c r="EG403"/>
      <c r="EJ403"/>
      <c r="EK403"/>
      <c r="EL403"/>
      <c r="EM403"/>
      <c r="EN403"/>
      <c r="EO403"/>
      <c r="EP403"/>
      <c r="EQ403"/>
      <c r="ER403"/>
      <c r="ES403"/>
      <c r="ET403"/>
      <c r="EU403"/>
      <c r="EV403"/>
      <c r="EW403"/>
      <c r="EX403"/>
      <c r="EY403"/>
      <c r="EZ403"/>
      <c r="FA403"/>
      <c r="FB403"/>
      <c r="FC403"/>
      <c r="FD403"/>
      <c r="FE403"/>
      <c r="FF403"/>
      <c r="FG403"/>
      <c r="FH403"/>
      <c r="FK403"/>
      <c r="FL403"/>
      <c r="FM403"/>
      <c r="FN403"/>
      <c r="FO403"/>
      <c r="FP403"/>
      <c r="FQ403"/>
      <c r="FR403"/>
      <c r="FS403"/>
      <c r="FT403"/>
      <c r="FU403"/>
      <c r="FV403"/>
      <c r="FW403"/>
      <c r="FX403"/>
      <c r="FY403"/>
      <c r="FZ403"/>
      <c r="GA403"/>
      <c r="GB403"/>
      <c r="GC403"/>
      <c r="GD403"/>
    </row>
    <row r="404" spans="4:186" x14ac:dyDescent="0.15">
      <c r="AG404"/>
      <c r="AH404"/>
      <c r="AJ404"/>
      <c r="AK404"/>
      <c r="AL404"/>
      <c r="AM404"/>
      <c r="AO404"/>
      <c r="AP404"/>
      <c r="AQ404"/>
      <c r="AR404"/>
      <c r="AS404"/>
      <c r="AT404"/>
      <c r="AU404"/>
      <c r="AV404"/>
      <c r="AW404"/>
      <c r="AX404"/>
      <c r="AY404"/>
      <c r="AZ404"/>
      <c r="BA404"/>
      <c r="BB404"/>
      <c r="BC404"/>
      <c r="BD404"/>
      <c r="BE404"/>
      <c r="BF404"/>
      <c r="BH404"/>
      <c r="BI404"/>
      <c r="BJ404"/>
      <c r="BK404"/>
      <c r="BL404"/>
      <c r="BM404"/>
      <c r="BN404"/>
      <c r="BP404"/>
      <c r="BQ404"/>
      <c r="BR404"/>
      <c r="BS404"/>
      <c r="BT404"/>
      <c r="BU404"/>
      <c r="BV404"/>
      <c r="BW404"/>
      <c r="BZ404"/>
      <c r="CA404"/>
      <c r="CB404"/>
      <c r="CC404"/>
      <c r="CD404"/>
      <c r="CF404"/>
      <c r="CG404"/>
      <c r="CH404"/>
      <c r="CI404"/>
      <c r="CJ404"/>
      <c r="CK404"/>
      <c r="CL404"/>
      <c r="CM404"/>
      <c r="CN404"/>
      <c r="CO404"/>
      <c r="CP404"/>
      <c r="CQ404"/>
      <c r="CR404"/>
      <c r="CS404"/>
      <c r="CT404"/>
      <c r="CU404"/>
      <c r="CV404"/>
      <c r="CW404"/>
      <c r="CX404"/>
      <c r="CY404"/>
      <c r="CZ404"/>
      <c r="DA404"/>
      <c r="DB404"/>
      <c r="DC404"/>
      <c r="DD404"/>
      <c r="DE404"/>
      <c r="DG404"/>
      <c r="DH404"/>
      <c r="DI404"/>
      <c r="DJ404"/>
      <c r="DK404"/>
      <c r="DL404"/>
      <c r="DM404"/>
      <c r="DN404"/>
      <c r="DO404"/>
      <c r="DP404"/>
      <c r="DQ404"/>
      <c r="DR404"/>
      <c r="DS404"/>
      <c r="DT404"/>
      <c r="DU404"/>
      <c r="DV404"/>
      <c r="DW404"/>
      <c r="DZ404"/>
      <c r="EA404"/>
      <c r="EB404"/>
      <c r="EC404"/>
      <c r="ED404"/>
      <c r="EE404"/>
      <c r="EF404"/>
      <c r="EG404"/>
      <c r="EJ404"/>
      <c r="EK404"/>
      <c r="EL404"/>
      <c r="EM404"/>
      <c r="EN404"/>
      <c r="EO404"/>
      <c r="EP404"/>
      <c r="EQ404"/>
      <c r="ER404"/>
      <c r="ES404"/>
      <c r="ET404"/>
      <c r="EU404"/>
      <c r="EV404"/>
      <c r="EW404"/>
      <c r="EX404"/>
      <c r="EY404"/>
      <c r="EZ404"/>
      <c r="FA404"/>
      <c r="FB404"/>
      <c r="FC404"/>
      <c r="FD404"/>
      <c r="FE404"/>
      <c r="FF404"/>
      <c r="FG404"/>
      <c r="FH404"/>
      <c r="FK404"/>
      <c r="FL404"/>
      <c r="FM404"/>
      <c r="FN404"/>
      <c r="FO404"/>
      <c r="FP404"/>
      <c r="FQ404"/>
      <c r="FR404"/>
      <c r="FS404"/>
      <c r="FT404"/>
      <c r="FU404"/>
      <c r="FV404"/>
      <c r="FW404"/>
      <c r="FX404"/>
      <c r="FY404"/>
      <c r="FZ404"/>
      <c r="GA404"/>
      <c r="GB404"/>
      <c r="GC404"/>
      <c r="GD404"/>
    </row>
    <row r="405" spans="4:186" x14ac:dyDescent="0.15">
      <c r="AG405"/>
      <c r="AH405"/>
      <c r="AJ405"/>
      <c r="AK405"/>
      <c r="AL405"/>
      <c r="AM405"/>
      <c r="AO405"/>
      <c r="AP405"/>
      <c r="AQ405"/>
      <c r="AR405"/>
      <c r="AS405"/>
      <c r="AT405"/>
      <c r="AU405"/>
      <c r="AV405"/>
      <c r="AW405"/>
      <c r="AX405"/>
      <c r="AY405"/>
      <c r="AZ405"/>
      <c r="BA405"/>
      <c r="BB405"/>
      <c r="BC405"/>
      <c r="BD405"/>
      <c r="BE405"/>
      <c r="BF405"/>
      <c r="BH405"/>
      <c r="BI405"/>
      <c r="BJ405"/>
      <c r="BK405"/>
      <c r="BL405"/>
      <c r="BM405"/>
      <c r="BN405"/>
      <c r="BP405"/>
      <c r="BQ405"/>
      <c r="BR405"/>
      <c r="BS405"/>
      <c r="BT405"/>
      <c r="BU405"/>
      <c r="BV405"/>
      <c r="BW405"/>
      <c r="BZ405"/>
      <c r="CA405"/>
      <c r="CB405"/>
      <c r="CC405"/>
      <c r="CD405"/>
      <c r="CF405"/>
      <c r="CG405"/>
      <c r="CH405"/>
      <c r="CI405"/>
      <c r="CJ405"/>
      <c r="CK405"/>
      <c r="CL405"/>
      <c r="CM405"/>
      <c r="CN405"/>
      <c r="CO405"/>
      <c r="CP405"/>
      <c r="CQ405"/>
      <c r="CR405"/>
      <c r="CS405"/>
      <c r="CT405"/>
      <c r="CU405"/>
      <c r="CV405"/>
      <c r="CW405"/>
      <c r="CX405"/>
      <c r="CY405"/>
      <c r="CZ405"/>
      <c r="DA405"/>
      <c r="DB405"/>
      <c r="DC405"/>
      <c r="DD405"/>
      <c r="DE405"/>
      <c r="DG405"/>
      <c r="DH405"/>
      <c r="DI405"/>
      <c r="DJ405"/>
      <c r="DK405"/>
      <c r="DL405"/>
      <c r="DM405"/>
      <c r="DN405"/>
      <c r="DO405"/>
      <c r="DP405"/>
      <c r="DQ405"/>
      <c r="DR405"/>
      <c r="DS405"/>
      <c r="DT405"/>
      <c r="DU405"/>
      <c r="DV405"/>
      <c r="DW405"/>
      <c r="DZ405"/>
      <c r="EA405"/>
      <c r="EB405"/>
      <c r="EC405"/>
      <c r="ED405"/>
      <c r="EE405"/>
      <c r="EF405"/>
      <c r="EG405"/>
      <c r="EJ405"/>
      <c r="EK405"/>
      <c r="EL405"/>
      <c r="EM405"/>
      <c r="EN405"/>
      <c r="EO405"/>
      <c r="EP405"/>
      <c r="EQ405"/>
      <c r="ER405"/>
      <c r="ES405"/>
      <c r="ET405"/>
      <c r="EU405"/>
      <c r="EV405"/>
      <c r="EW405"/>
      <c r="EX405"/>
      <c r="EY405"/>
      <c r="EZ405"/>
      <c r="FA405"/>
      <c r="FB405"/>
      <c r="FC405"/>
      <c r="FD405"/>
      <c r="FE405"/>
      <c r="FF405"/>
      <c r="FG405"/>
      <c r="FH405"/>
      <c r="FK405"/>
      <c r="FL405"/>
      <c r="FM405"/>
      <c r="FN405"/>
      <c r="FO405"/>
      <c r="FP405"/>
      <c r="FQ405"/>
      <c r="FR405"/>
      <c r="FS405"/>
      <c r="FT405"/>
      <c r="FU405"/>
      <c r="FV405"/>
      <c r="FW405"/>
      <c r="FX405"/>
      <c r="FY405"/>
      <c r="FZ405"/>
      <c r="GA405"/>
      <c r="GB405"/>
      <c r="GC405"/>
      <c r="GD405"/>
    </row>
    <row r="406" spans="4:186" x14ac:dyDescent="0.15">
      <c r="AG406"/>
      <c r="AH406"/>
      <c r="AJ406"/>
      <c r="AK406"/>
      <c r="AL406"/>
      <c r="AM406"/>
      <c r="AO406"/>
      <c r="AP406"/>
      <c r="AQ406"/>
      <c r="AR406"/>
      <c r="AS406"/>
      <c r="AT406"/>
      <c r="AU406"/>
      <c r="AV406"/>
      <c r="AW406"/>
      <c r="AX406"/>
      <c r="AY406"/>
      <c r="AZ406"/>
      <c r="BA406"/>
      <c r="BB406"/>
      <c r="BC406"/>
      <c r="BD406"/>
      <c r="BE406"/>
      <c r="BF406"/>
      <c r="BH406"/>
      <c r="BI406"/>
      <c r="BJ406"/>
      <c r="BK406"/>
      <c r="BL406"/>
      <c r="BM406"/>
      <c r="BN406"/>
      <c r="BP406"/>
      <c r="BQ406"/>
      <c r="BR406"/>
      <c r="BS406"/>
      <c r="BT406"/>
      <c r="BU406"/>
      <c r="BV406"/>
      <c r="BW406"/>
      <c r="BZ406"/>
      <c r="CA406"/>
      <c r="CB406"/>
      <c r="CC406"/>
      <c r="CD406"/>
      <c r="CF406"/>
      <c r="CG406"/>
      <c r="CH406"/>
      <c r="CI406"/>
      <c r="CJ406"/>
      <c r="CK406"/>
      <c r="CL406"/>
      <c r="CM406"/>
      <c r="CN406"/>
      <c r="CO406"/>
      <c r="CP406"/>
      <c r="CQ406"/>
      <c r="CR406"/>
      <c r="CS406"/>
      <c r="CT406"/>
      <c r="CU406"/>
      <c r="CV406"/>
      <c r="CW406"/>
      <c r="CX406"/>
      <c r="CY406"/>
      <c r="CZ406"/>
      <c r="DA406"/>
      <c r="DB406"/>
      <c r="DC406"/>
      <c r="DD406"/>
      <c r="DE406"/>
      <c r="DG406"/>
      <c r="DH406"/>
      <c r="DI406"/>
      <c r="DJ406"/>
      <c r="DK406"/>
      <c r="DL406"/>
      <c r="DM406"/>
      <c r="DN406"/>
      <c r="DO406"/>
      <c r="DP406"/>
      <c r="DQ406"/>
      <c r="DR406"/>
      <c r="DS406"/>
      <c r="DT406"/>
      <c r="DU406"/>
      <c r="DV406"/>
      <c r="DW406"/>
      <c r="DZ406"/>
      <c r="EA406"/>
      <c r="EB406"/>
      <c r="EC406"/>
      <c r="ED406"/>
      <c r="EE406"/>
      <c r="EF406"/>
      <c r="EG406"/>
      <c r="EJ406"/>
      <c r="EK406"/>
      <c r="EL406"/>
      <c r="EM406"/>
      <c r="EN406"/>
      <c r="EO406"/>
      <c r="EP406"/>
      <c r="EQ406"/>
      <c r="ER406"/>
      <c r="ES406"/>
      <c r="ET406"/>
      <c r="EU406"/>
      <c r="EV406"/>
      <c r="EW406"/>
      <c r="EX406"/>
      <c r="EY406"/>
      <c r="EZ406"/>
      <c r="FA406"/>
      <c r="FB406"/>
      <c r="FC406"/>
      <c r="FD406"/>
      <c r="FE406"/>
      <c r="FF406"/>
      <c r="FG406"/>
      <c r="FH406"/>
      <c r="FK406"/>
      <c r="FL406"/>
      <c r="FM406"/>
      <c r="FN406"/>
      <c r="FO406"/>
      <c r="FP406"/>
      <c r="FQ406"/>
      <c r="FR406"/>
      <c r="FS406"/>
      <c r="FT406"/>
      <c r="FU406"/>
      <c r="FV406"/>
      <c r="FW406"/>
      <c r="FX406"/>
      <c r="FY406"/>
      <c r="FZ406"/>
      <c r="GA406"/>
      <c r="GB406"/>
      <c r="GC406"/>
      <c r="GD406"/>
    </row>
    <row r="407" spans="4:186" x14ac:dyDescent="0.15">
      <c r="AG407"/>
      <c r="AH407"/>
      <c r="AJ407"/>
      <c r="AK407"/>
      <c r="AL407"/>
      <c r="AM407"/>
      <c r="AO407"/>
      <c r="AP407"/>
      <c r="AQ407"/>
      <c r="AR407"/>
      <c r="AS407"/>
      <c r="AT407"/>
      <c r="AU407"/>
      <c r="AV407"/>
      <c r="AW407"/>
      <c r="AX407"/>
      <c r="AY407"/>
      <c r="AZ407"/>
      <c r="BA407"/>
      <c r="BB407"/>
      <c r="BC407"/>
      <c r="BD407"/>
      <c r="BE407"/>
      <c r="BF407"/>
      <c r="BH407"/>
      <c r="BI407"/>
      <c r="BJ407"/>
      <c r="BK407"/>
      <c r="BL407"/>
      <c r="BM407"/>
      <c r="BN407"/>
      <c r="BP407"/>
      <c r="BQ407"/>
      <c r="BR407"/>
      <c r="BS407"/>
      <c r="BT407"/>
      <c r="BU407"/>
      <c r="BV407"/>
      <c r="BW407"/>
      <c r="BZ407"/>
      <c r="CA407"/>
      <c r="CB407"/>
      <c r="CC407"/>
      <c r="CD407"/>
      <c r="CF407"/>
      <c r="CG407"/>
      <c r="CH407"/>
      <c r="CI407"/>
      <c r="CJ407"/>
      <c r="CK407"/>
      <c r="CL407"/>
      <c r="CM407"/>
      <c r="CN407"/>
      <c r="CO407"/>
      <c r="CP407"/>
      <c r="CQ407"/>
      <c r="CR407"/>
      <c r="CS407"/>
      <c r="CT407"/>
      <c r="CU407"/>
      <c r="CV407"/>
      <c r="CW407"/>
      <c r="CX407"/>
      <c r="CY407"/>
      <c r="CZ407"/>
      <c r="DA407"/>
      <c r="DB407"/>
      <c r="DC407"/>
      <c r="DD407"/>
      <c r="DE407"/>
      <c r="DG407"/>
      <c r="DH407"/>
      <c r="DI407"/>
      <c r="DJ407"/>
      <c r="DK407"/>
      <c r="DL407"/>
      <c r="DM407"/>
      <c r="DN407"/>
      <c r="DO407"/>
      <c r="DP407"/>
      <c r="DQ407"/>
      <c r="DR407"/>
      <c r="DS407"/>
      <c r="DT407"/>
      <c r="DU407"/>
      <c r="DV407"/>
      <c r="DW407"/>
      <c r="DZ407"/>
      <c r="EA407"/>
      <c r="EB407"/>
      <c r="EC407"/>
      <c r="ED407"/>
      <c r="EE407"/>
      <c r="EF407"/>
      <c r="EG407"/>
      <c r="EJ407"/>
      <c r="EK407"/>
      <c r="EL407"/>
      <c r="EM407"/>
      <c r="EN407"/>
      <c r="EO407"/>
      <c r="EP407"/>
      <c r="EQ407"/>
      <c r="ER407"/>
      <c r="ES407"/>
      <c r="ET407"/>
      <c r="EU407"/>
      <c r="EV407"/>
      <c r="EW407"/>
      <c r="EX407"/>
      <c r="EY407"/>
      <c r="EZ407"/>
      <c r="FA407"/>
      <c r="FB407"/>
      <c r="FC407"/>
      <c r="FD407"/>
      <c r="FE407"/>
      <c r="FF407"/>
      <c r="FG407"/>
      <c r="FH407"/>
      <c r="FK407"/>
      <c r="FL407"/>
      <c r="FM407"/>
      <c r="FN407"/>
      <c r="FO407"/>
      <c r="FP407"/>
      <c r="FQ407"/>
      <c r="FR407"/>
      <c r="FS407"/>
      <c r="FT407"/>
      <c r="FU407"/>
      <c r="FV407"/>
      <c r="FW407"/>
      <c r="FX407"/>
      <c r="FY407"/>
      <c r="FZ407"/>
      <c r="GA407"/>
      <c r="GB407"/>
      <c r="GC407"/>
      <c r="GD407"/>
    </row>
    <row r="408" spans="4:186" x14ac:dyDescent="0.15">
      <c r="AG408"/>
      <c r="AH408"/>
      <c r="AJ408"/>
      <c r="AK408"/>
      <c r="AL408"/>
      <c r="AM408"/>
      <c r="AO408"/>
      <c r="AP408"/>
      <c r="AQ408"/>
      <c r="AR408"/>
      <c r="AS408"/>
      <c r="AT408"/>
      <c r="AU408"/>
      <c r="AV408"/>
      <c r="AW408"/>
      <c r="AX408"/>
      <c r="AY408"/>
      <c r="AZ408"/>
      <c r="BA408"/>
      <c r="BB408"/>
      <c r="BC408"/>
      <c r="BD408"/>
      <c r="BE408"/>
      <c r="BF408"/>
      <c r="BH408"/>
      <c r="BI408"/>
      <c r="BJ408"/>
      <c r="BK408"/>
      <c r="BL408"/>
      <c r="BM408"/>
      <c r="BN408"/>
      <c r="BP408"/>
      <c r="BQ408"/>
      <c r="BR408"/>
      <c r="BS408"/>
      <c r="BT408"/>
      <c r="BU408"/>
      <c r="BV408"/>
      <c r="BW408"/>
      <c r="BZ408"/>
      <c r="CA408"/>
      <c r="CB408"/>
      <c r="CC408"/>
      <c r="CD408"/>
      <c r="CF408"/>
      <c r="CG408"/>
      <c r="CH408"/>
      <c r="CI408"/>
      <c r="CJ408"/>
      <c r="CK408"/>
      <c r="CL408"/>
      <c r="CM408"/>
      <c r="CN408"/>
      <c r="CO408"/>
      <c r="CP408"/>
      <c r="CQ408"/>
      <c r="CR408"/>
      <c r="CS408"/>
      <c r="CT408"/>
      <c r="CU408"/>
      <c r="CV408"/>
      <c r="CW408"/>
      <c r="CX408"/>
      <c r="CY408"/>
      <c r="CZ408"/>
      <c r="DA408"/>
      <c r="DB408"/>
      <c r="DC408"/>
      <c r="DD408"/>
      <c r="DE408"/>
      <c r="DG408"/>
      <c r="DH408"/>
      <c r="DI408"/>
      <c r="DJ408"/>
      <c r="DK408"/>
      <c r="DL408"/>
      <c r="DM408"/>
      <c r="DN408"/>
      <c r="DO408"/>
      <c r="DP408"/>
      <c r="DQ408"/>
      <c r="DR408"/>
      <c r="DS408"/>
      <c r="DT408"/>
      <c r="DU408"/>
      <c r="DV408"/>
      <c r="DW408"/>
      <c r="DZ408"/>
      <c r="EA408"/>
      <c r="EB408"/>
      <c r="EC408"/>
      <c r="ED408"/>
      <c r="EE408"/>
      <c r="EF408"/>
      <c r="EG408"/>
      <c r="EJ408"/>
      <c r="EK408"/>
      <c r="EL408"/>
      <c r="EM408"/>
      <c r="EN408"/>
      <c r="EO408"/>
      <c r="EP408"/>
      <c r="EQ408"/>
      <c r="ER408"/>
      <c r="ES408"/>
      <c r="ET408"/>
      <c r="EU408"/>
      <c r="EV408"/>
      <c r="EW408"/>
      <c r="EX408"/>
      <c r="EY408"/>
      <c r="EZ408"/>
      <c r="FA408"/>
      <c r="FB408"/>
      <c r="FC408"/>
      <c r="FD408"/>
      <c r="FE408"/>
      <c r="FF408"/>
      <c r="FG408"/>
      <c r="FH408"/>
      <c r="FK408"/>
      <c r="FL408"/>
      <c r="FM408"/>
      <c r="FN408"/>
      <c r="FO408"/>
      <c r="FP408"/>
      <c r="FQ408"/>
      <c r="FR408"/>
      <c r="FS408"/>
      <c r="FT408"/>
      <c r="FU408"/>
      <c r="FV408"/>
      <c r="FW408"/>
      <c r="FX408"/>
      <c r="FY408"/>
      <c r="FZ408"/>
      <c r="GA408"/>
      <c r="GB408"/>
      <c r="GC408"/>
      <c r="GD408"/>
    </row>
    <row r="409" spans="4:186" x14ac:dyDescent="0.15">
      <c r="AG409"/>
      <c r="AH409"/>
      <c r="AJ409"/>
      <c r="AK409"/>
      <c r="AL409"/>
      <c r="AM409"/>
      <c r="AO409"/>
      <c r="AP409"/>
      <c r="AQ409"/>
      <c r="AR409"/>
      <c r="AS409"/>
      <c r="AT409"/>
      <c r="AU409"/>
      <c r="AV409"/>
      <c r="AW409"/>
      <c r="AX409"/>
      <c r="AY409"/>
      <c r="AZ409"/>
      <c r="BA409"/>
      <c r="BB409"/>
      <c r="BC409"/>
      <c r="BD409"/>
      <c r="BE409"/>
      <c r="BF409"/>
      <c r="BH409"/>
      <c r="BI409"/>
      <c r="BJ409"/>
      <c r="BK409"/>
      <c r="BL409"/>
      <c r="BM409"/>
      <c r="BN409"/>
      <c r="BP409"/>
      <c r="BQ409"/>
      <c r="BR409"/>
      <c r="BS409"/>
      <c r="BT409"/>
      <c r="BU409"/>
      <c r="BV409"/>
      <c r="BW409"/>
      <c r="BZ409"/>
      <c r="CA409"/>
      <c r="CB409"/>
      <c r="CC409"/>
      <c r="CD409"/>
      <c r="CF409"/>
      <c r="CG409"/>
      <c r="CH409"/>
      <c r="CI409"/>
      <c r="CJ409"/>
      <c r="CK409"/>
      <c r="CL409"/>
      <c r="CM409"/>
      <c r="CN409"/>
      <c r="CO409"/>
      <c r="CP409"/>
      <c r="CQ409"/>
      <c r="CR409"/>
      <c r="CS409"/>
      <c r="CT409"/>
      <c r="CU409"/>
      <c r="CV409"/>
      <c r="CW409"/>
      <c r="CX409"/>
      <c r="CY409"/>
      <c r="CZ409"/>
      <c r="DA409"/>
      <c r="DB409"/>
      <c r="DC409"/>
      <c r="DD409"/>
      <c r="DE409"/>
      <c r="DG409"/>
      <c r="DH409"/>
      <c r="DI409"/>
      <c r="DJ409"/>
      <c r="DK409"/>
      <c r="DL409"/>
      <c r="DM409"/>
      <c r="DN409"/>
      <c r="DO409"/>
      <c r="DP409"/>
      <c r="DQ409"/>
      <c r="DR409"/>
      <c r="DS409"/>
      <c r="DT409"/>
      <c r="DU409"/>
      <c r="DV409"/>
      <c r="DW409"/>
      <c r="DZ409"/>
      <c r="EA409"/>
      <c r="EB409"/>
      <c r="EC409"/>
      <c r="ED409"/>
      <c r="EE409"/>
      <c r="EF409"/>
      <c r="EG409"/>
      <c r="EJ409"/>
      <c r="EK409"/>
      <c r="EL409"/>
      <c r="EM409"/>
      <c r="EN409"/>
      <c r="EO409"/>
      <c r="EP409"/>
      <c r="EQ409"/>
      <c r="ER409"/>
      <c r="ES409"/>
      <c r="ET409"/>
      <c r="EU409"/>
      <c r="EV409"/>
      <c r="EW409"/>
      <c r="EX409"/>
      <c r="EY409"/>
      <c r="EZ409"/>
      <c r="FA409"/>
      <c r="FB409"/>
      <c r="FC409"/>
      <c r="FD409"/>
      <c r="FE409"/>
      <c r="FF409"/>
      <c r="FG409"/>
      <c r="FH409"/>
      <c r="FK409"/>
      <c r="FL409"/>
      <c r="FM409"/>
      <c r="FN409"/>
      <c r="FO409"/>
      <c r="FP409"/>
      <c r="FQ409"/>
      <c r="FR409"/>
      <c r="FS409"/>
      <c r="FT409"/>
      <c r="FU409"/>
      <c r="FV409"/>
      <c r="FW409"/>
      <c r="FX409"/>
      <c r="FY409"/>
      <c r="FZ409"/>
      <c r="GA409"/>
      <c r="GB409"/>
      <c r="GC409"/>
      <c r="GD409"/>
    </row>
    <row r="410" spans="4:186" x14ac:dyDescent="0.15">
      <c r="AG410"/>
      <c r="AH410"/>
      <c r="AJ410"/>
      <c r="AK410"/>
      <c r="AL410"/>
      <c r="AM410"/>
      <c r="AO410"/>
      <c r="AP410"/>
      <c r="AQ410"/>
      <c r="AR410"/>
      <c r="AS410"/>
      <c r="AT410"/>
      <c r="AU410"/>
      <c r="AV410"/>
      <c r="AW410"/>
      <c r="AX410"/>
      <c r="AY410"/>
      <c r="AZ410"/>
      <c r="BA410"/>
      <c r="BB410"/>
      <c r="BC410"/>
      <c r="BD410"/>
      <c r="BE410"/>
      <c r="BF410"/>
      <c r="BH410"/>
      <c r="BI410"/>
      <c r="BJ410"/>
      <c r="BK410"/>
      <c r="BL410"/>
      <c r="BM410"/>
      <c r="BN410"/>
      <c r="BP410"/>
      <c r="BQ410"/>
      <c r="BR410"/>
      <c r="BS410"/>
      <c r="BT410"/>
      <c r="BU410"/>
      <c r="BV410"/>
      <c r="BW410"/>
      <c r="BZ410"/>
      <c r="CA410"/>
      <c r="CB410"/>
      <c r="CC410"/>
      <c r="CD410"/>
      <c r="CF410"/>
      <c r="CG410"/>
      <c r="CH410"/>
      <c r="CI410"/>
      <c r="CJ410"/>
      <c r="CK410"/>
      <c r="CL410"/>
      <c r="CM410"/>
      <c r="CN410"/>
      <c r="CO410"/>
      <c r="CP410"/>
      <c r="CQ410"/>
      <c r="CR410"/>
      <c r="CS410"/>
      <c r="CT410"/>
      <c r="CU410"/>
      <c r="CV410"/>
      <c r="CW410"/>
      <c r="CX410"/>
      <c r="CY410"/>
      <c r="CZ410"/>
      <c r="DA410"/>
      <c r="DB410"/>
      <c r="DC410"/>
      <c r="DD410"/>
      <c r="DE410"/>
      <c r="DG410"/>
      <c r="DH410"/>
      <c r="DI410"/>
      <c r="DJ410"/>
      <c r="DK410"/>
      <c r="DL410"/>
      <c r="DM410"/>
      <c r="DN410"/>
      <c r="DO410"/>
      <c r="DP410"/>
      <c r="DQ410"/>
      <c r="DR410"/>
      <c r="DS410"/>
      <c r="DT410"/>
      <c r="DU410"/>
      <c r="DV410"/>
      <c r="DW410"/>
      <c r="DZ410"/>
      <c r="EA410"/>
      <c r="EB410"/>
      <c r="EC410"/>
      <c r="ED410"/>
      <c r="EE410"/>
      <c r="EF410"/>
      <c r="EG410"/>
      <c r="EJ410"/>
      <c r="EK410"/>
      <c r="EL410"/>
      <c r="EM410"/>
      <c r="EN410"/>
      <c r="EO410"/>
      <c r="EP410"/>
      <c r="EQ410"/>
      <c r="ER410"/>
      <c r="ES410"/>
      <c r="ET410"/>
      <c r="EU410"/>
      <c r="EV410"/>
      <c r="EW410"/>
      <c r="EX410"/>
      <c r="EY410"/>
      <c r="EZ410"/>
      <c r="FA410"/>
      <c r="FB410"/>
      <c r="FC410"/>
      <c r="FD410"/>
      <c r="FE410"/>
      <c r="FF410"/>
      <c r="FG410"/>
      <c r="FH410"/>
      <c r="FK410"/>
      <c r="FL410"/>
      <c r="FM410"/>
      <c r="FN410"/>
      <c r="FO410"/>
      <c r="FP410"/>
      <c r="FQ410"/>
      <c r="FR410"/>
      <c r="FS410"/>
      <c r="FT410"/>
      <c r="FU410"/>
      <c r="FV410"/>
      <c r="FW410"/>
      <c r="FX410"/>
      <c r="FY410"/>
      <c r="FZ410"/>
      <c r="GA410"/>
      <c r="GB410"/>
      <c r="GC410"/>
      <c r="GD410"/>
    </row>
    <row r="411" spans="4:186" x14ac:dyDescent="0.15">
      <c r="AG411"/>
      <c r="AH411"/>
      <c r="AJ411"/>
      <c r="AK411"/>
      <c r="AL411"/>
      <c r="AM411"/>
      <c r="AO411"/>
      <c r="AP411"/>
      <c r="AQ411"/>
      <c r="AR411"/>
      <c r="AS411"/>
      <c r="AT411"/>
      <c r="AU411"/>
      <c r="AV411"/>
      <c r="AW411"/>
      <c r="AX411"/>
      <c r="AY411"/>
      <c r="AZ411"/>
      <c r="BA411"/>
      <c r="BB411"/>
      <c r="BC411"/>
      <c r="BD411"/>
      <c r="BE411"/>
      <c r="BF411"/>
      <c r="BH411"/>
      <c r="BI411"/>
      <c r="BJ411"/>
      <c r="BK411"/>
      <c r="BL411"/>
      <c r="BM411"/>
      <c r="BN411"/>
      <c r="BP411"/>
      <c r="BQ411"/>
      <c r="BR411"/>
      <c r="BS411"/>
      <c r="BT411"/>
      <c r="BU411"/>
      <c r="BV411"/>
      <c r="BW411"/>
      <c r="BZ411"/>
      <c r="CA411"/>
      <c r="CB411"/>
      <c r="CC411"/>
      <c r="CD411"/>
      <c r="CF411"/>
      <c r="CG411"/>
      <c r="CH411"/>
      <c r="CI411"/>
      <c r="CJ411"/>
      <c r="CK411"/>
      <c r="CL411"/>
      <c r="CM411"/>
      <c r="CN411"/>
      <c r="CO411"/>
      <c r="CP411"/>
      <c r="CQ411"/>
      <c r="CR411"/>
      <c r="CS411"/>
      <c r="CT411"/>
      <c r="CU411"/>
      <c r="CV411"/>
      <c r="CW411"/>
      <c r="CX411"/>
      <c r="CY411"/>
      <c r="CZ411"/>
      <c r="DA411"/>
      <c r="DB411"/>
      <c r="DC411"/>
      <c r="DD411"/>
      <c r="DE411"/>
      <c r="DG411"/>
      <c r="DH411"/>
      <c r="DI411"/>
      <c r="DJ411"/>
      <c r="DK411"/>
      <c r="DL411"/>
      <c r="DM411"/>
      <c r="DN411"/>
      <c r="DO411"/>
      <c r="DP411"/>
      <c r="DQ411"/>
      <c r="DR411"/>
      <c r="DS411"/>
      <c r="DT411"/>
      <c r="DU411"/>
      <c r="DV411"/>
      <c r="DW411"/>
      <c r="DZ411"/>
      <c r="EA411"/>
      <c r="EB411"/>
      <c r="EC411"/>
      <c r="ED411"/>
      <c r="EE411"/>
      <c r="EF411"/>
      <c r="EG411"/>
      <c r="EJ411"/>
      <c r="EK411"/>
      <c r="EL411"/>
      <c r="EM411"/>
      <c r="EN411"/>
      <c r="EO411"/>
      <c r="EP411"/>
      <c r="EQ411"/>
      <c r="ER411"/>
      <c r="ES411"/>
      <c r="ET411"/>
      <c r="EU411"/>
      <c r="EV411"/>
      <c r="EW411"/>
      <c r="EX411"/>
      <c r="EY411"/>
      <c r="EZ411"/>
      <c r="FA411"/>
      <c r="FB411"/>
      <c r="FC411"/>
      <c r="FD411"/>
      <c r="FE411"/>
      <c r="FF411"/>
      <c r="FG411"/>
      <c r="FH411"/>
      <c r="FK411"/>
      <c r="FL411"/>
      <c r="FM411"/>
      <c r="FN411"/>
      <c r="FO411"/>
      <c r="FP411"/>
      <c r="FQ411"/>
      <c r="FR411"/>
      <c r="FS411"/>
      <c r="FT411"/>
      <c r="FU411"/>
      <c r="FV411"/>
      <c r="FW411"/>
      <c r="FX411"/>
      <c r="FY411"/>
      <c r="FZ411"/>
      <c r="GA411"/>
      <c r="GB411"/>
      <c r="GC411"/>
      <c r="GD411"/>
    </row>
    <row r="412" spans="4:186" x14ac:dyDescent="0.15">
      <c r="AG412"/>
      <c r="AH412"/>
      <c r="AJ412"/>
      <c r="AK412"/>
      <c r="AL412"/>
      <c r="AM412"/>
      <c r="AO412"/>
      <c r="AP412"/>
      <c r="AQ412"/>
      <c r="AR412"/>
      <c r="AS412"/>
      <c r="AT412"/>
      <c r="AU412"/>
      <c r="AV412"/>
      <c r="AW412"/>
      <c r="AX412"/>
      <c r="AY412"/>
      <c r="AZ412"/>
      <c r="BA412"/>
      <c r="BB412"/>
      <c r="BC412"/>
      <c r="BD412"/>
      <c r="BE412"/>
      <c r="BF412"/>
      <c r="BH412"/>
      <c r="BI412"/>
      <c r="BJ412"/>
      <c r="BK412"/>
      <c r="BL412"/>
      <c r="BM412"/>
      <c r="BN412"/>
      <c r="BP412"/>
      <c r="BQ412"/>
      <c r="BR412"/>
      <c r="BS412"/>
      <c r="BT412"/>
      <c r="BU412"/>
      <c r="BV412"/>
      <c r="BW412"/>
      <c r="BZ412"/>
      <c r="CA412"/>
      <c r="CB412"/>
      <c r="CC412"/>
      <c r="CD412"/>
      <c r="CF412"/>
      <c r="CG412"/>
      <c r="CH412"/>
      <c r="CI412"/>
      <c r="CJ412"/>
      <c r="CK412"/>
      <c r="CL412"/>
      <c r="CM412"/>
      <c r="CN412"/>
      <c r="CO412"/>
      <c r="CP412"/>
      <c r="CQ412"/>
      <c r="CR412"/>
      <c r="CS412"/>
      <c r="CT412"/>
      <c r="CU412"/>
      <c r="CV412"/>
      <c r="CW412"/>
      <c r="CX412"/>
      <c r="CY412"/>
      <c r="CZ412"/>
      <c r="DA412"/>
      <c r="DB412"/>
      <c r="DC412"/>
      <c r="DD412"/>
      <c r="DE412"/>
      <c r="DG412"/>
      <c r="DH412"/>
      <c r="DI412"/>
      <c r="DJ412"/>
      <c r="DK412"/>
      <c r="DL412"/>
      <c r="DM412"/>
      <c r="DN412"/>
      <c r="DO412"/>
      <c r="DP412"/>
      <c r="DQ412"/>
      <c r="DR412"/>
      <c r="DS412"/>
      <c r="DT412"/>
      <c r="DU412"/>
      <c r="DV412"/>
      <c r="DW412"/>
      <c r="DZ412"/>
      <c r="EA412"/>
      <c r="EB412"/>
      <c r="EC412"/>
      <c r="ED412"/>
      <c r="EE412"/>
      <c r="EF412"/>
      <c r="EG412"/>
      <c r="EJ412"/>
      <c r="EK412"/>
      <c r="EL412"/>
      <c r="EM412"/>
      <c r="EN412"/>
      <c r="EO412"/>
      <c r="EP412"/>
      <c r="EQ412"/>
      <c r="ER412"/>
      <c r="ES412"/>
      <c r="ET412"/>
      <c r="EU412"/>
      <c r="EV412"/>
      <c r="EW412"/>
      <c r="EX412"/>
      <c r="EY412"/>
      <c r="EZ412"/>
      <c r="FA412"/>
      <c r="FB412"/>
      <c r="FC412"/>
      <c r="FD412"/>
      <c r="FE412"/>
      <c r="FF412"/>
      <c r="FG412"/>
      <c r="FH412"/>
      <c r="FK412"/>
      <c r="FL412"/>
      <c r="FM412"/>
      <c r="FN412"/>
      <c r="FO412"/>
      <c r="FP412"/>
      <c r="FQ412"/>
      <c r="FR412"/>
      <c r="FS412"/>
      <c r="FT412"/>
      <c r="FU412"/>
      <c r="FV412"/>
      <c r="FW412"/>
      <c r="FX412"/>
      <c r="FY412"/>
      <c r="FZ412"/>
      <c r="GA412"/>
      <c r="GB412"/>
      <c r="GC412"/>
      <c r="GD412"/>
    </row>
    <row r="413" spans="4:186" x14ac:dyDescent="0.15">
      <c r="AG413"/>
      <c r="AH413"/>
      <c r="AJ413"/>
      <c r="AK413"/>
      <c r="AL413"/>
      <c r="AM413"/>
      <c r="AO413"/>
      <c r="AP413"/>
      <c r="AQ413"/>
      <c r="AR413"/>
      <c r="AS413"/>
      <c r="AT413"/>
      <c r="AU413"/>
      <c r="AV413"/>
      <c r="AW413"/>
      <c r="AX413"/>
      <c r="AY413"/>
      <c r="AZ413"/>
      <c r="BA413"/>
      <c r="BB413"/>
      <c r="BC413"/>
      <c r="BD413"/>
      <c r="BE413"/>
      <c r="BF413"/>
      <c r="BH413"/>
      <c r="BI413"/>
      <c r="BJ413"/>
      <c r="BK413"/>
      <c r="BL413"/>
      <c r="BM413"/>
      <c r="BN413"/>
      <c r="BP413"/>
      <c r="BQ413"/>
      <c r="BR413"/>
      <c r="BS413"/>
      <c r="BT413"/>
      <c r="BU413"/>
      <c r="BV413"/>
      <c r="BW413"/>
      <c r="BZ413"/>
      <c r="CA413"/>
      <c r="CB413"/>
      <c r="CC413"/>
      <c r="CD413"/>
      <c r="CF413"/>
      <c r="CG413"/>
      <c r="CH413"/>
      <c r="CI413"/>
      <c r="CJ413"/>
      <c r="CK413"/>
      <c r="CL413"/>
      <c r="CM413"/>
      <c r="CN413"/>
      <c r="CO413"/>
      <c r="CP413"/>
      <c r="CQ413"/>
      <c r="CR413"/>
      <c r="CS413"/>
      <c r="CT413"/>
      <c r="CU413"/>
      <c r="CV413"/>
      <c r="CW413"/>
      <c r="CX413"/>
      <c r="CY413"/>
      <c r="CZ413"/>
      <c r="DA413"/>
      <c r="DB413"/>
      <c r="DC413"/>
      <c r="DD413"/>
      <c r="DE413"/>
      <c r="DG413"/>
      <c r="DH413"/>
      <c r="DI413"/>
      <c r="DJ413"/>
      <c r="DK413"/>
      <c r="DL413"/>
      <c r="DM413"/>
      <c r="DN413"/>
      <c r="DO413"/>
      <c r="DP413"/>
      <c r="DQ413"/>
      <c r="DR413"/>
      <c r="DS413"/>
      <c r="DT413"/>
      <c r="DU413"/>
      <c r="DV413"/>
      <c r="DW413"/>
      <c r="DZ413"/>
      <c r="EA413"/>
      <c r="EB413"/>
      <c r="EC413"/>
      <c r="ED413"/>
      <c r="EE413"/>
      <c r="EF413"/>
      <c r="EG413"/>
      <c r="EJ413"/>
      <c r="EK413"/>
      <c r="EL413"/>
      <c r="EM413"/>
      <c r="EN413"/>
      <c r="EO413"/>
      <c r="EP413"/>
      <c r="EQ413"/>
      <c r="ER413"/>
      <c r="ES413"/>
      <c r="ET413"/>
      <c r="EU413"/>
      <c r="EV413"/>
      <c r="EW413"/>
      <c r="EX413"/>
      <c r="EY413"/>
      <c r="EZ413"/>
      <c r="FA413"/>
      <c r="FB413"/>
      <c r="FC413"/>
      <c r="FD413"/>
      <c r="FE413"/>
      <c r="FF413"/>
      <c r="FG413"/>
      <c r="FH413"/>
      <c r="FK413"/>
      <c r="FL413"/>
      <c r="FM413"/>
      <c r="FN413"/>
      <c r="FO413"/>
      <c r="FP413"/>
      <c r="FQ413"/>
      <c r="FR413"/>
      <c r="FS413"/>
      <c r="FT413"/>
      <c r="FU413"/>
      <c r="FV413"/>
      <c r="FW413"/>
      <c r="FX413"/>
      <c r="FY413"/>
      <c r="FZ413"/>
      <c r="GA413"/>
      <c r="GB413"/>
      <c r="GC413"/>
      <c r="GD413"/>
    </row>
    <row r="414" spans="4:186" x14ac:dyDescent="0.15">
      <c r="AA414" s="7" t="s">
        <v>149</v>
      </c>
      <c r="AG414"/>
      <c r="AH414"/>
      <c r="AJ414"/>
      <c r="AK414"/>
      <c r="AL414"/>
      <c r="AM414"/>
      <c r="AO414"/>
      <c r="AP414"/>
      <c r="AQ414"/>
      <c r="AR414"/>
      <c r="AS414"/>
      <c r="AT414"/>
      <c r="AU414"/>
      <c r="AV414"/>
      <c r="AW414"/>
      <c r="AX414"/>
      <c r="AY414"/>
      <c r="AZ414"/>
      <c r="BA414"/>
      <c r="BB414"/>
      <c r="BC414"/>
      <c r="BD414"/>
      <c r="BE414"/>
      <c r="BF414"/>
      <c r="BH414"/>
      <c r="BI414"/>
      <c r="BJ414"/>
      <c r="BK414"/>
      <c r="BL414"/>
      <c r="BM414"/>
      <c r="BN414"/>
      <c r="BP414"/>
      <c r="BQ414"/>
      <c r="BR414"/>
      <c r="BS414"/>
      <c r="BT414"/>
      <c r="BU414"/>
      <c r="BV414"/>
      <c r="BW414"/>
      <c r="BZ414"/>
      <c r="CA414"/>
      <c r="CB414"/>
      <c r="CC414"/>
      <c r="CD414"/>
      <c r="CF414"/>
      <c r="CG414"/>
      <c r="CH414"/>
      <c r="CI414"/>
      <c r="CJ414"/>
      <c r="CK414"/>
      <c r="CL414"/>
      <c r="CM414"/>
      <c r="CN414"/>
      <c r="CO414"/>
      <c r="CP414"/>
      <c r="CQ414"/>
      <c r="CR414"/>
      <c r="CS414"/>
      <c r="CT414"/>
      <c r="CU414"/>
      <c r="CV414"/>
      <c r="CW414"/>
      <c r="CX414"/>
      <c r="CY414"/>
      <c r="CZ414"/>
      <c r="DA414"/>
      <c r="DB414"/>
      <c r="DC414"/>
      <c r="DD414"/>
      <c r="DE414"/>
      <c r="DG414"/>
      <c r="DH414"/>
      <c r="DI414"/>
      <c r="DJ414"/>
      <c r="DK414"/>
      <c r="DL414"/>
      <c r="DM414"/>
      <c r="DN414"/>
      <c r="DO414"/>
      <c r="DP414"/>
      <c r="DQ414"/>
      <c r="DR414"/>
      <c r="DS414"/>
      <c r="DT414"/>
      <c r="DU414"/>
      <c r="DV414"/>
      <c r="DW414"/>
      <c r="DZ414"/>
      <c r="EA414"/>
      <c r="EB414"/>
      <c r="EC414"/>
      <c r="ED414"/>
      <c r="EE414"/>
      <c r="EF414"/>
      <c r="EG414"/>
      <c r="EJ414"/>
      <c r="EK414"/>
      <c r="EL414"/>
      <c r="EM414"/>
      <c r="EN414"/>
      <c r="EO414"/>
      <c r="EP414"/>
      <c r="EQ414"/>
      <c r="ER414"/>
      <c r="ES414"/>
      <c r="ET414"/>
      <c r="EU414"/>
      <c r="EV414"/>
      <c r="EW414"/>
      <c r="EX414"/>
      <c r="EY414"/>
      <c r="EZ414"/>
      <c r="FA414"/>
      <c r="FB414"/>
      <c r="FC414"/>
      <c r="FD414"/>
      <c r="FE414"/>
      <c r="FF414"/>
      <c r="FG414"/>
      <c r="FH414"/>
      <c r="FK414"/>
      <c r="FL414"/>
      <c r="FM414"/>
      <c r="FN414"/>
      <c r="FO414"/>
      <c r="FP414"/>
      <c r="FQ414"/>
      <c r="FR414"/>
      <c r="FS414"/>
      <c r="FT414"/>
      <c r="FU414"/>
      <c r="FV414"/>
      <c r="FW414"/>
      <c r="FX414"/>
      <c r="FY414"/>
      <c r="FZ414"/>
      <c r="GA414"/>
      <c r="GB414"/>
      <c r="GC414"/>
      <c r="GD414"/>
    </row>
    <row r="415" spans="4:186" x14ac:dyDescent="0.15">
      <c r="AG415"/>
      <c r="AH415"/>
      <c r="AJ415"/>
      <c r="AK415"/>
      <c r="AL415"/>
      <c r="AM415"/>
      <c r="AO415"/>
      <c r="AP415"/>
      <c r="AQ415"/>
      <c r="AR415"/>
      <c r="AS415"/>
      <c r="AT415"/>
      <c r="AU415"/>
      <c r="AV415"/>
      <c r="AW415"/>
      <c r="AX415"/>
      <c r="AY415"/>
      <c r="AZ415"/>
      <c r="BA415"/>
      <c r="BB415"/>
      <c r="BC415"/>
      <c r="BD415"/>
      <c r="BE415"/>
      <c r="BF415"/>
      <c r="BH415"/>
      <c r="BI415"/>
      <c r="BJ415"/>
      <c r="BK415"/>
      <c r="BL415"/>
      <c r="BM415"/>
      <c r="BN415"/>
      <c r="BP415"/>
      <c r="BQ415"/>
      <c r="BR415"/>
      <c r="BS415"/>
      <c r="BT415"/>
      <c r="BU415"/>
      <c r="BV415"/>
      <c r="BW415"/>
      <c r="BZ415"/>
      <c r="CA415"/>
      <c r="CB415"/>
      <c r="CC415"/>
      <c r="CD415"/>
      <c r="CF415"/>
      <c r="CG415"/>
      <c r="CH415"/>
      <c r="CI415"/>
      <c r="CJ415"/>
      <c r="CK415"/>
      <c r="CL415"/>
      <c r="CM415"/>
      <c r="CN415"/>
      <c r="CO415"/>
      <c r="CP415"/>
      <c r="CQ415"/>
      <c r="CR415"/>
      <c r="CS415"/>
      <c r="CT415"/>
      <c r="CU415"/>
      <c r="CV415"/>
      <c r="CW415"/>
      <c r="CX415"/>
      <c r="CY415"/>
      <c r="CZ415"/>
      <c r="DA415"/>
      <c r="DB415"/>
      <c r="DC415"/>
      <c r="DD415"/>
      <c r="DE415"/>
      <c r="DG415"/>
      <c r="DH415"/>
      <c r="DI415"/>
      <c r="DJ415"/>
      <c r="DK415"/>
      <c r="DL415"/>
      <c r="DM415"/>
      <c r="DN415"/>
      <c r="DO415"/>
      <c r="DP415"/>
      <c r="DQ415"/>
      <c r="DR415"/>
      <c r="DS415"/>
      <c r="DT415"/>
      <c r="DU415"/>
      <c r="DV415"/>
      <c r="DW415"/>
      <c r="DZ415"/>
      <c r="EA415"/>
      <c r="EB415"/>
      <c r="EC415"/>
      <c r="ED415"/>
      <c r="EE415"/>
      <c r="EF415"/>
      <c r="EG415"/>
      <c r="EJ415"/>
      <c r="EK415"/>
      <c r="EL415"/>
      <c r="EM415"/>
      <c r="EN415"/>
      <c r="EO415"/>
      <c r="EP415"/>
      <c r="EQ415"/>
      <c r="ER415"/>
      <c r="ES415"/>
      <c r="ET415"/>
      <c r="EU415"/>
      <c r="EV415"/>
      <c r="EW415"/>
      <c r="EX415"/>
      <c r="EY415"/>
      <c r="EZ415"/>
      <c r="FA415"/>
      <c r="FB415"/>
      <c r="FC415"/>
      <c r="FD415"/>
      <c r="FE415"/>
      <c r="FF415"/>
      <c r="FG415"/>
      <c r="FH415"/>
      <c r="FK415"/>
      <c r="FL415"/>
      <c r="FM415"/>
      <c r="FN415"/>
      <c r="FO415"/>
      <c r="FP415"/>
      <c r="FQ415"/>
      <c r="FR415"/>
      <c r="FS415"/>
      <c r="FT415"/>
      <c r="FU415"/>
      <c r="FV415"/>
      <c r="FW415"/>
      <c r="FX415"/>
      <c r="FY415"/>
      <c r="FZ415"/>
      <c r="GA415"/>
      <c r="GB415"/>
      <c r="GC415"/>
      <c r="GD415"/>
    </row>
    <row r="416" spans="4:186" x14ac:dyDescent="0.15">
      <c r="AG416"/>
      <c r="AH416"/>
      <c r="AJ416"/>
      <c r="AK416"/>
      <c r="AL416"/>
      <c r="AM416"/>
      <c r="AO416"/>
      <c r="AP416"/>
      <c r="AQ416"/>
      <c r="AR416"/>
      <c r="AS416"/>
      <c r="AT416"/>
      <c r="AU416"/>
      <c r="AV416"/>
      <c r="AW416"/>
      <c r="AX416"/>
      <c r="AY416"/>
      <c r="AZ416"/>
      <c r="BA416"/>
      <c r="BB416"/>
      <c r="BC416"/>
      <c r="BD416"/>
      <c r="BE416"/>
      <c r="BF416"/>
      <c r="BH416"/>
      <c r="BI416"/>
      <c r="BJ416"/>
      <c r="BK416"/>
      <c r="BL416"/>
      <c r="BM416"/>
      <c r="BN416"/>
      <c r="BP416"/>
      <c r="BQ416"/>
      <c r="BR416"/>
      <c r="BS416"/>
      <c r="BT416"/>
      <c r="BU416"/>
      <c r="BV416"/>
      <c r="BW416"/>
      <c r="BZ416"/>
      <c r="CA416"/>
      <c r="CB416"/>
      <c r="CC416"/>
      <c r="CD416"/>
      <c r="CF416"/>
      <c r="CG416"/>
      <c r="CH416"/>
      <c r="CI416"/>
      <c r="CJ416"/>
      <c r="CK416"/>
      <c r="CL416"/>
      <c r="CM416"/>
      <c r="CN416"/>
      <c r="CO416"/>
      <c r="CP416"/>
      <c r="CQ416"/>
      <c r="CR416"/>
      <c r="CS416"/>
      <c r="CT416"/>
      <c r="CU416"/>
      <c r="CV416"/>
      <c r="CW416"/>
      <c r="CX416"/>
      <c r="CY416"/>
      <c r="CZ416"/>
      <c r="DA416"/>
      <c r="DB416"/>
      <c r="DC416"/>
      <c r="DD416"/>
      <c r="DE416"/>
      <c r="DG416"/>
      <c r="DH416"/>
      <c r="DI416"/>
      <c r="DJ416"/>
      <c r="DK416"/>
      <c r="DL416"/>
      <c r="DM416"/>
      <c r="DN416"/>
      <c r="DO416"/>
      <c r="DP416"/>
      <c r="DQ416"/>
      <c r="DR416"/>
      <c r="DS416"/>
      <c r="DT416"/>
      <c r="DU416"/>
      <c r="DV416"/>
      <c r="DW416"/>
      <c r="DZ416"/>
      <c r="EA416"/>
      <c r="EB416"/>
      <c r="EC416"/>
      <c r="ED416"/>
      <c r="EE416"/>
      <c r="EF416"/>
      <c r="EG416"/>
      <c r="EJ416"/>
      <c r="EK416"/>
      <c r="EL416"/>
      <c r="EM416"/>
      <c r="EN416"/>
      <c r="EO416"/>
      <c r="EP416"/>
      <c r="EQ416"/>
      <c r="ER416"/>
      <c r="ES416"/>
      <c r="ET416"/>
      <c r="EU416"/>
      <c r="EV416"/>
      <c r="EW416"/>
      <c r="EX416"/>
      <c r="EY416"/>
      <c r="EZ416"/>
      <c r="FA416"/>
      <c r="FB416"/>
      <c r="FC416"/>
      <c r="FD416"/>
      <c r="FE416"/>
      <c r="FF416"/>
      <c r="FG416"/>
      <c r="FH416"/>
      <c r="FK416"/>
      <c r="FL416"/>
      <c r="FM416"/>
      <c r="FN416"/>
      <c r="FO416"/>
      <c r="FP416"/>
      <c r="FQ416"/>
      <c r="FR416"/>
      <c r="FS416"/>
      <c r="FT416"/>
      <c r="FU416"/>
      <c r="FV416"/>
      <c r="FW416"/>
      <c r="FX416"/>
      <c r="FY416"/>
      <c r="FZ416"/>
      <c r="GA416"/>
      <c r="GB416"/>
      <c r="GC416"/>
      <c r="GD416"/>
    </row>
    <row r="417" spans="1:186" x14ac:dyDescent="0.15">
      <c r="AG417"/>
      <c r="AH417"/>
      <c r="AJ417"/>
      <c r="AK417"/>
      <c r="AL417"/>
      <c r="AM417"/>
      <c r="AO417"/>
      <c r="AP417"/>
      <c r="AQ417"/>
      <c r="AR417"/>
      <c r="AS417"/>
      <c r="AT417"/>
      <c r="AU417"/>
      <c r="AV417"/>
      <c r="AW417"/>
      <c r="AX417"/>
      <c r="AY417"/>
      <c r="AZ417"/>
      <c r="BA417"/>
      <c r="BB417"/>
      <c r="BC417"/>
      <c r="BD417"/>
      <c r="BE417"/>
      <c r="BF417"/>
      <c r="BH417"/>
      <c r="BI417"/>
      <c r="BJ417"/>
      <c r="BK417"/>
      <c r="BL417"/>
      <c r="BM417"/>
      <c r="BN417"/>
      <c r="BP417"/>
      <c r="BQ417"/>
      <c r="BR417"/>
      <c r="BS417"/>
      <c r="BT417"/>
      <c r="BU417"/>
      <c r="BV417"/>
      <c r="BW417"/>
      <c r="BZ417"/>
      <c r="CA417"/>
      <c r="CB417"/>
      <c r="CC417"/>
      <c r="CD417"/>
      <c r="CF417"/>
      <c r="CG417"/>
      <c r="CH417"/>
      <c r="CI417"/>
      <c r="CJ417"/>
      <c r="CK417"/>
      <c r="CL417"/>
      <c r="CM417"/>
      <c r="CN417"/>
      <c r="CO417"/>
      <c r="CP417"/>
      <c r="CQ417"/>
      <c r="CR417"/>
      <c r="CS417"/>
      <c r="CT417"/>
      <c r="CU417"/>
      <c r="CV417"/>
      <c r="CW417"/>
      <c r="CX417"/>
      <c r="CY417"/>
      <c r="CZ417"/>
      <c r="DA417"/>
      <c r="DB417"/>
      <c r="DC417"/>
      <c r="DD417"/>
      <c r="DE417"/>
      <c r="DG417"/>
      <c r="DH417"/>
      <c r="DI417"/>
      <c r="DJ417"/>
      <c r="DK417"/>
      <c r="DL417"/>
      <c r="DM417"/>
      <c r="DN417"/>
      <c r="DO417"/>
      <c r="DP417"/>
      <c r="DQ417"/>
      <c r="DR417"/>
      <c r="DS417"/>
      <c r="DT417"/>
      <c r="DU417"/>
      <c r="DV417"/>
      <c r="DW417"/>
      <c r="DZ417"/>
      <c r="EA417"/>
      <c r="EB417"/>
      <c r="EC417"/>
      <c r="ED417"/>
      <c r="EE417"/>
      <c r="EF417"/>
      <c r="EG417"/>
      <c r="EJ417"/>
      <c r="EK417"/>
      <c r="EL417"/>
      <c r="EM417"/>
      <c r="EN417"/>
      <c r="EO417"/>
      <c r="EP417"/>
      <c r="EQ417"/>
      <c r="ER417"/>
      <c r="ES417"/>
      <c r="ET417"/>
      <c r="EU417"/>
      <c r="EV417"/>
      <c r="EW417"/>
      <c r="EX417"/>
      <c r="EY417"/>
      <c r="EZ417"/>
      <c r="FA417"/>
      <c r="FB417"/>
      <c r="FC417"/>
      <c r="FD417"/>
      <c r="FE417"/>
      <c r="FF417"/>
      <c r="FG417"/>
      <c r="FH417"/>
      <c r="FK417"/>
      <c r="FL417"/>
      <c r="FM417"/>
      <c r="FN417"/>
      <c r="FO417"/>
      <c r="FP417"/>
      <c r="FQ417"/>
      <c r="FR417"/>
      <c r="FS417"/>
      <c r="FT417"/>
      <c r="FU417"/>
      <c r="FV417"/>
      <c r="FW417"/>
      <c r="FX417"/>
      <c r="FY417"/>
      <c r="FZ417"/>
      <c r="GA417"/>
      <c r="GB417"/>
      <c r="GC417"/>
      <c r="GD417"/>
    </row>
    <row r="418" spans="1:186" x14ac:dyDescent="0.15">
      <c r="AG418"/>
      <c r="AH418"/>
      <c r="AJ418"/>
      <c r="AK418"/>
      <c r="AL418"/>
      <c r="AM418"/>
      <c r="AO418"/>
      <c r="AP418"/>
      <c r="AQ418"/>
      <c r="AR418"/>
      <c r="AS418"/>
      <c r="AT418"/>
      <c r="AU418"/>
      <c r="AV418"/>
      <c r="AW418"/>
      <c r="AX418"/>
      <c r="AY418"/>
      <c r="AZ418"/>
      <c r="BA418"/>
      <c r="BB418"/>
      <c r="BC418"/>
      <c r="BD418"/>
      <c r="BE418"/>
      <c r="BF418"/>
      <c r="BH418"/>
      <c r="BI418"/>
      <c r="BJ418"/>
      <c r="BK418"/>
      <c r="BL418"/>
      <c r="BM418"/>
      <c r="BN418"/>
      <c r="BP418"/>
      <c r="BQ418"/>
      <c r="BR418"/>
      <c r="BS418"/>
      <c r="BT418"/>
      <c r="BU418"/>
      <c r="BV418"/>
      <c r="BW418"/>
      <c r="BZ418"/>
      <c r="CA418"/>
      <c r="CB418"/>
      <c r="CC418"/>
      <c r="CD418"/>
      <c r="CF418"/>
      <c r="CG418"/>
      <c r="CH418"/>
      <c r="CI418"/>
      <c r="CJ418"/>
      <c r="CK418"/>
      <c r="CL418"/>
      <c r="CM418"/>
      <c r="CN418"/>
      <c r="CO418"/>
      <c r="CP418"/>
      <c r="CQ418"/>
      <c r="CR418"/>
      <c r="CS418"/>
      <c r="CT418"/>
      <c r="CU418"/>
      <c r="CV418"/>
      <c r="CW418"/>
      <c r="CX418"/>
      <c r="CY418"/>
      <c r="CZ418"/>
      <c r="DA418"/>
      <c r="DB418"/>
      <c r="DC418"/>
      <c r="DD418"/>
      <c r="DE418"/>
      <c r="DG418"/>
      <c r="DH418"/>
      <c r="DI418"/>
      <c r="DJ418"/>
      <c r="DK418"/>
      <c r="DL418"/>
      <c r="DM418"/>
      <c r="DN418"/>
      <c r="DO418"/>
      <c r="DP418"/>
      <c r="DQ418"/>
      <c r="DR418"/>
      <c r="DS418"/>
      <c r="DT418"/>
      <c r="DU418"/>
      <c r="DV418"/>
      <c r="DW418"/>
      <c r="DZ418"/>
      <c r="EA418"/>
      <c r="EB418"/>
      <c r="EC418"/>
      <c r="ED418"/>
      <c r="EE418"/>
      <c r="EF418"/>
      <c r="EG418"/>
      <c r="EJ418"/>
      <c r="EK418"/>
      <c r="EL418"/>
      <c r="EM418"/>
      <c r="EN418"/>
      <c r="EO418"/>
      <c r="EP418"/>
      <c r="EQ418"/>
      <c r="ER418"/>
      <c r="ES418"/>
      <c r="ET418"/>
      <c r="EU418"/>
      <c r="EV418"/>
      <c r="EW418"/>
      <c r="EX418"/>
      <c r="EY418"/>
      <c r="EZ418"/>
      <c r="FA418"/>
      <c r="FB418"/>
      <c r="FC418"/>
      <c r="FD418"/>
      <c r="FE418"/>
      <c r="FF418"/>
      <c r="FG418"/>
      <c r="FH418"/>
      <c r="FK418"/>
      <c r="FL418"/>
      <c r="FM418"/>
      <c r="FN418"/>
      <c r="FO418"/>
      <c r="FP418"/>
      <c r="FQ418"/>
      <c r="FR418"/>
      <c r="FS418"/>
      <c r="FT418"/>
      <c r="FU418"/>
      <c r="FV418"/>
      <c r="FW418"/>
      <c r="FX418"/>
      <c r="FY418"/>
      <c r="FZ418"/>
      <c r="GA418"/>
      <c r="GB418"/>
      <c r="GC418"/>
      <c r="GD418"/>
    </row>
    <row r="419" spans="1:186" x14ac:dyDescent="0.15">
      <c r="AG419"/>
      <c r="AH419"/>
      <c r="AJ419"/>
      <c r="AK419"/>
      <c r="AL419"/>
      <c r="AM419"/>
      <c r="AO419"/>
      <c r="AP419"/>
      <c r="AQ419"/>
      <c r="AR419"/>
      <c r="AS419"/>
      <c r="AT419"/>
      <c r="AU419"/>
      <c r="AV419"/>
      <c r="AW419"/>
      <c r="AX419"/>
      <c r="AY419"/>
      <c r="AZ419"/>
      <c r="BA419"/>
      <c r="BB419"/>
      <c r="BC419"/>
      <c r="BD419"/>
      <c r="BE419"/>
      <c r="BF419"/>
      <c r="BH419"/>
      <c r="BI419"/>
      <c r="BJ419"/>
      <c r="BK419"/>
      <c r="BL419"/>
      <c r="BM419"/>
      <c r="BN419"/>
      <c r="BP419"/>
      <c r="BQ419"/>
      <c r="BR419"/>
      <c r="BS419"/>
      <c r="BT419"/>
      <c r="BU419"/>
      <c r="BV419"/>
      <c r="BW419"/>
      <c r="BZ419"/>
      <c r="CA419"/>
      <c r="CB419"/>
      <c r="CC419"/>
      <c r="CD419"/>
      <c r="CF419"/>
      <c r="CG419"/>
      <c r="CH419"/>
      <c r="CI419"/>
      <c r="CJ419"/>
      <c r="CK419"/>
      <c r="CL419"/>
      <c r="CM419"/>
      <c r="CN419"/>
      <c r="CO419"/>
      <c r="CP419"/>
      <c r="CQ419"/>
      <c r="CR419"/>
      <c r="CS419"/>
      <c r="CT419"/>
      <c r="CU419"/>
      <c r="CV419"/>
      <c r="CW419"/>
      <c r="CX419"/>
      <c r="CY419"/>
      <c r="CZ419"/>
      <c r="DA419"/>
      <c r="DB419"/>
      <c r="DC419"/>
      <c r="DD419"/>
      <c r="DE419"/>
      <c r="DG419"/>
      <c r="DH419"/>
      <c r="DI419"/>
      <c r="DJ419"/>
      <c r="DK419"/>
      <c r="DL419"/>
      <c r="DM419"/>
      <c r="DN419"/>
      <c r="DO419"/>
      <c r="DP419"/>
      <c r="DQ419"/>
      <c r="DR419"/>
      <c r="DS419"/>
      <c r="DT419"/>
      <c r="DU419"/>
      <c r="DV419"/>
      <c r="DW419"/>
      <c r="DZ419"/>
      <c r="EA419"/>
      <c r="EB419"/>
      <c r="EC419"/>
      <c r="ED419"/>
      <c r="EE419"/>
      <c r="EF419"/>
      <c r="EG419"/>
      <c r="EJ419"/>
      <c r="EK419"/>
      <c r="EL419"/>
      <c r="EM419"/>
      <c r="EN419"/>
      <c r="EO419"/>
      <c r="EP419"/>
      <c r="EQ419"/>
      <c r="ER419"/>
      <c r="ES419"/>
      <c r="ET419"/>
      <c r="EU419"/>
      <c r="EV419"/>
      <c r="EW419"/>
      <c r="EX419"/>
      <c r="EY419"/>
      <c r="EZ419"/>
      <c r="FA419"/>
      <c r="FB419"/>
      <c r="FC419"/>
      <c r="FD419"/>
      <c r="FE419"/>
      <c r="FF419"/>
      <c r="FG419"/>
      <c r="FH419"/>
      <c r="FK419"/>
      <c r="FL419"/>
      <c r="FM419"/>
      <c r="FN419"/>
      <c r="FO419"/>
      <c r="FP419"/>
      <c r="FQ419"/>
      <c r="FR419"/>
      <c r="FS419"/>
      <c r="FT419"/>
      <c r="FU419"/>
      <c r="FV419"/>
      <c r="FW419"/>
      <c r="FX419"/>
      <c r="FY419"/>
      <c r="FZ419"/>
      <c r="GA419"/>
      <c r="GB419"/>
      <c r="GC419"/>
      <c r="GD419"/>
    </row>
    <row r="420" spans="1:186" x14ac:dyDescent="0.15">
      <c r="AG420"/>
      <c r="AH420"/>
      <c r="AJ420"/>
      <c r="AK420"/>
      <c r="AL420"/>
      <c r="AM420"/>
      <c r="AO420"/>
      <c r="AP420"/>
      <c r="AQ420"/>
      <c r="AR420"/>
      <c r="AS420"/>
      <c r="AT420"/>
      <c r="AU420"/>
      <c r="AV420"/>
      <c r="AW420"/>
      <c r="AX420"/>
      <c r="AY420"/>
      <c r="AZ420"/>
      <c r="BA420"/>
      <c r="BB420"/>
      <c r="BC420"/>
      <c r="BD420"/>
      <c r="BE420"/>
      <c r="BF420"/>
      <c r="BH420"/>
      <c r="BI420"/>
      <c r="BJ420"/>
      <c r="BK420"/>
      <c r="BL420"/>
      <c r="BM420"/>
      <c r="BN420"/>
      <c r="BP420"/>
      <c r="BQ420"/>
      <c r="BR420"/>
      <c r="BS420"/>
      <c r="BT420"/>
      <c r="BU420"/>
      <c r="BV420"/>
      <c r="BW420"/>
      <c r="BZ420"/>
      <c r="CA420"/>
      <c r="CB420"/>
      <c r="CC420"/>
      <c r="CD420"/>
      <c r="CF420"/>
      <c r="CG420"/>
      <c r="CH420"/>
      <c r="CI420"/>
      <c r="CJ420"/>
      <c r="CK420"/>
      <c r="CL420"/>
      <c r="CM420"/>
      <c r="CN420"/>
      <c r="CO420"/>
      <c r="CP420"/>
      <c r="CQ420"/>
      <c r="CR420"/>
      <c r="CS420"/>
      <c r="CT420"/>
      <c r="CU420"/>
      <c r="CV420"/>
      <c r="CW420"/>
      <c r="CX420"/>
      <c r="CY420"/>
      <c r="CZ420"/>
      <c r="DA420"/>
      <c r="DB420"/>
      <c r="DC420"/>
      <c r="DD420"/>
      <c r="DE420"/>
      <c r="DG420"/>
      <c r="DH420"/>
      <c r="DI420"/>
      <c r="DJ420"/>
      <c r="DK420"/>
      <c r="DL420"/>
      <c r="DM420"/>
      <c r="DN420"/>
      <c r="DO420"/>
      <c r="DP420"/>
      <c r="DQ420"/>
      <c r="DR420"/>
      <c r="DS420"/>
      <c r="DT420"/>
      <c r="DU420"/>
      <c r="DV420"/>
      <c r="DW420"/>
      <c r="DZ420"/>
      <c r="EA420"/>
      <c r="EB420"/>
      <c r="EC420"/>
      <c r="ED420"/>
      <c r="EE420"/>
      <c r="EF420"/>
      <c r="EG420"/>
      <c r="EJ420"/>
      <c r="EK420"/>
      <c r="EL420"/>
      <c r="EM420"/>
      <c r="EN420"/>
      <c r="EO420"/>
      <c r="EP420"/>
      <c r="EQ420"/>
      <c r="ER420"/>
      <c r="ES420"/>
      <c r="ET420"/>
      <c r="EU420"/>
      <c r="EV420"/>
      <c r="EW420"/>
      <c r="EX420"/>
      <c r="EY420"/>
      <c r="EZ420"/>
      <c r="FA420"/>
      <c r="FB420"/>
      <c r="FC420"/>
      <c r="FD420"/>
      <c r="FE420"/>
      <c r="FF420"/>
      <c r="FG420"/>
      <c r="FH420"/>
      <c r="FK420"/>
      <c r="FL420"/>
      <c r="FM420"/>
      <c r="FN420"/>
      <c r="FO420"/>
      <c r="FP420"/>
      <c r="FQ420"/>
      <c r="FR420"/>
      <c r="FS420"/>
      <c r="FT420"/>
      <c r="FU420"/>
      <c r="FV420"/>
      <c r="FW420"/>
      <c r="FX420"/>
      <c r="FY420"/>
      <c r="FZ420"/>
      <c r="GA420"/>
      <c r="GB420"/>
      <c r="GC420"/>
      <c r="GD420"/>
    </row>
    <row r="421" spans="1:186" x14ac:dyDescent="0.15">
      <c r="AG421"/>
      <c r="AH421"/>
      <c r="AJ421"/>
      <c r="AK421"/>
      <c r="AL421"/>
      <c r="AM421"/>
      <c r="AO421"/>
      <c r="AP421"/>
      <c r="AQ421"/>
      <c r="AR421"/>
      <c r="AS421"/>
      <c r="AT421"/>
      <c r="AU421"/>
      <c r="AV421"/>
      <c r="AW421"/>
      <c r="AX421"/>
      <c r="AY421"/>
      <c r="AZ421"/>
      <c r="BA421"/>
      <c r="BB421"/>
      <c r="BC421"/>
      <c r="BD421"/>
      <c r="BE421"/>
      <c r="BF421"/>
      <c r="BH421"/>
      <c r="BI421"/>
      <c r="BJ421"/>
      <c r="BK421"/>
      <c r="BL421"/>
      <c r="BM421"/>
      <c r="BN421"/>
      <c r="BP421"/>
      <c r="BQ421"/>
      <c r="BR421"/>
      <c r="BS421"/>
      <c r="BT421"/>
      <c r="BU421"/>
      <c r="BV421"/>
      <c r="BW421"/>
      <c r="BZ421"/>
      <c r="CA421"/>
      <c r="CB421"/>
      <c r="CC421"/>
      <c r="CD421"/>
      <c r="CF421"/>
      <c r="CG421"/>
      <c r="CH421"/>
      <c r="CI421"/>
      <c r="CJ421"/>
      <c r="CK421"/>
      <c r="CL421"/>
      <c r="CM421"/>
      <c r="CN421"/>
      <c r="CO421"/>
      <c r="CP421"/>
      <c r="CQ421"/>
      <c r="CR421"/>
      <c r="CS421"/>
      <c r="CT421"/>
      <c r="CU421"/>
      <c r="CV421"/>
      <c r="CW421"/>
      <c r="CX421"/>
      <c r="CY421"/>
      <c r="CZ421"/>
      <c r="DA421"/>
      <c r="DB421"/>
      <c r="DC421"/>
      <c r="DD421"/>
      <c r="DE421"/>
      <c r="DG421"/>
      <c r="DH421"/>
      <c r="DI421"/>
      <c r="DJ421"/>
      <c r="DK421"/>
      <c r="DL421"/>
      <c r="DM421"/>
      <c r="DN421"/>
      <c r="DO421"/>
      <c r="DP421"/>
      <c r="DQ421"/>
      <c r="DR421"/>
      <c r="DS421"/>
      <c r="DT421"/>
      <c r="DU421"/>
      <c r="DV421"/>
      <c r="DW421"/>
      <c r="DZ421"/>
      <c r="EA421"/>
      <c r="EB421"/>
      <c r="EC421"/>
      <c r="ED421"/>
      <c r="EE421"/>
      <c r="EF421"/>
      <c r="EG421"/>
      <c r="EJ421"/>
      <c r="EK421"/>
      <c r="EL421"/>
      <c r="EM421"/>
      <c r="EN421"/>
      <c r="EO421"/>
      <c r="EP421"/>
      <c r="EQ421"/>
      <c r="ER421"/>
      <c r="ES421"/>
      <c r="ET421"/>
      <c r="EU421"/>
      <c r="EV421"/>
      <c r="EW421"/>
      <c r="EX421"/>
      <c r="EY421"/>
      <c r="EZ421"/>
      <c r="FA421"/>
      <c r="FB421"/>
      <c r="FC421"/>
      <c r="FD421"/>
      <c r="FE421"/>
      <c r="FF421"/>
      <c r="FG421"/>
      <c r="FH421"/>
      <c r="FK421"/>
      <c r="FL421"/>
      <c r="FM421"/>
      <c r="FN421"/>
      <c r="FO421"/>
      <c r="FP421"/>
      <c r="FQ421"/>
      <c r="FR421"/>
      <c r="FS421"/>
      <c r="FT421"/>
      <c r="FU421"/>
      <c r="FV421"/>
      <c r="FW421"/>
      <c r="FX421"/>
      <c r="FY421"/>
      <c r="FZ421"/>
      <c r="GA421"/>
      <c r="GB421"/>
      <c r="GC421"/>
      <c r="GD421"/>
    </row>
    <row r="422" spans="1:186" x14ac:dyDescent="0.15">
      <c r="AG422"/>
      <c r="AH422"/>
      <c r="AJ422"/>
      <c r="AK422"/>
      <c r="AL422"/>
      <c r="AM422"/>
      <c r="AO422"/>
      <c r="AP422"/>
      <c r="AQ422"/>
      <c r="AR422"/>
      <c r="AS422"/>
      <c r="AT422"/>
      <c r="AU422"/>
      <c r="AV422"/>
      <c r="AW422"/>
      <c r="AX422"/>
      <c r="AY422"/>
      <c r="AZ422"/>
      <c r="BA422"/>
      <c r="BB422"/>
      <c r="BC422"/>
      <c r="BD422"/>
      <c r="BE422"/>
      <c r="BF422"/>
      <c r="BH422"/>
      <c r="BI422"/>
      <c r="BJ422"/>
      <c r="BK422"/>
      <c r="BL422"/>
      <c r="BM422"/>
      <c r="BN422"/>
      <c r="BP422"/>
      <c r="BQ422"/>
      <c r="BR422"/>
      <c r="BS422"/>
      <c r="BT422"/>
      <c r="BU422"/>
      <c r="BV422"/>
      <c r="BW422"/>
      <c r="BZ422"/>
      <c r="CA422"/>
      <c r="CB422"/>
      <c r="CC422"/>
      <c r="CD422"/>
      <c r="CF422"/>
      <c r="CG422"/>
      <c r="CH422"/>
      <c r="CI422"/>
      <c r="CJ422"/>
      <c r="CK422"/>
      <c r="CL422"/>
      <c r="CM422"/>
      <c r="CN422"/>
      <c r="CO422"/>
      <c r="CP422"/>
      <c r="CQ422"/>
      <c r="CR422"/>
      <c r="CS422"/>
      <c r="CT422"/>
      <c r="CU422"/>
      <c r="CV422"/>
      <c r="CW422"/>
      <c r="CX422"/>
      <c r="CY422"/>
      <c r="CZ422"/>
      <c r="DA422"/>
      <c r="DB422"/>
      <c r="DC422"/>
      <c r="DD422"/>
      <c r="DE422"/>
      <c r="DG422"/>
      <c r="DH422"/>
      <c r="DI422"/>
      <c r="DJ422"/>
      <c r="DK422"/>
      <c r="DL422"/>
      <c r="DM422"/>
      <c r="DN422"/>
      <c r="DO422"/>
      <c r="DP422"/>
      <c r="DQ422"/>
      <c r="DR422"/>
      <c r="DS422"/>
      <c r="DT422"/>
      <c r="DU422"/>
      <c r="DV422"/>
      <c r="DW422"/>
      <c r="DZ422"/>
      <c r="EA422"/>
      <c r="EB422"/>
      <c r="EC422"/>
      <c r="ED422"/>
      <c r="EE422"/>
      <c r="EF422"/>
      <c r="EG422"/>
      <c r="EJ422"/>
      <c r="EK422"/>
      <c r="EL422"/>
      <c r="EM422"/>
      <c r="EN422"/>
      <c r="EO422"/>
      <c r="EP422"/>
      <c r="EQ422"/>
      <c r="ER422"/>
      <c r="ES422"/>
      <c r="ET422"/>
      <c r="EU422"/>
      <c r="EV422"/>
      <c r="EW422"/>
      <c r="EX422"/>
      <c r="EY422"/>
      <c r="EZ422"/>
      <c r="FA422"/>
      <c r="FB422"/>
      <c r="FC422"/>
      <c r="FD422"/>
      <c r="FE422"/>
      <c r="FF422"/>
      <c r="FG422"/>
      <c r="FH422"/>
      <c r="FK422"/>
      <c r="FL422"/>
      <c r="FM422"/>
      <c r="FN422"/>
      <c r="FO422"/>
      <c r="FP422"/>
      <c r="FQ422"/>
      <c r="FR422"/>
      <c r="FS422"/>
      <c r="FT422"/>
      <c r="FU422"/>
      <c r="FV422"/>
      <c r="FW422"/>
      <c r="FX422"/>
      <c r="FY422"/>
      <c r="FZ422"/>
      <c r="GA422"/>
      <c r="GB422"/>
      <c r="GC422"/>
      <c r="GD422"/>
    </row>
    <row r="423" spans="1:186" x14ac:dyDescent="0.15">
      <c r="AG423"/>
      <c r="AH423"/>
      <c r="AJ423"/>
      <c r="AK423"/>
      <c r="AL423"/>
      <c r="AM423"/>
      <c r="AO423"/>
      <c r="AP423"/>
      <c r="AQ423"/>
      <c r="AR423"/>
      <c r="AS423"/>
      <c r="AT423"/>
      <c r="AU423"/>
      <c r="AV423"/>
      <c r="AW423"/>
      <c r="AX423"/>
      <c r="AY423"/>
      <c r="AZ423"/>
      <c r="BA423"/>
      <c r="BB423"/>
      <c r="BC423"/>
      <c r="BD423"/>
      <c r="BE423"/>
      <c r="BF423"/>
      <c r="BH423"/>
      <c r="BI423"/>
      <c r="BJ423"/>
      <c r="BK423"/>
      <c r="BL423"/>
      <c r="BM423"/>
      <c r="BN423"/>
      <c r="BP423"/>
      <c r="BQ423"/>
      <c r="BR423"/>
      <c r="BS423"/>
      <c r="BT423"/>
      <c r="BU423"/>
      <c r="BV423"/>
      <c r="BW423"/>
      <c r="BZ423"/>
      <c r="CA423"/>
      <c r="CB423"/>
      <c r="CC423"/>
      <c r="CD423"/>
      <c r="CF423"/>
      <c r="CG423"/>
      <c r="CH423"/>
      <c r="CI423"/>
      <c r="CJ423"/>
      <c r="CK423"/>
      <c r="CL423"/>
      <c r="CM423"/>
      <c r="CN423"/>
      <c r="CO423"/>
      <c r="CP423"/>
      <c r="CQ423"/>
      <c r="CR423"/>
      <c r="CS423"/>
      <c r="CT423"/>
      <c r="CU423"/>
      <c r="CV423"/>
      <c r="CW423"/>
      <c r="CX423"/>
      <c r="CY423"/>
      <c r="CZ423"/>
      <c r="DA423"/>
      <c r="DB423"/>
      <c r="DC423"/>
      <c r="DD423"/>
      <c r="DE423"/>
      <c r="DG423"/>
      <c r="DH423"/>
      <c r="DI423"/>
      <c r="DJ423"/>
      <c r="DK423"/>
      <c r="DL423"/>
      <c r="DM423"/>
      <c r="DN423"/>
      <c r="DO423"/>
      <c r="DP423"/>
      <c r="DQ423"/>
      <c r="DR423"/>
      <c r="DS423"/>
      <c r="DT423"/>
      <c r="DU423"/>
      <c r="DV423"/>
      <c r="DW423"/>
      <c r="DZ423"/>
      <c r="EA423"/>
      <c r="EB423"/>
      <c r="EC423"/>
      <c r="ED423"/>
      <c r="EE423"/>
      <c r="EF423"/>
      <c r="EG423"/>
      <c r="EJ423"/>
      <c r="EK423"/>
      <c r="EL423"/>
      <c r="EM423"/>
      <c r="EN423"/>
      <c r="EO423"/>
      <c r="EP423"/>
      <c r="EQ423"/>
      <c r="ER423"/>
      <c r="ES423"/>
      <c r="ET423"/>
      <c r="EU423"/>
      <c r="EV423"/>
      <c r="EW423"/>
      <c r="EX423"/>
      <c r="EY423"/>
      <c r="EZ423"/>
      <c r="FA423"/>
      <c r="FB423"/>
      <c r="FC423"/>
      <c r="FD423"/>
      <c r="FE423"/>
      <c r="FF423"/>
      <c r="FG423"/>
      <c r="FH423"/>
      <c r="FK423"/>
      <c r="FL423"/>
      <c r="FM423"/>
      <c r="FN423"/>
      <c r="FO423"/>
      <c r="FP423"/>
      <c r="FQ423"/>
      <c r="FR423"/>
      <c r="FS423"/>
      <c r="FT423"/>
      <c r="FU423"/>
      <c r="FV423"/>
      <c r="FW423"/>
      <c r="FX423"/>
      <c r="FY423"/>
      <c r="FZ423"/>
      <c r="GA423"/>
      <c r="GB423"/>
      <c r="GC423"/>
      <c r="GD423"/>
    </row>
    <row r="424" spans="1:186" x14ac:dyDescent="0.15">
      <c r="A424" s="30" t="s">
        <v>148</v>
      </c>
      <c r="AG424"/>
      <c r="AH424"/>
      <c r="AJ424"/>
      <c r="AK424"/>
      <c r="AL424"/>
      <c r="AM424"/>
      <c r="AO424"/>
      <c r="AP424"/>
      <c r="AQ424"/>
      <c r="AR424"/>
      <c r="AS424"/>
      <c r="AT424"/>
      <c r="AU424"/>
      <c r="AV424"/>
      <c r="AW424"/>
      <c r="AX424"/>
      <c r="AY424"/>
      <c r="AZ424"/>
      <c r="BA424"/>
      <c r="BB424"/>
      <c r="BC424"/>
      <c r="BD424"/>
      <c r="BE424"/>
      <c r="BF424"/>
      <c r="BH424"/>
      <c r="BI424"/>
      <c r="BJ424"/>
      <c r="BK424"/>
      <c r="BL424"/>
      <c r="BM424"/>
      <c r="BN424"/>
      <c r="BP424"/>
      <c r="BQ424"/>
      <c r="BR424"/>
      <c r="BS424"/>
      <c r="BT424"/>
      <c r="BU424"/>
      <c r="BV424"/>
      <c r="BW424"/>
      <c r="BZ424"/>
      <c r="CA424"/>
      <c r="CB424"/>
      <c r="CC424"/>
      <c r="CD424"/>
      <c r="CF424"/>
      <c r="CG424"/>
      <c r="CH424"/>
      <c r="CI424"/>
      <c r="CJ424"/>
      <c r="CK424"/>
      <c r="CL424"/>
      <c r="CM424"/>
      <c r="CN424"/>
      <c r="CO424"/>
      <c r="CP424"/>
      <c r="CQ424"/>
      <c r="CR424"/>
      <c r="CS424"/>
      <c r="CT424"/>
      <c r="CU424"/>
      <c r="CV424"/>
      <c r="CW424"/>
      <c r="CX424"/>
      <c r="CY424"/>
      <c r="CZ424"/>
      <c r="DA424"/>
      <c r="DB424"/>
      <c r="DC424"/>
      <c r="DD424"/>
      <c r="DE424"/>
      <c r="DG424"/>
      <c r="DH424"/>
      <c r="DI424"/>
      <c r="DJ424"/>
      <c r="DK424"/>
      <c r="DL424"/>
      <c r="DM424"/>
      <c r="DN424"/>
      <c r="DO424"/>
      <c r="DP424"/>
      <c r="DQ424"/>
      <c r="DR424"/>
      <c r="DS424"/>
      <c r="DT424"/>
      <c r="DU424"/>
      <c r="DV424"/>
      <c r="DW424"/>
      <c r="DZ424"/>
      <c r="EA424"/>
      <c r="EB424"/>
      <c r="EC424"/>
      <c r="ED424"/>
      <c r="EE424"/>
      <c r="EF424"/>
      <c r="EG424"/>
      <c r="EJ424"/>
      <c r="EK424"/>
      <c r="EL424"/>
      <c r="EM424"/>
      <c r="EN424"/>
      <c r="EO424"/>
      <c r="EP424"/>
      <c r="EQ424"/>
      <c r="ER424"/>
      <c r="ES424"/>
      <c r="ET424"/>
      <c r="EU424"/>
      <c r="EV424"/>
      <c r="EW424"/>
      <c r="EX424"/>
      <c r="EY424"/>
      <c r="EZ424"/>
      <c r="FA424"/>
      <c r="FB424"/>
      <c r="FC424"/>
      <c r="FD424"/>
      <c r="FE424"/>
      <c r="FF424"/>
      <c r="FG424"/>
      <c r="FH424"/>
      <c r="FK424"/>
      <c r="FL424"/>
      <c r="FM424"/>
      <c r="FN424"/>
      <c r="FO424"/>
      <c r="FP424"/>
      <c r="FQ424"/>
      <c r="FR424"/>
      <c r="FS424"/>
      <c r="FT424"/>
      <c r="FU424"/>
      <c r="FV424"/>
      <c r="FW424"/>
      <c r="FX424"/>
      <c r="FY424"/>
      <c r="FZ424"/>
      <c r="GA424"/>
      <c r="GB424"/>
      <c r="GC424"/>
      <c r="GD424"/>
    </row>
    <row r="425" spans="1:186" x14ac:dyDescent="0.15">
      <c r="A425" s="30" t="s">
        <v>147</v>
      </c>
      <c r="AG425"/>
      <c r="AH425"/>
      <c r="AJ425"/>
      <c r="AK425"/>
      <c r="AL425"/>
      <c r="AM425"/>
      <c r="AO425"/>
      <c r="AP425"/>
      <c r="AQ425"/>
      <c r="AR425"/>
      <c r="AS425"/>
      <c r="AT425"/>
      <c r="AU425"/>
      <c r="AV425"/>
      <c r="AW425"/>
      <c r="AX425"/>
      <c r="AY425"/>
      <c r="AZ425"/>
      <c r="BA425"/>
      <c r="BB425"/>
      <c r="BC425"/>
      <c r="BD425"/>
      <c r="BE425"/>
      <c r="BF425"/>
      <c r="BH425"/>
      <c r="BI425"/>
      <c r="BJ425"/>
      <c r="BK425"/>
      <c r="BL425"/>
      <c r="BM425"/>
      <c r="BN425"/>
      <c r="BP425"/>
      <c r="BQ425"/>
      <c r="BR425"/>
      <c r="BS425"/>
      <c r="BT425"/>
      <c r="BU425"/>
      <c r="BV425"/>
      <c r="BW425"/>
      <c r="BZ425"/>
      <c r="CA425"/>
      <c r="CB425"/>
      <c r="CC425"/>
      <c r="CD425"/>
      <c r="CF425"/>
      <c r="CG425"/>
      <c r="CH425"/>
      <c r="CI425"/>
      <c r="CJ425"/>
      <c r="CK425"/>
      <c r="CL425"/>
      <c r="CM425"/>
      <c r="CN425"/>
      <c r="CO425"/>
      <c r="CP425"/>
      <c r="CQ425"/>
      <c r="CR425"/>
      <c r="CS425"/>
      <c r="CT425"/>
      <c r="CU425"/>
      <c r="CV425"/>
      <c r="CW425"/>
      <c r="CX425"/>
      <c r="CY425"/>
      <c r="CZ425"/>
      <c r="DA425"/>
      <c r="DB425"/>
      <c r="DC425"/>
      <c r="DD425"/>
      <c r="DE425"/>
      <c r="DG425"/>
      <c r="DH425"/>
      <c r="DI425"/>
      <c r="DJ425"/>
      <c r="DK425"/>
      <c r="DL425"/>
      <c r="DM425"/>
      <c r="DN425"/>
      <c r="DO425"/>
      <c r="DP425"/>
      <c r="DQ425"/>
      <c r="DR425"/>
      <c r="DS425"/>
      <c r="DT425"/>
      <c r="DU425"/>
      <c r="DV425"/>
      <c r="DW425"/>
      <c r="DZ425"/>
      <c r="EA425"/>
      <c r="EB425"/>
      <c r="EC425"/>
      <c r="ED425"/>
      <c r="EE425"/>
      <c r="EF425"/>
      <c r="EG425"/>
      <c r="EJ425"/>
      <c r="EK425"/>
      <c r="EL425"/>
      <c r="EM425"/>
      <c r="EN425"/>
      <c r="EO425"/>
      <c r="EP425"/>
      <c r="EQ425"/>
      <c r="ER425"/>
      <c r="ES425"/>
      <c r="ET425"/>
      <c r="EU425"/>
      <c r="EV425"/>
      <c r="EW425"/>
      <c r="EX425"/>
      <c r="EY425"/>
      <c r="EZ425"/>
      <c r="FA425"/>
      <c r="FB425"/>
      <c r="FC425"/>
      <c r="FD425"/>
      <c r="FE425"/>
      <c r="FF425"/>
      <c r="FG425"/>
      <c r="FH425"/>
      <c r="FK425"/>
      <c r="FL425"/>
      <c r="FM425"/>
      <c r="FN425"/>
      <c r="FO425"/>
      <c r="FP425"/>
      <c r="FQ425"/>
      <c r="FR425"/>
      <c r="FS425"/>
      <c r="FT425"/>
      <c r="FU425"/>
      <c r="FV425"/>
      <c r="FW425"/>
      <c r="FX425"/>
      <c r="FY425"/>
      <c r="FZ425"/>
      <c r="GA425"/>
      <c r="GB425"/>
      <c r="GC425"/>
      <c r="GD425"/>
    </row>
    <row r="426" spans="1:186" x14ac:dyDescent="0.15">
      <c r="A426" s="30" t="s">
        <v>146</v>
      </c>
      <c r="AG426"/>
      <c r="AH426"/>
      <c r="AJ426"/>
      <c r="AK426"/>
      <c r="AL426"/>
      <c r="AM426"/>
      <c r="AO426"/>
      <c r="AP426"/>
      <c r="AQ426"/>
      <c r="AR426"/>
      <c r="AS426"/>
      <c r="AT426"/>
      <c r="AU426"/>
      <c r="AV426"/>
      <c r="AW426"/>
      <c r="AX426"/>
      <c r="AY426"/>
      <c r="AZ426"/>
      <c r="BA426"/>
      <c r="BB426"/>
      <c r="BC426"/>
      <c r="BD426"/>
      <c r="BE426"/>
      <c r="BF426"/>
      <c r="BH426"/>
      <c r="BI426"/>
      <c r="BJ426"/>
      <c r="BK426"/>
      <c r="BL426"/>
      <c r="BM426"/>
      <c r="BN426"/>
      <c r="BP426"/>
      <c r="BQ426"/>
      <c r="BR426"/>
      <c r="BS426"/>
      <c r="BT426"/>
      <c r="BU426"/>
      <c r="BV426"/>
      <c r="BW426"/>
      <c r="BZ426"/>
      <c r="CA426"/>
      <c r="CB426"/>
      <c r="CC426"/>
      <c r="CD426"/>
      <c r="CF426"/>
      <c r="CG426"/>
      <c r="CH426"/>
      <c r="CI426"/>
      <c r="CJ426"/>
      <c r="CK426"/>
      <c r="CL426"/>
      <c r="CM426"/>
      <c r="CN426"/>
      <c r="CO426"/>
      <c r="CP426"/>
      <c r="CQ426"/>
      <c r="CR426"/>
      <c r="CS426"/>
      <c r="CT426"/>
      <c r="CU426"/>
      <c r="CV426"/>
      <c r="CW426"/>
      <c r="CX426"/>
      <c r="CY426"/>
      <c r="CZ426"/>
      <c r="DA426"/>
      <c r="DB426"/>
      <c r="DC426"/>
      <c r="DD426"/>
      <c r="DE426"/>
      <c r="DG426"/>
      <c r="DH426"/>
      <c r="DI426"/>
      <c r="DJ426"/>
      <c r="DK426"/>
      <c r="DL426"/>
      <c r="DM426"/>
      <c r="DN426"/>
      <c r="DO426"/>
      <c r="DP426"/>
      <c r="DQ426"/>
      <c r="DR426"/>
      <c r="DS426"/>
      <c r="DT426"/>
      <c r="DU426"/>
      <c r="DV426"/>
      <c r="DW426"/>
      <c r="DZ426"/>
      <c r="EA426"/>
      <c r="EB426"/>
      <c r="EC426"/>
      <c r="ED426"/>
      <c r="EE426"/>
      <c r="EF426"/>
      <c r="EG426"/>
      <c r="EJ426"/>
      <c r="EK426"/>
      <c r="EL426"/>
      <c r="EM426"/>
      <c r="EN426"/>
      <c r="EO426"/>
      <c r="EP426"/>
      <c r="EQ426"/>
      <c r="ER426"/>
      <c r="ES426"/>
      <c r="ET426"/>
      <c r="EU426"/>
      <c r="EV426"/>
      <c r="EW426"/>
      <c r="EX426"/>
      <c r="EY426"/>
      <c r="EZ426"/>
      <c r="FA426"/>
      <c r="FB426"/>
      <c r="FC426"/>
      <c r="FD426"/>
      <c r="FE426"/>
      <c r="FF426"/>
      <c r="FG426"/>
      <c r="FH426"/>
      <c r="FK426"/>
      <c r="FL426"/>
      <c r="FM426"/>
      <c r="FN426"/>
      <c r="FO426"/>
      <c r="FP426"/>
      <c r="FQ426"/>
      <c r="FR426"/>
      <c r="FS426"/>
      <c r="FT426"/>
      <c r="FU426"/>
      <c r="FV426"/>
      <c r="FW426"/>
      <c r="FX426"/>
      <c r="FY426"/>
      <c r="FZ426"/>
      <c r="GA426"/>
      <c r="GB426"/>
      <c r="GC426"/>
      <c r="GD426"/>
    </row>
    <row r="427" spans="1:186" x14ac:dyDescent="0.15">
      <c r="A427" s="30" t="s">
        <v>145</v>
      </c>
      <c r="AG427"/>
      <c r="AH427"/>
      <c r="AJ427"/>
      <c r="AK427"/>
      <c r="AL427"/>
      <c r="AM427"/>
      <c r="AO427"/>
      <c r="AP427"/>
      <c r="AQ427"/>
      <c r="AR427"/>
      <c r="AS427"/>
      <c r="AT427"/>
      <c r="AU427"/>
      <c r="AV427"/>
      <c r="AW427"/>
      <c r="AX427"/>
      <c r="AY427"/>
      <c r="AZ427"/>
      <c r="BA427"/>
      <c r="BB427"/>
      <c r="BC427"/>
      <c r="BD427"/>
      <c r="BE427"/>
      <c r="BF427"/>
      <c r="BH427"/>
      <c r="BI427"/>
      <c r="BJ427"/>
      <c r="BK427"/>
      <c r="BL427"/>
      <c r="BM427"/>
      <c r="BN427"/>
      <c r="BP427"/>
      <c r="BQ427"/>
      <c r="BR427"/>
      <c r="BS427"/>
      <c r="BT427"/>
      <c r="BU427"/>
      <c r="BV427"/>
      <c r="BW427"/>
      <c r="BZ427"/>
      <c r="CA427"/>
      <c r="CB427"/>
      <c r="CC427"/>
      <c r="CD427"/>
      <c r="CF427"/>
      <c r="CG427"/>
      <c r="CH427"/>
      <c r="CI427"/>
      <c r="CJ427"/>
      <c r="CK427"/>
      <c r="CL427"/>
      <c r="CM427"/>
      <c r="CN427"/>
      <c r="CO427"/>
      <c r="CP427"/>
      <c r="CQ427"/>
      <c r="CR427"/>
      <c r="CS427"/>
      <c r="CT427"/>
      <c r="CU427"/>
      <c r="CV427"/>
      <c r="CW427"/>
      <c r="CX427"/>
      <c r="CY427"/>
      <c r="CZ427"/>
      <c r="DA427"/>
      <c r="DB427"/>
      <c r="DC427"/>
      <c r="DD427"/>
      <c r="DE427"/>
      <c r="DG427"/>
      <c r="DH427"/>
      <c r="DI427"/>
      <c r="DJ427"/>
      <c r="DK427"/>
      <c r="DL427"/>
      <c r="DM427"/>
      <c r="DN427"/>
      <c r="DO427"/>
      <c r="DP427"/>
      <c r="DQ427"/>
      <c r="DR427"/>
      <c r="DS427"/>
      <c r="DT427"/>
      <c r="DU427"/>
      <c r="DV427"/>
      <c r="DW427"/>
      <c r="DZ427"/>
      <c r="EA427"/>
      <c r="EB427"/>
      <c r="EC427"/>
      <c r="ED427"/>
      <c r="EE427"/>
      <c r="EF427"/>
      <c r="EG427"/>
      <c r="EJ427"/>
      <c r="EK427"/>
      <c r="EL427"/>
      <c r="EM427"/>
      <c r="EN427"/>
      <c r="EO427"/>
      <c r="EP427"/>
      <c r="EQ427"/>
      <c r="ER427"/>
      <c r="ES427"/>
      <c r="ET427"/>
      <c r="EU427"/>
      <c r="EV427"/>
      <c r="EW427"/>
      <c r="EX427"/>
      <c r="EY427"/>
      <c r="EZ427"/>
      <c r="FA427"/>
      <c r="FB427"/>
      <c r="FC427"/>
      <c r="FD427"/>
      <c r="FE427"/>
      <c r="FF427"/>
      <c r="FG427"/>
      <c r="FH427"/>
      <c r="FK427"/>
      <c r="FL427"/>
      <c r="FM427"/>
      <c r="FN427"/>
      <c r="FO427"/>
      <c r="FP427"/>
      <c r="FQ427"/>
      <c r="FR427"/>
      <c r="FS427"/>
      <c r="FT427"/>
      <c r="FU427"/>
      <c r="FV427"/>
      <c r="FW427"/>
      <c r="FX427"/>
      <c r="FY427"/>
      <c r="FZ427"/>
      <c r="GA427"/>
      <c r="GB427"/>
      <c r="GC427"/>
      <c r="GD427"/>
    </row>
    <row r="428" spans="1:186" x14ac:dyDescent="0.15">
      <c r="A428" s="30" t="s">
        <v>144</v>
      </c>
      <c r="AG428"/>
      <c r="AH428"/>
      <c r="AJ428"/>
      <c r="AK428"/>
      <c r="AL428"/>
      <c r="AM428"/>
      <c r="AO428"/>
      <c r="AP428"/>
      <c r="AQ428"/>
      <c r="AR428"/>
      <c r="AS428"/>
      <c r="AT428"/>
      <c r="AU428"/>
      <c r="AV428"/>
      <c r="AW428"/>
      <c r="AX428"/>
      <c r="AY428"/>
      <c r="AZ428"/>
      <c r="BA428"/>
      <c r="BB428"/>
      <c r="BC428"/>
      <c r="BD428"/>
      <c r="BE428"/>
      <c r="BF428"/>
      <c r="BH428"/>
      <c r="BI428"/>
      <c r="BJ428"/>
      <c r="BK428"/>
      <c r="BL428"/>
      <c r="BM428"/>
      <c r="BN428"/>
      <c r="BP428"/>
      <c r="BQ428"/>
      <c r="BR428"/>
      <c r="BS428"/>
      <c r="BT428"/>
      <c r="BU428"/>
      <c r="BV428"/>
      <c r="BW428"/>
      <c r="BZ428"/>
      <c r="CA428"/>
      <c r="CB428"/>
      <c r="CC428"/>
      <c r="CD428"/>
      <c r="CF428"/>
      <c r="CG428"/>
      <c r="CH428"/>
      <c r="CI428"/>
      <c r="CJ428"/>
      <c r="CK428"/>
      <c r="CL428"/>
      <c r="CM428"/>
      <c r="CN428"/>
      <c r="CO428"/>
      <c r="CP428"/>
      <c r="CQ428"/>
      <c r="CR428"/>
      <c r="CS428"/>
      <c r="CT428"/>
      <c r="CU428"/>
      <c r="CV428"/>
      <c r="CW428"/>
      <c r="CX428"/>
      <c r="CY428"/>
      <c r="CZ428"/>
      <c r="DA428"/>
      <c r="DB428"/>
      <c r="DC428"/>
      <c r="DD428"/>
      <c r="DE428"/>
      <c r="DG428"/>
      <c r="DH428"/>
      <c r="DI428"/>
      <c r="DJ428"/>
      <c r="DK428"/>
      <c r="DL428"/>
      <c r="DM428"/>
      <c r="DN428"/>
      <c r="DO428"/>
      <c r="DP428"/>
      <c r="DQ428"/>
      <c r="DR428"/>
      <c r="DS428"/>
      <c r="DT428"/>
      <c r="DU428"/>
      <c r="DV428"/>
      <c r="DW428"/>
      <c r="DZ428"/>
      <c r="EA428"/>
      <c r="EB428"/>
      <c r="EC428"/>
      <c r="ED428"/>
      <c r="EE428"/>
      <c r="EF428"/>
      <c r="EG428"/>
      <c r="EJ428"/>
      <c r="EK428"/>
      <c r="EL428"/>
      <c r="EM428"/>
      <c r="EN428"/>
      <c r="EO428"/>
      <c r="EP428"/>
      <c r="EQ428"/>
      <c r="ER428"/>
      <c r="ES428"/>
      <c r="ET428"/>
      <c r="EU428"/>
      <c r="EV428"/>
      <c r="EW428"/>
      <c r="EX428"/>
      <c r="EY428"/>
      <c r="EZ428"/>
      <c r="FA428"/>
      <c r="FB428"/>
      <c r="FC428"/>
      <c r="FD428"/>
      <c r="FE428"/>
      <c r="FF428"/>
      <c r="FG428"/>
      <c r="FH428"/>
      <c r="FK428"/>
      <c r="FL428"/>
      <c r="FM428"/>
      <c r="FN428"/>
      <c r="FO428"/>
      <c r="FP428"/>
      <c r="FQ428"/>
      <c r="FR428"/>
      <c r="FS428"/>
      <c r="FT428"/>
      <c r="FU428"/>
      <c r="FV428"/>
      <c r="FW428"/>
      <c r="FX428"/>
      <c r="FY428"/>
      <c r="FZ428"/>
      <c r="GA428"/>
      <c r="GB428"/>
      <c r="GC428"/>
      <c r="GD428"/>
    </row>
    <row r="429" spans="1:186" x14ac:dyDescent="0.15">
      <c r="A429" s="30" t="s">
        <v>143</v>
      </c>
      <c r="AG429"/>
      <c r="AH429"/>
      <c r="AJ429"/>
      <c r="AK429"/>
      <c r="AL429"/>
      <c r="AM429"/>
      <c r="AO429"/>
      <c r="AP429"/>
      <c r="AQ429"/>
      <c r="AR429"/>
      <c r="AS429"/>
      <c r="AT429"/>
      <c r="AU429"/>
      <c r="AV429"/>
      <c r="AW429"/>
      <c r="AX429"/>
      <c r="AY429"/>
      <c r="AZ429"/>
      <c r="BA429"/>
      <c r="BB429"/>
      <c r="BC429"/>
      <c r="BD429"/>
      <c r="BE429"/>
      <c r="BF429"/>
      <c r="BH429"/>
      <c r="BI429"/>
      <c r="BJ429"/>
      <c r="BK429"/>
      <c r="BL429"/>
      <c r="BM429"/>
      <c r="BN429"/>
      <c r="BP429"/>
      <c r="BQ429"/>
      <c r="BR429"/>
      <c r="BS429"/>
      <c r="BT429"/>
      <c r="BU429"/>
      <c r="BV429"/>
      <c r="BW429"/>
      <c r="BZ429"/>
      <c r="CA429"/>
      <c r="CB429"/>
      <c r="CC429"/>
      <c r="CD429"/>
      <c r="CF429"/>
      <c r="CG429"/>
      <c r="CH429"/>
      <c r="CI429"/>
      <c r="CJ429"/>
      <c r="CK429"/>
      <c r="CL429"/>
      <c r="CM429"/>
      <c r="CN429"/>
      <c r="CO429"/>
      <c r="CP429"/>
      <c r="CQ429"/>
      <c r="CR429"/>
      <c r="CS429"/>
      <c r="CT429"/>
      <c r="CU429"/>
      <c r="CV429"/>
      <c r="CW429"/>
      <c r="CX429"/>
      <c r="CY429"/>
      <c r="CZ429"/>
      <c r="DA429"/>
      <c r="DB429"/>
      <c r="DC429"/>
      <c r="DD429"/>
      <c r="DE429"/>
      <c r="DG429"/>
      <c r="DH429"/>
      <c r="DI429"/>
      <c r="DJ429"/>
      <c r="DK429"/>
      <c r="DL429"/>
      <c r="DM429"/>
      <c r="DN429"/>
      <c r="DO429"/>
      <c r="DP429"/>
      <c r="DQ429"/>
      <c r="DR429"/>
      <c r="DS429"/>
      <c r="DT429"/>
      <c r="DU429"/>
      <c r="DV429"/>
      <c r="DW429"/>
      <c r="DZ429"/>
      <c r="EA429"/>
      <c r="EB429"/>
      <c r="EC429"/>
      <c r="ED429"/>
      <c r="EE429"/>
      <c r="EF429"/>
      <c r="EG429"/>
      <c r="EJ429"/>
      <c r="EK429"/>
      <c r="EL429"/>
      <c r="EM429"/>
      <c r="EN429"/>
      <c r="EO429"/>
      <c r="EP429"/>
      <c r="EQ429"/>
      <c r="ER429"/>
      <c r="ES429"/>
      <c r="ET429"/>
      <c r="EU429"/>
      <c r="EV429"/>
      <c r="EW429"/>
      <c r="EX429"/>
      <c r="EY429"/>
      <c r="EZ429"/>
      <c r="FA429"/>
      <c r="FB429"/>
      <c r="FC429"/>
      <c r="FD429"/>
      <c r="FE429"/>
      <c r="FF429"/>
      <c r="FG429"/>
      <c r="FH429"/>
      <c r="FK429"/>
      <c r="FL429"/>
      <c r="FM429"/>
      <c r="FN429"/>
      <c r="FO429"/>
      <c r="FP429"/>
      <c r="FQ429"/>
      <c r="FR429"/>
      <c r="FS429"/>
      <c r="FT429"/>
      <c r="FU429"/>
      <c r="FV429"/>
      <c r="FW429"/>
      <c r="FX429"/>
      <c r="FY429"/>
      <c r="FZ429"/>
      <c r="GA429"/>
      <c r="GB429"/>
      <c r="GC429"/>
      <c r="GD429"/>
    </row>
    <row r="430" spans="1:186" x14ac:dyDescent="0.15">
      <c r="A430" s="30" t="s">
        <v>142</v>
      </c>
      <c r="AG430"/>
      <c r="AH430"/>
      <c r="AJ430"/>
      <c r="AK430"/>
      <c r="AL430"/>
      <c r="AM430"/>
      <c r="AO430"/>
      <c r="AP430"/>
      <c r="AQ430"/>
      <c r="AR430"/>
      <c r="AS430"/>
      <c r="AT430"/>
      <c r="AU430"/>
      <c r="AV430"/>
      <c r="AW430"/>
      <c r="AX430"/>
      <c r="AY430"/>
      <c r="AZ430"/>
      <c r="BA430"/>
      <c r="BB430"/>
      <c r="BC430"/>
      <c r="BD430"/>
      <c r="BE430"/>
      <c r="BF430"/>
      <c r="BH430"/>
      <c r="BI430"/>
      <c r="BJ430"/>
      <c r="BK430"/>
      <c r="BL430"/>
      <c r="BM430"/>
      <c r="BN430"/>
      <c r="BP430"/>
      <c r="BQ430"/>
      <c r="BR430"/>
      <c r="BS430"/>
      <c r="BT430"/>
      <c r="BU430"/>
      <c r="BV430"/>
      <c r="BW430"/>
      <c r="BZ430"/>
      <c r="CA430"/>
      <c r="CB430"/>
      <c r="CC430"/>
      <c r="CD430"/>
      <c r="CF430"/>
      <c r="CG430"/>
      <c r="CH430"/>
      <c r="CI430"/>
      <c r="CJ430"/>
      <c r="CK430"/>
      <c r="CL430"/>
      <c r="CM430"/>
      <c r="CN430"/>
      <c r="CO430"/>
      <c r="CP430"/>
      <c r="CQ430"/>
      <c r="CR430"/>
      <c r="CS430"/>
      <c r="CT430"/>
      <c r="CU430"/>
      <c r="CV430"/>
      <c r="CW430"/>
      <c r="CX430"/>
      <c r="CY430"/>
      <c r="CZ430"/>
      <c r="DA430"/>
      <c r="DB430"/>
      <c r="DC430"/>
      <c r="DD430"/>
      <c r="DE430"/>
      <c r="DG430"/>
      <c r="DH430"/>
      <c r="DI430"/>
      <c r="DJ430"/>
      <c r="DK430"/>
      <c r="DL430"/>
      <c r="DM430"/>
      <c r="DN430"/>
      <c r="DO430"/>
      <c r="DP430"/>
      <c r="DQ430"/>
      <c r="DR430"/>
      <c r="DS430"/>
      <c r="DT430"/>
      <c r="DU430"/>
      <c r="DV430"/>
      <c r="DW430"/>
      <c r="DZ430"/>
      <c r="EA430"/>
      <c r="EB430"/>
      <c r="EC430"/>
      <c r="ED430"/>
      <c r="EE430"/>
      <c r="EF430"/>
      <c r="EG430"/>
      <c r="EJ430"/>
      <c r="EK430"/>
      <c r="EL430"/>
      <c r="EM430"/>
      <c r="EN430"/>
      <c r="EO430"/>
      <c r="EP430"/>
      <c r="EQ430"/>
      <c r="ER430"/>
      <c r="ES430"/>
      <c r="ET430"/>
      <c r="EU430"/>
      <c r="EV430"/>
      <c r="EW430"/>
      <c r="EX430"/>
      <c r="EY430"/>
      <c r="EZ430"/>
      <c r="FA430"/>
      <c r="FB430"/>
      <c r="FC430"/>
      <c r="FD430"/>
      <c r="FE430"/>
      <c r="FF430"/>
      <c r="FG430"/>
      <c r="FH430"/>
      <c r="FK430"/>
      <c r="FL430"/>
      <c r="FM430"/>
      <c r="FN430"/>
      <c r="FO430"/>
      <c r="FP430"/>
      <c r="FQ430"/>
      <c r="FR430"/>
      <c r="FS430"/>
      <c r="FT430"/>
      <c r="FU430"/>
      <c r="FV430"/>
      <c r="FW430"/>
      <c r="FX430"/>
      <c r="FY430"/>
      <c r="FZ430"/>
      <c r="GA430"/>
      <c r="GB430"/>
      <c r="GC430"/>
      <c r="GD430"/>
    </row>
    <row r="431" spans="1:186" x14ac:dyDescent="0.15">
      <c r="A431" s="30" t="s">
        <v>141</v>
      </c>
      <c r="AG431"/>
      <c r="AH431"/>
      <c r="AJ431"/>
      <c r="AK431"/>
      <c r="AL431"/>
      <c r="AM431"/>
      <c r="AO431"/>
      <c r="AP431"/>
      <c r="AQ431"/>
      <c r="AR431"/>
      <c r="AS431"/>
      <c r="AT431"/>
      <c r="AU431"/>
      <c r="AV431"/>
      <c r="AW431"/>
      <c r="AX431"/>
      <c r="AY431"/>
      <c r="AZ431"/>
      <c r="BA431"/>
      <c r="BB431"/>
      <c r="BC431"/>
      <c r="BD431"/>
      <c r="BE431"/>
      <c r="BF431"/>
      <c r="BH431"/>
      <c r="BI431"/>
      <c r="BJ431"/>
      <c r="BK431"/>
      <c r="BL431"/>
      <c r="BM431"/>
      <c r="BN431"/>
      <c r="BP431"/>
      <c r="BQ431"/>
      <c r="BR431"/>
      <c r="BS431"/>
      <c r="BT431"/>
      <c r="BU431"/>
      <c r="BV431"/>
      <c r="BW431"/>
      <c r="BZ431"/>
      <c r="CA431"/>
      <c r="CB431"/>
      <c r="CC431"/>
      <c r="CD431"/>
      <c r="CF431"/>
      <c r="CG431"/>
      <c r="CH431"/>
      <c r="CI431"/>
      <c r="CJ431"/>
      <c r="CK431"/>
      <c r="CL431"/>
      <c r="CM431"/>
      <c r="CN431"/>
      <c r="CO431"/>
      <c r="CP431"/>
      <c r="CQ431"/>
      <c r="CR431"/>
      <c r="CS431"/>
      <c r="CT431"/>
      <c r="CU431"/>
      <c r="CV431"/>
      <c r="CW431"/>
      <c r="CX431"/>
      <c r="CY431"/>
      <c r="CZ431"/>
      <c r="DA431"/>
      <c r="DB431"/>
      <c r="DC431"/>
      <c r="DD431"/>
      <c r="DE431"/>
      <c r="DG431"/>
      <c r="DH431"/>
      <c r="DI431"/>
      <c r="DJ431"/>
      <c r="DK431"/>
      <c r="DL431"/>
      <c r="DM431"/>
      <c r="DN431"/>
      <c r="DO431"/>
      <c r="DP431"/>
      <c r="DQ431"/>
      <c r="DR431"/>
      <c r="DS431"/>
      <c r="DT431"/>
      <c r="DU431"/>
      <c r="DV431"/>
      <c r="DW431"/>
      <c r="DZ431"/>
      <c r="EA431"/>
      <c r="EB431"/>
      <c r="EC431"/>
      <c r="ED431"/>
      <c r="EE431"/>
      <c r="EF431"/>
      <c r="EG431"/>
      <c r="EJ431"/>
      <c r="EK431"/>
      <c r="EL431"/>
      <c r="EM431"/>
      <c r="EN431"/>
      <c r="EO431"/>
      <c r="EP431"/>
      <c r="EQ431"/>
      <c r="ER431"/>
      <c r="ES431"/>
      <c r="ET431"/>
      <c r="EU431"/>
      <c r="EV431"/>
      <c r="EW431"/>
      <c r="EX431"/>
      <c r="EY431"/>
      <c r="EZ431"/>
      <c r="FA431"/>
      <c r="FB431"/>
      <c r="FC431"/>
      <c r="FD431"/>
      <c r="FE431"/>
      <c r="FF431"/>
      <c r="FG431"/>
      <c r="FH431"/>
      <c r="FK431"/>
      <c r="FL431"/>
      <c r="FM431"/>
      <c r="FN431"/>
      <c r="FO431"/>
      <c r="FP431"/>
      <c r="FQ431"/>
      <c r="FR431"/>
      <c r="FS431"/>
      <c r="FT431"/>
      <c r="FU431"/>
      <c r="FV431"/>
      <c r="FW431"/>
      <c r="FX431"/>
      <c r="FY431"/>
      <c r="FZ431"/>
      <c r="GA431"/>
      <c r="GB431"/>
      <c r="GC431"/>
      <c r="GD431"/>
    </row>
    <row r="432" spans="1:186" x14ac:dyDescent="0.15">
      <c r="A432" s="30" t="s">
        <v>140</v>
      </c>
      <c r="AG432"/>
      <c r="AH432"/>
      <c r="AJ432"/>
      <c r="AK432"/>
      <c r="AL432"/>
      <c r="AM432"/>
      <c r="AO432"/>
      <c r="AP432"/>
      <c r="AQ432"/>
      <c r="AR432"/>
      <c r="AS432"/>
      <c r="AT432"/>
      <c r="AU432"/>
      <c r="AV432"/>
      <c r="AW432"/>
      <c r="AX432"/>
      <c r="AY432"/>
      <c r="AZ432"/>
      <c r="BA432"/>
      <c r="BB432"/>
      <c r="BC432"/>
      <c r="BD432"/>
      <c r="BE432"/>
      <c r="BF432"/>
      <c r="BH432"/>
      <c r="BI432"/>
      <c r="BJ432"/>
      <c r="BK432"/>
      <c r="BL432"/>
      <c r="BM432"/>
      <c r="BN432"/>
      <c r="BP432"/>
      <c r="BQ432"/>
      <c r="BR432"/>
      <c r="BS432"/>
      <c r="BT432"/>
      <c r="BU432"/>
      <c r="BV432"/>
      <c r="BW432"/>
      <c r="BZ432"/>
      <c r="CA432"/>
      <c r="CB432"/>
      <c r="CC432"/>
      <c r="CD432"/>
      <c r="CF432"/>
      <c r="CG432"/>
      <c r="CH432"/>
      <c r="CI432"/>
      <c r="CJ432"/>
      <c r="CK432"/>
      <c r="CL432"/>
      <c r="CM432"/>
      <c r="CN432"/>
      <c r="CO432"/>
      <c r="CP432"/>
      <c r="CQ432"/>
      <c r="CR432"/>
      <c r="CS432"/>
      <c r="CT432"/>
      <c r="CU432"/>
      <c r="CV432"/>
      <c r="CW432"/>
      <c r="CX432"/>
      <c r="CY432"/>
      <c r="CZ432"/>
      <c r="DA432"/>
      <c r="DB432"/>
      <c r="DC432"/>
      <c r="DD432"/>
      <c r="DE432"/>
      <c r="DG432"/>
      <c r="DH432"/>
      <c r="DI432"/>
      <c r="DJ432"/>
      <c r="DK432"/>
      <c r="DL432"/>
      <c r="DM432"/>
      <c r="DN432"/>
      <c r="DO432"/>
      <c r="DP432"/>
      <c r="DQ432"/>
      <c r="DR432"/>
      <c r="DS432"/>
      <c r="DT432"/>
      <c r="DU432"/>
      <c r="DV432"/>
      <c r="DW432"/>
      <c r="DZ432"/>
      <c r="EA432"/>
      <c r="EB432"/>
      <c r="EC432"/>
      <c r="ED432"/>
      <c r="EE432"/>
      <c r="EF432"/>
      <c r="EG432"/>
      <c r="EJ432"/>
      <c r="EK432"/>
      <c r="EL432"/>
      <c r="EM432"/>
      <c r="EN432"/>
      <c r="EO432"/>
      <c r="EP432"/>
      <c r="EQ432"/>
      <c r="ER432"/>
      <c r="ES432"/>
      <c r="ET432"/>
      <c r="EU432"/>
      <c r="EV432"/>
      <c r="EW432"/>
      <c r="EX432"/>
      <c r="EY432"/>
      <c r="EZ432"/>
      <c r="FA432"/>
      <c r="FB432"/>
      <c r="FC432"/>
      <c r="FD432"/>
      <c r="FE432"/>
      <c r="FF432"/>
      <c r="FG432"/>
      <c r="FH432"/>
      <c r="FK432"/>
      <c r="FL432"/>
      <c r="FM432"/>
      <c r="FN432"/>
      <c r="FO432"/>
      <c r="FP432"/>
      <c r="FQ432"/>
      <c r="FR432"/>
      <c r="FS432"/>
      <c r="FT432"/>
      <c r="FU432"/>
      <c r="FV432"/>
      <c r="FW432"/>
      <c r="FX432"/>
      <c r="FY432"/>
      <c r="FZ432"/>
      <c r="GA432"/>
      <c r="GB432"/>
      <c r="GC432"/>
      <c r="GD432"/>
    </row>
    <row r="433" spans="1:186" x14ac:dyDescent="0.15">
      <c r="A433" s="30" t="s">
        <v>139</v>
      </c>
      <c r="AG433"/>
      <c r="AH433"/>
      <c r="AJ433"/>
      <c r="AK433"/>
      <c r="AL433"/>
      <c r="AM433"/>
      <c r="AO433"/>
      <c r="AP433"/>
      <c r="AQ433"/>
      <c r="AR433"/>
      <c r="AS433"/>
      <c r="AT433"/>
      <c r="AU433"/>
      <c r="AV433"/>
      <c r="AW433"/>
      <c r="AX433"/>
      <c r="AY433"/>
      <c r="AZ433"/>
      <c r="BA433"/>
      <c r="BB433"/>
      <c r="BC433"/>
      <c r="BD433"/>
      <c r="BE433"/>
      <c r="BF433"/>
      <c r="BH433"/>
      <c r="BI433"/>
      <c r="BJ433"/>
      <c r="BK433"/>
      <c r="BL433"/>
      <c r="BM433"/>
      <c r="BN433"/>
      <c r="BP433"/>
      <c r="BQ433"/>
      <c r="BR433"/>
      <c r="BS433"/>
      <c r="BT433"/>
      <c r="BU433"/>
      <c r="BV433"/>
      <c r="BW433"/>
      <c r="BZ433"/>
      <c r="CA433"/>
      <c r="CB433"/>
      <c r="CC433"/>
      <c r="CD433"/>
      <c r="CF433"/>
      <c r="CG433"/>
      <c r="CH433"/>
      <c r="CI433"/>
      <c r="CJ433"/>
      <c r="CK433"/>
      <c r="CL433"/>
      <c r="CM433"/>
      <c r="CN433"/>
      <c r="CO433"/>
      <c r="CP433"/>
      <c r="CQ433"/>
      <c r="CR433"/>
      <c r="CS433"/>
      <c r="CT433"/>
      <c r="CU433"/>
      <c r="CV433"/>
      <c r="CW433"/>
      <c r="CX433"/>
      <c r="CY433"/>
      <c r="CZ433"/>
      <c r="DA433"/>
      <c r="DB433"/>
      <c r="DC433"/>
      <c r="DD433"/>
      <c r="DE433"/>
      <c r="DG433"/>
      <c r="DH433"/>
      <c r="DI433"/>
      <c r="DJ433"/>
      <c r="DK433"/>
      <c r="DL433"/>
      <c r="DM433"/>
      <c r="DN433"/>
      <c r="DO433"/>
      <c r="DP433"/>
      <c r="DQ433"/>
      <c r="DR433"/>
      <c r="DS433"/>
      <c r="DT433"/>
      <c r="DU433"/>
      <c r="DV433"/>
      <c r="DW433"/>
      <c r="DZ433"/>
      <c r="EA433"/>
      <c r="EB433"/>
      <c r="EC433"/>
      <c r="ED433"/>
      <c r="EE433"/>
      <c r="EF433"/>
      <c r="EG433"/>
      <c r="EJ433"/>
      <c r="EK433"/>
      <c r="EL433"/>
      <c r="EM433"/>
      <c r="EN433"/>
      <c r="EO433"/>
      <c r="EP433"/>
      <c r="EQ433"/>
      <c r="ER433"/>
      <c r="ES433"/>
      <c r="ET433"/>
      <c r="EU433"/>
      <c r="EV433"/>
      <c r="EW433"/>
      <c r="EX433"/>
      <c r="EY433"/>
      <c r="EZ433"/>
      <c r="FA433"/>
      <c r="FB433"/>
      <c r="FC433"/>
      <c r="FD433"/>
      <c r="FE433"/>
      <c r="FF433"/>
      <c r="FG433"/>
      <c r="FH433"/>
      <c r="FK433"/>
      <c r="FL433"/>
      <c r="FM433"/>
      <c r="FN433"/>
      <c r="FO433"/>
      <c r="FP433"/>
      <c r="FQ433"/>
      <c r="FR433"/>
      <c r="FS433"/>
      <c r="FT433"/>
      <c r="FU433"/>
      <c r="FV433"/>
      <c r="FW433"/>
      <c r="FX433"/>
      <c r="FY433"/>
      <c r="FZ433"/>
      <c r="GA433"/>
      <c r="GB433"/>
      <c r="GC433"/>
      <c r="GD433"/>
    </row>
    <row r="434" spans="1:186" x14ac:dyDescent="0.15">
      <c r="A434" s="30" t="s">
        <v>138</v>
      </c>
      <c r="AG434"/>
      <c r="AH434"/>
      <c r="AJ434"/>
      <c r="AK434"/>
      <c r="AL434"/>
      <c r="AM434"/>
      <c r="AO434"/>
      <c r="AP434"/>
      <c r="AQ434"/>
      <c r="AR434"/>
      <c r="AS434"/>
      <c r="AT434"/>
      <c r="AU434"/>
      <c r="AV434"/>
      <c r="AW434"/>
      <c r="AX434"/>
      <c r="AY434"/>
      <c r="AZ434"/>
      <c r="BA434"/>
      <c r="BB434"/>
      <c r="BC434"/>
      <c r="BD434"/>
      <c r="BE434"/>
      <c r="BF434"/>
      <c r="BH434"/>
      <c r="BI434"/>
      <c r="BJ434"/>
      <c r="BK434"/>
      <c r="BL434"/>
      <c r="BM434"/>
      <c r="BN434"/>
      <c r="BP434"/>
      <c r="BQ434"/>
      <c r="BR434"/>
      <c r="BS434"/>
      <c r="BT434"/>
      <c r="BU434"/>
      <c r="BV434"/>
      <c r="BW434"/>
      <c r="BZ434"/>
      <c r="CA434"/>
      <c r="CB434"/>
      <c r="CC434"/>
      <c r="CD434"/>
      <c r="CF434"/>
      <c r="CG434"/>
      <c r="CH434"/>
      <c r="CI434"/>
      <c r="CJ434"/>
      <c r="CK434"/>
      <c r="CL434"/>
      <c r="CM434"/>
      <c r="CN434"/>
      <c r="CO434"/>
      <c r="CP434"/>
      <c r="CQ434"/>
      <c r="CR434"/>
      <c r="CS434"/>
      <c r="CT434"/>
      <c r="CU434"/>
      <c r="CV434"/>
      <c r="CW434"/>
      <c r="CX434"/>
      <c r="CY434"/>
      <c r="CZ434"/>
      <c r="DA434"/>
      <c r="DB434"/>
      <c r="DC434"/>
      <c r="DD434"/>
      <c r="DE434"/>
      <c r="DG434"/>
      <c r="DH434"/>
      <c r="DI434"/>
      <c r="DJ434"/>
      <c r="DK434"/>
      <c r="DL434"/>
      <c r="DM434"/>
      <c r="DN434"/>
      <c r="DO434"/>
      <c r="DP434"/>
      <c r="DQ434"/>
      <c r="DR434"/>
      <c r="DS434"/>
      <c r="DT434"/>
      <c r="DU434"/>
      <c r="DV434"/>
      <c r="DW434"/>
      <c r="DZ434"/>
      <c r="EA434"/>
      <c r="EB434"/>
      <c r="EC434"/>
      <c r="ED434"/>
      <c r="EE434"/>
      <c r="EF434"/>
      <c r="EG434"/>
      <c r="EJ434"/>
      <c r="EK434"/>
      <c r="EL434"/>
      <c r="EM434"/>
      <c r="EN434"/>
      <c r="EO434"/>
      <c r="EP434"/>
      <c r="EQ434"/>
      <c r="ER434"/>
      <c r="ES434"/>
      <c r="ET434"/>
      <c r="EU434"/>
      <c r="EV434"/>
      <c r="EW434"/>
      <c r="EX434"/>
      <c r="EY434"/>
      <c r="EZ434"/>
      <c r="FA434"/>
      <c r="FB434"/>
      <c r="FC434"/>
      <c r="FD434"/>
      <c r="FE434"/>
      <c r="FF434"/>
      <c r="FG434"/>
      <c r="FH434"/>
      <c r="FK434"/>
      <c r="FL434"/>
      <c r="FM434"/>
      <c r="FN434"/>
      <c r="FO434"/>
      <c r="FP434"/>
      <c r="FQ434"/>
      <c r="FR434"/>
      <c r="FS434"/>
      <c r="FT434"/>
      <c r="FU434"/>
      <c r="FV434"/>
      <c r="FW434"/>
      <c r="FX434"/>
      <c r="FY434"/>
      <c r="FZ434"/>
      <c r="GA434"/>
      <c r="GB434"/>
      <c r="GC434"/>
      <c r="GD434"/>
    </row>
    <row r="435" spans="1:186" x14ac:dyDescent="0.15">
      <c r="A435" s="30" t="s">
        <v>137</v>
      </c>
      <c r="AG435"/>
      <c r="AH435"/>
      <c r="AJ435"/>
      <c r="AK435"/>
      <c r="AL435"/>
      <c r="AM435"/>
      <c r="AO435"/>
      <c r="AP435"/>
      <c r="AQ435"/>
      <c r="AR435"/>
      <c r="AS435"/>
      <c r="AT435"/>
      <c r="AU435"/>
      <c r="AV435"/>
      <c r="AW435"/>
      <c r="AX435"/>
      <c r="AY435"/>
      <c r="AZ435"/>
      <c r="BA435"/>
      <c r="BB435"/>
      <c r="BC435"/>
      <c r="BD435"/>
      <c r="BE435"/>
      <c r="BF435"/>
      <c r="BH435"/>
      <c r="BI435"/>
      <c r="BJ435"/>
      <c r="BK435"/>
      <c r="BL435"/>
      <c r="BM435"/>
      <c r="BN435"/>
      <c r="BP435"/>
      <c r="BQ435"/>
      <c r="BR435"/>
      <c r="BS435"/>
      <c r="BT435"/>
      <c r="BU435"/>
      <c r="BV435"/>
      <c r="BW435"/>
      <c r="BZ435"/>
      <c r="CA435"/>
      <c r="CB435"/>
      <c r="CC435"/>
      <c r="CD435"/>
      <c r="CF435"/>
      <c r="CG435"/>
      <c r="CH435"/>
      <c r="CI435"/>
      <c r="CJ435"/>
      <c r="CK435"/>
      <c r="CL435"/>
      <c r="CM435"/>
      <c r="CN435"/>
      <c r="CO435"/>
      <c r="CP435"/>
      <c r="CQ435"/>
      <c r="CR435"/>
      <c r="CS435"/>
      <c r="CT435"/>
      <c r="CU435"/>
      <c r="CV435"/>
      <c r="CW435"/>
      <c r="CX435"/>
      <c r="CY435"/>
      <c r="CZ435"/>
      <c r="DA435"/>
      <c r="DB435"/>
      <c r="DC435"/>
      <c r="DD435"/>
      <c r="DE435"/>
      <c r="DG435"/>
      <c r="DH435"/>
      <c r="DI435"/>
      <c r="DJ435"/>
      <c r="DK435"/>
      <c r="DL435"/>
      <c r="DM435"/>
      <c r="DN435"/>
      <c r="DO435"/>
      <c r="DP435"/>
      <c r="DQ435"/>
      <c r="DR435"/>
      <c r="DS435"/>
      <c r="DT435"/>
      <c r="DU435"/>
      <c r="DV435"/>
      <c r="DW435"/>
      <c r="DZ435"/>
      <c r="EA435"/>
      <c r="EB435"/>
      <c r="EC435"/>
      <c r="ED435"/>
      <c r="EE435"/>
      <c r="EF435"/>
      <c r="EG435"/>
      <c r="EJ435"/>
      <c r="EK435"/>
      <c r="EL435"/>
      <c r="EM435"/>
      <c r="EN435"/>
      <c r="EO435"/>
      <c r="EP435"/>
      <c r="EQ435"/>
      <c r="ER435"/>
      <c r="ES435"/>
      <c r="ET435"/>
      <c r="EU435"/>
      <c r="EV435"/>
      <c r="EW435"/>
      <c r="EX435"/>
      <c r="EY435"/>
      <c r="EZ435"/>
      <c r="FA435"/>
      <c r="FB435"/>
      <c r="FC435"/>
      <c r="FD435"/>
      <c r="FE435"/>
      <c r="FF435"/>
      <c r="FG435"/>
      <c r="FH435"/>
      <c r="FK435"/>
      <c r="FL435"/>
      <c r="FM435"/>
      <c r="FN435"/>
      <c r="FO435"/>
      <c r="FP435"/>
      <c r="FQ435"/>
      <c r="FR435"/>
      <c r="FS435"/>
      <c r="FT435"/>
      <c r="FU435"/>
      <c r="FV435"/>
      <c r="FW435"/>
      <c r="FX435"/>
      <c r="FY435"/>
      <c r="FZ435"/>
      <c r="GA435"/>
      <c r="GB435"/>
      <c r="GC435"/>
      <c r="GD435"/>
    </row>
    <row r="436" spans="1:186" x14ac:dyDescent="0.15">
      <c r="AG436"/>
      <c r="AH436"/>
      <c r="AJ436"/>
      <c r="AK436"/>
      <c r="AL436"/>
      <c r="AM436"/>
      <c r="AO436"/>
      <c r="AP436"/>
      <c r="AQ436"/>
      <c r="AR436"/>
      <c r="AS436"/>
      <c r="AT436"/>
      <c r="AU436"/>
      <c r="AV436"/>
      <c r="AW436"/>
      <c r="AX436"/>
      <c r="AY436"/>
      <c r="AZ436"/>
      <c r="BA436"/>
      <c r="BB436"/>
      <c r="BC436"/>
      <c r="BD436"/>
      <c r="BE436"/>
      <c r="BF436"/>
      <c r="BH436"/>
      <c r="BI436"/>
      <c r="BJ436"/>
      <c r="BK436"/>
      <c r="BL436"/>
      <c r="BM436"/>
      <c r="BN436"/>
      <c r="BP436"/>
      <c r="BQ436"/>
      <c r="BR436"/>
      <c r="BS436"/>
      <c r="BT436"/>
      <c r="BU436"/>
      <c r="BV436"/>
      <c r="BW436"/>
      <c r="BZ436"/>
      <c r="CA436"/>
      <c r="CB436"/>
      <c r="CC436"/>
      <c r="CD436"/>
      <c r="CF436"/>
      <c r="CG436"/>
      <c r="CH436"/>
      <c r="CI436"/>
      <c r="CJ436"/>
      <c r="CK436"/>
      <c r="CL436"/>
      <c r="CM436"/>
      <c r="CN436"/>
      <c r="CO436"/>
      <c r="CP436"/>
      <c r="CQ436"/>
      <c r="CR436"/>
      <c r="CS436"/>
      <c r="CT436"/>
      <c r="CU436"/>
      <c r="CV436"/>
      <c r="CW436"/>
      <c r="CX436"/>
      <c r="CY436"/>
      <c r="CZ436"/>
      <c r="DA436"/>
      <c r="DB436"/>
      <c r="DC436"/>
      <c r="DD436"/>
      <c r="DE436"/>
      <c r="DG436"/>
      <c r="DH436"/>
      <c r="DI436"/>
      <c r="DJ436"/>
      <c r="DK436"/>
      <c r="DL436"/>
      <c r="DM436"/>
      <c r="DN436"/>
      <c r="DO436"/>
      <c r="DP436"/>
      <c r="DQ436"/>
      <c r="DR436"/>
      <c r="DS436"/>
      <c r="DT436"/>
      <c r="DU436"/>
      <c r="DV436"/>
      <c r="DW436"/>
      <c r="DZ436"/>
      <c r="EA436"/>
      <c r="EB436"/>
      <c r="EC436"/>
      <c r="ED436"/>
      <c r="EE436"/>
      <c r="EF436"/>
      <c r="EG436"/>
      <c r="EJ436"/>
      <c r="EK436"/>
      <c r="EL436"/>
      <c r="EM436"/>
      <c r="EN436"/>
      <c r="EO436"/>
      <c r="EP436"/>
      <c r="EQ436"/>
      <c r="ER436"/>
      <c r="ES436"/>
      <c r="ET436"/>
      <c r="EU436"/>
      <c r="EV436"/>
      <c r="EW436"/>
      <c r="EX436"/>
      <c r="EY436"/>
      <c r="EZ436"/>
      <c r="FA436"/>
      <c r="FB436"/>
      <c r="FC436"/>
      <c r="FD436"/>
      <c r="FE436"/>
      <c r="FF436"/>
      <c r="FG436"/>
      <c r="FH436"/>
      <c r="FK436"/>
      <c r="FL436"/>
      <c r="FM436"/>
      <c r="FN436"/>
      <c r="FO436"/>
      <c r="FP436"/>
      <c r="FQ436"/>
      <c r="FR436"/>
      <c r="FS436"/>
      <c r="FT436"/>
      <c r="FU436"/>
      <c r="FV436"/>
      <c r="FW436"/>
      <c r="FX436"/>
      <c r="FY436"/>
      <c r="FZ436"/>
      <c r="GA436"/>
      <c r="GB436"/>
      <c r="GC436"/>
      <c r="GD436"/>
    </row>
    <row r="437" spans="1:186" x14ac:dyDescent="0.15">
      <c r="AG437"/>
      <c r="AH437"/>
      <c r="AJ437"/>
      <c r="AK437"/>
      <c r="AL437"/>
      <c r="AM437"/>
      <c r="AO437"/>
      <c r="AP437"/>
      <c r="AQ437"/>
      <c r="AR437"/>
      <c r="AS437"/>
      <c r="AT437"/>
      <c r="AU437"/>
      <c r="AV437"/>
      <c r="AW437"/>
      <c r="AX437"/>
      <c r="AY437"/>
      <c r="AZ437"/>
      <c r="BA437"/>
      <c r="BB437"/>
      <c r="BC437"/>
      <c r="BD437"/>
      <c r="BE437"/>
      <c r="BF437"/>
      <c r="BH437"/>
      <c r="BI437"/>
      <c r="BJ437"/>
      <c r="BK437"/>
      <c r="BL437"/>
      <c r="BM437"/>
      <c r="BN437"/>
      <c r="BP437"/>
      <c r="BQ437"/>
      <c r="BR437"/>
      <c r="BS437"/>
      <c r="BT437"/>
      <c r="BU437"/>
      <c r="BV437"/>
      <c r="BW437"/>
      <c r="BZ437"/>
      <c r="CA437"/>
      <c r="CB437"/>
      <c r="CC437"/>
      <c r="CD437"/>
      <c r="CF437"/>
      <c r="CG437"/>
      <c r="CH437"/>
      <c r="CI437"/>
      <c r="CJ437"/>
      <c r="CK437"/>
      <c r="CL437"/>
      <c r="CM437"/>
      <c r="CN437"/>
      <c r="CO437"/>
      <c r="CP437"/>
      <c r="CQ437"/>
      <c r="CR437"/>
      <c r="CS437"/>
      <c r="CT437"/>
      <c r="CU437"/>
      <c r="CV437"/>
      <c r="CW437"/>
      <c r="CX437"/>
      <c r="CY437"/>
      <c r="CZ437"/>
      <c r="DA437"/>
      <c r="DB437"/>
      <c r="DC437"/>
      <c r="DD437"/>
      <c r="DE437"/>
      <c r="DG437"/>
      <c r="DH437"/>
      <c r="DI437"/>
      <c r="DJ437"/>
      <c r="DK437"/>
      <c r="DL437"/>
      <c r="DM437"/>
      <c r="DN437"/>
      <c r="DO437"/>
      <c r="DP437"/>
      <c r="DQ437"/>
      <c r="DR437"/>
      <c r="DS437"/>
      <c r="DT437"/>
      <c r="DU437"/>
      <c r="DV437"/>
      <c r="DW437"/>
      <c r="DZ437"/>
      <c r="EA437"/>
      <c r="EB437"/>
      <c r="EC437"/>
      <c r="ED437"/>
      <c r="EE437"/>
      <c r="EF437"/>
      <c r="EG437"/>
      <c r="EJ437"/>
      <c r="EK437"/>
      <c r="EL437"/>
      <c r="EM437"/>
      <c r="EN437"/>
      <c r="EO437"/>
      <c r="EP437"/>
      <c r="EQ437"/>
      <c r="ER437"/>
      <c r="ES437"/>
      <c r="ET437"/>
      <c r="EU437"/>
      <c r="EV437"/>
      <c r="EW437"/>
      <c r="EX437"/>
      <c r="EY437"/>
      <c r="EZ437"/>
      <c r="FA437"/>
      <c r="FB437"/>
      <c r="FC437"/>
      <c r="FD437"/>
      <c r="FE437"/>
      <c r="FF437"/>
      <c r="FG437"/>
      <c r="FH437"/>
      <c r="FK437"/>
      <c r="FL437"/>
      <c r="FM437"/>
      <c r="FN437"/>
      <c r="FO437"/>
      <c r="FP437"/>
      <c r="FQ437"/>
      <c r="FR437"/>
      <c r="FS437"/>
      <c r="FT437"/>
      <c r="FU437"/>
      <c r="FV437"/>
      <c r="FW437"/>
      <c r="FX437"/>
      <c r="FY437"/>
      <c r="FZ437"/>
      <c r="GA437"/>
      <c r="GB437"/>
      <c r="GC437"/>
      <c r="GD437"/>
    </row>
    <row r="438" spans="1:186" x14ac:dyDescent="0.15">
      <c r="AG438"/>
      <c r="AH438"/>
      <c r="AJ438"/>
      <c r="AK438"/>
      <c r="AL438"/>
      <c r="AM438"/>
      <c r="AO438"/>
      <c r="AP438"/>
      <c r="AQ438"/>
      <c r="AR438"/>
      <c r="AS438"/>
      <c r="AT438"/>
      <c r="AU438"/>
      <c r="AV438"/>
      <c r="AW438"/>
      <c r="AX438"/>
      <c r="AY438"/>
      <c r="AZ438"/>
      <c r="BA438"/>
      <c r="BB438"/>
      <c r="BC438"/>
      <c r="BD438"/>
      <c r="BE438"/>
      <c r="BF438"/>
      <c r="BH438"/>
      <c r="BI438"/>
      <c r="BJ438"/>
      <c r="BK438"/>
      <c r="BL438"/>
      <c r="BM438"/>
      <c r="BN438"/>
      <c r="BP438"/>
      <c r="BQ438"/>
      <c r="BR438"/>
      <c r="BS438"/>
      <c r="BT438"/>
      <c r="BU438"/>
      <c r="BV438"/>
      <c r="BW438"/>
      <c r="BZ438"/>
      <c r="CA438"/>
      <c r="CB438"/>
      <c r="CC438"/>
      <c r="CD438"/>
      <c r="CF438"/>
      <c r="CG438"/>
      <c r="CH438"/>
      <c r="CI438"/>
      <c r="CJ438"/>
      <c r="CK438"/>
      <c r="CL438"/>
      <c r="CM438"/>
      <c r="CN438"/>
      <c r="CO438"/>
      <c r="CP438"/>
      <c r="CQ438"/>
      <c r="CR438"/>
      <c r="CS438"/>
      <c r="CT438"/>
      <c r="CU438"/>
      <c r="CV438"/>
      <c r="CW438"/>
      <c r="CX438"/>
      <c r="CY438"/>
      <c r="CZ438"/>
      <c r="DA438"/>
      <c r="DB438"/>
      <c r="DC438"/>
      <c r="DD438"/>
      <c r="DE438"/>
      <c r="DG438"/>
      <c r="DH438"/>
      <c r="DI438"/>
      <c r="DJ438"/>
      <c r="DK438"/>
      <c r="DL438"/>
      <c r="DM438"/>
      <c r="DN438"/>
      <c r="DO438"/>
      <c r="DP438"/>
      <c r="DQ438"/>
      <c r="DR438"/>
      <c r="DS438"/>
      <c r="DT438"/>
      <c r="DU438"/>
      <c r="DV438"/>
      <c r="DW438"/>
      <c r="DZ438"/>
      <c r="EA438"/>
      <c r="EB438"/>
      <c r="EC438"/>
      <c r="ED438"/>
      <c r="EE438"/>
      <c r="EF438"/>
      <c r="EG438"/>
      <c r="EJ438"/>
      <c r="EK438"/>
      <c r="EL438"/>
      <c r="EM438"/>
      <c r="EN438"/>
      <c r="EO438"/>
      <c r="EP438"/>
      <c r="EQ438"/>
      <c r="ER438"/>
      <c r="ES438"/>
      <c r="ET438"/>
      <c r="EU438"/>
      <c r="EV438"/>
      <c r="EW438"/>
      <c r="EX438"/>
      <c r="EY438"/>
      <c r="EZ438"/>
      <c r="FA438"/>
      <c r="FB438"/>
      <c r="FC438"/>
      <c r="FD438"/>
      <c r="FE438"/>
      <c r="FF438"/>
      <c r="FG438"/>
      <c r="FH438"/>
      <c r="FK438"/>
      <c r="FL438"/>
      <c r="FM438"/>
      <c r="FN438"/>
      <c r="FO438"/>
      <c r="FP438"/>
      <c r="FQ438"/>
      <c r="FR438"/>
      <c r="FS438"/>
      <c r="FT438"/>
      <c r="FU438"/>
      <c r="FV438"/>
      <c r="FW438"/>
      <c r="FX438"/>
      <c r="FY438"/>
      <c r="FZ438"/>
      <c r="GA438"/>
      <c r="GB438"/>
      <c r="GC438"/>
      <c r="GD438"/>
    </row>
    <row r="439" spans="1:186" x14ac:dyDescent="0.15">
      <c r="AG439"/>
      <c r="AH439"/>
      <c r="AJ439"/>
      <c r="AK439"/>
      <c r="AL439"/>
      <c r="AM439"/>
      <c r="AO439"/>
      <c r="AP439"/>
      <c r="AQ439"/>
      <c r="AR439"/>
      <c r="AS439"/>
      <c r="AT439"/>
      <c r="AU439"/>
      <c r="AV439"/>
      <c r="AW439"/>
      <c r="AX439"/>
      <c r="AY439"/>
      <c r="AZ439"/>
      <c r="BA439"/>
      <c r="BB439"/>
      <c r="BC439"/>
      <c r="BD439"/>
      <c r="BE439"/>
      <c r="BF439"/>
      <c r="BH439"/>
      <c r="BI439"/>
      <c r="BJ439"/>
      <c r="BK439"/>
      <c r="BL439"/>
      <c r="BM439"/>
      <c r="BN439"/>
      <c r="BP439"/>
      <c r="BQ439"/>
      <c r="BR439"/>
      <c r="BS439"/>
      <c r="BT439"/>
      <c r="BU439"/>
      <c r="BV439"/>
      <c r="BW439"/>
      <c r="BZ439"/>
      <c r="CA439"/>
      <c r="CB439"/>
      <c r="CC439"/>
      <c r="CD439"/>
      <c r="CF439"/>
      <c r="CG439"/>
      <c r="CH439"/>
      <c r="CI439"/>
      <c r="CJ439"/>
      <c r="CK439"/>
      <c r="CL439"/>
      <c r="CM439"/>
      <c r="CN439"/>
      <c r="CO439"/>
      <c r="CP439"/>
      <c r="CQ439"/>
      <c r="CR439"/>
      <c r="CS439"/>
      <c r="CT439"/>
      <c r="CU439"/>
      <c r="CV439"/>
      <c r="CW439"/>
      <c r="CX439"/>
      <c r="CY439"/>
      <c r="CZ439"/>
      <c r="DA439"/>
      <c r="DB439"/>
      <c r="DC439"/>
      <c r="DD439"/>
      <c r="DE439"/>
      <c r="DG439"/>
      <c r="DH439"/>
      <c r="DI439"/>
      <c r="DJ439"/>
      <c r="DK439"/>
      <c r="DL439"/>
      <c r="DM439"/>
      <c r="DN439"/>
      <c r="DO439"/>
      <c r="DP439"/>
      <c r="DQ439"/>
      <c r="DR439"/>
      <c r="DS439"/>
      <c r="DT439"/>
      <c r="DU439"/>
      <c r="DV439"/>
      <c r="DW439"/>
      <c r="DZ439"/>
      <c r="EA439"/>
      <c r="EB439"/>
      <c r="EC439"/>
      <c r="ED439"/>
      <c r="EE439"/>
      <c r="EF439"/>
      <c r="EG439"/>
      <c r="EJ439"/>
      <c r="EK439"/>
      <c r="EL439"/>
      <c r="EM439"/>
      <c r="EN439"/>
      <c r="EO439"/>
      <c r="EP439"/>
      <c r="EQ439"/>
      <c r="ER439"/>
      <c r="ES439"/>
      <c r="ET439"/>
      <c r="EU439"/>
      <c r="EV439"/>
      <c r="EW439"/>
      <c r="EX439"/>
      <c r="EY439"/>
      <c r="EZ439"/>
      <c r="FA439"/>
      <c r="FB439"/>
      <c r="FC439"/>
      <c r="FD439"/>
      <c r="FE439"/>
      <c r="FF439"/>
      <c r="FG439"/>
      <c r="FH439"/>
      <c r="FK439"/>
      <c r="FL439"/>
      <c r="FM439"/>
      <c r="FN439"/>
      <c r="FO439"/>
      <c r="FP439"/>
      <c r="FQ439"/>
      <c r="FR439"/>
      <c r="FS439"/>
      <c r="FT439"/>
      <c r="FU439"/>
      <c r="FV439"/>
      <c r="FW439"/>
      <c r="FX439"/>
      <c r="FY439"/>
      <c r="FZ439"/>
      <c r="GA439"/>
      <c r="GB439"/>
      <c r="GC439"/>
      <c r="GD439"/>
    </row>
    <row r="440" spans="1:186" x14ac:dyDescent="0.15">
      <c r="AG440"/>
      <c r="AH440"/>
      <c r="AJ440"/>
      <c r="AK440"/>
      <c r="AL440"/>
      <c r="AM440"/>
      <c r="AO440"/>
      <c r="AP440"/>
      <c r="AQ440"/>
      <c r="AR440"/>
      <c r="AS440"/>
      <c r="AT440"/>
      <c r="AU440"/>
      <c r="AV440"/>
      <c r="AW440"/>
      <c r="AX440"/>
      <c r="AY440"/>
      <c r="AZ440"/>
      <c r="BA440"/>
      <c r="BB440"/>
      <c r="BC440"/>
      <c r="BD440"/>
      <c r="BE440"/>
      <c r="BF440"/>
      <c r="BH440"/>
      <c r="BI440"/>
      <c r="BJ440"/>
      <c r="BK440"/>
      <c r="BL440"/>
      <c r="BM440"/>
      <c r="BN440"/>
      <c r="BP440"/>
      <c r="BQ440"/>
      <c r="BR440"/>
      <c r="BS440"/>
      <c r="BT440"/>
      <c r="BU440"/>
      <c r="BV440"/>
      <c r="BW440"/>
      <c r="BZ440"/>
      <c r="CA440"/>
      <c r="CB440"/>
      <c r="CC440"/>
      <c r="CD440"/>
      <c r="CF440"/>
      <c r="CG440"/>
      <c r="CH440"/>
      <c r="CI440"/>
      <c r="CJ440"/>
      <c r="CK440"/>
      <c r="CL440"/>
      <c r="CM440"/>
      <c r="CN440"/>
      <c r="CO440"/>
      <c r="CP440"/>
      <c r="CQ440"/>
      <c r="CR440"/>
      <c r="CS440"/>
      <c r="CT440"/>
      <c r="CU440"/>
      <c r="CV440"/>
      <c r="CW440"/>
      <c r="CX440"/>
      <c r="CY440"/>
      <c r="CZ440"/>
      <c r="DA440"/>
      <c r="DB440"/>
      <c r="DC440"/>
      <c r="DD440"/>
      <c r="DE440"/>
      <c r="DG440"/>
      <c r="DH440"/>
      <c r="DI440"/>
      <c r="DJ440"/>
      <c r="DK440"/>
      <c r="DL440"/>
      <c r="DM440"/>
      <c r="DN440"/>
      <c r="DO440"/>
      <c r="DP440"/>
      <c r="DQ440"/>
      <c r="DR440"/>
      <c r="DS440"/>
      <c r="DT440"/>
      <c r="DU440"/>
      <c r="DV440"/>
      <c r="DW440"/>
      <c r="DZ440"/>
      <c r="EA440"/>
      <c r="EB440"/>
      <c r="EC440"/>
      <c r="ED440"/>
      <c r="EE440"/>
      <c r="EF440"/>
      <c r="EG440"/>
      <c r="EJ440"/>
      <c r="EK440"/>
      <c r="EL440"/>
      <c r="EM440"/>
      <c r="EN440"/>
      <c r="EO440"/>
      <c r="EP440"/>
      <c r="EQ440"/>
      <c r="ER440"/>
      <c r="ES440"/>
      <c r="ET440"/>
      <c r="EU440"/>
      <c r="EV440"/>
      <c r="EW440"/>
      <c r="EX440"/>
      <c r="EY440"/>
      <c r="EZ440"/>
      <c r="FA440"/>
      <c r="FB440"/>
      <c r="FC440"/>
      <c r="FD440"/>
      <c r="FE440"/>
      <c r="FF440"/>
      <c r="FG440"/>
      <c r="FH440"/>
      <c r="FK440"/>
      <c r="FL440"/>
      <c r="FM440"/>
      <c r="FN440"/>
      <c r="FO440"/>
      <c r="FP440"/>
      <c r="FQ440"/>
      <c r="FR440"/>
      <c r="FS440"/>
      <c r="FT440"/>
      <c r="FU440"/>
      <c r="FV440"/>
      <c r="FW440"/>
      <c r="FX440"/>
      <c r="FY440"/>
      <c r="FZ440"/>
      <c r="GA440"/>
      <c r="GB440"/>
      <c r="GC440"/>
      <c r="GD440"/>
    </row>
    <row r="441" spans="1:186" x14ac:dyDescent="0.15">
      <c r="AG441"/>
      <c r="AH441"/>
      <c r="AJ441"/>
      <c r="AK441"/>
      <c r="AL441"/>
      <c r="AM441"/>
      <c r="AO441"/>
      <c r="AP441"/>
      <c r="AQ441"/>
      <c r="AR441"/>
      <c r="AS441"/>
      <c r="AT441"/>
      <c r="AU441"/>
      <c r="AV441"/>
      <c r="AW441"/>
      <c r="AX441"/>
      <c r="AY441"/>
      <c r="AZ441"/>
      <c r="BA441"/>
      <c r="BB441"/>
      <c r="BC441"/>
      <c r="BD441"/>
      <c r="BE441"/>
      <c r="BF441"/>
      <c r="BH441"/>
      <c r="BI441"/>
      <c r="BJ441"/>
      <c r="BK441"/>
      <c r="BL441"/>
      <c r="BM441"/>
      <c r="BN441"/>
      <c r="BP441"/>
      <c r="BQ441"/>
      <c r="BR441"/>
      <c r="BS441"/>
      <c r="BT441"/>
      <c r="BU441"/>
      <c r="BV441"/>
      <c r="BW441"/>
      <c r="BZ441"/>
      <c r="CA441"/>
      <c r="CB441"/>
      <c r="CC441"/>
      <c r="CD441"/>
      <c r="CF441"/>
      <c r="CG441"/>
      <c r="CH441"/>
      <c r="CI441"/>
      <c r="CJ441"/>
      <c r="CK441"/>
      <c r="CL441"/>
      <c r="CM441"/>
      <c r="CN441"/>
      <c r="CO441"/>
      <c r="CP441"/>
      <c r="CQ441"/>
      <c r="CR441"/>
      <c r="CS441"/>
      <c r="CT441"/>
      <c r="CU441"/>
      <c r="CV441"/>
      <c r="CW441"/>
      <c r="CX441"/>
      <c r="CY441"/>
      <c r="CZ441"/>
      <c r="DA441"/>
      <c r="DB441"/>
      <c r="DC441"/>
      <c r="DD441"/>
      <c r="DE441"/>
      <c r="DG441"/>
      <c r="DH441"/>
      <c r="DI441"/>
      <c r="DJ441"/>
      <c r="DK441"/>
      <c r="DL441"/>
      <c r="DM441"/>
      <c r="DN441"/>
      <c r="DO441"/>
      <c r="DP441"/>
      <c r="DQ441"/>
      <c r="DR441"/>
      <c r="DS441"/>
      <c r="DT441"/>
      <c r="DU441"/>
      <c r="DV441"/>
      <c r="DW441"/>
      <c r="DZ441"/>
      <c r="EA441"/>
      <c r="EB441"/>
      <c r="EC441"/>
      <c r="ED441"/>
      <c r="EE441"/>
      <c r="EF441"/>
      <c r="EG441"/>
      <c r="EJ441"/>
      <c r="EK441"/>
      <c r="EL441"/>
      <c r="EM441"/>
      <c r="EN441"/>
      <c r="EO441"/>
      <c r="EP441"/>
      <c r="EQ441"/>
      <c r="ER441"/>
      <c r="ES441"/>
      <c r="ET441"/>
      <c r="EU441"/>
      <c r="EV441"/>
      <c r="EW441"/>
      <c r="EX441"/>
      <c r="EY441"/>
      <c r="EZ441"/>
      <c r="FA441"/>
      <c r="FB441"/>
      <c r="FC441"/>
      <c r="FD441"/>
      <c r="FE441"/>
      <c r="FF441"/>
      <c r="FG441"/>
      <c r="FH441"/>
      <c r="FK441"/>
      <c r="FL441"/>
      <c r="FM441"/>
      <c r="FN441"/>
      <c r="FO441"/>
      <c r="FP441"/>
      <c r="FQ441"/>
      <c r="FR441"/>
      <c r="FS441"/>
      <c r="FT441"/>
      <c r="FU441"/>
      <c r="FV441"/>
      <c r="FW441"/>
      <c r="FX441"/>
      <c r="FY441"/>
      <c r="FZ441"/>
      <c r="GA441"/>
      <c r="GB441"/>
      <c r="GC441"/>
      <c r="GD441"/>
    </row>
    <row r="442" spans="1:186" x14ac:dyDescent="0.15">
      <c r="AG442"/>
      <c r="AH442"/>
      <c r="AJ442"/>
      <c r="AK442"/>
      <c r="AL442"/>
      <c r="AM442"/>
      <c r="AO442"/>
      <c r="AP442"/>
      <c r="AQ442"/>
      <c r="AR442"/>
      <c r="AS442"/>
      <c r="AT442"/>
      <c r="AU442"/>
      <c r="AV442"/>
      <c r="AW442"/>
      <c r="AX442"/>
      <c r="AY442"/>
      <c r="AZ442"/>
      <c r="BA442"/>
      <c r="BB442"/>
      <c r="BC442"/>
      <c r="BD442"/>
      <c r="BE442"/>
      <c r="BF442"/>
      <c r="BH442"/>
      <c r="BI442"/>
      <c r="BJ442"/>
      <c r="BK442"/>
      <c r="BL442"/>
      <c r="BM442"/>
      <c r="BN442"/>
      <c r="BP442"/>
      <c r="BQ442"/>
      <c r="BR442"/>
      <c r="BS442"/>
      <c r="BT442"/>
      <c r="BU442"/>
      <c r="BV442"/>
      <c r="BW442"/>
      <c r="BZ442"/>
      <c r="CA442"/>
      <c r="CB442"/>
      <c r="CC442"/>
      <c r="CD442"/>
      <c r="CF442"/>
      <c r="CG442"/>
      <c r="CH442"/>
      <c r="CI442"/>
      <c r="CJ442"/>
      <c r="CK442"/>
      <c r="CL442"/>
      <c r="CM442"/>
      <c r="CN442"/>
      <c r="CO442"/>
      <c r="CP442"/>
      <c r="CQ442"/>
      <c r="CR442"/>
      <c r="CS442"/>
      <c r="CT442"/>
      <c r="CU442"/>
      <c r="CV442"/>
      <c r="CW442"/>
      <c r="CX442"/>
      <c r="CY442"/>
      <c r="CZ442"/>
      <c r="DA442"/>
      <c r="DB442"/>
      <c r="DC442"/>
      <c r="DD442"/>
      <c r="DE442"/>
      <c r="DG442"/>
      <c r="DH442"/>
      <c r="DI442"/>
      <c r="DJ442"/>
      <c r="DK442"/>
      <c r="DL442"/>
      <c r="DM442"/>
      <c r="DN442"/>
      <c r="DO442"/>
      <c r="DP442"/>
      <c r="DQ442"/>
      <c r="DR442"/>
      <c r="DS442"/>
      <c r="DT442"/>
      <c r="DU442"/>
      <c r="DV442"/>
      <c r="DW442"/>
      <c r="DZ442"/>
      <c r="EA442"/>
      <c r="EB442"/>
      <c r="EC442"/>
      <c r="ED442"/>
      <c r="EE442"/>
      <c r="EF442"/>
      <c r="EG442"/>
      <c r="EJ442"/>
      <c r="EK442"/>
      <c r="EL442"/>
      <c r="EM442"/>
      <c r="EN442"/>
      <c r="EO442"/>
      <c r="EP442"/>
      <c r="EQ442"/>
      <c r="ER442"/>
      <c r="ES442"/>
      <c r="ET442"/>
      <c r="EU442"/>
      <c r="EV442"/>
      <c r="EW442"/>
      <c r="EX442"/>
      <c r="EY442"/>
      <c r="EZ442"/>
      <c r="FA442"/>
      <c r="FB442"/>
      <c r="FC442"/>
      <c r="FD442"/>
      <c r="FE442"/>
      <c r="FF442"/>
      <c r="FG442"/>
      <c r="FH442"/>
      <c r="FK442"/>
      <c r="FL442"/>
      <c r="FM442"/>
      <c r="FN442"/>
      <c r="FO442"/>
      <c r="FP442"/>
      <c r="FQ442"/>
      <c r="FR442"/>
      <c r="FS442"/>
      <c r="FT442"/>
      <c r="FU442"/>
      <c r="FV442"/>
      <c r="FW442"/>
      <c r="FX442"/>
      <c r="FY442"/>
      <c r="FZ442"/>
      <c r="GA442"/>
      <c r="GB442"/>
      <c r="GC442"/>
      <c r="GD442"/>
    </row>
    <row r="443" spans="1:186" x14ac:dyDescent="0.15">
      <c r="AG443"/>
      <c r="AH443"/>
      <c r="AJ443"/>
      <c r="AK443"/>
      <c r="AL443"/>
      <c r="AM443"/>
      <c r="AO443"/>
      <c r="AP443"/>
      <c r="AQ443"/>
      <c r="AR443"/>
      <c r="AS443"/>
      <c r="AT443"/>
      <c r="AU443"/>
      <c r="AV443"/>
      <c r="AW443"/>
      <c r="AX443"/>
      <c r="AY443"/>
      <c r="AZ443"/>
      <c r="BA443"/>
      <c r="BB443"/>
      <c r="BC443"/>
      <c r="BD443"/>
      <c r="BE443"/>
      <c r="BF443"/>
      <c r="BH443"/>
      <c r="BI443"/>
      <c r="BJ443"/>
      <c r="BK443"/>
      <c r="BL443"/>
      <c r="BM443"/>
      <c r="BN443"/>
      <c r="BP443"/>
      <c r="BQ443"/>
      <c r="BR443"/>
      <c r="BS443"/>
      <c r="BT443"/>
      <c r="BU443"/>
      <c r="BV443"/>
      <c r="BW443"/>
      <c r="BZ443"/>
      <c r="CA443"/>
      <c r="CB443"/>
      <c r="CC443"/>
      <c r="CD443"/>
      <c r="CF443"/>
      <c r="CG443"/>
      <c r="CH443"/>
      <c r="CI443"/>
      <c r="CJ443"/>
      <c r="CK443"/>
      <c r="CL443"/>
      <c r="CM443"/>
      <c r="CN443"/>
      <c r="CO443"/>
      <c r="CP443"/>
      <c r="CQ443"/>
      <c r="CR443"/>
      <c r="CS443"/>
      <c r="CT443"/>
      <c r="CU443"/>
      <c r="CV443"/>
      <c r="CW443"/>
      <c r="CX443"/>
      <c r="CY443"/>
      <c r="CZ443"/>
      <c r="DA443"/>
      <c r="DB443"/>
      <c r="DC443"/>
      <c r="DD443"/>
      <c r="DE443"/>
      <c r="DG443"/>
      <c r="DH443"/>
      <c r="DI443"/>
      <c r="DJ443"/>
      <c r="DK443"/>
      <c r="DL443"/>
      <c r="DM443"/>
      <c r="DN443"/>
      <c r="DO443"/>
      <c r="DP443"/>
      <c r="DQ443"/>
      <c r="DR443"/>
      <c r="DS443"/>
      <c r="DT443"/>
      <c r="DU443"/>
      <c r="DV443"/>
      <c r="DW443"/>
      <c r="DZ443"/>
      <c r="EA443"/>
      <c r="EB443"/>
      <c r="EC443"/>
      <c r="ED443"/>
      <c r="EE443"/>
      <c r="EF443"/>
      <c r="EG443"/>
      <c r="EJ443"/>
      <c r="EK443"/>
      <c r="EL443"/>
      <c r="EM443"/>
      <c r="EN443"/>
      <c r="EO443"/>
      <c r="EP443"/>
      <c r="EQ443"/>
      <c r="ER443"/>
      <c r="ES443"/>
      <c r="ET443"/>
      <c r="EU443"/>
      <c r="EV443"/>
      <c r="EW443"/>
      <c r="EX443"/>
      <c r="EY443"/>
      <c r="EZ443"/>
      <c r="FA443"/>
      <c r="FB443"/>
      <c r="FC443"/>
      <c r="FD443"/>
      <c r="FE443"/>
      <c r="FF443"/>
      <c r="FG443"/>
      <c r="FH443"/>
      <c r="FK443"/>
      <c r="FL443"/>
      <c r="FM443"/>
      <c r="FN443"/>
      <c r="FO443"/>
      <c r="FP443"/>
      <c r="FQ443"/>
      <c r="FR443"/>
      <c r="FS443"/>
      <c r="FT443"/>
      <c r="FU443"/>
      <c r="FV443"/>
      <c r="FW443"/>
      <c r="FX443"/>
      <c r="FY443"/>
      <c r="FZ443"/>
      <c r="GA443"/>
      <c r="GB443"/>
      <c r="GC443"/>
      <c r="GD443"/>
    </row>
    <row r="444" spans="1:186" x14ac:dyDescent="0.15">
      <c r="AG444"/>
      <c r="AH444"/>
      <c r="AJ444"/>
      <c r="AK444"/>
      <c r="AL444"/>
      <c r="AM444"/>
      <c r="AO444"/>
      <c r="AP444"/>
      <c r="AQ444"/>
      <c r="AR444"/>
      <c r="AS444"/>
      <c r="AT444"/>
      <c r="AU444"/>
      <c r="AV444"/>
      <c r="AW444"/>
      <c r="AX444"/>
      <c r="AY444"/>
      <c r="AZ444"/>
      <c r="BA444"/>
      <c r="BB444"/>
      <c r="BC444"/>
      <c r="BD444"/>
      <c r="BE444"/>
      <c r="BF444"/>
      <c r="BH444"/>
      <c r="BI444"/>
      <c r="BJ444"/>
      <c r="BK444"/>
      <c r="BL444"/>
      <c r="BM444"/>
      <c r="BN444"/>
      <c r="BP444"/>
      <c r="BQ444"/>
      <c r="BR444"/>
      <c r="BS444"/>
      <c r="BT444"/>
      <c r="BU444"/>
      <c r="BV444"/>
      <c r="BW444"/>
      <c r="BZ444"/>
      <c r="CA444"/>
      <c r="CB444"/>
      <c r="CC444"/>
      <c r="CD444"/>
      <c r="CF444"/>
      <c r="CG444"/>
      <c r="CH444"/>
      <c r="CI444"/>
      <c r="CJ444"/>
      <c r="CK444"/>
      <c r="CL444"/>
      <c r="CM444"/>
      <c r="CN444"/>
      <c r="CO444"/>
      <c r="CP444"/>
      <c r="CQ444"/>
      <c r="CR444"/>
      <c r="CS444"/>
      <c r="CT444"/>
      <c r="CU444"/>
      <c r="CV444"/>
      <c r="CW444"/>
      <c r="CX444"/>
      <c r="CY444"/>
      <c r="CZ444"/>
      <c r="DA444"/>
      <c r="DB444"/>
      <c r="DC444"/>
      <c r="DD444"/>
      <c r="DE444"/>
      <c r="DG444"/>
      <c r="DH444"/>
      <c r="DI444"/>
      <c r="DJ444"/>
      <c r="DK444"/>
      <c r="DL444"/>
      <c r="DM444"/>
      <c r="DN444"/>
      <c r="DO444"/>
      <c r="DP444"/>
      <c r="DQ444"/>
      <c r="DR444"/>
      <c r="DS444"/>
      <c r="DT444"/>
      <c r="DU444"/>
      <c r="DV444"/>
      <c r="DW444"/>
      <c r="DZ444"/>
      <c r="EA444"/>
      <c r="EB444"/>
      <c r="EC444"/>
      <c r="ED444"/>
      <c r="EE444"/>
      <c r="EF444"/>
      <c r="EG444"/>
      <c r="EJ444"/>
      <c r="EK444"/>
      <c r="EL444"/>
      <c r="EM444"/>
      <c r="EN444"/>
      <c r="EO444"/>
      <c r="EP444"/>
      <c r="EQ444"/>
      <c r="ER444"/>
      <c r="ES444"/>
      <c r="ET444"/>
      <c r="EU444"/>
      <c r="EV444"/>
      <c r="EW444"/>
      <c r="EX444"/>
      <c r="EY444"/>
      <c r="EZ444"/>
      <c r="FA444"/>
      <c r="FB444"/>
      <c r="FC444"/>
      <c r="FD444"/>
      <c r="FE444"/>
      <c r="FF444"/>
      <c r="FG444"/>
      <c r="FH444"/>
      <c r="FK444"/>
      <c r="FL444"/>
      <c r="FM444"/>
      <c r="FN444"/>
      <c r="FO444"/>
      <c r="FP444"/>
      <c r="FQ444"/>
      <c r="FR444"/>
      <c r="FS444"/>
      <c r="FT444"/>
      <c r="FU444"/>
      <c r="FV444"/>
      <c r="FW444"/>
      <c r="FX444"/>
      <c r="FY444"/>
      <c r="FZ444"/>
      <c r="GA444"/>
      <c r="GB444"/>
      <c r="GC444"/>
      <c r="GD444"/>
    </row>
    <row r="445" spans="1:186" x14ac:dyDescent="0.15">
      <c r="AG445"/>
      <c r="AH445"/>
      <c r="AJ445"/>
      <c r="AK445"/>
      <c r="AL445"/>
      <c r="AM445"/>
      <c r="AO445"/>
      <c r="AP445"/>
      <c r="AQ445"/>
      <c r="AR445"/>
      <c r="AS445"/>
      <c r="AT445"/>
      <c r="AU445"/>
      <c r="AV445"/>
      <c r="AW445"/>
      <c r="AX445"/>
      <c r="AY445"/>
      <c r="AZ445"/>
      <c r="BA445"/>
      <c r="BB445"/>
      <c r="BC445"/>
      <c r="BD445"/>
      <c r="BE445"/>
      <c r="BF445"/>
      <c r="BH445"/>
      <c r="BI445"/>
      <c r="BJ445"/>
      <c r="BK445"/>
      <c r="BL445"/>
      <c r="BM445"/>
      <c r="BN445"/>
      <c r="BP445"/>
      <c r="BQ445"/>
      <c r="BR445"/>
      <c r="BS445"/>
      <c r="BT445"/>
      <c r="BU445"/>
      <c r="BV445"/>
      <c r="BW445"/>
      <c r="BZ445"/>
      <c r="CA445"/>
      <c r="CB445"/>
      <c r="CC445"/>
      <c r="CD445"/>
      <c r="CF445"/>
      <c r="CG445"/>
      <c r="CH445"/>
      <c r="CI445"/>
      <c r="CJ445"/>
      <c r="CK445"/>
      <c r="CL445"/>
      <c r="CM445"/>
      <c r="CN445"/>
      <c r="CO445"/>
      <c r="CP445"/>
      <c r="CQ445"/>
      <c r="CR445"/>
      <c r="CS445"/>
      <c r="CT445"/>
      <c r="CU445"/>
      <c r="CV445"/>
      <c r="CW445"/>
      <c r="CX445"/>
      <c r="CY445"/>
      <c r="CZ445"/>
      <c r="DA445"/>
      <c r="DB445"/>
      <c r="DC445"/>
      <c r="DD445"/>
      <c r="DE445"/>
      <c r="DG445"/>
      <c r="DH445"/>
      <c r="DI445"/>
      <c r="DJ445"/>
      <c r="DK445"/>
      <c r="DL445"/>
      <c r="DM445"/>
      <c r="DN445"/>
      <c r="DO445"/>
      <c r="DP445"/>
      <c r="DQ445"/>
      <c r="DR445"/>
      <c r="DS445"/>
      <c r="DT445"/>
      <c r="DU445"/>
      <c r="DV445"/>
      <c r="DW445"/>
      <c r="DZ445"/>
      <c r="EA445"/>
      <c r="EB445"/>
      <c r="EC445"/>
      <c r="ED445"/>
      <c r="EE445"/>
      <c r="EF445"/>
      <c r="EG445"/>
      <c r="EJ445"/>
      <c r="EK445"/>
      <c r="EL445"/>
      <c r="EM445"/>
      <c r="EN445"/>
      <c r="EO445"/>
      <c r="EP445"/>
      <c r="EQ445"/>
      <c r="ER445"/>
      <c r="ES445"/>
      <c r="ET445"/>
      <c r="EU445"/>
      <c r="EV445"/>
      <c r="EW445"/>
      <c r="EX445"/>
      <c r="EY445"/>
      <c r="EZ445"/>
      <c r="FA445"/>
      <c r="FB445"/>
      <c r="FC445"/>
      <c r="FD445"/>
      <c r="FE445"/>
      <c r="FF445"/>
      <c r="FG445"/>
      <c r="FH445"/>
      <c r="FK445"/>
      <c r="FL445"/>
      <c r="FM445"/>
      <c r="FN445"/>
      <c r="FO445"/>
      <c r="FP445"/>
      <c r="FQ445"/>
      <c r="FR445"/>
      <c r="FS445"/>
      <c r="FT445"/>
      <c r="FU445"/>
      <c r="FV445"/>
      <c r="FW445"/>
      <c r="FX445"/>
      <c r="FY445"/>
      <c r="FZ445"/>
      <c r="GA445"/>
      <c r="GB445"/>
      <c r="GC445"/>
      <c r="GD445"/>
    </row>
    <row r="446" spans="1:186" x14ac:dyDescent="0.15">
      <c r="AG446"/>
      <c r="AH446"/>
      <c r="AJ446"/>
      <c r="AK446"/>
      <c r="AL446"/>
      <c r="AM446"/>
      <c r="AO446"/>
      <c r="AP446"/>
      <c r="AQ446"/>
      <c r="AR446"/>
      <c r="AS446"/>
      <c r="AT446"/>
      <c r="AU446"/>
      <c r="AV446"/>
      <c r="AW446"/>
      <c r="AX446"/>
      <c r="AY446"/>
      <c r="AZ446"/>
      <c r="BA446"/>
      <c r="BB446"/>
      <c r="BC446"/>
      <c r="BD446"/>
      <c r="BE446"/>
      <c r="BF446"/>
      <c r="BH446"/>
      <c r="BI446"/>
      <c r="BJ446"/>
      <c r="BK446"/>
      <c r="BL446"/>
      <c r="BM446"/>
      <c r="BN446"/>
      <c r="BP446"/>
      <c r="BQ446"/>
      <c r="BR446"/>
      <c r="BS446"/>
      <c r="BT446"/>
      <c r="BU446"/>
      <c r="BV446"/>
      <c r="BW446"/>
      <c r="BZ446"/>
      <c r="CA446"/>
      <c r="CB446"/>
      <c r="CC446"/>
      <c r="CD446"/>
      <c r="CF446"/>
      <c r="CG446"/>
      <c r="CH446"/>
      <c r="CI446"/>
      <c r="CJ446"/>
      <c r="CK446"/>
      <c r="CL446"/>
      <c r="CM446"/>
      <c r="CN446"/>
      <c r="CO446"/>
      <c r="CP446"/>
      <c r="CQ446"/>
      <c r="CR446"/>
      <c r="CS446"/>
      <c r="CT446"/>
      <c r="CU446"/>
      <c r="CV446"/>
      <c r="CW446"/>
      <c r="CX446"/>
      <c r="CY446"/>
      <c r="CZ446"/>
      <c r="DA446"/>
      <c r="DB446"/>
      <c r="DC446"/>
      <c r="DD446"/>
      <c r="DE446"/>
      <c r="DG446"/>
      <c r="DH446"/>
      <c r="DI446"/>
      <c r="DJ446"/>
      <c r="DK446"/>
      <c r="DL446"/>
      <c r="DM446"/>
      <c r="DN446"/>
      <c r="DO446"/>
      <c r="DP446"/>
      <c r="DQ446"/>
      <c r="DR446"/>
      <c r="DS446"/>
      <c r="DT446"/>
      <c r="DU446"/>
      <c r="DV446"/>
      <c r="DW446"/>
      <c r="DZ446"/>
      <c r="EA446"/>
      <c r="EB446"/>
      <c r="EC446"/>
      <c r="ED446"/>
      <c r="EE446"/>
      <c r="EF446"/>
      <c r="EG446"/>
      <c r="EJ446"/>
      <c r="EK446"/>
      <c r="EL446"/>
      <c r="EM446"/>
      <c r="EN446"/>
      <c r="EO446"/>
      <c r="EP446"/>
      <c r="EQ446"/>
      <c r="ER446"/>
      <c r="ES446"/>
      <c r="ET446"/>
      <c r="EU446"/>
      <c r="EV446"/>
      <c r="EW446"/>
      <c r="EX446"/>
      <c r="EY446"/>
      <c r="EZ446"/>
      <c r="FA446"/>
      <c r="FB446"/>
      <c r="FC446"/>
      <c r="FD446"/>
      <c r="FE446"/>
      <c r="FF446"/>
      <c r="FG446"/>
      <c r="FH446"/>
      <c r="FK446"/>
      <c r="FL446"/>
      <c r="FM446"/>
      <c r="FN446"/>
      <c r="FO446"/>
      <c r="FP446"/>
      <c r="FQ446"/>
      <c r="FR446"/>
      <c r="FS446"/>
      <c r="FT446"/>
      <c r="FU446"/>
      <c r="FV446"/>
      <c r="FW446"/>
      <c r="FX446"/>
      <c r="FY446"/>
      <c r="FZ446"/>
      <c r="GA446"/>
      <c r="GB446"/>
      <c r="GC446"/>
      <c r="GD446"/>
    </row>
    <row r="447" spans="1:186" x14ac:dyDescent="0.15">
      <c r="AG447"/>
      <c r="AH447"/>
      <c r="AJ447"/>
      <c r="AK447"/>
      <c r="AL447"/>
      <c r="AM447"/>
      <c r="AO447"/>
      <c r="AP447"/>
      <c r="AQ447"/>
      <c r="AR447"/>
      <c r="AS447"/>
      <c r="AT447"/>
      <c r="AU447"/>
      <c r="AV447"/>
      <c r="AW447"/>
      <c r="AX447"/>
      <c r="AY447"/>
      <c r="AZ447"/>
      <c r="BA447"/>
      <c r="BB447"/>
      <c r="BC447"/>
      <c r="BD447"/>
      <c r="BE447"/>
      <c r="BF447"/>
      <c r="BH447"/>
      <c r="BI447"/>
      <c r="BJ447"/>
      <c r="BK447"/>
      <c r="BL447"/>
      <c r="BM447"/>
      <c r="BN447"/>
      <c r="BP447"/>
      <c r="BQ447"/>
      <c r="BR447"/>
      <c r="BS447"/>
      <c r="BT447"/>
      <c r="BU447"/>
      <c r="BV447"/>
      <c r="BW447"/>
      <c r="BZ447"/>
      <c r="CA447"/>
      <c r="CB447"/>
      <c r="CC447"/>
      <c r="CD447"/>
      <c r="CF447"/>
      <c r="CG447"/>
      <c r="CH447"/>
      <c r="CI447"/>
      <c r="CJ447"/>
      <c r="CK447"/>
      <c r="CL447"/>
      <c r="CM447"/>
      <c r="CN447"/>
      <c r="CO447"/>
      <c r="CP447"/>
      <c r="CQ447"/>
      <c r="CR447"/>
      <c r="CS447"/>
      <c r="CT447"/>
      <c r="CU447"/>
      <c r="CV447"/>
      <c r="CW447"/>
      <c r="CX447"/>
      <c r="CY447"/>
      <c r="CZ447"/>
      <c r="DA447"/>
      <c r="DB447"/>
      <c r="DC447"/>
      <c r="DD447"/>
      <c r="DE447"/>
      <c r="DG447"/>
      <c r="DH447"/>
      <c r="DI447"/>
      <c r="DJ447"/>
      <c r="DK447"/>
      <c r="DL447"/>
      <c r="DM447"/>
      <c r="DN447"/>
      <c r="DO447"/>
      <c r="DP447"/>
      <c r="DQ447"/>
      <c r="DR447"/>
      <c r="DS447"/>
      <c r="DT447"/>
      <c r="DU447"/>
      <c r="DV447"/>
      <c r="DW447"/>
      <c r="DZ447"/>
      <c r="EA447"/>
      <c r="EB447"/>
      <c r="EC447"/>
      <c r="ED447"/>
      <c r="EE447"/>
      <c r="EF447"/>
      <c r="EG447"/>
      <c r="EJ447"/>
      <c r="EK447"/>
      <c r="EL447"/>
      <c r="EM447"/>
      <c r="EN447"/>
      <c r="EO447"/>
      <c r="EP447"/>
      <c r="EQ447"/>
      <c r="ER447"/>
      <c r="ES447"/>
      <c r="ET447"/>
      <c r="EU447"/>
      <c r="EV447"/>
      <c r="EW447"/>
      <c r="EX447"/>
      <c r="EY447"/>
      <c r="EZ447"/>
      <c r="FA447"/>
      <c r="FB447"/>
      <c r="FC447"/>
      <c r="FD447"/>
      <c r="FE447"/>
      <c r="FF447"/>
      <c r="FG447"/>
      <c r="FH447"/>
      <c r="FK447"/>
      <c r="FL447"/>
      <c r="FM447"/>
      <c r="FN447"/>
      <c r="FO447"/>
      <c r="FP447"/>
      <c r="FQ447"/>
      <c r="FR447"/>
      <c r="FS447"/>
      <c r="FT447"/>
      <c r="FU447"/>
      <c r="FV447"/>
      <c r="FW447"/>
      <c r="FX447"/>
      <c r="FY447"/>
      <c r="FZ447"/>
      <c r="GA447"/>
      <c r="GB447"/>
      <c r="GC447"/>
      <c r="GD447"/>
    </row>
    <row r="448" spans="1:186" x14ac:dyDescent="0.15">
      <c r="AG448"/>
      <c r="AH448"/>
      <c r="AJ448"/>
      <c r="AK448"/>
      <c r="AL448"/>
      <c r="AM448"/>
      <c r="AO448"/>
      <c r="AP448"/>
      <c r="AQ448"/>
      <c r="AR448"/>
      <c r="AS448"/>
      <c r="AT448"/>
      <c r="AU448"/>
      <c r="AV448"/>
      <c r="AW448"/>
      <c r="AX448"/>
      <c r="AY448"/>
      <c r="AZ448"/>
      <c r="BA448"/>
      <c r="BB448"/>
      <c r="BC448"/>
      <c r="BD448"/>
      <c r="BE448"/>
      <c r="BF448"/>
      <c r="BH448"/>
      <c r="BI448"/>
      <c r="BJ448"/>
      <c r="BK448"/>
      <c r="BL448"/>
      <c r="BM448"/>
      <c r="BN448"/>
      <c r="BP448"/>
      <c r="BQ448"/>
      <c r="BR448"/>
      <c r="BS448"/>
      <c r="BT448"/>
      <c r="BU448"/>
      <c r="BV448"/>
      <c r="BW448"/>
      <c r="BZ448"/>
      <c r="CA448"/>
      <c r="CB448"/>
      <c r="CC448"/>
      <c r="CD448"/>
      <c r="CF448"/>
      <c r="CG448"/>
      <c r="CH448"/>
      <c r="CI448"/>
      <c r="CJ448"/>
      <c r="CK448"/>
      <c r="CL448"/>
      <c r="CM448"/>
      <c r="CN448"/>
      <c r="CO448"/>
      <c r="CP448"/>
      <c r="CQ448"/>
      <c r="CR448"/>
      <c r="CS448"/>
      <c r="CT448"/>
      <c r="CU448"/>
      <c r="CV448"/>
      <c r="CW448"/>
      <c r="CX448"/>
      <c r="CY448"/>
      <c r="CZ448"/>
      <c r="DA448"/>
      <c r="DB448"/>
      <c r="DC448"/>
      <c r="DD448"/>
      <c r="DE448"/>
      <c r="DG448"/>
      <c r="DH448"/>
      <c r="DI448"/>
      <c r="DJ448"/>
      <c r="DK448"/>
      <c r="DL448"/>
      <c r="DM448"/>
      <c r="DN448"/>
      <c r="DO448"/>
      <c r="DP448"/>
      <c r="DQ448"/>
      <c r="DR448"/>
      <c r="DS448"/>
      <c r="DT448"/>
      <c r="DU448"/>
      <c r="DV448"/>
      <c r="DW448"/>
      <c r="DZ448"/>
      <c r="EA448"/>
      <c r="EB448"/>
      <c r="EC448"/>
      <c r="ED448"/>
      <c r="EE448"/>
      <c r="EF448"/>
      <c r="EG448"/>
      <c r="EJ448"/>
      <c r="EK448"/>
      <c r="EL448"/>
      <c r="EM448"/>
      <c r="EN448"/>
      <c r="EO448"/>
      <c r="EP448"/>
      <c r="EQ448"/>
      <c r="ER448"/>
      <c r="ES448"/>
      <c r="ET448"/>
      <c r="EU448"/>
      <c r="EV448"/>
      <c r="EW448"/>
      <c r="EX448"/>
      <c r="EY448"/>
      <c r="EZ448"/>
      <c r="FA448"/>
      <c r="FB448"/>
      <c r="FC448"/>
      <c r="FD448"/>
      <c r="FE448"/>
      <c r="FF448"/>
      <c r="FG448"/>
      <c r="FH448"/>
      <c r="FK448"/>
      <c r="FL448"/>
      <c r="FM448"/>
      <c r="FN448"/>
      <c r="FO448"/>
      <c r="FP448"/>
      <c r="FQ448"/>
      <c r="FR448"/>
      <c r="FS448"/>
      <c r="FT448"/>
      <c r="FU448"/>
      <c r="FV448"/>
      <c r="FW448"/>
      <c r="FX448"/>
      <c r="FY448"/>
      <c r="FZ448"/>
      <c r="GA448"/>
      <c r="GB448"/>
      <c r="GC448"/>
      <c r="GD448"/>
    </row>
    <row r="449" spans="4:186" x14ac:dyDescent="0.15">
      <c r="AG449"/>
      <c r="AH449"/>
      <c r="AJ449"/>
      <c r="AK449"/>
      <c r="AL449"/>
      <c r="AM449"/>
      <c r="AO449"/>
      <c r="AP449"/>
      <c r="AQ449"/>
      <c r="AR449"/>
      <c r="AS449"/>
      <c r="AT449"/>
      <c r="AU449"/>
      <c r="AV449"/>
      <c r="AW449"/>
      <c r="AX449"/>
      <c r="AY449"/>
      <c r="AZ449"/>
      <c r="BA449"/>
      <c r="BB449"/>
      <c r="BC449"/>
      <c r="BD449"/>
      <c r="BE449"/>
      <c r="BF449"/>
      <c r="BH449"/>
      <c r="BI449"/>
      <c r="BJ449"/>
      <c r="BK449"/>
      <c r="BL449"/>
      <c r="BM449"/>
      <c r="BN449"/>
      <c r="BP449"/>
      <c r="BQ449"/>
      <c r="BR449"/>
      <c r="BS449"/>
      <c r="BT449"/>
      <c r="BU449"/>
      <c r="BV449"/>
      <c r="BW449"/>
      <c r="BZ449"/>
      <c r="CA449"/>
      <c r="CB449"/>
      <c r="CC449"/>
      <c r="CD449"/>
      <c r="CF449"/>
      <c r="CG449"/>
      <c r="CH449"/>
      <c r="CI449"/>
      <c r="CJ449"/>
      <c r="CK449"/>
      <c r="CL449"/>
      <c r="CM449"/>
      <c r="CN449"/>
      <c r="CO449"/>
      <c r="CP449"/>
      <c r="CQ449"/>
      <c r="CR449"/>
      <c r="CS449"/>
      <c r="CT449"/>
      <c r="CU449"/>
      <c r="CV449"/>
      <c r="CW449"/>
      <c r="CX449"/>
      <c r="CY449"/>
      <c r="CZ449"/>
      <c r="DA449"/>
      <c r="DB449"/>
      <c r="DC449"/>
      <c r="DD449"/>
      <c r="DE449"/>
      <c r="DG449"/>
      <c r="DH449"/>
      <c r="DI449"/>
      <c r="DJ449"/>
      <c r="DK449"/>
      <c r="DL449"/>
      <c r="DM449"/>
      <c r="DN449"/>
      <c r="DO449"/>
      <c r="DP449"/>
      <c r="DQ449"/>
      <c r="DR449"/>
      <c r="DS449"/>
      <c r="DT449"/>
      <c r="DU449"/>
      <c r="DV449"/>
      <c r="DW449"/>
      <c r="DZ449"/>
      <c r="EA449"/>
      <c r="EB449"/>
      <c r="EC449"/>
      <c r="ED449"/>
      <c r="EE449"/>
      <c r="EF449"/>
      <c r="EG449"/>
      <c r="EJ449"/>
      <c r="EK449"/>
      <c r="EL449"/>
      <c r="EM449"/>
      <c r="EN449"/>
      <c r="EO449"/>
      <c r="EP449"/>
      <c r="EQ449"/>
      <c r="ER449"/>
      <c r="ES449"/>
      <c r="ET449"/>
      <c r="EU449"/>
      <c r="EV449"/>
      <c r="EW449"/>
      <c r="EX449"/>
      <c r="EY449"/>
      <c r="EZ449"/>
      <c r="FA449"/>
      <c r="FB449"/>
      <c r="FC449"/>
      <c r="FD449"/>
      <c r="FE449"/>
      <c r="FF449"/>
      <c r="FG449"/>
      <c r="FH449"/>
      <c r="FK449"/>
      <c r="FL449"/>
      <c r="FM449"/>
      <c r="FN449"/>
      <c r="FO449"/>
      <c r="FP449"/>
      <c r="FQ449"/>
      <c r="FR449"/>
      <c r="FS449"/>
      <c r="FT449"/>
      <c r="FU449"/>
      <c r="FV449"/>
      <c r="FW449"/>
      <c r="FX449"/>
      <c r="FY449"/>
      <c r="FZ449"/>
      <c r="GA449"/>
      <c r="GB449"/>
      <c r="GC449"/>
      <c r="GD449"/>
    </row>
    <row r="450" spans="4:186" x14ac:dyDescent="0.15">
      <c r="AG450"/>
      <c r="AH450"/>
      <c r="AJ450"/>
      <c r="AK450"/>
      <c r="AL450"/>
      <c r="AM450"/>
      <c r="AO450"/>
      <c r="AP450"/>
      <c r="AQ450"/>
      <c r="AR450"/>
      <c r="AS450"/>
      <c r="AT450"/>
      <c r="AU450"/>
      <c r="AV450"/>
      <c r="AW450"/>
      <c r="AX450"/>
      <c r="AY450"/>
      <c r="AZ450"/>
      <c r="BA450"/>
      <c r="BB450"/>
      <c r="BC450"/>
      <c r="BD450"/>
      <c r="BE450"/>
      <c r="BF450"/>
      <c r="BH450"/>
      <c r="BI450"/>
      <c r="BJ450"/>
      <c r="BK450"/>
      <c r="BL450"/>
      <c r="BM450"/>
      <c r="BN450"/>
      <c r="BP450"/>
      <c r="BQ450"/>
      <c r="BR450"/>
      <c r="BS450"/>
      <c r="BT450"/>
      <c r="BU450"/>
      <c r="BV450"/>
      <c r="BW450"/>
      <c r="BZ450"/>
      <c r="CA450"/>
      <c r="CB450"/>
      <c r="CC450"/>
      <c r="CD450"/>
      <c r="CF450"/>
      <c r="CG450"/>
      <c r="CH450"/>
      <c r="CI450"/>
      <c r="CJ450"/>
      <c r="CK450"/>
      <c r="CL450"/>
      <c r="CM450"/>
      <c r="CN450"/>
      <c r="CO450"/>
      <c r="CP450"/>
      <c r="CQ450"/>
      <c r="CR450"/>
      <c r="CS450"/>
      <c r="CT450"/>
      <c r="CU450"/>
      <c r="CV450"/>
      <c r="CW450"/>
      <c r="CX450"/>
      <c r="CY450"/>
      <c r="CZ450"/>
      <c r="DA450"/>
      <c r="DB450"/>
      <c r="DC450"/>
      <c r="DD450"/>
      <c r="DE450"/>
      <c r="DG450"/>
      <c r="DH450"/>
      <c r="DI450"/>
      <c r="DJ450"/>
      <c r="DK450"/>
      <c r="DL450"/>
      <c r="DM450"/>
      <c r="DN450"/>
      <c r="DO450"/>
      <c r="DP450"/>
      <c r="DQ450"/>
      <c r="DR450"/>
      <c r="DS450"/>
      <c r="DT450"/>
      <c r="DU450"/>
      <c r="DV450"/>
      <c r="DW450"/>
      <c r="DZ450"/>
      <c r="EA450"/>
      <c r="EB450"/>
      <c r="EC450"/>
      <c r="ED450"/>
      <c r="EE450"/>
      <c r="EF450"/>
      <c r="EG450"/>
      <c r="EJ450"/>
      <c r="EK450"/>
      <c r="EL450"/>
      <c r="EM450"/>
      <c r="EN450"/>
      <c r="EO450"/>
      <c r="EP450"/>
      <c r="EQ450"/>
      <c r="ER450"/>
      <c r="ES450"/>
      <c r="ET450"/>
      <c r="EU450"/>
      <c r="EV450"/>
      <c r="EW450"/>
      <c r="EX450"/>
      <c r="EY450"/>
      <c r="EZ450"/>
      <c r="FA450"/>
      <c r="FB450"/>
      <c r="FC450"/>
      <c r="FD450"/>
      <c r="FE450"/>
      <c r="FF450"/>
      <c r="FG450"/>
      <c r="FH450"/>
      <c r="FK450"/>
      <c r="FL450"/>
      <c r="FM450"/>
      <c r="FN450"/>
      <c r="FO450"/>
      <c r="FP450"/>
      <c r="FQ450"/>
      <c r="FR450"/>
      <c r="FS450"/>
      <c r="FT450"/>
      <c r="FU450"/>
      <c r="FV450"/>
      <c r="FW450"/>
      <c r="FX450"/>
      <c r="FY450"/>
      <c r="FZ450"/>
      <c r="GA450"/>
      <c r="GB450"/>
      <c r="GC450"/>
      <c r="GD450"/>
    </row>
    <row r="451" spans="4:186" x14ac:dyDescent="0.15">
      <c r="AG451"/>
      <c r="AH451"/>
      <c r="AJ451"/>
      <c r="AK451"/>
      <c r="AL451"/>
      <c r="AM451"/>
      <c r="AO451"/>
      <c r="AP451"/>
      <c r="AQ451"/>
      <c r="AR451"/>
      <c r="AS451"/>
      <c r="AT451"/>
      <c r="AU451"/>
      <c r="AV451"/>
      <c r="AW451"/>
      <c r="AX451"/>
      <c r="AY451"/>
      <c r="AZ451"/>
      <c r="BA451"/>
      <c r="BB451"/>
      <c r="BC451"/>
      <c r="BD451"/>
      <c r="BE451"/>
      <c r="BF451"/>
      <c r="BH451"/>
      <c r="BI451"/>
      <c r="BJ451"/>
      <c r="BK451"/>
      <c r="BL451"/>
      <c r="BM451"/>
      <c r="BN451"/>
      <c r="BP451"/>
      <c r="BQ451"/>
      <c r="BR451"/>
      <c r="BS451"/>
      <c r="BT451"/>
      <c r="BU451"/>
      <c r="BV451"/>
      <c r="BW451"/>
      <c r="BZ451"/>
      <c r="CA451"/>
      <c r="CB451"/>
      <c r="CC451"/>
      <c r="CD451"/>
      <c r="CF451"/>
      <c r="CG451"/>
      <c r="CH451"/>
      <c r="CI451"/>
      <c r="CJ451"/>
      <c r="CK451"/>
      <c r="CL451"/>
      <c r="CM451"/>
      <c r="CN451"/>
      <c r="CO451"/>
      <c r="CP451"/>
      <c r="CQ451"/>
      <c r="CR451"/>
      <c r="CS451"/>
      <c r="CT451"/>
      <c r="CU451"/>
      <c r="CV451"/>
      <c r="CW451"/>
      <c r="CX451"/>
      <c r="CY451"/>
      <c r="CZ451"/>
      <c r="DA451"/>
      <c r="DB451"/>
      <c r="DC451"/>
      <c r="DD451"/>
      <c r="DE451"/>
      <c r="DG451"/>
      <c r="DH451"/>
      <c r="DI451"/>
      <c r="DJ451"/>
      <c r="DK451"/>
      <c r="DL451"/>
      <c r="DM451"/>
      <c r="DN451"/>
      <c r="DO451"/>
      <c r="DP451"/>
      <c r="DQ451"/>
      <c r="DR451"/>
      <c r="DS451"/>
      <c r="DT451"/>
      <c r="DU451"/>
      <c r="DV451"/>
      <c r="DW451"/>
      <c r="DZ451"/>
      <c r="EA451"/>
      <c r="EB451"/>
      <c r="EC451"/>
      <c r="ED451"/>
      <c r="EE451"/>
      <c r="EF451"/>
      <c r="EG451"/>
      <c r="EJ451"/>
      <c r="EK451"/>
      <c r="EL451"/>
      <c r="EM451"/>
      <c r="EN451"/>
      <c r="EO451"/>
      <c r="EP451"/>
      <c r="EQ451"/>
      <c r="ER451"/>
      <c r="ES451"/>
      <c r="ET451"/>
      <c r="EU451"/>
      <c r="EV451"/>
      <c r="EW451"/>
      <c r="EX451"/>
      <c r="EY451"/>
      <c r="EZ451"/>
      <c r="FA451"/>
      <c r="FB451"/>
      <c r="FC451"/>
      <c r="FD451"/>
      <c r="FE451"/>
      <c r="FF451"/>
      <c r="FG451"/>
      <c r="FH451"/>
      <c r="FK451"/>
      <c r="FL451"/>
      <c r="FM451"/>
      <c r="FN451"/>
      <c r="FO451"/>
      <c r="FP451"/>
      <c r="FQ451"/>
      <c r="FR451"/>
      <c r="FS451"/>
      <c r="FT451"/>
      <c r="FU451"/>
      <c r="FV451"/>
      <c r="FW451"/>
      <c r="FX451"/>
      <c r="FY451"/>
      <c r="FZ451"/>
      <c r="GA451"/>
      <c r="GB451"/>
      <c r="GC451"/>
      <c r="GD451"/>
    </row>
    <row r="452" spans="4:186" x14ac:dyDescent="0.15">
      <c r="AG452"/>
      <c r="AH452"/>
      <c r="AJ452"/>
      <c r="AK452"/>
      <c r="AL452"/>
      <c r="AM452"/>
      <c r="AO452"/>
      <c r="AP452"/>
      <c r="AQ452"/>
      <c r="AR452"/>
      <c r="AS452"/>
      <c r="AT452"/>
      <c r="AU452"/>
      <c r="AV452"/>
      <c r="AW452"/>
      <c r="AX452"/>
      <c r="AY452"/>
      <c r="AZ452"/>
      <c r="BA452"/>
      <c r="BB452"/>
      <c r="BC452"/>
      <c r="BD452"/>
      <c r="BE452"/>
      <c r="BF452"/>
      <c r="BH452"/>
      <c r="BI452"/>
      <c r="BJ452"/>
      <c r="BK452"/>
      <c r="BL452"/>
      <c r="BM452"/>
      <c r="BN452"/>
      <c r="BP452"/>
      <c r="BQ452"/>
      <c r="BR452"/>
      <c r="BS452"/>
      <c r="BT452"/>
      <c r="BU452"/>
      <c r="BV452"/>
      <c r="BW452"/>
      <c r="BZ452"/>
      <c r="CA452"/>
      <c r="CB452"/>
      <c r="CC452"/>
      <c r="CD452"/>
      <c r="CF452"/>
      <c r="CG452"/>
      <c r="CH452"/>
      <c r="CI452"/>
      <c r="CJ452"/>
      <c r="CK452"/>
      <c r="CL452"/>
      <c r="CM452"/>
      <c r="CN452"/>
      <c r="CO452"/>
      <c r="CP452"/>
      <c r="CQ452"/>
      <c r="CR452"/>
      <c r="CS452"/>
      <c r="CT452"/>
      <c r="CU452"/>
      <c r="CV452"/>
      <c r="CW452"/>
      <c r="CX452"/>
      <c r="CY452"/>
      <c r="CZ452"/>
      <c r="DA452"/>
      <c r="DB452"/>
      <c r="DC452"/>
      <c r="DD452"/>
      <c r="DE452"/>
      <c r="DG452"/>
      <c r="DH452"/>
      <c r="DI452"/>
      <c r="DJ452"/>
      <c r="DK452"/>
      <c r="DL452"/>
      <c r="DM452"/>
      <c r="DN452"/>
      <c r="DO452"/>
      <c r="DP452"/>
      <c r="DQ452"/>
      <c r="DR452"/>
      <c r="DS452"/>
      <c r="DT452"/>
      <c r="DU452"/>
      <c r="DV452"/>
      <c r="DW452"/>
      <c r="DZ452"/>
      <c r="EA452"/>
      <c r="EB452"/>
      <c r="EC452"/>
      <c r="ED452"/>
      <c r="EE452"/>
      <c r="EF452"/>
      <c r="EG452"/>
      <c r="EJ452"/>
      <c r="EK452"/>
      <c r="EL452"/>
      <c r="EM452"/>
      <c r="EN452"/>
      <c r="EO452"/>
      <c r="EP452"/>
      <c r="EQ452"/>
      <c r="ER452"/>
      <c r="ES452"/>
      <c r="ET452"/>
      <c r="EU452"/>
      <c r="EV452"/>
      <c r="EW452"/>
      <c r="EX452"/>
      <c r="EY452"/>
      <c r="EZ452"/>
      <c r="FA452"/>
      <c r="FB452"/>
      <c r="FC452"/>
      <c r="FD452"/>
      <c r="FE452"/>
      <c r="FF452"/>
      <c r="FG452"/>
      <c r="FH452"/>
      <c r="FK452"/>
      <c r="FL452"/>
      <c r="FM452"/>
      <c r="FN452"/>
      <c r="FO452"/>
      <c r="FP452"/>
      <c r="FQ452"/>
      <c r="FR452"/>
      <c r="FS452"/>
      <c r="FT452"/>
      <c r="FU452"/>
      <c r="FV452"/>
      <c r="FW452"/>
      <c r="FX452"/>
      <c r="FY452"/>
      <c r="FZ452"/>
      <c r="GA452"/>
      <c r="GB452"/>
      <c r="GC452"/>
      <c r="GD452"/>
    </row>
    <row r="453" spans="4:186" x14ac:dyDescent="0.15">
      <c r="AG453"/>
      <c r="AH453"/>
      <c r="AJ453"/>
      <c r="AK453"/>
      <c r="AL453"/>
      <c r="AM453"/>
      <c r="AO453"/>
      <c r="AP453"/>
      <c r="AQ453"/>
      <c r="AR453"/>
      <c r="AS453"/>
      <c r="AT453"/>
      <c r="AU453"/>
      <c r="AV453"/>
      <c r="AW453"/>
      <c r="AX453"/>
      <c r="AY453"/>
      <c r="AZ453"/>
      <c r="BA453"/>
      <c r="BB453"/>
      <c r="BC453"/>
      <c r="BD453"/>
      <c r="BE453"/>
      <c r="BF453"/>
      <c r="BH453"/>
      <c r="BI453"/>
      <c r="BJ453"/>
      <c r="BK453"/>
      <c r="BL453"/>
      <c r="BM453"/>
      <c r="BN453"/>
      <c r="BP453"/>
      <c r="BQ453"/>
      <c r="BR453"/>
      <c r="BS453"/>
      <c r="BT453"/>
      <c r="BU453"/>
      <c r="BV453"/>
      <c r="BW453"/>
      <c r="BZ453"/>
      <c r="CA453"/>
      <c r="CB453"/>
      <c r="CC453"/>
      <c r="CD453"/>
      <c r="CF453"/>
      <c r="CG453"/>
      <c r="CH453"/>
      <c r="CI453"/>
      <c r="CJ453"/>
      <c r="CK453"/>
      <c r="CL453"/>
      <c r="CM453"/>
      <c r="CN453"/>
      <c r="CO453"/>
      <c r="CP453"/>
      <c r="CQ453"/>
      <c r="CR453"/>
      <c r="CS453"/>
      <c r="CT453"/>
      <c r="CU453"/>
      <c r="CV453"/>
      <c r="CW453"/>
      <c r="CX453"/>
      <c r="CY453"/>
      <c r="CZ453"/>
      <c r="DA453"/>
      <c r="DB453"/>
      <c r="DC453"/>
      <c r="DD453"/>
      <c r="DE453"/>
      <c r="DG453"/>
      <c r="DH453"/>
      <c r="DI453"/>
      <c r="DJ453"/>
      <c r="DK453"/>
      <c r="DL453"/>
      <c r="DM453"/>
      <c r="DN453"/>
      <c r="DO453"/>
      <c r="DP453"/>
      <c r="DQ453"/>
      <c r="DR453"/>
      <c r="DS453"/>
      <c r="DT453"/>
      <c r="DU453"/>
      <c r="DV453"/>
      <c r="DW453"/>
      <c r="DZ453"/>
      <c r="EA453"/>
      <c r="EB453"/>
      <c r="EC453"/>
      <c r="ED453"/>
      <c r="EE453"/>
      <c r="EF453"/>
      <c r="EG453"/>
      <c r="EJ453"/>
      <c r="EK453"/>
      <c r="EL453"/>
      <c r="EM453"/>
      <c r="EN453"/>
      <c r="EO453"/>
      <c r="EP453"/>
      <c r="EQ453"/>
      <c r="ER453"/>
      <c r="ES453"/>
      <c r="ET453"/>
      <c r="EU453"/>
      <c r="EV453"/>
      <c r="EW453"/>
      <c r="EX453"/>
      <c r="EY453"/>
      <c r="EZ453"/>
      <c r="FA453"/>
      <c r="FB453"/>
      <c r="FC453"/>
      <c r="FD453"/>
      <c r="FE453"/>
      <c r="FF453"/>
      <c r="FG453"/>
      <c r="FH453"/>
      <c r="FK453"/>
      <c r="FL453"/>
      <c r="FM453"/>
      <c r="FN453"/>
      <c r="FO453"/>
      <c r="FP453"/>
      <c r="FQ453"/>
      <c r="FR453"/>
      <c r="FS453"/>
      <c r="FT453"/>
      <c r="FU453"/>
      <c r="FV453"/>
      <c r="FW453"/>
      <c r="FX453"/>
      <c r="FY453"/>
      <c r="FZ453"/>
      <c r="GA453"/>
      <c r="GB453"/>
      <c r="GC453"/>
      <c r="GD453"/>
    </row>
    <row r="454" spans="4:186" x14ac:dyDescent="0.15">
      <c r="AG454"/>
      <c r="AH454"/>
      <c r="AJ454"/>
      <c r="AK454"/>
      <c r="AL454"/>
      <c r="AM454"/>
      <c r="AO454"/>
      <c r="AP454"/>
      <c r="AQ454"/>
      <c r="AR454"/>
      <c r="AS454"/>
      <c r="AT454"/>
      <c r="AU454"/>
      <c r="AV454"/>
      <c r="AW454"/>
      <c r="AX454"/>
      <c r="AY454"/>
      <c r="AZ454"/>
      <c r="BA454"/>
      <c r="BB454"/>
      <c r="BC454"/>
      <c r="BD454"/>
      <c r="BE454"/>
      <c r="BF454"/>
      <c r="BH454"/>
      <c r="BI454"/>
      <c r="BJ454"/>
      <c r="BK454"/>
      <c r="BL454"/>
      <c r="BM454"/>
      <c r="BN454"/>
      <c r="BP454"/>
      <c r="BQ454"/>
      <c r="BR454"/>
      <c r="BS454"/>
      <c r="BT454"/>
      <c r="BU454"/>
      <c r="BV454"/>
      <c r="BW454"/>
      <c r="BZ454"/>
      <c r="CA454"/>
      <c r="CB454"/>
      <c r="CC454"/>
      <c r="CD454"/>
      <c r="CF454"/>
      <c r="CG454"/>
      <c r="CH454"/>
      <c r="CI454"/>
      <c r="CJ454"/>
      <c r="CK454"/>
      <c r="CL454"/>
      <c r="CM454"/>
      <c r="CN454"/>
      <c r="CO454"/>
      <c r="CP454"/>
      <c r="CQ454"/>
      <c r="CR454"/>
      <c r="CS454"/>
      <c r="CT454"/>
      <c r="CU454"/>
      <c r="CV454"/>
      <c r="CW454"/>
      <c r="CX454"/>
      <c r="CY454"/>
      <c r="CZ454"/>
      <c r="DA454"/>
      <c r="DB454"/>
      <c r="DC454"/>
      <c r="DD454"/>
      <c r="DE454"/>
      <c r="DG454"/>
      <c r="DH454"/>
      <c r="DI454"/>
      <c r="DJ454"/>
      <c r="DK454"/>
      <c r="DL454"/>
      <c r="DM454"/>
      <c r="DN454"/>
      <c r="DO454"/>
      <c r="DP454"/>
      <c r="DQ454"/>
      <c r="DR454"/>
      <c r="DS454"/>
      <c r="DT454"/>
      <c r="DU454"/>
      <c r="DV454"/>
      <c r="DW454"/>
      <c r="DZ454"/>
      <c r="EA454"/>
      <c r="EB454"/>
      <c r="EC454"/>
      <c r="ED454"/>
      <c r="EE454"/>
      <c r="EF454"/>
      <c r="EG454"/>
      <c r="EJ454"/>
      <c r="EK454"/>
      <c r="EL454"/>
      <c r="EM454"/>
      <c r="EN454"/>
      <c r="EO454"/>
      <c r="EP454"/>
      <c r="EQ454"/>
      <c r="ER454"/>
      <c r="ES454"/>
      <c r="ET454"/>
      <c r="EU454"/>
      <c r="EV454"/>
      <c r="EW454"/>
      <c r="EX454"/>
      <c r="EY454"/>
      <c r="EZ454"/>
      <c r="FA454"/>
      <c r="FB454"/>
      <c r="FC454"/>
      <c r="FD454"/>
      <c r="FE454"/>
      <c r="FF454"/>
      <c r="FG454"/>
      <c r="FH454"/>
      <c r="FK454"/>
      <c r="FL454"/>
      <c r="FM454"/>
      <c r="FN454"/>
      <c r="FO454"/>
      <c r="FP454"/>
      <c r="FQ454"/>
      <c r="FR454"/>
      <c r="FS454"/>
      <c r="FT454"/>
      <c r="FU454"/>
      <c r="FV454"/>
      <c r="FW454"/>
      <c r="FX454"/>
      <c r="FY454"/>
      <c r="FZ454"/>
      <c r="GA454"/>
      <c r="GB454"/>
      <c r="GC454"/>
      <c r="GD454"/>
    </row>
    <row r="455" spans="4:186" x14ac:dyDescent="0.15">
      <c r="AG455"/>
      <c r="AH455"/>
      <c r="AJ455"/>
      <c r="AK455"/>
      <c r="AL455"/>
      <c r="AM455"/>
      <c r="AO455"/>
      <c r="AP455"/>
      <c r="AQ455"/>
      <c r="AR455"/>
      <c r="AS455"/>
      <c r="AT455"/>
      <c r="AU455"/>
      <c r="AV455"/>
      <c r="AW455"/>
      <c r="AX455"/>
      <c r="AY455"/>
      <c r="AZ455"/>
      <c r="BA455"/>
      <c r="BB455"/>
      <c r="BC455"/>
      <c r="BD455"/>
      <c r="BE455"/>
      <c r="BF455"/>
      <c r="BH455"/>
      <c r="BI455"/>
      <c r="BJ455"/>
      <c r="BK455"/>
      <c r="BL455"/>
      <c r="BM455"/>
      <c r="BN455"/>
      <c r="BP455"/>
      <c r="BQ455"/>
      <c r="BR455"/>
      <c r="BS455"/>
      <c r="BT455"/>
      <c r="BU455"/>
      <c r="BV455"/>
      <c r="BW455"/>
      <c r="BZ455"/>
      <c r="CA455"/>
      <c r="CB455"/>
      <c r="CC455"/>
      <c r="CD455"/>
      <c r="CF455"/>
      <c r="CG455"/>
      <c r="CH455"/>
      <c r="CI455"/>
      <c r="CJ455"/>
      <c r="CK455"/>
      <c r="CL455"/>
      <c r="CM455"/>
      <c r="CN455"/>
      <c r="CO455"/>
      <c r="CP455"/>
      <c r="CQ455"/>
      <c r="CR455"/>
      <c r="CS455"/>
      <c r="CT455"/>
      <c r="CU455"/>
      <c r="CV455"/>
      <c r="CW455"/>
      <c r="CX455"/>
      <c r="CY455"/>
      <c r="CZ455"/>
      <c r="DA455"/>
      <c r="DB455"/>
      <c r="DC455"/>
      <c r="DD455"/>
      <c r="DE455"/>
      <c r="DG455"/>
      <c r="DH455"/>
      <c r="DI455"/>
      <c r="DJ455"/>
      <c r="DK455"/>
      <c r="DL455"/>
      <c r="DM455"/>
      <c r="DN455"/>
      <c r="DO455"/>
      <c r="DP455"/>
      <c r="DQ455"/>
      <c r="DR455"/>
      <c r="DS455"/>
      <c r="DT455"/>
      <c r="DU455"/>
      <c r="DV455"/>
      <c r="DW455"/>
      <c r="DZ455"/>
      <c r="EA455"/>
      <c r="EB455"/>
      <c r="EC455"/>
      <c r="ED455"/>
      <c r="EE455"/>
      <c r="EF455"/>
      <c r="EG455"/>
      <c r="EJ455"/>
      <c r="EK455"/>
      <c r="EL455"/>
      <c r="EM455"/>
      <c r="EN455"/>
      <c r="EO455"/>
      <c r="EP455"/>
      <c r="EQ455"/>
      <c r="ER455"/>
      <c r="ES455"/>
      <c r="ET455"/>
      <c r="EU455"/>
      <c r="EV455"/>
      <c r="EW455"/>
      <c r="EX455"/>
      <c r="EY455"/>
      <c r="EZ455"/>
      <c r="FA455"/>
      <c r="FB455"/>
      <c r="FC455"/>
      <c r="FD455"/>
      <c r="FE455"/>
      <c r="FF455"/>
      <c r="FG455"/>
      <c r="FH455"/>
      <c r="FK455"/>
      <c r="FL455"/>
      <c r="FM455"/>
      <c r="FN455"/>
      <c r="FO455"/>
      <c r="FP455"/>
      <c r="FQ455"/>
      <c r="FR455"/>
      <c r="FS455"/>
      <c r="FT455"/>
      <c r="FU455"/>
      <c r="FV455"/>
      <c r="FW455"/>
      <c r="FX455"/>
      <c r="FY455"/>
      <c r="FZ455"/>
      <c r="GA455"/>
      <c r="GB455"/>
      <c r="GC455"/>
      <c r="GD455"/>
    </row>
    <row r="456" spans="4:186" x14ac:dyDescent="0.15">
      <c r="AG456"/>
      <c r="AH456"/>
      <c r="AJ456"/>
      <c r="AK456"/>
      <c r="AL456"/>
      <c r="AM456"/>
      <c r="AO456"/>
      <c r="AP456"/>
      <c r="AQ456"/>
      <c r="AR456"/>
      <c r="AS456"/>
      <c r="AT456"/>
      <c r="AU456"/>
      <c r="AV456"/>
      <c r="AW456"/>
      <c r="AX456"/>
      <c r="AY456"/>
      <c r="AZ456"/>
      <c r="BA456"/>
      <c r="BB456"/>
      <c r="BC456"/>
      <c r="BD456"/>
      <c r="BE456"/>
      <c r="BF456"/>
      <c r="BH456"/>
      <c r="BI456"/>
      <c r="BJ456"/>
      <c r="BK456"/>
      <c r="BL456"/>
      <c r="BM456"/>
      <c r="BN456"/>
      <c r="BP456"/>
      <c r="BQ456"/>
      <c r="BR456"/>
      <c r="BS456"/>
      <c r="BT456"/>
      <c r="BU456"/>
      <c r="BV456"/>
      <c r="BW456"/>
      <c r="BZ456"/>
      <c r="CA456"/>
      <c r="CB456"/>
      <c r="CC456"/>
      <c r="CD456"/>
      <c r="CF456"/>
      <c r="CG456"/>
      <c r="CH456"/>
      <c r="CI456"/>
      <c r="CJ456"/>
      <c r="CK456"/>
      <c r="CL456"/>
      <c r="CM456"/>
      <c r="CN456"/>
      <c r="CO456"/>
      <c r="CP456"/>
      <c r="CQ456"/>
      <c r="CR456"/>
      <c r="CS456"/>
      <c r="CT456"/>
      <c r="CU456"/>
      <c r="CV456"/>
      <c r="CW456"/>
      <c r="CX456"/>
      <c r="CY456"/>
      <c r="CZ456"/>
      <c r="DA456"/>
      <c r="DB456"/>
      <c r="DC456"/>
      <c r="DD456"/>
      <c r="DE456"/>
      <c r="DG456"/>
      <c r="DH456"/>
      <c r="DI456"/>
      <c r="DJ456"/>
      <c r="DK456"/>
      <c r="DL456"/>
      <c r="DM456"/>
      <c r="DN456"/>
      <c r="DO456"/>
      <c r="DP456"/>
      <c r="DQ456"/>
      <c r="DR456"/>
      <c r="DS456"/>
      <c r="DT456"/>
      <c r="DU456"/>
      <c r="DV456"/>
      <c r="DW456"/>
      <c r="DZ456"/>
      <c r="EA456"/>
      <c r="EB456"/>
      <c r="EC456"/>
      <c r="ED456"/>
      <c r="EE456"/>
      <c r="EF456"/>
      <c r="EG456"/>
      <c r="EJ456"/>
      <c r="EK456"/>
      <c r="EL456"/>
      <c r="EM456"/>
      <c r="EN456"/>
      <c r="EO456"/>
      <c r="EP456"/>
      <c r="EQ456"/>
      <c r="ER456"/>
      <c r="ES456"/>
      <c r="ET456"/>
      <c r="EU456"/>
      <c r="EV456"/>
      <c r="EW456"/>
      <c r="EX456"/>
      <c r="EY456"/>
      <c r="EZ456"/>
      <c r="FA456"/>
      <c r="FB456"/>
      <c r="FC456"/>
      <c r="FD456"/>
      <c r="FE456"/>
      <c r="FF456"/>
      <c r="FG456"/>
      <c r="FH456"/>
      <c r="FK456"/>
      <c r="FL456"/>
      <c r="FM456"/>
      <c r="FN456"/>
      <c r="FO456"/>
      <c r="FP456"/>
      <c r="FQ456"/>
      <c r="FR456"/>
      <c r="FS456"/>
      <c r="FT456"/>
      <c r="FU456"/>
      <c r="FV456"/>
      <c r="FW456"/>
      <c r="FX456"/>
      <c r="FY456"/>
      <c r="FZ456"/>
      <c r="GA456"/>
      <c r="GB456"/>
      <c r="GC456"/>
      <c r="GD456"/>
    </row>
    <row r="457" spans="4:186" ht="18" x14ac:dyDescent="0.2">
      <c r="D457" s="18" t="str">
        <f>$D$1</f>
        <v>Type 'Heading' Here</v>
      </c>
      <c r="AG457"/>
      <c r="AH457"/>
      <c r="AJ457"/>
      <c r="AK457"/>
      <c r="AL457"/>
      <c r="AM457"/>
      <c r="AO457"/>
      <c r="AP457"/>
      <c r="AQ457"/>
      <c r="AR457"/>
      <c r="AS457"/>
      <c r="AT457"/>
      <c r="AU457"/>
      <c r="AV457"/>
      <c r="AW457"/>
      <c r="AX457"/>
      <c r="AY457"/>
      <c r="AZ457"/>
      <c r="BA457"/>
      <c r="BB457"/>
      <c r="BC457"/>
      <c r="BD457"/>
      <c r="BE457"/>
      <c r="BF457"/>
      <c r="BH457"/>
      <c r="BI457"/>
      <c r="BJ457"/>
      <c r="BK457"/>
      <c r="BL457"/>
      <c r="BM457"/>
      <c r="BN457"/>
      <c r="BP457"/>
      <c r="BQ457"/>
      <c r="BR457"/>
      <c r="BS457"/>
      <c r="BT457"/>
      <c r="BU457"/>
      <c r="BV457"/>
      <c r="BW457"/>
      <c r="BZ457"/>
      <c r="CA457"/>
      <c r="CB457"/>
      <c r="CC457"/>
      <c r="CD457"/>
      <c r="CF457"/>
      <c r="CG457"/>
      <c r="CH457"/>
      <c r="CI457"/>
      <c r="CJ457"/>
      <c r="CK457"/>
      <c r="CL457"/>
      <c r="CM457"/>
      <c r="CN457"/>
      <c r="CO457"/>
      <c r="CP457"/>
      <c r="CQ457"/>
      <c r="CR457"/>
      <c r="CS457"/>
      <c r="CT457"/>
      <c r="CU457"/>
      <c r="CV457"/>
      <c r="CW457"/>
      <c r="CX457"/>
      <c r="CY457"/>
      <c r="CZ457"/>
      <c r="DA457"/>
      <c r="DB457"/>
      <c r="DC457"/>
      <c r="DD457"/>
      <c r="DE457"/>
      <c r="DG457"/>
      <c r="DH457"/>
      <c r="DI457"/>
      <c r="DJ457"/>
      <c r="DK457"/>
      <c r="DL457"/>
      <c r="DM457"/>
      <c r="DN457"/>
      <c r="DO457"/>
      <c r="DP457"/>
      <c r="DQ457"/>
      <c r="DR457"/>
      <c r="DS457"/>
      <c r="DT457"/>
      <c r="DU457"/>
      <c r="DV457"/>
      <c r="DW457"/>
      <c r="DZ457"/>
      <c r="EA457"/>
      <c r="EB457"/>
      <c r="EC457"/>
      <c r="ED457"/>
      <c r="EE457"/>
      <c r="EF457"/>
      <c r="EG457"/>
      <c r="EJ457"/>
      <c r="EK457"/>
      <c r="EL457"/>
      <c r="EM457"/>
      <c r="EN457"/>
      <c r="EO457"/>
      <c r="EP457"/>
      <c r="EQ457"/>
      <c r="ER457"/>
      <c r="ES457"/>
      <c r="ET457"/>
      <c r="EU457"/>
      <c r="EV457"/>
      <c r="EW457"/>
      <c r="EX457"/>
      <c r="EY457"/>
      <c r="EZ457"/>
      <c r="FA457"/>
      <c r="FB457"/>
      <c r="FC457"/>
      <c r="FD457"/>
      <c r="FE457"/>
      <c r="FF457"/>
      <c r="FG457"/>
      <c r="FH457"/>
      <c r="FK457"/>
      <c r="FL457"/>
      <c r="FM457"/>
      <c r="FN457"/>
      <c r="FO457"/>
      <c r="FP457"/>
      <c r="FQ457"/>
      <c r="FR457"/>
      <c r="FS457"/>
      <c r="FT457"/>
      <c r="FU457"/>
      <c r="FV457"/>
      <c r="FW457"/>
      <c r="FX457"/>
      <c r="FY457"/>
      <c r="FZ457"/>
      <c r="GA457"/>
      <c r="GB457"/>
      <c r="GC457"/>
      <c r="GD457"/>
    </row>
    <row r="458" spans="4:186" x14ac:dyDescent="0.15">
      <c r="D458" s="23" t="s">
        <v>153</v>
      </c>
      <c r="AG458"/>
      <c r="AH458"/>
      <c r="AJ458"/>
      <c r="AK458"/>
      <c r="AL458"/>
      <c r="AM458"/>
      <c r="AO458"/>
      <c r="AP458"/>
      <c r="AQ458"/>
      <c r="AR458"/>
      <c r="AS458"/>
      <c r="AT458"/>
      <c r="AU458"/>
      <c r="AV458"/>
      <c r="AW458"/>
      <c r="AX458"/>
      <c r="AY458"/>
      <c r="AZ458"/>
      <c r="BA458"/>
      <c r="BB458"/>
      <c r="BC458"/>
      <c r="BD458"/>
      <c r="BE458"/>
      <c r="BF458"/>
      <c r="BH458"/>
      <c r="BI458"/>
      <c r="BJ458"/>
      <c r="BK458"/>
      <c r="BL458"/>
      <c r="BM458"/>
      <c r="BN458"/>
      <c r="BP458"/>
      <c r="BQ458"/>
      <c r="BR458"/>
      <c r="BS458"/>
      <c r="BT458"/>
      <c r="BU458"/>
      <c r="BV458"/>
      <c r="BW458"/>
      <c r="BZ458"/>
      <c r="CA458"/>
      <c r="CB458"/>
      <c r="CC458"/>
      <c r="CD458"/>
      <c r="CF458"/>
      <c r="CG458"/>
      <c r="CH458"/>
      <c r="CI458"/>
      <c r="CJ458"/>
      <c r="CK458"/>
      <c r="CL458"/>
      <c r="CM458"/>
      <c r="CN458"/>
      <c r="CO458"/>
      <c r="CP458"/>
      <c r="CQ458"/>
      <c r="CR458"/>
      <c r="CS458"/>
      <c r="CT458"/>
      <c r="CU458"/>
      <c r="CV458"/>
      <c r="CW458"/>
      <c r="CX458"/>
      <c r="CY458"/>
      <c r="CZ458"/>
      <c r="DA458"/>
      <c r="DB458"/>
      <c r="DC458"/>
      <c r="DD458"/>
      <c r="DE458"/>
      <c r="DG458"/>
      <c r="DH458"/>
      <c r="DI458"/>
      <c r="DJ458"/>
      <c r="DK458"/>
      <c r="DL458"/>
      <c r="DM458"/>
      <c r="DN458"/>
      <c r="DO458"/>
      <c r="DP458"/>
      <c r="DQ458"/>
      <c r="DR458"/>
      <c r="DS458"/>
      <c r="DT458"/>
      <c r="DU458"/>
      <c r="DV458"/>
      <c r="DW458"/>
      <c r="DZ458"/>
      <c r="EA458"/>
      <c r="EB458"/>
      <c r="EC458"/>
      <c r="ED458"/>
      <c r="EE458"/>
      <c r="EF458"/>
      <c r="EG458"/>
      <c r="EJ458"/>
      <c r="EK458"/>
      <c r="EL458"/>
      <c r="EM458"/>
      <c r="EN458"/>
      <c r="EO458"/>
      <c r="EP458"/>
      <c r="EQ458"/>
      <c r="ER458"/>
      <c r="ES458"/>
      <c r="ET458"/>
      <c r="EU458"/>
      <c r="EV458"/>
      <c r="EW458"/>
      <c r="EX458"/>
      <c r="EY458"/>
      <c r="EZ458"/>
      <c r="FA458"/>
      <c r="FB458"/>
      <c r="FC458"/>
      <c r="FD458"/>
      <c r="FE458"/>
      <c r="FF458"/>
      <c r="FG458"/>
      <c r="FH458"/>
      <c r="FK458"/>
      <c r="FL458"/>
      <c r="FM458"/>
      <c r="FN458"/>
      <c r="FO458"/>
      <c r="FP458"/>
      <c r="FQ458"/>
      <c r="FR458"/>
      <c r="FS458"/>
      <c r="FT458"/>
      <c r="FU458"/>
      <c r="FV458"/>
      <c r="FW458"/>
      <c r="FX458"/>
      <c r="FY458"/>
      <c r="FZ458"/>
      <c r="GA458"/>
      <c r="GB458"/>
      <c r="GC458"/>
      <c r="GD458"/>
    </row>
    <row r="459" spans="4:186" x14ac:dyDescent="0.15">
      <c r="AG459"/>
      <c r="AH459"/>
      <c r="AJ459"/>
      <c r="AK459"/>
      <c r="AL459"/>
      <c r="AM459"/>
      <c r="AO459"/>
      <c r="AP459"/>
      <c r="AQ459"/>
      <c r="AR459"/>
      <c r="AS459"/>
      <c r="AT459"/>
      <c r="AU459"/>
      <c r="AV459"/>
      <c r="AW459"/>
      <c r="AX459"/>
      <c r="AY459"/>
      <c r="AZ459"/>
      <c r="BA459"/>
      <c r="BB459"/>
      <c r="BC459"/>
      <c r="BD459"/>
      <c r="BE459"/>
      <c r="BF459"/>
      <c r="BH459"/>
      <c r="BI459"/>
      <c r="BJ459"/>
      <c r="BK459"/>
      <c r="BL459"/>
      <c r="BM459"/>
      <c r="BN459"/>
      <c r="BP459"/>
      <c r="BQ459"/>
      <c r="BR459"/>
      <c r="BS459"/>
      <c r="BT459"/>
      <c r="BU459"/>
      <c r="BV459"/>
      <c r="BW459"/>
      <c r="BZ459"/>
      <c r="CA459"/>
      <c r="CB459"/>
      <c r="CC459"/>
      <c r="CD459"/>
      <c r="CF459"/>
      <c r="CG459"/>
      <c r="CH459"/>
      <c r="CI459"/>
      <c r="CJ459"/>
      <c r="CK459"/>
      <c r="CL459"/>
      <c r="CM459"/>
      <c r="CN459"/>
      <c r="CO459"/>
      <c r="CP459"/>
      <c r="CQ459"/>
      <c r="CR459"/>
      <c r="CS459"/>
      <c r="CT459"/>
      <c r="CU459"/>
      <c r="CV459"/>
      <c r="CW459"/>
      <c r="CX459"/>
      <c r="CY459"/>
      <c r="CZ459"/>
      <c r="DA459"/>
      <c r="DB459"/>
      <c r="DC459"/>
      <c r="DD459"/>
      <c r="DE459"/>
      <c r="DG459"/>
      <c r="DH459"/>
      <c r="DI459"/>
      <c r="DJ459"/>
      <c r="DK459"/>
      <c r="DL459"/>
      <c r="DM459"/>
      <c r="DN459"/>
      <c r="DO459"/>
      <c r="DP459"/>
      <c r="DQ459"/>
      <c r="DR459"/>
      <c r="DS459"/>
      <c r="DT459"/>
      <c r="DU459"/>
      <c r="DV459"/>
      <c r="DW459"/>
      <c r="DZ459"/>
      <c r="EA459"/>
      <c r="EB459"/>
      <c r="EC459"/>
      <c r="ED459"/>
      <c r="EE459"/>
      <c r="EF459"/>
      <c r="EG459"/>
      <c r="EJ459"/>
      <c r="EK459"/>
      <c r="EL459"/>
      <c r="EM459"/>
      <c r="EN459"/>
      <c r="EO459"/>
      <c r="EP459"/>
      <c r="EQ459"/>
      <c r="ER459"/>
      <c r="ES459"/>
      <c r="ET459"/>
      <c r="EU459"/>
      <c r="EV459"/>
      <c r="EW459"/>
      <c r="EX459"/>
      <c r="EY459"/>
      <c r="EZ459"/>
      <c r="FA459"/>
      <c r="FB459"/>
      <c r="FC459"/>
      <c r="FD459"/>
      <c r="FE459"/>
      <c r="FF459"/>
      <c r="FG459"/>
      <c r="FH459"/>
      <c r="FK459"/>
      <c r="FL459"/>
      <c r="FM459"/>
      <c r="FN459"/>
      <c r="FO459"/>
      <c r="FP459"/>
      <c r="FQ459"/>
      <c r="FR459"/>
      <c r="FS459"/>
      <c r="FT459"/>
      <c r="FU459"/>
      <c r="FV459"/>
      <c r="FW459"/>
      <c r="FX459"/>
      <c r="FY459"/>
      <c r="FZ459"/>
      <c r="GA459"/>
      <c r="GB459"/>
      <c r="GC459"/>
      <c r="GD459"/>
    </row>
    <row r="460" spans="4:186" x14ac:dyDescent="0.15">
      <c r="AG460"/>
      <c r="AH460"/>
      <c r="AJ460"/>
      <c r="AK460"/>
      <c r="AL460"/>
      <c r="AM460"/>
      <c r="AO460"/>
      <c r="AP460"/>
      <c r="AQ460"/>
      <c r="AR460"/>
      <c r="AS460"/>
      <c r="AT460"/>
      <c r="AU460"/>
      <c r="AV460"/>
      <c r="AW460"/>
      <c r="AX460"/>
      <c r="AY460"/>
      <c r="AZ460"/>
      <c r="BA460"/>
      <c r="BB460"/>
      <c r="BC460"/>
      <c r="BD460"/>
      <c r="BE460"/>
      <c r="BF460"/>
      <c r="BH460"/>
      <c r="BI460"/>
      <c r="BJ460"/>
      <c r="BK460"/>
      <c r="BL460"/>
      <c r="BM460"/>
      <c r="BN460"/>
      <c r="BP460"/>
      <c r="BQ460"/>
      <c r="BR460"/>
      <c r="BS460"/>
      <c r="BT460"/>
      <c r="BU460"/>
      <c r="BV460"/>
      <c r="BW460"/>
      <c r="BZ460"/>
      <c r="CA460"/>
      <c r="CB460"/>
      <c r="CC460"/>
      <c r="CD460"/>
      <c r="CF460"/>
      <c r="CG460"/>
      <c r="CH460"/>
      <c r="CI460"/>
      <c r="CJ460"/>
      <c r="CK460"/>
      <c r="CL460"/>
      <c r="CM460"/>
      <c r="CN460"/>
      <c r="CO460"/>
      <c r="CP460"/>
      <c r="CQ460"/>
      <c r="CR460"/>
      <c r="CS460"/>
      <c r="CT460"/>
      <c r="CU460"/>
      <c r="CV460"/>
      <c r="CW460"/>
      <c r="CX460"/>
      <c r="CY460"/>
      <c r="CZ460"/>
      <c r="DA460"/>
      <c r="DB460"/>
      <c r="DC460"/>
      <c r="DD460"/>
      <c r="DE460"/>
      <c r="DG460"/>
      <c r="DH460"/>
      <c r="DI460"/>
      <c r="DJ460"/>
      <c r="DK460"/>
      <c r="DL460"/>
      <c r="DM460"/>
      <c r="DN460"/>
      <c r="DO460"/>
      <c r="DP460"/>
      <c r="DQ460"/>
      <c r="DR460"/>
      <c r="DS460"/>
      <c r="DT460"/>
      <c r="DU460"/>
      <c r="DV460"/>
      <c r="DW460"/>
      <c r="DZ460"/>
      <c r="EA460"/>
      <c r="EB460"/>
      <c r="EC460"/>
      <c r="ED460"/>
      <c r="EE460"/>
      <c r="EF460"/>
      <c r="EG460"/>
      <c r="EJ460"/>
      <c r="EK460"/>
      <c r="EL460"/>
      <c r="EM460"/>
      <c r="EN460"/>
      <c r="EO460"/>
      <c r="EP460"/>
      <c r="EQ460"/>
      <c r="ER460"/>
      <c r="ES460"/>
      <c r="ET460"/>
      <c r="EU460"/>
      <c r="EV460"/>
      <c r="EW460"/>
      <c r="EX460"/>
      <c r="EY460"/>
      <c r="EZ460"/>
      <c r="FA460"/>
      <c r="FB460"/>
      <c r="FC460"/>
      <c r="FD460"/>
      <c r="FE460"/>
      <c r="FF460"/>
      <c r="FG460"/>
      <c r="FH460"/>
      <c r="FK460"/>
      <c r="FL460"/>
      <c r="FM460"/>
      <c r="FN460"/>
      <c r="FO460"/>
      <c r="FP460"/>
      <c r="FQ460"/>
      <c r="FR460"/>
      <c r="FS460"/>
      <c r="FT460"/>
      <c r="FU460"/>
      <c r="FV460"/>
      <c r="FW460"/>
      <c r="FX460"/>
      <c r="FY460"/>
      <c r="FZ460"/>
      <c r="GA460"/>
      <c r="GB460"/>
      <c r="GC460"/>
      <c r="GD460"/>
    </row>
    <row r="461" spans="4:186" x14ac:dyDescent="0.15">
      <c r="AG461"/>
      <c r="AH461"/>
      <c r="AJ461"/>
      <c r="AK461"/>
      <c r="AL461"/>
      <c r="AM461"/>
      <c r="AO461"/>
      <c r="AP461"/>
      <c r="AQ461"/>
      <c r="AR461"/>
      <c r="AS461"/>
      <c r="AT461"/>
      <c r="AU461"/>
      <c r="AV461"/>
      <c r="AW461"/>
      <c r="AX461"/>
      <c r="AY461"/>
      <c r="AZ461"/>
      <c r="BA461"/>
      <c r="BB461"/>
      <c r="BC461"/>
      <c r="BD461"/>
      <c r="BE461"/>
      <c r="BF461"/>
      <c r="BH461"/>
      <c r="BI461"/>
      <c r="BJ461"/>
      <c r="BK461"/>
      <c r="BL461"/>
      <c r="BM461"/>
      <c r="BN461"/>
      <c r="BP461"/>
      <c r="BQ461"/>
      <c r="BR461"/>
      <c r="BS461"/>
      <c r="BT461"/>
      <c r="BU461"/>
      <c r="BV461"/>
      <c r="BW461"/>
      <c r="BZ461"/>
      <c r="CA461"/>
      <c r="CB461"/>
      <c r="CC461"/>
      <c r="CD461"/>
      <c r="CF461"/>
      <c r="CG461"/>
      <c r="CH461"/>
      <c r="CI461"/>
      <c r="CJ461"/>
      <c r="CK461"/>
      <c r="CL461"/>
      <c r="CM461"/>
      <c r="CN461"/>
      <c r="CO461"/>
      <c r="CP461"/>
      <c r="CQ461"/>
      <c r="CR461"/>
      <c r="CS461"/>
      <c r="CT461"/>
      <c r="CU461"/>
      <c r="CV461"/>
      <c r="CW461"/>
      <c r="CX461"/>
      <c r="CY461"/>
      <c r="CZ461"/>
      <c r="DA461"/>
      <c r="DB461"/>
      <c r="DC461"/>
      <c r="DD461"/>
      <c r="DE461"/>
      <c r="DG461"/>
      <c r="DH461"/>
      <c r="DI461"/>
      <c r="DJ461"/>
      <c r="DK461"/>
      <c r="DL461"/>
      <c r="DM461"/>
      <c r="DN461"/>
      <c r="DO461"/>
      <c r="DP461"/>
      <c r="DQ461"/>
      <c r="DR461"/>
      <c r="DS461"/>
      <c r="DT461"/>
      <c r="DU461"/>
      <c r="DV461"/>
      <c r="DW461"/>
      <c r="DZ461"/>
      <c r="EA461"/>
      <c r="EB461"/>
      <c r="EC461"/>
      <c r="ED461"/>
      <c r="EE461"/>
      <c r="EF461"/>
      <c r="EG461"/>
      <c r="EJ461"/>
      <c r="EK461"/>
      <c r="EL461"/>
      <c r="EM461"/>
      <c r="EN461"/>
      <c r="EO461"/>
      <c r="EP461"/>
      <c r="EQ461"/>
      <c r="ER461"/>
      <c r="ES461"/>
      <c r="ET461"/>
      <c r="EU461"/>
      <c r="EV461"/>
      <c r="EW461"/>
      <c r="EX461"/>
      <c r="EY461"/>
      <c r="EZ461"/>
      <c r="FA461"/>
      <c r="FB461"/>
      <c r="FC461"/>
      <c r="FD461"/>
      <c r="FE461"/>
      <c r="FF461"/>
      <c r="FG461"/>
      <c r="FH461"/>
      <c r="FK461"/>
      <c r="FL461"/>
      <c r="FM461"/>
      <c r="FN461"/>
      <c r="FO461"/>
      <c r="FP461"/>
      <c r="FQ461"/>
      <c r="FR461"/>
      <c r="FS461"/>
      <c r="FT461"/>
      <c r="FU461"/>
      <c r="FV461"/>
      <c r="FW461"/>
      <c r="FX461"/>
      <c r="FY461"/>
      <c r="FZ461"/>
      <c r="GA461"/>
      <c r="GB461"/>
      <c r="GC461"/>
      <c r="GD461"/>
    </row>
    <row r="462" spans="4:186" x14ac:dyDescent="0.15">
      <c r="AG462"/>
      <c r="AH462"/>
      <c r="AJ462"/>
      <c r="AK462"/>
      <c r="AL462"/>
      <c r="AM462"/>
      <c r="AO462"/>
      <c r="AP462"/>
      <c r="AQ462"/>
      <c r="AR462"/>
      <c r="AS462"/>
      <c r="AT462"/>
      <c r="AU462"/>
      <c r="AV462"/>
      <c r="AW462"/>
      <c r="AX462"/>
      <c r="AY462"/>
      <c r="AZ462"/>
      <c r="BA462"/>
      <c r="BB462"/>
      <c r="BC462"/>
      <c r="BD462"/>
      <c r="BE462"/>
      <c r="BF462"/>
      <c r="BH462"/>
      <c r="BI462"/>
      <c r="BJ462"/>
      <c r="BK462"/>
      <c r="BL462"/>
      <c r="BM462"/>
      <c r="BN462"/>
      <c r="BP462"/>
      <c r="BQ462"/>
      <c r="BR462"/>
      <c r="BS462"/>
      <c r="BT462"/>
      <c r="BU462"/>
      <c r="BV462"/>
      <c r="BW462"/>
      <c r="BZ462"/>
      <c r="CA462"/>
      <c r="CB462"/>
      <c r="CC462"/>
      <c r="CD462"/>
      <c r="CF462"/>
      <c r="CG462"/>
      <c r="CH462"/>
      <c r="CI462"/>
      <c r="CJ462"/>
      <c r="CK462"/>
      <c r="CL462"/>
      <c r="CM462"/>
      <c r="CN462"/>
      <c r="CO462"/>
      <c r="CP462"/>
      <c r="CQ462"/>
      <c r="CR462"/>
      <c r="CS462"/>
      <c r="CT462"/>
      <c r="CU462"/>
      <c r="CV462"/>
      <c r="CW462"/>
      <c r="CX462"/>
      <c r="CY462"/>
      <c r="CZ462"/>
      <c r="DA462"/>
      <c r="DB462"/>
      <c r="DC462"/>
      <c r="DD462"/>
      <c r="DE462"/>
      <c r="DG462"/>
      <c r="DH462"/>
      <c r="DI462"/>
      <c r="DJ462"/>
      <c r="DK462"/>
      <c r="DL462"/>
      <c r="DM462"/>
      <c r="DN462"/>
      <c r="DO462"/>
      <c r="DP462"/>
      <c r="DQ462"/>
      <c r="DR462"/>
      <c r="DS462"/>
      <c r="DT462"/>
      <c r="DU462"/>
      <c r="DV462"/>
      <c r="DW462"/>
      <c r="DZ462"/>
      <c r="EA462"/>
      <c r="EB462"/>
      <c r="EC462"/>
      <c r="ED462"/>
      <c r="EE462"/>
      <c r="EF462"/>
      <c r="EG462"/>
      <c r="EJ462"/>
      <c r="EK462"/>
      <c r="EL462"/>
      <c r="EM462"/>
      <c r="EN462"/>
      <c r="EO462"/>
      <c r="EP462"/>
      <c r="EQ462"/>
      <c r="ER462"/>
      <c r="ES462"/>
      <c r="ET462"/>
      <c r="EU462"/>
      <c r="EV462"/>
      <c r="EW462"/>
      <c r="EX462"/>
      <c r="EY462"/>
      <c r="EZ462"/>
      <c r="FA462"/>
      <c r="FB462"/>
      <c r="FC462"/>
      <c r="FD462"/>
      <c r="FE462"/>
      <c r="FF462"/>
      <c r="FG462"/>
      <c r="FH462"/>
      <c r="FK462"/>
      <c r="FL462"/>
      <c r="FM462"/>
      <c r="FN462"/>
      <c r="FO462"/>
      <c r="FP462"/>
      <c r="FQ462"/>
      <c r="FR462"/>
      <c r="FS462"/>
      <c r="FT462"/>
      <c r="FU462"/>
      <c r="FV462"/>
      <c r="FW462"/>
      <c r="FX462"/>
      <c r="FY462"/>
      <c r="FZ462"/>
      <c r="GA462"/>
      <c r="GB462"/>
      <c r="GC462"/>
      <c r="GD462"/>
    </row>
    <row r="463" spans="4:186" x14ac:dyDescent="0.15">
      <c r="AG463"/>
      <c r="AH463"/>
      <c r="AJ463"/>
      <c r="AK463"/>
      <c r="AL463"/>
      <c r="AM463"/>
      <c r="AO463"/>
      <c r="AP463"/>
      <c r="AQ463"/>
      <c r="AR463"/>
      <c r="AS463"/>
      <c r="AT463"/>
      <c r="AU463"/>
      <c r="AV463"/>
      <c r="AW463"/>
      <c r="AX463"/>
      <c r="AY463"/>
      <c r="AZ463"/>
      <c r="BA463"/>
      <c r="BB463"/>
      <c r="BC463"/>
      <c r="BD463"/>
      <c r="BE463"/>
      <c r="BF463"/>
      <c r="BH463"/>
      <c r="BI463"/>
      <c r="BJ463"/>
      <c r="BK463"/>
      <c r="BL463"/>
      <c r="BM463"/>
      <c r="BN463"/>
      <c r="BP463"/>
      <c r="BQ463"/>
      <c r="BR463"/>
      <c r="BS463"/>
      <c r="BT463"/>
      <c r="BU463"/>
      <c r="BV463"/>
      <c r="BW463"/>
      <c r="BZ463"/>
      <c r="CA463"/>
      <c r="CB463"/>
      <c r="CC463"/>
      <c r="CD463"/>
      <c r="CF463"/>
      <c r="CG463"/>
      <c r="CH463"/>
      <c r="CI463"/>
      <c r="CJ463"/>
      <c r="CK463"/>
      <c r="CL463"/>
      <c r="CM463"/>
      <c r="CN463"/>
      <c r="CO463"/>
      <c r="CP463"/>
      <c r="CQ463"/>
      <c r="CR463"/>
      <c r="CS463"/>
      <c r="CT463"/>
      <c r="CU463"/>
      <c r="CV463"/>
      <c r="CW463"/>
      <c r="CX463"/>
      <c r="CY463"/>
      <c r="CZ463"/>
      <c r="DA463"/>
      <c r="DB463"/>
      <c r="DC463"/>
      <c r="DD463"/>
      <c r="DE463"/>
      <c r="DG463"/>
      <c r="DH463"/>
      <c r="DI463"/>
      <c r="DJ463"/>
      <c r="DK463"/>
      <c r="DL463"/>
      <c r="DM463"/>
      <c r="DN463"/>
      <c r="DO463"/>
      <c r="DP463"/>
      <c r="DQ463"/>
      <c r="DR463"/>
      <c r="DS463"/>
      <c r="DT463"/>
      <c r="DU463"/>
      <c r="DV463"/>
      <c r="DW463"/>
      <c r="DZ463"/>
      <c r="EA463"/>
      <c r="EB463"/>
      <c r="EC463"/>
      <c r="ED463"/>
      <c r="EE463"/>
      <c r="EF463"/>
      <c r="EG463"/>
      <c r="EJ463"/>
      <c r="EK463"/>
      <c r="EL463"/>
      <c r="EM463"/>
      <c r="EN463"/>
      <c r="EO463"/>
      <c r="EP463"/>
      <c r="EQ463"/>
      <c r="ER463"/>
      <c r="ES463"/>
      <c r="ET463"/>
      <c r="EU463"/>
      <c r="EV463"/>
      <c r="EW463"/>
      <c r="EX463"/>
      <c r="EY463"/>
      <c r="EZ463"/>
      <c r="FA463"/>
      <c r="FB463"/>
      <c r="FC463"/>
      <c r="FD463"/>
      <c r="FE463"/>
      <c r="FF463"/>
      <c r="FG463"/>
      <c r="FH463"/>
      <c r="FK463"/>
      <c r="FL463"/>
      <c r="FM463"/>
      <c r="FN463"/>
      <c r="FO463"/>
      <c r="FP463"/>
      <c r="FQ463"/>
      <c r="FR463"/>
      <c r="FS463"/>
      <c r="FT463"/>
      <c r="FU463"/>
      <c r="FV463"/>
      <c r="FW463"/>
      <c r="FX463"/>
      <c r="FY463"/>
      <c r="FZ463"/>
      <c r="GA463"/>
      <c r="GB463"/>
      <c r="GC463"/>
      <c r="GD463"/>
    </row>
    <row r="464" spans="4:186" x14ac:dyDescent="0.15">
      <c r="AG464"/>
      <c r="AH464"/>
      <c r="AJ464"/>
      <c r="AK464"/>
      <c r="AL464"/>
      <c r="AM464"/>
      <c r="AO464"/>
      <c r="AP464"/>
      <c r="AQ464"/>
      <c r="AR464"/>
      <c r="AS464"/>
      <c r="AT464"/>
      <c r="AU464"/>
      <c r="AV464"/>
      <c r="AW464"/>
      <c r="AX464"/>
      <c r="AY464"/>
      <c r="AZ464"/>
      <c r="BA464"/>
      <c r="BB464"/>
      <c r="BC464"/>
      <c r="BD464"/>
      <c r="BE464"/>
      <c r="BF464"/>
      <c r="BH464"/>
      <c r="BI464"/>
      <c r="BJ464"/>
      <c r="BK464"/>
      <c r="BL464"/>
      <c r="BM464"/>
      <c r="BN464"/>
      <c r="BP464"/>
      <c r="BQ464"/>
      <c r="BR464"/>
      <c r="BS464"/>
      <c r="BT464"/>
      <c r="BU464"/>
      <c r="BV464"/>
      <c r="BW464"/>
      <c r="BZ464"/>
      <c r="CA464"/>
      <c r="CB464"/>
      <c r="CC464"/>
      <c r="CD464"/>
      <c r="CF464"/>
      <c r="CG464"/>
      <c r="CH464"/>
      <c r="CI464"/>
      <c r="CJ464"/>
      <c r="CK464"/>
      <c r="CL464"/>
      <c r="CM464"/>
      <c r="CN464"/>
      <c r="CO464"/>
      <c r="CP464"/>
      <c r="CQ464"/>
      <c r="CR464"/>
      <c r="CS464"/>
      <c r="CT464"/>
      <c r="CU464"/>
      <c r="CV464"/>
      <c r="CW464"/>
      <c r="CX464"/>
      <c r="CY464"/>
      <c r="CZ464"/>
      <c r="DA464"/>
      <c r="DB464"/>
      <c r="DC464"/>
      <c r="DD464"/>
      <c r="DE464"/>
      <c r="DG464"/>
      <c r="DH464"/>
      <c r="DI464"/>
      <c r="DJ464"/>
      <c r="DK464"/>
      <c r="DL464"/>
      <c r="DM464"/>
      <c r="DN464"/>
      <c r="DO464"/>
      <c r="DP464"/>
      <c r="DQ464"/>
      <c r="DR464"/>
      <c r="DS464"/>
      <c r="DT464"/>
      <c r="DU464"/>
      <c r="DV464"/>
      <c r="DW464"/>
      <c r="DZ464"/>
      <c r="EA464"/>
      <c r="EB464"/>
      <c r="EC464"/>
      <c r="ED464"/>
      <c r="EE464"/>
      <c r="EF464"/>
      <c r="EG464"/>
      <c r="EJ464"/>
      <c r="EK464"/>
      <c r="EL464"/>
      <c r="EM464"/>
      <c r="EN464"/>
      <c r="EO464"/>
      <c r="EP464"/>
      <c r="EQ464"/>
      <c r="ER464"/>
      <c r="ES464"/>
      <c r="ET464"/>
      <c r="EU464"/>
      <c r="EV464"/>
      <c r="EW464"/>
      <c r="EX464"/>
      <c r="EY464"/>
      <c r="EZ464"/>
      <c r="FA464"/>
      <c r="FB464"/>
      <c r="FC464"/>
      <c r="FD464"/>
      <c r="FE464"/>
      <c r="FF464"/>
      <c r="FG464"/>
      <c r="FH464"/>
      <c r="FK464"/>
      <c r="FL464"/>
      <c r="FM464"/>
      <c r="FN464"/>
      <c r="FO464"/>
      <c r="FP464"/>
      <c r="FQ464"/>
      <c r="FR464"/>
      <c r="FS464"/>
      <c r="FT464"/>
      <c r="FU464"/>
      <c r="FV464"/>
      <c r="FW464"/>
      <c r="FX464"/>
      <c r="FY464"/>
      <c r="FZ464"/>
      <c r="GA464"/>
      <c r="GB464"/>
      <c r="GC464"/>
      <c r="GD464"/>
    </row>
    <row r="465" spans="27:186" x14ac:dyDescent="0.15">
      <c r="AG465"/>
      <c r="AH465"/>
      <c r="AJ465"/>
      <c r="AK465"/>
      <c r="AL465"/>
      <c r="AM465"/>
      <c r="AO465"/>
      <c r="AP465"/>
      <c r="AQ465"/>
      <c r="AR465"/>
      <c r="AS465"/>
      <c r="AT465"/>
      <c r="AU465"/>
      <c r="AV465"/>
      <c r="AW465"/>
      <c r="AX465"/>
      <c r="AY465"/>
      <c r="AZ465"/>
      <c r="BA465"/>
      <c r="BB465"/>
      <c r="BC465"/>
      <c r="BD465"/>
      <c r="BE465"/>
      <c r="BF465"/>
      <c r="BH465"/>
      <c r="BI465"/>
      <c r="BJ465"/>
      <c r="BK465"/>
      <c r="BL465"/>
      <c r="BM465"/>
      <c r="BN465"/>
      <c r="BP465"/>
      <c r="BQ465"/>
      <c r="BR465"/>
      <c r="BS465"/>
      <c r="BT465"/>
      <c r="BU465"/>
      <c r="BV465"/>
      <c r="BW465"/>
      <c r="BZ465"/>
      <c r="CA465"/>
      <c r="CB465"/>
      <c r="CC465"/>
      <c r="CD465"/>
      <c r="CF465"/>
      <c r="CG465"/>
      <c r="CH465"/>
      <c r="CI465"/>
      <c r="CJ465"/>
      <c r="CK465"/>
      <c r="CL465"/>
      <c r="CM465"/>
      <c r="CN465"/>
      <c r="CO465"/>
      <c r="CP465"/>
      <c r="CQ465"/>
      <c r="CR465"/>
      <c r="CS465"/>
      <c r="CT465"/>
      <c r="CU465"/>
      <c r="CV465"/>
      <c r="CW465"/>
      <c r="CX465"/>
      <c r="CY465"/>
      <c r="CZ465"/>
      <c r="DA465"/>
      <c r="DB465"/>
      <c r="DC465"/>
      <c r="DD465"/>
      <c r="DE465"/>
      <c r="DG465"/>
      <c r="DH465"/>
      <c r="DI465"/>
      <c r="DJ465"/>
      <c r="DK465"/>
      <c r="DL465"/>
      <c r="DM465"/>
      <c r="DN465"/>
      <c r="DO465"/>
      <c r="DP465"/>
      <c r="DQ465"/>
      <c r="DR465"/>
      <c r="DS465"/>
      <c r="DT465"/>
      <c r="DU465"/>
      <c r="DV465"/>
      <c r="DW465"/>
      <c r="DZ465"/>
      <c r="EA465"/>
      <c r="EB465"/>
      <c r="EC465"/>
      <c r="ED465"/>
      <c r="EE465"/>
      <c r="EF465"/>
      <c r="EG465"/>
      <c r="EJ465"/>
      <c r="EK465"/>
      <c r="EL465"/>
      <c r="EM465"/>
      <c r="EN465"/>
      <c r="EO465"/>
      <c r="EP465"/>
      <c r="EQ465"/>
      <c r="ER465"/>
      <c r="ES465"/>
      <c r="ET465"/>
      <c r="EU465"/>
      <c r="EV465"/>
      <c r="EW465"/>
      <c r="EX465"/>
      <c r="EY465"/>
      <c r="EZ465"/>
      <c r="FA465"/>
      <c r="FB465"/>
      <c r="FC465"/>
      <c r="FD465"/>
      <c r="FE465"/>
      <c r="FF465"/>
      <c r="FG465"/>
      <c r="FH465"/>
      <c r="FK465"/>
      <c r="FL465"/>
      <c r="FM465"/>
      <c r="FN465"/>
      <c r="FO465"/>
      <c r="FP465"/>
      <c r="FQ465"/>
      <c r="FR465"/>
      <c r="FS465"/>
      <c r="FT465"/>
      <c r="FU465"/>
      <c r="FV465"/>
      <c r="FW465"/>
      <c r="FX465"/>
      <c r="FY465"/>
      <c r="FZ465"/>
      <c r="GA465"/>
      <c r="GB465"/>
      <c r="GC465"/>
      <c r="GD465"/>
    </row>
    <row r="466" spans="27:186" x14ac:dyDescent="0.15">
      <c r="AG466"/>
      <c r="AH466"/>
      <c r="AJ466"/>
      <c r="AK466"/>
      <c r="AL466"/>
      <c r="AM466"/>
      <c r="AO466"/>
      <c r="AP466"/>
      <c r="AQ466"/>
      <c r="AR466"/>
      <c r="AS466"/>
      <c r="AT466"/>
      <c r="AU466"/>
      <c r="AV466"/>
      <c r="AW466"/>
      <c r="AX466"/>
      <c r="AY466"/>
      <c r="AZ466"/>
      <c r="BA466"/>
      <c r="BB466"/>
      <c r="BC466"/>
      <c r="BD466"/>
      <c r="BE466"/>
      <c r="BF466"/>
      <c r="BH466"/>
      <c r="BI466"/>
      <c r="BJ466"/>
      <c r="BK466"/>
      <c r="BL466"/>
      <c r="BM466"/>
      <c r="BN466"/>
      <c r="BP466"/>
      <c r="BQ466"/>
      <c r="BR466"/>
      <c r="BS466"/>
      <c r="BT466"/>
      <c r="BU466"/>
      <c r="BV466"/>
      <c r="BW466"/>
      <c r="BZ466"/>
      <c r="CA466"/>
      <c r="CB466"/>
      <c r="CC466"/>
      <c r="CD466"/>
      <c r="CF466"/>
      <c r="CG466"/>
      <c r="CH466"/>
      <c r="CI466"/>
      <c r="CJ466"/>
      <c r="CK466"/>
      <c r="CL466"/>
      <c r="CM466"/>
      <c r="CN466"/>
      <c r="CO466"/>
      <c r="CP466"/>
      <c r="CQ466"/>
      <c r="CR466"/>
      <c r="CS466"/>
      <c r="CT466"/>
      <c r="CU466"/>
      <c r="CV466"/>
      <c r="CW466"/>
      <c r="CX466"/>
      <c r="CY466"/>
      <c r="CZ466"/>
      <c r="DA466"/>
      <c r="DB466"/>
      <c r="DC466"/>
      <c r="DD466"/>
      <c r="DE466"/>
      <c r="DG466"/>
      <c r="DH466"/>
      <c r="DI466"/>
      <c r="DJ466"/>
      <c r="DK466"/>
      <c r="DL466"/>
      <c r="DM466"/>
      <c r="DN466"/>
      <c r="DO466"/>
      <c r="DP466"/>
      <c r="DQ466"/>
      <c r="DR466"/>
      <c r="DS466"/>
      <c r="DT466"/>
      <c r="DU466"/>
      <c r="DV466"/>
      <c r="DW466"/>
      <c r="DZ466"/>
      <c r="EA466"/>
      <c r="EB466"/>
      <c r="EC466"/>
      <c r="ED466"/>
      <c r="EE466"/>
      <c r="EF466"/>
      <c r="EG466"/>
      <c r="EJ466"/>
      <c r="EK466"/>
      <c r="EL466"/>
      <c r="EM466"/>
      <c r="EN466"/>
      <c r="EO466"/>
      <c r="EP466"/>
      <c r="EQ466"/>
      <c r="ER466"/>
      <c r="ES466"/>
      <c r="ET466"/>
      <c r="EU466"/>
      <c r="EV466"/>
      <c r="EW466"/>
      <c r="EX466"/>
      <c r="EY466"/>
      <c r="EZ466"/>
      <c r="FA466"/>
      <c r="FB466"/>
      <c r="FC466"/>
      <c r="FD466"/>
      <c r="FE466"/>
      <c r="FF466"/>
      <c r="FG466"/>
      <c r="FH466"/>
      <c r="FK466"/>
      <c r="FL466"/>
      <c r="FM466"/>
      <c r="FN466"/>
      <c r="FO466"/>
      <c r="FP466"/>
      <c r="FQ466"/>
      <c r="FR466"/>
      <c r="FS466"/>
      <c r="FT466"/>
      <c r="FU466"/>
      <c r="FV466"/>
      <c r="FW466"/>
      <c r="FX466"/>
      <c r="FY466"/>
      <c r="FZ466"/>
      <c r="GA466"/>
      <c r="GB466"/>
      <c r="GC466"/>
      <c r="GD466"/>
    </row>
    <row r="467" spans="27:186" x14ac:dyDescent="0.15">
      <c r="AA467" s="7" t="s">
        <v>149</v>
      </c>
      <c r="AG467"/>
      <c r="AH467"/>
      <c r="AJ467"/>
      <c r="AK467"/>
      <c r="AL467"/>
      <c r="AM467"/>
      <c r="AO467"/>
      <c r="AP467"/>
      <c r="AQ467"/>
      <c r="AR467"/>
      <c r="AS467"/>
      <c r="AT467"/>
      <c r="AU467"/>
      <c r="AV467"/>
      <c r="AW467"/>
      <c r="AX467"/>
      <c r="AY467"/>
      <c r="AZ467"/>
      <c r="BA467"/>
      <c r="BB467"/>
      <c r="BC467"/>
      <c r="BD467"/>
      <c r="BE467"/>
      <c r="BF467"/>
      <c r="BH467"/>
      <c r="BI467"/>
      <c r="BJ467"/>
      <c r="BK467"/>
      <c r="BL467"/>
      <c r="BM467"/>
      <c r="BN467"/>
      <c r="BP467"/>
      <c r="BQ467"/>
      <c r="BR467"/>
      <c r="BS467"/>
      <c r="BT467"/>
      <c r="BU467"/>
      <c r="BV467"/>
      <c r="BW467"/>
      <c r="BZ467"/>
      <c r="CA467"/>
      <c r="CB467"/>
      <c r="CC467"/>
      <c r="CD467"/>
      <c r="CF467"/>
      <c r="CG467"/>
      <c r="CH467"/>
      <c r="CI467"/>
      <c r="CJ467"/>
      <c r="CK467"/>
      <c r="CL467"/>
      <c r="CM467"/>
      <c r="CN467"/>
      <c r="CO467"/>
      <c r="CP467"/>
      <c r="CQ467"/>
      <c r="CR467"/>
      <c r="CS467"/>
      <c r="CT467"/>
      <c r="CU467"/>
      <c r="CV467"/>
      <c r="CW467"/>
      <c r="CX467"/>
      <c r="CY467"/>
      <c r="CZ467"/>
      <c r="DA467"/>
      <c r="DB467"/>
      <c r="DC467"/>
      <c r="DD467"/>
      <c r="DE467"/>
      <c r="DG467"/>
      <c r="DH467"/>
      <c r="DI467"/>
      <c r="DJ467"/>
      <c r="DK467"/>
      <c r="DL467"/>
      <c r="DM467"/>
      <c r="DN467"/>
      <c r="DO467"/>
      <c r="DP467"/>
      <c r="DQ467"/>
      <c r="DR467"/>
      <c r="DS467"/>
      <c r="DT467"/>
      <c r="DU467"/>
      <c r="DV467"/>
      <c r="DW467"/>
      <c r="DZ467"/>
      <c r="EA467"/>
      <c r="EB467"/>
      <c r="EC467"/>
      <c r="ED467"/>
      <c r="EE467"/>
      <c r="EF467"/>
      <c r="EG467"/>
      <c r="EJ467"/>
      <c r="EK467"/>
      <c r="EL467"/>
      <c r="EM467"/>
      <c r="EN467"/>
      <c r="EO467"/>
      <c r="EP467"/>
      <c r="EQ467"/>
      <c r="ER467"/>
      <c r="ES467"/>
      <c r="ET467"/>
      <c r="EU467"/>
      <c r="EV467"/>
      <c r="EW467"/>
      <c r="EX467"/>
      <c r="EY467"/>
      <c r="EZ467"/>
      <c r="FA467"/>
      <c r="FB467"/>
      <c r="FC467"/>
      <c r="FD467"/>
      <c r="FE467"/>
      <c r="FF467"/>
      <c r="FG467"/>
      <c r="FH467"/>
      <c r="FK467"/>
      <c r="FL467"/>
      <c r="FM467"/>
      <c r="FN467"/>
      <c r="FO467"/>
      <c r="FP467"/>
      <c r="FQ467"/>
      <c r="FR467"/>
      <c r="FS467"/>
      <c r="FT467"/>
      <c r="FU467"/>
      <c r="FV467"/>
      <c r="FW467"/>
      <c r="FX467"/>
      <c r="FY467"/>
      <c r="FZ467"/>
      <c r="GA467"/>
      <c r="GB467"/>
      <c r="GC467"/>
      <c r="GD467"/>
    </row>
    <row r="468" spans="27:186" x14ac:dyDescent="0.15">
      <c r="AG468"/>
      <c r="AH468"/>
      <c r="AJ468"/>
      <c r="AK468"/>
      <c r="AL468"/>
      <c r="AM468"/>
      <c r="AO468"/>
      <c r="AP468"/>
      <c r="AQ468"/>
      <c r="AR468"/>
      <c r="AS468"/>
      <c r="AT468"/>
      <c r="AU468"/>
      <c r="AV468"/>
      <c r="AW468"/>
      <c r="AX468"/>
      <c r="AY468"/>
      <c r="AZ468"/>
      <c r="BA468"/>
      <c r="BB468"/>
      <c r="BC468"/>
      <c r="BD468"/>
      <c r="BE468"/>
      <c r="BF468"/>
      <c r="BH468"/>
      <c r="BI468"/>
      <c r="BJ468"/>
      <c r="BK468"/>
      <c r="BL468"/>
      <c r="BM468"/>
      <c r="BN468"/>
      <c r="BP468"/>
      <c r="BQ468"/>
      <c r="BR468"/>
      <c r="BS468"/>
      <c r="BT468"/>
      <c r="BU468"/>
      <c r="BV468"/>
      <c r="BW468"/>
      <c r="BZ468"/>
      <c r="CA468"/>
      <c r="CB468"/>
      <c r="CC468"/>
      <c r="CD468"/>
      <c r="CF468"/>
      <c r="CG468"/>
      <c r="CH468"/>
      <c r="CI468"/>
      <c r="CJ468"/>
      <c r="CK468"/>
      <c r="CL468"/>
      <c r="CM468"/>
      <c r="CN468"/>
      <c r="CO468"/>
      <c r="CP468"/>
      <c r="CQ468"/>
      <c r="CR468"/>
      <c r="CS468"/>
      <c r="CT468"/>
      <c r="CU468"/>
      <c r="CV468"/>
      <c r="CW468"/>
      <c r="CX468"/>
      <c r="CY468"/>
      <c r="CZ468"/>
      <c r="DA468"/>
      <c r="DB468"/>
      <c r="DC468"/>
      <c r="DD468"/>
      <c r="DE468"/>
      <c r="DG468"/>
      <c r="DH468"/>
      <c r="DI468"/>
      <c r="DJ468"/>
      <c r="DK468"/>
      <c r="DL468"/>
      <c r="DM468"/>
      <c r="DN468"/>
      <c r="DO468"/>
      <c r="DP468"/>
      <c r="DQ468"/>
      <c r="DR468"/>
      <c r="DS468"/>
      <c r="DT468"/>
      <c r="DU468"/>
      <c r="DV468"/>
      <c r="DW468"/>
      <c r="DZ468"/>
      <c r="EA468"/>
      <c r="EB468"/>
      <c r="EC468"/>
      <c r="ED468"/>
      <c r="EE468"/>
      <c r="EF468"/>
      <c r="EG468"/>
      <c r="EJ468"/>
      <c r="EK468"/>
      <c r="EL468"/>
      <c r="EM468"/>
      <c r="EN468"/>
      <c r="EO468"/>
      <c r="EP468"/>
      <c r="EQ468"/>
      <c r="ER468"/>
      <c r="ES468"/>
      <c r="ET468"/>
      <c r="EU468"/>
      <c r="EV468"/>
      <c r="EW468"/>
      <c r="EX468"/>
      <c r="EY468"/>
      <c r="EZ468"/>
      <c r="FA468"/>
      <c r="FB468"/>
      <c r="FC468"/>
      <c r="FD468"/>
      <c r="FE468"/>
      <c r="FF468"/>
      <c r="FG468"/>
      <c r="FH468"/>
      <c r="FK468"/>
      <c r="FL468"/>
      <c r="FM468"/>
      <c r="FN468"/>
      <c r="FO468"/>
      <c r="FP468"/>
      <c r="FQ468"/>
      <c r="FR468"/>
      <c r="FS468"/>
      <c r="FT468"/>
      <c r="FU468"/>
      <c r="FV468"/>
      <c r="FW468"/>
      <c r="FX468"/>
      <c r="FY468"/>
      <c r="FZ468"/>
      <c r="GA468"/>
      <c r="GB468"/>
      <c r="GC468"/>
      <c r="GD468"/>
    </row>
    <row r="469" spans="27:186" x14ac:dyDescent="0.15">
      <c r="AG469"/>
      <c r="AH469"/>
      <c r="AJ469"/>
      <c r="AK469"/>
      <c r="AL469"/>
      <c r="AM469"/>
      <c r="AO469"/>
      <c r="AP469"/>
      <c r="AQ469"/>
      <c r="AR469"/>
      <c r="AS469"/>
      <c r="AT469"/>
      <c r="AU469"/>
      <c r="AV469"/>
      <c r="AW469"/>
      <c r="AX469"/>
      <c r="AY469"/>
      <c r="AZ469"/>
      <c r="BA469"/>
      <c r="BB469"/>
      <c r="BC469"/>
      <c r="BD469"/>
      <c r="BE469"/>
      <c r="BF469"/>
      <c r="BH469"/>
      <c r="BI469"/>
      <c r="BJ469"/>
      <c r="BK469"/>
      <c r="BL469"/>
      <c r="BM469"/>
      <c r="BN469"/>
      <c r="BP469"/>
      <c r="BQ469"/>
      <c r="BR469"/>
      <c r="BS469"/>
      <c r="BT469"/>
      <c r="BU469"/>
      <c r="BV469"/>
      <c r="BW469"/>
      <c r="BZ469"/>
      <c r="CA469"/>
      <c r="CB469"/>
      <c r="CC469"/>
      <c r="CD469"/>
      <c r="CF469"/>
      <c r="CG469"/>
      <c r="CH469"/>
      <c r="CI469"/>
      <c r="CJ469"/>
      <c r="CK469"/>
      <c r="CL469"/>
      <c r="CM469"/>
      <c r="CN469"/>
      <c r="CO469"/>
      <c r="CP469"/>
      <c r="CQ469"/>
      <c r="CR469"/>
      <c r="CS469"/>
      <c r="CT469"/>
      <c r="CU469"/>
      <c r="CV469"/>
      <c r="CW469"/>
      <c r="CX469"/>
      <c r="CY469"/>
      <c r="CZ469"/>
      <c r="DA469"/>
      <c r="DB469"/>
      <c r="DC469"/>
      <c r="DD469"/>
      <c r="DE469"/>
      <c r="DG469"/>
      <c r="DH469"/>
      <c r="DI469"/>
      <c r="DJ469"/>
      <c r="DK469"/>
      <c r="DL469"/>
      <c r="DM469"/>
      <c r="DN469"/>
      <c r="DO469"/>
      <c r="DP469"/>
      <c r="DQ469"/>
      <c r="DR469"/>
      <c r="DS469"/>
      <c r="DT469"/>
      <c r="DU469"/>
      <c r="DV469"/>
      <c r="DW469"/>
      <c r="DZ469"/>
      <c r="EA469"/>
      <c r="EB469"/>
      <c r="EC469"/>
      <c r="ED469"/>
      <c r="EE469"/>
      <c r="EF469"/>
      <c r="EG469"/>
      <c r="EJ469"/>
      <c r="EK469"/>
      <c r="EL469"/>
      <c r="EM469"/>
      <c r="EN469"/>
      <c r="EO469"/>
      <c r="EP469"/>
      <c r="EQ469"/>
      <c r="ER469"/>
      <c r="ES469"/>
      <c r="ET469"/>
      <c r="EU469"/>
      <c r="EV469"/>
      <c r="EW469"/>
      <c r="EX469"/>
      <c r="EY469"/>
      <c r="EZ469"/>
      <c r="FA469"/>
      <c r="FB469"/>
      <c r="FC469"/>
      <c r="FD469"/>
      <c r="FE469"/>
      <c r="FF469"/>
      <c r="FG469"/>
      <c r="FH469"/>
      <c r="FK469"/>
      <c r="FL469"/>
      <c r="FM469"/>
      <c r="FN469"/>
      <c r="FO469"/>
      <c r="FP469"/>
      <c r="FQ469"/>
      <c r="FR469"/>
      <c r="FS469"/>
      <c r="FT469"/>
      <c r="FU469"/>
      <c r="FV469"/>
      <c r="FW469"/>
      <c r="FX469"/>
      <c r="FY469"/>
      <c r="FZ469"/>
      <c r="GA469"/>
      <c r="GB469"/>
      <c r="GC469"/>
      <c r="GD469"/>
    </row>
    <row r="470" spans="27:186" x14ac:dyDescent="0.15">
      <c r="AG470"/>
      <c r="AH470"/>
      <c r="AJ470"/>
      <c r="AK470"/>
      <c r="AL470"/>
      <c r="AM470"/>
      <c r="AO470"/>
      <c r="AP470"/>
      <c r="AQ470"/>
      <c r="AR470"/>
      <c r="AS470"/>
      <c r="AT470"/>
      <c r="AU470"/>
      <c r="AV470"/>
      <c r="AW470"/>
      <c r="AX470"/>
      <c r="AY470"/>
      <c r="AZ470"/>
      <c r="BA470"/>
      <c r="BB470"/>
      <c r="BC470"/>
      <c r="BD470"/>
      <c r="BE470"/>
      <c r="BF470"/>
      <c r="BH470"/>
      <c r="BI470"/>
      <c r="BJ470"/>
      <c r="BK470"/>
      <c r="BL470"/>
      <c r="BM470"/>
      <c r="BN470"/>
      <c r="BP470"/>
      <c r="BQ470"/>
      <c r="BR470"/>
      <c r="BS470"/>
      <c r="BT470"/>
      <c r="BU470"/>
      <c r="BV470"/>
      <c r="BW470"/>
      <c r="BZ470"/>
      <c r="CA470"/>
      <c r="CB470"/>
      <c r="CC470"/>
      <c r="CD470"/>
      <c r="CF470"/>
      <c r="CG470"/>
      <c r="CH470"/>
      <c r="CI470"/>
      <c r="CJ470"/>
      <c r="CK470"/>
      <c r="CL470"/>
      <c r="CM470"/>
      <c r="CN470"/>
      <c r="CO470"/>
      <c r="CP470"/>
      <c r="CQ470"/>
      <c r="CR470"/>
      <c r="CS470"/>
      <c r="CT470"/>
      <c r="CU470"/>
      <c r="CV470"/>
      <c r="CW470"/>
      <c r="CX470"/>
      <c r="CY470"/>
      <c r="CZ470"/>
      <c r="DA470"/>
      <c r="DB470"/>
      <c r="DC470"/>
      <c r="DD470"/>
      <c r="DE470"/>
      <c r="DG470"/>
      <c r="DH470"/>
      <c r="DI470"/>
      <c r="DJ470"/>
      <c r="DK470"/>
      <c r="DL470"/>
      <c r="DM470"/>
      <c r="DN470"/>
      <c r="DO470"/>
      <c r="DP470"/>
      <c r="DQ470"/>
      <c r="DR470"/>
      <c r="DS470"/>
      <c r="DT470"/>
      <c r="DU470"/>
      <c r="DV470"/>
      <c r="DW470"/>
      <c r="DZ470"/>
      <c r="EA470"/>
      <c r="EB470"/>
      <c r="EC470"/>
      <c r="ED470"/>
      <c r="EE470"/>
      <c r="EF470"/>
      <c r="EG470"/>
      <c r="EJ470"/>
      <c r="EK470"/>
      <c r="EL470"/>
      <c r="EM470"/>
      <c r="EN470"/>
      <c r="EO470"/>
      <c r="EP470"/>
      <c r="EQ470"/>
      <c r="ER470"/>
      <c r="ES470"/>
      <c r="ET470"/>
      <c r="EU470"/>
      <c r="EV470"/>
      <c r="EW470"/>
      <c r="EX470"/>
      <c r="EY470"/>
      <c r="EZ470"/>
      <c r="FA470"/>
      <c r="FB470"/>
      <c r="FC470"/>
      <c r="FD470"/>
      <c r="FE470"/>
      <c r="FF470"/>
      <c r="FG470"/>
      <c r="FH470"/>
      <c r="FK470"/>
      <c r="FL470"/>
      <c r="FM470"/>
      <c r="FN470"/>
      <c r="FO470"/>
      <c r="FP470"/>
      <c r="FQ470"/>
      <c r="FR470"/>
      <c r="FS470"/>
      <c r="FT470"/>
      <c r="FU470"/>
      <c r="FV470"/>
      <c r="FW470"/>
      <c r="FX470"/>
      <c r="FY470"/>
      <c r="FZ470"/>
      <c r="GA470"/>
      <c r="GB470"/>
      <c r="GC470"/>
      <c r="GD470"/>
    </row>
    <row r="471" spans="27:186" x14ac:dyDescent="0.15">
      <c r="AG471"/>
      <c r="AH471"/>
      <c r="AJ471"/>
      <c r="AK471"/>
      <c r="AL471"/>
      <c r="AM471"/>
      <c r="AO471"/>
      <c r="AP471"/>
      <c r="AQ471"/>
      <c r="AR471"/>
      <c r="AS471"/>
      <c r="AT471"/>
      <c r="AU471"/>
      <c r="AV471"/>
      <c r="AW471"/>
      <c r="AX471"/>
      <c r="AY471"/>
      <c r="AZ471"/>
      <c r="BA471"/>
      <c r="BB471"/>
      <c r="BC471"/>
      <c r="BD471"/>
      <c r="BE471"/>
      <c r="BF471"/>
      <c r="BH471"/>
      <c r="BI471"/>
      <c r="BJ471"/>
      <c r="BK471"/>
      <c r="BL471"/>
      <c r="BM471"/>
      <c r="BN471"/>
      <c r="BP471"/>
      <c r="BQ471"/>
      <c r="BR471"/>
      <c r="BS471"/>
      <c r="BT471"/>
      <c r="BU471"/>
      <c r="BV471"/>
      <c r="BW471"/>
      <c r="BZ471"/>
      <c r="CA471"/>
      <c r="CB471"/>
      <c r="CC471"/>
      <c r="CD471"/>
      <c r="CF471"/>
      <c r="CG471"/>
      <c r="CH471"/>
      <c r="CI471"/>
      <c r="CJ471"/>
      <c r="CK471"/>
      <c r="CL471"/>
      <c r="CM471"/>
      <c r="CN471"/>
      <c r="CO471"/>
      <c r="CP471"/>
      <c r="CQ471"/>
      <c r="CR471"/>
      <c r="CS471"/>
      <c r="CT471"/>
      <c r="CU471"/>
      <c r="CV471"/>
      <c r="CW471"/>
      <c r="CX471"/>
      <c r="CY471"/>
      <c r="CZ471"/>
      <c r="DA471"/>
      <c r="DB471"/>
      <c r="DC471"/>
      <c r="DD471"/>
      <c r="DE471"/>
      <c r="DG471"/>
      <c r="DH471"/>
      <c r="DI471"/>
      <c r="DJ471"/>
      <c r="DK471"/>
      <c r="DL471"/>
      <c r="DM471"/>
      <c r="DN471"/>
      <c r="DO471"/>
      <c r="DP471"/>
      <c r="DQ471"/>
      <c r="DR471"/>
      <c r="DS471"/>
      <c r="DT471"/>
      <c r="DU471"/>
      <c r="DV471"/>
      <c r="DW471"/>
      <c r="DZ471"/>
      <c r="EA471"/>
      <c r="EB471"/>
      <c r="EC471"/>
      <c r="ED471"/>
      <c r="EE471"/>
      <c r="EF471"/>
      <c r="EG471"/>
      <c r="EJ471"/>
      <c r="EK471"/>
      <c r="EL471"/>
      <c r="EM471"/>
      <c r="EN471"/>
      <c r="EO471"/>
      <c r="EP471"/>
      <c r="EQ471"/>
      <c r="ER471"/>
      <c r="ES471"/>
      <c r="ET471"/>
      <c r="EU471"/>
      <c r="EV471"/>
      <c r="EW471"/>
      <c r="EX471"/>
      <c r="EY471"/>
      <c r="EZ471"/>
      <c r="FA471"/>
      <c r="FB471"/>
      <c r="FC471"/>
      <c r="FD471"/>
      <c r="FE471"/>
      <c r="FF471"/>
      <c r="FG471"/>
      <c r="FH471"/>
      <c r="FK471"/>
      <c r="FL471"/>
      <c r="FM471"/>
      <c r="FN471"/>
      <c r="FO471"/>
      <c r="FP471"/>
      <c r="FQ471"/>
      <c r="FR471"/>
      <c r="FS471"/>
      <c r="FT471"/>
      <c r="FU471"/>
      <c r="FV471"/>
      <c r="FW471"/>
      <c r="FX471"/>
      <c r="FY471"/>
      <c r="FZ471"/>
      <c r="GA471"/>
      <c r="GB471"/>
      <c r="GC471"/>
      <c r="GD471"/>
    </row>
    <row r="472" spans="27:186" x14ac:dyDescent="0.15">
      <c r="AG472"/>
      <c r="AH472"/>
      <c r="AJ472"/>
      <c r="AK472"/>
      <c r="AL472"/>
      <c r="AM472"/>
      <c r="AO472"/>
      <c r="AP472"/>
      <c r="AQ472"/>
      <c r="AR472"/>
      <c r="AS472"/>
      <c r="AT472"/>
      <c r="AU472"/>
      <c r="AV472"/>
      <c r="AW472"/>
      <c r="AX472"/>
      <c r="AY472"/>
      <c r="AZ472"/>
      <c r="BA472"/>
      <c r="BB472"/>
      <c r="BC472"/>
      <c r="BD472"/>
      <c r="BE472"/>
      <c r="BF472"/>
      <c r="BH472"/>
      <c r="BI472"/>
      <c r="BJ472"/>
      <c r="BK472"/>
      <c r="BL472"/>
      <c r="BM472"/>
      <c r="BN472"/>
      <c r="BP472"/>
      <c r="BQ472"/>
      <c r="BR472"/>
      <c r="BS472"/>
      <c r="BT472"/>
      <c r="BU472"/>
      <c r="BV472"/>
      <c r="BW472"/>
      <c r="BZ472"/>
      <c r="CA472"/>
      <c r="CB472"/>
      <c r="CC472"/>
      <c r="CD472"/>
      <c r="CF472"/>
      <c r="CG472"/>
      <c r="CH472"/>
      <c r="CI472"/>
      <c r="CJ472"/>
      <c r="CK472"/>
      <c r="CL472"/>
      <c r="CM472"/>
      <c r="CN472"/>
      <c r="CO472"/>
      <c r="CP472"/>
      <c r="CQ472"/>
      <c r="CR472"/>
      <c r="CS472"/>
      <c r="CT472"/>
      <c r="CU472"/>
      <c r="CV472"/>
      <c r="CW472"/>
      <c r="CX472"/>
      <c r="CY472"/>
      <c r="CZ472"/>
      <c r="DA472"/>
      <c r="DB472"/>
      <c r="DC472"/>
      <c r="DD472"/>
      <c r="DE472"/>
      <c r="DG472"/>
      <c r="DH472"/>
      <c r="DI472"/>
      <c r="DJ472"/>
      <c r="DK472"/>
      <c r="DL472"/>
      <c r="DM472"/>
      <c r="DN472"/>
      <c r="DO472"/>
      <c r="DP472"/>
      <c r="DQ472"/>
      <c r="DR472"/>
      <c r="DS472"/>
      <c r="DT472"/>
      <c r="DU472"/>
      <c r="DV472"/>
      <c r="DW472"/>
      <c r="DZ472"/>
      <c r="EA472"/>
      <c r="EB472"/>
      <c r="EC472"/>
      <c r="ED472"/>
      <c r="EE472"/>
      <c r="EF472"/>
      <c r="EG472"/>
      <c r="EJ472"/>
      <c r="EK472"/>
      <c r="EL472"/>
      <c r="EM472"/>
      <c r="EN472"/>
      <c r="EO472"/>
      <c r="EP472"/>
      <c r="EQ472"/>
      <c r="ER472"/>
      <c r="ES472"/>
      <c r="ET472"/>
      <c r="EU472"/>
      <c r="EV472"/>
      <c r="EW472"/>
      <c r="EX472"/>
      <c r="EY472"/>
      <c r="EZ472"/>
      <c r="FA472"/>
      <c r="FB472"/>
      <c r="FC472"/>
      <c r="FD472"/>
      <c r="FE472"/>
      <c r="FF472"/>
      <c r="FG472"/>
      <c r="FH472"/>
      <c r="FK472"/>
      <c r="FL472"/>
      <c r="FM472"/>
      <c r="FN472"/>
      <c r="FO472"/>
      <c r="FP472"/>
      <c r="FQ472"/>
      <c r="FR472"/>
      <c r="FS472"/>
      <c r="FT472"/>
      <c r="FU472"/>
      <c r="FV472"/>
      <c r="FW472"/>
      <c r="FX472"/>
      <c r="FY472"/>
      <c r="FZ472"/>
      <c r="GA472"/>
      <c r="GB472"/>
      <c r="GC472"/>
      <c r="GD472"/>
    </row>
    <row r="473" spans="27:186" x14ac:dyDescent="0.15">
      <c r="AG473"/>
      <c r="AH473"/>
      <c r="AJ473"/>
      <c r="AK473"/>
      <c r="AL473"/>
      <c r="AM473"/>
      <c r="AO473"/>
      <c r="AP473"/>
      <c r="AQ473"/>
      <c r="AR473"/>
      <c r="AS473"/>
      <c r="AT473"/>
      <c r="AU473"/>
      <c r="AV473"/>
      <c r="AW473"/>
      <c r="AX473"/>
      <c r="AY473"/>
      <c r="AZ473"/>
      <c r="BA473"/>
      <c r="BB473"/>
      <c r="BC473"/>
      <c r="BD473"/>
      <c r="BE473"/>
      <c r="BF473"/>
      <c r="BH473"/>
      <c r="BI473"/>
      <c r="BJ473"/>
      <c r="BK473"/>
      <c r="BL473"/>
      <c r="BM473"/>
      <c r="BN473"/>
      <c r="BP473"/>
      <c r="BQ473"/>
      <c r="BR473"/>
      <c r="BS473"/>
      <c r="BT473"/>
      <c r="BU473"/>
      <c r="BV473"/>
      <c r="BW473"/>
      <c r="BZ473"/>
      <c r="CA473"/>
      <c r="CB473"/>
      <c r="CC473"/>
      <c r="CD473"/>
      <c r="CF473"/>
      <c r="CG473"/>
      <c r="CH473"/>
      <c r="CI473"/>
      <c r="CJ473"/>
      <c r="CK473"/>
      <c r="CL473"/>
      <c r="CM473"/>
      <c r="CN473"/>
      <c r="CO473"/>
      <c r="CP473"/>
      <c r="CQ473"/>
      <c r="CR473"/>
      <c r="CS473"/>
      <c r="CT473"/>
      <c r="CU473"/>
      <c r="CV473"/>
      <c r="CW473"/>
      <c r="CX473"/>
      <c r="CY473"/>
      <c r="CZ473"/>
      <c r="DA473"/>
      <c r="DB473"/>
      <c r="DC473"/>
      <c r="DD473"/>
      <c r="DE473"/>
      <c r="DG473"/>
      <c r="DH473"/>
      <c r="DI473"/>
      <c r="DJ473"/>
      <c r="DK473"/>
      <c r="DL473"/>
      <c r="DM473"/>
      <c r="DN473"/>
      <c r="DO473"/>
      <c r="DP473"/>
      <c r="DQ473"/>
      <c r="DR473"/>
      <c r="DS473"/>
      <c r="DT473"/>
      <c r="DU473"/>
      <c r="DV473"/>
      <c r="DW473"/>
      <c r="DZ473"/>
      <c r="EA473"/>
      <c r="EB473"/>
      <c r="EC473"/>
      <c r="ED473"/>
      <c r="EE473"/>
      <c r="EF473"/>
      <c r="EG473"/>
      <c r="EJ473"/>
      <c r="EK473"/>
      <c r="EL473"/>
      <c r="EM473"/>
      <c r="EN473"/>
      <c r="EO473"/>
      <c r="EP473"/>
      <c r="EQ473"/>
      <c r="ER473"/>
      <c r="ES473"/>
      <c r="ET473"/>
      <c r="EU473"/>
      <c r="EV473"/>
      <c r="EW473"/>
      <c r="EX473"/>
      <c r="EY473"/>
      <c r="EZ473"/>
      <c r="FA473"/>
      <c r="FB473"/>
      <c r="FC473"/>
      <c r="FD473"/>
      <c r="FE473"/>
      <c r="FF473"/>
      <c r="FG473"/>
      <c r="FH473"/>
      <c r="FK473"/>
      <c r="FL473"/>
      <c r="FM473"/>
      <c r="FN473"/>
      <c r="FO473"/>
      <c r="FP473"/>
      <c r="FQ473"/>
      <c r="FR473"/>
      <c r="FS473"/>
      <c r="FT473"/>
      <c r="FU473"/>
      <c r="FV473"/>
      <c r="FW473"/>
      <c r="FX473"/>
      <c r="FY473"/>
      <c r="FZ473"/>
      <c r="GA473"/>
      <c r="GB473"/>
      <c r="GC473"/>
      <c r="GD473"/>
    </row>
    <row r="474" spans="27:186" x14ac:dyDescent="0.15">
      <c r="AG474"/>
      <c r="AH474"/>
      <c r="AJ474"/>
      <c r="AK474"/>
      <c r="AL474"/>
      <c r="AM474"/>
      <c r="AO474"/>
      <c r="AP474"/>
      <c r="AQ474"/>
      <c r="AR474"/>
      <c r="AS474"/>
      <c r="AT474"/>
      <c r="AU474"/>
      <c r="AV474"/>
      <c r="AW474"/>
      <c r="AX474"/>
      <c r="AY474"/>
      <c r="AZ474"/>
      <c r="BA474"/>
      <c r="BB474"/>
      <c r="BC474"/>
      <c r="BD474"/>
      <c r="BE474"/>
      <c r="BF474"/>
      <c r="BH474"/>
      <c r="BI474"/>
      <c r="BJ474"/>
      <c r="BK474"/>
      <c r="BL474"/>
      <c r="BM474"/>
      <c r="BN474"/>
      <c r="BP474"/>
      <c r="BQ474"/>
      <c r="BR474"/>
      <c r="BS474"/>
      <c r="BT474"/>
      <c r="BU474"/>
      <c r="BV474"/>
      <c r="BW474"/>
      <c r="BZ474"/>
      <c r="CA474"/>
      <c r="CB474"/>
      <c r="CC474"/>
      <c r="CD474"/>
      <c r="CF474"/>
      <c r="CG474"/>
      <c r="CH474"/>
      <c r="CI474"/>
      <c r="CJ474"/>
      <c r="CK474"/>
      <c r="CL474"/>
      <c r="CM474"/>
      <c r="CN474"/>
      <c r="CO474"/>
      <c r="CP474"/>
      <c r="CQ474"/>
      <c r="CR474"/>
      <c r="CS474"/>
      <c r="CT474"/>
      <c r="CU474"/>
      <c r="CV474"/>
      <c r="CW474"/>
      <c r="CX474"/>
      <c r="CY474"/>
      <c r="CZ474"/>
      <c r="DA474"/>
      <c r="DB474"/>
      <c r="DC474"/>
      <c r="DD474"/>
      <c r="DE474"/>
      <c r="DG474"/>
      <c r="DH474"/>
      <c r="DI474"/>
      <c r="DJ474"/>
      <c r="DK474"/>
      <c r="DL474"/>
      <c r="DM474"/>
      <c r="DN474"/>
      <c r="DO474"/>
      <c r="DP474"/>
      <c r="DQ474"/>
      <c r="DR474"/>
      <c r="DS474"/>
      <c r="DT474"/>
      <c r="DU474"/>
      <c r="DV474"/>
      <c r="DW474"/>
      <c r="DZ474"/>
      <c r="EA474"/>
      <c r="EB474"/>
      <c r="EC474"/>
      <c r="ED474"/>
      <c r="EE474"/>
      <c r="EF474"/>
      <c r="EG474"/>
      <c r="EJ474"/>
      <c r="EK474"/>
      <c r="EL474"/>
      <c r="EM474"/>
      <c r="EN474"/>
      <c r="EO474"/>
      <c r="EP474"/>
      <c r="EQ474"/>
      <c r="ER474"/>
      <c r="ES474"/>
      <c r="ET474"/>
      <c r="EU474"/>
      <c r="EV474"/>
      <c r="EW474"/>
      <c r="EX474"/>
      <c r="EY474"/>
      <c r="EZ474"/>
      <c r="FA474"/>
      <c r="FB474"/>
      <c r="FC474"/>
      <c r="FD474"/>
      <c r="FE474"/>
      <c r="FF474"/>
      <c r="FG474"/>
      <c r="FH474"/>
      <c r="FK474"/>
      <c r="FL474"/>
      <c r="FM474"/>
      <c r="FN474"/>
      <c r="FO474"/>
      <c r="FP474"/>
      <c r="FQ474"/>
      <c r="FR474"/>
      <c r="FS474"/>
      <c r="FT474"/>
      <c r="FU474"/>
      <c r="FV474"/>
      <c r="FW474"/>
      <c r="FX474"/>
      <c r="FY474"/>
      <c r="FZ474"/>
      <c r="GA474"/>
      <c r="GB474"/>
      <c r="GC474"/>
      <c r="GD474"/>
    </row>
    <row r="475" spans="27:186" x14ac:dyDescent="0.15">
      <c r="AG475"/>
      <c r="AH475"/>
      <c r="AJ475"/>
      <c r="AK475"/>
      <c r="AL475"/>
      <c r="AM475"/>
      <c r="AO475"/>
      <c r="AP475"/>
      <c r="AQ475"/>
      <c r="AR475"/>
      <c r="AS475"/>
      <c r="AT475"/>
      <c r="AU475"/>
      <c r="AV475"/>
      <c r="AW475"/>
      <c r="AX475"/>
      <c r="AY475"/>
      <c r="AZ475"/>
      <c r="BA475"/>
      <c r="BB475"/>
      <c r="BC475"/>
      <c r="BD475"/>
      <c r="BE475"/>
      <c r="BF475"/>
      <c r="BH475"/>
      <c r="BI475"/>
      <c r="BJ475"/>
      <c r="BK475"/>
      <c r="BL475"/>
      <c r="BM475"/>
      <c r="BN475"/>
      <c r="BP475"/>
      <c r="BQ475"/>
      <c r="BR475"/>
      <c r="BS475"/>
      <c r="BT475"/>
      <c r="BU475"/>
      <c r="BV475"/>
      <c r="BW475"/>
      <c r="BZ475"/>
      <c r="CA475"/>
      <c r="CB475"/>
      <c r="CC475"/>
      <c r="CD475"/>
      <c r="CF475"/>
      <c r="CG475"/>
      <c r="CH475"/>
      <c r="CI475"/>
      <c r="CJ475"/>
      <c r="CK475"/>
      <c r="CL475"/>
      <c r="CM475"/>
      <c r="CN475"/>
      <c r="CO475"/>
      <c r="CP475"/>
      <c r="CQ475"/>
      <c r="CR475"/>
      <c r="CS475"/>
      <c r="CT475"/>
      <c r="CU475"/>
      <c r="CV475"/>
      <c r="CW475"/>
      <c r="CX475"/>
      <c r="CY475"/>
      <c r="CZ475"/>
      <c r="DA475"/>
      <c r="DB475"/>
      <c r="DC475"/>
      <c r="DD475"/>
      <c r="DE475"/>
      <c r="DG475"/>
      <c r="DH475"/>
      <c r="DI475"/>
      <c r="DJ475"/>
      <c r="DK475"/>
      <c r="DL475"/>
      <c r="DM475"/>
      <c r="DN475"/>
      <c r="DO475"/>
      <c r="DP475"/>
      <c r="DQ475"/>
      <c r="DR475"/>
      <c r="DS475"/>
      <c r="DT475"/>
      <c r="DU475"/>
      <c r="DV475"/>
      <c r="DW475"/>
      <c r="DZ475"/>
      <c r="EA475"/>
      <c r="EB475"/>
      <c r="EC475"/>
      <c r="ED475"/>
      <c r="EE475"/>
      <c r="EF475"/>
      <c r="EG475"/>
      <c r="EJ475"/>
      <c r="EK475"/>
      <c r="EL475"/>
      <c r="EM475"/>
      <c r="EN475"/>
      <c r="EO475"/>
      <c r="EP475"/>
      <c r="EQ475"/>
      <c r="ER475"/>
      <c r="ES475"/>
      <c r="ET475"/>
      <c r="EU475"/>
      <c r="EV475"/>
      <c r="EW475"/>
      <c r="EX475"/>
      <c r="EY475"/>
      <c r="EZ475"/>
      <c r="FA475"/>
      <c r="FB475"/>
      <c r="FC475"/>
      <c r="FD475"/>
      <c r="FE475"/>
      <c r="FF475"/>
      <c r="FG475"/>
      <c r="FH475"/>
      <c r="FK475"/>
      <c r="FL475"/>
      <c r="FM475"/>
      <c r="FN475"/>
      <c r="FO475"/>
      <c r="FP475"/>
      <c r="FQ475"/>
      <c r="FR475"/>
      <c r="FS475"/>
      <c r="FT475"/>
      <c r="FU475"/>
      <c r="FV475"/>
      <c r="FW475"/>
      <c r="FX475"/>
      <c r="FY475"/>
      <c r="FZ475"/>
      <c r="GA475"/>
      <c r="GB475"/>
      <c r="GC475"/>
      <c r="GD475"/>
    </row>
    <row r="476" spans="27:186" x14ac:dyDescent="0.15">
      <c r="AG476"/>
      <c r="AH476"/>
      <c r="AJ476"/>
      <c r="AK476"/>
      <c r="AL476"/>
      <c r="AM476"/>
      <c r="AO476"/>
      <c r="AP476"/>
      <c r="AQ476"/>
      <c r="AR476"/>
      <c r="AS476"/>
      <c r="AT476"/>
      <c r="AU476"/>
      <c r="AV476"/>
      <c r="AW476"/>
      <c r="AX476"/>
      <c r="AY476"/>
      <c r="AZ476"/>
      <c r="BA476"/>
      <c r="BB476"/>
      <c r="BC476"/>
      <c r="BD476"/>
      <c r="BE476"/>
      <c r="BF476"/>
      <c r="BH476"/>
      <c r="BI476"/>
      <c r="BJ476"/>
      <c r="BK476"/>
      <c r="BL476"/>
      <c r="BM476"/>
      <c r="BN476"/>
      <c r="BP476"/>
      <c r="BQ476"/>
      <c r="BR476"/>
      <c r="BS476"/>
      <c r="BT476"/>
      <c r="BU476"/>
      <c r="BV476"/>
      <c r="BW476"/>
      <c r="BZ476"/>
      <c r="CA476"/>
      <c r="CB476"/>
      <c r="CC476"/>
      <c r="CD476"/>
      <c r="CF476"/>
      <c r="CG476"/>
      <c r="CH476"/>
      <c r="CI476"/>
      <c r="CJ476"/>
      <c r="CK476"/>
      <c r="CL476"/>
      <c r="CM476"/>
      <c r="CN476"/>
      <c r="CO476"/>
      <c r="CP476"/>
      <c r="CQ476"/>
      <c r="CR476"/>
      <c r="CS476"/>
      <c r="CT476"/>
      <c r="CU476"/>
      <c r="CV476"/>
      <c r="CW476"/>
      <c r="CX476"/>
      <c r="CY476"/>
      <c r="CZ476"/>
      <c r="DA476"/>
      <c r="DB476"/>
      <c r="DC476"/>
      <c r="DD476"/>
      <c r="DE476"/>
      <c r="DG476"/>
      <c r="DH476"/>
      <c r="DI476"/>
      <c r="DJ476"/>
      <c r="DK476"/>
      <c r="DL476"/>
      <c r="DM476"/>
      <c r="DN476"/>
      <c r="DO476"/>
      <c r="DP476"/>
      <c r="DQ476"/>
      <c r="DR476"/>
      <c r="DS476"/>
      <c r="DT476"/>
      <c r="DU476"/>
      <c r="DV476"/>
      <c r="DW476"/>
      <c r="DZ476"/>
      <c r="EA476"/>
      <c r="EB476"/>
      <c r="EC476"/>
      <c r="ED476"/>
      <c r="EE476"/>
      <c r="EF476"/>
      <c r="EG476"/>
      <c r="EJ476"/>
      <c r="EK476"/>
      <c r="EL476"/>
      <c r="EM476"/>
      <c r="EN476"/>
      <c r="EO476"/>
      <c r="EP476"/>
      <c r="EQ476"/>
      <c r="ER476"/>
      <c r="ES476"/>
      <c r="ET476"/>
      <c r="EU476"/>
      <c r="EV476"/>
      <c r="EW476"/>
      <c r="EX476"/>
      <c r="EY476"/>
      <c r="EZ476"/>
      <c r="FA476"/>
      <c r="FB476"/>
      <c r="FC476"/>
      <c r="FD476"/>
      <c r="FE476"/>
      <c r="FF476"/>
      <c r="FG476"/>
      <c r="FH476"/>
      <c r="FK476"/>
      <c r="FL476"/>
      <c r="FM476"/>
      <c r="FN476"/>
      <c r="FO476"/>
      <c r="FP476"/>
      <c r="FQ476"/>
      <c r="FR476"/>
      <c r="FS476"/>
      <c r="FT476"/>
      <c r="FU476"/>
      <c r="FV476"/>
      <c r="FW476"/>
      <c r="FX476"/>
      <c r="FY476"/>
      <c r="FZ476"/>
      <c r="GA476"/>
      <c r="GB476"/>
      <c r="GC476"/>
      <c r="GD476"/>
    </row>
    <row r="477" spans="27:186" x14ac:dyDescent="0.15">
      <c r="AG477"/>
      <c r="AH477"/>
      <c r="AJ477"/>
      <c r="AK477"/>
      <c r="AL477"/>
      <c r="AM477"/>
      <c r="AO477"/>
      <c r="AP477"/>
      <c r="AQ477"/>
      <c r="AR477"/>
      <c r="AS477"/>
      <c r="AT477"/>
      <c r="AU477"/>
      <c r="AV477"/>
      <c r="AW477"/>
      <c r="AX477"/>
      <c r="AY477"/>
      <c r="AZ477"/>
      <c r="BA477"/>
      <c r="BB477"/>
      <c r="BC477"/>
      <c r="BD477"/>
      <c r="BE477"/>
      <c r="BF477"/>
      <c r="BH477"/>
      <c r="BI477"/>
      <c r="BJ477"/>
      <c r="BK477"/>
      <c r="BL477"/>
      <c r="BM477"/>
      <c r="BN477"/>
      <c r="BP477"/>
      <c r="BQ477"/>
      <c r="BR477"/>
      <c r="BS477"/>
      <c r="BT477"/>
      <c r="BU477"/>
      <c r="BV477"/>
      <c r="BW477"/>
      <c r="BZ477"/>
      <c r="CA477"/>
      <c r="CB477"/>
      <c r="CC477"/>
      <c r="CD477"/>
      <c r="CF477"/>
      <c r="CG477"/>
      <c r="CH477"/>
      <c r="CI477"/>
      <c r="CJ477"/>
      <c r="CK477"/>
      <c r="CL477"/>
      <c r="CM477"/>
      <c r="CN477"/>
      <c r="CO477"/>
      <c r="CP477"/>
      <c r="CQ477"/>
      <c r="CR477"/>
      <c r="CS477"/>
      <c r="CT477"/>
      <c r="CU477"/>
      <c r="CV477"/>
      <c r="CW477"/>
      <c r="CX477"/>
      <c r="CY477"/>
      <c r="CZ477"/>
      <c r="DA477"/>
      <c r="DB477"/>
      <c r="DC477"/>
      <c r="DD477"/>
      <c r="DE477"/>
      <c r="DG477"/>
      <c r="DH477"/>
      <c r="DI477"/>
      <c r="DJ477"/>
      <c r="DK477"/>
      <c r="DL477"/>
      <c r="DM477"/>
      <c r="DN477"/>
      <c r="DO477"/>
      <c r="DP477"/>
      <c r="DQ477"/>
      <c r="DR477"/>
      <c r="DS477"/>
      <c r="DT477"/>
      <c r="DU477"/>
      <c r="DV477"/>
      <c r="DW477"/>
      <c r="DZ477"/>
      <c r="EA477"/>
      <c r="EB477"/>
      <c r="EC477"/>
      <c r="ED477"/>
      <c r="EE477"/>
      <c r="EF477"/>
      <c r="EG477"/>
      <c r="EJ477"/>
      <c r="EK477"/>
      <c r="EL477"/>
      <c r="EM477"/>
      <c r="EN477"/>
      <c r="EO477"/>
      <c r="EP477"/>
      <c r="EQ477"/>
      <c r="ER477"/>
      <c r="ES477"/>
      <c r="ET477"/>
      <c r="EU477"/>
      <c r="EV477"/>
      <c r="EW477"/>
      <c r="EX477"/>
      <c r="EY477"/>
      <c r="EZ477"/>
      <c r="FA477"/>
      <c r="FB477"/>
      <c r="FC477"/>
      <c r="FD477"/>
      <c r="FE477"/>
      <c r="FF477"/>
      <c r="FG477"/>
      <c r="FH477"/>
      <c r="FK477"/>
      <c r="FL477"/>
      <c r="FM477"/>
      <c r="FN477"/>
      <c r="FO477"/>
      <c r="FP477"/>
      <c r="FQ477"/>
      <c r="FR477"/>
      <c r="FS477"/>
      <c r="FT477"/>
      <c r="FU477"/>
      <c r="FV477"/>
      <c r="FW477"/>
      <c r="FX477"/>
      <c r="FY477"/>
      <c r="FZ477"/>
      <c r="GA477"/>
      <c r="GB477"/>
      <c r="GC477"/>
      <c r="GD477"/>
    </row>
    <row r="478" spans="27:186" x14ac:dyDescent="0.15">
      <c r="AG478"/>
      <c r="AH478"/>
      <c r="AJ478"/>
      <c r="AK478"/>
      <c r="AL478"/>
      <c r="AM478"/>
      <c r="AO478"/>
      <c r="AP478"/>
      <c r="AQ478"/>
      <c r="AR478"/>
      <c r="AS478"/>
      <c r="AT478"/>
      <c r="AU478"/>
      <c r="AV478"/>
      <c r="AW478"/>
      <c r="AX478"/>
      <c r="AY478"/>
      <c r="AZ478"/>
      <c r="BA478"/>
      <c r="BB478"/>
      <c r="BC478"/>
      <c r="BD478"/>
      <c r="BE478"/>
      <c r="BF478"/>
      <c r="BH478"/>
      <c r="BI478"/>
      <c r="BJ478"/>
      <c r="BK478"/>
      <c r="BL478"/>
      <c r="BM478"/>
      <c r="BN478"/>
      <c r="BP478"/>
      <c r="BQ478"/>
      <c r="BR478"/>
      <c r="BS478"/>
      <c r="BT478"/>
      <c r="BU478"/>
      <c r="BV478"/>
      <c r="BW478"/>
      <c r="BZ478"/>
      <c r="CA478"/>
      <c r="CB478"/>
      <c r="CC478"/>
      <c r="CD478"/>
      <c r="CF478"/>
      <c r="CG478"/>
      <c r="CH478"/>
      <c r="CI478"/>
      <c r="CJ478"/>
      <c r="CK478"/>
      <c r="CL478"/>
      <c r="CM478"/>
      <c r="CN478"/>
      <c r="CO478"/>
      <c r="CP478"/>
      <c r="CQ478"/>
      <c r="CR478"/>
      <c r="CS478"/>
      <c r="CT478"/>
      <c r="CU478"/>
      <c r="CV478"/>
      <c r="CW478"/>
      <c r="CX478"/>
      <c r="CY478"/>
      <c r="CZ478"/>
      <c r="DA478"/>
      <c r="DB478"/>
      <c r="DC478"/>
      <c r="DD478"/>
      <c r="DE478"/>
      <c r="DG478"/>
      <c r="DH478"/>
      <c r="DI478"/>
      <c r="DJ478"/>
      <c r="DK478"/>
      <c r="DL478"/>
      <c r="DM478"/>
      <c r="DN478"/>
      <c r="DO478"/>
      <c r="DP478"/>
      <c r="DQ478"/>
      <c r="DR478"/>
      <c r="DS478"/>
      <c r="DT478"/>
      <c r="DU478"/>
      <c r="DV478"/>
      <c r="DW478"/>
      <c r="DZ478"/>
      <c r="EA478"/>
      <c r="EB478"/>
      <c r="EC478"/>
      <c r="ED478"/>
      <c r="EE478"/>
      <c r="EF478"/>
      <c r="EG478"/>
      <c r="EJ478"/>
      <c r="EK478"/>
      <c r="EL478"/>
      <c r="EM478"/>
      <c r="EN478"/>
      <c r="EO478"/>
      <c r="EP478"/>
      <c r="EQ478"/>
      <c r="ER478"/>
      <c r="ES478"/>
      <c r="ET478"/>
      <c r="EU478"/>
      <c r="EV478"/>
      <c r="EW478"/>
      <c r="EX478"/>
      <c r="EY478"/>
      <c r="EZ478"/>
      <c r="FA478"/>
      <c r="FB478"/>
      <c r="FC478"/>
      <c r="FD478"/>
      <c r="FE478"/>
      <c r="FF478"/>
      <c r="FG478"/>
      <c r="FH478"/>
      <c r="FK478"/>
      <c r="FL478"/>
      <c r="FM478"/>
      <c r="FN478"/>
      <c r="FO478"/>
      <c r="FP478"/>
      <c r="FQ478"/>
      <c r="FR478"/>
      <c r="FS478"/>
      <c r="FT478"/>
      <c r="FU478"/>
      <c r="FV478"/>
      <c r="FW478"/>
      <c r="FX478"/>
      <c r="FY478"/>
      <c r="FZ478"/>
      <c r="GA478"/>
      <c r="GB478"/>
      <c r="GC478"/>
      <c r="GD478"/>
    </row>
    <row r="479" spans="27:186" x14ac:dyDescent="0.15">
      <c r="AG479"/>
      <c r="AH479"/>
      <c r="AJ479"/>
      <c r="AK479"/>
      <c r="AL479"/>
      <c r="AM479"/>
      <c r="AO479"/>
      <c r="AP479"/>
      <c r="AQ479"/>
      <c r="AR479"/>
      <c r="AS479"/>
      <c r="AT479"/>
      <c r="AU479"/>
      <c r="AV479"/>
      <c r="AW479"/>
      <c r="AX479"/>
      <c r="AY479"/>
      <c r="AZ479"/>
      <c r="BA479"/>
      <c r="BB479"/>
      <c r="BC479"/>
      <c r="BD479"/>
      <c r="BE479"/>
      <c r="BF479"/>
      <c r="BH479"/>
      <c r="BI479"/>
      <c r="BJ479"/>
      <c r="BK479"/>
      <c r="BL479"/>
      <c r="BM479"/>
      <c r="BN479"/>
      <c r="BP479"/>
      <c r="BQ479"/>
      <c r="BR479"/>
      <c r="BS479"/>
      <c r="BT479"/>
      <c r="BU479"/>
      <c r="BV479"/>
      <c r="BW479"/>
      <c r="BZ479"/>
      <c r="CA479"/>
      <c r="CB479"/>
      <c r="CC479"/>
      <c r="CD479"/>
      <c r="CF479"/>
      <c r="CG479"/>
      <c r="CH479"/>
      <c r="CI479"/>
      <c r="CJ479"/>
      <c r="CK479"/>
      <c r="CL479"/>
      <c r="CM479"/>
      <c r="CN479"/>
      <c r="CO479"/>
      <c r="CP479"/>
      <c r="CQ479"/>
      <c r="CR479"/>
      <c r="CS479"/>
      <c r="CT479"/>
      <c r="CU479"/>
      <c r="CV479"/>
      <c r="CW479"/>
      <c r="CX479"/>
      <c r="CY479"/>
      <c r="CZ479"/>
      <c r="DA479"/>
      <c r="DB479"/>
      <c r="DC479"/>
      <c r="DD479"/>
      <c r="DE479"/>
      <c r="DG479"/>
      <c r="DH479"/>
      <c r="DI479"/>
      <c r="DJ479"/>
      <c r="DK479"/>
      <c r="DL479"/>
      <c r="DM479"/>
      <c r="DN479"/>
      <c r="DO479"/>
      <c r="DP479"/>
      <c r="DQ479"/>
      <c r="DR479"/>
      <c r="DS479"/>
      <c r="DT479"/>
      <c r="DU479"/>
      <c r="DV479"/>
      <c r="DW479"/>
      <c r="DZ479"/>
      <c r="EA479"/>
      <c r="EB479"/>
      <c r="EC479"/>
      <c r="ED479"/>
      <c r="EE479"/>
      <c r="EF479"/>
      <c r="EG479"/>
      <c r="EJ479"/>
      <c r="EK479"/>
      <c r="EL479"/>
      <c r="EM479"/>
      <c r="EN479"/>
      <c r="EO479"/>
      <c r="EP479"/>
      <c r="EQ479"/>
      <c r="ER479"/>
      <c r="ES479"/>
      <c r="ET479"/>
      <c r="EU479"/>
      <c r="EV479"/>
      <c r="EW479"/>
      <c r="EX479"/>
      <c r="EY479"/>
      <c r="EZ479"/>
      <c r="FA479"/>
      <c r="FB479"/>
      <c r="FC479"/>
      <c r="FD479"/>
      <c r="FE479"/>
      <c r="FF479"/>
      <c r="FG479"/>
      <c r="FH479"/>
      <c r="FK479"/>
      <c r="FL479"/>
      <c r="FM479"/>
      <c r="FN479"/>
      <c r="FO479"/>
      <c r="FP479"/>
      <c r="FQ479"/>
      <c r="FR479"/>
      <c r="FS479"/>
      <c r="FT479"/>
      <c r="FU479"/>
      <c r="FV479"/>
      <c r="FW479"/>
      <c r="FX479"/>
      <c r="FY479"/>
      <c r="FZ479"/>
      <c r="GA479"/>
      <c r="GB479"/>
      <c r="GC479"/>
      <c r="GD479"/>
    </row>
    <row r="480" spans="27:186" x14ac:dyDescent="0.15">
      <c r="AG480"/>
      <c r="AH480"/>
      <c r="AJ480"/>
      <c r="AK480"/>
      <c r="AL480"/>
      <c r="AM480"/>
      <c r="AO480"/>
      <c r="AP480"/>
      <c r="AQ480"/>
      <c r="AR480"/>
      <c r="AS480"/>
      <c r="AT480"/>
      <c r="AU480"/>
      <c r="AV480"/>
      <c r="AW480"/>
      <c r="AX480"/>
      <c r="AY480"/>
      <c r="AZ480"/>
      <c r="BA480"/>
      <c r="BB480"/>
      <c r="BC480"/>
      <c r="BD480"/>
      <c r="BE480"/>
      <c r="BF480"/>
      <c r="BH480"/>
      <c r="BI480"/>
      <c r="BJ480"/>
      <c r="BK480"/>
      <c r="BL480"/>
      <c r="BM480"/>
      <c r="BN480"/>
      <c r="BP480"/>
      <c r="BQ480"/>
      <c r="BR480"/>
      <c r="BS480"/>
      <c r="BT480"/>
      <c r="BU480"/>
      <c r="BV480"/>
      <c r="BW480"/>
      <c r="BZ480"/>
      <c r="CA480"/>
      <c r="CB480"/>
      <c r="CC480"/>
      <c r="CD480"/>
      <c r="CF480"/>
      <c r="CG480"/>
      <c r="CH480"/>
      <c r="CI480"/>
      <c r="CJ480"/>
      <c r="CK480"/>
      <c r="CL480"/>
      <c r="CM480"/>
      <c r="CN480"/>
      <c r="CO480"/>
      <c r="CP480"/>
      <c r="CQ480"/>
      <c r="CR480"/>
      <c r="CS480"/>
      <c r="CT480"/>
      <c r="CU480"/>
      <c r="CV480"/>
      <c r="CW480"/>
      <c r="CX480"/>
      <c r="CY480"/>
      <c r="CZ480"/>
      <c r="DA480"/>
      <c r="DB480"/>
      <c r="DC480"/>
      <c r="DD480"/>
      <c r="DE480"/>
      <c r="DG480"/>
      <c r="DH480"/>
      <c r="DI480"/>
      <c r="DJ480"/>
      <c r="DK480"/>
      <c r="DL480"/>
      <c r="DM480"/>
      <c r="DN480"/>
      <c r="DO480"/>
      <c r="DP480"/>
      <c r="DQ480"/>
      <c r="DR480"/>
      <c r="DS480"/>
      <c r="DT480"/>
      <c r="DU480"/>
      <c r="DV480"/>
      <c r="DW480"/>
      <c r="DZ480"/>
      <c r="EA480"/>
      <c r="EB480"/>
      <c r="EC480"/>
      <c r="ED480"/>
      <c r="EE480"/>
      <c r="EF480"/>
      <c r="EG480"/>
      <c r="EJ480"/>
      <c r="EK480"/>
      <c r="EL480"/>
      <c r="EM480"/>
      <c r="EN480"/>
      <c r="EO480"/>
      <c r="EP480"/>
      <c r="EQ480"/>
      <c r="ER480"/>
      <c r="ES480"/>
      <c r="ET480"/>
      <c r="EU480"/>
      <c r="EV480"/>
      <c r="EW480"/>
      <c r="EX480"/>
      <c r="EY480"/>
      <c r="EZ480"/>
      <c r="FA480"/>
      <c r="FB480"/>
      <c r="FC480"/>
      <c r="FD480"/>
      <c r="FE480"/>
      <c r="FF480"/>
      <c r="FG480"/>
      <c r="FH480"/>
      <c r="FK480"/>
      <c r="FL480"/>
      <c r="FM480"/>
      <c r="FN480"/>
      <c r="FO480"/>
      <c r="FP480"/>
      <c r="FQ480"/>
      <c r="FR480"/>
      <c r="FS480"/>
      <c r="FT480"/>
      <c r="FU480"/>
      <c r="FV480"/>
      <c r="FW480"/>
      <c r="FX480"/>
      <c r="FY480"/>
      <c r="FZ480"/>
      <c r="GA480"/>
      <c r="GB480"/>
      <c r="GC480"/>
      <c r="GD480"/>
    </row>
    <row r="481" spans="1:186" x14ac:dyDescent="0.15">
      <c r="AG481"/>
      <c r="AH481"/>
      <c r="AJ481"/>
      <c r="AK481"/>
      <c r="AL481"/>
      <c r="AM481"/>
      <c r="AO481"/>
      <c r="AP481"/>
      <c r="AQ481"/>
      <c r="AR481"/>
      <c r="AS481"/>
      <c r="AT481"/>
      <c r="AU481"/>
      <c r="AV481"/>
      <c r="AW481"/>
      <c r="AX481"/>
      <c r="AY481"/>
      <c r="AZ481"/>
      <c r="BA481"/>
      <c r="BB481"/>
      <c r="BC481"/>
      <c r="BD481"/>
      <c r="BE481"/>
      <c r="BF481"/>
      <c r="BH481"/>
      <c r="BI481"/>
      <c r="BJ481"/>
      <c r="BK481"/>
      <c r="BL481"/>
      <c r="BM481"/>
      <c r="BN481"/>
      <c r="BP481"/>
      <c r="BQ481"/>
      <c r="BR481"/>
      <c r="BS481"/>
      <c r="BT481"/>
      <c r="BU481"/>
      <c r="BV481"/>
      <c r="BW481"/>
      <c r="BZ481"/>
      <c r="CA481"/>
      <c r="CB481"/>
      <c r="CC481"/>
      <c r="CD481"/>
      <c r="CF481"/>
      <c r="CG481"/>
      <c r="CH481"/>
      <c r="CI481"/>
      <c r="CJ481"/>
      <c r="CK481"/>
      <c r="CL481"/>
      <c r="CM481"/>
      <c r="CN481"/>
      <c r="CO481"/>
      <c r="CP481"/>
      <c r="CQ481"/>
      <c r="CR481"/>
      <c r="CS481"/>
      <c r="CT481"/>
      <c r="CU481"/>
      <c r="CV481"/>
      <c r="CW481"/>
      <c r="CX481"/>
      <c r="CY481"/>
      <c r="CZ481"/>
      <c r="DA481"/>
      <c r="DB481"/>
      <c r="DC481"/>
      <c r="DD481"/>
      <c r="DE481"/>
      <c r="DG481"/>
      <c r="DH481"/>
      <c r="DI481"/>
      <c r="DJ481"/>
      <c r="DK481"/>
      <c r="DL481"/>
      <c r="DM481"/>
      <c r="DN481"/>
      <c r="DO481"/>
      <c r="DP481"/>
      <c r="DQ481"/>
      <c r="DR481"/>
      <c r="DS481"/>
      <c r="DT481"/>
      <c r="DU481"/>
      <c r="DV481"/>
      <c r="DW481"/>
      <c r="DZ481"/>
      <c r="EA481"/>
      <c r="EB481"/>
      <c r="EC481"/>
      <c r="ED481"/>
      <c r="EE481"/>
      <c r="EF481"/>
      <c r="EG481"/>
      <c r="EJ481"/>
      <c r="EK481"/>
      <c r="EL481"/>
      <c r="EM481"/>
      <c r="EN481"/>
      <c r="EO481"/>
      <c r="EP481"/>
      <c r="EQ481"/>
      <c r="ER481"/>
      <c r="ES481"/>
      <c r="ET481"/>
      <c r="EU481"/>
      <c r="EV481"/>
      <c r="EW481"/>
      <c r="EX481"/>
      <c r="EY481"/>
      <c r="EZ481"/>
      <c r="FA481"/>
      <c r="FB481"/>
      <c r="FC481"/>
      <c r="FD481"/>
      <c r="FE481"/>
      <c r="FF481"/>
      <c r="FG481"/>
      <c r="FH481"/>
      <c r="FK481"/>
      <c r="FL481"/>
      <c r="FM481"/>
      <c r="FN481"/>
      <c r="FO481"/>
      <c r="FP481"/>
      <c r="FQ481"/>
      <c r="FR481"/>
      <c r="FS481"/>
      <c r="FT481"/>
      <c r="FU481"/>
      <c r="FV481"/>
      <c r="FW481"/>
      <c r="FX481"/>
      <c r="FY481"/>
      <c r="FZ481"/>
      <c r="GA481"/>
      <c r="GB481"/>
      <c r="GC481"/>
      <c r="GD481"/>
    </row>
    <row r="482" spans="1:186" x14ac:dyDescent="0.15">
      <c r="A482" s="30" t="s">
        <v>148</v>
      </c>
      <c r="AG482"/>
      <c r="AH482"/>
      <c r="AJ482"/>
      <c r="AK482"/>
      <c r="AL482"/>
      <c r="AM482"/>
      <c r="AO482"/>
      <c r="AP482"/>
      <c r="AQ482"/>
      <c r="AR482"/>
      <c r="AS482"/>
      <c r="AT482"/>
      <c r="AU482"/>
      <c r="AV482"/>
      <c r="AW482"/>
      <c r="AX482"/>
      <c r="AY482"/>
      <c r="AZ482"/>
      <c r="BA482"/>
      <c r="BB482"/>
      <c r="BC482"/>
      <c r="BD482"/>
      <c r="BE482"/>
      <c r="BF482"/>
      <c r="BH482"/>
      <c r="BI482"/>
      <c r="BJ482"/>
      <c r="BK482"/>
      <c r="BL482"/>
      <c r="BM482"/>
      <c r="BN482"/>
      <c r="BP482"/>
      <c r="BQ482"/>
      <c r="BR482"/>
      <c r="BS482"/>
      <c r="BT482"/>
      <c r="BU482"/>
      <c r="BV482"/>
      <c r="BW482"/>
      <c r="BZ482"/>
      <c r="CA482"/>
      <c r="CB482"/>
      <c r="CC482"/>
      <c r="CD482"/>
      <c r="CF482"/>
      <c r="CG482"/>
      <c r="CH482"/>
      <c r="CI482"/>
      <c r="CJ482"/>
      <c r="CK482"/>
      <c r="CL482"/>
      <c r="CM482"/>
      <c r="CN482"/>
      <c r="CO482"/>
      <c r="CP482"/>
      <c r="CQ482"/>
      <c r="CR482"/>
      <c r="CS482"/>
      <c r="CT482"/>
      <c r="CU482"/>
      <c r="CV482"/>
      <c r="CW482"/>
      <c r="CX482"/>
      <c r="CY482"/>
      <c r="CZ482"/>
      <c r="DA482"/>
      <c r="DB482"/>
      <c r="DC482"/>
      <c r="DD482"/>
      <c r="DE482"/>
      <c r="DG482"/>
      <c r="DH482"/>
      <c r="DI482"/>
      <c r="DJ482"/>
      <c r="DK482"/>
      <c r="DL482"/>
      <c r="DM482"/>
      <c r="DN482"/>
      <c r="DO482"/>
      <c r="DP482"/>
      <c r="DQ482"/>
      <c r="DR482"/>
      <c r="DS482"/>
      <c r="DT482"/>
      <c r="DU482"/>
      <c r="DV482"/>
      <c r="DW482"/>
      <c r="DZ482"/>
      <c r="EA482"/>
      <c r="EB482"/>
      <c r="EC482"/>
      <c r="ED482"/>
      <c r="EE482"/>
      <c r="EF482"/>
      <c r="EG482"/>
      <c r="EJ482"/>
      <c r="EK482"/>
      <c r="EL482"/>
      <c r="EM482"/>
      <c r="EN482"/>
      <c r="EO482"/>
      <c r="EP482"/>
      <c r="EQ482"/>
      <c r="ER482"/>
      <c r="ES482"/>
      <c r="ET482"/>
      <c r="EU482"/>
      <c r="EV482"/>
      <c r="EW482"/>
      <c r="EX482"/>
      <c r="EY482"/>
      <c r="EZ482"/>
      <c r="FA482"/>
      <c r="FB482"/>
      <c r="FC482"/>
      <c r="FD482"/>
      <c r="FE482"/>
      <c r="FF482"/>
      <c r="FG482"/>
      <c r="FH482"/>
      <c r="FK482"/>
      <c r="FL482"/>
      <c r="FM482"/>
      <c r="FN482"/>
      <c r="FO482"/>
      <c r="FP482"/>
      <c r="FQ482"/>
      <c r="FR482"/>
      <c r="FS482"/>
      <c r="FT482"/>
      <c r="FU482"/>
      <c r="FV482"/>
      <c r="FW482"/>
      <c r="FX482"/>
      <c r="FY482"/>
      <c r="FZ482"/>
      <c r="GA482"/>
      <c r="GB482"/>
      <c r="GC482"/>
      <c r="GD482"/>
    </row>
    <row r="483" spans="1:186" x14ac:dyDescent="0.15">
      <c r="A483" s="30" t="s">
        <v>147</v>
      </c>
      <c r="AG483"/>
      <c r="AH483"/>
      <c r="AJ483"/>
      <c r="AK483"/>
      <c r="AL483"/>
      <c r="AM483"/>
      <c r="AO483"/>
      <c r="AP483"/>
      <c r="AQ483"/>
      <c r="AR483"/>
      <c r="AS483"/>
      <c r="AT483"/>
      <c r="AU483"/>
      <c r="AV483"/>
      <c r="AW483"/>
      <c r="AX483"/>
      <c r="AY483"/>
      <c r="AZ483"/>
      <c r="BA483"/>
      <c r="BB483"/>
      <c r="BC483"/>
      <c r="BD483"/>
      <c r="BE483"/>
      <c r="BF483"/>
      <c r="BH483"/>
      <c r="BI483"/>
      <c r="BJ483"/>
      <c r="BK483"/>
      <c r="BL483"/>
      <c r="BM483"/>
      <c r="BN483"/>
      <c r="BP483"/>
      <c r="BQ483"/>
      <c r="BR483"/>
      <c r="BS483"/>
      <c r="BT483"/>
      <c r="BU483"/>
      <c r="BV483"/>
      <c r="BW483"/>
      <c r="BZ483"/>
      <c r="CA483"/>
      <c r="CB483"/>
      <c r="CC483"/>
      <c r="CD483"/>
      <c r="CF483"/>
      <c r="CG483"/>
      <c r="CH483"/>
      <c r="CI483"/>
      <c r="CJ483"/>
      <c r="CK483"/>
      <c r="CL483"/>
      <c r="CM483"/>
      <c r="CN483"/>
      <c r="CO483"/>
      <c r="CP483"/>
      <c r="CQ483"/>
      <c r="CR483"/>
      <c r="CS483"/>
      <c r="CT483"/>
      <c r="CU483"/>
      <c r="CV483"/>
      <c r="CW483"/>
      <c r="CX483"/>
      <c r="CY483"/>
      <c r="CZ483"/>
      <c r="DA483"/>
      <c r="DB483"/>
      <c r="DC483"/>
      <c r="DD483"/>
      <c r="DE483"/>
      <c r="DG483"/>
      <c r="DH483"/>
      <c r="DI483"/>
      <c r="DJ483"/>
      <c r="DK483"/>
      <c r="DL483"/>
      <c r="DM483"/>
      <c r="DN483"/>
      <c r="DO483"/>
      <c r="DP483"/>
      <c r="DQ483"/>
      <c r="DR483"/>
      <c r="DS483"/>
      <c r="DT483"/>
      <c r="DU483"/>
      <c r="DV483"/>
      <c r="DW483"/>
      <c r="DZ483"/>
      <c r="EA483"/>
      <c r="EB483"/>
      <c r="EC483"/>
      <c r="ED483"/>
      <c r="EE483"/>
      <c r="EF483"/>
      <c r="EG483"/>
      <c r="EJ483"/>
      <c r="EK483"/>
      <c r="EL483"/>
      <c r="EM483"/>
      <c r="EN483"/>
      <c r="EO483"/>
      <c r="EP483"/>
      <c r="EQ483"/>
      <c r="ER483"/>
      <c r="ES483"/>
      <c r="ET483"/>
      <c r="EU483"/>
      <c r="EV483"/>
      <c r="EW483"/>
      <c r="EX483"/>
      <c r="EY483"/>
      <c r="EZ483"/>
      <c r="FA483"/>
      <c r="FB483"/>
      <c r="FC483"/>
      <c r="FD483"/>
      <c r="FE483"/>
      <c r="FF483"/>
      <c r="FG483"/>
      <c r="FH483"/>
      <c r="FK483"/>
      <c r="FL483"/>
      <c r="FM483"/>
      <c r="FN483"/>
      <c r="FO483"/>
      <c r="FP483"/>
      <c r="FQ483"/>
      <c r="FR483"/>
      <c r="FS483"/>
      <c r="FT483"/>
      <c r="FU483"/>
      <c r="FV483"/>
      <c r="FW483"/>
      <c r="FX483"/>
      <c r="FY483"/>
      <c r="FZ483"/>
      <c r="GA483"/>
      <c r="GB483"/>
      <c r="GC483"/>
      <c r="GD483"/>
    </row>
    <row r="484" spans="1:186" x14ac:dyDescent="0.15">
      <c r="A484" s="30" t="s">
        <v>146</v>
      </c>
      <c r="AG484"/>
      <c r="AH484"/>
      <c r="AJ484"/>
      <c r="AK484"/>
      <c r="AL484"/>
      <c r="AM484"/>
      <c r="AO484"/>
      <c r="AP484"/>
      <c r="AQ484"/>
      <c r="AR484"/>
      <c r="AS484"/>
      <c r="AT484"/>
      <c r="AU484"/>
      <c r="AV484"/>
      <c r="AW484"/>
      <c r="AX484"/>
      <c r="AY484"/>
      <c r="AZ484"/>
      <c r="BA484"/>
      <c r="BB484"/>
      <c r="BC484"/>
      <c r="BD484"/>
      <c r="BE484"/>
      <c r="BF484"/>
      <c r="BH484"/>
      <c r="BI484"/>
      <c r="BJ484"/>
      <c r="BK484"/>
      <c r="BL484"/>
      <c r="BM484"/>
      <c r="BN484"/>
      <c r="BP484"/>
      <c r="BQ484"/>
      <c r="BR484"/>
      <c r="BS484"/>
      <c r="BT484"/>
      <c r="BU484"/>
      <c r="BV484"/>
      <c r="BW484"/>
      <c r="BZ484"/>
      <c r="CA484"/>
      <c r="CB484"/>
      <c r="CC484"/>
      <c r="CD484"/>
      <c r="CF484"/>
      <c r="CG484"/>
      <c r="CH484"/>
      <c r="CI484"/>
      <c r="CJ484"/>
      <c r="CK484"/>
      <c r="CL484"/>
      <c r="CM484"/>
      <c r="CN484"/>
      <c r="CO484"/>
      <c r="CP484"/>
      <c r="CQ484"/>
      <c r="CR484"/>
      <c r="CS484"/>
      <c r="CT484"/>
      <c r="CU484"/>
      <c r="CV484"/>
      <c r="CW484"/>
      <c r="CX484"/>
      <c r="CY484"/>
      <c r="CZ484"/>
      <c r="DA484"/>
      <c r="DB484"/>
      <c r="DC484"/>
      <c r="DD484"/>
      <c r="DE484"/>
      <c r="DG484"/>
      <c r="DH484"/>
      <c r="DI484"/>
      <c r="DJ484"/>
      <c r="DK484"/>
      <c r="DL484"/>
      <c r="DM484"/>
      <c r="DN484"/>
      <c r="DO484"/>
      <c r="DP484"/>
      <c r="DQ484"/>
      <c r="DR484"/>
      <c r="DS484"/>
      <c r="DT484"/>
      <c r="DU484"/>
      <c r="DV484"/>
      <c r="DW484"/>
      <c r="DZ484"/>
      <c r="EA484"/>
      <c r="EB484"/>
      <c r="EC484"/>
      <c r="ED484"/>
      <c r="EE484"/>
      <c r="EF484"/>
      <c r="EG484"/>
      <c r="EJ484"/>
      <c r="EK484"/>
      <c r="EL484"/>
      <c r="EM484"/>
      <c r="EN484"/>
      <c r="EO484"/>
      <c r="EP484"/>
      <c r="EQ484"/>
      <c r="ER484"/>
      <c r="ES484"/>
      <c r="ET484"/>
      <c r="EU484"/>
      <c r="EV484"/>
      <c r="EW484"/>
      <c r="EX484"/>
      <c r="EY484"/>
      <c r="EZ484"/>
      <c r="FA484"/>
      <c r="FB484"/>
      <c r="FC484"/>
      <c r="FD484"/>
      <c r="FE484"/>
      <c r="FF484"/>
      <c r="FG484"/>
      <c r="FH484"/>
      <c r="FK484"/>
      <c r="FL484"/>
      <c r="FM484"/>
      <c r="FN484"/>
      <c r="FO484"/>
      <c r="FP484"/>
      <c r="FQ484"/>
      <c r="FR484"/>
      <c r="FS484"/>
      <c r="FT484"/>
      <c r="FU484"/>
      <c r="FV484"/>
      <c r="FW484"/>
      <c r="FX484"/>
      <c r="FY484"/>
      <c r="FZ484"/>
      <c r="GA484"/>
      <c r="GB484"/>
      <c r="GC484"/>
      <c r="GD484"/>
    </row>
    <row r="485" spans="1:186" x14ac:dyDescent="0.15">
      <c r="A485" s="30" t="s">
        <v>145</v>
      </c>
      <c r="AG485"/>
      <c r="AH485"/>
      <c r="AJ485"/>
      <c r="AK485"/>
      <c r="AL485"/>
      <c r="AM485"/>
      <c r="AO485"/>
      <c r="AP485"/>
      <c r="AQ485"/>
      <c r="AR485"/>
      <c r="AS485"/>
      <c r="AT485"/>
      <c r="AU485"/>
      <c r="AV485"/>
      <c r="AW485"/>
      <c r="AX485"/>
      <c r="AY485"/>
      <c r="AZ485"/>
      <c r="BA485"/>
      <c r="BB485"/>
      <c r="BC485"/>
      <c r="BD485"/>
      <c r="BE485"/>
      <c r="BF485"/>
      <c r="BH485"/>
      <c r="BI485"/>
      <c r="BJ485"/>
      <c r="BK485"/>
      <c r="BL485"/>
      <c r="BM485"/>
      <c r="BN485"/>
      <c r="BP485"/>
      <c r="BQ485"/>
      <c r="BR485"/>
      <c r="BS485"/>
      <c r="BT485"/>
      <c r="BU485"/>
      <c r="BV485"/>
      <c r="BW485"/>
      <c r="BZ485"/>
      <c r="CA485"/>
      <c r="CB485"/>
      <c r="CC485"/>
      <c r="CD485"/>
      <c r="CF485"/>
      <c r="CG485"/>
      <c r="CH485"/>
      <c r="CI485"/>
      <c r="CJ485"/>
      <c r="CK485"/>
      <c r="CL485"/>
      <c r="CM485"/>
      <c r="CN485"/>
      <c r="CO485"/>
      <c r="CP485"/>
      <c r="CQ485"/>
      <c r="CR485"/>
      <c r="CS485"/>
      <c r="CT485"/>
      <c r="CU485"/>
      <c r="CV485"/>
      <c r="CW485"/>
      <c r="CX485"/>
      <c r="CY485"/>
      <c r="CZ485"/>
      <c r="DA485"/>
      <c r="DB485"/>
      <c r="DC485"/>
      <c r="DD485"/>
      <c r="DE485"/>
      <c r="DG485"/>
      <c r="DH485"/>
      <c r="DI485"/>
      <c r="DJ485"/>
      <c r="DK485"/>
      <c r="DL485"/>
      <c r="DM485"/>
      <c r="DN485"/>
      <c r="DO485"/>
      <c r="DP485"/>
      <c r="DQ485"/>
      <c r="DR485"/>
      <c r="DS485"/>
      <c r="DT485"/>
      <c r="DU485"/>
      <c r="DV485"/>
      <c r="DW485"/>
      <c r="DZ485"/>
      <c r="EA485"/>
      <c r="EB485"/>
      <c r="EC485"/>
      <c r="ED485"/>
      <c r="EE485"/>
      <c r="EF485"/>
      <c r="EG485"/>
      <c r="EJ485"/>
      <c r="EK485"/>
      <c r="EL485"/>
      <c r="EM485"/>
      <c r="EN485"/>
      <c r="EO485"/>
      <c r="EP485"/>
      <c r="EQ485"/>
      <c r="ER485"/>
      <c r="ES485"/>
      <c r="ET485"/>
      <c r="EU485"/>
      <c r="EV485"/>
      <c r="EW485"/>
      <c r="EX485"/>
      <c r="EY485"/>
      <c r="EZ485"/>
      <c r="FA485"/>
      <c r="FB485"/>
      <c r="FC485"/>
      <c r="FD485"/>
      <c r="FE485"/>
      <c r="FF485"/>
      <c r="FG485"/>
      <c r="FH485"/>
      <c r="FK485"/>
      <c r="FL485"/>
      <c r="FM485"/>
      <c r="FN485"/>
      <c r="FO485"/>
      <c r="FP485"/>
      <c r="FQ485"/>
      <c r="FR485"/>
      <c r="FS485"/>
      <c r="FT485"/>
      <c r="FU485"/>
      <c r="FV485"/>
      <c r="FW485"/>
      <c r="FX485"/>
      <c r="FY485"/>
      <c r="FZ485"/>
      <c r="GA485"/>
      <c r="GB485"/>
      <c r="GC485"/>
      <c r="GD485"/>
    </row>
    <row r="486" spans="1:186" x14ac:dyDescent="0.15">
      <c r="A486" s="30" t="s">
        <v>144</v>
      </c>
      <c r="AG486"/>
      <c r="AH486"/>
      <c r="AJ486"/>
      <c r="AK486"/>
      <c r="AL486"/>
      <c r="AM486"/>
      <c r="AO486"/>
      <c r="AP486"/>
      <c r="AQ486"/>
      <c r="AR486"/>
      <c r="AS486"/>
      <c r="AT486"/>
      <c r="AU486"/>
      <c r="AV486"/>
      <c r="AW486"/>
      <c r="AX486"/>
      <c r="AY486"/>
      <c r="AZ486"/>
      <c r="BA486"/>
      <c r="BB486"/>
      <c r="BC486"/>
      <c r="BD486"/>
      <c r="BE486"/>
      <c r="BF486"/>
      <c r="BH486"/>
      <c r="BI486"/>
      <c r="BJ486"/>
      <c r="BK486"/>
      <c r="BL486"/>
      <c r="BM486"/>
      <c r="BN486"/>
      <c r="BP486"/>
      <c r="BQ486"/>
      <c r="BR486"/>
      <c r="BS486"/>
      <c r="BT486"/>
      <c r="BU486"/>
      <c r="BV486"/>
      <c r="BW486"/>
      <c r="BZ486"/>
      <c r="CA486"/>
      <c r="CB486"/>
      <c r="CC486"/>
      <c r="CD486"/>
      <c r="CF486"/>
      <c r="CG486"/>
      <c r="CH486"/>
      <c r="CI486"/>
      <c r="CJ486"/>
      <c r="CK486"/>
      <c r="CL486"/>
      <c r="CM486"/>
      <c r="CN486"/>
      <c r="CO486"/>
      <c r="CP486"/>
      <c r="CQ486"/>
      <c r="CR486"/>
      <c r="CS486"/>
      <c r="CT486"/>
      <c r="CU486"/>
      <c r="CV486"/>
      <c r="CW486"/>
      <c r="CX486"/>
      <c r="CY486"/>
      <c r="CZ486"/>
      <c r="DA486"/>
      <c r="DB486"/>
      <c r="DC486"/>
      <c r="DD486"/>
      <c r="DE486"/>
      <c r="DG486"/>
      <c r="DH486"/>
      <c r="DI486"/>
      <c r="DJ486"/>
      <c r="DK486"/>
      <c r="DL486"/>
      <c r="DM486"/>
      <c r="DN486"/>
      <c r="DO486"/>
      <c r="DP486"/>
      <c r="DQ486"/>
      <c r="DR486"/>
      <c r="DS486"/>
      <c r="DT486"/>
      <c r="DU486"/>
      <c r="DV486"/>
      <c r="DW486"/>
      <c r="DZ486"/>
      <c r="EA486"/>
      <c r="EB486"/>
      <c r="EC486"/>
      <c r="ED486"/>
      <c r="EE486"/>
      <c r="EF486"/>
      <c r="EG486"/>
      <c r="EJ486"/>
      <c r="EK486"/>
      <c r="EL486"/>
      <c r="EM486"/>
      <c r="EN486"/>
      <c r="EO486"/>
      <c r="EP486"/>
      <c r="EQ486"/>
      <c r="ER486"/>
      <c r="ES486"/>
      <c r="ET486"/>
      <c r="EU486"/>
      <c r="EV486"/>
      <c r="EW486"/>
      <c r="EX486"/>
      <c r="EY486"/>
      <c r="EZ486"/>
      <c r="FA486"/>
      <c r="FB486"/>
      <c r="FC486"/>
      <c r="FD486"/>
      <c r="FE486"/>
      <c r="FF486"/>
      <c r="FG486"/>
      <c r="FH486"/>
      <c r="FK486"/>
      <c r="FL486"/>
      <c r="FM486"/>
      <c r="FN486"/>
      <c r="FO486"/>
      <c r="FP486"/>
      <c r="FQ486"/>
      <c r="FR486"/>
      <c r="FS486"/>
      <c r="FT486"/>
      <c r="FU486"/>
      <c r="FV486"/>
      <c r="FW486"/>
      <c r="FX486"/>
      <c r="FY486"/>
      <c r="FZ486"/>
      <c r="GA486"/>
      <c r="GB486"/>
      <c r="GC486"/>
      <c r="GD486"/>
    </row>
    <row r="487" spans="1:186" x14ac:dyDescent="0.15">
      <c r="A487" s="30" t="s">
        <v>143</v>
      </c>
      <c r="AG487"/>
      <c r="AH487"/>
      <c r="AJ487"/>
      <c r="AK487"/>
      <c r="AL487"/>
      <c r="AM487"/>
      <c r="AO487"/>
      <c r="AP487"/>
      <c r="AQ487"/>
      <c r="AR487"/>
      <c r="AS487"/>
      <c r="AT487"/>
      <c r="AU487"/>
      <c r="AV487"/>
      <c r="AW487"/>
      <c r="AX487"/>
      <c r="AY487"/>
      <c r="AZ487"/>
      <c r="BA487"/>
      <c r="BB487"/>
      <c r="BC487"/>
      <c r="BD487"/>
      <c r="BE487"/>
      <c r="BF487"/>
      <c r="BH487"/>
      <c r="BI487"/>
      <c r="BJ487"/>
      <c r="BK487"/>
      <c r="BL487"/>
      <c r="BM487"/>
      <c r="BN487"/>
      <c r="BP487"/>
      <c r="BQ487"/>
      <c r="BR487"/>
      <c r="BS487"/>
      <c r="BT487"/>
      <c r="BU487"/>
      <c r="BV487"/>
      <c r="BW487"/>
      <c r="BZ487"/>
      <c r="CA487"/>
      <c r="CB487"/>
      <c r="CC487"/>
      <c r="CD487"/>
      <c r="CF487"/>
      <c r="CG487"/>
      <c r="CH487"/>
      <c r="CI487"/>
      <c r="CJ487"/>
      <c r="CK487"/>
      <c r="CL487"/>
      <c r="CM487"/>
      <c r="CN487"/>
      <c r="CO487"/>
      <c r="CP487"/>
      <c r="CQ487"/>
      <c r="CR487"/>
      <c r="CS487"/>
      <c r="CT487"/>
      <c r="CU487"/>
      <c r="CV487"/>
      <c r="CW487"/>
      <c r="CX487"/>
      <c r="CY487"/>
      <c r="CZ487"/>
      <c r="DA487"/>
      <c r="DB487"/>
      <c r="DC487"/>
      <c r="DD487"/>
      <c r="DE487"/>
      <c r="DG487"/>
      <c r="DH487"/>
      <c r="DI487"/>
      <c r="DJ487"/>
      <c r="DK487"/>
      <c r="DL487"/>
      <c r="DM487"/>
      <c r="DN487"/>
      <c r="DO487"/>
      <c r="DP487"/>
      <c r="DQ487"/>
      <c r="DR487"/>
      <c r="DS487"/>
      <c r="DT487"/>
      <c r="DU487"/>
      <c r="DV487"/>
      <c r="DW487"/>
      <c r="DZ487"/>
      <c r="EA487"/>
      <c r="EB487"/>
      <c r="EC487"/>
      <c r="ED487"/>
      <c r="EE487"/>
      <c r="EF487"/>
      <c r="EG487"/>
      <c r="EJ487"/>
      <c r="EK487"/>
      <c r="EL487"/>
      <c r="EM487"/>
      <c r="EN487"/>
      <c r="EO487"/>
      <c r="EP487"/>
      <c r="EQ487"/>
      <c r="ER487"/>
      <c r="ES487"/>
      <c r="ET487"/>
      <c r="EU487"/>
      <c r="EV487"/>
      <c r="EW487"/>
      <c r="EX487"/>
      <c r="EY487"/>
      <c r="EZ487"/>
      <c r="FA487"/>
      <c r="FB487"/>
      <c r="FC487"/>
      <c r="FD487"/>
      <c r="FE487"/>
      <c r="FF487"/>
      <c r="FG487"/>
      <c r="FH487"/>
      <c r="FK487"/>
      <c r="FL487"/>
      <c r="FM487"/>
      <c r="FN487"/>
      <c r="FO487"/>
      <c r="FP487"/>
      <c r="FQ487"/>
      <c r="FR487"/>
      <c r="FS487"/>
      <c r="FT487"/>
      <c r="FU487"/>
      <c r="FV487"/>
      <c r="FW487"/>
      <c r="FX487"/>
      <c r="FY487"/>
      <c r="FZ487"/>
      <c r="GA487"/>
      <c r="GB487"/>
      <c r="GC487"/>
      <c r="GD487"/>
    </row>
    <row r="488" spans="1:186" x14ac:dyDescent="0.15">
      <c r="A488" s="30" t="s">
        <v>142</v>
      </c>
      <c r="AG488"/>
      <c r="AH488"/>
      <c r="AJ488"/>
      <c r="AK488"/>
      <c r="AL488"/>
      <c r="AM488"/>
      <c r="AO488"/>
      <c r="AP488"/>
      <c r="AQ488"/>
      <c r="AR488"/>
      <c r="AS488"/>
      <c r="AT488"/>
      <c r="AU488"/>
      <c r="AV488"/>
      <c r="AW488"/>
      <c r="AX488"/>
      <c r="AY488"/>
      <c r="AZ488"/>
      <c r="BA488"/>
      <c r="BB488"/>
      <c r="BC488"/>
      <c r="BD488"/>
      <c r="BE488"/>
      <c r="BF488"/>
      <c r="BH488"/>
      <c r="BI488"/>
      <c r="BJ488"/>
      <c r="BK488"/>
      <c r="BL488"/>
      <c r="BM488"/>
      <c r="BN488"/>
      <c r="BP488"/>
      <c r="BQ488"/>
      <c r="BR488"/>
      <c r="BS488"/>
      <c r="BT488"/>
      <c r="BU488"/>
      <c r="BV488"/>
      <c r="BW488"/>
      <c r="BZ488"/>
      <c r="CA488"/>
      <c r="CB488"/>
      <c r="CC488"/>
      <c r="CD488"/>
      <c r="CF488"/>
      <c r="CG488"/>
      <c r="CH488"/>
      <c r="CI488"/>
      <c r="CJ488"/>
      <c r="CK488"/>
      <c r="CL488"/>
      <c r="CM488"/>
      <c r="CN488"/>
      <c r="CO488"/>
      <c r="CP488"/>
      <c r="CQ488"/>
      <c r="CR488"/>
      <c r="CS488"/>
      <c r="CT488"/>
      <c r="CU488"/>
      <c r="CV488"/>
      <c r="CW488"/>
      <c r="CX488"/>
      <c r="CY488"/>
      <c r="CZ488"/>
      <c r="DA488"/>
      <c r="DB488"/>
      <c r="DC488"/>
      <c r="DD488"/>
      <c r="DE488"/>
      <c r="DG488"/>
      <c r="DH488"/>
      <c r="DI488"/>
      <c r="DJ488"/>
      <c r="DK488"/>
      <c r="DL488"/>
      <c r="DM488"/>
      <c r="DN488"/>
      <c r="DO488"/>
      <c r="DP488"/>
      <c r="DQ488"/>
      <c r="DR488"/>
      <c r="DS488"/>
      <c r="DT488"/>
      <c r="DU488"/>
      <c r="DV488"/>
      <c r="DW488"/>
      <c r="DZ488"/>
      <c r="EA488"/>
      <c r="EB488"/>
      <c r="EC488"/>
      <c r="ED488"/>
      <c r="EE488"/>
      <c r="EF488"/>
      <c r="EG488"/>
      <c r="EJ488"/>
      <c r="EK488"/>
      <c r="EL488"/>
      <c r="EM488"/>
      <c r="EN488"/>
      <c r="EO488"/>
      <c r="EP488"/>
      <c r="EQ488"/>
      <c r="ER488"/>
      <c r="ES488"/>
      <c r="ET488"/>
      <c r="EU488"/>
      <c r="EV488"/>
      <c r="EW488"/>
      <c r="EX488"/>
      <c r="EY488"/>
      <c r="EZ488"/>
      <c r="FA488"/>
      <c r="FB488"/>
      <c r="FC488"/>
      <c r="FD488"/>
      <c r="FE488"/>
      <c r="FF488"/>
      <c r="FG488"/>
      <c r="FH488"/>
      <c r="FK488"/>
      <c r="FL488"/>
      <c r="FM488"/>
      <c r="FN488"/>
      <c r="FO488"/>
      <c r="FP488"/>
      <c r="FQ488"/>
      <c r="FR488"/>
      <c r="FS488"/>
      <c r="FT488"/>
      <c r="FU488"/>
      <c r="FV488"/>
      <c r="FW488"/>
      <c r="FX488"/>
      <c r="FY488"/>
      <c r="FZ488"/>
      <c r="GA488"/>
      <c r="GB488"/>
      <c r="GC488"/>
      <c r="GD488"/>
    </row>
    <row r="489" spans="1:186" x14ac:dyDescent="0.15">
      <c r="A489" s="30" t="s">
        <v>141</v>
      </c>
      <c r="AG489"/>
      <c r="AH489"/>
      <c r="AJ489"/>
      <c r="AK489"/>
      <c r="AL489"/>
      <c r="AM489"/>
      <c r="AO489"/>
      <c r="AP489"/>
      <c r="AQ489"/>
      <c r="AR489"/>
      <c r="AS489"/>
      <c r="AT489"/>
      <c r="AU489"/>
      <c r="AV489"/>
      <c r="AW489"/>
      <c r="AX489"/>
      <c r="AY489"/>
      <c r="AZ489"/>
      <c r="BA489"/>
      <c r="BB489"/>
      <c r="BC489"/>
      <c r="BD489"/>
      <c r="BE489"/>
      <c r="BF489"/>
      <c r="BH489"/>
      <c r="BI489"/>
      <c r="BJ489"/>
      <c r="BK489"/>
      <c r="BL489"/>
      <c r="BM489"/>
      <c r="BN489"/>
      <c r="BP489"/>
      <c r="BQ489"/>
      <c r="BR489"/>
      <c r="BS489"/>
      <c r="BT489"/>
      <c r="BU489"/>
      <c r="BV489"/>
      <c r="BW489"/>
      <c r="BZ489"/>
      <c r="CA489"/>
      <c r="CB489"/>
      <c r="CC489"/>
      <c r="CD489"/>
      <c r="CF489"/>
      <c r="CG489"/>
      <c r="CH489"/>
      <c r="CI489"/>
      <c r="CJ489"/>
      <c r="CK489"/>
      <c r="CL489"/>
      <c r="CM489"/>
      <c r="CN489"/>
      <c r="CO489"/>
      <c r="CP489"/>
      <c r="CQ489"/>
      <c r="CR489"/>
      <c r="CS489"/>
      <c r="CT489"/>
      <c r="CU489"/>
      <c r="CV489"/>
      <c r="CW489"/>
      <c r="CX489"/>
      <c r="CY489"/>
      <c r="CZ489"/>
      <c r="DA489"/>
      <c r="DB489"/>
      <c r="DC489"/>
      <c r="DD489"/>
      <c r="DE489"/>
      <c r="DG489"/>
      <c r="DH489"/>
      <c r="DI489"/>
      <c r="DJ489"/>
      <c r="DK489"/>
      <c r="DL489"/>
      <c r="DM489"/>
      <c r="DN489"/>
      <c r="DO489"/>
      <c r="DP489"/>
      <c r="DQ489"/>
      <c r="DR489"/>
      <c r="DS489"/>
      <c r="DT489"/>
      <c r="DU489"/>
      <c r="DV489"/>
      <c r="DW489"/>
      <c r="DZ489"/>
      <c r="EA489"/>
      <c r="EB489"/>
      <c r="EC489"/>
      <c r="ED489"/>
      <c r="EE489"/>
      <c r="EF489"/>
      <c r="EG489"/>
      <c r="EJ489"/>
      <c r="EK489"/>
      <c r="EL489"/>
      <c r="EM489"/>
      <c r="EN489"/>
      <c r="EO489"/>
      <c r="EP489"/>
      <c r="EQ489"/>
      <c r="ER489"/>
      <c r="ES489"/>
      <c r="ET489"/>
      <c r="EU489"/>
      <c r="EV489"/>
      <c r="EW489"/>
      <c r="EX489"/>
      <c r="EY489"/>
      <c r="EZ489"/>
      <c r="FA489"/>
      <c r="FB489"/>
      <c r="FC489"/>
      <c r="FD489"/>
      <c r="FE489"/>
      <c r="FF489"/>
      <c r="FG489"/>
      <c r="FH489"/>
      <c r="FK489"/>
      <c r="FL489"/>
      <c r="FM489"/>
      <c r="FN489"/>
      <c r="FO489"/>
      <c r="FP489"/>
      <c r="FQ489"/>
      <c r="FR489"/>
      <c r="FS489"/>
      <c r="FT489"/>
      <c r="FU489"/>
      <c r="FV489"/>
      <c r="FW489"/>
      <c r="FX489"/>
      <c r="FY489"/>
      <c r="FZ489"/>
      <c r="GA489"/>
      <c r="GB489"/>
      <c r="GC489"/>
      <c r="GD489"/>
    </row>
    <row r="490" spans="1:186" x14ac:dyDescent="0.15">
      <c r="A490" s="30" t="s">
        <v>140</v>
      </c>
      <c r="AG490"/>
      <c r="AH490"/>
      <c r="AJ490"/>
      <c r="AK490"/>
      <c r="AL490"/>
      <c r="AM490"/>
      <c r="AO490"/>
      <c r="AP490"/>
      <c r="AQ490"/>
      <c r="AR490"/>
      <c r="AS490"/>
      <c r="AT490"/>
      <c r="AU490"/>
      <c r="AV490"/>
      <c r="AW490"/>
      <c r="AX490"/>
      <c r="AY490"/>
      <c r="AZ490"/>
      <c r="BA490"/>
      <c r="BB490"/>
      <c r="BC490"/>
      <c r="BD490"/>
      <c r="BE490"/>
      <c r="BF490"/>
      <c r="BH490"/>
      <c r="BI490"/>
      <c r="BJ490"/>
      <c r="BK490"/>
      <c r="BL490"/>
      <c r="BM490"/>
      <c r="BN490"/>
      <c r="BP490"/>
      <c r="BQ490"/>
      <c r="BR490"/>
      <c r="BS490"/>
      <c r="BT490"/>
      <c r="BU490"/>
      <c r="BV490"/>
      <c r="BW490"/>
      <c r="BZ490"/>
      <c r="CA490"/>
      <c r="CB490"/>
      <c r="CC490"/>
      <c r="CD490"/>
      <c r="CF490"/>
      <c r="CG490"/>
      <c r="CH490"/>
      <c r="CI490"/>
      <c r="CJ490"/>
      <c r="CK490"/>
      <c r="CL490"/>
      <c r="CM490"/>
      <c r="CN490"/>
      <c r="CO490"/>
      <c r="CP490"/>
      <c r="CQ490"/>
      <c r="CR490"/>
      <c r="CS490"/>
      <c r="CT490"/>
      <c r="CU490"/>
      <c r="CV490"/>
      <c r="CW490"/>
      <c r="CX490"/>
      <c r="CY490"/>
      <c r="CZ490"/>
      <c r="DA490"/>
      <c r="DB490"/>
      <c r="DC490"/>
      <c r="DD490"/>
      <c r="DE490"/>
      <c r="DG490"/>
      <c r="DH490"/>
      <c r="DI490"/>
      <c r="DJ490"/>
      <c r="DK490"/>
      <c r="DL490"/>
      <c r="DM490"/>
      <c r="DN490"/>
      <c r="DO490"/>
      <c r="DP490"/>
      <c r="DQ490"/>
      <c r="DR490"/>
      <c r="DS490"/>
      <c r="DT490"/>
      <c r="DU490"/>
      <c r="DV490"/>
      <c r="DW490"/>
      <c r="DZ490"/>
      <c r="EA490"/>
      <c r="EB490"/>
      <c r="EC490"/>
      <c r="ED490"/>
      <c r="EE490"/>
      <c r="EF490"/>
      <c r="EG490"/>
      <c r="EJ490"/>
      <c r="EK490"/>
      <c r="EL490"/>
      <c r="EM490"/>
      <c r="EN490"/>
      <c r="EO490"/>
      <c r="EP490"/>
      <c r="EQ490"/>
      <c r="ER490"/>
      <c r="ES490"/>
      <c r="ET490"/>
      <c r="EU490"/>
      <c r="EV490"/>
      <c r="EW490"/>
      <c r="EX490"/>
      <c r="EY490"/>
      <c r="EZ490"/>
      <c r="FA490"/>
      <c r="FB490"/>
      <c r="FC490"/>
      <c r="FD490"/>
      <c r="FE490"/>
      <c r="FF490"/>
      <c r="FG490"/>
      <c r="FH490"/>
      <c r="FK490"/>
      <c r="FL490"/>
      <c r="FM490"/>
      <c r="FN490"/>
      <c r="FO490"/>
      <c r="FP490"/>
      <c r="FQ490"/>
      <c r="FR490"/>
      <c r="FS490"/>
      <c r="FT490"/>
      <c r="FU490"/>
      <c r="FV490"/>
      <c r="FW490"/>
      <c r="FX490"/>
      <c r="FY490"/>
      <c r="FZ490"/>
      <c r="GA490"/>
      <c r="GB490"/>
      <c r="GC490"/>
      <c r="GD490"/>
    </row>
    <row r="491" spans="1:186" x14ac:dyDescent="0.15">
      <c r="A491" s="30" t="s">
        <v>139</v>
      </c>
      <c r="AG491"/>
      <c r="AH491"/>
      <c r="AJ491"/>
      <c r="AK491"/>
      <c r="AL491"/>
      <c r="AM491"/>
      <c r="AO491"/>
      <c r="AP491"/>
      <c r="AQ491"/>
      <c r="AR491"/>
      <c r="AS491"/>
      <c r="AT491"/>
      <c r="AU491"/>
      <c r="AV491"/>
      <c r="AW491"/>
      <c r="AX491"/>
      <c r="AY491"/>
      <c r="AZ491"/>
      <c r="BA491"/>
      <c r="BB491"/>
      <c r="BC491"/>
      <c r="BD491"/>
      <c r="BE491"/>
      <c r="BF491"/>
      <c r="BH491"/>
      <c r="BI491"/>
      <c r="BJ491"/>
      <c r="BK491"/>
      <c r="BL491"/>
      <c r="BM491"/>
      <c r="BN491"/>
      <c r="BP491"/>
      <c r="BQ491"/>
      <c r="BR491"/>
      <c r="BS491"/>
      <c r="BT491"/>
      <c r="BU491"/>
      <c r="BV491"/>
      <c r="BW491"/>
      <c r="BZ491"/>
      <c r="CA491"/>
      <c r="CB491"/>
      <c r="CC491"/>
      <c r="CD491"/>
      <c r="CF491"/>
      <c r="CG491"/>
      <c r="CH491"/>
      <c r="CI491"/>
      <c r="CJ491"/>
      <c r="CK491"/>
      <c r="CL491"/>
      <c r="CM491"/>
      <c r="CN491"/>
      <c r="CO491"/>
      <c r="CP491"/>
      <c r="CQ491"/>
      <c r="CR491"/>
      <c r="CS491"/>
      <c r="CT491"/>
      <c r="CU491"/>
      <c r="CV491"/>
      <c r="CW491"/>
      <c r="CX491"/>
      <c r="CY491"/>
      <c r="CZ491"/>
      <c r="DA491"/>
      <c r="DB491"/>
      <c r="DC491"/>
      <c r="DD491"/>
      <c r="DE491"/>
      <c r="DG491"/>
      <c r="DH491"/>
      <c r="DI491"/>
      <c r="DJ491"/>
      <c r="DK491"/>
      <c r="DL491"/>
      <c r="DM491"/>
      <c r="DN491"/>
      <c r="DO491"/>
      <c r="DP491"/>
      <c r="DQ491"/>
      <c r="DR491"/>
      <c r="DS491"/>
      <c r="DT491"/>
      <c r="DU491"/>
      <c r="DV491"/>
      <c r="DW491"/>
      <c r="DZ491"/>
      <c r="EA491"/>
      <c r="EB491"/>
      <c r="EC491"/>
      <c r="ED491"/>
      <c r="EE491"/>
      <c r="EF491"/>
      <c r="EG491"/>
      <c r="EJ491"/>
      <c r="EK491"/>
      <c r="EL491"/>
      <c r="EM491"/>
      <c r="EN491"/>
      <c r="EO491"/>
      <c r="EP491"/>
      <c r="EQ491"/>
      <c r="ER491"/>
      <c r="ES491"/>
      <c r="ET491"/>
      <c r="EU491"/>
      <c r="EV491"/>
      <c r="EW491"/>
      <c r="EX491"/>
      <c r="EY491"/>
      <c r="EZ491"/>
      <c r="FA491"/>
      <c r="FB491"/>
      <c r="FC491"/>
      <c r="FD491"/>
      <c r="FE491"/>
      <c r="FF491"/>
      <c r="FG491"/>
      <c r="FH491"/>
      <c r="FK491"/>
      <c r="FL491"/>
      <c r="FM491"/>
      <c r="FN491"/>
      <c r="FO491"/>
      <c r="FP491"/>
      <c r="FQ491"/>
      <c r="FR491"/>
      <c r="FS491"/>
      <c r="FT491"/>
      <c r="FU491"/>
      <c r="FV491"/>
      <c r="FW491"/>
      <c r="FX491"/>
      <c r="FY491"/>
      <c r="FZ491"/>
      <c r="GA491"/>
      <c r="GB491"/>
      <c r="GC491"/>
      <c r="GD491"/>
    </row>
    <row r="492" spans="1:186" x14ac:dyDescent="0.15">
      <c r="A492" s="30" t="s">
        <v>138</v>
      </c>
      <c r="AG492"/>
      <c r="AH492"/>
      <c r="AJ492"/>
      <c r="AK492"/>
      <c r="AL492"/>
      <c r="AM492"/>
      <c r="AO492"/>
      <c r="AP492"/>
      <c r="AQ492"/>
      <c r="AR492"/>
      <c r="AS492"/>
      <c r="AT492"/>
      <c r="AU492"/>
      <c r="AV492"/>
      <c r="AW492"/>
      <c r="AX492"/>
      <c r="AY492"/>
      <c r="AZ492"/>
      <c r="BA492"/>
      <c r="BB492"/>
      <c r="BC492"/>
      <c r="BD492"/>
      <c r="BE492"/>
      <c r="BF492"/>
      <c r="BH492"/>
      <c r="BI492"/>
      <c r="BJ492"/>
      <c r="BK492"/>
      <c r="BL492"/>
      <c r="BM492"/>
      <c r="BN492"/>
      <c r="BP492"/>
      <c r="BQ492"/>
      <c r="BR492"/>
      <c r="BS492"/>
      <c r="BT492"/>
      <c r="BU492"/>
      <c r="BV492"/>
      <c r="BW492"/>
      <c r="BZ492"/>
      <c r="CA492"/>
      <c r="CB492"/>
      <c r="CC492"/>
      <c r="CD492"/>
      <c r="CF492"/>
      <c r="CG492"/>
      <c r="CH492"/>
      <c r="CI492"/>
      <c r="CJ492"/>
      <c r="CK492"/>
      <c r="CL492"/>
      <c r="CM492"/>
      <c r="CN492"/>
      <c r="CO492"/>
      <c r="CP492"/>
      <c r="CQ492"/>
      <c r="CR492"/>
      <c r="CS492"/>
      <c r="CT492"/>
      <c r="CU492"/>
      <c r="CV492"/>
      <c r="CW492"/>
      <c r="CX492"/>
      <c r="CY492"/>
      <c r="CZ492"/>
      <c r="DA492"/>
      <c r="DB492"/>
      <c r="DC492"/>
      <c r="DD492"/>
      <c r="DE492"/>
      <c r="DG492"/>
      <c r="DH492"/>
      <c r="DI492"/>
      <c r="DJ492"/>
      <c r="DK492"/>
      <c r="DL492"/>
      <c r="DM492"/>
      <c r="DN492"/>
      <c r="DO492"/>
      <c r="DP492"/>
      <c r="DQ492"/>
      <c r="DR492"/>
      <c r="DS492"/>
      <c r="DT492"/>
      <c r="DU492"/>
      <c r="DV492"/>
      <c r="DW492"/>
      <c r="DZ492"/>
      <c r="EA492"/>
      <c r="EB492"/>
      <c r="EC492"/>
      <c r="ED492"/>
      <c r="EE492"/>
      <c r="EF492"/>
      <c r="EG492"/>
      <c r="EJ492"/>
      <c r="EK492"/>
      <c r="EL492"/>
      <c r="EM492"/>
      <c r="EN492"/>
      <c r="EO492"/>
      <c r="EP492"/>
      <c r="EQ492"/>
      <c r="ER492"/>
      <c r="ES492"/>
      <c r="ET492"/>
      <c r="EU492"/>
      <c r="EV492"/>
      <c r="EW492"/>
      <c r="EX492"/>
      <c r="EY492"/>
      <c r="EZ492"/>
      <c r="FA492"/>
      <c r="FB492"/>
      <c r="FC492"/>
      <c r="FD492"/>
      <c r="FE492"/>
      <c r="FF492"/>
      <c r="FG492"/>
      <c r="FH492"/>
      <c r="FK492"/>
      <c r="FL492"/>
      <c r="FM492"/>
      <c r="FN492"/>
      <c r="FO492"/>
      <c r="FP492"/>
      <c r="FQ492"/>
      <c r="FR492"/>
      <c r="FS492"/>
      <c r="FT492"/>
      <c r="FU492"/>
      <c r="FV492"/>
      <c r="FW492"/>
      <c r="FX492"/>
      <c r="FY492"/>
      <c r="FZ492"/>
      <c r="GA492"/>
      <c r="GB492"/>
      <c r="GC492"/>
      <c r="GD492"/>
    </row>
    <row r="493" spans="1:186" x14ac:dyDescent="0.15">
      <c r="A493" s="30" t="s">
        <v>137</v>
      </c>
      <c r="AG493"/>
      <c r="AH493"/>
      <c r="AJ493"/>
      <c r="AK493"/>
      <c r="AL493"/>
      <c r="AM493"/>
      <c r="AO493"/>
      <c r="AP493"/>
      <c r="AQ493"/>
      <c r="AR493"/>
      <c r="AS493"/>
      <c r="AT493"/>
      <c r="AU493"/>
      <c r="AV493"/>
      <c r="AW493"/>
      <c r="AX493"/>
      <c r="AY493"/>
      <c r="AZ493"/>
      <c r="BA493"/>
      <c r="BB493"/>
      <c r="BC493"/>
      <c r="BD493"/>
      <c r="BE493"/>
      <c r="BF493"/>
      <c r="BH493"/>
      <c r="BI493"/>
      <c r="BJ493"/>
      <c r="BK493"/>
      <c r="BL493"/>
      <c r="BM493"/>
      <c r="BN493"/>
      <c r="BP493"/>
      <c r="BQ493"/>
      <c r="BR493"/>
      <c r="BS493"/>
      <c r="BT493"/>
      <c r="BU493"/>
      <c r="BV493"/>
      <c r="BW493"/>
      <c r="BZ493"/>
      <c r="CA493"/>
      <c r="CB493"/>
      <c r="CC493"/>
      <c r="CD493"/>
      <c r="CF493"/>
      <c r="CG493"/>
      <c r="CH493"/>
      <c r="CI493"/>
      <c r="CJ493"/>
      <c r="CK493"/>
      <c r="CL493"/>
      <c r="CM493"/>
      <c r="CN493"/>
      <c r="CO493"/>
      <c r="CP493"/>
      <c r="CQ493"/>
      <c r="CR493"/>
      <c r="CS493"/>
      <c r="CT493"/>
      <c r="CU493"/>
      <c r="CV493"/>
      <c r="CW493"/>
      <c r="CX493"/>
      <c r="CY493"/>
      <c r="CZ493"/>
      <c r="DA493"/>
      <c r="DB493"/>
      <c r="DC493"/>
      <c r="DD493"/>
      <c r="DE493"/>
      <c r="DG493"/>
      <c r="DH493"/>
      <c r="DI493"/>
      <c r="DJ493"/>
      <c r="DK493"/>
      <c r="DL493"/>
      <c r="DM493"/>
      <c r="DN493"/>
      <c r="DO493"/>
      <c r="DP493"/>
      <c r="DQ493"/>
      <c r="DR493"/>
      <c r="DS493"/>
      <c r="DT493"/>
      <c r="DU493"/>
      <c r="DV493"/>
      <c r="DW493"/>
      <c r="DZ493"/>
      <c r="EA493"/>
      <c r="EB493"/>
      <c r="EC493"/>
      <c r="ED493"/>
      <c r="EE493"/>
      <c r="EF493"/>
      <c r="EG493"/>
      <c r="EJ493"/>
      <c r="EK493"/>
      <c r="EL493"/>
      <c r="EM493"/>
      <c r="EN493"/>
      <c r="EO493"/>
      <c r="EP493"/>
      <c r="EQ493"/>
      <c r="ER493"/>
      <c r="ES493"/>
      <c r="ET493"/>
      <c r="EU493"/>
      <c r="EV493"/>
      <c r="EW493"/>
      <c r="EX493"/>
      <c r="EY493"/>
      <c r="EZ493"/>
      <c r="FA493"/>
      <c r="FB493"/>
      <c r="FC493"/>
      <c r="FD493"/>
      <c r="FE493"/>
      <c r="FF493"/>
      <c r="FG493"/>
      <c r="FH493"/>
      <c r="FK493"/>
      <c r="FL493"/>
      <c r="FM493"/>
      <c r="FN493"/>
      <c r="FO493"/>
      <c r="FP493"/>
      <c r="FQ493"/>
      <c r="FR493"/>
      <c r="FS493"/>
      <c r="FT493"/>
      <c r="FU493"/>
      <c r="FV493"/>
      <c r="FW493"/>
      <c r="FX493"/>
      <c r="FY493"/>
      <c r="FZ493"/>
      <c r="GA493"/>
      <c r="GB493"/>
      <c r="GC493"/>
      <c r="GD493"/>
    </row>
    <row r="494" spans="1:186" x14ac:dyDescent="0.15">
      <c r="AG494"/>
      <c r="AH494"/>
      <c r="AJ494"/>
      <c r="AK494"/>
      <c r="AL494"/>
      <c r="AM494"/>
      <c r="AO494"/>
      <c r="AP494"/>
      <c r="AQ494"/>
      <c r="AR494"/>
      <c r="AS494"/>
      <c r="AT494"/>
      <c r="AU494"/>
      <c r="AV494"/>
      <c r="AW494"/>
      <c r="AX494"/>
      <c r="AY494"/>
      <c r="AZ494"/>
      <c r="BA494"/>
      <c r="BB494"/>
      <c r="BC494"/>
      <c r="BD494"/>
      <c r="BE494"/>
      <c r="BF494"/>
      <c r="BH494"/>
      <c r="BI494"/>
      <c r="BJ494"/>
      <c r="BK494"/>
      <c r="BL494"/>
      <c r="BM494"/>
      <c r="BN494"/>
      <c r="BP494"/>
      <c r="BQ494"/>
      <c r="BR494"/>
      <c r="BS494"/>
      <c r="BT494"/>
      <c r="BU494"/>
      <c r="BV494"/>
      <c r="BW494"/>
      <c r="BZ494"/>
      <c r="CA494"/>
      <c r="CB494"/>
      <c r="CC494"/>
      <c r="CD494"/>
      <c r="CF494"/>
      <c r="CG494"/>
      <c r="CH494"/>
      <c r="CI494"/>
      <c r="CJ494"/>
      <c r="CK494"/>
      <c r="CL494"/>
      <c r="CM494"/>
      <c r="CN494"/>
      <c r="CO494"/>
      <c r="CP494"/>
      <c r="CQ494"/>
      <c r="CR494"/>
      <c r="CS494"/>
      <c r="CT494"/>
      <c r="CU494"/>
      <c r="CV494"/>
      <c r="CW494"/>
      <c r="CX494"/>
      <c r="CY494"/>
      <c r="CZ494"/>
      <c r="DA494"/>
      <c r="DB494"/>
      <c r="DC494"/>
      <c r="DD494"/>
      <c r="DE494"/>
      <c r="DG494"/>
      <c r="DH494"/>
      <c r="DI494"/>
      <c r="DJ494"/>
      <c r="DK494"/>
      <c r="DL494"/>
      <c r="DM494"/>
      <c r="DN494"/>
      <c r="DO494"/>
      <c r="DP494"/>
      <c r="DQ494"/>
      <c r="DR494"/>
      <c r="DS494"/>
      <c r="DT494"/>
      <c r="DU494"/>
      <c r="DV494"/>
      <c r="DW494"/>
      <c r="DZ494"/>
      <c r="EA494"/>
      <c r="EB494"/>
      <c r="EC494"/>
      <c r="ED494"/>
      <c r="EE494"/>
      <c r="EF494"/>
      <c r="EG494"/>
      <c r="EJ494"/>
      <c r="EK494"/>
      <c r="EL494"/>
      <c r="EM494"/>
      <c r="EN494"/>
      <c r="EO494"/>
      <c r="EP494"/>
      <c r="EQ494"/>
      <c r="ER494"/>
      <c r="ES494"/>
      <c r="ET494"/>
      <c r="EU494"/>
      <c r="EV494"/>
      <c r="EW494"/>
      <c r="EX494"/>
      <c r="EY494"/>
      <c r="EZ494"/>
      <c r="FA494"/>
      <c r="FB494"/>
      <c r="FC494"/>
      <c r="FD494"/>
      <c r="FE494"/>
      <c r="FF494"/>
      <c r="FG494"/>
      <c r="FH494"/>
      <c r="FK494"/>
      <c r="FL494"/>
      <c r="FM494"/>
      <c r="FN494"/>
      <c r="FO494"/>
      <c r="FP494"/>
      <c r="FQ494"/>
      <c r="FR494"/>
      <c r="FS494"/>
      <c r="FT494"/>
      <c r="FU494"/>
      <c r="FV494"/>
      <c r="FW494"/>
      <c r="FX494"/>
      <c r="FY494"/>
      <c r="FZ494"/>
      <c r="GA494"/>
      <c r="GB494"/>
      <c r="GC494"/>
      <c r="GD494"/>
    </row>
    <row r="495" spans="1:186" x14ac:dyDescent="0.15">
      <c r="AG495"/>
      <c r="AH495"/>
      <c r="AJ495"/>
      <c r="AK495"/>
      <c r="AL495"/>
      <c r="AM495"/>
      <c r="AO495"/>
      <c r="AP495"/>
      <c r="AQ495"/>
      <c r="AR495"/>
      <c r="AS495"/>
      <c r="AT495"/>
      <c r="AU495"/>
      <c r="AV495"/>
      <c r="AW495"/>
      <c r="AX495"/>
      <c r="AY495"/>
      <c r="AZ495"/>
      <c r="BA495"/>
      <c r="BB495"/>
      <c r="BC495"/>
      <c r="BD495"/>
      <c r="BE495"/>
      <c r="BF495"/>
      <c r="BH495"/>
      <c r="BI495"/>
      <c r="BJ495"/>
      <c r="BK495"/>
      <c r="BL495"/>
      <c r="BM495"/>
      <c r="BN495"/>
      <c r="BP495"/>
      <c r="BQ495"/>
      <c r="BR495"/>
      <c r="BS495"/>
      <c r="BT495"/>
      <c r="BU495"/>
      <c r="BV495"/>
      <c r="BW495"/>
      <c r="BZ495"/>
      <c r="CA495"/>
      <c r="CB495"/>
      <c r="CC495"/>
      <c r="CD495"/>
      <c r="CF495"/>
      <c r="CG495"/>
      <c r="CH495"/>
      <c r="CI495"/>
      <c r="CJ495"/>
      <c r="CK495"/>
      <c r="CL495"/>
      <c r="CM495"/>
      <c r="CN495"/>
      <c r="CO495"/>
      <c r="CP495"/>
      <c r="CQ495"/>
      <c r="CR495"/>
      <c r="CS495"/>
      <c r="CT495"/>
      <c r="CU495"/>
      <c r="CV495"/>
      <c r="CW495"/>
      <c r="CX495"/>
      <c r="CY495"/>
      <c r="CZ495"/>
      <c r="DA495"/>
      <c r="DB495"/>
      <c r="DC495"/>
      <c r="DD495"/>
      <c r="DE495"/>
      <c r="DG495"/>
      <c r="DH495"/>
      <c r="DI495"/>
      <c r="DJ495"/>
      <c r="DK495"/>
      <c r="DL495"/>
      <c r="DM495"/>
      <c r="DN495"/>
      <c r="DO495"/>
      <c r="DP495"/>
      <c r="DQ495"/>
      <c r="DR495"/>
      <c r="DS495"/>
      <c r="DT495"/>
      <c r="DU495"/>
      <c r="DV495"/>
      <c r="DW495"/>
      <c r="DZ495"/>
      <c r="EA495"/>
      <c r="EB495"/>
      <c r="EC495"/>
      <c r="ED495"/>
      <c r="EE495"/>
      <c r="EF495"/>
      <c r="EG495"/>
      <c r="EJ495"/>
      <c r="EK495"/>
      <c r="EL495"/>
      <c r="EM495"/>
      <c r="EN495"/>
      <c r="EO495"/>
      <c r="EP495"/>
      <c r="EQ495"/>
      <c r="ER495"/>
      <c r="ES495"/>
      <c r="ET495"/>
      <c r="EU495"/>
      <c r="EV495"/>
      <c r="EW495"/>
      <c r="EX495"/>
      <c r="EY495"/>
      <c r="EZ495"/>
      <c r="FA495"/>
      <c r="FB495"/>
      <c r="FC495"/>
      <c r="FD495"/>
      <c r="FE495"/>
      <c r="FF495"/>
      <c r="FG495"/>
      <c r="FH495"/>
      <c r="FK495"/>
      <c r="FL495"/>
      <c r="FM495"/>
      <c r="FN495"/>
      <c r="FO495"/>
      <c r="FP495"/>
      <c r="FQ495"/>
      <c r="FR495"/>
      <c r="FS495"/>
      <c r="FT495"/>
      <c r="FU495"/>
      <c r="FV495"/>
      <c r="FW495"/>
      <c r="FX495"/>
      <c r="FY495"/>
      <c r="FZ495"/>
      <c r="GA495"/>
      <c r="GB495"/>
      <c r="GC495"/>
      <c r="GD495"/>
    </row>
    <row r="496" spans="1:186" x14ac:dyDescent="0.15">
      <c r="AG496"/>
      <c r="AH496"/>
      <c r="AJ496"/>
      <c r="AK496"/>
      <c r="AL496"/>
      <c r="AM496"/>
      <c r="AO496"/>
      <c r="AP496"/>
      <c r="AQ496"/>
      <c r="AR496"/>
      <c r="AS496"/>
      <c r="AT496"/>
      <c r="AU496"/>
      <c r="AV496"/>
      <c r="AW496"/>
      <c r="AX496"/>
      <c r="AY496"/>
      <c r="AZ496"/>
      <c r="BA496"/>
      <c r="BB496"/>
      <c r="BC496"/>
      <c r="BD496"/>
      <c r="BE496"/>
      <c r="BF496"/>
      <c r="BH496"/>
      <c r="BI496"/>
      <c r="BJ496"/>
      <c r="BK496"/>
      <c r="BL496"/>
      <c r="BM496"/>
      <c r="BN496"/>
      <c r="BP496"/>
      <c r="BQ496"/>
      <c r="BR496"/>
      <c r="BS496"/>
      <c r="BT496"/>
      <c r="BU496"/>
      <c r="BV496"/>
      <c r="BW496"/>
      <c r="BZ496"/>
      <c r="CA496"/>
      <c r="CB496"/>
      <c r="CC496"/>
      <c r="CD496"/>
      <c r="CF496"/>
      <c r="CG496"/>
      <c r="CH496"/>
      <c r="CI496"/>
      <c r="CJ496"/>
      <c r="CK496"/>
      <c r="CL496"/>
      <c r="CM496"/>
      <c r="CN496"/>
      <c r="CO496"/>
      <c r="CP496"/>
      <c r="CQ496"/>
      <c r="CR496"/>
      <c r="CS496"/>
      <c r="CT496"/>
      <c r="CU496"/>
      <c r="CV496"/>
      <c r="CW496"/>
      <c r="CX496"/>
      <c r="CY496"/>
      <c r="CZ496"/>
      <c r="DA496"/>
      <c r="DB496"/>
      <c r="DC496"/>
      <c r="DD496"/>
      <c r="DE496"/>
      <c r="DG496"/>
      <c r="DH496"/>
      <c r="DI496"/>
      <c r="DJ496"/>
      <c r="DK496"/>
      <c r="DL496"/>
      <c r="DM496"/>
      <c r="DN496"/>
      <c r="DO496"/>
      <c r="DP496"/>
      <c r="DQ496"/>
      <c r="DR496"/>
      <c r="DS496"/>
      <c r="DT496"/>
      <c r="DU496"/>
      <c r="DV496"/>
      <c r="DW496"/>
      <c r="DZ496"/>
      <c r="EA496"/>
      <c r="EB496"/>
      <c r="EC496"/>
      <c r="ED496"/>
      <c r="EE496"/>
      <c r="EF496"/>
      <c r="EG496"/>
      <c r="EJ496"/>
      <c r="EK496"/>
      <c r="EL496"/>
      <c r="EM496"/>
      <c r="EN496"/>
      <c r="EO496"/>
      <c r="EP496"/>
      <c r="EQ496"/>
      <c r="ER496"/>
      <c r="ES496"/>
      <c r="ET496"/>
      <c r="EU496"/>
      <c r="EV496"/>
      <c r="EW496"/>
      <c r="EX496"/>
      <c r="EY496"/>
      <c r="EZ496"/>
      <c r="FA496"/>
      <c r="FB496"/>
      <c r="FC496"/>
      <c r="FD496"/>
      <c r="FE496"/>
      <c r="FF496"/>
      <c r="FG496"/>
      <c r="FH496"/>
      <c r="FK496"/>
      <c r="FL496"/>
      <c r="FM496"/>
      <c r="FN496"/>
      <c r="FO496"/>
      <c r="FP496"/>
      <c r="FQ496"/>
      <c r="FR496"/>
      <c r="FS496"/>
      <c r="FT496"/>
      <c r="FU496"/>
      <c r="FV496"/>
      <c r="FW496"/>
      <c r="FX496"/>
      <c r="FY496"/>
      <c r="FZ496"/>
      <c r="GA496"/>
      <c r="GB496"/>
      <c r="GC496"/>
      <c r="GD496"/>
    </row>
    <row r="497" spans="33:186" x14ac:dyDescent="0.15">
      <c r="AG497"/>
      <c r="AH497"/>
      <c r="AJ497"/>
      <c r="AK497"/>
      <c r="AL497"/>
      <c r="AM497"/>
      <c r="AO497"/>
      <c r="AP497"/>
      <c r="AQ497"/>
      <c r="AR497"/>
      <c r="AS497"/>
      <c r="AT497"/>
      <c r="AU497"/>
      <c r="AV497"/>
      <c r="AW497"/>
      <c r="AX497"/>
      <c r="AY497"/>
      <c r="AZ497"/>
      <c r="BA497"/>
      <c r="BB497"/>
      <c r="BC497"/>
      <c r="BD497"/>
      <c r="BE497"/>
      <c r="BF497"/>
      <c r="BH497"/>
      <c r="BI497"/>
      <c r="BJ497"/>
      <c r="BK497"/>
      <c r="BL497"/>
      <c r="BM497"/>
      <c r="BN497"/>
      <c r="BP497"/>
      <c r="BQ497"/>
      <c r="BR497"/>
      <c r="BS497"/>
      <c r="BT497"/>
      <c r="BU497"/>
      <c r="BV497"/>
      <c r="BW497"/>
      <c r="BZ497"/>
      <c r="CA497"/>
      <c r="CB497"/>
      <c r="CC497"/>
      <c r="CD497"/>
      <c r="CF497"/>
      <c r="CG497"/>
      <c r="CH497"/>
      <c r="CI497"/>
      <c r="CJ497"/>
      <c r="CK497"/>
      <c r="CL497"/>
      <c r="CM497"/>
      <c r="CN497"/>
      <c r="CO497"/>
      <c r="CP497"/>
      <c r="CQ497"/>
      <c r="CR497"/>
      <c r="CS497"/>
      <c r="CT497"/>
      <c r="CU497"/>
      <c r="CV497"/>
      <c r="CW497"/>
      <c r="CX497"/>
      <c r="CY497"/>
      <c r="CZ497"/>
      <c r="DA497"/>
      <c r="DB497"/>
      <c r="DC497"/>
      <c r="DD497"/>
      <c r="DE497"/>
      <c r="DG497"/>
      <c r="DH497"/>
      <c r="DI497"/>
      <c r="DJ497"/>
      <c r="DK497"/>
      <c r="DL497"/>
      <c r="DM497"/>
      <c r="DN497"/>
      <c r="DO497"/>
      <c r="DP497"/>
      <c r="DQ497"/>
      <c r="DR497"/>
      <c r="DS497"/>
      <c r="DT497"/>
      <c r="DU497"/>
      <c r="DV497"/>
      <c r="DW497"/>
      <c r="DZ497"/>
      <c r="EA497"/>
      <c r="EB497"/>
      <c r="EC497"/>
      <c r="ED497"/>
      <c r="EE497"/>
      <c r="EF497"/>
      <c r="EG497"/>
      <c r="EJ497"/>
      <c r="EK497"/>
      <c r="EL497"/>
      <c r="EM497"/>
      <c r="EN497"/>
      <c r="EO497"/>
      <c r="EP497"/>
      <c r="EQ497"/>
      <c r="ER497"/>
      <c r="ES497"/>
      <c r="ET497"/>
      <c r="EU497"/>
      <c r="EV497"/>
      <c r="EW497"/>
      <c r="EX497"/>
      <c r="EY497"/>
      <c r="EZ497"/>
      <c r="FA497"/>
      <c r="FB497"/>
      <c r="FC497"/>
      <c r="FD497"/>
      <c r="FE497"/>
      <c r="FF497"/>
      <c r="FG497"/>
      <c r="FH497"/>
      <c r="FK497"/>
      <c r="FL497"/>
      <c r="FM497"/>
      <c r="FN497"/>
      <c r="FO497"/>
      <c r="FP497"/>
      <c r="FQ497"/>
      <c r="FR497"/>
      <c r="FS497"/>
      <c r="FT497"/>
      <c r="FU497"/>
      <c r="FV497"/>
      <c r="FW497"/>
      <c r="FX497"/>
      <c r="FY497"/>
      <c r="FZ497"/>
      <c r="GA497"/>
      <c r="GB497"/>
      <c r="GC497"/>
      <c r="GD497"/>
    </row>
    <row r="498" spans="33:186" x14ac:dyDescent="0.15">
      <c r="AG498"/>
      <c r="AH498"/>
      <c r="AJ498"/>
      <c r="AK498"/>
      <c r="AL498"/>
      <c r="AM498"/>
      <c r="AO498"/>
      <c r="AP498"/>
      <c r="AQ498"/>
      <c r="AR498"/>
      <c r="AS498"/>
      <c r="AT498"/>
      <c r="AU498"/>
      <c r="AV498"/>
      <c r="AW498"/>
      <c r="AX498"/>
      <c r="AY498"/>
      <c r="AZ498"/>
      <c r="BA498"/>
      <c r="BB498"/>
      <c r="BC498"/>
      <c r="BD498"/>
      <c r="BE498"/>
      <c r="BF498"/>
      <c r="BH498"/>
      <c r="BI498"/>
      <c r="BJ498"/>
      <c r="BK498"/>
      <c r="BL498"/>
      <c r="BM498"/>
      <c r="BN498"/>
      <c r="BP498"/>
      <c r="BQ498"/>
      <c r="BR498"/>
      <c r="BS498"/>
      <c r="BT498"/>
      <c r="BU498"/>
      <c r="BV498"/>
      <c r="BW498"/>
      <c r="BZ498"/>
      <c r="CA498"/>
      <c r="CB498"/>
      <c r="CC498"/>
      <c r="CD498"/>
      <c r="CF498"/>
      <c r="CG498"/>
      <c r="CH498"/>
      <c r="CI498"/>
      <c r="CJ498"/>
      <c r="CK498"/>
      <c r="CL498"/>
      <c r="CM498"/>
      <c r="CN498"/>
      <c r="CO498"/>
      <c r="CP498"/>
      <c r="CQ498"/>
      <c r="CR498"/>
      <c r="CS498"/>
      <c r="CT498"/>
      <c r="CU498"/>
      <c r="CV498"/>
      <c r="CW498"/>
      <c r="CX498"/>
      <c r="CY498"/>
      <c r="CZ498"/>
      <c r="DA498"/>
      <c r="DB498"/>
      <c r="DC498"/>
      <c r="DD498"/>
      <c r="DE498"/>
      <c r="DG498"/>
      <c r="DH498"/>
      <c r="DI498"/>
      <c r="DJ498"/>
      <c r="DK498"/>
      <c r="DL498"/>
      <c r="DM498"/>
      <c r="DN498"/>
      <c r="DO498"/>
      <c r="DP498"/>
      <c r="DQ498"/>
      <c r="DR498"/>
      <c r="DS498"/>
      <c r="DT498"/>
      <c r="DU498"/>
      <c r="DV498"/>
      <c r="DW498"/>
      <c r="DZ498"/>
      <c r="EA498"/>
      <c r="EB498"/>
      <c r="EC498"/>
      <c r="ED498"/>
      <c r="EE498"/>
      <c r="EF498"/>
      <c r="EG498"/>
      <c r="EJ498"/>
      <c r="EK498"/>
      <c r="EL498"/>
      <c r="EM498"/>
      <c r="EN498"/>
      <c r="EO498"/>
      <c r="EP498"/>
      <c r="EQ498"/>
      <c r="ER498"/>
      <c r="ES498"/>
      <c r="ET498"/>
      <c r="EU498"/>
      <c r="EV498"/>
      <c r="EW498"/>
      <c r="EX498"/>
      <c r="EY498"/>
      <c r="EZ498"/>
      <c r="FA498"/>
      <c r="FB498"/>
      <c r="FC498"/>
      <c r="FD498"/>
      <c r="FE498"/>
      <c r="FF498"/>
      <c r="FG498"/>
      <c r="FH498"/>
      <c r="FK498"/>
      <c r="FL498"/>
      <c r="FM498"/>
      <c r="FN498"/>
      <c r="FO498"/>
      <c r="FP498"/>
      <c r="FQ498"/>
      <c r="FR498"/>
      <c r="FS498"/>
      <c r="FT498"/>
      <c r="FU498"/>
      <c r="FV498"/>
      <c r="FW498"/>
      <c r="FX498"/>
      <c r="FY498"/>
      <c r="FZ498"/>
      <c r="GA498"/>
      <c r="GB498"/>
      <c r="GC498"/>
      <c r="GD498"/>
    </row>
    <row r="499" spans="33:186" x14ac:dyDescent="0.15">
      <c r="AG499"/>
      <c r="AH499"/>
      <c r="AJ499"/>
      <c r="AK499"/>
      <c r="AL499"/>
      <c r="AM499"/>
      <c r="AO499"/>
      <c r="AP499"/>
      <c r="AQ499"/>
      <c r="AR499"/>
      <c r="AS499"/>
      <c r="AT499"/>
      <c r="AU499"/>
      <c r="AV499"/>
      <c r="AW499"/>
      <c r="AX499"/>
      <c r="AY499"/>
      <c r="AZ499"/>
      <c r="BA499"/>
      <c r="BB499"/>
      <c r="BC499"/>
      <c r="BD499"/>
      <c r="BE499"/>
      <c r="BF499"/>
      <c r="BH499"/>
      <c r="BI499"/>
      <c r="BJ499"/>
      <c r="BK499"/>
      <c r="BL499"/>
      <c r="BM499"/>
      <c r="BN499"/>
      <c r="BP499"/>
      <c r="BQ499"/>
      <c r="BR499"/>
      <c r="BS499"/>
      <c r="BT499"/>
      <c r="BU499"/>
      <c r="BV499"/>
      <c r="BW499"/>
      <c r="BZ499"/>
      <c r="CA499"/>
      <c r="CB499"/>
      <c r="CC499"/>
      <c r="CD499"/>
      <c r="CF499"/>
      <c r="CG499"/>
      <c r="CH499"/>
      <c r="CI499"/>
      <c r="CJ499"/>
      <c r="CK499"/>
      <c r="CL499"/>
      <c r="CM499"/>
      <c r="CN499"/>
      <c r="CO499"/>
      <c r="CP499"/>
      <c r="CQ499"/>
      <c r="CR499"/>
      <c r="CS499"/>
      <c r="CT499"/>
      <c r="CU499"/>
      <c r="CV499"/>
      <c r="CW499"/>
      <c r="CX499"/>
      <c r="CY499"/>
      <c r="CZ499"/>
      <c r="DA499"/>
      <c r="DB499"/>
      <c r="DC499"/>
      <c r="DD499"/>
      <c r="DE499"/>
      <c r="DG499"/>
      <c r="DH499"/>
      <c r="DI499"/>
      <c r="DJ499"/>
      <c r="DK499"/>
      <c r="DL499"/>
      <c r="DM499"/>
      <c r="DN499"/>
      <c r="DO499"/>
      <c r="DP499"/>
      <c r="DQ499"/>
      <c r="DR499"/>
      <c r="DS499"/>
      <c r="DT499"/>
      <c r="DU499"/>
      <c r="DV499"/>
      <c r="DW499"/>
      <c r="DZ499"/>
      <c r="EA499"/>
      <c r="EB499"/>
      <c r="EC499"/>
      <c r="ED499"/>
      <c r="EE499"/>
      <c r="EF499"/>
      <c r="EG499"/>
      <c r="EJ499"/>
      <c r="EK499"/>
      <c r="EL499"/>
      <c r="EM499"/>
      <c r="EN499"/>
      <c r="EO499"/>
      <c r="EP499"/>
      <c r="EQ499"/>
      <c r="ER499"/>
      <c r="ES499"/>
      <c r="ET499"/>
      <c r="EU499"/>
      <c r="EV499"/>
      <c r="EW499"/>
      <c r="EX499"/>
      <c r="EY499"/>
      <c r="EZ499"/>
      <c r="FA499"/>
      <c r="FB499"/>
      <c r="FC499"/>
      <c r="FD499"/>
      <c r="FE499"/>
      <c r="FF499"/>
      <c r="FG499"/>
      <c r="FH499"/>
      <c r="FK499"/>
      <c r="FL499"/>
      <c r="FM499"/>
      <c r="FN499"/>
      <c r="FO499"/>
      <c r="FP499"/>
      <c r="FQ499"/>
      <c r="FR499"/>
      <c r="FS499"/>
      <c r="FT499"/>
      <c r="FU499"/>
      <c r="FV499"/>
      <c r="FW499"/>
      <c r="FX499"/>
      <c r="FY499"/>
      <c r="FZ499"/>
      <c r="GA499"/>
      <c r="GB499"/>
      <c r="GC499"/>
      <c r="GD499"/>
    </row>
    <row r="500" spans="33:186" x14ac:dyDescent="0.15">
      <c r="AG500"/>
      <c r="AH500"/>
      <c r="AJ500"/>
      <c r="AK500"/>
      <c r="AL500"/>
      <c r="AM500"/>
      <c r="AO500"/>
      <c r="AP500"/>
      <c r="AQ500"/>
      <c r="AR500"/>
      <c r="AS500"/>
      <c r="AT500"/>
      <c r="AU500"/>
      <c r="AV500"/>
      <c r="AW500"/>
      <c r="AX500"/>
      <c r="AY500"/>
      <c r="AZ500"/>
      <c r="BA500"/>
      <c r="BB500"/>
      <c r="BC500"/>
      <c r="BD500"/>
      <c r="BE500"/>
      <c r="BF500"/>
      <c r="BH500"/>
      <c r="BI500"/>
      <c r="BJ500"/>
      <c r="BK500"/>
      <c r="BL500"/>
      <c r="BM500"/>
      <c r="BN500"/>
      <c r="BP500"/>
      <c r="BQ500"/>
      <c r="BR500"/>
      <c r="BS500"/>
      <c r="BT500"/>
      <c r="BU500"/>
      <c r="BV500"/>
      <c r="BW500"/>
      <c r="BZ500"/>
      <c r="CA500"/>
      <c r="CB500"/>
      <c r="CC500"/>
      <c r="CD500"/>
      <c r="CF500"/>
      <c r="CG500"/>
      <c r="CH500"/>
      <c r="CI500"/>
      <c r="CJ500"/>
      <c r="CK500"/>
      <c r="CL500"/>
      <c r="CM500"/>
      <c r="CN500"/>
      <c r="CO500"/>
      <c r="CP500"/>
      <c r="CQ500"/>
      <c r="CR500"/>
      <c r="CS500"/>
      <c r="CT500"/>
      <c r="CU500"/>
      <c r="CV500"/>
      <c r="CW500"/>
      <c r="CX500"/>
      <c r="CY500"/>
      <c r="CZ500"/>
      <c r="DA500"/>
      <c r="DB500"/>
      <c r="DC500"/>
      <c r="DD500"/>
      <c r="DE500"/>
      <c r="DG500"/>
      <c r="DH500"/>
      <c r="DI500"/>
      <c r="DJ500"/>
      <c r="DK500"/>
      <c r="DL500"/>
      <c r="DM500"/>
      <c r="DN500"/>
      <c r="DO500"/>
      <c r="DP500"/>
      <c r="DQ500"/>
      <c r="DR500"/>
      <c r="DS500"/>
      <c r="DT500"/>
      <c r="DU500"/>
      <c r="DV500"/>
      <c r="DW500"/>
      <c r="DZ500"/>
      <c r="EA500"/>
      <c r="EB500"/>
      <c r="EC500"/>
      <c r="ED500"/>
      <c r="EE500"/>
      <c r="EF500"/>
      <c r="EG500"/>
      <c r="EJ500"/>
      <c r="EK500"/>
      <c r="EL500"/>
      <c r="EM500"/>
      <c r="EN500"/>
      <c r="EO500"/>
      <c r="EP500"/>
      <c r="EQ500"/>
      <c r="ER500"/>
      <c r="ES500"/>
      <c r="ET500"/>
      <c r="EU500"/>
      <c r="EV500"/>
      <c r="EW500"/>
      <c r="EX500"/>
      <c r="EY500"/>
      <c r="EZ500"/>
      <c r="FA500"/>
      <c r="FB500"/>
      <c r="FC500"/>
      <c r="FD500"/>
      <c r="FE500"/>
      <c r="FF500"/>
      <c r="FG500"/>
      <c r="FH500"/>
      <c r="FK500"/>
      <c r="FL500"/>
      <c r="FM500"/>
      <c r="FN500"/>
      <c r="FO500"/>
      <c r="FP500"/>
      <c r="FQ500"/>
      <c r="FR500"/>
      <c r="FS500"/>
      <c r="FT500"/>
      <c r="FU500"/>
      <c r="FV500"/>
      <c r="FW500"/>
      <c r="FX500"/>
      <c r="FY500"/>
      <c r="FZ500"/>
      <c r="GA500"/>
      <c r="GB500"/>
      <c r="GC500"/>
      <c r="GD500"/>
    </row>
    <row r="501" spans="33:186" x14ac:dyDescent="0.15">
      <c r="AG501"/>
      <c r="AH501"/>
      <c r="AJ501"/>
      <c r="AK501"/>
      <c r="AL501"/>
      <c r="AM501"/>
      <c r="AO501"/>
      <c r="AP501"/>
      <c r="AQ501"/>
      <c r="AR501"/>
      <c r="AS501"/>
      <c r="AT501"/>
      <c r="AU501"/>
      <c r="AV501"/>
      <c r="AW501"/>
      <c r="AX501"/>
      <c r="AY501"/>
      <c r="AZ501"/>
      <c r="BA501"/>
      <c r="BB501"/>
      <c r="BC501"/>
      <c r="BD501"/>
      <c r="BE501"/>
      <c r="BF501"/>
      <c r="BH501"/>
      <c r="BI501"/>
      <c r="BJ501"/>
      <c r="BK501"/>
      <c r="BL501"/>
      <c r="BM501"/>
      <c r="BN501"/>
      <c r="BP501"/>
      <c r="BQ501"/>
      <c r="BR501"/>
      <c r="BS501"/>
      <c r="BT501"/>
      <c r="BU501"/>
      <c r="BV501"/>
      <c r="BW501"/>
      <c r="BZ501"/>
      <c r="CA501"/>
      <c r="CB501"/>
      <c r="CC501"/>
      <c r="CD501"/>
      <c r="CF501"/>
      <c r="CG501"/>
      <c r="CH501"/>
      <c r="CI501"/>
      <c r="CJ501"/>
      <c r="CK501"/>
      <c r="CL501"/>
      <c r="CM501"/>
      <c r="CN501"/>
      <c r="CO501"/>
      <c r="CP501"/>
      <c r="CQ501"/>
      <c r="CR501"/>
      <c r="CS501"/>
      <c r="CT501"/>
      <c r="CU501"/>
      <c r="CV501"/>
      <c r="CW501"/>
      <c r="CX501"/>
      <c r="CY501"/>
      <c r="CZ501"/>
      <c r="DA501"/>
      <c r="DB501"/>
      <c r="DC501"/>
      <c r="DD501"/>
      <c r="DE501"/>
      <c r="DG501"/>
      <c r="DH501"/>
      <c r="DI501"/>
      <c r="DJ501"/>
      <c r="DK501"/>
      <c r="DL501"/>
      <c r="DM501"/>
      <c r="DN501"/>
      <c r="DO501"/>
      <c r="DP501"/>
      <c r="DQ501"/>
      <c r="DR501"/>
      <c r="DS501"/>
      <c r="DT501"/>
      <c r="DU501"/>
      <c r="DV501"/>
      <c r="DW501"/>
      <c r="DZ501"/>
      <c r="EA501"/>
      <c r="EB501"/>
      <c r="EC501"/>
      <c r="ED501"/>
      <c r="EE501"/>
      <c r="EF501"/>
      <c r="EG501"/>
      <c r="EJ501"/>
      <c r="EK501"/>
      <c r="EL501"/>
      <c r="EM501"/>
      <c r="EN501"/>
      <c r="EO501"/>
      <c r="EP501"/>
      <c r="EQ501"/>
      <c r="ER501"/>
      <c r="ES501"/>
      <c r="ET501"/>
      <c r="EU501"/>
      <c r="EV501"/>
      <c r="EW501"/>
      <c r="EX501"/>
      <c r="EY501"/>
      <c r="EZ501"/>
      <c r="FA501"/>
      <c r="FB501"/>
      <c r="FC501"/>
      <c r="FD501"/>
      <c r="FE501"/>
      <c r="FF501"/>
      <c r="FG501"/>
      <c r="FH501"/>
      <c r="FK501"/>
      <c r="FL501"/>
      <c r="FM501"/>
      <c r="FN501"/>
      <c r="FO501"/>
      <c r="FP501"/>
      <c r="FQ501"/>
      <c r="FR501"/>
      <c r="FS501"/>
      <c r="FT501"/>
      <c r="FU501"/>
      <c r="FV501"/>
      <c r="FW501"/>
      <c r="FX501"/>
      <c r="FY501"/>
      <c r="FZ501"/>
      <c r="GA501"/>
      <c r="GB501"/>
      <c r="GC501"/>
      <c r="GD501"/>
    </row>
    <row r="502" spans="33:186" x14ac:dyDescent="0.15">
      <c r="AG502"/>
      <c r="AH502"/>
      <c r="AJ502"/>
      <c r="AK502"/>
      <c r="AL502"/>
      <c r="AM502"/>
      <c r="AO502"/>
      <c r="AP502"/>
      <c r="AQ502"/>
      <c r="AR502"/>
      <c r="AS502"/>
      <c r="AT502"/>
      <c r="AU502"/>
      <c r="AV502"/>
      <c r="AW502"/>
      <c r="AX502"/>
      <c r="AY502"/>
      <c r="AZ502"/>
      <c r="BA502"/>
      <c r="BB502"/>
      <c r="BC502"/>
      <c r="BD502"/>
      <c r="BE502"/>
      <c r="BF502"/>
      <c r="BH502"/>
      <c r="BI502"/>
      <c r="BJ502"/>
      <c r="BK502"/>
      <c r="BL502"/>
      <c r="BM502"/>
      <c r="BN502"/>
      <c r="BP502"/>
      <c r="BQ502"/>
      <c r="BR502"/>
      <c r="BS502"/>
      <c r="BT502"/>
      <c r="BU502"/>
      <c r="BV502"/>
      <c r="BW502"/>
      <c r="BZ502"/>
      <c r="CA502"/>
      <c r="CB502"/>
      <c r="CC502"/>
      <c r="CD502"/>
      <c r="CF502"/>
      <c r="CG502"/>
      <c r="CH502"/>
      <c r="CI502"/>
      <c r="CJ502"/>
      <c r="CK502"/>
      <c r="CL502"/>
      <c r="CM502"/>
      <c r="CN502"/>
      <c r="CO502"/>
      <c r="CP502"/>
      <c r="CQ502"/>
      <c r="CR502"/>
      <c r="CS502"/>
      <c r="CT502"/>
      <c r="CU502"/>
      <c r="CV502"/>
      <c r="CW502"/>
      <c r="CX502"/>
      <c r="CY502"/>
      <c r="CZ502"/>
      <c r="DA502"/>
      <c r="DB502"/>
      <c r="DC502"/>
      <c r="DD502"/>
      <c r="DE502"/>
      <c r="DG502"/>
      <c r="DH502"/>
      <c r="DI502"/>
      <c r="DJ502"/>
      <c r="DK502"/>
      <c r="DL502"/>
      <c r="DM502"/>
      <c r="DN502"/>
      <c r="DO502"/>
      <c r="DP502"/>
      <c r="DQ502"/>
      <c r="DR502"/>
      <c r="DS502"/>
      <c r="DT502"/>
      <c r="DU502"/>
      <c r="DV502"/>
      <c r="DW502"/>
      <c r="DZ502"/>
      <c r="EA502"/>
      <c r="EB502"/>
      <c r="EC502"/>
      <c r="ED502"/>
      <c r="EE502"/>
      <c r="EF502"/>
      <c r="EG502"/>
      <c r="EJ502"/>
      <c r="EK502"/>
      <c r="EL502"/>
      <c r="EM502"/>
      <c r="EN502"/>
      <c r="EO502"/>
      <c r="EP502"/>
      <c r="EQ502"/>
      <c r="ER502"/>
      <c r="ES502"/>
      <c r="ET502"/>
      <c r="EU502"/>
      <c r="EV502"/>
      <c r="EW502"/>
      <c r="EX502"/>
      <c r="EY502"/>
      <c r="EZ502"/>
      <c r="FA502"/>
      <c r="FB502"/>
      <c r="FC502"/>
      <c r="FD502"/>
      <c r="FE502"/>
      <c r="FF502"/>
      <c r="FG502"/>
      <c r="FH502"/>
      <c r="FK502"/>
      <c r="FL502"/>
      <c r="FM502"/>
      <c r="FN502"/>
      <c r="FO502"/>
      <c r="FP502"/>
      <c r="FQ502"/>
      <c r="FR502"/>
      <c r="FS502"/>
      <c r="FT502"/>
      <c r="FU502"/>
      <c r="FV502"/>
      <c r="FW502"/>
      <c r="FX502"/>
      <c r="FY502"/>
      <c r="FZ502"/>
      <c r="GA502"/>
      <c r="GB502"/>
      <c r="GC502"/>
      <c r="GD502"/>
    </row>
    <row r="503" spans="33:186" x14ac:dyDescent="0.15">
      <c r="AG503"/>
      <c r="AH503"/>
      <c r="AJ503"/>
      <c r="AK503"/>
      <c r="AL503"/>
      <c r="AM503"/>
      <c r="AO503"/>
      <c r="AP503"/>
      <c r="AQ503"/>
      <c r="AR503"/>
      <c r="AS503"/>
      <c r="AT503"/>
      <c r="AU503"/>
      <c r="AV503"/>
      <c r="AW503"/>
      <c r="AX503"/>
      <c r="AY503"/>
      <c r="AZ503"/>
      <c r="BA503"/>
      <c r="BB503"/>
      <c r="BC503"/>
      <c r="BD503"/>
      <c r="BE503"/>
      <c r="BF503"/>
      <c r="BH503"/>
      <c r="BI503"/>
      <c r="BJ503"/>
      <c r="BK503"/>
      <c r="BL503"/>
      <c r="BM503"/>
      <c r="BN503"/>
      <c r="BP503"/>
      <c r="BQ503"/>
      <c r="BR503"/>
      <c r="BS503"/>
      <c r="BT503"/>
      <c r="BU503"/>
      <c r="BV503"/>
      <c r="BW503"/>
      <c r="BZ503"/>
      <c r="CA503"/>
      <c r="CB503"/>
      <c r="CC503"/>
      <c r="CD503"/>
      <c r="CF503"/>
      <c r="CG503"/>
      <c r="CH503"/>
      <c r="CI503"/>
      <c r="CJ503"/>
      <c r="CK503"/>
      <c r="CL503"/>
      <c r="CM503"/>
      <c r="CN503"/>
      <c r="CO503"/>
      <c r="CP503"/>
      <c r="CQ503"/>
      <c r="CR503"/>
      <c r="CS503"/>
      <c r="CT503"/>
      <c r="CU503"/>
      <c r="CV503"/>
      <c r="CW503"/>
      <c r="CX503"/>
      <c r="CY503"/>
      <c r="CZ503"/>
      <c r="DA503"/>
      <c r="DB503"/>
      <c r="DC503"/>
      <c r="DD503"/>
      <c r="DE503"/>
      <c r="DG503"/>
      <c r="DH503"/>
      <c r="DI503"/>
      <c r="DJ503"/>
      <c r="DK503"/>
      <c r="DL503"/>
      <c r="DM503"/>
      <c r="DN503"/>
      <c r="DO503"/>
      <c r="DP503"/>
      <c r="DQ503"/>
      <c r="DR503"/>
      <c r="DS503"/>
      <c r="DT503"/>
      <c r="DU503"/>
      <c r="DV503"/>
      <c r="DW503"/>
      <c r="DZ503"/>
      <c r="EA503"/>
      <c r="EB503"/>
      <c r="EC503"/>
      <c r="ED503"/>
      <c r="EE503"/>
      <c r="EF503"/>
      <c r="EG503"/>
      <c r="EJ503"/>
      <c r="EK503"/>
      <c r="EL503"/>
      <c r="EM503"/>
      <c r="EN503"/>
      <c r="EO503"/>
      <c r="EP503"/>
      <c r="EQ503"/>
      <c r="ER503"/>
      <c r="ES503"/>
      <c r="ET503"/>
      <c r="EU503"/>
      <c r="EV503"/>
      <c r="EW503"/>
      <c r="EX503"/>
      <c r="EY503"/>
      <c r="EZ503"/>
      <c r="FA503"/>
      <c r="FB503"/>
      <c r="FC503"/>
      <c r="FD503"/>
      <c r="FE503"/>
      <c r="FF503"/>
      <c r="FG503"/>
      <c r="FH503"/>
      <c r="FK503"/>
      <c r="FL503"/>
      <c r="FM503"/>
      <c r="FN503"/>
      <c r="FO503"/>
      <c r="FP503"/>
      <c r="FQ503"/>
      <c r="FR503"/>
      <c r="FS503"/>
      <c r="FT503"/>
      <c r="FU503"/>
      <c r="FV503"/>
      <c r="FW503"/>
      <c r="FX503"/>
      <c r="FY503"/>
      <c r="FZ503"/>
      <c r="GA503"/>
      <c r="GB503"/>
      <c r="GC503"/>
      <c r="GD503"/>
    </row>
    <row r="504" spans="33:186" x14ac:dyDescent="0.15">
      <c r="AG504"/>
      <c r="AH504"/>
      <c r="AJ504"/>
      <c r="AK504"/>
      <c r="AL504"/>
      <c r="AM504"/>
      <c r="AO504"/>
      <c r="AP504"/>
      <c r="AQ504"/>
      <c r="AR504"/>
      <c r="AS504"/>
      <c r="AT504"/>
      <c r="AU504"/>
      <c r="AV504"/>
      <c r="AW504"/>
      <c r="AX504"/>
      <c r="AY504"/>
      <c r="AZ504"/>
      <c r="BA504"/>
      <c r="BB504"/>
      <c r="BC504"/>
      <c r="BD504"/>
      <c r="BE504"/>
      <c r="BF504"/>
      <c r="BH504"/>
      <c r="BI504"/>
      <c r="BJ504"/>
      <c r="BK504"/>
      <c r="BL504"/>
      <c r="BM504"/>
      <c r="BN504"/>
      <c r="BP504"/>
      <c r="BQ504"/>
      <c r="BR504"/>
      <c r="BS504"/>
      <c r="BT504"/>
      <c r="BU504"/>
      <c r="BV504"/>
      <c r="BW504"/>
      <c r="BZ504"/>
      <c r="CA504"/>
      <c r="CB504"/>
      <c r="CC504"/>
      <c r="CD504"/>
      <c r="CF504"/>
      <c r="CG504"/>
      <c r="CH504"/>
      <c r="CI504"/>
      <c r="CJ504"/>
      <c r="CK504"/>
      <c r="CL504"/>
      <c r="CM504"/>
      <c r="CN504"/>
      <c r="CO504"/>
      <c r="CP504"/>
      <c r="CQ504"/>
      <c r="CR504"/>
      <c r="CS504"/>
      <c r="CT504"/>
      <c r="CU504"/>
      <c r="CV504"/>
      <c r="CW504"/>
      <c r="CX504"/>
      <c r="CY504"/>
      <c r="CZ504"/>
      <c r="DA504"/>
      <c r="DB504"/>
      <c r="DC504"/>
      <c r="DD504"/>
      <c r="DE504"/>
      <c r="DG504"/>
      <c r="DH504"/>
      <c r="DI504"/>
      <c r="DJ504"/>
      <c r="DK504"/>
      <c r="DL504"/>
      <c r="DM504"/>
      <c r="DN504"/>
      <c r="DO504"/>
      <c r="DP504"/>
      <c r="DQ504"/>
      <c r="DR504"/>
      <c r="DS504"/>
      <c r="DT504"/>
      <c r="DU504"/>
      <c r="DV504"/>
      <c r="DW504"/>
      <c r="DZ504"/>
      <c r="EA504"/>
      <c r="EB504"/>
      <c r="EC504"/>
      <c r="ED504"/>
      <c r="EE504"/>
      <c r="EF504"/>
      <c r="EG504"/>
      <c r="EJ504"/>
      <c r="EK504"/>
      <c r="EL504"/>
      <c r="EM504"/>
      <c r="EN504"/>
      <c r="EO504"/>
      <c r="EP504"/>
      <c r="EQ504"/>
      <c r="ER504"/>
      <c r="ES504"/>
      <c r="ET504"/>
      <c r="EU504"/>
      <c r="EV504"/>
      <c r="EW504"/>
      <c r="EX504"/>
      <c r="EY504"/>
      <c r="EZ504"/>
      <c r="FA504"/>
      <c r="FB504"/>
      <c r="FC504"/>
      <c r="FD504"/>
      <c r="FE504"/>
      <c r="FF504"/>
      <c r="FG504"/>
      <c r="FH504"/>
      <c r="FK504"/>
      <c r="FL504"/>
      <c r="FM504"/>
      <c r="FN504"/>
      <c r="FO504"/>
      <c r="FP504"/>
      <c r="FQ504"/>
      <c r="FR504"/>
      <c r="FS504"/>
      <c r="FT504"/>
      <c r="FU504"/>
      <c r="FV504"/>
      <c r="FW504"/>
      <c r="FX504"/>
      <c r="FY504"/>
      <c r="FZ504"/>
      <c r="GA504"/>
      <c r="GB504"/>
      <c r="GC504"/>
      <c r="GD504"/>
    </row>
    <row r="505" spans="33:186" x14ac:dyDescent="0.15">
      <c r="AG505"/>
      <c r="AH505"/>
      <c r="AJ505"/>
      <c r="AK505"/>
      <c r="AL505"/>
      <c r="AM505"/>
      <c r="AO505"/>
      <c r="AP505"/>
      <c r="AQ505"/>
      <c r="AR505"/>
      <c r="AS505"/>
      <c r="AT505"/>
      <c r="AU505"/>
      <c r="AV505"/>
      <c r="AW505"/>
      <c r="AX505"/>
      <c r="AY505"/>
      <c r="AZ505"/>
      <c r="BA505"/>
      <c r="BB505"/>
      <c r="BC505"/>
      <c r="BD505"/>
      <c r="BE505"/>
      <c r="BF505"/>
      <c r="BH505"/>
      <c r="BI505"/>
      <c r="BJ505"/>
      <c r="BK505"/>
      <c r="BL505"/>
      <c r="BM505"/>
      <c r="BN505"/>
      <c r="BP505"/>
      <c r="BQ505"/>
      <c r="BR505"/>
      <c r="BS505"/>
      <c r="BT505"/>
      <c r="BU505"/>
      <c r="BV505"/>
      <c r="BW505"/>
      <c r="BZ505"/>
      <c r="CA505"/>
      <c r="CB505"/>
      <c r="CC505"/>
      <c r="CD505"/>
      <c r="CF505"/>
      <c r="CG505"/>
      <c r="CH505"/>
      <c r="CI505"/>
      <c r="CJ505"/>
      <c r="CK505"/>
      <c r="CL505"/>
      <c r="CM505"/>
      <c r="CN505"/>
      <c r="CO505"/>
      <c r="CP505"/>
      <c r="CQ505"/>
      <c r="CR505"/>
      <c r="CS505"/>
      <c r="CT505"/>
      <c r="CU505"/>
      <c r="CV505"/>
      <c r="CW505"/>
      <c r="CX505"/>
      <c r="CY505"/>
      <c r="CZ505"/>
      <c r="DA505"/>
      <c r="DB505"/>
      <c r="DC505"/>
      <c r="DD505"/>
      <c r="DE505"/>
      <c r="DG505"/>
      <c r="DH505"/>
      <c r="DI505"/>
      <c r="DJ505"/>
      <c r="DK505"/>
      <c r="DL505"/>
      <c r="DM505"/>
      <c r="DN505"/>
      <c r="DO505"/>
      <c r="DP505"/>
      <c r="DQ505"/>
      <c r="DR505"/>
      <c r="DS505"/>
      <c r="DT505"/>
      <c r="DU505"/>
      <c r="DV505"/>
      <c r="DW505"/>
      <c r="DZ505"/>
      <c r="EA505"/>
      <c r="EB505"/>
      <c r="EC505"/>
      <c r="ED505"/>
      <c r="EE505"/>
      <c r="EF505"/>
      <c r="EG505"/>
      <c r="EJ505"/>
      <c r="EK505"/>
      <c r="EL505"/>
      <c r="EM505"/>
      <c r="EN505"/>
      <c r="EO505"/>
      <c r="EP505"/>
      <c r="EQ505"/>
      <c r="ER505"/>
      <c r="ES505"/>
      <c r="ET505"/>
      <c r="EU505"/>
      <c r="EV505"/>
      <c r="EW505"/>
      <c r="EX505"/>
      <c r="EY505"/>
      <c r="EZ505"/>
      <c r="FA505"/>
      <c r="FB505"/>
      <c r="FC505"/>
      <c r="FD505"/>
      <c r="FE505"/>
      <c r="FF505"/>
      <c r="FG505"/>
      <c r="FH505"/>
      <c r="FK505"/>
      <c r="FL505"/>
      <c r="FM505"/>
      <c r="FN505"/>
      <c r="FO505"/>
      <c r="FP505"/>
      <c r="FQ505"/>
      <c r="FR505"/>
      <c r="FS505"/>
      <c r="FT505"/>
      <c r="FU505"/>
      <c r="FV505"/>
      <c r="FW505"/>
      <c r="FX505"/>
      <c r="FY505"/>
      <c r="FZ505"/>
      <c r="GA505"/>
      <c r="GB505"/>
      <c r="GC505"/>
      <c r="GD505"/>
    </row>
    <row r="506" spans="33:186" x14ac:dyDescent="0.15">
      <c r="AG506"/>
      <c r="AH506"/>
      <c r="AJ506"/>
      <c r="AK506"/>
      <c r="AL506"/>
      <c r="AM506"/>
      <c r="AO506"/>
      <c r="AP506"/>
      <c r="AQ506"/>
      <c r="AR506"/>
      <c r="AS506"/>
      <c r="AT506"/>
      <c r="AU506"/>
      <c r="AV506"/>
      <c r="AW506"/>
      <c r="AX506"/>
      <c r="AY506"/>
      <c r="AZ506"/>
      <c r="BA506"/>
      <c r="BB506"/>
      <c r="BC506"/>
      <c r="BD506"/>
      <c r="BE506"/>
      <c r="BF506"/>
      <c r="BH506"/>
      <c r="BI506"/>
      <c r="BJ506"/>
      <c r="BK506"/>
      <c r="BL506"/>
      <c r="BM506"/>
      <c r="BN506"/>
      <c r="BP506"/>
      <c r="BQ506"/>
      <c r="BR506"/>
      <c r="BS506"/>
      <c r="BT506"/>
      <c r="BU506"/>
      <c r="BV506"/>
      <c r="BW506"/>
      <c r="BZ506"/>
      <c r="CA506"/>
      <c r="CB506"/>
      <c r="CC506"/>
      <c r="CD506"/>
      <c r="CF506"/>
      <c r="CG506"/>
      <c r="CH506"/>
      <c r="CI506"/>
      <c r="CJ506"/>
      <c r="CK506"/>
      <c r="CL506"/>
      <c r="CM506"/>
      <c r="CN506"/>
      <c r="CO506"/>
      <c r="CP506"/>
      <c r="CQ506"/>
      <c r="CR506"/>
      <c r="CS506"/>
      <c r="CT506"/>
      <c r="CU506"/>
      <c r="CV506"/>
      <c r="CW506"/>
      <c r="CX506"/>
      <c r="CY506"/>
      <c r="CZ506"/>
      <c r="DA506"/>
      <c r="DB506"/>
      <c r="DC506"/>
      <c r="DD506"/>
      <c r="DE506"/>
      <c r="DG506"/>
      <c r="DH506"/>
      <c r="DI506"/>
      <c r="DJ506"/>
      <c r="DK506"/>
      <c r="DL506"/>
      <c r="DM506"/>
      <c r="DN506"/>
      <c r="DO506"/>
      <c r="DP506"/>
      <c r="DQ506"/>
      <c r="DR506"/>
      <c r="DS506"/>
      <c r="DT506"/>
      <c r="DU506"/>
      <c r="DV506"/>
      <c r="DW506"/>
      <c r="DZ506"/>
      <c r="EA506"/>
      <c r="EB506"/>
      <c r="EC506"/>
      <c r="ED506"/>
      <c r="EE506"/>
      <c r="EF506"/>
      <c r="EG506"/>
      <c r="EJ506"/>
      <c r="EK506"/>
      <c r="EL506"/>
      <c r="EM506"/>
      <c r="EN506"/>
      <c r="EO506"/>
      <c r="EP506"/>
      <c r="EQ506"/>
      <c r="ER506"/>
      <c r="ES506"/>
      <c r="ET506"/>
      <c r="EU506"/>
      <c r="EV506"/>
      <c r="EW506"/>
      <c r="EX506"/>
      <c r="EY506"/>
      <c r="EZ506"/>
      <c r="FA506"/>
      <c r="FB506"/>
      <c r="FC506"/>
      <c r="FD506"/>
      <c r="FE506"/>
      <c r="FF506"/>
      <c r="FG506"/>
      <c r="FH506"/>
      <c r="FK506"/>
      <c r="FL506"/>
      <c r="FM506"/>
      <c r="FN506"/>
      <c r="FO506"/>
      <c r="FP506"/>
      <c r="FQ506"/>
      <c r="FR506"/>
      <c r="FS506"/>
      <c r="FT506"/>
      <c r="FU506"/>
      <c r="FV506"/>
      <c r="FW506"/>
      <c r="FX506"/>
      <c r="FY506"/>
      <c r="FZ506"/>
      <c r="GA506"/>
      <c r="GB506"/>
      <c r="GC506"/>
      <c r="GD506"/>
    </row>
    <row r="507" spans="33:186" x14ac:dyDescent="0.15">
      <c r="AG507"/>
      <c r="AH507"/>
      <c r="AJ507"/>
      <c r="AK507"/>
      <c r="AL507"/>
      <c r="AM507"/>
      <c r="AO507"/>
      <c r="AP507"/>
      <c r="AQ507"/>
      <c r="AR507"/>
      <c r="AS507"/>
      <c r="AT507"/>
      <c r="AU507"/>
      <c r="AV507"/>
      <c r="AW507"/>
      <c r="AX507"/>
      <c r="AY507"/>
      <c r="AZ507"/>
      <c r="BA507"/>
      <c r="BB507"/>
      <c r="BC507"/>
      <c r="BD507"/>
      <c r="BE507"/>
      <c r="BF507"/>
      <c r="BH507"/>
      <c r="BI507"/>
      <c r="BJ507"/>
      <c r="BK507"/>
      <c r="BL507"/>
      <c r="BM507"/>
      <c r="BN507"/>
      <c r="BP507"/>
      <c r="BQ507"/>
      <c r="BR507"/>
      <c r="BS507"/>
      <c r="BT507"/>
      <c r="BU507"/>
      <c r="BV507"/>
      <c r="BW507"/>
      <c r="BZ507"/>
      <c r="CA507"/>
      <c r="CB507"/>
      <c r="CC507"/>
      <c r="CD507"/>
      <c r="CF507"/>
      <c r="CG507"/>
      <c r="CH507"/>
      <c r="CI507"/>
      <c r="CJ507"/>
      <c r="CK507"/>
      <c r="CL507"/>
      <c r="CM507"/>
      <c r="CN507"/>
      <c r="CO507"/>
      <c r="CP507"/>
      <c r="CQ507"/>
      <c r="CR507"/>
      <c r="CS507"/>
      <c r="CT507"/>
      <c r="CU507"/>
      <c r="CV507"/>
      <c r="CW507"/>
      <c r="CX507"/>
      <c r="CY507"/>
      <c r="CZ507"/>
      <c r="DA507"/>
      <c r="DB507"/>
      <c r="DC507"/>
      <c r="DD507"/>
      <c r="DE507"/>
      <c r="DG507"/>
      <c r="DH507"/>
      <c r="DI507"/>
      <c r="DJ507"/>
      <c r="DK507"/>
      <c r="DL507"/>
      <c r="DM507"/>
      <c r="DN507"/>
      <c r="DO507"/>
      <c r="DP507"/>
      <c r="DQ507"/>
      <c r="DR507"/>
      <c r="DS507"/>
      <c r="DT507"/>
      <c r="DU507"/>
      <c r="DV507"/>
      <c r="DW507"/>
      <c r="DZ507"/>
      <c r="EA507"/>
      <c r="EB507"/>
      <c r="EC507"/>
      <c r="ED507"/>
      <c r="EE507"/>
      <c r="EF507"/>
      <c r="EG507"/>
      <c r="EJ507"/>
      <c r="EK507"/>
      <c r="EL507"/>
      <c r="EM507"/>
      <c r="EN507"/>
      <c r="EO507"/>
      <c r="EP507"/>
      <c r="EQ507"/>
      <c r="ER507"/>
      <c r="ES507"/>
      <c r="ET507"/>
      <c r="EU507"/>
      <c r="EV507"/>
      <c r="EW507"/>
      <c r="EX507"/>
      <c r="EY507"/>
      <c r="EZ507"/>
      <c r="FA507"/>
      <c r="FB507"/>
      <c r="FC507"/>
      <c r="FD507"/>
      <c r="FE507"/>
      <c r="FF507"/>
      <c r="FG507"/>
      <c r="FH507"/>
      <c r="FK507"/>
      <c r="FL507"/>
      <c r="FM507"/>
      <c r="FN507"/>
      <c r="FO507"/>
      <c r="FP507"/>
      <c r="FQ507"/>
      <c r="FR507"/>
      <c r="FS507"/>
      <c r="FT507"/>
      <c r="FU507"/>
      <c r="FV507"/>
      <c r="FW507"/>
      <c r="FX507"/>
      <c r="FY507"/>
      <c r="FZ507"/>
      <c r="GA507"/>
      <c r="GB507"/>
      <c r="GC507"/>
      <c r="GD507"/>
    </row>
    <row r="508" spans="33:186" x14ac:dyDescent="0.15">
      <c r="AG508"/>
      <c r="AH508"/>
      <c r="AJ508"/>
      <c r="AK508"/>
      <c r="AL508"/>
      <c r="AM508"/>
      <c r="AO508"/>
      <c r="AP508"/>
      <c r="AQ508"/>
      <c r="AR508"/>
      <c r="AS508"/>
      <c r="AT508"/>
      <c r="AU508"/>
      <c r="AV508"/>
      <c r="AW508"/>
      <c r="AX508"/>
      <c r="AY508"/>
      <c r="AZ508"/>
      <c r="BA508"/>
      <c r="BB508"/>
      <c r="BC508"/>
      <c r="BD508"/>
      <c r="BE508"/>
      <c r="BF508"/>
      <c r="BH508"/>
      <c r="BI508"/>
      <c r="BJ508"/>
      <c r="BK508"/>
      <c r="BL508"/>
      <c r="BM508"/>
      <c r="BN508"/>
      <c r="BP508"/>
      <c r="BQ508"/>
      <c r="BR508"/>
      <c r="BS508"/>
      <c r="BT508"/>
      <c r="BU508"/>
      <c r="BV508"/>
      <c r="BW508"/>
      <c r="BZ508"/>
      <c r="CA508"/>
      <c r="CB508"/>
      <c r="CC508"/>
      <c r="CD508"/>
      <c r="CF508"/>
      <c r="CG508"/>
      <c r="CH508"/>
      <c r="CI508"/>
      <c r="CJ508"/>
      <c r="CK508"/>
      <c r="CL508"/>
      <c r="CM508"/>
      <c r="CN508"/>
      <c r="CO508"/>
      <c r="CP508"/>
      <c r="CQ508"/>
      <c r="CR508"/>
      <c r="CS508"/>
      <c r="CT508"/>
      <c r="CU508"/>
      <c r="CV508"/>
      <c r="CW508"/>
      <c r="CX508"/>
      <c r="CY508"/>
      <c r="CZ508"/>
      <c r="DA508"/>
      <c r="DB508"/>
      <c r="DC508"/>
      <c r="DD508"/>
      <c r="DE508"/>
      <c r="DG508"/>
      <c r="DH508"/>
      <c r="DI508"/>
      <c r="DJ508"/>
      <c r="DK508"/>
      <c r="DL508"/>
      <c r="DM508"/>
      <c r="DN508"/>
      <c r="DO508"/>
      <c r="DP508"/>
      <c r="DQ508"/>
      <c r="DR508"/>
      <c r="DS508"/>
      <c r="DT508"/>
      <c r="DU508"/>
      <c r="DV508"/>
      <c r="DW508"/>
      <c r="DZ508"/>
      <c r="EA508"/>
      <c r="EB508"/>
      <c r="EC508"/>
      <c r="ED508"/>
      <c r="EE508"/>
      <c r="EF508"/>
      <c r="EG508"/>
      <c r="EJ508"/>
      <c r="EK508"/>
      <c r="EL508"/>
      <c r="EM508"/>
      <c r="EN508"/>
      <c r="EO508"/>
      <c r="EP508"/>
      <c r="EQ508"/>
      <c r="ER508"/>
      <c r="ES508"/>
      <c r="ET508"/>
      <c r="EU508"/>
      <c r="EV508"/>
      <c r="EW508"/>
      <c r="EX508"/>
      <c r="EY508"/>
      <c r="EZ508"/>
      <c r="FA508"/>
      <c r="FB508"/>
      <c r="FC508"/>
      <c r="FD508"/>
      <c r="FE508"/>
      <c r="FF508"/>
      <c r="FG508"/>
      <c r="FH508"/>
      <c r="FK508"/>
      <c r="FL508"/>
      <c r="FM508"/>
      <c r="FN508"/>
      <c r="FO508"/>
      <c r="FP508"/>
      <c r="FQ508"/>
      <c r="FR508"/>
      <c r="FS508"/>
      <c r="FT508"/>
      <c r="FU508"/>
      <c r="FV508"/>
      <c r="FW508"/>
      <c r="FX508"/>
      <c r="FY508"/>
      <c r="FZ508"/>
      <c r="GA508"/>
      <c r="GB508"/>
      <c r="GC508"/>
      <c r="GD508"/>
    </row>
    <row r="509" spans="33:186" x14ac:dyDescent="0.15">
      <c r="AG509"/>
      <c r="AH509"/>
      <c r="AJ509"/>
      <c r="AK509"/>
      <c r="AL509"/>
      <c r="AM509"/>
      <c r="AO509"/>
      <c r="AP509"/>
      <c r="AQ509"/>
      <c r="AR509"/>
      <c r="AS509"/>
      <c r="AT509"/>
      <c r="AU509"/>
      <c r="AV509"/>
      <c r="AW509"/>
      <c r="AX509"/>
      <c r="AY509"/>
      <c r="AZ509"/>
      <c r="BA509"/>
      <c r="BB509"/>
      <c r="BC509"/>
      <c r="BD509"/>
      <c r="BE509"/>
      <c r="BF509"/>
      <c r="BH509"/>
      <c r="BI509"/>
      <c r="BJ509"/>
      <c r="BK509"/>
      <c r="BL509"/>
      <c r="BM509"/>
      <c r="BN509"/>
      <c r="BP509"/>
      <c r="BQ509"/>
      <c r="BR509"/>
      <c r="BS509"/>
      <c r="BT509"/>
      <c r="BU509"/>
      <c r="BV509"/>
      <c r="BW509"/>
      <c r="BZ509"/>
      <c r="CA509"/>
      <c r="CB509"/>
      <c r="CC509"/>
      <c r="CD509"/>
      <c r="CF509"/>
      <c r="CG509"/>
      <c r="CH509"/>
      <c r="CI509"/>
      <c r="CJ509"/>
      <c r="CK509"/>
      <c r="CL509"/>
      <c r="CM509"/>
      <c r="CN509"/>
      <c r="CO509"/>
      <c r="CP509"/>
      <c r="CQ509"/>
      <c r="CR509"/>
      <c r="CS509"/>
      <c r="CT509"/>
      <c r="CU509"/>
      <c r="CV509"/>
      <c r="CW509"/>
      <c r="CX509"/>
      <c r="CY509"/>
      <c r="CZ509"/>
      <c r="DA509"/>
      <c r="DB509"/>
      <c r="DC509"/>
      <c r="DD509"/>
      <c r="DE509"/>
      <c r="DG509"/>
      <c r="DH509"/>
      <c r="DI509"/>
      <c r="DJ509"/>
      <c r="DK509"/>
      <c r="DL509"/>
      <c r="DM509"/>
      <c r="DN509"/>
      <c r="DO509"/>
      <c r="DP509"/>
      <c r="DQ509"/>
      <c r="DR509"/>
      <c r="DS509"/>
      <c r="DT509"/>
      <c r="DU509"/>
      <c r="DV509"/>
      <c r="DW509"/>
      <c r="DZ509"/>
      <c r="EA509"/>
      <c r="EB509"/>
      <c r="EC509"/>
      <c r="ED509"/>
      <c r="EE509"/>
      <c r="EF509"/>
      <c r="EG509"/>
      <c r="EJ509"/>
      <c r="EK509"/>
      <c r="EL509"/>
      <c r="EM509"/>
      <c r="EN509"/>
      <c r="EO509"/>
      <c r="EP509"/>
      <c r="EQ509"/>
      <c r="ER509"/>
      <c r="ES509"/>
      <c r="ET509"/>
      <c r="EU509"/>
      <c r="EV509"/>
      <c r="EW509"/>
      <c r="EX509"/>
      <c r="EY509"/>
      <c r="EZ509"/>
      <c r="FA509"/>
      <c r="FB509"/>
      <c r="FC509"/>
      <c r="FD509"/>
      <c r="FE509"/>
      <c r="FF509"/>
      <c r="FG509"/>
      <c r="FH509"/>
      <c r="FK509"/>
      <c r="FL509"/>
      <c r="FM509"/>
      <c r="FN509"/>
      <c r="FO509"/>
      <c r="FP509"/>
      <c r="FQ509"/>
      <c r="FR509"/>
      <c r="FS509"/>
      <c r="FT509"/>
      <c r="FU509"/>
      <c r="FV509"/>
      <c r="FW509"/>
      <c r="FX509"/>
      <c r="FY509"/>
      <c r="FZ509"/>
      <c r="GA509"/>
      <c r="GB509"/>
      <c r="GC509"/>
      <c r="GD509"/>
    </row>
    <row r="510" spans="33:186" x14ac:dyDescent="0.15">
      <c r="AG510"/>
      <c r="AH510"/>
      <c r="AJ510"/>
      <c r="AK510"/>
      <c r="AL510"/>
      <c r="AM510"/>
      <c r="AO510"/>
      <c r="AP510"/>
      <c r="AQ510"/>
      <c r="AR510"/>
      <c r="AS510"/>
      <c r="AT510"/>
      <c r="AU510"/>
      <c r="AV510"/>
      <c r="AW510"/>
      <c r="AX510"/>
      <c r="AY510"/>
      <c r="AZ510"/>
      <c r="BA510"/>
      <c r="BB510"/>
      <c r="BC510"/>
      <c r="BD510"/>
      <c r="BE510"/>
      <c r="BF510"/>
      <c r="BH510"/>
      <c r="BI510"/>
      <c r="BJ510"/>
      <c r="BK510"/>
      <c r="BL510"/>
      <c r="BM510"/>
      <c r="BN510"/>
      <c r="BP510"/>
      <c r="BQ510"/>
      <c r="BR510"/>
      <c r="BS510"/>
      <c r="BT510"/>
      <c r="BU510"/>
      <c r="BV510"/>
      <c r="BW510"/>
      <c r="BZ510"/>
      <c r="CA510"/>
      <c r="CB510"/>
      <c r="CC510"/>
      <c r="CD510"/>
      <c r="CF510"/>
      <c r="CG510"/>
      <c r="CH510"/>
      <c r="CI510"/>
      <c r="CJ510"/>
      <c r="CK510"/>
      <c r="CL510"/>
      <c r="CM510"/>
      <c r="CN510"/>
      <c r="CO510"/>
      <c r="CP510"/>
      <c r="CQ510"/>
      <c r="CR510"/>
      <c r="CS510"/>
      <c r="CT510"/>
      <c r="CU510"/>
      <c r="CV510"/>
      <c r="CW510"/>
      <c r="CX510"/>
      <c r="CY510"/>
      <c r="CZ510"/>
      <c r="DA510"/>
      <c r="DB510"/>
      <c r="DC510"/>
      <c r="DD510"/>
      <c r="DE510"/>
      <c r="DG510"/>
      <c r="DH510"/>
      <c r="DI510"/>
      <c r="DJ510"/>
      <c r="DK510"/>
      <c r="DL510"/>
      <c r="DM510"/>
      <c r="DN510"/>
      <c r="DO510"/>
      <c r="DP510"/>
      <c r="DQ510"/>
      <c r="DR510"/>
      <c r="DS510"/>
      <c r="DT510"/>
      <c r="DU510"/>
      <c r="DV510"/>
      <c r="DW510"/>
      <c r="DZ510"/>
      <c r="EA510"/>
      <c r="EB510"/>
      <c r="EC510"/>
      <c r="ED510"/>
      <c r="EE510"/>
      <c r="EF510"/>
      <c r="EG510"/>
      <c r="EJ510"/>
      <c r="EK510"/>
      <c r="EL510"/>
      <c r="EM510"/>
      <c r="EN510"/>
      <c r="EO510"/>
      <c r="EP510"/>
      <c r="EQ510"/>
      <c r="ER510"/>
      <c r="ES510"/>
      <c r="ET510"/>
      <c r="EU510"/>
      <c r="EV510"/>
      <c r="EW510"/>
      <c r="EX510"/>
      <c r="EY510"/>
      <c r="EZ510"/>
      <c r="FA510"/>
      <c r="FB510"/>
      <c r="FC510"/>
      <c r="FD510"/>
      <c r="FE510"/>
      <c r="FF510"/>
      <c r="FG510"/>
      <c r="FH510"/>
      <c r="FK510"/>
      <c r="FL510"/>
      <c r="FM510"/>
      <c r="FN510"/>
      <c r="FO510"/>
      <c r="FP510"/>
      <c r="FQ510"/>
      <c r="FR510"/>
      <c r="FS510"/>
      <c r="FT510"/>
      <c r="FU510"/>
      <c r="FV510"/>
      <c r="FW510"/>
      <c r="FX510"/>
      <c r="FY510"/>
      <c r="FZ510"/>
      <c r="GA510"/>
      <c r="GB510"/>
      <c r="GC510"/>
      <c r="GD510"/>
    </row>
    <row r="511" spans="33:186" x14ac:dyDescent="0.15">
      <c r="AG511"/>
      <c r="AH511"/>
      <c r="AJ511"/>
      <c r="AK511"/>
      <c r="AL511"/>
      <c r="AM511"/>
      <c r="AO511"/>
      <c r="AP511"/>
      <c r="AQ511"/>
      <c r="AR511"/>
      <c r="AS511"/>
      <c r="AT511"/>
      <c r="AU511"/>
      <c r="AV511"/>
      <c r="AW511"/>
      <c r="AX511"/>
      <c r="AY511"/>
      <c r="AZ511"/>
      <c r="BA511"/>
      <c r="BB511"/>
      <c r="BC511"/>
      <c r="BD511"/>
      <c r="BE511"/>
      <c r="BF511"/>
      <c r="BH511"/>
      <c r="BI511"/>
      <c r="BJ511"/>
      <c r="BK511"/>
      <c r="BL511"/>
      <c r="BM511"/>
      <c r="BN511"/>
      <c r="BP511"/>
      <c r="BQ511"/>
      <c r="BR511"/>
      <c r="BS511"/>
      <c r="BT511"/>
      <c r="BU511"/>
      <c r="BV511"/>
      <c r="BW511"/>
      <c r="BZ511"/>
      <c r="CA511"/>
      <c r="CB511"/>
      <c r="CC511"/>
      <c r="CD511"/>
      <c r="CF511"/>
      <c r="CG511"/>
      <c r="CH511"/>
      <c r="CI511"/>
      <c r="CJ511"/>
      <c r="CK511"/>
      <c r="CL511"/>
      <c r="CM511"/>
      <c r="CN511"/>
      <c r="CO511"/>
      <c r="CP511"/>
      <c r="CQ511"/>
      <c r="CR511"/>
      <c r="CS511"/>
      <c r="CT511"/>
      <c r="CU511"/>
      <c r="CV511"/>
      <c r="CW511"/>
      <c r="CX511"/>
      <c r="CY511"/>
      <c r="CZ511"/>
      <c r="DA511"/>
      <c r="DB511"/>
      <c r="DC511"/>
      <c r="DD511"/>
      <c r="DE511"/>
      <c r="DG511"/>
      <c r="DH511"/>
      <c r="DI511"/>
      <c r="DJ511"/>
      <c r="DK511"/>
      <c r="DL511"/>
      <c r="DM511"/>
      <c r="DN511"/>
      <c r="DO511"/>
      <c r="DP511"/>
      <c r="DQ511"/>
      <c r="DR511"/>
      <c r="DS511"/>
      <c r="DT511"/>
      <c r="DU511"/>
      <c r="DV511"/>
      <c r="DW511"/>
      <c r="DZ511"/>
      <c r="EA511"/>
      <c r="EB511"/>
      <c r="EC511"/>
      <c r="ED511"/>
      <c r="EE511"/>
      <c r="EF511"/>
      <c r="EG511"/>
      <c r="EJ511"/>
      <c r="EK511"/>
      <c r="EL511"/>
      <c r="EM511"/>
      <c r="EN511"/>
      <c r="EO511"/>
      <c r="EP511"/>
      <c r="EQ511"/>
      <c r="ER511"/>
      <c r="ES511"/>
      <c r="ET511"/>
      <c r="EU511"/>
      <c r="EV511"/>
      <c r="EW511"/>
      <c r="EX511"/>
      <c r="EY511"/>
      <c r="EZ511"/>
      <c r="FA511"/>
      <c r="FB511"/>
      <c r="FC511"/>
      <c r="FD511"/>
      <c r="FE511"/>
      <c r="FF511"/>
      <c r="FG511"/>
      <c r="FH511"/>
      <c r="FK511"/>
      <c r="FL511"/>
      <c r="FM511"/>
      <c r="FN511"/>
      <c r="FO511"/>
      <c r="FP511"/>
      <c r="FQ511"/>
      <c r="FR511"/>
      <c r="FS511"/>
      <c r="FT511"/>
      <c r="FU511"/>
      <c r="FV511"/>
      <c r="FW511"/>
      <c r="FX511"/>
      <c r="FY511"/>
      <c r="FZ511"/>
      <c r="GA511"/>
      <c r="GB511"/>
      <c r="GC511"/>
      <c r="GD511"/>
    </row>
    <row r="512" spans="33:186" x14ac:dyDescent="0.15">
      <c r="AG512"/>
      <c r="AH512"/>
      <c r="AJ512"/>
      <c r="AK512"/>
      <c r="AL512"/>
      <c r="AM512"/>
      <c r="AO512"/>
      <c r="AP512"/>
      <c r="AQ512"/>
      <c r="AR512"/>
      <c r="AS512"/>
      <c r="AT512"/>
      <c r="AU512"/>
      <c r="AV512"/>
      <c r="AW512"/>
      <c r="AX512"/>
      <c r="AY512"/>
      <c r="AZ512"/>
      <c r="BA512"/>
      <c r="BB512"/>
      <c r="BC512"/>
      <c r="BD512"/>
      <c r="BE512"/>
      <c r="BF512"/>
      <c r="BH512"/>
      <c r="BI512"/>
      <c r="BJ512"/>
      <c r="BK512"/>
      <c r="BL512"/>
      <c r="BM512"/>
      <c r="BN512"/>
      <c r="BP512"/>
      <c r="BQ512"/>
      <c r="BR512"/>
      <c r="BS512"/>
      <c r="BT512"/>
      <c r="BU512"/>
      <c r="BV512"/>
      <c r="BW512"/>
      <c r="BZ512"/>
      <c r="CA512"/>
      <c r="CB512"/>
      <c r="CC512"/>
      <c r="CD512"/>
      <c r="CF512"/>
      <c r="CG512"/>
      <c r="CH512"/>
      <c r="CI512"/>
      <c r="CJ512"/>
      <c r="CK512"/>
      <c r="CL512"/>
      <c r="CM512"/>
      <c r="CN512"/>
      <c r="CO512"/>
      <c r="CP512"/>
      <c r="CQ512"/>
      <c r="CR512"/>
      <c r="CS512"/>
      <c r="CT512"/>
      <c r="CU512"/>
      <c r="CV512"/>
      <c r="CW512"/>
      <c r="CX512"/>
      <c r="CY512"/>
      <c r="CZ512"/>
      <c r="DA512"/>
      <c r="DB512"/>
      <c r="DC512"/>
      <c r="DD512"/>
      <c r="DE512"/>
      <c r="DG512"/>
      <c r="DH512"/>
      <c r="DI512"/>
      <c r="DJ512"/>
      <c r="DK512"/>
      <c r="DL512"/>
      <c r="DM512"/>
      <c r="DN512"/>
      <c r="DO512"/>
      <c r="DP512"/>
      <c r="DQ512"/>
      <c r="DR512"/>
      <c r="DS512"/>
      <c r="DT512"/>
      <c r="DU512"/>
      <c r="DV512"/>
      <c r="DW512"/>
      <c r="DZ512"/>
      <c r="EA512"/>
      <c r="EB512"/>
      <c r="EC512"/>
      <c r="ED512"/>
      <c r="EE512"/>
      <c r="EF512"/>
      <c r="EG512"/>
      <c r="EJ512"/>
      <c r="EK512"/>
      <c r="EL512"/>
      <c r="EM512"/>
      <c r="EN512"/>
      <c r="EO512"/>
      <c r="EP512"/>
      <c r="EQ512"/>
      <c r="ER512"/>
      <c r="ES512"/>
      <c r="ET512"/>
      <c r="EU512"/>
      <c r="EV512"/>
      <c r="EW512"/>
      <c r="EX512"/>
      <c r="EY512"/>
      <c r="EZ512"/>
      <c r="FA512"/>
      <c r="FB512"/>
      <c r="FC512"/>
      <c r="FD512"/>
      <c r="FE512"/>
      <c r="FF512"/>
      <c r="FG512"/>
      <c r="FH512"/>
      <c r="FK512"/>
      <c r="FL512"/>
      <c r="FM512"/>
      <c r="FN512"/>
      <c r="FO512"/>
      <c r="FP512"/>
      <c r="FQ512"/>
      <c r="FR512"/>
      <c r="FS512"/>
      <c r="FT512"/>
      <c r="FU512"/>
      <c r="FV512"/>
      <c r="FW512"/>
      <c r="FX512"/>
      <c r="FY512"/>
      <c r="FZ512"/>
      <c r="GA512"/>
      <c r="GB512"/>
      <c r="GC512"/>
      <c r="GD512"/>
    </row>
    <row r="513" spans="4:186" x14ac:dyDescent="0.15">
      <c r="AG513"/>
      <c r="AH513"/>
      <c r="AJ513"/>
      <c r="AK513"/>
      <c r="AL513"/>
      <c r="AM513"/>
      <c r="AO513"/>
      <c r="AP513"/>
      <c r="AQ513"/>
      <c r="AR513"/>
      <c r="AS513"/>
      <c r="AT513"/>
      <c r="AU513"/>
      <c r="AV513"/>
      <c r="AW513"/>
      <c r="AX513"/>
      <c r="AY513"/>
      <c r="AZ513"/>
      <c r="BA513"/>
      <c r="BB513"/>
      <c r="BC513"/>
      <c r="BD513"/>
      <c r="BE513"/>
      <c r="BF513"/>
      <c r="BH513"/>
      <c r="BI513"/>
      <c r="BJ513"/>
      <c r="BK513"/>
      <c r="BL513"/>
      <c r="BM513"/>
      <c r="BN513"/>
      <c r="BP513"/>
      <c r="BQ513"/>
      <c r="BR513"/>
      <c r="BS513"/>
      <c r="BT513"/>
      <c r="BU513"/>
      <c r="BV513"/>
      <c r="BW513"/>
      <c r="BZ513"/>
      <c r="CA513"/>
      <c r="CB513"/>
      <c r="CC513"/>
      <c r="CD513"/>
      <c r="CF513"/>
      <c r="CG513"/>
      <c r="CH513"/>
      <c r="CI513"/>
      <c r="CJ513"/>
      <c r="CK513"/>
      <c r="CL513"/>
      <c r="CM513"/>
      <c r="CN513"/>
      <c r="CO513"/>
      <c r="CP513"/>
      <c r="CQ513"/>
      <c r="CR513"/>
      <c r="CS513"/>
      <c r="CT513"/>
      <c r="CU513"/>
      <c r="CV513"/>
      <c r="CW513"/>
      <c r="CX513"/>
      <c r="CY513"/>
      <c r="CZ513"/>
      <c r="DA513"/>
      <c r="DB513"/>
      <c r="DC513"/>
      <c r="DD513"/>
      <c r="DE513"/>
      <c r="DG513"/>
      <c r="DH513"/>
      <c r="DI513"/>
      <c r="DJ513"/>
      <c r="DK513"/>
      <c r="DL513"/>
      <c r="DM513"/>
      <c r="DN513"/>
      <c r="DO513"/>
      <c r="DP513"/>
      <c r="DQ513"/>
      <c r="DR513"/>
      <c r="DS513"/>
      <c r="DT513"/>
      <c r="DU513"/>
      <c r="DV513"/>
      <c r="DW513"/>
      <c r="DZ513"/>
      <c r="EA513"/>
      <c r="EB513"/>
      <c r="EC513"/>
      <c r="ED513"/>
      <c r="EE513"/>
      <c r="EF513"/>
      <c r="EG513"/>
      <c r="EJ513"/>
      <c r="EK513"/>
      <c r="EL513"/>
      <c r="EM513"/>
      <c r="EN513"/>
      <c r="EO513"/>
      <c r="EP513"/>
      <c r="EQ513"/>
      <c r="ER513"/>
      <c r="ES513"/>
      <c r="ET513"/>
      <c r="EU513"/>
      <c r="EV513"/>
      <c r="EW513"/>
      <c r="EX513"/>
      <c r="EY513"/>
      <c r="EZ513"/>
      <c r="FA513"/>
      <c r="FB513"/>
      <c r="FC513"/>
      <c r="FD513"/>
      <c r="FE513"/>
      <c r="FF513"/>
      <c r="FG513"/>
      <c r="FH513"/>
      <c r="FK513"/>
      <c r="FL513"/>
      <c r="FM513"/>
      <c r="FN513"/>
      <c r="FO513"/>
      <c r="FP513"/>
      <c r="FQ513"/>
      <c r="FR513"/>
      <c r="FS513"/>
      <c r="FT513"/>
      <c r="FU513"/>
      <c r="FV513"/>
      <c r="FW513"/>
      <c r="FX513"/>
      <c r="FY513"/>
      <c r="FZ513"/>
      <c r="GA513"/>
      <c r="GB513"/>
      <c r="GC513"/>
      <c r="GD513"/>
    </row>
    <row r="514" spans="4:186" ht="18" x14ac:dyDescent="0.2">
      <c r="D514" s="18" t="str">
        <f>$D$1</f>
        <v>Type 'Heading' Here</v>
      </c>
      <c r="AG514"/>
      <c r="AH514"/>
      <c r="AJ514"/>
      <c r="AK514"/>
      <c r="AL514"/>
      <c r="AM514"/>
      <c r="AO514"/>
      <c r="AP514"/>
      <c r="AQ514"/>
      <c r="AR514"/>
      <c r="AS514"/>
      <c r="AT514"/>
      <c r="AU514"/>
      <c r="AV514"/>
      <c r="AW514"/>
      <c r="AX514"/>
      <c r="AY514"/>
      <c r="AZ514"/>
      <c r="BA514"/>
      <c r="BB514"/>
      <c r="BC514"/>
      <c r="BD514"/>
      <c r="BE514"/>
      <c r="BF514"/>
      <c r="BH514"/>
      <c r="BI514"/>
      <c r="BJ514"/>
      <c r="BK514"/>
      <c r="BL514"/>
      <c r="BM514"/>
      <c r="BN514"/>
      <c r="BP514"/>
      <c r="BQ514"/>
      <c r="BR514"/>
      <c r="BS514"/>
      <c r="BT514"/>
      <c r="BU514"/>
      <c r="BV514"/>
      <c r="BW514"/>
      <c r="BZ514"/>
      <c r="CA514"/>
      <c r="CB514"/>
      <c r="CC514"/>
      <c r="CD514"/>
      <c r="CF514"/>
      <c r="CG514"/>
      <c r="CH514"/>
      <c r="CI514"/>
      <c r="CJ514"/>
      <c r="CK514"/>
      <c r="CL514"/>
      <c r="CM514"/>
      <c r="CN514"/>
      <c r="CO514"/>
      <c r="CP514"/>
      <c r="CQ514"/>
      <c r="CR514"/>
      <c r="CS514"/>
      <c r="CT514"/>
      <c r="CU514"/>
      <c r="CV514"/>
      <c r="CW514"/>
      <c r="CX514"/>
      <c r="CY514"/>
      <c r="CZ514"/>
      <c r="DA514"/>
      <c r="DB514"/>
      <c r="DC514"/>
      <c r="DD514"/>
      <c r="DE514"/>
      <c r="DG514"/>
      <c r="DH514"/>
      <c r="DI514"/>
      <c r="DJ514"/>
      <c r="DK514"/>
      <c r="DL514"/>
      <c r="DM514"/>
      <c r="DN514"/>
      <c r="DO514"/>
      <c r="DP514"/>
      <c r="DQ514"/>
      <c r="DR514"/>
      <c r="DS514"/>
      <c r="DT514"/>
      <c r="DU514"/>
      <c r="DV514"/>
      <c r="DW514"/>
      <c r="DZ514"/>
      <c r="EA514"/>
      <c r="EB514"/>
      <c r="EC514"/>
      <c r="ED514"/>
      <c r="EE514"/>
      <c r="EF514"/>
      <c r="EG514"/>
      <c r="EJ514"/>
      <c r="EK514"/>
      <c r="EL514"/>
      <c r="EM514"/>
      <c r="EN514"/>
      <c r="EO514"/>
      <c r="EP514"/>
      <c r="EQ514"/>
      <c r="ER514"/>
      <c r="ES514"/>
      <c r="ET514"/>
      <c r="EU514"/>
      <c r="EV514"/>
      <c r="EW514"/>
      <c r="EX514"/>
      <c r="EY514"/>
      <c r="EZ514"/>
      <c r="FA514"/>
      <c r="FB514"/>
      <c r="FC514"/>
      <c r="FD514"/>
      <c r="FE514"/>
      <c r="FF514"/>
      <c r="FG514"/>
      <c r="FH514"/>
      <c r="FK514"/>
      <c r="FL514"/>
      <c r="FM514"/>
      <c r="FN514"/>
      <c r="FO514"/>
      <c r="FP514"/>
      <c r="FQ514"/>
      <c r="FR514"/>
      <c r="FS514"/>
      <c r="FT514"/>
      <c r="FU514"/>
      <c r="FV514"/>
      <c r="FW514"/>
      <c r="FX514"/>
      <c r="FY514"/>
      <c r="FZ514"/>
      <c r="GA514"/>
      <c r="GB514"/>
      <c r="GC514"/>
      <c r="GD514"/>
    </row>
    <row r="515" spans="4:186" x14ac:dyDescent="0.15">
      <c r="D515" s="23" t="s">
        <v>152</v>
      </c>
      <c r="AG515"/>
      <c r="AH515"/>
      <c r="AJ515"/>
      <c r="AK515"/>
      <c r="AL515"/>
      <c r="AM515"/>
      <c r="AO515"/>
      <c r="AP515"/>
      <c r="AQ515"/>
      <c r="AR515"/>
      <c r="AS515"/>
      <c r="AT515"/>
      <c r="AU515"/>
      <c r="AV515"/>
      <c r="AW515"/>
      <c r="AX515"/>
      <c r="AY515"/>
      <c r="AZ515"/>
      <c r="BA515"/>
      <c r="BB515"/>
      <c r="BC515"/>
      <c r="BD515"/>
      <c r="BE515"/>
      <c r="BF515"/>
      <c r="BH515"/>
      <c r="BI515"/>
      <c r="BJ515"/>
      <c r="BK515"/>
      <c r="BL515"/>
      <c r="BM515"/>
      <c r="BN515"/>
      <c r="BP515"/>
      <c r="BQ515"/>
      <c r="BR515"/>
      <c r="BS515"/>
      <c r="BT515"/>
      <c r="BU515"/>
      <c r="BV515"/>
      <c r="BW515"/>
      <c r="BZ515"/>
      <c r="CA515"/>
      <c r="CB515"/>
      <c r="CC515"/>
      <c r="CD515"/>
      <c r="CF515"/>
      <c r="CG515"/>
      <c r="CH515"/>
      <c r="CI515"/>
      <c r="CJ515"/>
      <c r="CK515"/>
      <c r="CL515"/>
      <c r="CM515"/>
      <c r="CN515"/>
      <c r="CO515"/>
      <c r="CP515"/>
      <c r="CQ515"/>
      <c r="CR515"/>
      <c r="CS515"/>
      <c r="CT515"/>
      <c r="CU515"/>
      <c r="CV515"/>
      <c r="CW515"/>
      <c r="CX515"/>
      <c r="CY515"/>
      <c r="CZ515"/>
      <c r="DA515"/>
      <c r="DB515"/>
      <c r="DC515"/>
      <c r="DD515"/>
      <c r="DE515"/>
      <c r="DG515"/>
      <c r="DH515"/>
      <c r="DI515"/>
      <c r="DJ515"/>
      <c r="DK515"/>
      <c r="DL515"/>
      <c r="DM515"/>
      <c r="DN515"/>
      <c r="DO515"/>
      <c r="DP515"/>
      <c r="DQ515"/>
      <c r="DR515"/>
      <c r="DS515"/>
      <c r="DT515"/>
      <c r="DU515"/>
      <c r="DV515"/>
      <c r="DW515"/>
      <c r="DZ515"/>
      <c r="EA515"/>
      <c r="EB515"/>
      <c r="EC515"/>
      <c r="ED515"/>
      <c r="EE515"/>
      <c r="EF515"/>
      <c r="EG515"/>
      <c r="EJ515"/>
      <c r="EK515"/>
      <c r="EL515"/>
      <c r="EM515"/>
      <c r="EN515"/>
      <c r="EO515"/>
      <c r="EP515"/>
      <c r="EQ515"/>
      <c r="ER515"/>
      <c r="ES515"/>
      <c r="ET515"/>
      <c r="EU515"/>
      <c r="EV515"/>
      <c r="EW515"/>
      <c r="EX515"/>
      <c r="EY515"/>
      <c r="EZ515"/>
      <c r="FA515"/>
      <c r="FB515"/>
      <c r="FC515"/>
      <c r="FD515"/>
      <c r="FE515"/>
      <c r="FF515"/>
      <c r="FG515"/>
      <c r="FH515"/>
      <c r="FK515"/>
      <c r="FL515"/>
      <c r="FM515"/>
      <c r="FN515"/>
      <c r="FO515"/>
      <c r="FP515"/>
      <c r="FQ515"/>
      <c r="FR515"/>
      <c r="FS515"/>
      <c r="FT515"/>
      <c r="FU515"/>
      <c r="FV515"/>
      <c r="FW515"/>
      <c r="FX515"/>
      <c r="FY515"/>
      <c r="FZ515"/>
      <c r="GA515"/>
      <c r="GB515"/>
      <c r="GC515"/>
      <c r="GD515"/>
    </row>
    <row r="516" spans="4:186" x14ac:dyDescent="0.15">
      <c r="AG516"/>
      <c r="AH516"/>
      <c r="AJ516"/>
      <c r="AK516"/>
      <c r="AL516"/>
      <c r="AM516"/>
      <c r="AO516"/>
      <c r="AP516"/>
      <c r="AQ516"/>
      <c r="AR516"/>
      <c r="AS516"/>
      <c r="AT516"/>
      <c r="AU516"/>
      <c r="AV516"/>
      <c r="AW516"/>
      <c r="AX516"/>
      <c r="AY516"/>
      <c r="AZ516"/>
      <c r="BA516"/>
      <c r="BB516"/>
      <c r="BC516"/>
      <c r="BD516"/>
      <c r="BE516"/>
      <c r="BF516"/>
      <c r="BH516"/>
      <c r="BI516"/>
      <c r="BJ516"/>
      <c r="BK516"/>
      <c r="BL516"/>
      <c r="BM516"/>
      <c r="BN516"/>
      <c r="BP516"/>
      <c r="BQ516"/>
      <c r="BR516"/>
      <c r="BS516"/>
      <c r="BT516"/>
      <c r="BU516"/>
      <c r="BV516"/>
      <c r="BW516"/>
      <c r="BZ516"/>
      <c r="CA516"/>
      <c r="CB516"/>
      <c r="CC516"/>
      <c r="CD516"/>
      <c r="CF516"/>
      <c r="CG516"/>
      <c r="CH516"/>
      <c r="CI516"/>
      <c r="CJ516"/>
      <c r="CK516"/>
      <c r="CL516"/>
      <c r="CM516"/>
      <c r="CN516"/>
      <c r="CO516"/>
      <c r="CP516"/>
      <c r="CQ516"/>
      <c r="CR516"/>
      <c r="CS516"/>
      <c r="CT516"/>
      <c r="CU516"/>
      <c r="CV516"/>
      <c r="CW516"/>
      <c r="CX516"/>
      <c r="CY516"/>
      <c r="CZ516"/>
      <c r="DA516"/>
      <c r="DB516"/>
      <c r="DC516"/>
      <c r="DD516"/>
      <c r="DE516"/>
      <c r="DG516"/>
      <c r="DH516"/>
      <c r="DI516"/>
      <c r="DJ516"/>
      <c r="DK516"/>
      <c r="DL516"/>
      <c r="DM516"/>
      <c r="DN516"/>
      <c r="DO516"/>
      <c r="DP516"/>
      <c r="DQ516"/>
      <c r="DR516"/>
      <c r="DS516"/>
      <c r="DT516"/>
      <c r="DU516"/>
      <c r="DV516"/>
      <c r="DW516"/>
      <c r="DZ516"/>
      <c r="EA516"/>
      <c r="EB516"/>
      <c r="EC516"/>
      <c r="ED516"/>
      <c r="EE516"/>
      <c r="EF516"/>
      <c r="EG516"/>
      <c r="EJ516"/>
      <c r="EK516"/>
      <c r="EL516"/>
      <c r="EM516"/>
      <c r="EN516"/>
      <c r="EO516"/>
      <c r="EP516"/>
      <c r="EQ516"/>
      <c r="ER516"/>
      <c r="ES516"/>
      <c r="ET516"/>
      <c r="EU516"/>
      <c r="EV516"/>
      <c r="EW516"/>
      <c r="EX516"/>
      <c r="EY516"/>
      <c r="EZ516"/>
      <c r="FA516"/>
      <c r="FB516"/>
      <c r="FC516"/>
      <c r="FD516"/>
      <c r="FE516"/>
      <c r="FF516"/>
      <c r="FG516"/>
      <c r="FH516"/>
      <c r="FK516"/>
      <c r="FL516"/>
      <c r="FM516"/>
      <c r="FN516"/>
      <c r="FO516"/>
      <c r="FP516"/>
      <c r="FQ516"/>
      <c r="FR516"/>
      <c r="FS516"/>
      <c r="FT516"/>
      <c r="FU516"/>
      <c r="FV516"/>
      <c r="FW516"/>
      <c r="FX516"/>
      <c r="FY516"/>
      <c r="FZ516"/>
      <c r="GA516"/>
      <c r="GB516"/>
      <c r="GC516"/>
      <c r="GD516"/>
    </row>
    <row r="517" spans="4:186" x14ac:dyDescent="0.15">
      <c r="AG517"/>
      <c r="AH517"/>
      <c r="AJ517"/>
      <c r="AK517"/>
      <c r="AL517"/>
      <c r="AM517"/>
      <c r="AO517"/>
      <c r="AP517"/>
      <c r="AQ517"/>
      <c r="AR517"/>
      <c r="AS517"/>
      <c r="AT517"/>
      <c r="AU517"/>
      <c r="AV517"/>
      <c r="AW517"/>
      <c r="AX517"/>
      <c r="AY517"/>
      <c r="AZ517"/>
      <c r="BA517"/>
      <c r="BB517"/>
      <c r="BC517"/>
      <c r="BD517"/>
      <c r="BE517"/>
      <c r="BF517"/>
      <c r="BH517"/>
      <c r="BI517"/>
      <c r="BJ517"/>
      <c r="BK517"/>
      <c r="BL517"/>
      <c r="BM517"/>
      <c r="BN517"/>
      <c r="BP517"/>
      <c r="BQ517"/>
      <c r="BR517"/>
      <c r="BS517"/>
      <c r="BT517"/>
      <c r="BU517"/>
      <c r="BV517"/>
      <c r="BW517"/>
      <c r="BZ517"/>
      <c r="CA517"/>
      <c r="CB517"/>
      <c r="CC517"/>
      <c r="CD517"/>
      <c r="CF517"/>
      <c r="CG517"/>
      <c r="CH517"/>
      <c r="CI517"/>
      <c r="CJ517"/>
      <c r="CK517"/>
      <c r="CL517"/>
      <c r="CM517"/>
      <c r="CN517"/>
      <c r="CO517"/>
      <c r="CP517"/>
      <c r="CQ517"/>
      <c r="CR517"/>
      <c r="CS517"/>
      <c r="CT517"/>
      <c r="CU517"/>
      <c r="CV517"/>
      <c r="CW517"/>
      <c r="CX517"/>
      <c r="CY517"/>
      <c r="CZ517"/>
      <c r="DA517"/>
      <c r="DB517"/>
      <c r="DC517"/>
      <c r="DD517"/>
      <c r="DE517"/>
      <c r="DG517"/>
      <c r="DH517"/>
      <c r="DI517"/>
      <c r="DJ517"/>
      <c r="DK517"/>
      <c r="DL517"/>
      <c r="DM517"/>
      <c r="DN517"/>
      <c r="DO517"/>
      <c r="DP517"/>
      <c r="DQ517"/>
      <c r="DR517"/>
      <c r="DS517"/>
      <c r="DT517"/>
      <c r="DU517"/>
      <c r="DV517"/>
      <c r="DW517"/>
      <c r="DZ517"/>
      <c r="EA517"/>
      <c r="EB517"/>
      <c r="EC517"/>
      <c r="ED517"/>
      <c r="EE517"/>
      <c r="EF517"/>
      <c r="EG517"/>
      <c r="EJ517"/>
      <c r="EK517"/>
      <c r="EL517"/>
      <c r="EM517"/>
      <c r="EN517"/>
      <c r="EO517"/>
      <c r="EP517"/>
      <c r="EQ517"/>
      <c r="ER517"/>
      <c r="ES517"/>
      <c r="ET517"/>
      <c r="EU517"/>
      <c r="EV517"/>
      <c r="EW517"/>
      <c r="EX517"/>
      <c r="EY517"/>
      <c r="EZ517"/>
      <c r="FA517"/>
      <c r="FB517"/>
      <c r="FC517"/>
      <c r="FD517"/>
      <c r="FE517"/>
      <c r="FF517"/>
      <c r="FG517"/>
      <c r="FH517"/>
      <c r="FK517"/>
      <c r="FL517"/>
      <c r="FM517"/>
      <c r="FN517"/>
      <c r="FO517"/>
      <c r="FP517"/>
      <c r="FQ517"/>
      <c r="FR517"/>
      <c r="FS517"/>
      <c r="FT517"/>
      <c r="FU517"/>
      <c r="FV517"/>
      <c r="FW517"/>
      <c r="FX517"/>
      <c r="FY517"/>
      <c r="FZ517"/>
      <c r="GA517"/>
      <c r="GB517"/>
      <c r="GC517"/>
      <c r="GD517"/>
    </row>
    <row r="518" spans="4:186" x14ac:dyDescent="0.15">
      <c r="AG518"/>
      <c r="AH518"/>
      <c r="AJ518"/>
      <c r="AK518"/>
      <c r="AL518"/>
      <c r="AM518"/>
      <c r="AO518"/>
      <c r="AP518"/>
      <c r="AQ518"/>
      <c r="AR518"/>
      <c r="AS518"/>
      <c r="AT518"/>
      <c r="AU518"/>
      <c r="AV518"/>
      <c r="AW518"/>
      <c r="AX518"/>
      <c r="AY518"/>
      <c r="AZ518"/>
      <c r="BA518"/>
      <c r="BB518"/>
      <c r="BC518"/>
      <c r="BD518"/>
      <c r="BE518"/>
      <c r="BF518"/>
      <c r="BH518"/>
      <c r="BI518"/>
      <c r="BJ518"/>
      <c r="BK518"/>
      <c r="BL518"/>
      <c r="BM518"/>
      <c r="BN518"/>
      <c r="BP518"/>
      <c r="BQ518"/>
      <c r="BR518"/>
      <c r="BS518"/>
      <c r="BT518"/>
      <c r="BU518"/>
      <c r="BV518"/>
      <c r="BW518"/>
      <c r="BZ518"/>
      <c r="CA518"/>
      <c r="CB518"/>
      <c r="CC518"/>
      <c r="CD518"/>
      <c r="CF518"/>
      <c r="CG518"/>
      <c r="CH518"/>
      <c r="CI518"/>
      <c r="CJ518"/>
      <c r="CK518"/>
      <c r="CL518"/>
      <c r="CM518"/>
      <c r="CN518"/>
      <c r="CO518"/>
      <c r="CP518"/>
      <c r="CQ518"/>
      <c r="CR518"/>
      <c r="CS518"/>
      <c r="CT518"/>
      <c r="CU518"/>
      <c r="CV518"/>
      <c r="CW518"/>
      <c r="CX518"/>
      <c r="CY518"/>
      <c r="CZ518"/>
      <c r="DA518"/>
      <c r="DB518"/>
      <c r="DC518"/>
      <c r="DD518"/>
      <c r="DE518"/>
      <c r="DG518"/>
      <c r="DH518"/>
      <c r="DI518"/>
      <c r="DJ518"/>
      <c r="DK518"/>
      <c r="DL518"/>
      <c r="DM518"/>
      <c r="DN518"/>
      <c r="DO518"/>
      <c r="DP518"/>
      <c r="DQ518"/>
      <c r="DR518"/>
      <c r="DS518"/>
      <c r="DT518"/>
      <c r="DU518"/>
      <c r="DV518"/>
      <c r="DW518"/>
      <c r="DZ518"/>
      <c r="EA518"/>
      <c r="EB518"/>
      <c r="EC518"/>
      <c r="ED518"/>
      <c r="EE518"/>
      <c r="EF518"/>
      <c r="EG518"/>
      <c r="EJ518"/>
      <c r="EK518"/>
      <c r="EL518"/>
      <c r="EM518"/>
      <c r="EN518"/>
      <c r="EO518"/>
      <c r="EP518"/>
      <c r="EQ518"/>
      <c r="ER518"/>
      <c r="ES518"/>
      <c r="ET518"/>
      <c r="EU518"/>
      <c r="EV518"/>
      <c r="EW518"/>
      <c r="EX518"/>
      <c r="EY518"/>
      <c r="EZ518"/>
      <c r="FA518"/>
      <c r="FB518"/>
      <c r="FC518"/>
      <c r="FD518"/>
      <c r="FE518"/>
      <c r="FF518"/>
      <c r="FG518"/>
      <c r="FH518"/>
      <c r="FK518"/>
      <c r="FL518"/>
      <c r="FM518"/>
      <c r="FN518"/>
      <c r="FO518"/>
      <c r="FP518"/>
      <c r="FQ518"/>
      <c r="FR518"/>
      <c r="FS518"/>
      <c r="FT518"/>
      <c r="FU518"/>
      <c r="FV518"/>
      <c r="FW518"/>
      <c r="FX518"/>
      <c r="FY518"/>
      <c r="FZ518"/>
      <c r="GA518"/>
      <c r="GB518"/>
      <c r="GC518"/>
      <c r="GD518"/>
    </row>
    <row r="519" spans="4:186" x14ac:dyDescent="0.15">
      <c r="AG519"/>
      <c r="AH519"/>
      <c r="AJ519"/>
      <c r="AK519"/>
      <c r="AL519"/>
      <c r="AM519"/>
      <c r="AO519"/>
      <c r="AP519"/>
      <c r="AQ519"/>
      <c r="AR519"/>
      <c r="AS519"/>
      <c r="AT519"/>
      <c r="AU519"/>
      <c r="AV519"/>
      <c r="AW519"/>
      <c r="AX519"/>
      <c r="AY519"/>
      <c r="AZ519"/>
      <c r="BA519"/>
      <c r="BB519"/>
      <c r="BC519"/>
      <c r="BD519"/>
      <c r="BE519"/>
      <c r="BF519"/>
      <c r="BH519"/>
      <c r="BI519"/>
      <c r="BJ519"/>
      <c r="BK519"/>
      <c r="BL519"/>
      <c r="BM519"/>
      <c r="BN519"/>
      <c r="BP519"/>
      <c r="BQ519"/>
      <c r="BR519"/>
      <c r="BS519"/>
      <c r="BT519"/>
      <c r="BU519"/>
      <c r="BV519"/>
      <c r="BW519"/>
      <c r="BZ519"/>
      <c r="CA519"/>
      <c r="CB519"/>
      <c r="CC519"/>
      <c r="CD519"/>
      <c r="CF519"/>
      <c r="CG519"/>
      <c r="CH519"/>
      <c r="CI519"/>
      <c r="CJ519"/>
      <c r="CK519"/>
      <c r="CL519"/>
      <c r="CM519"/>
      <c r="CN519"/>
      <c r="CO519"/>
      <c r="CP519"/>
      <c r="CQ519"/>
      <c r="CR519"/>
      <c r="CS519"/>
      <c r="CT519"/>
      <c r="CU519"/>
      <c r="CV519"/>
      <c r="CW519"/>
      <c r="CX519"/>
      <c r="CY519"/>
      <c r="CZ519"/>
      <c r="DA519"/>
      <c r="DB519"/>
      <c r="DC519"/>
      <c r="DD519"/>
      <c r="DE519"/>
      <c r="DG519"/>
      <c r="DH519"/>
      <c r="DI519"/>
      <c r="DJ519"/>
      <c r="DK519"/>
      <c r="DL519"/>
      <c r="DM519"/>
      <c r="DN519"/>
      <c r="DO519"/>
      <c r="DP519"/>
      <c r="DQ519"/>
      <c r="DR519"/>
      <c r="DS519"/>
      <c r="DT519"/>
      <c r="DU519"/>
      <c r="DV519"/>
      <c r="DW519"/>
      <c r="DZ519"/>
      <c r="EA519"/>
      <c r="EB519"/>
      <c r="EC519"/>
      <c r="ED519"/>
      <c r="EE519"/>
      <c r="EF519"/>
      <c r="EG519"/>
      <c r="EJ519"/>
      <c r="EK519"/>
      <c r="EL519"/>
      <c r="EM519"/>
      <c r="EN519"/>
      <c r="EO519"/>
      <c r="EP519"/>
      <c r="EQ519"/>
      <c r="ER519"/>
      <c r="ES519"/>
      <c r="ET519"/>
      <c r="EU519"/>
      <c r="EV519"/>
      <c r="EW519"/>
      <c r="EX519"/>
      <c r="EY519"/>
      <c r="EZ519"/>
      <c r="FA519"/>
      <c r="FB519"/>
      <c r="FC519"/>
      <c r="FD519"/>
      <c r="FE519"/>
      <c r="FF519"/>
      <c r="FG519"/>
      <c r="FH519"/>
      <c r="FK519"/>
      <c r="FL519"/>
      <c r="FM519"/>
      <c r="FN519"/>
      <c r="FO519"/>
      <c r="FP519"/>
      <c r="FQ519"/>
      <c r="FR519"/>
      <c r="FS519"/>
      <c r="FT519"/>
      <c r="FU519"/>
      <c r="FV519"/>
      <c r="FW519"/>
      <c r="FX519"/>
      <c r="FY519"/>
      <c r="FZ519"/>
      <c r="GA519"/>
      <c r="GB519"/>
      <c r="GC519"/>
      <c r="GD519"/>
    </row>
    <row r="520" spans="4:186" x14ac:dyDescent="0.15">
      <c r="AG520"/>
      <c r="AH520"/>
      <c r="AJ520"/>
      <c r="AK520"/>
      <c r="AL520"/>
      <c r="AM520"/>
      <c r="AO520"/>
      <c r="AP520"/>
      <c r="AQ520"/>
      <c r="AR520"/>
      <c r="AS520"/>
      <c r="AT520"/>
      <c r="AU520"/>
      <c r="AV520"/>
      <c r="AW520"/>
      <c r="AX520"/>
      <c r="AY520"/>
      <c r="AZ520"/>
      <c r="BA520"/>
      <c r="BB520"/>
      <c r="BC520"/>
      <c r="BD520"/>
      <c r="BE520"/>
      <c r="BF520"/>
      <c r="BH520"/>
      <c r="BI520"/>
      <c r="BJ520"/>
      <c r="BK520"/>
      <c r="BL520"/>
      <c r="BM520"/>
      <c r="BN520"/>
      <c r="BP520"/>
      <c r="BQ520"/>
      <c r="BR520"/>
      <c r="BS520"/>
      <c r="BT520"/>
      <c r="BU520"/>
      <c r="BV520"/>
      <c r="BW520"/>
      <c r="BZ520"/>
      <c r="CA520"/>
      <c r="CB520"/>
      <c r="CC520"/>
      <c r="CD520"/>
      <c r="CF520"/>
      <c r="CG520"/>
      <c r="CH520"/>
      <c r="CI520"/>
      <c r="CJ520"/>
      <c r="CK520"/>
      <c r="CL520"/>
      <c r="CM520"/>
      <c r="CN520"/>
      <c r="CO520"/>
      <c r="CP520"/>
      <c r="CQ520"/>
      <c r="CR520"/>
      <c r="CS520"/>
      <c r="CT520"/>
      <c r="CU520"/>
      <c r="CV520"/>
      <c r="CW520"/>
      <c r="CX520"/>
      <c r="CY520"/>
      <c r="CZ520"/>
      <c r="DA520"/>
      <c r="DB520"/>
      <c r="DC520"/>
      <c r="DD520"/>
      <c r="DE520"/>
      <c r="DG520"/>
      <c r="DH520"/>
      <c r="DI520"/>
      <c r="DJ520"/>
      <c r="DK520"/>
      <c r="DL520"/>
      <c r="DM520"/>
      <c r="DN520"/>
      <c r="DO520"/>
      <c r="DP520"/>
      <c r="DQ520"/>
      <c r="DR520"/>
      <c r="DS520"/>
      <c r="DT520"/>
      <c r="DU520"/>
      <c r="DV520"/>
      <c r="DW520"/>
      <c r="DZ520"/>
      <c r="EA520"/>
      <c r="EB520"/>
      <c r="EC520"/>
      <c r="ED520"/>
      <c r="EE520"/>
      <c r="EF520"/>
      <c r="EG520"/>
      <c r="EJ520"/>
      <c r="EK520"/>
      <c r="EL520"/>
      <c r="EM520"/>
      <c r="EN520"/>
      <c r="EO520"/>
      <c r="EP520"/>
      <c r="EQ520"/>
      <c r="ER520"/>
      <c r="ES520"/>
      <c r="ET520"/>
      <c r="EU520"/>
      <c r="EV520"/>
      <c r="EW520"/>
      <c r="EX520"/>
      <c r="EY520"/>
      <c r="EZ520"/>
      <c r="FA520"/>
      <c r="FB520"/>
      <c r="FC520"/>
      <c r="FD520"/>
      <c r="FE520"/>
      <c r="FF520"/>
      <c r="FG520"/>
      <c r="FH520"/>
      <c r="FK520"/>
      <c r="FL520"/>
      <c r="FM520"/>
      <c r="FN520"/>
      <c r="FO520"/>
      <c r="FP520"/>
      <c r="FQ520"/>
      <c r="FR520"/>
      <c r="FS520"/>
      <c r="FT520"/>
      <c r="FU520"/>
      <c r="FV520"/>
      <c r="FW520"/>
      <c r="FX520"/>
      <c r="FY520"/>
      <c r="FZ520"/>
      <c r="GA520"/>
      <c r="GB520"/>
      <c r="GC520"/>
      <c r="GD520"/>
    </row>
    <row r="521" spans="4:186" x14ac:dyDescent="0.15">
      <c r="AG521"/>
      <c r="AH521"/>
      <c r="AJ521"/>
      <c r="AK521"/>
      <c r="AL521"/>
      <c r="AM521"/>
      <c r="AO521"/>
      <c r="AP521"/>
      <c r="AQ521"/>
      <c r="AR521"/>
      <c r="AS521"/>
      <c r="AT521"/>
      <c r="AU521"/>
      <c r="AV521"/>
      <c r="AW521"/>
      <c r="AX521"/>
      <c r="AY521"/>
      <c r="AZ521"/>
      <c r="BA521"/>
      <c r="BB521"/>
      <c r="BC521"/>
      <c r="BD521"/>
      <c r="BE521"/>
      <c r="BF521"/>
      <c r="BH521"/>
      <c r="BI521"/>
      <c r="BJ521"/>
      <c r="BK521"/>
      <c r="BL521"/>
      <c r="BM521"/>
      <c r="BN521"/>
      <c r="BP521"/>
      <c r="BQ521"/>
      <c r="BR521"/>
      <c r="BS521"/>
      <c r="BT521"/>
      <c r="BU521"/>
      <c r="BV521"/>
      <c r="BW521"/>
      <c r="BZ521"/>
      <c r="CA521"/>
      <c r="CB521"/>
      <c r="CC521"/>
      <c r="CD521"/>
      <c r="CF521"/>
      <c r="CG521"/>
      <c r="CH521"/>
      <c r="CI521"/>
      <c r="CJ521"/>
      <c r="CK521"/>
      <c r="CL521"/>
      <c r="CM521"/>
      <c r="CN521"/>
      <c r="CO521"/>
      <c r="CP521"/>
      <c r="CQ521"/>
      <c r="CR521"/>
      <c r="CS521"/>
      <c r="CT521"/>
      <c r="CU521"/>
      <c r="CV521"/>
      <c r="CW521"/>
      <c r="CX521"/>
      <c r="CY521"/>
      <c r="CZ521"/>
      <c r="DA521"/>
      <c r="DB521"/>
      <c r="DC521"/>
      <c r="DD521"/>
      <c r="DE521"/>
      <c r="DG521"/>
      <c r="DH521"/>
      <c r="DI521"/>
      <c r="DJ521"/>
      <c r="DK521"/>
      <c r="DL521"/>
      <c r="DM521"/>
      <c r="DN521"/>
      <c r="DO521"/>
      <c r="DP521"/>
      <c r="DQ521"/>
      <c r="DR521"/>
      <c r="DS521"/>
      <c r="DT521"/>
      <c r="DU521"/>
      <c r="DV521"/>
      <c r="DW521"/>
      <c r="DZ521"/>
      <c r="EA521"/>
      <c r="EB521"/>
      <c r="EC521"/>
      <c r="ED521"/>
      <c r="EE521"/>
      <c r="EF521"/>
      <c r="EG521"/>
      <c r="EJ521"/>
      <c r="EK521"/>
      <c r="EL521"/>
      <c r="EM521"/>
      <c r="EN521"/>
      <c r="EO521"/>
      <c r="EP521"/>
      <c r="EQ521"/>
      <c r="ER521"/>
      <c r="ES521"/>
      <c r="ET521"/>
      <c r="EU521"/>
      <c r="EV521"/>
      <c r="EW521"/>
      <c r="EX521"/>
      <c r="EY521"/>
      <c r="EZ521"/>
      <c r="FA521"/>
      <c r="FB521"/>
      <c r="FC521"/>
      <c r="FD521"/>
      <c r="FE521"/>
      <c r="FF521"/>
      <c r="FG521"/>
      <c r="FH521"/>
      <c r="FK521"/>
      <c r="FL521"/>
      <c r="FM521"/>
      <c r="FN521"/>
      <c r="FO521"/>
      <c r="FP521"/>
      <c r="FQ521"/>
      <c r="FR521"/>
      <c r="FS521"/>
      <c r="FT521"/>
      <c r="FU521"/>
      <c r="FV521"/>
      <c r="FW521"/>
      <c r="FX521"/>
      <c r="FY521"/>
      <c r="FZ521"/>
      <c r="GA521"/>
      <c r="GB521"/>
      <c r="GC521"/>
      <c r="GD521"/>
    </row>
    <row r="522" spans="4:186" x14ac:dyDescent="0.15">
      <c r="AA522" s="7" t="s">
        <v>149</v>
      </c>
      <c r="AG522"/>
      <c r="AH522"/>
      <c r="AJ522"/>
      <c r="AK522"/>
      <c r="AL522"/>
      <c r="AM522"/>
      <c r="AO522"/>
      <c r="AP522"/>
      <c r="AQ522"/>
      <c r="AR522"/>
      <c r="AS522"/>
      <c r="AT522"/>
      <c r="AU522"/>
      <c r="AV522"/>
      <c r="AW522"/>
      <c r="AX522"/>
      <c r="AY522"/>
      <c r="AZ522"/>
      <c r="BA522"/>
      <c r="BB522"/>
      <c r="BC522"/>
      <c r="BD522"/>
      <c r="BE522"/>
      <c r="BF522"/>
      <c r="BH522"/>
      <c r="BI522"/>
      <c r="BJ522"/>
      <c r="BK522"/>
      <c r="BL522"/>
      <c r="BM522"/>
      <c r="BN522"/>
      <c r="BP522"/>
      <c r="BQ522"/>
      <c r="BR522"/>
      <c r="BS522"/>
      <c r="BT522"/>
      <c r="BU522"/>
      <c r="BV522"/>
      <c r="BW522"/>
      <c r="BZ522"/>
      <c r="CA522"/>
      <c r="CB522"/>
      <c r="CC522"/>
      <c r="CD522"/>
      <c r="CF522"/>
      <c r="CG522"/>
      <c r="CH522"/>
      <c r="CI522"/>
      <c r="CJ522"/>
      <c r="CK522"/>
      <c r="CL522"/>
      <c r="CM522"/>
      <c r="CN522"/>
      <c r="CO522"/>
      <c r="CP522"/>
      <c r="CQ522"/>
      <c r="CR522"/>
      <c r="CS522"/>
      <c r="CT522"/>
      <c r="CU522"/>
      <c r="CV522"/>
      <c r="CW522"/>
      <c r="CX522"/>
      <c r="CY522"/>
      <c r="CZ522"/>
      <c r="DA522"/>
      <c r="DB522"/>
      <c r="DC522"/>
      <c r="DD522"/>
      <c r="DE522"/>
      <c r="DG522"/>
      <c r="DH522"/>
      <c r="DI522"/>
      <c r="DJ522"/>
      <c r="DK522"/>
      <c r="DL522"/>
      <c r="DM522"/>
      <c r="DN522"/>
      <c r="DO522"/>
      <c r="DP522"/>
      <c r="DQ522"/>
      <c r="DR522"/>
      <c r="DS522"/>
      <c r="DT522"/>
      <c r="DU522"/>
      <c r="DV522"/>
      <c r="DW522"/>
      <c r="DZ522"/>
      <c r="EA522"/>
      <c r="EB522"/>
      <c r="EC522"/>
      <c r="ED522"/>
      <c r="EE522"/>
      <c r="EF522"/>
      <c r="EG522"/>
      <c r="EJ522"/>
      <c r="EK522"/>
      <c r="EL522"/>
      <c r="EM522"/>
      <c r="EN522"/>
      <c r="EO522"/>
      <c r="EP522"/>
      <c r="EQ522"/>
      <c r="ER522"/>
      <c r="ES522"/>
      <c r="ET522"/>
      <c r="EU522"/>
      <c r="EV522"/>
      <c r="EW522"/>
      <c r="EX522"/>
      <c r="EY522"/>
      <c r="EZ522"/>
      <c r="FA522"/>
      <c r="FB522"/>
      <c r="FC522"/>
      <c r="FD522"/>
      <c r="FE522"/>
      <c r="FF522"/>
      <c r="FG522"/>
      <c r="FH522"/>
      <c r="FK522"/>
      <c r="FL522"/>
      <c r="FM522"/>
      <c r="FN522"/>
      <c r="FO522"/>
      <c r="FP522"/>
      <c r="FQ522"/>
      <c r="FR522"/>
      <c r="FS522"/>
      <c r="FT522"/>
      <c r="FU522"/>
      <c r="FV522"/>
      <c r="FW522"/>
      <c r="FX522"/>
      <c r="FY522"/>
      <c r="FZ522"/>
      <c r="GA522"/>
      <c r="GB522"/>
      <c r="GC522"/>
      <c r="GD522"/>
    </row>
    <row r="523" spans="4:186" x14ac:dyDescent="0.15">
      <c r="AG523"/>
      <c r="AH523"/>
      <c r="AJ523"/>
      <c r="AK523"/>
      <c r="AL523"/>
      <c r="AM523"/>
      <c r="AO523"/>
      <c r="AP523"/>
      <c r="AQ523"/>
      <c r="AR523"/>
      <c r="AS523"/>
      <c r="AT523"/>
      <c r="AU523"/>
      <c r="AV523"/>
      <c r="AW523"/>
      <c r="AX523"/>
      <c r="AY523"/>
      <c r="AZ523"/>
      <c r="BA523"/>
      <c r="BB523"/>
      <c r="BC523"/>
      <c r="BD523"/>
      <c r="BE523"/>
      <c r="BF523"/>
      <c r="BH523"/>
      <c r="BI523"/>
      <c r="BJ523"/>
      <c r="BK523"/>
      <c r="BL523"/>
      <c r="BM523"/>
      <c r="BN523"/>
      <c r="BP523"/>
      <c r="BQ523"/>
      <c r="BR523"/>
      <c r="BS523"/>
      <c r="BT523"/>
      <c r="BU523"/>
      <c r="BV523"/>
      <c r="BW523"/>
      <c r="BZ523"/>
      <c r="CA523"/>
      <c r="CB523"/>
      <c r="CC523"/>
      <c r="CD523"/>
      <c r="CF523"/>
      <c r="CG523"/>
      <c r="CH523"/>
      <c r="CI523"/>
      <c r="CJ523"/>
      <c r="CK523"/>
      <c r="CL523"/>
      <c r="CM523"/>
      <c r="CN523"/>
      <c r="CO523"/>
      <c r="CP523"/>
      <c r="CQ523"/>
      <c r="CR523"/>
      <c r="CS523"/>
      <c r="CT523"/>
      <c r="CU523"/>
      <c r="CV523"/>
      <c r="CW523"/>
      <c r="CX523"/>
      <c r="CY523"/>
      <c r="CZ523"/>
      <c r="DA523"/>
      <c r="DB523"/>
      <c r="DC523"/>
      <c r="DD523"/>
      <c r="DE523"/>
      <c r="DG523"/>
      <c r="DH523"/>
      <c r="DI523"/>
      <c r="DJ523"/>
      <c r="DK523"/>
      <c r="DL523"/>
      <c r="DM523"/>
      <c r="DN523"/>
      <c r="DO523"/>
      <c r="DP523"/>
      <c r="DQ523"/>
      <c r="DR523"/>
      <c r="DS523"/>
      <c r="DT523"/>
      <c r="DU523"/>
      <c r="DV523"/>
      <c r="DW523"/>
      <c r="DZ523"/>
      <c r="EA523"/>
      <c r="EB523"/>
      <c r="EC523"/>
      <c r="ED523"/>
      <c r="EE523"/>
      <c r="EF523"/>
      <c r="EG523"/>
      <c r="EJ523"/>
      <c r="EK523"/>
      <c r="EL523"/>
      <c r="EM523"/>
      <c r="EN523"/>
      <c r="EO523"/>
      <c r="EP523"/>
      <c r="EQ523"/>
      <c r="ER523"/>
      <c r="ES523"/>
      <c r="ET523"/>
      <c r="EU523"/>
      <c r="EV523"/>
      <c r="EW523"/>
      <c r="EX523"/>
      <c r="EY523"/>
      <c r="EZ523"/>
      <c r="FA523"/>
      <c r="FB523"/>
      <c r="FC523"/>
      <c r="FD523"/>
      <c r="FE523"/>
      <c r="FF523"/>
      <c r="FG523"/>
      <c r="FH523"/>
      <c r="FK523"/>
      <c r="FL523"/>
      <c r="FM523"/>
      <c r="FN523"/>
      <c r="FO523"/>
      <c r="FP523"/>
      <c r="FQ523"/>
      <c r="FR523"/>
      <c r="FS523"/>
      <c r="FT523"/>
      <c r="FU523"/>
      <c r="FV523"/>
      <c r="FW523"/>
      <c r="FX523"/>
      <c r="FY523"/>
      <c r="FZ523"/>
      <c r="GA523"/>
      <c r="GB523"/>
      <c r="GC523"/>
      <c r="GD523"/>
    </row>
    <row r="524" spans="4:186" x14ac:dyDescent="0.15">
      <c r="AG524"/>
      <c r="AH524"/>
      <c r="AJ524"/>
      <c r="AK524"/>
      <c r="AL524"/>
      <c r="AM524"/>
      <c r="AO524"/>
      <c r="AP524"/>
      <c r="AQ524"/>
      <c r="AR524"/>
      <c r="AS524"/>
      <c r="AT524"/>
      <c r="AU524"/>
      <c r="AV524"/>
      <c r="AW524"/>
      <c r="AX524"/>
      <c r="AY524"/>
      <c r="AZ524"/>
      <c r="BA524"/>
      <c r="BB524"/>
      <c r="BC524"/>
      <c r="BD524"/>
      <c r="BE524"/>
      <c r="BF524"/>
      <c r="BH524"/>
      <c r="BI524"/>
      <c r="BJ524"/>
      <c r="BK524"/>
      <c r="BL524"/>
      <c r="BM524"/>
      <c r="BN524"/>
      <c r="BP524"/>
      <c r="BQ524"/>
      <c r="BR524"/>
      <c r="BS524"/>
      <c r="BT524"/>
      <c r="BU524"/>
      <c r="BV524"/>
      <c r="BW524"/>
      <c r="BZ524"/>
      <c r="CA524"/>
      <c r="CB524"/>
      <c r="CC524"/>
      <c r="CD524"/>
      <c r="CF524"/>
      <c r="CG524"/>
      <c r="CH524"/>
      <c r="CI524"/>
      <c r="CJ524"/>
      <c r="CK524"/>
      <c r="CL524"/>
      <c r="CM524"/>
      <c r="CN524"/>
      <c r="CO524"/>
      <c r="CP524"/>
      <c r="CQ524"/>
      <c r="CR524"/>
      <c r="CS524"/>
      <c r="CT524"/>
      <c r="CU524"/>
      <c r="CV524"/>
      <c r="CW524"/>
      <c r="CX524"/>
      <c r="CY524"/>
      <c r="CZ524"/>
      <c r="DA524"/>
      <c r="DB524"/>
      <c r="DC524"/>
      <c r="DD524"/>
      <c r="DE524"/>
      <c r="DG524"/>
      <c r="DH524"/>
      <c r="DI524"/>
      <c r="DJ524"/>
      <c r="DK524"/>
      <c r="DL524"/>
      <c r="DM524"/>
      <c r="DN524"/>
      <c r="DO524"/>
      <c r="DP524"/>
      <c r="DQ524"/>
      <c r="DR524"/>
      <c r="DS524"/>
      <c r="DT524"/>
      <c r="DU524"/>
      <c r="DV524"/>
      <c r="DW524"/>
      <c r="DZ524"/>
      <c r="EA524"/>
      <c r="EB524"/>
      <c r="EC524"/>
      <c r="ED524"/>
      <c r="EE524"/>
      <c r="EF524"/>
      <c r="EG524"/>
      <c r="EJ524"/>
      <c r="EK524"/>
      <c r="EL524"/>
      <c r="EM524"/>
      <c r="EN524"/>
      <c r="EO524"/>
      <c r="EP524"/>
      <c r="EQ524"/>
      <c r="ER524"/>
      <c r="ES524"/>
      <c r="ET524"/>
      <c r="EU524"/>
      <c r="EV524"/>
      <c r="EW524"/>
      <c r="EX524"/>
      <c r="EY524"/>
      <c r="EZ524"/>
      <c r="FA524"/>
      <c r="FB524"/>
      <c r="FC524"/>
      <c r="FD524"/>
      <c r="FE524"/>
      <c r="FF524"/>
      <c r="FG524"/>
      <c r="FH524"/>
      <c r="FK524"/>
      <c r="FL524"/>
      <c r="FM524"/>
      <c r="FN524"/>
      <c r="FO524"/>
      <c r="FP524"/>
      <c r="FQ524"/>
      <c r="FR524"/>
      <c r="FS524"/>
      <c r="FT524"/>
      <c r="FU524"/>
      <c r="FV524"/>
      <c r="FW524"/>
      <c r="FX524"/>
      <c r="FY524"/>
      <c r="FZ524"/>
      <c r="GA524"/>
      <c r="GB524"/>
      <c r="GC524"/>
      <c r="GD524"/>
    </row>
    <row r="525" spans="4:186" x14ac:dyDescent="0.15">
      <c r="AG525"/>
      <c r="AH525"/>
      <c r="AJ525"/>
      <c r="AK525"/>
      <c r="AL525"/>
      <c r="AM525"/>
      <c r="AO525"/>
      <c r="AP525"/>
      <c r="AQ525"/>
      <c r="AR525"/>
      <c r="AS525"/>
      <c r="AT525"/>
      <c r="AU525"/>
      <c r="AV525"/>
      <c r="AW525"/>
      <c r="AX525"/>
      <c r="AY525"/>
      <c r="AZ525"/>
      <c r="BA525"/>
      <c r="BB525"/>
      <c r="BC525"/>
      <c r="BD525"/>
      <c r="BE525"/>
      <c r="BF525"/>
      <c r="BH525"/>
      <c r="BI525"/>
      <c r="BJ525"/>
      <c r="BK525"/>
      <c r="BL525"/>
      <c r="BM525"/>
      <c r="BN525"/>
      <c r="BP525"/>
      <c r="BQ525"/>
      <c r="BR525"/>
      <c r="BS525"/>
      <c r="BT525"/>
      <c r="BU525"/>
      <c r="BV525"/>
      <c r="BW525"/>
      <c r="BZ525"/>
      <c r="CA525"/>
      <c r="CB525"/>
      <c r="CC525"/>
      <c r="CD525"/>
      <c r="CF525"/>
      <c r="CG525"/>
      <c r="CH525"/>
      <c r="CI525"/>
      <c r="CJ525"/>
      <c r="CK525"/>
      <c r="CL525"/>
      <c r="CM525"/>
      <c r="CN525"/>
      <c r="CO525"/>
      <c r="CP525"/>
      <c r="CQ525"/>
      <c r="CR525"/>
      <c r="CS525"/>
      <c r="CT525"/>
      <c r="CU525"/>
      <c r="CV525"/>
      <c r="CW525"/>
      <c r="CX525"/>
      <c r="CY525"/>
      <c r="CZ525"/>
      <c r="DA525"/>
      <c r="DB525"/>
      <c r="DC525"/>
      <c r="DD525"/>
      <c r="DE525"/>
      <c r="DG525"/>
      <c r="DH525"/>
      <c r="DI525"/>
      <c r="DJ525"/>
      <c r="DK525"/>
      <c r="DL525"/>
      <c r="DM525"/>
      <c r="DN525"/>
      <c r="DO525"/>
      <c r="DP525"/>
      <c r="DQ525"/>
      <c r="DR525"/>
      <c r="DS525"/>
      <c r="DT525"/>
      <c r="DU525"/>
      <c r="DV525"/>
      <c r="DW525"/>
      <c r="DZ525"/>
      <c r="EA525"/>
      <c r="EB525"/>
      <c r="EC525"/>
      <c r="ED525"/>
      <c r="EE525"/>
      <c r="EF525"/>
      <c r="EG525"/>
      <c r="EJ525"/>
      <c r="EK525"/>
      <c r="EL525"/>
      <c r="EM525"/>
      <c r="EN525"/>
      <c r="EO525"/>
      <c r="EP525"/>
      <c r="EQ525"/>
      <c r="ER525"/>
      <c r="ES525"/>
      <c r="ET525"/>
      <c r="EU525"/>
      <c r="EV525"/>
      <c r="EW525"/>
      <c r="EX525"/>
      <c r="EY525"/>
      <c r="EZ525"/>
      <c r="FA525"/>
      <c r="FB525"/>
      <c r="FC525"/>
      <c r="FD525"/>
      <c r="FE525"/>
      <c r="FF525"/>
      <c r="FG525"/>
      <c r="FH525"/>
      <c r="FK525"/>
      <c r="FL525"/>
      <c r="FM525"/>
      <c r="FN525"/>
      <c r="FO525"/>
      <c r="FP525"/>
      <c r="FQ525"/>
      <c r="FR525"/>
      <c r="FS525"/>
      <c r="FT525"/>
      <c r="FU525"/>
      <c r="FV525"/>
      <c r="FW525"/>
      <c r="FX525"/>
      <c r="FY525"/>
      <c r="FZ525"/>
      <c r="GA525"/>
      <c r="GB525"/>
      <c r="GC525"/>
      <c r="GD525"/>
    </row>
    <row r="526" spans="4:186" x14ac:dyDescent="0.15">
      <c r="AG526"/>
      <c r="AH526"/>
      <c r="AJ526"/>
      <c r="AK526"/>
      <c r="AL526"/>
      <c r="AM526"/>
      <c r="AO526"/>
      <c r="AP526"/>
      <c r="AQ526"/>
      <c r="AR526"/>
      <c r="AS526"/>
      <c r="AT526"/>
      <c r="AU526"/>
      <c r="AV526"/>
      <c r="AW526"/>
      <c r="AX526"/>
      <c r="AY526"/>
      <c r="AZ526"/>
      <c r="BA526"/>
      <c r="BB526"/>
      <c r="BC526"/>
      <c r="BD526"/>
      <c r="BE526"/>
      <c r="BF526"/>
      <c r="BH526"/>
      <c r="BI526"/>
      <c r="BJ526"/>
      <c r="BK526"/>
      <c r="BL526"/>
      <c r="BM526"/>
      <c r="BN526"/>
      <c r="BP526"/>
      <c r="BQ526"/>
      <c r="BR526"/>
      <c r="BS526"/>
      <c r="BT526"/>
      <c r="BU526"/>
      <c r="BV526"/>
      <c r="BW526"/>
      <c r="BZ526"/>
      <c r="CA526"/>
      <c r="CB526"/>
      <c r="CC526"/>
      <c r="CD526"/>
      <c r="CF526"/>
      <c r="CG526"/>
      <c r="CH526"/>
      <c r="CI526"/>
      <c r="CJ526"/>
      <c r="CK526"/>
      <c r="CL526"/>
      <c r="CM526"/>
      <c r="CN526"/>
      <c r="CO526"/>
      <c r="CP526"/>
      <c r="CQ526"/>
      <c r="CR526"/>
      <c r="CS526"/>
      <c r="CT526"/>
      <c r="CU526"/>
      <c r="CV526"/>
      <c r="CW526"/>
      <c r="CX526"/>
      <c r="CY526"/>
      <c r="CZ526"/>
      <c r="DA526"/>
      <c r="DB526"/>
      <c r="DC526"/>
      <c r="DD526"/>
      <c r="DE526"/>
      <c r="DG526"/>
      <c r="DH526"/>
      <c r="DI526"/>
      <c r="DJ526"/>
      <c r="DK526"/>
      <c r="DL526"/>
      <c r="DM526"/>
      <c r="DN526"/>
      <c r="DO526"/>
      <c r="DP526"/>
      <c r="DQ526"/>
      <c r="DR526"/>
      <c r="DS526"/>
      <c r="DT526"/>
      <c r="DU526"/>
      <c r="DV526"/>
      <c r="DW526"/>
      <c r="DZ526"/>
      <c r="EA526"/>
      <c r="EB526"/>
      <c r="EC526"/>
      <c r="ED526"/>
      <c r="EE526"/>
      <c r="EF526"/>
      <c r="EG526"/>
      <c r="EJ526"/>
      <c r="EK526"/>
      <c r="EL526"/>
      <c r="EM526"/>
      <c r="EN526"/>
      <c r="EO526"/>
      <c r="EP526"/>
      <c r="EQ526"/>
      <c r="ER526"/>
      <c r="ES526"/>
      <c r="ET526"/>
      <c r="EU526"/>
      <c r="EV526"/>
      <c r="EW526"/>
      <c r="EX526"/>
      <c r="EY526"/>
      <c r="EZ526"/>
      <c r="FA526"/>
      <c r="FB526"/>
      <c r="FC526"/>
      <c r="FD526"/>
      <c r="FE526"/>
      <c r="FF526"/>
      <c r="FG526"/>
      <c r="FH526"/>
      <c r="FK526"/>
      <c r="FL526"/>
      <c r="FM526"/>
      <c r="FN526"/>
      <c r="FO526"/>
      <c r="FP526"/>
      <c r="FQ526"/>
      <c r="FR526"/>
      <c r="FS526"/>
      <c r="FT526"/>
      <c r="FU526"/>
      <c r="FV526"/>
      <c r="FW526"/>
      <c r="FX526"/>
      <c r="FY526"/>
      <c r="FZ526"/>
      <c r="GA526"/>
      <c r="GB526"/>
      <c r="GC526"/>
      <c r="GD526"/>
    </row>
    <row r="527" spans="4:186" x14ac:dyDescent="0.15">
      <c r="AG527"/>
      <c r="AH527"/>
      <c r="AJ527"/>
      <c r="AK527"/>
      <c r="AL527"/>
      <c r="AM527"/>
      <c r="AO527"/>
      <c r="AP527"/>
      <c r="AQ527"/>
      <c r="AR527"/>
      <c r="AS527"/>
      <c r="AT527"/>
      <c r="AU527"/>
      <c r="AV527"/>
      <c r="AW527"/>
      <c r="AX527"/>
      <c r="AY527"/>
      <c r="AZ527"/>
      <c r="BA527"/>
      <c r="BB527"/>
      <c r="BC527"/>
      <c r="BD527"/>
      <c r="BE527"/>
      <c r="BF527"/>
      <c r="BH527"/>
      <c r="BI527"/>
      <c r="BJ527"/>
      <c r="BK527"/>
      <c r="BL527"/>
      <c r="BM527"/>
      <c r="BN527"/>
      <c r="BP527"/>
      <c r="BQ527"/>
      <c r="BR527"/>
      <c r="BS527"/>
      <c r="BT527"/>
      <c r="BU527"/>
      <c r="BV527"/>
      <c r="BW527"/>
      <c r="BZ527"/>
      <c r="CA527"/>
      <c r="CB527"/>
      <c r="CC527"/>
      <c r="CD527"/>
      <c r="CF527"/>
      <c r="CG527"/>
      <c r="CH527"/>
      <c r="CI527"/>
      <c r="CJ527"/>
      <c r="CK527"/>
      <c r="CL527"/>
      <c r="CM527"/>
      <c r="CN527"/>
      <c r="CO527"/>
      <c r="CP527"/>
      <c r="CQ527"/>
      <c r="CR527"/>
      <c r="CS527"/>
      <c r="CT527"/>
      <c r="CU527"/>
      <c r="CV527"/>
      <c r="CW527"/>
      <c r="CX527"/>
      <c r="CY527"/>
      <c r="CZ527"/>
      <c r="DA527"/>
      <c r="DB527"/>
      <c r="DC527"/>
      <c r="DD527"/>
      <c r="DE527"/>
      <c r="DG527"/>
      <c r="DH527"/>
      <c r="DI527"/>
      <c r="DJ527"/>
      <c r="DK527"/>
      <c r="DL527"/>
      <c r="DM527"/>
      <c r="DN527"/>
      <c r="DO527"/>
      <c r="DP527"/>
      <c r="DQ527"/>
      <c r="DR527"/>
      <c r="DS527"/>
      <c r="DT527"/>
      <c r="DU527"/>
      <c r="DV527"/>
      <c r="DW527"/>
      <c r="DZ527"/>
      <c r="EA527"/>
      <c r="EB527"/>
      <c r="EC527"/>
      <c r="ED527"/>
      <c r="EE527"/>
      <c r="EF527"/>
      <c r="EG527"/>
      <c r="EJ527"/>
      <c r="EK527"/>
      <c r="EL527"/>
      <c r="EM527"/>
      <c r="EN527"/>
      <c r="EO527"/>
      <c r="EP527"/>
      <c r="EQ527"/>
      <c r="ER527"/>
      <c r="ES527"/>
      <c r="ET527"/>
      <c r="EU527"/>
      <c r="EV527"/>
      <c r="EW527"/>
      <c r="EX527"/>
      <c r="EY527"/>
      <c r="EZ527"/>
      <c r="FA527"/>
      <c r="FB527"/>
      <c r="FC527"/>
      <c r="FD527"/>
      <c r="FE527"/>
      <c r="FF527"/>
      <c r="FG527"/>
      <c r="FH527"/>
      <c r="FK527"/>
      <c r="FL527"/>
      <c r="FM527"/>
      <c r="FN527"/>
      <c r="FO527"/>
      <c r="FP527"/>
      <c r="FQ527"/>
      <c r="FR527"/>
      <c r="FS527"/>
      <c r="FT527"/>
      <c r="FU527"/>
      <c r="FV527"/>
      <c r="FW527"/>
      <c r="FX527"/>
      <c r="FY527"/>
      <c r="FZ527"/>
      <c r="GA527"/>
      <c r="GB527"/>
      <c r="GC527"/>
      <c r="GD527"/>
    </row>
    <row r="528" spans="4:186" x14ac:dyDescent="0.15">
      <c r="AG528"/>
      <c r="AH528"/>
      <c r="AJ528"/>
      <c r="AK528"/>
      <c r="AL528"/>
      <c r="AM528"/>
      <c r="AO528"/>
      <c r="AP528"/>
      <c r="AQ528"/>
      <c r="AR528"/>
      <c r="AS528"/>
      <c r="AT528"/>
      <c r="AU528"/>
      <c r="AV528"/>
      <c r="AW528"/>
      <c r="AX528"/>
      <c r="AY528"/>
      <c r="AZ528"/>
      <c r="BA528"/>
      <c r="BB528"/>
      <c r="BC528"/>
      <c r="BD528"/>
      <c r="BE528"/>
      <c r="BF528"/>
      <c r="BH528"/>
      <c r="BI528"/>
      <c r="BJ528"/>
      <c r="BK528"/>
      <c r="BL528"/>
      <c r="BM528"/>
      <c r="BN528"/>
      <c r="BP528"/>
      <c r="BQ528"/>
      <c r="BR528"/>
      <c r="BS528"/>
      <c r="BT528"/>
      <c r="BU528"/>
      <c r="BV528"/>
      <c r="BW528"/>
      <c r="BZ528"/>
      <c r="CA528"/>
      <c r="CB528"/>
      <c r="CC528"/>
      <c r="CD528"/>
      <c r="CF528"/>
      <c r="CG528"/>
      <c r="CH528"/>
      <c r="CI528"/>
      <c r="CJ528"/>
      <c r="CK528"/>
      <c r="CL528"/>
      <c r="CM528"/>
      <c r="CN528"/>
      <c r="CO528"/>
      <c r="CP528"/>
      <c r="CQ528"/>
      <c r="CR528"/>
      <c r="CS528"/>
      <c r="CT528"/>
      <c r="CU528"/>
      <c r="CV528"/>
      <c r="CW528"/>
      <c r="CX528"/>
      <c r="CY528"/>
      <c r="CZ528"/>
      <c r="DA528"/>
      <c r="DB528"/>
      <c r="DC528"/>
      <c r="DD528"/>
      <c r="DE528"/>
      <c r="DG528"/>
      <c r="DH528"/>
      <c r="DI528"/>
      <c r="DJ528"/>
      <c r="DK528"/>
      <c r="DL528"/>
      <c r="DM528"/>
      <c r="DN528"/>
      <c r="DO528"/>
      <c r="DP528"/>
      <c r="DQ528"/>
      <c r="DR528"/>
      <c r="DS528"/>
      <c r="DT528"/>
      <c r="DU528"/>
      <c r="DV528"/>
      <c r="DW528"/>
      <c r="DZ528"/>
      <c r="EA528"/>
      <c r="EB528"/>
      <c r="EC528"/>
      <c r="ED528"/>
      <c r="EE528"/>
      <c r="EF528"/>
      <c r="EG528"/>
      <c r="EJ528"/>
      <c r="EK528"/>
      <c r="EL528"/>
      <c r="EM528"/>
      <c r="EN528"/>
      <c r="EO528"/>
      <c r="EP528"/>
      <c r="EQ528"/>
      <c r="ER528"/>
      <c r="ES528"/>
      <c r="ET528"/>
      <c r="EU528"/>
      <c r="EV528"/>
      <c r="EW528"/>
      <c r="EX528"/>
      <c r="EY528"/>
      <c r="EZ528"/>
      <c r="FA528"/>
      <c r="FB528"/>
      <c r="FC528"/>
      <c r="FD528"/>
      <c r="FE528"/>
      <c r="FF528"/>
      <c r="FG528"/>
      <c r="FH528"/>
      <c r="FK528"/>
      <c r="FL528"/>
      <c r="FM528"/>
      <c r="FN528"/>
      <c r="FO528"/>
      <c r="FP528"/>
      <c r="FQ528"/>
      <c r="FR528"/>
      <c r="FS528"/>
      <c r="FT528"/>
      <c r="FU528"/>
      <c r="FV528"/>
      <c r="FW528"/>
      <c r="FX528"/>
      <c r="FY528"/>
      <c r="FZ528"/>
      <c r="GA528"/>
      <c r="GB528"/>
      <c r="GC528"/>
      <c r="GD528"/>
    </row>
    <row r="529" spans="1:186" x14ac:dyDescent="0.15">
      <c r="AG529"/>
      <c r="AH529"/>
      <c r="AJ529"/>
      <c r="AK529"/>
      <c r="AL529"/>
      <c r="AM529"/>
      <c r="AO529"/>
      <c r="AP529"/>
      <c r="AQ529"/>
      <c r="AR529"/>
      <c r="AS529"/>
      <c r="AT529"/>
      <c r="AU529"/>
      <c r="AV529"/>
      <c r="AW529"/>
      <c r="AX529"/>
      <c r="AY529"/>
      <c r="AZ529"/>
      <c r="BA529"/>
      <c r="BB529"/>
      <c r="BC529"/>
      <c r="BD529"/>
      <c r="BE529"/>
      <c r="BF529"/>
      <c r="BH529"/>
      <c r="BI529"/>
      <c r="BJ529"/>
      <c r="BK529"/>
      <c r="BL529"/>
      <c r="BM529"/>
      <c r="BN529"/>
      <c r="BP529"/>
      <c r="BQ529"/>
      <c r="BR529"/>
      <c r="BS529"/>
      <c r="BT529"/>
      <c r="BU529"/>
      <c r="BV529"/>
      <c r="BW529"/>
      <c r="BZ529"/>
      <c r="CA529"/>
      <c r="CB529"/>
      <c r="CC529"/>
      <c r="CD529"/>
      <c r="CF529"/>
      <c r="CG529"/>
      <c r="CH529"/>
      <c r="CI529"/>
      <c r="CJ529"/>
      <c r="CK529"/>
      <c r="CL529"/>
      <c r="CM529"/>
      <c r="CN529"/>
      <c r="CO529"/>
      <c r="CP529"/>
      <c r="CQ529"/>
      <c r="CR529"/>
      <c r="CS529"/>
      <c r="CT529"/>
      <c r="CU529"/>
      <c r="CV529"/>
      <c r="CW529"/>
      <c r="CX529"/>
      <c r="CY529"/>
      <c r="CZ529"/>
      <c r="DA529"/>
      <c r="DB529"/>
      <c r="DC529"/>
      <c r="DD529"/>
      <c r="DE529"/>
      <c r="DG529"/>
      <c r="DH529"/>
      <c r="DI529"/>
      <c r="DJ529"/>
      <c r="DK529"/>
      <c r="DL529"/>
      <c r="DM529"/>
      <c r="DN529"/>
      <c r="DO529"/>
      <c r="DP529"/>
      <c r="DQ529"/>
      <c r="DR529"/>
      <c r="DS529"/>
      <c r="DT529"/>
      <c r="DU529"/>
      <c r="DV529"/>
      <c r="DW529"/>
      <c r="DZ529"/>
      <c r="EA529"/>
      <c r="EB529"/>
      <c r="EC529"/>
      <c r="ED529"/>
      <c r="EE529"/>
      <c r="EF529"/>
      <c r="EG529"/>
      <c r="EJ529"/>
      <c r="EK529"/>
      <c r="EL529"/>
      <c r="EM529"/>
      <c r="EN529"/>
      <c r="EO529"/>
      <c r="EP529"/>
      <c r="EQ529"/>
      <c r="ER529"/>
      <c r="ES529"/>
      <c r="ET529"/>
      <c r="EU529"/>
      <c r="EV529"/>
      <c r="EW529"/>
      <c r="EX529"/>
      <c r="EY529"/>
      <c r="EZ529"/>
      <c r="FA529"/>
      <c r="FB529"/>
      <c r="FC529"/>
      <c r="FD529"/>
      <c r="FE529"/>
      <c r="FF529"/>
      <c r="FG529"/>
      <c r="FH529"/>
      <c r="FK529"/>
      <c r="FL529"/>
      <c r="FM529"/>
      <c r="FN529"/>
      <c r="FO529"/>
      <c r="FP529"/>
      <c r="FQ529"/>
      <c r="FR529"/>
      <c r="FS529"/>
      <c r="FT529"/>
      <c r="FU529"/>
      <c r="FV529"/>
      <c r="FW529"/>
      <c r="FX529"/>
      <c r="FY529"/>
      <c r="FZ529"/>
      <c r="GA529"/>
      <c r="GB529"/>
      <c r="GC529"/>
      <c r="GD529"/>
    </row>
    <row r="530" spans="1:186" x14ac:dyDescent="0.15">
      <c r="AG530"/>
      <c r="AH530"/>
      <c r="AJ530"/>
      <c r="AK530"/>
      <c r="AL530"/>
      <c r="AM530"/>
      <c r="AO530"/>
      <c r="AP530"/>
      <c r="AQ530"/>
      <c r="AR530"/>
      <c r="AS530"/>
      <c r="AT530"/>
      <c r="AU530"/>
      <c r="AV530"/>
      <c r="AW530"/>
      <c r="AX530"/>
      <c r="AY530"/>
      <c r="AZ530"/>
      <c r="BA530"/>
      <c r="BB530"/>
      <c r="BC530"/>
      <c r="BD530"/>
      <c r="BE530"/>
      <c r="BF530"/>
      <c r="BH530"/>
      <c r="BI530"/>
      <c r="BJ530"/>
      <c r="BK530"/>
      <c r="BL530"/>
      <c r="BM530"/>
      <c r="BN530"/>
      <c r="BP530"/>
      <c r="BQ530"/>
      <c r="BR530"/>
      <c r="BS530"/>
      <c r="BT530"/>
      <c r="BU530"/>
      <c r="BV530"/>
      <c r="BW530"/>
      <c r="BZ530"/>
      <c r="CA530"/>
      <c r="CB530"/>
      <c r="CC530"/>
      <c r="CD530"/>
      <c r="CF530"/>
      <c r="CG530"/>
      <c r="CH530"/>
      <c r="CI530"/>
      <c r="CJ530"/>
      <c r="CK530"/>
      <c r="CL530"/>
      <c r="CM530"/>
      <c r="CN530"/>
      <c r="CO530"/>
      <c r="CP530"/>
      <c r="CQ530"/>
      <c r="CR530"/>
      <c r="CS530"/>
      <c r="CT530"/>
      <c r="CU530"/>
      <c r="CV530"/>
      <c r="CW530"/>
      <c r="CX530"/>
      <c r="CY530"/>
      <c r="CZ530"/>
      <c r="DA530"/>
      <c r="DB530"/>
      <c r="DC530"/>
      <c r="DD530"/>
      <c r="DE530"/>
      <c r="DG530"/>
      <c r="DH530"/>
      <c r="DI530"/>
      <c r="DJ530"/>
      <c r="DK530"/>
      <c r="DL530"/>
      <c r="DM530"/>
      <c r="DN530"/>
      <c r="DO530"/>
      <c r="DP530"/>
      <c r="DQ530"/>
      <c r="DR530"/>
      <c r="DS530"/>
      <c r="DT530"/>
      <c r="DU530"/>
      <c r="DV530"/>
      <c r="DW530"/>
      <c r="DZ530"/>
      <c r="EA530"/>
      <c r="EB530"/>
      <c r="EC530"/>
      <c r="ED530"/>
      <c r="EE530"/>
      <c r="EF530"/>
      <c r="EG530"/>
      <c r="EJ530"/>
      <c r="EK530"/>
      <c r="EL530"/>
      <c r="EM530"/>
      <c r="EN530"/>
      <c r="EO530"/>
      <c r="EP530"/>
      <c r="EQ530"/>
      <c r="ER530"/>
      <c r="ES530"/>
      <c r="ET530"/>
      <c r="EU530"/>
      <c r="EV530"/>
      <c r="EW530"/>
      <c r="EX530"/>
      <c r="EY530"/>
      <c r="EZ530"/>
      <c r="FA530"/>
      <c r="FB530"/>
      <c r="FC530"/>
      <c r="FD530"/>
      <c r="FE530"/>
      <c r="FF530"/>
      <c r="FG530"/>
      <c r="FH530"/>
      <c r="FK530"/>
      <c r="FL530"/>
      <c r="FM530"/>
      <c r="FN530"/>
      <c r="FO530"/>
      <c r="FP530"/>
      <c r="FQ530"/>
      <c r="FR530"/>
      <c r="FS530"/>
      <c r="FT530"/>
      <c r="FU530"/>
      <c r="FV530"/>
      <c r="FW530"/>
      <c r="FX530"/>
      <c r="FY530"/>
      <c r="FZ530"/>
      <c r="GA530"/>
      <c r="GB530"/>
      <c r="GC530"/>
      <c r="GD530"/>
    </row>
    <row r="531" spans="1:186" x14ac:dyDescent="0.15">
      <c r="AG531"/>
      <c r="AH531"/>
      <c r="AJ531"/>
      <c r="AK531"/>
      <c r="AL531"/>
      <c r="AM531"/>
      <c r="AO531"/>
      <c r="AP531"/>
      <c r="AQ531"/>
      <c r="AR531"/>
      <c r="AS531"/>
      <c r="AT531"/>
      <c r="AU531"/>
      <c r="AV531"/>
      <c r="AW531"/>
      <c r="AX531"/>
      <c r="AY531"/>
      <c r="AZ531"/>
      <c r="BA531"/>
      <c r="BB531"/>
      <c r="BC531"/>
      <c r="BD531"/>
      <c r="BE531"/>
      <c r="BF531"/>
      <c r="BH531"/>
      <c r="BI531"/>
      <c r="BJ531"/>
      <c r="BK531"/>
      <c r="BL531"/>
      <c r="BM531"/>
      <c r="BN531"/>
      <c r="BP531"/>
      <c r="BQ531"/>
      <c r="BR531"/>
      <c r="BS531"/>
      <c r="BT531"/>
      <c r="BU531"/>
      <c r="BV531"/>
      <c r="BW531"/>
      <c r="BZ531"/>
      <c r="CA531"/>
      <c r="CB531"/>
      <c r="CC531"/>
      <c r="CD531"/>
      <c r="CF531"/>
      <c r="CG531"/>
      <c r="CH531"/>
      <c r="CI531"/>
      <c r="CJ531"/>
      <c r="CK531"/>
      <c r="CL531"/>
      <c r="CM531"/>
      <c r="CN531"/>
      <c r="CO531"/>
      <c r="CP531"/>
      <c r="CQ531"/>
      <c r="CR531"/>
      <c r="CS531"/>
      <c r="CT531"/>
      <c r="CU531"/>
      <c r="CV531"/>
      <c r="CW531"/>
      <c r="CX531"/>
      <c r="CY531"/>
      <c r="CZ531"/>
      <c r="DA531"/>
      <c r="DB531"/>
      <c r="DC531"/>
      <c r="DD531"/>
      <c r="DE531"/>
      <c r="DG531"/>
      <c r="DH531"/>
      <c r="DI531"/>
      <c r="DJ531"/>
      <c r="DK531"/>
      <c r="DL531"/>
      <c r="DM531"/>
      <c r="DN531"/>
      <c r="DO531"/>
      <c r="DP531"/>
      <c r="DQ531"/>
      <c r="DR531"/>
      <c r="DS531"/>
      <c r="DT531"/>
      <c r="DU531"/>
      <c r="DV531"/>
      <c r="DW531"/>
      <c r="DZ531"/>
      <c r="EA531"/>
      <c r="EB531"/>
      <c r="EC531"/>
      <c r="ED531"/>
      <c r="EE531"/>
      <c r="EF531"/>
      <c r="EG531"/>
      <c r="EJ531"/>
      <c r="EK531"/>
      <c r="EL531"/>
      <c r="EM531"/>
      <c r="EN531"/>
      <c r="EO531"/>
      <c r="EP531"/>
      <c r="EQ531"/>
      <c r="ER531"/>
      <c r="ES531"/>
      <c r="ET531"/>
      <c r="EU531"/>
      <c r="EV531"/>
      <c r="EW531"/>
      <c r="EX531"/>
      <c r="EY531"/>
      <c r="EZ531"/>
      <c r="FA531"/>
      <c r="FB531"/>
      <c r="FC531"/>
      <c r="FD531"/>
      <c r="FE531"/>
      <c r="FF531"/>
      <c r="FG531"/>
      <c r="FH531"/>
      <c r="FK531"/>
      <c r="FL531"/>
      <c r="FM531"/>
      <c r="FN531"/>
      <c r="FO531"/>
      <c r="FP531"/>
      <c r="FQ531"/>
      <c r="FR531"/>
      <c r="FS531"/>
      <c r="FT531"/>
      <c r="FU531"/>
      <c r="FV531"/>
      <c r="FW531"/>
      <c r="FX531"/>
      <c r="FY531"/>
      <c r="FZ531"/>
      <c r="GA531"/>
      <c r="GB531"/>
      <c r="GC531"/>
      <c r="GD531"/>
    </row>
    <row r="532" spans="1:186" x14ac:dyDescent="0.15">
      <c r="AG532"/>
      <c r="AH532"/>
      <c r="AJ532"/>
      <c r="AK532"/>
      <c r="AL532"/>
      <c r="AM532"/>
      <c r="AO532"/>
      <c r="AP532"/>
      <c r="AQ532"/>
      <c r="AR532"/>
      <c r="AS532"/>
      <c r="AT532"/>
      <c r="AU532"/>
      <c r="AV532"/>
      <c r="AW532"/>
      <c r="AX532"/>
      <c r="AY532"/>
      <c r="AZ532"/>
      <c r="BA532"/>
      <c r="BB532"/>
      <c r="BC532"/>
      <c r="BD532"/>
      <c r="BE532"/>
      <c r="BF532"/>
      <c r="BH532"/>
      <c r="BI532"/>
      <c r="BJ532"/>
      <c r="BK532"/>
      <c r="BL532"/>
      <c r="BM532"/>
      <c r="BN532"/>
      <c r="BP532"/>
      <c r="BQ532"/>
      <c r="BR532"/>
      <c r="BS532"/>
      <c r="BT532"/>
      <c r="BU532"/>
      <c r="BV532"/>
      <c r="BW532"/>
      <c r="BZ532"/>
      <c r="CA532"/>
      <c r="CB532"/>
      <c r="CC532"/>
      <c r="CD532"/>
      <c r="CF532"/>
      <c r="CG532"/>
      <c r="CH532"/>
      <c r="CI532"/>
      <c r="CJ532"/>
      <c r="CK532"/>
      <c r="CL532"/>
      <c r="CM532"/>
      <c r="CN532"/>
      <c r="CO532"/>
      <c r="CP532"/>
      <c r="CQ532"/>
      <c r="CR532"/>
      <c r="CS532"/>
      <c r="CT532"/>
      <c r="CU532"/>
      <c r="CV532"/>
      <c r="CW532"/>
      <c r="CX532"/>
      <c r="CY532"/>
      <c r="CZ532"/>
      <c r="DA532"/>
      <c r="DB532"/>
      <c r="DC532"/>
      <c r="DD532"/>
      <c r="DE532"/>
      <c r="DG532"/>
      <c r="DH532"/>
      <c r="DI532"/>
      <c r="DJ532"/>
      <c r="DK532"/>
      <c r="DL532"/>
      <c r="DM532"/>
      <c r="DN532"/>
      <c r="DO532"/>
      <c r="DP532"/>
      <c r="DQ532"/>
      <c r="DR532"/>
      <c r="DS532"/>
      <c r="DT532"/>
      <c r="DU532"/>
      <c r="DV532"/>
      <c r="DW532"/>
      <c r="DZ532"/>
      <c r="EA532"/>
      <c r="EB532"/>
      <c r="EC532"/>
      <c r="ED532"/>
      <c r="EE532"/>
      <c r="EF532"/>
      <c r="EG532"/>
      <c r="EJ532"/>
      <c r="EK532"/>
      <c r="EL532"/>
      <c r="EM532"/>
      <c r="EN532"/>
      <c r="EO532"/>
      <c r="EP532"/>
      <c r="EQ532"/>
      <c r="ER532"/>
      <c r="ES532"/>
      <c r="ET532"/>
      <c r="EU532"/>
      <c r="EV532"/>
      <c r="EW532"/>
      <c r="EX532"/>
      <c r="EY532"/>
      <c r="EZ532"/>
      <c r="FA532"/>
      <c r="FB532"/>
      <c r="FC532"/>
      <c r="FD532"/>
      <c r="FE532"/>
      <c r="FF532"/>
      <c r="FG532"/>
      <c r="FH532"/>
      <c r="FK532"/>
      <c r="FL532"/>
      <c r="FM532"/>
      <c r="FN532"/>
      <c r="FO532"/>
      <c r="FP532"/>
      <c r="FQ532"/>
      <c r="FR532"/>
      <c r="FS532"/>
      <c r="FT532"/>
      <c r="FU532"/>
      <c r="FV532"/>
      <c r="FW532"/>
      <c r="FX532"/>
      <c r="FY532"/>
      <c r="FZ532"/>
      <c r="GA532"/>
      <c r="GB532"/>
      <c r="GC532"/>
      <c r="GD532"/>
    </row>
    <row r="533" spans="1:186" x14ac:dyDescent="0.15">
      <c r="AG533"/>
      <c r="AH533"/>
      <c r="AJ533"/>
      <c r="AK533"/>
      <c r="AL533"/>
      <c r="AM533"/>
      <c r="AO533"/>
      <c r="AP533"/>
      <c r="AQ533"/>
      <c r="AR533"/>
      <c r="AS533"/>
      <c r="AT533"/>
      <c r="AU533"/>
      <c r="AV533"/>
      <c r="AW533"/>
      <c r="AX533"/>
      <c r="AY533"/>
      <c r="AZ533"/>
      <c r="BA533"/>
      <c r="BB533"/>
      <c r="BC533"/>
      <c r="BD533"/>
      <c r="BE533"/>
      <c r="BF533"/>
      <c r="BH533"/>
      <c r="BI533"/>
      <c r="BJ533"/>
      <c r="BK533"/>
      <c r="BL533"/>
      <c r="BM533"/>
      <c r="BN533"/>
      <c r="BP533"/>
      <c r="BQ533"/>
      <c r="BR533"/>
      <c r="BS533"/>
      <c r="BT533"/>
      <c r="BU533"/>
      <c r="BV533"/>
      <c r="BW533"/>
      <c r="BZ533"/>
      <c r="CA533"/>
      <c r="CB533"/>
      <c r="CC533"/>
      <c r="CD533"/>
      <c r="CF533"/>
      <c r="CG533"/>
      <c r="CH533"/>
      <c r="CI533"/>
      <c r="CJ533"/>
      <c r="CK533"/>
      <c r="CL533"/>
      <c r="CM533"/>
      <c r="CN533"/>
      <c r="CO533"/>
      <c r="CP533"/>
      <c r="CQ533"/>
      <c r="CR533"/>
      <c r="CS533"/>
      <c r="CT533"/>
      <c r="CU533"/>
      <c r="CV533"/>
      <c r="CW533"/>
      <c r="CX533"/>
      <c r="CY533"/>
      <c r="CZ533"/>
      <c r="DA533"/>
      <c r="DB533"/>
      <c r="DC533"/>
      <c r="DD533"/>
      <c r="DE533"/>
      <c r="DG533"/>
      <c r="DH533"/>
      <c r="DI533"/>
      <c r="DJ533"/>
      <c r="DK533"/>
      <c r="DL533"/>
      <c r="DM533"/>
      <c r="DN533"/>
      <c r="DO533"/>
      <c r="DP533"/>
      <c r="DQ533"/>
      <c r="DR533"/>
      <c r="DS533"/>
      <c r="DT533"/>
      <c r="DU533"/>
      <c r="DV533"/>
      <c r="DW533"/>
      <c r="DZ533"/>
      <c r="EA533"/>
      <c r="EB533"/>
      <c r="EC533"/>
      <c r="ED533"/>
      <c r="EE533"/>
      <c r="EF533"/>
      <c r="EG533"/>
      <c r="EJ533"/>
      <c r="EK533"/>
      <c r="EL533"/>
      <c r="EM533"/>
      <c r="EN533"/>
      <c r="EO533"/>
      <c r="EP533"/>
      <c r="EQ533"/>
      <c r="ER533"/>
      <c r="ES533"/>
      <c r="ET533"/>
      <c r="EU533"/>
      <c r="EV533"/>
      <c r="EW533"/>
      <c r="EX533"/>
      <c r="EY533"/>
      <c r="EZ533"/>
      <c r="FA533"/>
      <c r="FB533"/>
      <c r="FC533"/>
      <c r="FD533"/>
      <c r="FE533"/>
      <c r="FF533"/>
      <c r="FG533"/>
      <c r="FH533"/>
      <c r="FK533"/>
      <c r="FL533"/>
      <c r="FM533"/>
      <c r="FN533"/>
      <c r="FO533"/>
      <c r="FP533"/>
      <c r="FQ533"/>
      <c r="FR533"/>
      <c r="FS533"/>
      <c r="FT533"/>
      <c r="FU533"/>
      <c r="FV533"/>
      <c r="FW533"/>
      <c r="FX533"/>
      <c r="FY533"/>
      <c r="FZ533"/>
      <c r="GA533"/>
      <c r="GB533"/>
      <c r="GC533"/>
      <c r="GD533"/>
    </row>
    <row r="534" spans="1:186" x14ac:dyDescent="0.15">
      <c r="AG534"/>
      <c r="AH534"/>
      <c r="AJ534"/>
      <c r="AK534"/>
      <c r="AL534"/>
      <c r="AM534"/>
      <c r="AO534"/>
      <c r="AP534"/>
      <c r="AQ534"/>
      <c r="AR534"/>
      <c r="AS534"/>
      <c r="AT534"/>
      <c r="AU534"/>
      <c r="AV534"/>
      <c r="AW534"/>
      <c r="AX534"/>
      <c r="AY534"/>
      <c r="AZ534"/>
      <c r="BA534"/>
      <c r="BB534"/>
      <c r="BC534"/>
      <c r="BD534"/>
      <c r="BE534"/>
      <c r="BF534"/>
      <c r="BH534"/>
      <c r="BI534"/>
      <c r="BJ534"/>
      <c r="BK534"/>
      <c r="BL534"/>
      <c r="BM534"/>
      <c r="BN534"/>
      <c r="BP534"/>
      <c r="BQ534"/>
      <c r="BR534"/>
      <c r="BS534"/>
      <c r="BT534"/>
      <c r="BU534"/>
      <c r="BV534"/>
      <c r="BW534"/>
      <c r="BZ534"/>
      <c r="CA534"/>
      <c r="CB534"/>
      <c r="CC534"/>
      <c r="CD534"/>
      <c r="CF534"/>
      <c r="CG534"/>
      <c r="CH534"/>
      <c r="CI534"/>
      <c r="CJ534"/>
      <c r="CK534"/>
      <c r="CL534"/>
      <c r="CM534"/>
      <c r="CN534"/>
      <c r="CO534"/>
      <c r="CP534"/>
      <c r="CQ534"/>
      <c r="CR534"/>
      <c r="CS534"/>
      <c r="CT534"/>
      <c r="CU534"/>
      <c r="CV534"/>
      <c r="CW534"/>
      <c r="CX534"/>
      <c r="CY534"/>
      <c r="CZ534"/>
      <c r="DA534"/>
      <c r="DB534"/>
      <c r="DC534"/>
      <c r="DD534"/>
      <c r="DE534"/>
      <c r="DG534"/>
      <c r="DH534"/>
      <c r="DI534"/>
      <c r="DJ534"/>
      <c r="DK534"/>
      <c r="DL534"/>
      <c r="DM534"/>
      <c r="DN534"/>
      <c r="DO534"/>
      <c r="DP534"/>
      <c r="DQ534"/>
      <c r="DR534"/>
      <c r="DS534"/>
      <c r="DT534"/>
      <c r="DU534"/>
      <c r="DV534"/>
      <c r="DW534"/>
      <c r="DZ534"/>
      <c r="EA534"/>
      <c r="EB534"/>
      <c r="EC534"/>
      <c r="ED534"/>
      <c r="EE534"/>
      <c r="EF534"/>
      <c r="EG534"/>
      <c r="EJ534"/>
      <c r="EK534"/>
      <c r="EL534"/>
      <c r="EM534"/>
      <c r="EN534"/>
      <c r="EO534"/>
      <c r="EP534"/>
      <c r="EQ534"/>
      <c r="ER534"/>
      <c r="ES534"/>
      <c r="ET534"/>
      <c r="EU534"/>
      <c r="EV534"/>
      <c r="EW534"/>
      <c r="EX534"/>
      <c r="EY534"/>
      <c r="EZ534"/>
      <c r="FA534"/>
      <c r="FB534"/>
      <c r="FC534"/>
      <c r="FD534"/>
      <c r="FE534"/>
      <c r="FF534"/>
      <c r="FG534"/>
      <c r="FH534"/>
      <c r="FK534"/>
      <c r="FL534"/>
      <c r="FM534"/>
      <c r="FN534"/>
      <c r="FO534"/>
      <c r="FP534"/>
      <c r="FQ534"/>
      <c r="FR534"/>
      <c r="FS534"/>
      <c r="FT534"/>
      <c r="FU534"/>
      <c r="FV534"/>
      <c r="FW534"/>
      <c r="FX534"/>
      <c r="FY534"/>
      <c r="FZ534"/>
      <c r="GA534"/>
      <c r="GB534"/>
      <c r="GC534"/>
      <c r="GD534"/>
    </row>
    <row r="535" spans="1:186" x14ac:dyDescent="0.15">
      <c r="AG535"/>
      <c r="AH535"/>
      <c r="AJ535"/>
      <c r="AK535"/>
      <c r="AL535"/>
      <c r="AM535"/>
      <c r="AO535"/>
      <c r="AP535"/>
      <c r="AQ535"/>
      <c r="AR535"/>
      <c r="AS535"/>
      <c r="AT535"/>
      <c r="AU535"/>
      <c r="AV535"/>
      <c r="AW535"/>
      <c r="AX535"/>
      <c r="AY535"/>
      <c r="AZ535"/>
      <c r="BA535"/>
      <c r="BB535"/>
      <c r="BC535"/>
      <c r="BD535"/>
      <c r="BE535"/>
      <c r="BF535"/>
      <c r="BH535"/>
      <c r="BI535"/>
      <c r="BJ535"/>
      <c r="BK535"/>
      <c r="BL535"/>
      <c r="BM535"/>
      <c r="BN535"/>
      <c r="BP535"/>
      <c r="BQ535"/>
      <c r="BR535"/>
      <c r="BS535"/>
      <c r="BT535"/>
      <c r="BU535"/>
      <c r="BV535"/>
      <c r="BW535"/>
      <c r="BZ535"/>
      <c r="CA535"/>
      <c r="CB535"/>
      <c r="CC535"/>
      <c r="CD535"/>
      <c r="CF535"/>
      <c r="CG535"/>
      <c r="CH535"/>
      <c r="CI535"/>
      <c r="CJ535"/>
      <c r="CK535"/>
      <c r="CL535"/>
      <c r="CM535"/>
      <c r="CN535"/>
      <c r="CO535"/>
      <c r="CP535"/>
      <c r="CQ535"/>
      <c r="CR535"/>
      <c r="CS535"/>
      <c r="CT535"/>
      <c r="CU535"/>
      <c r="CV535"/>
      <c r="CW535"/>
      <c r="CX535"/>
      <c r="CY535"/>
      <c r="CZ535"/>
      <c r="DA535"/>
      <c r="DB535"/>
      <c r="DC535"/>
      <c r="DD535"/>
      <c r="DE535"/>
      <c r="DG535"/>
      <c r="DH535"/>
      <c r="DI535"/>
      <c r="DJ535"/>
      <c r="DK535"/>
      <c r="DL535"/>
      <c r="DM535"/>
      <c r="DN535"/>
      <c r="DO535"/>
      <c r="DP535"/>
      <c r="DQ535"/>
      <c r="DR535"/>
      <c r="DS535"/>
      <c r="DT535"/>
      <c r="DU535"/>
      <c r="DV535"/>
      <c r="DW535"/>
      <c r="DZ535"/>
      <c r="EA535"/>
      <c r="EB535"/>
      <c r="EC535"/>
      <c r="ED535"/>
      <c r="EE535"/>
      <c r="EF535"/>
      <c r="EG535"/>
      <c r="EJ535"/>
      <c r="EK535"/>
      <c r="EL535"/>
      <c r="EM535"/>
      <c r="EN535"/>
      <c r="EO535"/>
      <c r="EP535"/>
      <c r="EQ535"/>
      <c r="ER535"/>
      <c r="ES535"/>
      <c r="ET535"/>
      <c r="EU535"/>
      <c r="EV535"/>
      <c r="EW535"/>
      <c r="EX535"/>
      <c r="EY535"/>
      <c r="EZ535"/>
      <c r="FA535"/>
      <c r="FB535"/>
      <c r="FC535"/>
      <c r="FD535"/>
      <c r="FE535"/>
      <c r="FF535"/>
      <c r="FG535"/>
      <c r="FH535"/>
      <c r="FK535"/>
      <c r="FL535"/>
      <c r="FM535"/>
      <c r="FN535"/>
      <c r="FO535"/>
      <c r="FP535"/>
      <c r="FQ535"/>
      <c r="FR535"/>
      <c r="FS535"/>
      <c r="FT535"/>
      <c r="FU535"/>
      <c r="FV535"/>
      <c r="FW535"/>
      <c r="FX535"/>
      <c r="FY535"/>
      <c r="FZ535"/>
      <c r="GA535"/>
      <c r="GB535"/>
      <c r="GC535"/>
      <c r="GD535"/>
    </row>
    <row r="536" spans="1:186" x14ac:dyDescent="0.15">
      <c r="AG536"/>
      <c r="AH536"/>
      <c r="AJ536"/>
      <c r="AK536"/>
      <c r="AL536"/>
      <c r="AM536"/>
      <c r="AO536"/>
      <c r="AP536"/>
      <c r="AQ536"/>
      <c r="AR536"/>
      <c r="AS536"/>
      <c r="AT536"/>
      <c r="AU536"/>
      <c r="AV536"/>
      <c r="AW536"/>
      <c r="AX536"/>
      <c r="AY536"/>
      <c r="AZ536"/>
      <c r="BA536"/>
      <c r="BB536"/>
      <c r="BC536"/>
      <c r="BD536"/>
      <c r="BE536"/>
      <c r="BF536"/>
      <c r="BH536"/>
      <c r="BI536"/>
      <c r="BJ536"/>
      <c r="BK536"/>
      <c r="BL536"/>
      <c r="BM536"/>
      <c r="BN536"/>
      <c r="BP536"/>
      <c r="BQ536"/>
      <c r="BR536"/>
      <c r="BS536"/>
      <c r="BT536"/>
      <c r="BU536"/>
      <c r="BV536"/>
      <c r="BW536"/>
      <c r="BZ536"/>
      <c r="CA536"/>
      <c r="CB536"/>
      <c r="CC536"/>
      <c r="CD536"/>
      <c r="CF536"/>
      <c r="CG536"/>
      <c r="CH536"/>
      <c r="CI536"/>
      <c r="CJ536"/>
      <c r="CK536"/>
      <c r="CL536"/>
      <c r="CM536"/>
      <c r="CN536"/>
      <c r="CO536"/>
      <c r="CP536"/>
      <c r="CQ536"/>
      <c r="CR536"/>
      <c r="CS536"/>
      <c r="CT536"/>
      <c r="CU536"/>
      <c r="CV536"/>
      <c r="CW536"/>
      <c r="CX536"/>
      <c r="CY536"/>
      <c r="CZ536"/>
      <c r="DA536"/>
      <c r="DB536"/>
      <c r="DC536"/>
      <c r="DD536"/>
      <c r="DE536"/>
      <c r="DG536"/>
      <c r="DH536"/>
      <c r="DI536"/>
      <c r="DJ536"/>
      <c r="DK536"/>
      <c r="DL536"/>
      <c r="DM536"/>
      <c r="DN536"/>
      <c r="DO536"/>
      <c r="DP536"/>
      <c r="DQ536"/>
      <c r="DR536"/>
      <c r="DS536"/>
      <c r="DT536"/>
      <c r="DU536"/>
      <c r="DV536"/>
      <c r="DW536"/>
      <c r="DZ536"/>
      <c r="EA536"/>
      <c r="EB536"/>
      <c r="EC536"/>
      <c r="ED536"/>
      <c r="EE536"/>
      <c r="EF536"/>
      <c r="EG536"/>
      <c r="EJ536"/>
      <c r="EK536"/>
      <c r="EL536"/>
      <c r="EM536"/>
      <c r="EN536"/>
      <c r="EO536"/>
      <c r="EP536"/>
      <c r="EQ536"/>
      <c r="ER536"/>
      <c r="ES536"/>
      <c r="ET536"/>
      <c r="EU536"/>
      <c r="EV536"/>
      <c r="EW536"/>
      <c r="EX536"/>
      <c r="EY536"/>
      <c r="EZ536"/>
      <c r="FA536"/>
      <c r="FB536"/>
      <c r="FC536"/>
      <c r="FD536"/>
      <c r="FE536"/>
      <c r="FF536"/>
      <c r="FG536"/>
      <c r="FH536"/>
      <c r="FK536"/>
      <c r="FL536"/>
      <c r="FM536"/>
      <c r="FN536"/>
      <c r="FO536"/>
      <c r="FP536"/>
      <c r="FQ536"/>
      <c r="FR536"/>
      <c r="FS536"/>
      <c r="FT536"/>
      <c r="FU536"/>
      <c r="FV536"/>
      <c r="FW536"/>
      <c r="FX536"/>
      <c r="FY536"/>
      <c r="FZ536"/>
      <c r="GA536"/>
      <c r="GB536"/>
      <c r="GC536"/>
      <c r="GD536"/>
    </row>
    <row r="537" spans="1:186" x14ac:dyDescent="0.15">
      <c r="AG537"/>
      <c r="AH537"/>
      <c r="AJ537"/>
      <c r="AK537"/>
      <c r="AL537"/>
      <c r="AM537"/>
      <c r="AO537"/>
      <c r="AP537"/>
      <c r="AQ537"/>
      <c r="AR537"/>
      <c r="AS537"/>
      <c r="AT537"/>
      <c r="AU537"/>
      <c r="AV537"/>
      <c r="AW537"/>
      <c r="AX537"/>
      <c r="AY537"/>
      <c r="AZ537"/>
      <c r="BA537"/>
      <c r="BB537"/>
      <c r="BC537"/>
      <c r="BD537"/>
      <c r="BE537"/>
      <c r="BF537"/>
      <c r="BH537"/>
      <c r="BI537"/>
      <c r="BJ537"/>
      <c r="BK537"/>
      <c r="BL537"/>
      <c r="BM537"/>
      <c r="BN537"/>
      <c r="BP537"/>
      <c r="BQ537"/>
      <c r="BR537"/>
      <c r="BS537"/>
      <c r="BT537"/>
      <c r="BU537"/>
      <c r="BV537"/>
      <c r="BW537"/>
      <c r="BZ537"/>
      <c r="CA537"/>
      <c r="CB537"/>
      <c r="CC537"/>
      <c r="CD537"/>
      <c r="CF537"/>
      <c r="CG537"/>
      <c r="CH537"/>
      <c r="CI537"/>
      <c r="CJ537"/>
      <c r="CK537"/>
      <c r="CL537"/>
      <c r="CM537"/>
      <c r="CN537"/>
      <c r="CO537"/>
      <c r="CP537"/>
      <c r="CQ537"/>
      <c r="CR537"/>
      <c r="CS537"/>
      <c r="CT537"/>
      <c r="CU537"/>
      <c r="CV537"/>
      <c r="CW537"/>
      <c r="CX537"/>
      <c r="CY537"/>
      <c r="CZ537"/>
      <c r="DA537"/>
      <c r="DB537"/>
      <c r="DC537"/>
      <c r="DD537"/>
      <c r="DE537"/>
      <c r="DG537"/>
      <c r="DH537"/>
      <c r="DI537"/>
      <c r="DJ537"/>
      <c r="DK537"/>
      <c r="DL537"/>
      <c r="DM537"/>
      <c r="DN537"/>
      <c r="DO537"/>
      <c r="DP537"/>
      <c r="DQ537"/>
      <c r="DR537"/>
      <c r="DS537"/>
      <c r="DT537"/>
      <c r="DU537"/>
      <c r="DV537"/>
      <c r="DW537"/>
      <c r="DZ537"/>
      <c r="EA537"/>
      <c r="EB537"/>
      <c r="EC537"/>
      <c r="ED537"/>
      <c r="EE537"/>
      <c r="EF537"/>
      <c r="EG537"/>
      <c r="EJ537"/>
      <c r="EK537"/>
      <c r="EL537"/>
      <c r="EM537"/>
      <c r="EN537"/>
      <c r="EO537"/>
      <c r="EP537"/>
      <c r="EQ537"/>
      <c r="ER537"/>
      <c r="ES537"/>
      <c r="ET537"/>
      <c r="EU537"/>
      <c r="EV537"/>
      <c r="EW537"/>
      <c r="EX537"/>
      <c r="EY537"/>
      <c r="EZ537"/>
      <c r="FA537"/>
      <c r="FB537"/>
      <c r="FC537"/>
      <c r="FD537"/>
      <c r="FE537"/>
      <c r="FF537"/>
      <c r="FG537"/>
      <c r="FH537"/>
      <c r="FK537"/>
      <c r="FL537"/>
      <c r="FM537"/>
      <c r="FN537"/>
      <c r="FO537"/>
      <c r="FP537"/>
      <c r="FQ537"/>
      <c r="FR537"/>
      <c r="FS537"/>
      <c r="FT537"/>
      <c r="FU537"/>
      <c r="FV537"/>
      <c r="FW537"/>
      <c r="FX537"/>
      <c r="FY537"/>
      <c r="FZ537"/>
      <c r="GA537"/>
      <c r="GB537"/>
      <c r="GC537"/>
      <c r="GD537"/>
    </row>
    <row r="538" spans="1:186" x14ac:dyDescent="0.15">
      <c r="A538" s="30" t="s">
        <v>148</v>
      </c>
      <c r="AG538"/>
      <c r="AH538"/>
      <c r="AJ538"/>
      <c r="AK538"/>
      <c r="AL538"/>
      <c r="AM538"/>
      <c r="AO538"/>
      <c r="AP538"/>
      <c r="AQ538"/>
      <c r="AR538"/>
      <c r="AS538"/>
      <c r="AT538"/>
      <c r="AU538"/>
      <c r="AV538"/>
      <c r="AW538"/>
      <c r="AX538"/>
      <c r="AY538"/>
      <c r="AZ538"/>
      <c r="BA538"/>
      <c r="BB538"/>
      <c r="BC538"/>
      <c r="BD538"/>
      <c r="BE538"/>
      <c r="BF538"/>
      <c r="BH538"/>
      <c r="BI538"/>
      <c r="BJ538"/>
      <c r="BK538"/>
      <c r="BL538"/>
      <c r="BM538"/>
      <c r="BN538"/>
      <c r="BP538"/>
      <c r="BQ538"/>
      <c r="BR538"/>
      <c r="BS538"/>
      <c r="BT538"/>
      <c r="BU538"/>
      <c r="BV538"/>
      <c r="BW538"/>
      <c r="BZ538"/>
      <c r="CA538"/>
      <c r="CB538"/>
      <c r="CC538"/>
      <c r="CD538"/>
      <c r="CF538"/>
      <c r="CG538"/>
      <c r="CH538"/>
      <c r="CI538"/>
      <c r="CJ538"/>
      <c r="CK538"/>
      <c r="CL538"/>
      <c r="CM538"/>
      <c r="CN538"/>
      <c r="CO538"/>
      <c r="CP538"/>
      <c r="CQ538"/>
      <c r="CR538"/>
      <c r="CS538"/>
      <c r="CT538"/>
      <c r="CU538"/>
      <c r="CV538"/>
      <c r="CW538"/>
      <c r="CX538"/>
      <c r="CY538"/>
      <c r="CZ538"/>
      <c r="DA538"/>
      <c r="DB538"/>
      <c r="DC538"/>
      <c r="DD538"/>
      <c r="DE538"/>
      <c r="DG538"/>
      <c r="DH538"/>
      <c r="DI538"/>
      <c r="DJ538"/>
      <c r="DK538"/>
      <c r="DL538"/>
      <c r="DM538"/>
      <c r="DN538"/>
      <c r="DO538"/>
      <c r="DP538"/>
      <c r="DQ538"/>
      <c r="DR538"/>
      <c r="DS538"/>
      <c r="DT538"/>
      <c r="DU538"/>
      <c r="DV538"/>
      <c r="DW538"/>
      <c r="DZ538"/>
      <c r="EA538"/>
      <c r="EB538"/>
      <c r="EC538"/>
      <c r="ED538"/>
      <c r="EE538"/>
      <c r="EF538"/>
      <c r="EG538"/>
      <c r="EJ538"/>
      <c r="EK538"/>
      <c r="EL538"/>
      <c r="EM538"/>
      <c r="EN538"/>
      <c r="EO538"/>
      <c r="EP538"/>
      <c r="EQ538"/>
      <c r="ER538"/>
      <c r="ES538"/>
      <c r="ET538"/>
      <c r="EU538"/>
      <c r="EV538"/>
      <c r="EW538"/>
      <c r="EX538"/>
      <c r="EY538"/>
      <c r="EZ538"/>
      <c r="FA538"/>
      <c r="FB538"/>
      <c r="FC538"/>
      <c r="FD538"/>
      <c r="FE538"/>
      <c r="FF538"/>
      <c r="FG538"/>
      <c r="FH538"/>
      <c r="FK538"/>
      <c r="FL538"/>
      <c r="FM538"/>
      <c r="FN538"/>
      <c r="FO538"/>
      <c r="FP538"/>
      <c r="FQ538"/>
      <c r="FR538"/>
      <c r="FS538"/>
      <c r="FT538"/>
      <c r="FU538"/>
      <c r="FV538"/>
      <c r="FW538"/>
      <c r="FX538"/>
      <c r="FY538"/>
      <c r="FZ538"/>
      <c r="GA538"/>
      <c r="GB538"/>
      <c r="GC538"/>
      <c r="GD538"/>
    </row>
    <row r="539" spans="1:186" x14ac:dyDescent="0.15">
      <c r="A539" s="30" t="s">
        <v>147</v>
      </c>
      <c r="AG539"/>
      <c r="AH539"/>
      <c r="AJ539"/>
      <c r="AK539"/>
      <c r="AL539"/>
      <c r="AM539"/>
      <c r="AO539"/>
      <c r="AP539"/>
      <c r="AQ539"/>
      <c r="AR539"/>
      <c r="AS539"/>
      <c r="AT539"/>
      <c r="AU539"/>
      <c r="AV539"/>
      <c r="AW539"/>
      <c r="AX539"/>
      <c r="AY539"/>
      <c r="AZ539"/>
      <c r="BA539"/>
      <c r="BB539"/>
      <c r="BC539"/>
      <c r="BD539"/>
      <c r="BE539"/>
      <c r="BF539"/>
      <c r="BH539"/>
      <c r="BI539"/>
      <c r="BJ539"/>
      <c r="BK539"/>
      <c r="BL539"/>
      <c r="BM539"/>
      <c r="BN539"/>
      <c r="BP539"/>
      <c r="BQ539"/>
      <c r="BR539"/>
      <c r="BS539"/>
      <c r="BT539"/>
      <c r="BU539"/>
      <c r="BV539"/>
      <c r="BW539"/>
      <c r="BZ539"/>
      <c r="CA539"/>
      <c r="CB539"/>
      <c r="CC539"/>
      <c r="CD539"/>
      <c r="CF539"/>
      <c r="CG539"/>
      <c r="CH539"/>
      <c r="CI539"/>
      <c r="CJ539"/>
      <c r="CK539"/>
      <c r="CL539"/>
      <c r="CM539"/>
      <c r="CN539"/>
      <c r="CO539"/>
      <c r="CP539"/>
      <c r="CQ539"/>
      <c r="CR539"/>
      <c r="CS539"/>
      <c r="CT539"/>
      <c r="CU539"/>
      <c r="CV539"/>
      <c r="CW539"/>
      <c r="CX539"/>
      <c r="CY539"/>
      <c r="CZ539"/>
      <c r="DA539"/>
      <c r="DB539"/>
      <c r="DC539"/>
      <c r="DD539"/>
      <c r="DE539"/>
      <c r="DG539"/>
      <c r="DH539"/>
      <c r="DI539"/>
      <c r="DJ539"/>
      <c r="DK539"/>
      <c r="DL539"/>
      <c r="DM539"/>
      <c r="DN539"/>
      <c r="DO539"/>
      <c r="DP539"/>
      <c r="DQ539"/>
      <c r="DR539"/>
      <c r="DS539"/>
      <c r="DT539"/>
      <c r="DU539"/>
      <c r="DV539"/>
      <c r="DW539"/>
      <c r="DZ539"/>
      <c r="EA539"/>
      <c r="EB539"/>
      <c r="EC539"/>
      <c r="ED539"/>
      <c r="EE539"/>
      <c r="EF539"/>
      <c r="EG539"/>
      <c r="EJ539"/>
      <c r="EK539"/>
      <c r="EL539"/>
      <c r="EM539"/>
      <c r="EN539"/>
      <c r="EO539"/>
      <c r="EP539"/>
      <c r="EQ539"/>
      <c r="ER539"/>
      <c r="ES539"/>
      <c r="ET539"/>
      <c r="EU539"/>
      <c r="EV539"/>
      <c r="EW539"/>
      <c r="EX539"/>
      <c r="EY539"/>
      <c r="EZ539"/>
      <c r="FA539"/>
      <c r="FB539"/>
      <c r="FC539"/>
      <c r="FD539"/>
      <c r="FE539"/>
      <c r="FF539"/>
      <c r="FG539"/>
      <c r="FH539"/>
      <c r="FK539"/>
      <c r="FL539"/>
      <c r="FM539"/>
      <c r="FN539"/>
      <c r="FO539"/>
      <c r="FP539"/>
      <c r="FQ539"/>
      <c r="FR539"/>
      <c r="FS539"/>
      <c r="FT539"/>
      <c r="FU539"/>
      <c r="FV539"/>
      <c r="FW539"/>
      <c r="FX539"/>
      <c r="FY539"/>
      <c r="FZ539"/>
      <c r="GA539"/>
      <c r="GB539"/>
      <c r="GC539"/>
      <c r="GD539"/>
    </row>
    <row r="540" spans="1:186" x14ac:dyDescent="0.15">
      <c r="A540" s="30" t="s">
        <v>146</v>
      </c>
      <c r="AG540"/>
      <c r="AH540"/>
      <c r="AJ540"/>
      <c r="AK540"/>
      <c r="AL540"/>
      <c r="AM540"/>
      <c r="AO540"/>
      <c r="AP540"/>
      <c r="AQ540"/>
      <c r="AR540"/>
      <c r="AS540"/>
      <c r="AT540"/>
      <c r="AU540"/>
      <c r="AV540"/>
      <c r="AW540"/>
      <c r="AX540"/>
      <c r="AY540"/>
      <c r="AZ540"/>
      <c r="BA540"/>
      <c r="BB540"/>
      <c r="BC540"/>
      <c r="BD540"/>
      <c r="BE540"/>
      <c r="BF540"/>
      <c r="BH540"/>
      <c r="BI540"/>
      <c r="BJ540"/>
      <c r="BK540"/>
      <c r="BL540"/>
      <c r="BM540"/>
      <c r="BN540"/>
      <c r="BP540"/>
      <c r="BQ540"/>
      <c r="BR540"/>
      <c r="BS540"/>
      <c r="BT540"/>
      <c r="BU540"/>
      <c r="BV540"/>
      <c r="BW540"/>
      <c r="BZ540"/>
      <c r="CA540"/>
      <c r="CB540"/>
      <c r="CC540"/>
      <c r="CD540"/>
      <c r="CF540"/>
      <c r="CG540"/>
      <c r="CH540"/>
      <c r="CI540"/>
      <c r="CJ540"/>
      <c r="CK540"/>
      <c r="CL540"/>
      <c r="CM540"/>
      <c r="CN540"/>
      <c r="CO540"/>
      <c r="CP540"/>
      <c r="CQ540"/>
      <c r="CR540"/>
      <c r="CS540"/>
      <c r="CT540"/>
      <c r="CU540"/>
      <c r="CV540"/>
      <c r="CW540"/>
      <c r="CX540"/>
      <c r="CY540"/>
      <c r="CZ540"/>
      <c r="DA540"/>
      <c r="DB540"/>
      <c r="DC540"/>
      <c r="DD540"/>
      <c r="DE540"/>
      <c r="DG540"/>
      <c r="DH540"/>
      <c r="DI540"/>
      <c r="DJ540"/>
      <c r="DK540"/>
      <c r="DL540"/>
      <c r="DM540"/>
      <c r="DN540"/>
      <c r="DO540"/>
      <c r="DP540"/>
      <c r="DQ540"/>
      <c r="DR540"/>
      <c r="DS540"/>
      <c r="DT540"/>
      <c r="DU540"/>
      <c r="DV540"/>
      <c r="DW540"/>
      <c r="DZ540"/>
      <c r="EA540"/>
      <c r="EB540"/>
      <c r="EC540"/>
      <c r="ED540"/>
      <c r="EE540"/>
      <c r="EF540"/>
      <c r="EG540"/>
      <c r="EJ540"/>
      <c r="EK540"/>
      <c r="EL540"/>
      <c r="EM540"/>
      <c r="EN540"/>
      <c r="EO540"/>
      <c r="EP540"/>
      <c r="EQ540"/>
      <c r="ER540"/>
      <c r="ES540"/>
      <c r="ET540"/>
      <c r="EU540"/>
      <c r="EV540"/>
      <c r="EW540"/>
      <c r="EX540"/>
      <c r="EY540"/>
      <c r="EZ540"/>
      <c r="FA540"/>
      <c r="FB540"/>
      <c r="FC540"/>
      <c r="FD540"/>
      <c r="FE540"/>
      <c r="FF540"/>
      <c r="FG540"/>
      <c r="FH540"/>
      <c r="FK540"/>
      <c r="FL540"/>
      <c r="FM540"/>
      <c r="FN540"/>
      <c r="FO540"/>
      <c r="FP540"/>
      <c r="FQ540"/>
      <c r="FR540"/>
      <c r="FS540"/>
      <c r="FT540"/>
      <c r="FU540"/>
      <c r="FV540"/>
      <c r="FW540"/>
      <c r="FX540"/>
      <c r="FY540"/>
      <c r="FZ540"/>
      <c r="GA540"/>
      <c r="GB540"/>
      <c r="GC540"/>
      <c r="GD540"/>
    </row>
    <row r="541" spans="1:186" x14ac:dyDescent="0.15">
      <c r="A541" s="30" t="s">
        <v>145</v>
      </c>
      <c r="AG541"/>
      <c r="AH541"/>
      <c r="AJ541"/>
      <c r="AK541"/>
      <c r="AL541"/>
      <c r="AM541"/>
      <c r="AO541"/>
      <c r="AP541"/>
      <c r="AQ541"/>
      <c r="AR541"/>
      <c r="AS541"/>
      <c r="AT541"/>
      <c r="AU541"/>
      <c r="AV541"/>
      <c r="AW541"/>
      <c r="AX541"/>
      <c r="AY541"/>
      <c r="AZ541"/>
      <c r="BA541"/>
      <c r="BB541"/>
      <c r="BC541"/>
      <c r="BD541"/>
      <c r="BE541"/>
      <c r="BF541"/>
      <c r="BH541"/>
      <c r="BI541"/>
      <c r="BJ541"/>
      <c r="BK541"/>
      <c r="BL541"/>
      <c r="BM541"/>
      <c r="BN541"/>
      <c r="BP541"/>
      <c r="BQ541"/>
      <c r="BR541"/>
      <c r="BS541"/>
      <c r="BT541"/>
      <c r="BU541"/>
      <c r="BV541"/>
      <c r="BW541"/>
      <c r="BZ541"/>
      <c r="CA541"/>
      <c r="CB541"/>
      <c r="CC541"/>
      <c r="CD541"/>
      <c r="CF541"/>
      <c r="CG541"/>
      <c r="CH541"/>
      <c r="CI541"/>
      <c r="CJ541"/>
      <c r="CK541"/>
      <c r="CL541"/>
      <c r="CM541"/>
      <c r="CN541"/>
      <c r="CO541"/>
      <c r="CP541"/>
      <c r="CQ541"/>
      <c r="CR541"/>
      <c r="CS541"/>
      <c r="CT541"/>
      <c r="CU541"/>
      <c r="CV541"/>
      <c r="CW541"/>
      <c r="CX541"/>
      <c r="CY541"/>
      <c r="CZ541"/>
      <c r="DA541"/>
      <c r="DB541"/>
      <c r="DC541"/>
      <c r="DD541"/>
      <c r="DE541"/>
      <c r="DG541"/>
      <c r="DH541"/>
      <c r="DI541"/>
      <c r="DJ541"/>
      <c r="DK541"/>
      <c r="DL541"/>
      <c r="DM541"/>
      <c r="DN541"/>
      <c r="DO541"/>
      <c r="DP541"/>
      <c r="DQ541"/>
      <c r="DR541"/>
      <c r="DS541"/>
      <c r="DT541"/>
      <c r="DU541"/>
      <c r="DV541"/>
      <c r="DW541"/>
      <c r="DZ541"/>
      <c r="EA541"/>
      <c r="EB541"/>
      <c r="EC541"/>
      <c r="ED541"/>
      <c r="EE541"/>
      <c r="EF541"/>
      <c r="EG541"/>
      <c r="EJ541"/>
      <c r="EK541"/>
      <c r="EL541"/>
      <c r="EM541"/>
      <c r="EN541"/>
      <c r="EO541"/>
      <c r="EP541"/>
      <c r="EQ541"/>
      <c r="ER541"/>
      <c r="ES541"/>
      <c r="ET541"/>
      <c r="EU541"/>
      <c r="EV541"/>
      <c r="EW541"/>
      <c r="EX541"/>
      <c r="EY541"/>
      <c r="EZ541"/>
      <c r="FA541"/>
      <c r="FB541"/>
      <c r="FC541"/>
      <c r="FD541"/>
      <c r="FE541"/>
      <c r="FF541"/>
      <c r="FG541"/>
      <c r="FH541"/>
      <c r="FK541"/>
      <c r="FL541"/>
      <c r="FM541"/>
      <c r="FN541"/>
      <c r="FO541"/>
      <c r="FP541"/>
      <c r="FQ541"/>
      <c r="FR541"/>
      <c r="FS541"/>
      <c r="FT541"/>
      <c r="FU541"/>
      <c r="FV541"/>
      <c r="FW541"/>
      <c r="FX541"/>
      <c r="FY541"/>
      <c r="FZ541"/>
      <c r="GA541"/>
      <c r="GB541"/>
      <c r="GC541"/>
      <c r="GD541"/>
    </row>
    <row r="542" spans="1:186" x14ac:dyDescent="0.15">
      <c r="A542" s="30" t="s">
        <v>144</v>
      </c>
      <c r="AG542"/>
      <c r="AH542"/>
      <c r="AJ542"/>
      <c r="AK542"/>
      <c r="AL542"/>
      <c r="AM542"/>
      <c r="AO542"/>
      <c r="AP542"/>
      <c r="AQ542"/>
      <c r="AR542"/>
      <c r="AS542"/>
      <c r="AT542"/>
      <c r="AU542"/>
      <c r="AV542"/>
      <c r="AW542"/>
      <c r="AX542"/>
      <c r="AY542"/>
      <c r="AZ542"/>
      <c r="BA542"/>
      <c r="BB542"/>
      <c r="BC542"/>
      <c r="BD542"/>
      <c r="BE542"/>
      <c r="BF542"/>
      <c r="BH542"/>
      <c r="BI542"/>
      <c r="BJ542"/>
      <c r="BK542"/>
      <c r="BL542"/>
      <c r="BM542"/>
      <c r="BN542"/>
      <c r="BP542"/>
      <c r="BQ542"/>
      <c r="BR542"/>
      <c r="BS542"/>
      <c r="BT542"/>
      <c r="BU542"/>
      <c r="BV542"/>
      <c r="BW542"/>
      <c r="BZ542"/>
      <c r="CA542"/>
      <c r="CB542"/>
      <c r="CC542"/>
      <c r="CD542"/>
      <c r="CF542"/>
      <c r="CG542"/>
      <c r="CH542"/>
      <c r="CI542"/>
      <c r="CJ542"/>
      <c r="CK542"/>
      <c r="CL542"/>
      <c r="CM542"/>
      <c r="CN542"/>
      <c r="CO542"/>
      <c r="CP542"/>
      <c r="CQ542"/>
      <c r="CR542"/>
      <c r="CS542"/>
      <c r="CT542"/>
      <c r="CU542"/>
      <c r="CV542"/>
      <c r="CW542"/>
      <c r="CX542"/>
      <c r="CY542"/>
      <c r="CZ542"/>
      <c r="DA542"/>
      <c r="DB542"/>
      <c r="DC542"/>
      <c r="DD542"/>
      <c r="DE542"/>
      <c r="DG542"/>
      <c r="DH542"/>
      <c r="DI542"/>
      <c r="DJ542"/>
      <c r="DK542"/>
      <c r="DL542"/>
      <c r="DM542"/>
      <c r="DN542"/>
      <c r="DO542"/>
      <c r="DP542"/>
      <c r="DQ542"/>
      <c r="DR542"/>
      <c r="DS542"/>
      <c r="DT542"/>
      <c r="DU542"/>
      <c r="DV542"/>
      <c r="DW542"/>
      <c r="DZ542"/>
      <c r="EA542"/>
      <c r="EB542"/>
      <c r="EC542"/>
      <c r="ED542"/>
      <c r="EE542"/>
      <c r="EF542"/>
      <c r="EG542"/>
      <c r="EJ542"/>
      <c r="EK542"/>
      <c r="EL542"/>
      <c r="EM542"/>
      <c r="EN542"/>
      <c r="EO542"/>
      <c r="EP542"/>
      <c r="EQ542"/>
      <c r="ER542"/>
      <c r="ES542"/>
      <c r="ET542"/>
      <c r="EU542"/>
      <c r="EV542"/>
      <c r="EW542"/>
      <c r="EX542"/>
      <c r="EY542"/>
      <c r="EZ542"/>
      <c r="FA542"/>
      <c r="FB542"/>
      <c r="FC542"/>
      <c r="FD542"/>
      <c r="FE542"/>
      <c r="FF542"/>
      <c r="FG542"/>
      <c r="FH542"/>
      <c r="FK542"/>
      <c r="FL542"/>
      <c r="FM542"/>
      <c r="FN542"/>
      <c r="FO542"/>
      <c r="FP542"/>
      <c r="FQ542"/>
      <c r="FR542"/>
      <c r="FS542"/>
      <c r="FT542"/>
      <c r="FU542"/>
      <c r="FV542"/>
      <c r="FW542"/>
      <c r="FX542"/>
      <c r="FY542"/>
      <c r="FZ542"/>
      <c r="GA542"/>
      <c r="GB542"/>
      <c r="GC542"/>
      <c r="GD542"/>
    </row>
    <row r="543" spans="1:186" x14ac:dyDescent="0.15">
      <c r="A543" s="30" t="s">
        <v>143</v>
      </c>
      <c r="AG543"/>
      <c r="AH543"/>
      <c r="AJ543"/>
      <c r="AK543"/>
      <c r="AL543"/>
      <c r="AM543"/>
      <c r="AO543"/>
      <c r="AP543"/>
      <c r="AQ543"/>
      <c r="AR543"/>
      <c r="AS543"/>
      <c r="AT543"/>
      <c r="AU543"/>
      <c r="AV543"/>
      <c r="AW543"/>
      <c r="AX543"/>
      <c r="AY543"/>
      <c r="AZ543"/>
      <c r="BA543"/>
      <c r="BB543"/>
      <c r="BC543"/>
      <c r="BD543"/>
      <c r="BE543"/>
      <c r="BF543"/>
      <c r="BH543"/>
      <c r="BI543"/>
      <c r="BJ543"/>
      <c r="BK543"/>
      <c r="BL543"/>
      <c r="BM543"/>
      <c r="BN543"/>
      <c r="BP543"/>
      <c r="BQ543"/>
      <c r="BR543"/>
      <c r="BS543"/>
      <c r="BT543"/>
      <c r="BU543"/>
      <c r="BV543"/>
      <c r="BW543"/>
      <c r="BZ543"/>
      <c r="CA543"/>
      <c r="CB543"/>
      <c r="CC543"/>
      <c r="CD543"/>
      <c r="CF543"/>
      <c r="CG543"/>
      <c r="CH543"/>
      <c r="CI543"/>
      <c r="CJ543"/>
      <c r="CK543"/>
      <c r="CL543"/>
      <c r="CM543"/>
      <c r="CN543"/>
      <c r="CO543"/>
      <c r="CP543"/>
      <c r="CQ543"/>
      <c r="CR543"/>
      <c r="CS543"/>
      <c r="CT543"/>
      <c r="CU543"/>
      <c r="CV543"/>
      <c r="CW543"/>
      <c r="CX543"/>
      <c r="CY543"/>
      <c r="CZ543"/>
      <c r="DA543"/>
      <c r="DB543"/>
      <c r="DC543"/>
      <c r="DD543"/>
      <c r="DE543"/>
      <c r="DG543"/>
      <c r="DH543"/>
      <c r="DI543"/>
      <c r="DJ543"/>
      <c r="DK543"/>
      <c r="DL543"/>
      <c r="DM543"/>
      <c r="DN543"/>
      <c r="DO543"/>
      <c r="DP543"/>
      <c r="DQ543"/>
      <c r="DR543"/>
      <c r="DS543"/>
      <c r="DT543"/>
      <c r="DU543"/>
      <c r="DV543"/>
      <c r="DW543"/>
      <c r="DZ543"/>
      <c r="EA543"/>
      <c r="EB543"/>
      <c r="EC543"/>
      <c r="ED543"/>
      <c r="EE543"/>
      <c r="EF543"/>
      <c r="EG543"/>
      <c r="EJ543"/>
      <c r="EK543"/>
      <c r="EL543"/>
      <c r="EM543"/>
      <c r="EN543"/>
      <c r="EO543"/>
      <c r="EP543"/>
      <c r="EQ543"/>
      <c r="ER543"/>
      <c r="ES543"/>
      <c r="ET543"/>
      <c r="EU543"/>
      <c r="EV543"/>
      <c r="EW543"/>
      <c r="EX543"/>
      <c r="EY543"/>
      <c r="EZ543"/>
      <c r="FA543"/>
      <c r="FB543"/>
      <c r="FC543"/>
      <c r="FD543"/>
      <c r="FE543"/>
      <c r="FF543"/>
      <c r="FG543"/>
      <c r="FH543"/>
      <c r="FK543"/>
      <c r="FL543"/>
      <c r="FM543"/>
      <c r="FN543"/>
      <c r="FO543"/>
      <c r="FP543"/>
      <c r="FQ543"/>
      <c r="FR543"/>
      <c r="FS543"/>
      <c r="FT543"/>
      <c r="FU543"/>
      <c r="FV543"/>
      <c r="FW543"/>
      <c r="FX543"/>
      <c r="FY543"/>
      <c r="FZ543"/>
      <c r="GA543"/>
      <c r="GB543"/>
      <c r="GC543"/>
      <c r="GD543"/>
    </row>
    <row r="544" spans="1:186" x14ac:dyDescent="0.15">
      <c r="A544" s="30" t="s">
        <v>142</v>
      </c>
      <c r="AG544"/>
      <c r="AH544"/>
      <c r="AJ544"/>
      <c r="AK544"/>
      <c r="AL544"/>
      <c r="AM544"/>
      <c r="AO544"/>
      <c r="AP544"/>
      <c r="AQ544"/>
      <c r="AR544"/>
      <c r="AS544"/>
      <c r="AT544"/>
      <c r="AU544"/>
      <c r="AV544"/>
      <c r="AW544"/>
      <c r="AX544"/>
      <c r="AY544"/>
      <c r="AZ544"/>
      <c r="BA544"/>
      <c r="BB544"/>
      <c r="BC544"/>
      <c r="BD544"/>
      <c r="BE544"/>
      <c r="BF544"/>
      <c r="BH544"/>
      <c r="BI544"/>
      <c r="BJ544"/>
      <c r="BK544"/>
      <c r="BL544"/>
      <c r="BM544"/>
      <c r="BN544"/>
      <c r="BP544"/>
      <c r="BQ544"/>
      <c r="BR544"/>
      <c r="BS544"/>
      <c r="BT544"/>
      <c r="BU544"/>
      <c r="BV544"/>
      <c r="BW544"/>
      <c r="BZ544"/>
      <c r="CA544"/>
      <c r="CB544"/>
      <c r="CC544"/>
      <c r="CD544"/>
      <c r="CF544"/>
      <c r="CG544"/>
      <c r="CH544"/>
      <c r="CI544"/>
      <c r="CJ544"/>
      <c r="CK544"/>
      <c r="CL544"/>
      <c r="CM544"/>
      <c r="CN544"/>
      <c r="CO544"/>
      <c r="CP544"/>
      <c r="CQ544"/>
      <c r="CR544"/>
      <c r="CS544"/>
      <c r="CT544"/>
      <c r="CU544"/>
      <c r="CV544"/>
      <c r="CW544"/>
      <c r="CX544"/>
      <c r="CY544"/>
      <c r="CZ544"/>
      <c r="DA544"/>
      <c r="DB544"/>
      <c r="DC544"/>
      <c r="DD544"/>
      <c r="DE544"/>
      <c r="DG544"/>
      <c r="DH544"/>
      <c r="DI544"/>
      <c r="DJ544"/>
      <c r="DK544"/>
      <c r="DL544"/>
      <c r="DM544"/>
      <c r="DN544"/>
      <c r="DO544"/>
      <c r="DP544"/>
      <c r="DQ544"/>
      <c r="DR544"/>
      <c r="DS544"/>
      <c r="DT544"/>
      <c r="DU544"/>
      <c r="DV544"/>
      <c r="DW544"/>
      <c r="DZ544"/>
      <c r="EA544"/>
      <c r="EB544"/>
      <c r="EC544"/>
      <c r="ED544"/>
      <c r="EE544"/>
      <c r="EF544"/>
      <c r="EG544"/>
      <c r="EJ544"/>
      <c r="EK544"/>
      <c r="EL544"/>
      <c r="EM544"/>
      <c r="EN544"/>
      <c r="EO544"/>
      <c r="EP544"/>
      <c r="EQ544"/>
      <c r="ER544"/>
      <c r="ES544"/>
      <c r="ET544"/>
      <c r="EU544"/>
      <c r="EV544"/>
      <c r="EW544"/>
      <c r="EX544"/>
      <c r="EY544"/>
      <c r="EZ544"/>
      <c r="FA544"/>
      <c r="FB544"/>
      <c r="FC544"/>
      <c r="FD544"/>
      <c r="FE544"/>
      <c r="FF544"/>
      <c r="FG544"/>
      <c r="FH544"/>
      <c r="FK544"/>
      <c r="FL544"/>
      <c r="FM544"/>
      <c r="FN544"/>
      <c r="FO544"/>
      <c r="FP544"/>
      <c r="FQ544"/>
      <c r="FR544"/>
      <c r="FS544"/>
      <c r="FT544"/>
      <c r="FU544"/>
      <c r="FV544"/>
      <c r="FW544"/>
      <c r="FX544"/>
      <c r="FY544"/>
      <c r="FZ544"/>
      <c r="GA544"/>
      <c r="GB544"/>
      <c r="GC544"/>
      <c r="GD544"/>
    </row>
    <row r="545" spans="1:186" x14ac:dyDescent="0.15">
      <c r="A545" s="30" t="s">
        <v>141</v>
      </c>
      <c r="AG545"/>
      <c r="AH545"/>
      <c r="AJ545"/>
      <c r="AK545"/>
      <c r="AL545"/>
      <c r="AM545"/>
      <c r="AO545"/>
      <c r="AP545"/>
      <c r="AQ545"/>
      <c r="AR545"/>
      <c r="AS545"/>
      <c r="AT545"/>
      <c r="AU545"/>
      <c r="AV545"/>
      <c r="AW545"/>
      <c r="AX545"/>
      <c r="AY545"/>
      <c r="AZ545"/>
      <c r="BA545"/>
      <c r="BB545"/>
      <c r="BC545"/>
      <c r="BD545"/>
      <c r="BE545"/>
      <c r="BF545"/>
      <c r="BH545"/>
      <c r="BI545"/>
      <c r="BJ545"/>
      <c r="BK545"/>
      <c r="BL545"/>
      <c r="BM545"/>
      <c r="BN545"/>
      <c r="BP545"/>
      <c r="BQ545"/>
      <c r="BR545"/>
      <c r="BS545"/>
      <c r="BT545"/>
      <c r="BU545"/>
      <c r="BV545"/>
      <c r="BW545"/>
      <c r="BZ545"/>
      <c r="CA545"/>
      <c r="CB545"/>
      <c r="CC545"/>
      <c r="CD545"/>
      <c r="CF545"/>
      <c r="CG545"/>
      <c r="CH545"/>
      <c r="CI545"/>
      <c r="CJ545"/>
      <c r="CK545"/>
      <c r="CL545"/>
      <c r="CM545"/>
      <c r="CN545"/>
      <c r="CO545"/>
      <c r="CP545"/>
      <c r="CQ545"/>
      <c r="CR545"/>
      <c r="CS545"/>
      <c r="CT545"/>
      <c r="CU545"/>
      <c r="CV545"/>
      <c r="CW545"/>
      <c r="CX545"/>
      <c r="CY545"/>
      <c r="CZ545"/>
      <c r="DA545"/>
      <c r="DB545"/>
      <c r="DC545"/>
      <c r="DD545"/>
      <c r="DE545"/>
      <c r="DG545"/>
      <c r="DH545"/>
      <c r="DI545"/>
      <c r="DJ545"/>
      <c r="DK545"/>
      <c r="DL545"/>
      <c r="DM545"/>
      <c r="DN545"/>
      <c r="DO545"/>
      <c r="DP545"/>
      <c r="DQ545"/>
      <c r="DR545"/>
      <c r="DS545"/>
      <c r="DT545"/>
      <c r="DU545"/>
      <c r="DV545"/>
      <c r="DW545"/>
      <c r="DZ545"/>
      <c r="EA545"/>
      <c r="EB545"/>
      <c r="EC545"/>
      <c r="ED545"/>
      <c r="EE545"/>
      <c r="EF545"/>
      <c r="EG545"/>
      <c r="EJ545"/>
      <c r="EK545"/>
      <c r="EL545"/>
      <c r="EM545"/>
      <c r="EN545"/>
      <c r="EO545"/>
      <c r="EP545"/>
      <c r="EQ545"/>
      <c r="ER545"/>
      <c r="ES545"/>
      <c r="ET545"/>
      <c r="EU545"/>
      <c r="EV545"/>
      <c r="EW545"/>
      <c r="EX545"/>
      <c r="EY545"/>
      <c r="EZ545"/>
      <c r="FA545"/>
      <c r="FB545"/>
      <c r="FC545"/>
      <c r="FD545"/>
      <c r="FE545"/>
      <c r="FF545"/>
      <c r="FG545"/>
      <c r="FH545"/>
      <c r="FK545"/>
      <c r="FL545"/>
      <c r="FM545"/>
      <c r="FN545"/>
      <c r="FO545"/>
      <c r="FP545"/>
      <c r="FQ545"/>
      <c r="FR545"/>
      <c r="FS545"/>
      <c r="FT545"/>
      <c r="FU545"/>
      <c r="FV545"/>
      <c r="FW545"/>
      <c r="FX545"/>
      <c r="FY545"/>
      <c r="FZ545"/>
      <c r="GA545"/>
      <c r="GB545"/>
      <c r="GC545"/>
      <c r="GD545"/>
    </row>
    <row r="546" spans="1:186" x14ac:dyDescent="0.15">
      <c r="A546" s="30" t="s">
        <v>140</v>
      </c>
      <c r="AG546"/>
      <c r="AH546"/>
      <c r="AJ546"/>
      <c r="AK546"/>
      <c r="AL546"/>
      <c r="AM546"/>
      <c r="AO546"/>
      <c r="AP546"/>
      <c r="AQ546"/>
      <c r="AR546"/>
      <c r="AS546"/>
      <c r="AT546"/>
      <c r="AU546"/>
      <c r="AV546"/>
      <c r="AW546"/>
      <c r="AX546"/>
      <c r="AY546"/>
      <c r="AZ546"/>
      <c r="BA546"/>
      <c r="BB546"/>
      <c r="BC546"/>
      <c r="BD546"/>
      <c r="BE546"/>
      <c r="BF546"/>
      <c r="BH546"/>
      <c r="BI546"/>
      <c r="BJ546"/>
      <c r="BK546"/>
      <c r="BL546"/>
      <c r="BM546"/>
      <c r="BN546"/>
      <c r="BP546"/>
      <c r="BQ546"/>
      <c r="BR546"/>
      <c r="BS546"/>
      <c r="BT546"/>
      <c r="BU546"/>
      <c r="BV546"/>
      <c r="BW546"/>
      <c r="BZ546"/>
      <c r="CA546"/>
      <c r="CB546"/>
      <c r="CC546"/>
      <c r="CD546"/>
      <c r="CF546"/>
      <c r="CG546"/>
      <c r="CH546"/>
      <c r="CI546"/>
      <c r="CJ546"/>
      <c r="CK546"/>
      <c r="CL546"/>
      <c r="CM546"/>
      <c r="CN546"/>
      <c r="CO546"/>
      <c r="CP546"/>
      <c r="CQ546"/>
      <c r="CR546"/>
      <c r="CS546"/>
      <c r="CT546"/>
      <c r="CU546"/>
      <c r="CV546"/>
      <c r="CW546"/>
      <c r="CX546"/>
      <c r="CY546"/>
      <c r="CZ546"/>
      <c r="DA546"/>
      <c r="DB546"/>
      <c r="DC546"/>
      <c r="DD546"/>
      <c r="DE546"/>
      <c r="DG546"/>
      <c r="DH546"/>
      <c r="DI546"/>
      <c r="DJ546"/>
      <c r="DK546"/>
      <c r="DL546"/>
      <c r="DM546"/>
      <c r="DN546"/>
      <c r="DO546"/>
      <c r="DP546"/>
      <c r="DQ546"/>
      <c r="DR546"/>
      <c r="DS546"/>
      <c r="DT546"/>
      <c r="DU546"/>
      <c r="DV546"/>
      <c r="DW546"/>
      <c r="DZ546"/>
      <c r="EA546"/>
      <c r="EB546"/>
      <c r="EC546"/>
      <c r="ED546"/>
      <c r="EE546"/>
      <c r="EF546"/>
      <c r="EG546"/>
      <c r="EJ546"/>
      <c r="EK546"/>
      <c r="EL546"/>
      <c r="EM546"/>
      <c r="EN546"/>
      <c r="EO546"/>
      <c r="EP546"/>
      <c r="EQ546"/>
      <c r="ER546"/>
      <c r="ES546"/>
      <c r="ET546"/>
      <c r="EU546"/>
      <c r="EV546"/>
      <c r="EW546"/>
      <c r="EX546"/>
      <c r="EY546"/>
      <c r="EZ546"/>
      <c r="FA546"/>
      <c r="FB546"/>
      <c r="FC546"/>
      <c r="FD546"/>
      <c r="FE546"/>
      <c r="FF546"/>
      <c r="FG546"/>
      <c r="FH546"/>
      <c r="FK546"/>
      <c r="FL546"/>
      <c r="FM546"/>
      <c r="FN546"/>
      <c r="FO546"/>
      <c r="FP546"/>
      <c r="FQ546"/>
      <c r="FR546"/>
      <c r="FS546"/>
      <c r="FT546"/>
      <c r="FU546"/>
      <c r="FV546"/>
      <c r="FW546"/>
      <c r="FX546"/>
      <c r="FY546"/>
      <c r="FZ546"/>
      <c r="GA546"/>
      <c r="GB546"/>
      <c r="GC546"/>
      <c r="GD546"/>
    </row>
    <row r="547" spans="1:186" x14ac:dyDescent="0.15">
      <c r="A547" s="30" t="s">
        <v>139</v>
      </c>
      <c r="AG547"/>
      <c r="AH547"/>
      <c r="AJ547"/>
      <c r="AK547"/>
      <c r="AL547"/>
      <c r="AM547"/>
      <c r="AO547"/>
      <c r="AP547"/>
      <c r="AQ547"/>
      <c r="AR547"/>
      <c r="AS547"/>
      <c r="AT547"/>
      <c r="AU547"/>
      <c r="AV547"/>
      <c r="AW547"/>
      <c r="AX547"/>
      <c r="AY547"/>
      <c r="AZ547"/>
      <c r="BA547"/>
      <c r="BB547"/>
      <c r="BC547"/>
      <c r="BD547"/>
      <c r="BE547"/>
      <c r="BF547"/>
      <c r="BH547"/>
      <c r="BI547"/>
      <c r="BJ547"/>
      <c r="BK547"/>
      <c r="BL547"/>
      <c r="BM547"/>
      <c r="BN547"/>
      <c r="BP547"/>
      <c r="BQ547"/>
      <c r="BR547"/>
      <c r="BS547"/>
      <c r="BT547"/>
      <c r="BU547"/>
      <c r="BV547"/>
      <c r="BW547"/>
      <c r="BZ547"/>
      <c r="CA547"/>
      <c r="CB547"/>
      <c r="CC547"/>
      <c r="CD547"/>
      <c r="CF547"/>
      <c r="CG547"/>
      <c r="CH547"/>
      <c r="CI547"/>
      <c r="CJ547"/>
      <c r="CK547"/>
      <c r="CL547"/>
      <c r="CM547"/>
      <c r="CN547"/>
      <c r="CO547"/>
      <c r="CP547"/>
      <c r="CQ547"/>
      <c r="CR547"/>
      <c r="CS547"/>
      <c r="CT547"/>
      <c r="CU547"/>
      <c r="CV547"/>
      <c r="CW547"/>
      <c r="CX547"/>
      <c r="CY547"/>
      <c r="CZ547"/>
      <c r="DA547"/>
      <c r="DB547"/>
      <c r="DC547"/>
      <c r="DD547"/>
      <c r="DE547"/>
      <c r="DG547"/>
      <c r="DH547"/>
      <c r="DI547"/>
      <c r="DJ547"/>
      <c r="DK547"/>
      <c r="DL547"/>
      <c r="DM547"/>
      <c r="DN547"/>
      <c r="DO547"/>
      <c r="DP547"/>
      <c r="DQ547"/>
      <c r="DR547"/>
      <c r="DS547"/>
      <c r="DT547"/>
      <c r="DU547"/>
      <c r="DV547"/>
      <c r="DW547"/>
      <c r="DZ547"/>
      <c r="EA547"/>
      <c r="EB547"/>
      <c r="EC547"/>
      <c r="ED547"/>
      <c r="EE547"/>
      <c r="EF547"/>
      <c r="EG547"/>
      <c r="EJ547"/>
      <c r="EK547"/>
      <c r="EL547"/>
      <c r="EM547"/>
      <c r="EN547"/>
      <c r="EO547"/>
      <c r="EP547"/>
      <c r="EQ547"/>
      <c r="ER547"/>
      <c r="ES547"/>
      <c r="ET547"/>
      <c r="EU547"/>
      <c r="EV547"/>
      <c r="EW547"/>
      <c r="EX547"/>
      <c r="EY547"/>
      <c r="EZ547"/>
      <c r="FA547"/>
      <c r="FB547"/>
      <c r="FC547"/>
      <c r="FD547"/>
      <c r="FE547"/>
      <c r="FF547"/>
      <c r="FG547"/>
      <c r="FH547"/>
      <c r="FK547"/>
      <c r="FL547"/>
      <c r="FM547"/>
      <c r="FN547"/>
      <c r="FO547"/>
      <c r="FP547"/>
      <c r="FQ547"/>
      <c r="FR547"/>
      <c r="FS547"/>
      <c r="FT547"/>
      <c r="FU547"/>
      <c r="FV547"/>
      <c r="FW547"/>
      <c r="FX547"/>
      <c r="FY547"/>
      <c r="FZ547"/>
      <c r="GA547"/>
      <c r="GB547"/>
      <c r="GC547"/>
      <c r="GD547"/>
    </row>
    <row r="548" spans="1:186" x14ac:dyDescent="0.15">
      <c r="A548" s="30" t="s">
        <v>138</v>
      </c>
      <c r="AG548"/>
      <c r="AH548"/>
      <c r="AJ548"/>
      <c r="AK548"/>
      <c r="AL548"/>
      <c r="AM548"/>
      <c r="AO548"/>
      <c r="AP548"/>
      <c r="AQ548"/>
      <c r="AR548"/>
      <c r="AS548"/>
      <c r="AT548"/>
      <c r="AU548"/>
      <c r="AV548"/>
      <c r="AW548"/>
      <c r="AX548"/>
      <c r="AY548"/>
      <c r="AZ548"/>
      <c r="BA548"/>
      <c r="BB548"/>
      <c r="BC548"/>
      <c r="BD548"/>
      <c r="BE548"/>
      <c r="BF548"/>
      <c r="BH548"/>
      <c r="BI548"/>
      <c r="BJ548"/>
      <c r="BK548"/>
      <c r="BL548"/>
      <c r="BM548"/>
      <c r="BN548"/>
      <c r="BP548"/>
      <c r="BQ548"/>
      <c r="BR548"/>
      <c r="BS548"/>
      <c r="BT548"/>
      <c r="BU548"/>
      <c r="BV548"/>
      <c r="BW548"/>
      <c r="BZ548"/>
      <c r="CA548"/>
      <c r="CB548"/>
      <c r="CC548"/>
      <c r="CD548"/>
      <c r="CF548"/>
      <c r="CG548"/>
      <c r="CH548"/>
      <c r="CI548"/>
      <c r="CJ548"/>
      <c r="CK548"/>
      <c r="CL548"/>
      <c r="CM548"/>
      <c r="CN548"/>
      <c r="CO548"/>
      <c r="CP548"/>
      <c r="CQ548"/>
      <c r="CR548"/>
      <c r="CS548"/>
      <c r="CT548"/>
      <c r="CU548"/>
      <c r="CV548"/>
      <c r="CW548"/>
      <c r="CX548"/>
      <c r="CY548"/>
      <c r="CZ548"/>
      <c r="DA548"/>
      <c r="DB548"/>
      <c r="DC548"/>
      <c r="DD548"/>
      <c r="DE548"/>
      <c r="DG548"/>
      <c r="DH548"/>
      <c r="DI548"/>
      <c r="DJ548"/>
      <c r="DK548"/>
      <c r="DL548"/>
      <c r="DM548"/>
      <c r="DN548"/>
      <c r="DO548"/>
      <c r="DP548"/>
      <c r="DQ548"/>
      <c r="DR548"/>
      <c r="DS548"/>
      <c r="DT548"/>
      <c r="DU548"/>
      <c r="DV548"/>
      <c r="DW548"/>
      <c r="DZ548"/>
      <c r="EA548"/>
      <c r="EB548"/>
      <c r="EC548"/>
      <c r="ED548"/>
      <c r="EE548"/>
      <c r="EF548"/>
      <c r="EG548"/>
      <c r="EJ548"/>
      <c r="EK548"/>
      <c r="EL548"/>
      <c r="EM548"/>
      <c r="EN548"/>
      <c r="EO548"/>
      <c r="EP548"/>
      <c r="EQ548"/>
      <c r="ER548"/>
      <c r="ES548"/>
      <c r="ET548"/>
      <c r="EU548"/>
      <c r="EV548"/>
      <c r="EW548"/>
      <c r="EX548"/>
      <c r="EY548"/>
      <c r="EZ548"/>
      <c r="FA548"/>
      <c r="FB548"/>
      <c r="FC548"/>
      <c r="FD548"/>
      <c r="FE548"/>
      <c r="FF548"/>
      <c r="FG548"/>
      <c r="FH548"/>
      <c r="FK548"/>
      <c r="FL548"/>
      <c r="FM548"/>
      <c r="FN548"/>
      <c r="FO548"/>
      <c r="FP548"/>
      <c r="FQ548"/>
      <c r="FR548"/>
      <c r="FS548"/>
      <c r="FT548"/>
      <c r="FU548"/>
      <c r="FV548"/>
      <c r="FW548"/>
      <c r="FX548"/>
      <c r="FY548"/>
      <c r="FZ548"/>
      <c r="GA548"/>
      <c r="GB548"/>
      <c r="GC548"/>
      <c r="GD548"/>
    </row>
    <row r="549" spans="1:186" x14ac:dyDescent="0.15">
      <c r="A549" s="30" t="s">
        <v>137</v>
      </c>
      <c r="AG549"/>
      <c r="AH549"/>
      <c r="AJ549"/>
      <c r="AK549"/>
      <c r="AL549"/>
      <c r="AM549"/>
      <c r="AO549"/>
      <c r="AP549"/>
      <c r="AQ549"/>
      <c r="AR549"/>
      <c r="AS549"/>
      <c r="AT549"/>
      <c r="AU549"/>
      <c r="AV549"/>
      <c r="AW549"/>
      <c r="AX549"/>
      <c r="AY549"/>
      <c r="AZ549"/>
      <c r="BA549"/>
      <c r="BB549"/>
      <c r="BC549"/>
      <c r="BD549"/>
      <c r="BE549"/>
      <c r="BF549"/>
      <c r="BH549"/>
      <c r="BI549"/>
      <c r="BJ549"/>
      <c r="BK549"/>
      <c r="BL549"/>
      <c r="BM549"/>
      <c r="BN549"/>
      <c r="BP549"/>
      <c r="BQ549"/>
      <c r="BR549"/>
      <c r="BS549"/>
      <c r="BT549"/>
      <c r="BU549"/>
      <c r="BV549"/>
      <c r="BW549"/>
      <c r="BZ549"/>
      <c r="CA549"/>
      <c r="CB549"/>
      <c r="CC549"/>
      <c r="CD549"/>
      <c r="CF549"/>
      <c r="CG549"/>
      <c r="CH549"/>
      <c r="CI549"/>
      <c r="CJ549"/>
      <c r="CK549"/>
      <c r="CL549"/>
      <c r="CM549"/>
      <c r="CN549"/>
      <c r="CO549"/>
      <c r="CP549"/>
      <c r="CQ549"/>
      <c r="CR549"/>
      <c r="CS549"/>
      <c r="CT549"/>
      <c r="CU549"/>
      <c r="CV549"/>
      <c r="CW549"/>
      <c r="CX549"/>
      <c r="CY549"/>
      <c r="CZ549"/>
      <c r="DA549"/>
      <c r="DB549"/>
      <c r="DC549"/>
      <c r="DD549"/>
      <c r="DE549"/>
      <c r="DG549"/>
      <c r="DH549"/>
      <c r="DI549"/>
      <c r="DJ549"/>
      <c r="DK549"/>
      <c r="DL549"/>
      <c r="DM549"/>
      <c r="DN549"/>
      <c r="DO549"/>
      <c r="DP549"/>
      <c r="DQ549"/>
      <c r="DR549"/>
      <c r="DS549"/>
      <c r="DT549"/>
      <c r="DU549"/>
      <c r="DV549"/>
      <c r="DW549"/>
      <c r="DZ549"/>
      <c r="EA549"/>
      <c r="EB549"/>
      <c r="EC549"/>
      <c r="ED549"/>
      <c r="EE549"/>
      <c r="EF549"/>
      <c r="EG549"/>
      <c r="EJ549"/>
      <c r="EK549"/>
      <c r="EL549"/>
      <c r="EM549"/>
      <c r="EN549"/>
      <c r="EO549"/>
      <c r="EP549"/>
      <c r="EQ549"/>
      <c r="ER549"/>
      <c r="ES549"/>
      <c r="ET549"/>
      <c r="EU549"/>
      <c r="EV549"/>
      <c r="EW549"/>
      <c r="EX549"/>
      <c r="EY549"/>
      <c r="EZ549"/>
      <c r="FA549"/>
      <c r="FB549"/>
      <c r="FC549"/>
      <c r="FD549"/>
      <c r="FE549"/>
      <c r="FF549"/>
      <c r="FG549"/>
      <c r="FH549"/>
      <c r="FK549"/>
      <c r="FL549"/>
      <c r="FM549"/>
      <c r="FN549"/>
      <c r="FO549"/>
      <c r="FP549"/>
      <c r="FQ549"/>
      <c r="FR549"/>
      <c r="FS549"/>
      <c r="FT549"/>
      <c r="FU549"/>
      <c r="FV549"/>
      <c r="FW549"/>
      <c r="FX549"/>
      <c r="FY549"/>
      <c r="FZ549"/>
      <c r="GA549"/>
      <c r="GB549"/>
      <c r="GC549"/>
      <c r="GD549"/>
    </row>
    <row r="550" spans="1:186" x14ac:dyDescent="0.15">
      <c r="AG550"/>
      <c r="AH550"/>
      <c r="AJ550"/>
      <c r="AK550"/>
      <c r="AL550"/>
      <c r="AM550"/>
      <c r="AO550"/>
      <c r="AP550"/>
      <c r="AQ550"/>
      <c r="AR550"/>
      <c r="AS550"/>
      <c r="AT550"/>
      <c r="AU550"/>
      <c r="AV550"/>
      <c r="AW550"/>
      <c r="AX550"/>
      <c r="AY550"/>
      <c r="AZ550"/>
      <c r="BA550"/>
      <c r="BB550"/>
      <c r="BC550"/>
      <c r="BD550"/>
      <c r="BE550"/>
      <c r="BF550"/>
      <c r="BH550"/>
      <c r="BI550"/>
      <c r="BJ550"/>
      <c r="BK550"/>
      <c r="BL550"/>
      <c r="BM550"/>
      <c r="BN550"/>
      <c r="BP550"/>
      <c r="BQ550"/>
      <c r="BR550"/>
      <c r="BS550"/>
      <c r="BT550"/>
      <c r="BU550"/>
      <c r="BV550"/>
      <c r="BW550"/>
      <c r="BZ550"/>
      <c r="CA550"/>
      <c r="CB550"/>
      <c r="CC550"/>
      <c r="CD550"/>
      <c r="CF550"/>
      <c r="CG550"/>
      <c r="CH550"/>
      <c r="CI550"/>
      <c r="CJ550"/>
      <c r="CK550"/>
      <c r="CL550"/>
      <c r="CM550"/>
      <c r="CN550"/>
      <c r="CO550"/>
      <c r="CP550"/>
      <c r="CQ550"/>
      <c r="CR550"/>
      <c r="CS550"/>
      <c r="CT550"/>
      <c r="CU550"/>
      <c r="CV550"/>
      <c r="CW550"/>
      <c r="CX550"/>
      <c r="CY550"/>
      <c r="CZ550"/>
      <c r="DA550"/>
      <c r="DB550"/>
      <c r="DC550"/>
      <c r="DD550"/>
      <c r="DE550"/>
      <c r="DG550"/>
      <c r="DH550"/>
      <c r="DI550"/>
      <c r="DJ550"/>
      <c r="DK550"/>
      <c r="DL550"/>
      <c r="DM550"/>
      <c r="DN550"/>
      <c r="DO550"/>
      <c r="DP550"/>
      <c r="DQ550"/>
      <c r="DR550"/>
      <c r="DS550"/>
      <c r="DT550"/>
      <c r="DU550"/>
      <c r="DV550"/>
      <c r="DW550"/>
      <c r="DZ550"/>
      <c r="EA550"/>
      <c r="EB550"/>
      <c r="EC550"/>
      <c r="ED550"/>
      <c r="EE550"/>
      <c r="EF550"/>
      <c r="EG550"/>
      <c r="EJ550"/>
      <c r="EK550"/>
      <c r="EL550"/>
      <c r="EM550"/>
      <c r="EN550"/>
      <c r="EO550"/>
      <c r="EP550"/>
      <c r="EQ550"/>
      <c r="ER550"/>
      <c r="ES550"/>
      <c r="ET550"/>
      <c r="EU550"/>
      <c r="EV550"/>
      <c r="EW550"/>
      <c r="EX550"/>
      <c r="EY550"/>
      <c r="EZ550"/>
      <c r="FA550"/>
      <c r="FB550"/>
      <c r="FC550"/>
      <c r="FD550"/>
      <c r="FE550"/>
      <c r="FF550"/>
      <c r="FG550"/>
      <c r="FH550"/>
      <c r="FK550"/>
      <c r="FL550"/>
      <c r="FM550"/>
      <c r="FN550"/>
      <c r="FO550"/>
      <c r="FP550"/>
      <c r="FQ550"/>
      <c r="FR550"/>
      <c r="FS550"/>
      <c r="FT550"/>
      <c r="FU550"/>
      <c r="FV550"/>
      <c r="FW550"/>
      <c r="FX550"/>
      <c r="FY550"/>
      <c r="FZ550"/>
      <c r="GA550"/>
      <c r="GB550"/>
      <c r="GC550"/>
      <c r="GD550"/>
    </row>
    <row r="551" spans="1:186" x14ac:dyDescent="0.15">
      <c r="AG551"/>
      <c r="AH551"/>
      <c r="AJ551"/>
      <c r="AK551"/>
      <c r="AL551"/>
      <c r="AM551"/>
      <c r="AO551"/>
      <c r="AP551"/>
      <c r="AQ551"/>
      <c r="AR551"/>
      <c r="AS551"/>
      <c r="AT551"/>
      <c r="AU551"/>
      <c r="AV551"/>
      <c r="AW551"/>
      <c r="AX551"/>
      <c r="AY551"/>
      <c r="AZ551"/>
      <c r="BA551"/>
      <c r="BB551"/>
      <c r="BC551"/>
      <c r="BD551"/>
      <c r="BE551"/>
      <c r="BF551"/>
      <c r="BH551"/>
      <c r="BI551"/>
      <c r="BJ551"/>
      <c r="BK551"/>
      <c r="BL551"/>
      <c r="BM551"/>
      <c r="BN551"/>
      <c r="BP551"/>
      <c r="BQ551"/>
      <c r="BR551"/>
      <c r="BS551"/>
      <c r="BT551"/>
      <c r="BU551"/>
      <c r="BV551"/>
      <c r="BW551"/>
      <c r="BZ551"/>
      <c r="CA551"/>
      <c r="CB551"/>
      <c r="CC551"/>
      <c r="CD551"/>
      <c r="CF551"/>
      <c r="CG551"/>
      <c r="CH551"/>
      <c r="CI551"/>
      <c r="CJ551"/>
      <c r="CK551"/>
      <c r="CL551"/>
      <c r="CM551"/>
      <c r="CN551"/>
      <c r="CO551"/>
      <c r="CP551"/>
      <c r="CQ551"/>
      <c r="CR551"/>
      <c r="CS551"/>
      <c r="CT551"/>
      <c r="CU551"/>
      <c r="CV551"/>
      <c r="CW551"/>
      <c r="CX551"/>
      <c r="CY551"/>
      <c r="CZ551"/>
      <c r="DA551"/>
      <c r="DB551"/>
      <c r="DC551"/>
      <c r="DD551"/>
      <c r="DE551"/>
      <c r="DG551"/>
      <c r="DH551"/>
      <c r="DI551"/>
      <c r="DJ551"/>
      <c r="DK551"/>
      <c r="DL551"/>
      <c r="DM551"/>
      <c r="DN551"/>
      <c r="DO551"/>
      <c r="DP551"/>
      <c r="DQ551"/>
      <c r="DR551"/>
      <c r="DS551"/>
      <c r="DT551"/>
      <c r="DU551"/>
      <c r="DV551"/>
      <c r="DW551"/>
      <c r="DZ551"/>
      <c r="EA551"/>
      <c r="EB551"/>
      <c r="EC551"/>
      <c r="ED551"/>
      <c r="EE551"/>
      <c r="EF551"/>
      <c r="EG551"/>
      <c r="EJ551"/>
      <c r="EK551"/>
      <c r="EL551"/>
      <c r="EM551"/>
      <c r="EN551"/>
      <c r="EO551"/>
      <c r="EP551"/>
      <c r="EQ551"/>
      <c r="ER551"/>
      <c r="ES551"/>
      <c r="ET551"/>
      <c r="EU551"/>
      <c r="EV551"/>
      <c r="EW551"/>
      <c r="EX551"/>
      <c r="EY551"/>
      <c r="EZ551"/>
      <c r="FA551"/>
      <c r="FB551"/>
      <c r="FC551"/>
      <c r="FD551"/>
      <c r="FE551"/>
      <c r="FF551"/>
      <c r="FG551"/>
      <c r="FH551"/>
      <c r="FK551"/>
      <c r="FL551"/>
      <c r="FM551"/>
      <c r="FN551"/>
      <c r="FO551"/>
      <c r="FP551"/>
      <c r="FQ551"/>
      <c r="FR551"/>
      <c r="FS551"/>
      <c r="FT551"/>
      <c r="FU551"/>
      <c r="FV551"/>
      <c r="FW551"/>
      <c r="FX551"/>
      <c r="FY551"/>
      <c r="FZ551"/>
      <c r="GA551"/>
      <c r="GB551"/>
      <c r="GC551"/>
      <c r="GD551"/>
    </row>
    <row r="552" spans="1:186" x14ac:dyDescent="0.15">
      <c r="AG552"/>
      <c r="AH552"/>
      <c r="AJ552"/>
      <c r="AK552"/>
      <c r="AL552"/>
      <c r="AM552"/>
      <c r="AO552"/>
      <c r="AP552"/>
      <c r="AQ552"/>
      <c r="AR552"/>
      <c r="AS552"/>
      <c r="AT552"/>
      <c r="AU552"/>
      <c r="AV552"/>
      <c r="AW552"/>
      <c r="AX552"/>
      <c r="AY552"/>
      <c r="AZ552"/>
      <c r="BA552"/>
      <c r="BB552"/>
      <c r="BC552"/>
      <c r="BD552"/>
      <c r="BE552"/>
      <c r="BF552"/>
      <c r="BH552"/>
      <c r="BI552"/>
      <c r="BJ552"/>
      <c r="BK552"/>
      <c r="BL552"/>
      <c r="BM552"/>
      <c r="BN552"/>
      <c r="BP552"/>
      <c r="BQ552"/>
      <c r="BR552"/>
      <c r="BS552"/>
      <c r="BT552"/>
      <c r="BU552"/>
      <c r="BV552"/>
      <c r="BW552"/>
      <c r="BZ552"/>
      <c r="CA552"/>
      <c r="CB552"/>
      <c r="CC552"/>
      <c r="CD552"/>
      <c r="CF552"/>
      <c r="CG552"/>
      <c r="CH552"/>
      <c r="CI552"/>
      <c r="CJ552"/>
      <c r="CK552"/>
      <c r="CL552"/>
      <c r="CM552"/>
      <c r="CN552"/>
      <c r="CO552"/>
      <c r="CP552"/>
      <c r="CQ552"/>
      <c r="CR552"/>
      <c r="CS552"/>
      <c r="CT552"/>
      <c r="CU552"/>
      <c r="CV552"/>
      <c r="CW552"/>
      <c r="CX552"/>
      <c r="CY552"/>
      <c r="CZ552"/>
      <c r="DA552"/>
      <c r="DB552"/>
      <c r="DC552"/>
      <c r="DD552"/>
      <c r="DE552"/>
      <c r="DG552"/>
      <c r="DH552"/>
      <c r="DI552"/>
      <c r="DJ552"/>
      <c r="DK552"/>
      <c r="DL552"/>
      <c r="DM552"/>
      <c r="DN552"/>
      <c r="DO552"/>
      <c r="DP552"/>
      <c r="DQ552"/>
      <c r="DR552"/>
      <c r="DS552"/>
      <c r="DT552"/>
      <c r="DU552"/>
      <c r="DV552"/>
      <c r="DW552"/>
      <c r="DZ552"/>
      <c r="EA552"/>
      <c r="EB552"/>
      <c r="EC552"/>
      <c r="ED552"/>
      <c r="EE552"/>
      <c r="EF552"/>
      <c r="EG552"/>
      <c r="EJ552"/>
      <c r="EK552"/>
      <c r="EL552"/>
      <c r="EM552"/>
      <c r="EN552"/>
      <c r="EO552"/>
      <c r="EP552"/>
      <c r="EQ552"/>
      <c r="ER552"/>
      <c r="ES552"/>
      <c r="ET552"/>
      <c r="EU552"/>
      <c r="EV552"/>
      <c r="EW552"/>
      <c r="EX552"/>
      <c r="EY552"/>
      <c r="EZ552"/>
      <c r="FA552"/>
      <c r="FB552"/>
      <c r="FC552"/>
      <c r="FD552"/>
      <c r="FE552"/>
      <c r="FF552"/>
      <c r="FG552"/>
      <c r="FH552"/>
      <c r="FK552"/>
      <c r="FL552"/>
      <c r="FM552"/>
      <c r="FN552"/>
      <c r="FO552"/>
      <c r="FP552"/>
      <c r="FQ552"/>
      <c r="FR552"/>
      <c r="FS552"/>
      <c r="FT552"/>
      <c r="FU552"/>
      <c r="FV552"/>
      <c r="FW552"/>
      <c r="FX552"/>
      <c r="FY552"/>
      <c r="FZ552"/>
      <c r="GA552"/>
      <c r="GB552"/>
      <c r="GC552"/>
      <c r="GD552"/>
    </row>
    <row r="553" spans="1:186" x14ac:dyDescent="0.15">
      <c r="AG553"/>
      <c r="AH553"/>
      <c r="AJ553"/>
      <c r="AK553"/>
      <c r="AL553"/>
      <c r="AM553"/>
      <c r="AO553"/>
      <c r="AP553"/>
      <c r="AQ553"/>
      <c r="AR553"/>
      <c r="AS553"/>
      <c r="AT553"/>
      <c r="AU553"/>
      <c r="AV553"/>
      <c r="AW553"/>
      <c r="AX553"/>
      <c r="AY553"/>
      <c r="AZ553"/>
      <c r="BA553"/>
      <c r="BB553"/>
      <c r="BC553"/>
      <c r="BD553"/>
      <c r="BE553"/>
      <c r="BF553"/>
      <c r="BH553"/>
      <c r="BI553"/>
      <c r="BJ553"/>
      <c r="BK553"/>
      <c r="BL553"/>
      <c r="BM553"/>
      <c r="BN553"/>
      <c r="BP553"/>
      <c r="BQ553"/>
      <c r="BR553"/>
      <c r="BS553"/>
      <c r="BT553"/>
      <c r="BU553"/>
      <c r="BV553"/>
      <c r="BW553"/>
      <c r="BZ553"/>
      <c r="CA553"/>
      <c r="CB553"/>
      <c r="CC553"/>
      <c r="CD553"/>
      <c r="CF553"/>
      <c r="CG553"/>
      <c r="CH553"/>
      <c r="CI553"/>
      <c r="CJ553"/>
      <c r="CK553"/>
      <c r="CL553"/>
      <c r="CM553"/>
      <c r="CN553"/>
      <c r="CO553"/>
      <c r="CP553"/>
      <c r="CQ553"/>
      <c r="CR553"/>
      <c r="CS553"/>
      <c r="CT553"/>
      <c r="CU553"/>
      <c r="CV553"/>
      <c r="CW553"/>
      <c r="CX553"/>
      <c r="CY553"/>
      <c r="CZ553"/>
      <c r="DA553"/>
      <c r="DB553"/>
      <c r="DC553"/>
      <c r="DD553"/>
      <c r="DE553"/>
      <c r="DG553"/>
      <c r="DH553"/>
      <c r="DI553"/>
      <c r="DJ553"/>
      <c r="DK553"/>
      <c r="DL553"/>
      <c r="DM553"/>
      <c r="DN553"/>
      <c r="DO553"/>
      <c r="DP553"/>
      <c r="DQ553"/>
      <c r="DR553"/>
      <c r="DS553"/>
      <c r="DT553"/>
      <c r="DU553"/>
      <c r="DV553"/>
      <c r="DW553"/>
      <c r="DZ553"/>
      <c r="EA553"/>
      <c r="EB553"/>
      <c r="EC553"/>
      <c r="ED553"/>
      <c r="EE553"/>
      <c r="EF553"/>
      <c r="EG553"/>
      <c r="EJ553"/>
      <c r="EK553"/>
      <c r="EL553"/>
      <c r="EM553"/>
      <c r="EN553"/>
      <c r="EO553"/>
      <c r="EP553"/>
      <c r="EQ553"/>
      <c r="ER553"/>
      <c r="ES553"/>
      <c r="ET553"/>
      <c r="EU553"/>
      <c r="EV553"/>
      <c r="EW553"/>
      <c r="EX553"/>
      <c r="EY553"/>
      <c r="EZ553"/>
      <c r="FA553"/>
      <c r="FB553"/>
      <c r="FC553"/>
      <c r="FD553"/>
      <c r="FE553"/>
      <c r="FF553"/>
      <c r="FG553"/>
      <c r="FH553"/>
      <c r="FK553"/>
      <c r="FL553"/>
      <c r="FM553"/>
      <c r="FN553"/>
      <c r="FO553"/>
      <c r="FP553"/>
      <c r="FQ553"/>
      <c r="FR553"/>
      <c r="FS553"/>
      <c r="FT553"/>
      <c r="FU553"/>
      <c r="FV553"/>
      <c r="FW553"/>
      <c r="FX553"/>
      <c r="FY553"/>
      <c r="FZ553"/>
      <c r="GA553"/>
      <c r="GB553"/>
      <c r="GC553"/>
      <c r="GD553"/>
    </row>
    <row r="554" spans="1:186" x14ac:dyDescent="0.15">
      <c r="AG554"/>
      <c r="AH554"/>
      <c r="AJ554"/>
      <c r="AK554"/>
      <c r="AL554"/>
      <c r="AM554"/>
      <c r="AO554"/>
      <c r="AP554"/>
      <c r="AQ554"/>
      <c r="AR554"/>
      <c r="AS554"/>
      <c r="AT554"/>
      <c r="AU554"/>
      <c r="AV554"/>
      <c r="AW554"/>
      <c r="AX554"/>
      <c r="AY554"/>
      <c r="AZ554"/>
      <c r="BA554"/>
      <c r="BB554"/>
      <c r="BC554"/>
      <c r="BD554"/>
      <c r="BE554"/>
      <c r="BF554"/>
      <c r="BH554"/>
      <c r="BI554"/>
      <c r="BJ554"/>
      <c r="BK554"/>
      <c r="BL554"/>
      <c r="BM554"/>
      <c r="BN554"/>
      <c r="BP554"/>
      <c r="BQ554"/>
      <c r="BR554"/>
      <c r="BS554"/>
      <c r="BT554"/>
      <c r="BU554"/>
      <c r="BV554"/>
      <c r="BW554"/>
      <c r="BZ554"/>
      <c r="CA554"/>
      <c r="CB554"/>
      <c r="CC554"/>
      <c r="CD554"/>
      <c r="CF554"/>
      <c r="CG554"/>
      <c r="CH554"/>
      <c r="CI554"/>
      <c r="CJ554"/>
      <c r="CK554"/>
      <c r="CL554"/>
      <c r="CM554"/>
      <c r="CN554"/>
      <c r="CO554"/>
      <c r="CP554"/>
      <c r="CQ554"/>
      <c r="CR554"/>
      <c r="CS554"/>
      <c r="CT554"/>
      <c r="CU554"/>
      <c r="CV554"/>
      <c r="CW554"/>
      <c r="CX554"/>
      <c r="CY554"/>
      <c r="CZ554"/>
      <c r="DA554"/>
      <c r="DB554"/>
      <c r="DC554"/>
      <c r="DD554"/>
      <c r="DE554"/>
      <c r="DG554"/>
      <c r="DH554"/>
      <c r="DI554"/>
      <c r="DJ554"/>
      <c r="DK554"/>
      <c r="DL554"/>
      <c r="DM554"/>
      <c r="DN554"/>
      <c r="DO554"/>
      <c r="DP554"/>
      <c r="DQ554"/>
      <c r="DR554"/>
      <c r="DS554"/>
      <c r="DT554"/>
      <c r="DU554"/>
      <c r="DV554"/>
      <c r="DW554"/>
      <c r="DZ554"/>
      <c r="EA554"/>
      <c r="EB554"/>
      <c r="EC554"/>
      <c r="ED554"/>
      <c r="EE554"/>
      <c r="EF554"/>
      <c r="EG554"/>
      <c r="EJ554"/>
      <c r="EK554"/>
      <c r="EL554"/>
      <c r="EM554"/>
      <c r="EN554"/>
      <c r="EO554"/>
      <c r="EP554"/>
      <c r="EQ554"/>
      <c r="ER554"/>
      <c r="ES554"/>
      <c r="ET554"/>
      <c r="EU554"/>
      <c r="EV554"/>
      <c r="EW554"/>
      <c r="EX554"/>
      <c r="EY554"/>
      <c r="EZ554"/>
      <c r="FA554"/>
      <c r="FB554"/>
      <c r="FC554"/>
      <c r="FD554"/>
      <c r="FE554"/>
      <c r="FF554"/>
      <c r="FG554"/>
      <c r="FH554"/>
      <c r="FK554"/>
      <c r="FL554"/>
      <c r="FM554"/>
      <c r="FN554"/>
      <c r="FO554"/>
      <c r="FP554"/>
      <c r="FQ554"/>
      <c r="FR554"/>
      <c r="FS554"/>
      <c r="FT554"/>
      <c r="FU554"/>
      <c r="FV554"/>
      <c r="FW554"/>
      <c r="FX554"/>
      <c r="FY554"/>
      <c r="FZ554"/>
      <c r="GA554"/>
      <c r="GB554"/>
      <c r="GC554"/>
      <c r="GD554"/>
    </row>
    <row r="555" spans="1:186" x14ac:dyDescent="0.15">
      <c r="AG555"/>
      <c r="AH555"/>
      <c r="AJ555"/>
      <c r="AK555"/>
      <c r="AL555"/>
      <c r="AM555"/>
      <c r="AO555"/>
      <c r="AP555"/>
      <c r="AQ555"/>
      <c r="AR555"/>
      <c r="AS555"/>
      <c r="AT555"/>
      <c r="AU555"/>
      <c r="AV555"/>
      <c r="AW555"/>
      <c r="AX555"/>
      <c r="AY555"/>
      <c r="AZ555"/>
      <c r="BA555"/>
      <c r="BB555"/>
      <c r="BC555"/>
      <c r="BD555"/>
      <c r="BE555"/>
      <c r="BF555"/>
      <c r="BH555"/>
      <c r="BI555"/>
      <c r="BJ555"/>
      <c r="BK555"/>
      <c r="BL555"/>
      <c r="BM555"/>
      <c r="BN555"/>
      <c r="BP555"/>
      <c r="BQ555"/>
      <c r="BR555"/>
      <c r="BS555"/>
      <c r="BT555"/>
      <c r="BU555"/>
      <c r="BV555"/>
      <c r="BW555"/>
      <c r="BZ555"/>
      <c r="CA555"/>
      <c r="CB555"/>
      <c r="CC555"/>
      <c r="CD555"/>
      <c r="CF555"/>
      <c r="CG555"/>
      <c r="CH555"/>
      <c r="CI555"/>
      <c r="CJ555"/>
      <c r="CK555"/>
      <c r="CL555"/>
      <c r="CM555"/>
      <c r="CN555"/>
      <c r="CO555"/>
      <c r="CP555"/>
      <c r="CQ555"/>
      <c r="CR555"/>
      <c r="CS555"/>
      <c r="CT555"/>
      <c r="CU555"/>
      <c r="CV555"/>
      <c r="CW555"/>
      <c r="CX555"/>
      <c r="CY555"/>
      <c r="CZ555"/>
      <c r="DA555"/>
      <c r="DB555"/>
      <c r="DC555"/>
      <c r="DD555"/>
      <c r="DE555"/>
      <c r="DG555"/>
      <c r="DH555"/>
      <c r="DI555"/>
      <c r="DJ555"/>
      <c r="DK555"/>
      <c r="DL555"/>
      <c r="DM555"/>
      <c r="DN555"/>
      <c r="DO555"/>
      <c r="DP555"/>
      <c r="DQ555"/>
      <c r="DR555"/>
      <c r="DS555"/>
      <c r="DT555"/>
      <c r="DU555"/>
      <c r="DV555"/>
      <c r="DW555"/>
      <c r="DZ555"/>
      <c r="EA555"/>
      <c r="EB555"/>
      <c r="EC555"/>
      <c r="ED555"/>
      <c r="EE555"/>
      <c r="EF555"/>
      <c r="EG555"/>
      <c r="EJ555"/>
      <c r="EK555"/>
      <c r="EL555"/>
      <c r="EM555"/>
      <c r="EN555"/>
      <c r="EO555"/>
      <c r="EP555"/>
      <c r="EQ555"/>
      <c r="ER555"/>
      <c r="ES555"/>
      <c r="ET555"/>
      <c r="EU555"/>
      <c r="EV555"/>
      <c r="EW555"/>
      <c r="EX555"/>
      <c r="EY555"/>
      <c r="EZ555"/>
      <c r="FA555"/>
      <c r="FB555"/>
      <c r="FC555"/>
      <c r="FD555"/>
      <c r="FE555"/>
      <c r="FF555"/>
      <c r="FG555"/>
      <c r="FH555"/>
      <c r="FK555"/>
      <c r="FL555"/>
      <c r="FM555"/>
      <c r="FN555"/>
      <c r="FO555"/>
      <c r="FP555"/>
      <c r="FQ555"/>
      <c r="FR555"/>
      <c r="FS555"/>
      <c r="FT555"/>
      <c r="FU555"/>
      <c r="FV555"/>
      <c r="FW555"/>
      <c r="FX555"/>
      <c r="FY555"/>
      <c r="FZ555"/>
      <c r="GA555"/>
      <c r="GB555"/>
      <c r="GC555"/>
      <c r="GD555"/>
    </row>
    <row r="556" spans="1:186" x14ac:dyDescent="0.15">
      <c r="AG556"/>
      <c r="AH556"/>
      <c r="AJ556"/>
      <c r="AK556"/>
      <c r="AL556"/>
      <c r="AM556"/>
      <c r="AO556"/>
      <c r="AP556"/>
      <c r="AQ556"/>
      <c r="AR556"/>
      <c r="AS556"/>
      <c r="AT556"/>
      <c r="AU556"/>
      <c r="AV556"/>
      <c r="AW556"/>
      <c r="AX556"/>
      <c r="AY556"/>
      <c r="AZ556"/>
      <c r="BA556"/>
      <c r="BB556"/>
      <c r="BC556"/>
      <c r="BD556"/>
      <c r="BE556"/>
      <c r="BF556"/>
      <c r="BH556"/>
      <c r="BI556"/>
      <c r="BJ556"/>
      <c r="BK556"/>
      <c r="BL556"/>
      <c r="BM556"/>
      <c r="BN556"/>
      <c r="BP556"/>
      <c r="BQ556"/>
      <c r="BR556"/>
      <c r="BS556"/>
      <c r="BT556"/>
      <c r="BU556"/>
      <c r="BV556"/>
      <c r="BW556"/>
      <c r="BZ556"/>
      <c r="CA556"/>
      <c r="CB556"/>
      <c r="CC556"/>
      <c r="CD556"/>
      <c r="CF556"/>
      <c r="CG556"/>
      <c r="CH556"/>
      <c r="CI556"/>
      <c r="CJ556"/>
      <c r="CK556"/>
      <c r="CL556"/>
      <c r="CM556"/>
      <c r="CN556"/>
      <c r="CO556"/>
      <c r="CP556"/>
      <c r="CQ556"/>
      <c r="CR556"/>
      <c r="CS556"/>
      <c r="CT556"/>
      <c r="CU556"/>
      <c r="CV556"/>
      <c r="CW556"/>
      <c r="CX556"/>
      <c r="CY556"/>
      <c r="CZ556"/>
      <c r="DA556"/>
      <c r="DB556"/>
      <c r="DC556"/>
      <c r="DD556"/>
      <c r="DE556"/>
      <c r="DG556"/>
      <c r="DH556"/>
      <c r="DI556"/>
      <c r="DJ556"/>
      <c r="DK556"/>
      <c r="DL556"/>
      <c r="DM556"/>
      <c r="DN556"/>
      <c r="DO556"/>
      <c r="DP556"/>
      <c r="DQ556"/>
      <c r="DR556"/>
      <c r="DS556"/>
      <c r="DT556"/>
      <c r="DU556"/>
      <c r="DV556"/>
      <c r="DW556"/>
      <c r="DZ556"/>
      <c r="EA556"/>
      <c r="EB556"/>
      <c r="EC556"/>
      <c r="ED556"/>
      <c r="EE556"/>
      <c r="EF556"/>
      <c r="EG556"/>
      <c r="EJ556"/>
      <c r="EK556"/>
      <c r="EL556"/>
      <c r="EM556"/>
      <c r="EN556"/>
      <c r="EO556"/>
      <c r="EP556"/>
      <c r="EQ556"/>
      <c r="ER556"/>
      <c r="ES556"/>
      <c r="ET556"/>
      <c r="EU556"/>
      <c r="EV556"/>
      <c r="EW556"/>
      <c r="EX556"/>
      <c r="EY556"/>
      <c r="EZ556"/>
      <c r="FA556"/>
      <c r="FB556"/>
      <c r="FC556"/>
      <c r="FD556"/>
      <c r="FE556"/>
      <c r="FF556"/>
      <c r="FG556"/>
      <c r="FH556"/>
      <c r="FK556"/>
      <c r="FL556"/>
      <c r="FM556"/>
      <c r="FN556"/>
      <c r="FO556"/>
      <c r="FP556"/>
      <c r="FQ556"/>
      <c r="FR556"/>
      <c r="FS556"/>
      <c r="FT556"/>
      <c r="FU556"/>
      <c r="FV556"/>
      <c r="FW556"/>
      <c r="FX556"/>
      <c r="FY556"/>
      <c r="FZ556"/>
      <c r="GA556"/>
      <c r="GB556"/>
      <c r="GC556"/>
      <c r="GD556"/>
    </row>
    <row r="557" spans="1:186" x14ac:dyDescent="0.15">
      <c r="AG557"/>
      <c r="AH557"/>
      <c r="AJ557"/>
      <c r="AK557"/>
      <c r="AL557"/>
      <c r="AM557"/>
      <c r="AO557"/>
      <c r="AP557"/>
      <c r="AQ557"/>
      <c r="AR557"/>
      <c r="AS557"/>
      <c r="AT557"/>
      <c r="AU557"/>
      <c r="AV557"/>
      <c r="AW557"/>
      <c r="AX557"/>
      <c r="AY557"/>
      <c r="AZ557"/>
      <c r="BA557"/>
      <c r="BB557"/>
      <c r="BC557"/>
      <c r="BD557"/>
      <c r="BE557"/>
      <c r="BF557"/>
      <c r="BH557"/>
      <c r="BI557"/>
      <c r="BJ557"/>
      <c r="BK557"/>
      <c r="BL557"/>
      <c r="BM557"/>
      <c r="BN557"/>
      <c r="BP557"/>
      <c r="BQ557"/>
      <c r="BR557"/>
      <c r="BS557"/>
      <c r="BT557"/>
      <c r="BU557"/>
      <c r="BV557"/>
      <c r="BW557"/>
      <c r="BZ557"/>
      <c r="CA557"/>
      <c r="CB557"/>
      <c r="CC557"/>
      <c r="CD557"/>
      <c r="CF557"/>
      <c r="CG557"/>
      <c r="CH557"/>
      <c r="CI557"/>
      <c r="CJ557"/>
      <c r="CK557"/>
      <c r="CL557"/>
      <c r="CM557"/>
      <c r="CN557"/>
      <c r="CO557"/>
      <c r="CP557"/>
      <c r="CQ557"/>
      <c r="CR557"/>
      <c r="CS557"/>
      <c r="CT557"/>
      <c r="CU557"/>
      <c r="CV557"/>
      <c r="CW557"/>
      <c r="CX557"/>
      <c r="CY557"/>
      <c r="CZ557"/>
      <c r="DA557"/>
      <c r="DB557"/>
      <c r="DC557"/>
      <c r="DD557"/>
      <c r="DE557"/>
      <c r="DG557"/>
      <c r="DH557"/>
      <c r="DI557"/>
      <c r="DJ557"/>
      <c r="DK557"/>
      <c r="DL557"/>
      <c r="DM557"/>
      <c r="DN557"/>
      <c r="DO557"/>
      <c r="DP557"/>
      <c r="DQ557"/>
      <c r="DR557"/>
      <c r="DS557"/>
      <c r="DT557"/>
      <c r="DU557"/>
      <c r="DV557"/>
      <c r="DW557"/>
      <c r="DZ557"/>
      <c r="EA557"/>
      <c r="EB557"/>
      <c r="EC557"/>
      <c r="ED557"/>
      <c r="EE557"/>
      <c r="EF557"/>
      <c r="EG557"/>
      <c r="EJ557"/>
      <c r="EK557"/>
      <c r="EL557"/>
      <c r="EM557"/>
      <c r="EN557"/>
      <c r="EO557"/>
      <c r="EP557"/>
      <c r="EQ557"/>
      <c r="ER557"/>
      <c r="ES557"/>
      <c r="ET557"/>
      <c r="EU557"/>
      <c r="EV557"/>
      <c r="EW557"/>
      <c r="EX557"/>
      <c r="EY557"/>
      <c r="EZ557"/>
      <c r="FA557"/>
      <c r="FB557"/>
      <c r="FC557"/>
      <c r="FD557"/>
      <c r="FE557"/>
      <c r="FF557"/>
      <c r="FG557"/>
      <c r="FH557"/>
      <c r="FK557"/>
      <c r="FL557"/>
      <c r="FM557"/>
      <c r="FN557"/>
      <c r="FO557"/>
      <c r="FP557"/>
      <c r="FQ557"/>
      <c r="FR557"/>
      <c r="FS557"/>
      <c r="FT557"/>
      <c r="FU557"/>
      <c r="FV557"/>
      <c r="FW557"/>
      <c r="FX557"/>
      <c r="FY557"/>
      <c r="FZ557"/>
      <c r="GA557"/>
      <c r="GB557"/>
      <c r="GC557"/>
      <c r="GD557"/>
    </row>
    <row r="558" spans="1:186" x14ac:dyDescent="0.15">
      <c r="AG558"/>
      <c r="AH558"/>
      <c r="AJ558"/>
      <c r="AK558"/>
      <c r="AL558"/>
      <c r="AM558"/>
      <c r="AO558"/>
      <c r="AP558"/>
      <c r="AQ558"/>
      <c r="AR558"/>
      <c r="AS558"/>
      <c r="AT558"/>
      <c r="AU558"/>
      <c r="AV558"/>
      <c r="AW558"/>
      <c r="AX558"/>
      <c r="AY558"/>
      <c r="AZ558"/>
      <c r="BA558"/>
      <c r="BB558"/>
      <c r="BC558"/>
      <c r="BD558"/>
      <c r="BE558"/>
      <c r="BF558"/>
      <c r="BH558"/>
      <c r="BI558"/>
      <c r="BJ558"/>
      <c r="BK558"/>
      <c r="BL558"/>
      <c r="BM558"/>
      <c r="BN558"/>
      <c r="BP558"/>
      <c r="BQ558"/>
      <c r="BR558"/>
      <c r="BS558"/>
      <c r="BT558"/>
      <c r="BU558"/>
      <c r="BV558"/>
      <c r="BW558"/>
      <c r="BZ558"/>
      <c r="CA558"/>
      <c r="CB558"/>
      <c r="CC558"/>
      <c r="CD558"/>
      <c r="CF558"/>
      <c r="CG558"/>
      <c r="CH558"/>
      <c r="CI558"/>
      <c r="CJ558"/>
      <c r="CK558"/>
      <c r="CL558"/>
      <c r="CM558"/>
      <c r="CN558"/>
      <c r="CO558"/>
      <c r="CP558"/>
      <c r="CQ558"/>
      <c r="CR558"/>
      <c r="CS558"/>
      <c r="CT558"/>
      <c r="CU558"/>
      <c r="CV558"/>
      <c r="CW558"/>
      <c r="CX558"/>
      <c r="CY558"/>
      <c r="CZ558"/>
      <c r="DA558"/>
      <c r="DB558"/>
      <c r="DC558"/>
      <c r="DD558"/>
      <c r="DE558"/>
      <c r="DG558"/>
      <c r="DH558"/>
      <c r="DI558"/>
      <c r="DJ558"/>
      <c r="DK558"/>
      <c r="DL558"/>
      <c r="DM558"/>
      <c r="DN558"/>
      <c r="DO558"/>
      <c r="DP558"/>
      <c r="DQ558"/>
      <c r="DR558"/>
      <c r="DS558"/>
      <c r="DT558"/>
      <c r="DU558"/>
      <c r="DV558"/>
      <c r="DW558"/>
      <c r="DZ558"/>
      <c r="EA558"/>
      <c r="EB558"/>
      <c r="EC558"/>
      <c r="ED558"/>
      <c r="EE558"/>
      <c r="EF558"/>
      <c r="EG558"/>
      <c r="EJ558"/>
      <c r="EK558"/>
      <c r="EL558"/>
      <c r="EM558"/>
      <c r="EN558"/>
      <c r="EO558"/>
      <c r="EP558"/>
      <c r="EQ558"/>
      <c r="ER558"/>
      <c r="ES558"/>
      <c r="ET558"/>
      <c r="EU558"/>
      <c r="EV558"/>
      <c r="EW558"/>
      <c r="EX558"/>
      <c r="EY558"/>
      <c r="EZ558"/>
      <c r="FA558"/>
      <c r="FB558"/>
      <c r="FC558"/>
      <c r="FD558"/>
      <c r="FE558"/>
      <c r="FF558"/>
      <c r="FG558"/>
      <c r="FH558"/>
      <c r="FK558"/>
      <c r="FL558"/>
      <c r="FM558"/>
      <c r="FN558"/>
      <c r="FO558"/>
      <c r="FP558"/>
      <c r="FQ558"/>
      <c r="FR558"/>
      <c r="FS558"/>
      <c r="FT558"/>
      <c r="FU558"/>
      <c r="FV558"/>
      <c r="FW558"/>
      <c r="FX558"/>
      <c r="FY558"/>
      <c r="FZ558"/>
      <c r="GA558"/>
      <c r="GB558"/>
      <c r="GC558"/>
      <c r="GD558"/>
    </row>
    <row r="559" spans="1:186" x14ac:dyDescent="0.15">
      <c r="AG559"/>
      <c r="AH559"/>
      <c r="AJ559"/>
      <c r="AK559"/>
      <c r="AL559"/>
      <c r="AM559"/>
      <c r="AO559"/>
      <c r="AP559"/>
      <c r="AQ559"/>
      <c r="AR559"/>
      <c r="AS559"/>
      <c r="AT559"/>
      <c r="AU559"/>
      <c r="AV559"/>
      <c r="AW559"/>
      <c r="AX559"/>
      <c r="AY559"/>
      <c r="AZ559"/>
      <c r="BA559"/>
      <c r="BB559"/>
      <c r="BC559"/>
      <c r="BD559"/>
      <c r="BE559"/>
      <c r="BF559"/>
      <c r="BH559"/>
      <c r="BI559"/>
      <c r="BJ559"/>
      <c r="BK559"/>
      <c r="BL559"/>
      <c r="BM559"/>
      <c r="BN559"/>
      <c r="BP559"/>
      <c r="BQ559"/>
      <c r="BR559"/>
      <c r="BS559"/>
      <c r="BT559"/>
      <c r="BU559"/>
      <c r="BV559"/>
      <c r="BW559"/>
      <c r="BZ559"/>
      <c r="CA559"/>
      <c r="CB559"/>
      <c r="CC559"/>
      <c r="CD559"/>
      <c r="CF559"/>
      <c r="CG559"/>
      <c r="CH559"/>
      <c r="CI559"/>
      <c r="CJ559"/>
      <c r="CK559"/>
      <c r="CL559"/>
      <c r="CM559"/>
      <c r="CN559"/>
      <c r="CO559"/>
      <c r="CP559"/>
      <c r="CQ559"/>
      <c r="CR559"/>
      <c r="CS559"/>
      <c r="CT559"/>
      <c r="CU559"/>
      <c r="CV559"/>
      <c r="CW559"/>
      <c r="CX559"/>
      <c r="CY559"/>
      <c r="CZ559"/>
      <c r="DA559"/>
      <c r="DB559"/>
      <c r="DC559"/>
      <c r="DD559"/>
      <c r="DE559"/>
      <c r="DG559"/>
      <c r="DH559"/>
      <c r="DI559"/>
      <c r="DJ559"/>
      <c r="DK559"/>
      <c r="DL559"/>
      <c r="DM559"/>
      <c r="DN559"/>
      <c r="DO559"/>
      <c r="DP559"/>
      <c r="DQ559"/>
      <c r="DR559"/>
      <c r="DS559"/>
      <c r="DT559"/>
      <c r="DU559"/>
      <c r="DV559"/>
      <c r="DW559"/>
      <c r="DZ559"/>
      <c r="EA559"/>
      <c r="EB559"/>
      <c r="EC559"/>
      <c r="ED559"/>
      <c r="EE559"/>
      <c r="EF559"/>
      <c r="EG559"/>
      <c r="EJ559"/>
      <c r="EK559"/>
      <c r="EL559"/>
      <c r="EM559"/>
      <c r="EN559"/>
      <c r="EO559"/>
      <c r="EP559"/>
      <c r="EQ559"/>
      <c r="ER559"/>
      <c r="ES559"/>
      <c r="ET559"/>
      <c r="EU559"/>
      <c r="EV559"/>
      <c r="EW559"/>
      <c r="EX559"/>
      <c r="EY559"/>
      <c r="EZ559"/>
      <c r="FA559"/>
      <c r="FB559"/>
      <c r="FC559"/>
      <c r="FD559"/>
      <c r="FE559"/>
      <c r="FF559"/>
      <c r="FG559"/>
      <c r="FH559"/>
      <c r="FK559"/>
      <c r="FL559"/>
      <c r="FM559"/>
      <c r="FN559"/>
      <c r="FO559"/>
      <c r="FP559"/>
      <c r="FQ559"/>
      <c r="FR559"/>
      <c r="FS559"/>
      <c r="FT559"/>
      <c r="FU559"/>
      <c r="FV559"/>
      <c r="FW559"/>
      <c r="FX559"/>
      <c r="FY559"/>
      <c r="FZ559"/>
      <c r="GA559"/>
      <c r="GB559"/>
      <c r="GC559"/>
      <c r="GD559"/>
    </row>
    <row r="560" spans="1:186" x14ac:dyDescent="0.15">
      <c r="AG560"/>
      <c r="AH560"/>
      <c r="AJ560"/>
      <c r="AK560"/>
      <c r="AL560"/>
      <c r="AM560"/>
      <c r="AO560"/>
      <c r="AP560"/>
      <c r="AQ560"/>
      <c r="AR560"/>
      <c r="AS560"/>
      <c r="AT560"/>
      <c r="AU560"/>
      <c r="AV560"/>
      <c r="AW560"/>
      <c r="AX560"/>
      <c r="AY560"/>
      <c r="AZ560"/>
      <c r="BA560"/>
      <c r="BB560"/>
      <c r="BC560"/>
      <c r="BD560"/>
      <c r="BE560"/>
      <c r="BF560"/>
      <c r="BH560"/>
      <c r="BI560"/>
      <c r="BJ560"/>
      <c r="BK560"/>
      <c r="BL560"/>
      <c r="BM560"/>
      <c r="BN560"/>
      <c r="BP560"/>
      <c r="BQ560"/>
      <c r="BR560"/>
      <c r="BS560"/>
      <c r="BT560"/>
      <c r="BU560"/>
      <c r="BV560"/>
      <c r="BW560"/>
      <c r="BZ560"/>
      <c r="CA560"/>
      <c r="CB560"/>
      <c r="CC560"/>
      <c r="CD560"/>
      <c r="CF560"/>
      <c r="CG560"/>
      <c r="CH560"/>
      <c r="CI560"/>
      <c r="CJ560"/>
      <c r="CK560"/>
      <c r="CL560"/>
      <c r="CM560"/>
      <c r="CN560"/>
      <c r="CO560"/>
      <c r="CP560"/>
      <c r="CQ560"/>
      <c r="CR560"/>
      <c r="CS560"/>
      <c r="CT560"/>
      <c r="CU560"/>
      <c r="CV560"/>
      <c r="CW560"/>
      <c r="CX560"/>
      <c r="CY560"/>
      <c r="CZ560"/>
      <c r="DA560"/>
      <c r="DB560"/>
      <c r="DC560"/>
      <c r="DD560"/>
      <c r="DE560"/>
      <c r="DG560"/>
      <c r="DH560"/>
      <c r="DI560"/>
      <c r="DJ560"/>
      <c r="DK560"/>
      <c r="DL560"/>
      <c r="DM560"/>
      <c r="DN560"/>
      <c r="DO560"/>
      <c r="DP560"/>
      <c r="DQ560"/>
      <c r="DR560"/>
      <c r="DS560"/>
      <c r="DT560"/>
      <c r="DU560"/>
      <c r="DV560"/>
      <c r="DW560"/>
      <c r="DZ560"/>
      <c r="EA560"/>
      <c r="EB560"/>
      <c r="EC560"/>
      <c r="ED560"/>
      <c r="EE560"/>
      <c r="EF560"/>
      <c r="EG560"/>
      <c r="EJ560"/>
      <c r="EK560"/>
      <c r="EL560"/>
      <c r="EM560"/>
      <c r="EN560"/>
      <c r="EO560"/>
      <c r="EP560"/>
      <c r="EQ560"/>
      <c r="ER560"/>
      <c r="ES560"/>
      <c r="ET560"/>
      <c r="EU560"/>
      <c r="EV560"/>
      <c r="EW560"/>
      <c r="EX560"/>
      <c r="EY560"/>
      <c r="EZ560"/>
      <c r="FA560"/>
      <c r="FB560"/>
      <c r="FC560"/>
      <c r="FD560"/>
      <c r="FE560"/>
      <c r="FF560"/>
      <c r="FG560"/>
      <c r="FH560"/>
      <c r="FK560"/>
      <c r="FL560"/>
      <c r="FM560"/>
      <c r="FN560"/>
      <c r="FO560"/>
      <c r="FP560"/>
      <c r="FQ560"/>
      <c r="FR560"/>
      <c r="FS560"/>
      <c r="FT560"/>
      <c r="FU560"/>
      <c r="FV560"/>
      <c r="FW560"/>
      <c r="FX560"/>
      <c r="FY560"/>
      <c r="FZ560"/>
      <c r="GA560"/>
      <c r="GB560"/>
      <c r="GC560"/>
      <c r="GD560"/>
    </row>
    <row r="561" spans="4:186" x14ac:dyDescent="0.15">
      <c r="AG561"/>
      <c r="AH561"/>
      <c r="AJ561"/>
      <c r="AK561"/>
      <c r="AL561"/>
      <c r="AM561"/>
      <c r="AO561"/>
      <c r="AP561"/>
      <c r="AQ561"/>
      <c r="AR561"/>
      <c r="AS561"/>
      <c r="AT561"/>
      <c r="AU561"/>
      <c r="AV561"/>
      <c r="AW561"/>
      <c r="AX561"/>
      <c r="AY561"/>
      <c r="AZ561"/>
      <c r="BA561"/>
      <c r="BB561"/>
      <c r="BC561"/>
      <c r="BD561"/>
      <c r="BE561"/>
      <c r="BF561"/>
      <c r="BH561"/>
      <c r="BI561"/>
      <c r="BJ561"/>
      <c r="BK561"/>
      <c r="BL561"/>
      <c r="BM561"/>
      <c r="BN561"/>
      <c r="BP561"/>
      <c r="BQ561"/>
      <c r="BR561"/>
      <c r="BS561"/>
      <c r="BT561"/>
      <c r="BU561"/>
      <c r="BV561"/>
      <c r="BW561"/>
      <c r="BZ561"/>
      <c r="CA561"/>
      <c r="CB561"/>
      <c r="CC561"/>
      <c r="CD561"/>
      <c r="CF561"/>
      <c r="CG561"/>
      <c r="CH561"/>
      <c r="CI561"/>
      <c r="CJ561"/>
      <c r="CK561"/>
      <c r="CL561"/>
      <c r="CM561"/>
      <c r="CN561"/>
      <c r="CO561"/>
      <c r="CP561"/>
      <c r="CQ561"/>
      <c r="CR561"/>
      <c r="CS561"/>
      <c r="CT561"/>
      <c r="CU561"/>
      <c r="CV561"/>
      <c r="CW561"/>
      <c r="CX561"/>
      <c r="CY561"/>
      <c r="CZ561"/>
      <c r="DA561"/>
      <c r="DB561"/>
      <c r="DC561"/>
      <c r="DD561"/>
      <c r="DE561"/>
      <c r="DG561"/>
      <c r="DH561"/>
      <c r="DI561"/>
      <c r="DJ561"/>
      <c r="DK561"/>
      <c r="DL561"/>
      <c r="DM561"/>
      <c r="DN561"/>
      <c r="DO561"/>
      <c r="DP561"/>
      <c r="DQ561"/>
      <c r="DR561"/>
      <c r="DS561"/>
      <c r="DT561"/>
      <c r="DU561"/>
      <c r="DV561"/>
      <c r="DW561"/>
      <c r="DZ561"/>
      <c r="EA561"/>
      <c r="EB561"/>
      <c r="EC561"/>
      <c r="ED561"/>
      <c r="EE561"/>
      <c r="EF561"/>
      <c r="EG561"/>
      <c r="EJ561"/>
      <c r="EK561"/>
      <c r="EL561"/>
      <c r="EM561"/>
      <c r="EN561"/>
      <c r="EO561"/>
      <c r="EP561"/>
      <c r="EQ561"/>
      <c r="ER561"/>
      <c r="ES561"/>
      <c r="ET561"/>
      <c r="EU561"/>
      <c r="EV561"/>
      <c r="EW561"/>
      <c r="EX561"/>
      <c r="EY561"/>
      <c r="EZ561"/>
      <c r="FA561"/>
      <c r="FB561"/>
      <c r="FC561"/>
      <c r="FD561"/>
      <c r="FE561"/>
      <c r="FF561"/>
      <c r="FG561"/>
      <c r="FH561"/>
      <c r="FK561"/>
      <c r="FL561"/>
      <c r="FM561"/>
      <c r="FN561"/>
      <c r="FO561"/>
      <c r="FP561"/>
      <c r="FQ561"/>
      <c r="FR561"/>
      <c r="FS561"/>
      <c r="FT561"/>
      <c r="FU561"/>
      <c r="FV561"/>
      <c r="FW561"/>
      <c r="FX561"/>
      <c r="FY561"/>
      <c r="FZ561"/>
      <c r="GA561"/>
      <c r="GB561"/>
      <c r="GC561"/>
      <c r="GD561"/>
    </row>
    <row r="562" spans="4:186" x14ac:dyDescent="0.15">
      <c r="AG562"/>
      <c r="AH562"/>
      <c r="AJ562"/>
      <c r="AK562"/>
      <c r="AL562"/>
      <c r="AM562"/>
      <c r="AO562"/>
      <c r="AP562"/>
      <c r="AQ562"/>
      <c r="AR562"/>
      <c r="AS562"/>
      <c r="AT562"/>
      <c r="AU562"/>
      <c r="AV562"/>
      <c r="AW562"/>
      <c r="AX562"/>
      <c r="AY562"/>
      <c r="AZ562"/>
      <c r="BA562"/>
      <c r="BB562"/>
      <c r="BC562"/>
      <c r="BD562"/>
      <c r="BE562"/>
      <c r="BF562"/>
      <c r="BH562"/>
      <c r="BI562"/>
      <c r="BJ562"/>
      <c r="BK562"/>
      <c r="BL562"/>
      <c r="BM562"/>
      <c r="BN562"/>
      <c r="BP562"/>
      <c r="BQ562"/>
      <c r="BR562"/>
      <c r="BS562"/>
      <c r="BT562"/>
      <c r="BU562"/>
      <c r="BV562"/>
      <c r="BW562"/>
      <c r="BZ562"/>
      <c r="CA562"/>
      <c r="CB562"/>
      <c r="CC562"/>
      <c r="CD562"/>
      <c r="CF562"/>
      <c r="CG562"/>
      <c r="CH562"/>
      <c r="CI562"/>
      <c r="CJ562"/>
      <c r="CK562"/>
      <c r="CL562"/>
      <c r="CM562"/>
      <c r="CN562"/>
      <c r="CO562"/>
      <c r="CP562"/>
      <c r="CQ562"/>
      <c r="CR562"/>
      <c r="CS562"/>
      <c r="CT562"/>
      <c r="CU562"/>
      <c r="CV562"/>
      <c r="CW562"/>
      <c r="CX562"/>
      <c r="CY562"/>
      <c r="CZ562"/>
      <c r="DA562"/>
      <c r="DB562"/>
      <c r="DC562"/>
      <c r="DD562"/>
      <c r="DE562"/>
      <c r="DG562"/>
      <c r="DH562"/>
      <c r="DI562"/>
      <c r="DJ562"/>
      <c r="DK562"/>
      <c r="DL562"/>
      <c r="DM562"/>
      <c r="DN562"/>
      <c r="DO562"/>
      <c r="DP562"/>
      <c r="DQ562"/>
      <c r="DR562"/>
      <c r="DS562"/>
      <c r="DT562"/>
      <c r="DU562"/>
      <c r="DV562"/>
      <c r="DW562"/>
      <c r="DZ562"/>
      <c r="EA562"/>
      <c r="EB562"/>
      <c r="EC562"/>
      <c r="ED562"/>
      <c r="EE562"/>
      <c r="EF562"/>
      <c r="EG562"/>
      <c r="EJ562"/>
      <c r="EK562"/>
      <c r="EL562"/>
      <c r="EM562"/>
      <c r="EN562"/>
      <c r="EO562"/>
      <c r="EP562"/>
      <c r="EQ562"/>
      <c r="ER562"/>
      <c r="ES562"/>
      <c r="ET562"/>
      <c r="EU562"/>
      <c r="EV562"/>
      <c r="EW562"/>
      <c r="EX562"/>
      <c r="EY562"/>
      <c r="EZ562"/>
      <c r="FA562"/>
      <c r="FB562"/>
      <c r="FC562"/>
      <c r="FD562"/>
      <c r="FE562"/>
      <c r="FF562"/>
      <c r="FG562"/>
      <c r="FH562"/>
      <c r="FK562"/>
      <c r="FL562"/>
      <c r="FM562"/>
      <c r="FN562"/>
      <c r="FO562"/>
      <c r="FP562"/>
      <c r="FQ562"/>
      <c r="FR562"/>
      <c r="FS562"/>
      <c r="FT562"/>
      <c r="FU562"/>
      <c r="FV562"/>
      <c r="FW562"/>
      <c r="FX562"/>
      <c r="FY562"/>
      <c r="FZ562"/>
      <c r="GA562"/>
      <c r="GB562"/>
      <c r="GC562"/>
      <c r="GD562"/>
    </row>
    <row r="563" spans="4:186" x14ac:dyDescent="0.15">
      <c r="AG563"/>
      <c r="AH563"/>
      <c r="AJ563"/>
      <c r="AK563"/>
      <c r="AL563"/>
      <c r="AM563"/>
      <c r="AO563"/>
      <c r="AP563"/>
      <c r="AQ563"/>
      <c r="AR563"/>
      <c r="AS563"/>
      <c r="AT563"/>
      <c r="AU563"/>
      <c r="AV563"/>
      <c r="AW563"/>
      <c r="AX563"/>
      <c r="AY563"/>
      <c r="AZ563"/>
      <c r="BA563"/>
      <c r="BB563"/>
      <c r="BC563"/>
      <c r="BD563"/>
      <c r="BE563"/>
      <c r="BF563"/>
      <c r="BH563"/>
      <c r="BI563"/>
      <c r="BJ563"/>
      <c r="BK563"/>
      <c r="BL563"/>
      <c r="BM563"/>
      <c r="BN563"/>
      <c r="BP563"/>
      <c r="BQ563"/>
      <c r="BR563"/>
      <c r="BS563"/>
      <c r="BT563"/>
      <c r="BU563"/>
      <c r="BV563"/>
      <c r="BW563"/>
      <c r="BZ563"/>
      <c r="CA563"/>
      <c r="CB563"/>
      <c r="CC563"/>
      <c r="CD563"/>
      <c r="CF563"/>
      <c r="CG563"/>
      <c r="CH563"/>
      <c r="CI563"/>
      <c r="CJ563"/>
      <c r="CK563"/>
      <c r="CL563"/>
      <c r="CM563"/>
      <c r="CN563"/>
      <c r="CO563"/>
      <c r="CP563"/>
      <c r="CQ563"/>
      <c r="CR563"/>
      <c r="CS563"/>
      <c r="CT563"/>
      <c r="CU563"/>
      <c r="CV563"/>
      <c r="CW563"/>
      <c r="CX563"/>
      <c r="CY563"/>
      <c r="CZ563"/>
      <c r="DA563"/>
      <c r="DB563"/>
      <c r="DC563"/>
      <c r="DD563"/>
      <c r="DE563"/>
      <c r="DG563"/>
      <c r="DH563"/>
      <c r="DI563"/>
      <c r="DJ563"/>
      <c r="DK563"/>
      <c r="DL563"/>
      <c r="DM563"/>
      <c r="DN563"/>
      <c r="DO563"/>
      <c r="DP563"/>
      <c r="DQ563"/>
      <c r="DR563"/>
      <c r="DS563"/>
      <c r="DT563"/>
      <c r="DU563"/>
      <c r="DV563"/>
      <c r="DW563"/>
      <c r="DZ563"/>
      <c r="EA563"/>
      <c r="EB563"/>
      <c r="EC563"/>
      <c r="ED563"/>
      <c r="EE563"/>
      <c r="EF563"/>
      <c r="EG563"/>
      <c r="EJ563"/>
      <c r="EK563"/>
      <c r="EL563"/>
      <c r="EM563"/>
      <c r="EN563"/>
      <c r="EO563"/>
      <c r="EP563"/>
      <c r="EQ563"/>
      <c r="ER563"/>
      <c r="ES563"/>
      <c r="ET563"/>
      <c r="EU563"/>
      <c r="EV563"/>
      <c r="EW563"/>
      <c r="EX563"/>
      <c r="EY563"/>
      <c r="EZ563"/>
      <c r="FA563"/>
      <c r="FB563"/>
      <c r="FC563"/>
      <c r="FD563"/>
      <c r="FE563"/>
      <c r="FF563"/>
      <c r="FG563"/>
      <c r="FH563"/>
      <c r="FK563"/>
      <c r="FL563"/>
      <c r="FM563"/>
      <c r="FN563"/>
      <c r="FO563"/>
      <c r="FP563"/>
      <c r="FQ563"/>
      <c r="FR563"/>
      <c r="FS563"/>
      <c r="FT563"/>
      <c r="FU563"/>
      <c r="FV563"/>
      <c r="FW563"/>
      <c r="FX563"/>
      <c r="FY563"/>
      <c r="FZ563"/>
      <c r="GA563"/>
      <c r="GB563"/>
      <c r="GC563"/>
      <c r="GD563"/>
    </row>
    <row r="564" spans="4:186" x14ac:dyDescent="0.15">
      <c r="AG564"/>
      <c r="AH564"/>
      <c r="AJ564"/>
      <c r="AK564"/>
      <c r="AL564"/>
      <c r="AM564"/>
      <c r="AO564"/>
      <c r="AP564"/>
      <c r="AQ564"/>
      <c r="AR564"/>
      <c r="AS564"/>
      <c r="AT564"/>
      <c r="AU564"/>
      <c r="AV564"/>
      <c r="AW564"/>
      <c r="AX564"/>
      <c r="AY564"/>
      <c r="AZ564"/>
      <c r="BA564"/>
      <c r="BB564"/>
      <c r="BC564"/>
      <c r="BD564"/>
      <c r="BE564"/>
      <c r="BF564"/>
      <c r="BH564"/>
      <c r="BI564"/>
      <c r="BJ564"/>
      <c r="BK564"/>
      <c r="BL564"/>
      <c r="BM564"/>
      <c r="BN564"/>
      <c r="BP564"/>
      <c r="BQ564"/>
      <c r="BR564"/>
      <c r="BS564"/>
      <c r="BT564"/>
      <c r="BU564"/>
      <c r="BV564"/>
      <c r="BW564"/>
      <c r="BZ564"/>
      <c r="CA564"/>
      <c r="CB564"/>
      <c r="CC564"/>
      <c r="CD564"/>
      <c r="CF564"/>
      <c r="CG564"/>
      <c r="CH564"/>
      <c r="CI564"/>
      <c r="CJ564"/>
      <c r="CK564"/>
      <c r="CL564"/>
      <c r="CM564"/>
      <c r="CN564"/>
      <c r="CO564"/>
      <c r="CP564"/>
      <c r="CQ564"/>
      <c r="CR564"/>
      <c r="CS564"/>
      <c r="CT564"/>
      <c r="CU564"/>
      <c r="CV564"/>
      <c r="CW564"/>
      <c r="CX564"/>
      <c r="CY564"/>
      <c r="CZ564"/>
      <c r="DA564"/>
      <c r="DB564"/>
      <c r="DC564"/>
      <c r="DD564"/>
      <c r="DE564"/>
      <c r="DG564"/>
      <c r="DH564"/>
      <c r="DI564"/>
      <c r="DJ564"/>
      <c r="DK564"/>
      <c r="DL564"/>
      <c r="DM564"/>
      <c r="DN564"/>
      <c r="DO564"/>
      <c r="DP564"/>
      <c r="DQ564"/>
      <c r="DR564"/>
      <c r="DS564"/>
      <c r="DT564"/>
      <c r="DU564"/>
      <c r="DV564"/>
      <c r="DW564"/>
      <c r="DZ564"/>
      <c r="EA564"/>
      <c r="EB564"/>
      <c r="EC564"/>
      <c r="ED564"/>
      <c r="EE564"/>
      <c r="EF564"/>
      <c r="EG564"/>
      <c r="EJ564"/>
      <c r="EK564"/>
      <c r="EL564"/>
      <c r="EM564"/>
      <c r="EN564"/>
      <c r="EO564"/>
      <c r="EP564"/>
      <c r="EQ564"/>
      <c r="ER564"/>
      <c r="ES564"/>
      <c r="ET564"/>
      <c r="EU564"/>
      <c r="EV564"/>
      <c r="EW564"/>
      <c r="EX564"/>
      <c r="EY564"/>
      <c r="EZ564"/>
      <c r="FA564"/>
      <c r="FB564"/>
      <c r="FC564"/>
      <c r="FD564"/>
      <c r="FE564"/>
      <c r="FF564"/>
      <c r="FG564"/>
      <c r="FH564"/>
      <c r="FK564"/>
      <c r="FL564"/>
      <c r="FM564"/>
      <c r="FN564"/>
      <c r="FO564"/>
      <c r="FP564"/>
      <c r="FQ564"/>
      <c r="FR564"/>
      <c r="FS564"/>
      <c r="FT564"/>
      <c r="FU564"/>
      <c r="FV564"/>
      <c r="FW564"/>
      <c r="FX564"/>
      <c r="FY564"/>
      <c r="FZ564"/>
      <c r="GA564"/>
      <c r="GB564"/>
      <c r="GC564"/>
      <c r="GD564"/>
    </row>
    <row r="565" spans="4:186" x14ac:dyDescent="0.15">
      <c r="AG565"/>
      <c r="AH565"/>
      <c r="AJ565"/>
      <c r="AK565"/>
      <c r="AL565"/>
      <c r="AM565"/>
      <c r="AO565"/>
      <c r="AP565"/>
      <c r="AQ565"/>
      <c r="AR565"/>
      <c r="AS565"/>
      <c r="AT565"/>
      <c r="AU565"/>
      <c r="AV565"/>
      <c r="AW565"/>
      <c r="AX565"/>
      <c r="AY565"/>
      <c r="AZ565"/>
      <c r="BA565"/>
      <c r="BB565"/>
      <c r="BC565"/>
      <c r="BD565"/>
      <c r="BE565"/>
      <c r="BF565"/>
      <c r="BH565"/>
      <c r="BI565"/>
      <c r="BJ565"/>
      <c r="BK565"/>
      <c r="BL565"/>
      <c r="BM565"/>
      <c r="BN565"/>
      <c r="BP565"/>
      <c r="BQ565"/>
      <c r="BR565"/>
      <c r="BS565"/>
      <c r="BT565"/>
      <c r="BU565"/>
      <c r="BV565"/>
      <c r="BW565"/>
      <c r="BZ565"/>
      <c r="CA565"/>
      <c r="CB565"/>
      <c r="CC565"/>
      <c r="CD565"/>
      <c r="CF565"/>
      <c r="CG565"/>
      <c r="CH565"/>
      <c r="CI565"/>
      <c r="CJ565"/>
      <c r="CK565"/>
      <c r="CL565"/>
      <c r="CM565"/>
      <c r="CN565"/>
      <c r="CO565"/>
      <c r="CP565"/>
      <c r="CQ565"/>
      <c r="CR565"/>
      <c r="CS565"/>
      <c r="CT565"/>
      <c r="CU565"/>
      <c r="CV565"/>
      <c r="CW565"/>
      <c r="CX565"/>
      <c r="CY565"/>
      <c r="CZ565"/>
      <c r="DA565"/>
      <c r="DB565"/>
      <c r="DC565"/>
      <c r="DD565"/>
      <c r="DE565"/>
      <c r="DG565"/>
      <c r="DH565"/>
      <c r="DI565"/>
      <c r="DJ565"/>
      <c r="DK565"/>
      <c r="DL565"/>
      <c r="DM565"/>
      <c r="DN565"/>
      <c r="DO565"/>
      <c r="DP565"/>
      <c r="DQ565"/>
      <c r="DR565"/>
      <c r="DS565"/>
      <c r="DT565"/>
      <c r="DU565"/>
      <c r="DV565"/>
      <c r="DW565"/>
      <c r="DZ565"/>
      <c r="EA565"/>
      <c r="EB565"/>
      <c r="EC565"/>
      <c r="ED565"/>
      <c r="EE565"/>
      <c r="EF565"/>
      <c r="EG565"/>
      <c r="EJ565"/>
      <c r="EK565"/>
      <c r="EL565"/>
      <c r="EM565"/>
      <c r="EN565"/>
      <c r="EO565"/>
      <c r="EP565"/>
      <c r="EQ565"/>
      <c r="ER565"/>
      <c r="ES565"/>
      <c r="ET565"/>
      <c r="EU565"/>
      <c r="EV565"/>
      <c r="EW565"/>
      <c r="EX565"/>
      <c r="EY565"/>
      <c r="EZ565"/>
      <c r="FA565"/>
      <c r="FB565"/>
      <c r="FC565"/>
      <c r="FD565"/>
      <c r="FE565"/>
      <c r="FF565"/>
      <c r="FG565"/>
      <c r="FH565"/>
      <c r="FK565"/>
      <c r="FL565"/>
      <c r="FM565"/>
      <c r="FN565"/>
      <c r="FO565"/>
      <c r="FP565"/>
      <c r="FQ565"/>
      <c r="FR565"/>
      <c r="FS565"/>
      <c r="FT565"/>
      <c r="FU565"/>
      <c r="FV565"/>
      <c r="FW565"/>
      <c r="FX565"/>
      <c r="FY565"/>
      <c r="FZ565"/>
      <c r="GA565"/>
      <c r="GB565"/>
      <c r="GC565"/>
      <c r="GD565"/>
    </row>
    <row r="566" spans="4:186" x14ac:dyDescent="0.15">
      <c r="AG566"/>
      <c r="AH566"/>
      <c r="AJ566"/>
      <c r="AK566"/>
      <c r="AL566"/>
      <c r="AM566"/>
      <c r="AO566"/>
      <c r="AP566"/>
      <c r="AQ566"/>
      <c r="AR566"/>
      <c r="AS566"/>
      <c r="AT566"/>
      <c r="AU566"/>
      <c r="AV566"/>
      <c r="AW566"/>
      <c r="AX566"/>
      <c r="AY566"/>
      <c r="AZ566"/>
      <c r="BA566"/>
      <c r="BB566"/>
      <c r="BC566"/>
      <c r="BD566"/>
      <c r="BE566"/>
      <c r="BF566"/>
      <c r="BH566"/>
      <c r="BI566"/>
      <c r="BJ566"/>
      <c r="BK566"/>
      <c r="BL566"/>
      <c r="BM566"/>
      <c r="BN566"/>
      <c r="BP566"/>
      <c r="BQ566"/>
      <c r="BR566"/>
      <c r="BS566"/>
      <c r="BT566"/>
      <c r="BU566"/>
      <c r="BV566"/>
      <c r="BW566"/>
      <c r="BZ566"/>
      <c r="CA566"/>
      <c r="CB566"/>
      <c r="CC566"/>
      <c r="CD566"/>
      <c r="CF566"/>
      <c r="CG566"/>
      <c r="CH566"/>
      <c r="CI566"/>
      <c r="CJ566"/>
      <c r="CK566"/>
      <c r="CL566"/>
      <c r="CM566"/>
      <c r="CN566"/>
      <c r="CO566"/>
      <c r="CP566"/>
      <c r="CQ566"/>
      <c r="CR566"/>
      <c r="CS566"/>
      <c r="CT566"/>
      <c r="CU566"/>
      <c r="CV566"/>
      <c r="CW566"/>
      <c r="CX566"/>
      <c r="CY566"/>
      <c r="CZ566"/>
      <c r="DA566"/>
      <c r="DB566"/>
      <c r="DC566"/>
      <c r="DD566"/>
      <c r="DE566"/>
      <c r="DG566"/>
      <c r="DH566"/>
      <c r="DI566"/>
      <c r="DJ566"/>
      <c r="DK566"/>
      <c r="DL566"/>
      <c r="DM566"/>
      <c r="DN566"/>
      <c r="DO566"/>
      <c r="DP566"/>
      <c r="DQ566"/>
      <c r="DR566"/>
      <c r="DS566"/>
      <c r="DT566"/>
      <c r="DU566"/>
      <c r="DV566"/>
      <c r="DW566"/>
      <c r="DZ566"/>
      <c r="EA566"/>
      <c r="EB566"/>
      <c r="EC566"/>
      <c r="ED566"/>
      <c r="EE566"/>
      <c r="EF566"/>
      <c r="EG566"/>
      <c r="EJ566"/>
      <c r="EK566"/>
      <c r="EL566"/>
      <c r="EM566"/>
      <c r="EN566"/>
      <c r="EO566"/>
      <c r="EP566"/>
      <c r="EQ566"/>
      <c r="ER566"/>
      <c r="ES566"/>
      <c r="ET566"/>
      <c r="EU566"/>
      <c r="EV566"/>
      <c r="EW566"/>
      <c r="EX566"/>
      <c r="EY566"/>
      <c r="EZ566"/>
      <c r="FA566"/>
      <c r="FB566"/>
      <c r="FC566"/>
      <c r="FD566"/>
      <c r="FE566"/>
      <c r="FF566"/>
      <c r="FG566"/>
      <c r="FH566"/>
      <c r="FK566"/>
      <c r="FL566"/>
      <c r="FM566"/>
      <c r="FN566"/>
      <c r="FO566"/>
      <c r="FP566"/>
      <c r="FQ566"/>
      <c r="FR566"/>
      <c r="FS566"/>
      <c r="FT566"/>
      <c r="FU566"/>
      <c r="FV566"/>
      <c r="FW566"/>
      <c r="FX566"/>
      <c r="FY566"/>
      <c r="FZ566"/>
      <c r="GA566"/>
      <c r="GB566"/>
      <c r="GC566"/>
      <c r="GD566"/>
    </row>
    <row r="567" spans="4:186" x14ac:dyDescent="0.15">
      <c r="AG567"/>
      <c r="AH567"/>
      <c r="AJ567"/>
      <c r="AK567"/>
      <c r="AL567"/>
      <c r="AM567"/>
      <c r="AO567"/>
      <c r="AP567"/>
      <c r="AQ567"/>
      <c r="AR567"/>
      <c r="AS567"/>
      <c r="AT567"/>
      <c r="AU567"/>
      <c r="AV567"/>
      <c r="AW567"/>
      <c r="AX567"/>
      <c r="AY567"/>
      <c r="AZ567"/>
      <c r="BA567"/>
      <c r="BB567"/>
      <c r="BC567"/>
      <c r="BD567"/>
      <c r="BE567"/>
      <c r="BF567"/>
      <c r="BH567"/>
      <c r="BI567"/>
      <c r="BJ567"/>
      <c r="BK567"/>
      <c r="BL567"/>
      <c r="BM567"/>
      <c r="BN567"/>
      <c r="BP567"/>
      <c r="BQ567"/>
      <c r="BR567"/>
      <c r="BS567"/>
      <c r="BT567"/>
      <c r="BU567"/>
      <c r="BV567"/>
      <c r="BW567"/>
      <c r="BZ567"/>
      <c r="CA567"/>
      <c r="CB567"/>
      <c r="CC567"/>
      <c r="CD567"/>
      <c r="CF567"/>
      <c r="CG567"/>
      <c r="CH567"/>
      <c r="CI567"/>
      <c r="CJ567"/>
      <c r="CK567"/>
      <c r="CL567"/>
      <c r="CM567"/>
      <c r="CN567"/>
      <c r="CO567"/>
      <c r="CP567"/>
      <c r="CQ567"/>
      <c r="CR567"/>
      <c r="CS567"/>
      <c r="CT567"/>
      <c r="CU567"/>
      <c r="CV567"/>
      <c r="CW567"/>
      <c r="CX567"/>
      <c r="CY567"/>
      <c r="CZ567"/>
      <c r="DA567"/>
      <c r="DB567"/>
      <c r="DC567"/>
      <c r="DD567"/>
      <c r="DE567"/>
      <c r="DG567"/>
      <c r="DH567"/>
      <c r="DI567"/>
      <c r="DJ567"/>
      <c r="DK567"/>
      <c r="DL567"/>
      <c r="DM567"/>
      <c r="DN567"/>
      <c r="DO567"/>
      <c r="DP567"/>
      <c r="DQ567"/>
      <c r="DR567"/>
      <c r="DS567"/>
      <c r="DT567"/>
      <c r="DU567"/>
      <c r="DV567"/>
      <c r="DW567"/>
      <c r="DZ567"/>
      <c r="EA567"/>
      <c r="EB567"/>
      <c r="EC567"/>
      <c r="ED567"/>
      <c r="EE567"/>
      <c r="EF567"/>
      <c r="EG567"/>
      <c r="EJ567"/>
      <c r="EK567"/>
      <c r="EL567"/>
      <c r="EM567"/>
      <c r="EN567"/>
      <c r="EO567"/>
      <c r="EP567"/>
      <c r="EQ567"/>
      <c r="ER567"/>
      <c r="ES567"/>
      <c r="ET567"/>
      <c r="EU567"/>
      <c r="EV567"/>
      <c r="EW567"/>
      <c r="EX567"/>
      <c r="EY567"/>
      <c r="EZ567"/>
      <c r="FA567"/>
      <c r="FB567"/>
      <c r="FC567"/>
      <c r="FD567"/>
      <c r="FE567"/>
      <c r="FF567"/>
      <c r="FG567"/>
      <c r="FH567"/>
      <c r="FK567"/>
      <c r="FL567"/>
      <c r="FM567"/>
      <c r="FN567"/>
      <c r="FO567"/>
      <c r="FP567"/>
      <c r="FQ567"/>
      <c r="FR567"/>
      <c r="FS567"/>
      <c r="FT567"/>
      <c r="FU567"/>
      <c r="FV567"/>
      <c r="FW567"/>
      <c r="FX567"/>
      <c r="FY567"/>
      <c r="FZ567"/>
      <c r="GA567"/>
      <c r="GB567"/>
      <c r="GC567"/>
      <c r="GD567"/>
    </row>
    <row r="568" spans="4:186" x14ac:dyDescent="0.15">
      <c r="AG568"/>
      <c r="AH568"/>
      <c r="AJ568"/>
      <c r="AK568"/>
      <c r="AL568"/>
      <c r="AM568"/>
      <c r="AO568"/>
      <c r="AP568"/>
      <c r="AQ568"/>
      <c r="AR568"/>
      <c r="AS568"/>
      <c r="AT568"/>
      <c r="AU568"/>
      <c r="AV568"/>
      <c r="AW568"/>
      <c r="AX568"/>
      <c r="AY568"/>
      <c r="AZ568"/>
      <c r="BA568"/>
      <c r="BB568"/>
      <c r="BC568"/>
      <c r="BD568"/>
      <c r="BE568"/>
      <c r="BF568"/>
      <c r="BH568"/>
      <c r="BI568"/>
      <c r="BJ568"/>
      <c r="BK568"/>
      <c r="BL568"/>
      <c r="BM568"/>
      <c r="BN568"/>
      <c r="BP568"/>
      <c r="BQ568"/>
      <c r="BR568"/>
      <c r="BS568"/>
      <c r="BT568"/>
      <c r="BU568"/>
      <c r="BV568"/>
      <c r="BW568"/>
      <c r="BZ568"/>
      <c r="CA568"/>
      <c r="CB568"/>
      <c r="CC568"/>
      <c r="CD568"/>
      <c r="CF568"/>
      <c r="CG568"/>
      <c r="CH568"/>
      <c r="CI568"/>
      <c r="CJ568"/>
      <c r="CK568"/>
      <c r="CL568"/>
      <c r="CM568"/>
      <c r="CN568"/>
      <c r="CO568"/>
      <c r="CP568"/>
      <c r="CQ568"/>
      <c r="CR568"/>
      <c r="CS568"/>
      <c r="CT568"/>
      <c r="CU568"/>
      <c r="CV568"/>
      <c r="CW568"/>
      <c r="CX568"/>
      <c r="CY568"/>
      <c r="CZ568"/>
      <c r="DA568"/>
      <c r="DB568"/>
      <c r="DC568"/>
      <c r="DD568"/>
      <c r="DE568"/>
      <c r="DG568"/>
      <c r="DH568"/>
      <c r="DI568"/>
      <c r="DJ568"/>
      <c r="DK568"/>
      <c r="DL568"/>
      <c r="DM568"/>
      <c r="DN568"/>
      <c r="DO568"/>
      <c r="DP568"/>
      <c r="DQ568"/>
      <c r="DR568"/>
      <c r="DS568"/>
      <c r="DT568"/>
      <c r="DU568"/>
      <c r="DV568"/>
      <c r="DW568"/>
      <c r="DZ568"/>
      <c r="EA568"/>
      <c r="EB568"/>
      <c r="EC568"/>
      <c r="ED568"/>
      <c r="EE568"/>
      <c r="EF568"/>
      <c r="EG568"/>
      <c r="EJ568"/>
      <c r="EK568"/>
      <c r="EL568"/>
      <c r="EM568"/>
      <c r="EN568"/>
      <c r="EO568"/>
      <c r="EP568"/>
      <c r="EQ568"/>
      <c r="ER568"/>
      <c r="ES568"/>
      <c r="ET568"/>
      <c r="EU568"/>
      <c r="EV568"/>
      <c r="EW568"/>
      <c r="EX568"/>
      <c r="EY568"/>
      <c r="EZ568"/>
      <c r="FA568"/>
      <c r="FB568"/>
      <c r="FC568"/>
      <c r="FD568"/>
      <c r="FE568"/>
      <c r="FF568"/>
      <c r="FG568"/>
      <c r="FH568"/>
      <c r="FK568"/>
      <c r="FL568"/>
      <c r="FM568"/>
      <c r="FN568"/>
      <c r="FO568"/>
      <c r="FP568"/>
      <c r="FQ568"/>
      <c r="FR568"/>
      <c r="FS568"/>
      <c r="FT568"/>
      <c r="FU568"/>
      <c r="FV568"/>
      <c r="FW568"/>
      <c r="FX568"/>
      <c r="FY568"/>
      <c r="FZ568"/>
      <c r="GA568"/>
      <c r="GB568"/>
      <c r="GC568"/>
      <c r="GD568"/>
    </row>
    <row r="569" spans="4:186" x14ac:dyDescent="0.15">
      <c r="AG569"/>
      <c r="AH569"/>
      <c r="AJ569"/>
      <c r="AK569"/>
      <c r="AL569"/>
      <c r="AM569"/>
      <c r="AO569"/>
      <c r="AP569"/>
      <c r="AQ569"/>
      <c r="AR569"/>
      <c r="AS569"/>
      <c r="AT569"/>
      <c r="AU569"/>
      <c r="AV569"/>
      <c r="AW569"/>
      <c r="AX569"/>
      <c r="AY569"/>
      <c r="AZ569"/>
      <c r="BA569"/>
      <c r="BB569"/>
      <c r="BC569"/>
      <c r="BD569"/>
      <c r="BE569"/>
      <c r="BF569"/>
      <c r="BH569"/>
      <c r="BI569"/>
      <c r="BJ569"/>
      <c r="BK569"/>
      <c r="BL569"/>
      <c r="BM569"/>
      <c r="BN569"/>
      <c r="BP569"/>
      <c r="BQ569"/>
      <c r="BR569"/>
      <c r="BS569"/>
      <c r="BT569"/>
      <c r="BU569"/>
      <c r="BV569"/>
      <c r="BW569"/>
      <c r="BZ569"/>
      <c r="CA569"/>
      <c r="CB569"/>
      <c r="CC569"/>
      <c r="CD569"/>
      <c r="CF569"/>
      <c r="CG569"/>
      <c r="CH569"/>
      <c r="CI569"/>
      <c r="CJ569"/>
      <c r="CK569"/>
      <c r="CL569"/>
      <c r="CM569"/>
      <c r="CN569"/>
      <c r="CO569"/>
      <c r="CP569"/>
      <c r="CQ569"/>
      <c r="CR569"/>
      <c r="CS569"/>
      <c r="CT569"/>
      <c r="CU569"/>
      <c r="CV569"/>
      <c r="CW569"/>
      <c r="CX569"/>
      <c r="CY569"/>
      <c r="CZ569"/>
      <c r="DA569"/>
      <c r="DB569"/>
      <c r="DC569"/>
      <c r="DD569"/>
      <c r="DE569"/>
      <c r="DG569"/>
      <c r="DH569"/>
      <c r="DI569"/>
      <c r="DJ569"/>
      <c r="DK569"/>
      <c r="DL569"/>
      <c r="DM569"/>
      <c r="DN569"/>
      <c r="DO569"/>
      <c r="DP569"/>
      <c r="DQ569"/>
      <c r="DR569"/>
      <c r="DS569"/>
      <c r="DT569"/>
      <c r="DU569"/>
      <c r="DV569"/>
      <c r="DW569"/>
      <c r="DZ569"/>
      <c r="EA569"/>
      <c r="EB569"/>
      <c r="EC569"/>
      <c r="ED569"/>
      <c r="EE569"/>
      <c r="EF569"/>
      <c r="EG569"/>
      <c r="EJ569"/>
      <c r="EK569"/>
      <c r="EL569"/>
      <c r="EM569"/>
      <c r="EN569"/>
      <c r="EO569"/>
      <c r="EP569"/>
      <c r="EQ569"/>
      <c r="ER569"/>
      <c r="ES569"/>
      <c r="ET569"/>
      <c r="EU569"/>
      <c r="EV569"/>
      <c r="EW569"/>
      <c r="EX569"/>
      <c r="EY569"/>
      <c r="EZ569"/>
      <c r="FA569"/>
      <c r="FB569"/>
      <c r="FC569"/>
      <c r="FD569"/>
      <c r="FE569"/>
      <c r="FF569"/>
      <c r="FG569"/>
      <c r="FH569"/>
      <c r="FK569"/>
      <c r="FL569"/>
      <c r="FM569"/>
      <c r="FN569"/>
      <c r="FO569"/>
      <c r="FP569"/>
      <c r="FQ569"/>
      <c r="FR569"/>
      <c r="FS569"/>
      <c r="FT569"/>
      <c r="FU569"/>
      <c r="FV569"/>
      <c r="FW569"/>
      <c r="FX569"/>
      <c r="FY569"/>
      <c r="FZ569"/>
      <c r="GA569"/>
      <c r="GB569"/>
      <c r="GC569"/>
      <c r="GD569"/>
    </row>
    <row r="570" spans="4:186" x14ac:dyDescent="0.15">
      <c r="AG570"/>
      <c r="AH570"/>
      <c r="AJ570"/>
      <c r="AK570"/>
      <c r="AL570"/>
      <c r="AM570"/>
      <c r="AO570"/>
      <c r="AP570"/>
      <c r="AQ570"/>
      <c r="AR570"/>
      <c r="AS570"/>
      <c r="AT570"/>
      <c r="AU570"/>
      <c r="AV570"/>
      <c r="AW570"/>
      <c r="AX570"/>
      <c r="AY570"/>
      <c r="AZ570"/>
      <c r="BA570"/>
      <c r="BB570"/>
      <c r="BC570"/>
      <c r="BD570"/>
      <c r="BE570"/>
      <c r="BF570"/>
      <c r="BH570"/>
      <c r="BI570"/>
      <c r="BJ570"/>
      <c r="BK570"/>
      <c r="BL570"/>
      <c r="BM570"/>
      <c r="BN570"/>
      <c r="BP570"/>
      <c r="BQ570"/>
      <c r="BR570"/>
      <c r="BS570"/>
      <c r="BT570"/>
      <c r="BU570"/>
      <c r="BV570"/>
      <c r="BW570"/>
      <c r="BZ570"/>
      <c r="CA570"/>
      <c r="CB570"/>
      <c r="CC570"/>
      <c r="CD570"/>
      <c r="CF570"/>
      <c r="CG570"/>
      <c r="CH570"/>
      <c r="CI570"/>
      <c r="CJ570"/>
      <c r="CK570"/>
      <c r="CL570"/>
      <c r="CM570"/>
      <c r="CN570"/>
      <c r="CO570"/>
      <c r="CP570"/>
      <c r="CQ570"/>
      <c r="CR570"/>
      <c r="CS570"/>
      <c r="CT570"/>
      <c r="CU570"/>
      <c r="CV570"/>
      <c r="CW570"/>
      <c r="CX570"/>
      <c r="CY570"/>
      <c r="CZ570"/>
      <c r="DA570"/>
      <c r="DB570"/>
      <c r="DC570"/>
      <c r="DD570"/>
      <c r="DE570"/>
      <c r="DG570"/>
      <c r="DH570"/>
      <c r="DI570"/>
      <c r="DJ570"/>
      <c r="DK570"/>
      <c r="DL570"/>
      <c r="DM570"/>
      <c r="DN570"/>
      <c r="DO570"/>
      <c r="DP570"/>
      <c r="DQ570"/>
      <c r="DR570"/>
      <c r="DS570"/>
      <c r="DT570"/>
      <c r="DU570"/>
      <c r="DV570"/>
      <c r="DW570"/>
      <c r="DZ570"/>
      <c r="EA570"/>
      <c r="EB570"/>
      <c r="EC570"/>
      <c r="ED570"/>
      <c r="EE570"/>
      <c r="EF570"/>
      <c r="EG570"/>
      <c r="EJ570"/>
      <c r="EK570"/>
      <c r="EL570"/>
      <c r="EM570"/>
      <c r="EN570"/>
      <c r="EO570"/>
      <c r="EP570"/>
      <c r="EQ570"/>
      <c r="ER570"/>
      <c r="ES570"/>
      <c r="ET570"/>
      <c r="EU570"/>
      <c r="EV570"/>
      <c r="EW570"/>
      <c r="EX570"/>
      <c r="EY570"/>
      <c r="EZ570"/>
      <c r="FA570"/>
      <c r="FB570"/>
      <c r="FC570"/>
      <c r="FD570"/>
      <c r="FE570"/>
      <c r="FF570"/>
      <c r="FG570"/>
      <c r="FH570"/>
      <c r="FK570"/>
      <c r="FL570"/>
      <c r="FM570"/>
      <c r="FN570"/>
      <c r="FO570"/>
      <c r="FP570"/>
      <c r="FQ570"/>
      <c r="FR570"/>
      <c r="FS570"/>
      <c r="FT570"/>
      <c r="FU570"/>
      <c r="FV570"/>
      <c r="FW570"/>
      <c r="FX570"/>
      <c r="FY570"/>
      <c r="FZ570"/>
      <c r="GA570"/>
      <c r="GB570"/>
      <c r="GC570"/>
      <c r="GD570"/>
    </row>
    <row r="571" spans="4:186" ht="18" x14ac:dyDescent="0.2">
      <c r="D571" s="18" t="str">
        <f>$D$1</f>
        <v>Type 'Heading' Here</v>
      </c>
      <c r="AG571"/>
      <c r="AH571"/>
      <c r="AJ571"/>
      <c r="AK571"/>
      <c r="AL571"/>
      <c r="AM571"/>
      <c r="AO571"/>
      <c r="AP571"/>
      <c r="AQ571"/>
      <c r="AR571"/>
      <c r="AS571"/>
      <c r="AT571"/>
      <c r="AU571"/>
      <c r="AV571"/>
      <c r="AW571"/>
      <c r="AX571"/>
      <c r="AY571"/>
      <c r="AZ571"/>
      <c r="BA571"/>
      <c r="BB571"/>
      <c r="BC571"/>
      <c r="BD571"/>
      <c r="BE571"/>
      <c r="BF571"/>
      <c r="BH571"/>
      <c r="BI571"/>
      <c r="BJ571"/>
      <c r="BK571"/>
      <c r="BL571"/>
      <c r="BM571"/>
      <c r="BN571"/>
      <c r="BP571"/>
      <c r="BQ571"/>
      <c r="BR571"/>
      <c r="BS571"/>
      <c r="BT571"/>
      <c r="BU571"/>
      <c r="BV571"/>
      <c r="BW571"/>
      <c r="BZ571"/>
      <c r="CA571"/>
      <c r="CB571"/>
      <c r="CC571"/>
      <c r="CD571"/>
      <c r="CF571"/>
      <c r="CG571"/>
      <c r="CH571"/>
      <c r="CI571"/>
      <c r="CJ571"/>
      <c r="CK571"/>
      <c r="CL571"/>
      <c r="CM571"/>
      <c r="CN571"/>
      <c r="CO571"/>
      <c r="CP571"/>
      <c r="CQ571"/>
      <c r="CR571"/>
      <c r="CS571"/>
      <c r="CT571"/>
      <c r="CU571"/>
      <c r="CV571"/>
      <c r="CW571"/>
      <c r="CX571"/>
      <c r="CY571"/>
      <c r="CZ571"/>
      <c r="DA571"/>
      <c r="DB571"/>
      <c r="DC571"/>
      <c r="DD571"/>
      <c r="DE571"/>
      <c r="DG571"/>
      <c r="DH571"/>
      <c r="DI571"/>
      <c r="DJ571"/>
      <c r="DK571"/>
      <c r="DL571"/>
      <c r="DM571"/>
      <c r="DN571"/>
      <c r="DO571"/>
      <c r="DP571"/>
      <c r="DQ571"/>
      <c r="DR571"/>
      <c r="DS571"/>
      <c r="DT571"/>
      <c r="DU571"/>
      <c r="DV571"/>
      <c r="DW571"/>
      <c r="DZ571"/>
      <c r="EA571"/>
      <c r="EB571"/>
      <c r="EC571"/>
      <c r="ED571"/>
      <c r="EE571"/>
      <c r="EF571"/>
      <c r="EG571"/>
      <c r="EJ571"/>
      <c r="EK571"/>
      <c r="EL571"/>
      <c r="EM571"/>
      <c r="EN571"/>
      <c r="EO571"/>
      <c r="EP571"/>
      <c r="EQ571"/>
      <c r="ER571"/>
      <c r="ES571"/>
      <c r="ET571"/>
      <c r="EU571"/>
      <c r="EV571"/>
      <c r="EW571"/>
      <c r="EX571"/>
      <c r="EY571"/>
      <c r="EZ571"/>
      <c r="FA571"/>
      <c r="FB571"/>
      <c r="FC571"/>
      <c r="FD571"/>
      <c r="FE571"/>
      <c r="FF571"/>
      <c r="FG571"/>
      <c r="FH571"/>
      <c r="FK571"/>
      <c r="FL571"/>
      <c r="FM571"/>
      <c r="FN571"/>
      <c r="FO571"/>
      <c r="FP571"/>
      <c r="FQ571"/>
      <c r="FR571"/>
      <c r="FS571"/>
      <c r="FT571"/>
      <c r="FU571"/>
      <c r="FV571"/>
      <c r="FW571"/>
      <c r="FX571"/>
      <c r="FY571"/>
      <c r="FZ571"/>
      <c r="GA571"/>
      <c r="GB571"/>
      <c r="GC571"/>
      <c r="GD571"/>
    </row>
    <row r="572" spans="4:186" x14ac:dyDescent="0.15">
      <c r="D572" s="23" t="s">
        <v>151</v>
      </c>
      <c r="AG572"/>
      <c r="AH572"/>
      <c r="AJ572"/>
      <c r="AK572"/>
      <c r="AL572"/>
      <c r="AM572"/>
      <c r="AO572"/>
      <c r="AP572"/>
      <c r="AQ572"/>
      <c r="AR572"/>
      <c r="AS572"/>
      <c r="AT572"/>
      <c r="AU572"/>
      <c r="AV572"/>
      <c r="AW572"/>
      <c r="AX572"/>
      <c r="AY572"/>
      <c r="AZ572"/>
      <c r="BA572"/>
      <c r="BB572"/>
      <c r="BC572"/>
      <c r="BD572"/>
      <c r="BE572"/>
      <c r="BF572"/>
      <c r="BH572"/>
      <c r="BI572"/>
      <c r="BJ572"/>
      <c r="BK572"/>
      <c r="BL572"/>
      <c r="BM572"/>
      <c r="BN572"/>
      <c r="BP572"/>
      <c r="BQ572"/>
      <c r="BR572"/>
      <c r="BS572"/>
      <c r="BT572"/>
      <c r="BU572"/>
      <c r="BV572"/>
      <c r="BW572"/>
      <c r="BZ572"/>
      <c r="CA572"/>
      <c r="CB572"/>
      <c r="CC572"/>
      <c r="CD572"/>
      <c r="CF572"/>
      <c r="CG572"/>
      <c r="CH572"/>
      <c r="CI572"/>
      <c r="CJ572"/>
      <c r="CK572"/>
      <c r="CL572"/>
      <c r="CM572"/>
      <c r="CN572"/>
      <c r="CO572"/>
      <c r="CP572"/>
      <c r="CQ572"/>
      <c r="CR572"/>
      <c r="CS572"/>
      <c r="CT572"/>
      <c r="CU572"/>
      <c r="CV572"/>
      <c r="CW572"/>
      <c r="CX572"/>
      <c r="CY572"/>
      <c r="CZ572"/>
      <c r="DA572"/>
      <c r="DB572"/>
      <c r="DC572"/>
      <c r="DD572"/>
      <c r="DE572"/>
      <c r="DG572"/>
      <c r="DH572"/>
      <c r="DI572"/>
      <c r="DJ572"/>
      <c r="DK572"/>
      <c r="DL572"/>
      <c r="DM572"/>
      <c r="DN572"/>
      <c r="DO572"/>
      <c r="DP572"/>
      <c r="DQ572"/>
      <c r="DR572"/>
      <c r="DS572"/>
      <c r="DT572"/>
      <c r="DU572"/>
      <c r="DV572"/>
      <c r="DW572"/>
      <c r="DZ572"/>
      <c r="EA572"/>
      <c r="EB572"/>
      <c r="EC572"/>
      <c r="ED572"/>
      <c r="EE572"/>
      <c r="EF572"/>
      <c r="EG572"/>
      <c r="EJ572"/>
      <c r="EK572"/>
      <c r="EL572"/>
      <c r="EM572"/>
      <c r="EN572"/>
      <c r="EO572"/>
      <c r="EP572"/>
      <c r="EQ572"/>
      <c r="ER572"/>
      <c r="ES572"/>
      <c r="ET572"/>
      <c r="EU572"/>
      <c r="EV572"/>
      <c r="EW572"/>
      <c r="EX572"/>
      <c r="EY572"/>
      <c r="EZ572"/>
      <c r="FA572"/>
      <c r="FB572"/>
      <c r="FC572"/>
      <c r="FD572"/>
      <c r="FE572"/>
      <c r="FF572"/>
      <c r="FG572"/>
      <c r="FH572"/>
      <c r="FK572"/>
      <c r="FL572"/>
      <c r="FM572"/>
      <c r="FN572"/>
      <c r="FO572"/>
      <c r="FP572"/>
      <c r="FQ572"/>
      <c r="FR572"/>
      <c r="FS572"/>
      <c r="FT572"/>
      <c r="FU572"/>
      <c r="FV572"/>
      <c r="FW572"/>
      <c r="FX572"/>
      <c r="FY572"/>
      <c r="FZ572"/>
      <c r="GA572"/>
      <c r="GB572"/>
      <c r="GC572"/>
      <c r="GD572"/>
    </row>
    <row r="573" spans="4:186" x14ac:dyDescent="0.15">
      <c r="AG573"/>
      <c r="AH573"/>
      <c r="AJ573"/>
      <c r="AK573"/>
      <c r="AL573"/>
      <c r="AM573"/>
      <c r="AO573"/>
      <c r="AP573"/>
      <c r="AQ573"/>
      <c r="AR573"/>
      <c r="AS573"/>
      <c r="AT573"/>
      <c r="AU573"/>
      <c r="AV573"/>
      <c r="AW573"/>
      <c r="AX573"/>
      <c r="AY573"/>
      <c r="AZ573"/>
      <c r="BA573"/>
      <c r="BB573"/>
      <c r="BC573"/>
      <c r="BD573"/>
      <c r="BE573"/>
      <c r="BF573"/>
      <c r="BH573"/>
      <c r="BI573"/>
      <c r="BJ573"/>
      <c r="BK573"/>
      <c r="BL573"/>
      <c r="BM573"/>
      <c r="BN573"/>
      <c r="BP573"/>
      <c r="BQ573"/>
      <c r="BR573"/>
      <c r="BS573"/>
      <c r="BT573"/>
      <c r="BU573"/>
      <c r="BV573"/>
      <c r="BW573"/>
      <c r="BZ573"/>
      <c r="CA573"/>
      <c r="CB573"/>
      <c r="CC573"/>
      <c r="CD573"/>
      <c r="CF573"/>
      <c r="CG573"/>
      <c r="CH573"/>
      <c r="CI573"/>
      <c r="CJ573"/>
      <c r="CK573"/>
      <c r="CL573"/>
      <c r="CM573"/>
      <c r="CN573"/>
      <c r="CO573"/>
      <c r="CP573"/>
      <c r="CQ573"/>
      <c r="CR573"/>
      <c r="CS573"/>
      <c r="CT573"/>
      <c r="CU573"/>
      <c r="CV573"/>
      <c r="CW573"/>
      <c r="CX573"/>
      <c r="CY573"/>
      <c r="CZ573"/>
      <c r="DA573"/>
      <c r="DB573"/>
      <c r="DC573"/>
      <c r="DD573"/>
      <c r="DE573"/>
      <c r="DG573"/>
      <c r="DH573"/>
      <c r="DI573"/>
      <c r="DJ573"/>
      <c r="DK573"/>
      <c r="DL573"/>
      <c r="DM573"/>
      <c r="DN573"/>
      <c r="DO573"/>
      <c r="DP573"/>
      <c r="DQ573"/>
      <c r="DR573"/>
      <c r="DS573"/>
      <c r="DT573"/>
      <c r="DU573"/>
      <c r="DV573"/>
      <c r="DW573"/>
      <c r="DZ573"/>
      <c r="EA573"/>
      <c r="EB573"/>
      <c r="EC573"/>
      <c r="ED573"/>
      <c r="EE573"/>
      <c r="EF573"/>
      <c r="EG573"/>
      <c r="EJ573"/>
      <c r="EK573"/>
      <c r="EL573"/>
      <c r="EM573"/>
      <c r="EN573"/>
      <c r="EO573"/>
      <c r="EP573"/>
      <c r="EQ573"/>
      <c r="ER573"/>
      <c r="ES573"/>
      <c r="ET573"/>
      <c r="EU573"/>
      <c r="EV573"/>
      <c r="EW573"/>
      <c r="EX573"/>
      <c r="EY573"/>
      <c r="EZ573"/>
      <c r="FA573"/>
      <c r="FB573"/>
      <c r="FC573"/>
      <c r="FD573"/>
      <c r="FE573"/>
      <c r="FF573"/>
      <c r="FG573"/>
      <c r="FH573"/>
      <c r="FK573"/>
      <c r="FL573"/>
      <c r="FM573"/>
      <c r="FN573"/>
      <c r="FO573"/>
      <c r="FP573"/>
      <c r="FQ573"/>
      <c r="FR573"/>
      <c r="FS573"/>
      <c r="FT573"/>
      <c r="FU573"/>
      <c r="FV573"/>
      <c r="FW573"/>
      <c r="FX573"/>
      <c r="FY573"/>
      <c r="FZ573"/>
      <c r="GA573"/>
      <c r="GB573"/>
      <c r="GC573"/>
      <c r="GD573"/>
    </row>
    <row r="574" spans="4:186" x14ac:dyDescent="0.15">
      <c r="AG574"/>
      <c r="AH574"/>
      <c r="AJ574"/>
      <c r="AK574"/>
      <c r="AL574"/>
      <c r="AM574"/>
      <c r="AO574"/>
      <c r="AP574"/>
      <c r="AQ574"/>
      <c r="AR574"/>
      <c r="AS574"/>
      <c r="AT574"/>
      <c r="AU574"/>
      <c r="AV574"/>
      <c r="AW574"/>
      <c r="AX574"/>
      <c r="AY574"/>
      <c r="AZ574"/>
      <c r="BA574"/>
      <c r="BB574"/>
      <c r="BC574"/>
      <c r="BD574"/>
      <c r="BE574"/>
      <c r="BF574"/>
      <c r="BH574"/>
      <c r="BI574"/>
      <c r="BJ574"/>
      <c r="BK574"/>
      <c r="BL574"/>
      <c r="BM574"/>
      <c r="BN574"/>
      <c r="BP574"/>
      <c r="BQ574"/>
      <c r="BR574"/>
      <c r="BS574"/>
      <c r="BT574"/>
      <c r="BU574"/>
      <c r="BV574"/>
      <c r="BW574"/>
      <c r="BZ574"/>
      <c r="CA574"/>
      <c r="CB574"/>
      <c r="CC574"/>
      <c r="CD574"/>
      <c r="CF574"/>
      <c r="CG574"/>
      <c r="CH574"/>
      <c r="CI574"/>
      <c r="CJ574"/>
      <c r="CK574"/>
      <c r="CL574"/>
      <c r="CM574"/>
      <c r="CN574"/>
      <c r="CO574"/>
      <c r="CP574"/>
      <c r="CQ574"/>
      <c r="CR574"/>
      <c r="CS574"/>
      <c r="CT574"/>
      <c r="CU574"/>
      <c r="CV574"/>
      <c r="CW574"/>
      <c r="CX574"/>
      <c r="CY574"/>
      <c r="CZ574"/>
      <c r="DA574"/>
      <c r="DB574"/>
      <c r="DC574"/>
      <c r="DD574"/>
      <c r="DE574"/>
      <c r="DG574"/>
      <c r="DH574"/>
      <c r="DI574"/>
      <c r="DJ574"/>
      <c r="DK574"/>
      <c r="DL574"/>
      <c r="DM574"/>
      <c r="DN574"/>
      <c r="DO574"/>
      <c r="DP574"/>
      <c r="DQ574"/>
      <c r="DR574"/>
      <c r="DS574"/>
      <c r="DT574"/>
      <c r="DU574"/>
      <c r="DV574"/>
      <c r="DW574"/>
      <c r="DZ574"/>
      <c r="EA574"/>
      <c r="EB574"/>
      <c r="EC574"/>
      <c r="ED574"/>
      <c r="EE574"/>
      <c r="EF574"/>
      <c r="EG574"/>
      <c r="EJ574"/>
      <c r="EK574"/>
      <c r="EL574"/>
      <c r="EM574"/>
      <c r="EN574"/>
      <c r="EO574"/>
      <c r="EP574"/>
      <c r="EQ574"/>
      <c r="ER574"/>
      <c r="ES574"/>
      <c r="ET574"/>
      <c r="EU574"/>
      <c r="EV574"/>
      <c r="EW574"/>
      <c r="EX574"/>
      <c r="EY574"/>
      <c r="EZ574"/>
      <c r="FA574"/>
      <c r="FB574"/>
      <c r="FC574"/>
      <c r="FD574"/>
      <c r="FE574"/>
      <c r="FF574"/>
      <c r="FG574"/>
      <c r="FH574"/>
      <c r="FK574"/>
      <c r="FL574"/>
      <c r="FM574"/>
      <c r="FN574"/>
      <c r="FO574"/>
      <c r="FP574"/>
      <c r="FQ574"/>
      <c r="FR574"/>
      <c r="FS574"/>
      <c r="FT574"/>
      <c r="FU574"/>
      <c r="FV574"/>
      <c r="FW574"/>
      <c r="FX574"/>
      <c r="FY574"/>
      <c r="FZ574"/>
      <c r="GA574"/>
      <c r="GB574"/>
      <c r="GC574"/>
      <c r="GD574"/>
    </row>
    <row r="575" spans="4:186" x14ac:dyDescent="0.15">
      <c r="AG575"/>
      <c r="AH575"/>
      <c r="AJ575"/>
      <c r="AK575"/>
      <c r="AL575"/>
      <c r="AM575"/>
      <c r="AO575"/>
      <c r="AP575"/>
      <c r="AQ575"/>
      <c r="AR575"/>
      <c r="AS575"/>
      <c r="AT575"/>
      <c r="AU575"/>
      <c r="AV575"/>
      <c r="AW575"/>
      <c r="AX575"/>
      <c r="AY575"/>
      <c r="AZ575"/>
      <c r="BA575"/>
      <c r="BB575"/>
      <c r="BC575"/>
      <c r="BD575"/>
      <c r="BE575"/>
      <c r="BF575"/>
      <c r="BH575"/>
      <c r="BI575"/>
      <c r="BJ575"/>
      <c r="BK575"/>
      <c r="BL575"/>
      <c r="BM575"/>
      <c r="BN575"/>
      <c r="BP575"/>
      <c r="BQ575"/>
      <c r="BR575"/>
      <c r="BS575"/>
      <c r="BT575"/>
      <c r="BU575"/>
      <c r="BV575"/>
      <c r="BW575"/>
      <c r="BZ575"/>
      <c r="CA575"/>
      <c r="CB575"/>
      <c r="CC575"/>
      <c r="CD575"/>
      <c r="CF575"/>
      <c r="CG575"/>
      <c r="CH575"/>
      <c r="CI575"/>
      <c r="CJ575"/>
      <c r="CK575"/>
      <c r="CL575"/>
      <c r="CM575"/>
      <c r="CN575"/>
      <c r="CO575"/>
      <c r="CP575"/>
      <c r="CQ575"/>
      <c r="CR575"/>
      <c r="CS575"/>
      <c r="CT575"/>
      <c r="CU575"/>
      <c r="CV575"/>
      <c r="CW575"/>
      <c r="CX575"/>
      <c r="CY575"/>
      <c r="CZ575"/>
      <c r="DA575"/>
      <c r="DB575"/>
      <c r="DC575"/>
      <c r="DD575"/>
      <c r="DE575"/>
      <c r="DG575"/>
      <c r="DH575"/>
      <c r="DI575"/>
      <c r="DJ575"/>
      <c r="DK575"/>
      <c r="DL575"/>
      <c r="DM575"/>
      <c r="DN575"/>
      <c r="DO575"/>
      <c r="DP575"/>
      <c r="DQ575"/>
      <c r="DR575"/>
      <c r="DS575"/>
      <c r="DT575"/>
      <c r="DU575"/>
      <c r="DV575"/>
      <c r="DW575"/>
      <c r="DZ575"/>
      <c r="EA575"/>
      <c r="EB575"/>
      <c r="EC575"/>
      <c r="ED575"/>
      <c r="EE575"/>
      <c r="EF575"/>
      <c r="EG575"/>
      <c r="EJ575"/>
      <c r="EK575"/>
      <c r="EL575"/>
      <c r="EM575"/>
      <c r="EN575"/>
      <c r="EO575"/>
      <c r="EP575"/>
      <c r="EQ575"/>
      <c r="ER575"/>
      <c r="ES575"/>
      <c r="ET575"/>
      <c r="EU575"/>
      <c r="EV575"/>
      <c r="EW575"/>
      <c r="EX575"/>
      <c r="EY575"/>
      <c r="EZ575"/>
      <c r="FA575"/>
      <c r="FB575"/>
      <c r="FC575"/>
      <c r="FD575"/>
      <c r="FE575"/>
      <c r="FF575"/>
      <c r="FG575"/>
      <c r="FH575"/>
      <c r="FK575"/>
      <c r="FL575"/>
      <c r="FM575"/>
      <c r="FN575"/>
      <c r="FO575"/>
      <c r="FP575"/>
      <c r="FQ575"/>
      <c r="FR575"/>
      <c r="FS575"/>
      <c r="FT575"/>
      <c r="FU575"/>
      <c r="FV575"/>
      <c r="FW575"/>
      <c r="FX575"/>
      <c r="FY575"/>
      <c r="FZ575"/>
      <c r="GA575"/>
      <c r="GB575"/>
      <c r="GC575"/>
      <c r="GD575"/>
    </row>
    <row r="576" spans="4:186" x14ac:dyDescent="0.15">
      <c r="AG576"/>
      <c r="AH576"/>
      <c r="AJ576"/>
      <c r="AK576"/>
      <c r="AL576"/>
      <c r="AM576"/>
      <c r="AO576"/>
      <c r="AP576"/>
      <c r="AQ576"/>
      <c r="AR576"/>
      <c r="AS576"/>
      <c r="AT576"/>
      <c r="AU576"/>
      <c r="AV576"/>
      <c r="AW576"/>
      <c r="AX576"/>
      <c r="AY576"/>
      <c r="AZ576"/>
      <c r="BA576"/>
      <c r="BB576"/>
      <c r="BC576"/>
      <c r="BD576"/>
      <c r="BE576"/>
      <c r="BF576"/>
      <c r="BH576"/>
      <c r="BI576"/>
      <c r="BJ576"/>
      <c r="BK576"/>
      <c r="BL576"/>
      <c r="BM576"/>
      <c r="BN576"/>
      <c r="BP576"/>
      <c r="BQ576"/>
      <c r="BR576"/>
      <c r="BS576"/>
      <c r="BT576"/>
      <c r="BU576"/>
      <c r="BV576"/>
      <c r="BW576"/>
      <c r="BZ576"/>
      <c r="CA576"/>
      <c r="CB576"/>
      <c r="CC576"/>
      <c r="CD576"/>
      <c r="CF576"/>
      <c r="CG576"/>
      <c r="CH576"/>
      <c r="CI576"/>
      <c r="CJ576"/>
      <c r="CK576"/>
      <c r="CL576"/>
      <c r="CM576"/>
      <c r="CN576"/>
      <c r="CO576"/>
      <c r="CP576"/>
      <c r="CQ576"/>
      <c r="CR576"/>
      <c r="CS576"/>
      <c r="CT576"/>
      <c r="CU576"/>
      <c r="CV576"/>
      <c r="CW576"/>
      <c r="CX576"/>
      <c r="CY576"/>
      <c r="CZ576"/>
      <c r="DA576"/>
      <c r="DB576"/>
      <c r="DC576"/>
      <c r="DD576"/>
      <c r="DE576"/>
      <c r="DG576"/>
      <c r="DH576"/>
      <c r="DI576"/>
      <c r="DJ576"/>
      <c r="DK576"/>
      <c r="DL576"/>
      <c r="DM576"/>
      <c r="DN576"/>
      <c r="DO576"/>
      <c r="DP576"/>
      <c r="DQ576"/>
      <c r="DR576"/>
      <c r="DS576"/>
      <c r="DT576"/>
      <c r="DU576"/>
      <c r="DV576"/>
      <c r="DW576"/>
      <c r="DZ576"/>
      <c r="EA576"/>
      <c r="EB576"/>
      <c r="EC576"/>
      <c r="ED576"/>
      <c r="EE576"/>
      <c r="EF576"/>
      <c r="EG576"/>
      <c r="EJ576"/>
      <c r="EK576"/>
      <c r="EL576"/>
      <c r="EM576"/>
      <c r="EN576"/>
      <c r="EO576"/>
      <c r="EP576"/>
      <c r="EQ576"/>
      <c r="ER576"/>
      <c r="ES576"/>
      <c r="ET576"/>
      <c r="EU576"/>
      <c r="EV576"/>
      <c r="EW576"/>
      <c r="EX576"/>
      <c r="EY576"/>
      <c r="EZ576"/>
      <c r="FA576"/>
      <c r="FB576"/>
      <c r="FC576"/>
      <c r="FD576"/>
      <c r="FE576"/>
      <c r="FF576"/>
      <c r="FG576"/>
      <c r="FH576"/>
      <c r="FK576"/>
      <c r="FL576"/>
      <c r="FM576"/>
      <c r="FN576"/>
      <c r="FO576"/>
      <c r="FP576"/>
      <c r="FQ576"/>
      <c r="FR576"/>
      <c r="FS576"/>
      <c r="FT576"/>
      <c r="FU576"/>
      <c r="FV576"/>
      <c r="FW576"/>
      <c r="FX576"/>
      <c r="FY576"/>
      <c r="FZ576"/>
      <c r="GA576"/>
      <c r="GB576"/>
      <c r="GC576"/>
      <c r="GD576"/>
    </row>
    <row r="577" spans="27:186" x14ac:dyDescent="0.15">
      <c r="AG577"/>
      <c r="AH577"/>
      <c r="AJ577"/>
      <c r="AK577"/>
      <c r="AL577"/>
      <c r="AM577"/>
      <c r="AO577"/>
      <c r="AP577"/>
      <c r="AQ577"/>
      <c r="AR577"/>
      <c r="AS577"/>
      <c r="AT577"/>
      <c r="AU577"/>
      <c r="AV577"/>
      <c r="AW577"/>
      <c r="AX577"/>
      <c r="AY577"/>
      <c r="AZ577"/>
      <c r="BA577"/>
      <c r="BB577"/>
      <c r="BC577"/>
      <c r="BD577"/>
      <c r="BE577"/>
      <c r="BF577"/>
      <c r="BH577"/>
      <c r="BI577"/>
      <c r="BJ577"/>
      <c r="BK577"/>
      <c r="BL577"/>
      <c r="BM577"/>
      <c r="BN577"/>
      <c r="BP577"/>
      <c r="BQ577"/>
      <c r="BR577"/>
      <c r="BS577"/>
      <c r="BT577"/>
      <c r="BU577"/>
      <c r="BV577"/>
      <c r="BW577"/>
      <c r="BZ577"/>
      <c r="CA577"/>
      <c r="CB577"/>
      <c r="CC577"/>
      <c r="CD577"/>
      <c r="CF577"/>
      <c r="CG577"/>
      <c r="CH577"/>
      <c r="CI577"/>
      <c r="CJ577"/>
      <c r="CK577"/>
      <c r="CL577"/>
      <c r="CM577"/>
      <c r="CN577"/>
      <c r="CO577"/>
      <c r="CP577"/>
      <c r="CQ577"/>
      <c r="CR577"/>
      <c r="CS577"/>
      <c r="CT577"/>
      <c r="CU577"/>
      <c r="CV577"/>
      <c r="CW577"/>
      <c r="CX577"/>
      <c r="CY577"/>
      <c r="CZ577"/>
      <c r="DA577"/>
      <c r="DB577"/>
      <c r="DC577"/>
      <c r="DD577"/>
      <c r="DE577"/>
      <c r="DG577"/>
      <c r="DH577"/>
      <c r="DI577"/>
      <c r="DJ577"/>
      <c r="DK577"/>
      <c r="DL577"/>
      <c r="DM577"/>
      <c r="DN577"/>
      <c r="DO577"/>
      <c r="DP577"/>
      <c r="DQ577"/>
      <c r="DR577"/>
      <c r="DS577"/>
      <c r="DT577"/>
      <c r="DU577"/>
      <c r="DV577"/>
      <c r="DW577"/>
      <c r="DZ577"/>
      <c r="EA577"/>
      <c r="EB577"/>
      <c r="EC577"/>
      <c r="ED577"/>
      <c r="EE577"/>
      <c r="EF577"/>
      <c r="EG577"/>
      <c r="EJ577"/>
      <c r="EK577"/>
      <c r="EL577"/>
      <c r="EM577"/>
      <c r="EN577"/>
      <c r="EO577"/>
      <c r="EP577"/>
      <c r="EQ577"/>
      <c r="ER577"/>
      <c r="ES577"/>
      <c r="ET577"/>
      <c r="EU577"/>
      <c r="EV577"/>
      <c r="EW577"/>
      <c r="EX577"/>
      <c r="EY577"/>
      <c r="EZ577"/>
      <c r="FA577"/>
      <c r="FB577"/>
      <c r="FC577"/>
      <c r="FD577"/>
      <c r="FE577"/>
      <c r="FF577"/>
      <c r="FG577"/>
      <c r="FH577"/>
      <c r="FK577"/>
      <c r="FL577"/>
      <c r="FM577"/>
      <c r="FN577"/>
      <c r="FO577"/>
      <c r="FP577"/>
      <c r="FQ577"/>
      <c r="FR577"/>
      <c r="FS577"/>
      <c r="FT577"/>
      <c r="FU577"/>
      <c r="FV577"/>
      <c r="FW577"/>
      <c r="FX577"/>
      <c r="FY577"/>
      <c r="FZ577"/>
      <c r="GA577"/>
      <c r="GB577"/>
      <c r="GC577"/>
      <c r="GD577"/>
    </row>
    <row r="578" spans="27:186" x14ac:dyDescent="0.15">
      <c r="AG578"/>
      <c r="AH578"/>
      <c r="AJ578"/>
      <c r="AK578"/>
      <c r="AL578"/>
      <c r="AM578"/>
      <c r="AO578"/>
      <c r="AP578"/>
      <c r="AQ578"/>
      <c r="AR578"/>
      <c r="AS578"/>
      <c r="AT578"/>
      <c r="AU578"/>
      <c r="AV578"/>
      <c r="AW578"/>
      <c r="AX578"/>
      <c r="AY578"/>
      <c r="AZ578"/>
      <c r="BA578"/>
      <c r="BB578"/>
      <c r="BC578"/>
      <c r="BD578"/>
      <c r="BE578"/>
      <c r="BF578"/>
      <c r="BH578"/>
      <c r="BI578"/>
      <c r="BJ578"/>
      <c r="BK578"/>
      <c r="BL578"/>
      <c r="BM578"/>
      <c r="BN578"/>
      <c r="BP578"/>
      <c r="BQ578"/>
      <c r="BR578"/>
      <c r="BS578"/>
      <c r="BT578"/>
      <c r="BU578"/>
      <c r="BV578"/>
      <c r="BW578"/>
      <c r="BZ578"/>
      <c r="CA578"/>
      <c r="CB578"/>
      <c r="CC578"/>
      <c r="CD578"/>
      <c r="CF578"/>
      <c r="CG578"/>
      <c r="CH578"/>
      <c r="CI578"/>
      <c r="CJ578"/>
      <c r="CK578"/>
      <c r="CL578"/>
      <c r="CM578"/>
      <c r="CN578"/>
      <c r="CO578"/>
      <c r="CP578"/>
      <c r="CQ578"/>
      <c r="CR578"/>
      <c r="CS578"/>
      <c r="CT578"/>
      <c r="CU578"/>
      <c r="CV578"/>
      <c r="CW578"/>
      <c r="CX578"/>
      <c r="CY578"/>
      <c r="CZ578"/>
      <c r="DA578"/>
      <c r="DB578"/>
      <c r="DC578"/>
      <c r="DD578"/>
      <c r="DE578"/>
      <c r="DG578"/>
      <c r="DH578"/>
      <c r="DI578"/>
      <c r="DJ578"/>
      <c r="DK578"/>
      <c r="DL578"/>
      <c r="DM578"/>
      <c r="DN578"/>
      <c r="DO578"/>
      <c r="DP578"/>
      <c r="DQ578"/>
      <c r="DR578"/>
      <c r="DS578"/>
      <c r="DT578"/>
      <c r="DU578"/>
      <c r="DV578"/>
      <c r="DW578"/>
      <c r="DZ578"/>
      <c r="EA578"/>
      <c r="EB578"/>
      <c r="EC578"/>
      <c r="ED578"/>
      <c r="EE578"/>
      <c r="EF578"/>
      <c r="EG578"/>
      <c r="EJ578"/>
      <c r="EK578"/>
      <c r="EL578"/>
      <c r="EM578"/>
      <c r="EN578"/>
      <c r="EO578"/>
      <c r="EP578"/>
      <c r="EQ578"/>
      <c r="ER578"/>
      <c r="ES578"/>
      <c r="ET578"/>
      <c r="EU578"/>
      <c r="EV578"/>
      <c r="EW578"/>
      <c r="EX578"/>
      <c r="EY578"/>
      <c r="EZ578"/>
      <c r="FA578"/>
      <c r="FB578"/>
      <c r="FC578"/>
      <c r="FD578"/>
      <c r="FE578"/>
      <c r="FF578"/>
      <c r="FG578"/>
      <c r="FH578"/>
      <c r="FK578"/>
      <c r="FL578"/>
      <c r="FM578"/>
      <c r="FN578"/>
      <c r="FO578"/>
      <c r="FP578"/>
      <c r="FQ578"/>
      <c r="FR578"/>
      <c r="FS578"/>
      <c r="FT578"/>
      <c r="FU578"/>
      <c r="FV578"/>
      <c r="FW578"/>
      <c r="FX578"/>
      <c r="FY578"/>
      <c r="FZ578"/>
      <c r="GA578"/>
      <c r="GB578"/>
      <c r="GC578"/>
      <c r="GD578"/>
    </row>
    <row r="579" spans="27:186" x14ac:dyDescent="0.15">
      <c r="AA579" s="7" t="s">
        <v>149</v>
      </c>
      <c r="AG579"/>
      <c r="AH579"/>
      <c r="AJ579"/>
      <c r="AK579"/>
      <c r="AL579"/>
      <c r="AM579"/>
      <c r="AO579"/>
      <c r="AP579"/>
      <c r="AQ579"/>
      <c r="AR579"/>
      <c r="AS579"/>
      <c r="AT579"/>
      <c r="AU579"/>
      <c r="AV579"/>
      <c r="AW579"/>
      <c r="AX579"/>
      <c r="AY579"/>
      <c r="AZ579"/>
      <c r="BA579"/>
      <c r="BB579"/>
      <c r="BC579"/>
      <c r="BD579"/>
      <c r="BE579"/>
      <c r="BF579"/>
      <c r="BH579"/>
      <c r="BI579"/>
      <c r="BJ579"/>
      <c r="BK579"/>
      <c r="BL579"/>
      <c r="BM579"/>
      <c r="BN579"/>
      <c r="BP579"/>
      <c r="BQ579"/>
      <c r="BR579"/>
      <c r="BS579"/>
      <c r="BT579"/>
      <c r="BU579"/>
      <c r="BV579"/>
      <c r="BW579"/>
      <c r="BZ579"/>
      <c r="CA579"/>
      <c r="CB579"/>
      <c r="CC579"/>
      <c r="CD579"/>
      <c r="CF579"/>
      <c r="CG579"/>
      <c r="CH579"/>
      <c r="CI579"/>
      <c r="CJ579"/>
      <c r="CK579"/>
      <c r="CL579"/>
      <c r="CM579"/>
      <c r="CN579"/>
      <c r="CO579"/>
      <c r="CP579"/>
      <c r="CQ579"/>
      <c r="CR579"/>
      <c r="CS579"/>
      <c r="CT579"/>
      <c r="CU579"/>
      <c r="CV579"/>
      <c r="CW579"/>
      <c r="CX579"/>
      <c r="CY579"/>
      <c r="CZ579"/>
      <c r="DA579"/>
      <c r="DB579"/>
      <c r="DC579"/>
      <c r="DD579"/>
      <c r="DE579"/>
      <c r="DG579"/>
      <c r="DH579"/>
      <c r="DI579"/>
      <c r="DJ579"/>
      <c r="DK579"/>
      <c r="DL579"/>
      <c r="DM579"/>
      <c r="DN579"/>
      <c r="DO579"/>
      <c r="DP579"/>
      <c r="DQ579"/>
      <c r="DR579"/>
      <c r="DS579"/>
      <c r="DT579"/>
      <c r="DU579"/>
      <c r="DV579"/>
      <c r="DW579"/>
      <c r="DZ579"/>
      <c r="EA579"/>
      <c r="EB579"/>
      <c r="EC579"/>
      <c r="ED579"/>
      <c r="EE579"/>
      <c r="EF579"/>
      <c r="EG579"/>
      <c r="EJ579"/>
      <c r="EK579"/>
      <c r="EL579"/>
      <c r="EM579"/>
      <c r="EN579"/>
      <c r="EO579"/>
      <c r="EP579"/>
      <c r="EQ579"/>
      <c r="ER579"/>
      <c r="ES579"/>
      <c r="ET579"/>
      <c r="EU579"/>
      <c r="EV579"/>
      <c r="EW579"/>
      <c r="EX579"/>
      <c r="EY579"/>
      <c r="EZ579"/>
      <c r="FA579"/>
      <c r="FB579"/>
      <c r="FC579"/>
      <c r="FD579"/>
      <c r="FE579"/>
      <c r="FF579"/>
      <c r="FG579"/>
      <c r="FH579"/>
      <c r="FK579"/>
      <c r="FL579"/>
      <c r="FM579"/>
      <c r="FN579"/>
      <c r="FO579"/>
      <c r="FP579"/>
      <c r="FQ579"/>
      <c r="FR579"/>
      <c r="FS579"/>
      <c r="FT579"/>
      <c r="FU579"/>
      <c r="FV579"/>
      <c r="FW579"/>
      <c r="FX579"/>
      <c r="FY579"/>
      <c r="FZ579"/>
      <c r="GA579"/>
      <c r="GB579"/>
      <c r="GC579"/>
      <c r="GD579"/>
    </row>
    <row r="580" spans="27:186" x14ac:dyDescent="0.15">
      <c r="AG580"/>
      <c r="AH580"/>
      <c r="AJ580"/>
      <c r="AK580"/>
      <c r="AL580"/>
      <c r="AM580"/>
      <c r="AO580"/>
      <c r="AP580"/>
      <c r="AQ580"/>
      <c r="AR580"/>
      <c r="AS580"/>
      <c r="AT580"/>
      <c r="AU580"/>
      <c r="AV580"/>
      <c r="AW580"/>
      <c r="AX580"/>
      <c r="AY580"/>
      <c r="AZ580"/>
      <c r="BA580"/>
      <c r="BB580"/>
      <c r="BC580"/>
      <c r="BD580"/>
      <c r="BE580"/>
      <c r="BF580"/>
      <c r="BH580"/>
      <c r="BI580"/>
      <c r="BJ580"/>
      <c r="BK580"/>
      <c r="BL580"/>
      <c r="BM580"/>
      <c r="BN580"/>
      <c r="BP580"/>
      <c r="BQ580"/>
      <c r="BR580"/>
      <c r="BS580"/>
      <c r="BT580"/>
      <c r="BU580"/>
      <c r="BV580"/>
      <c r="BW580"/>
      <c r="BZ580"/>
      <c r="CA580"/>
      <c r="CB580"/>
      <c r="CC580"/>
      <c r="CD580"/>
      <c r="CF580"/>
      <c r="CG580"/>
      <c r="CH580"/>
      <c r="CI580"/>
      <c r="CJ580"/>
      <c r="CK580"/>
      <c r="CL580"/>
      <c r="CM580"/>
      <c r="CN580"/>
      <c r="CO580"/>
      <c r="CP580"/>
      <c r="CQ580"/>
      <c r="CR580"/>
      <c r="CS580"/>
      <c r="CT580"/>
      <c r="CU580"/>
      <c r="CV580"/>
      <c r="CW580"/>
      <c r="CX580"/>
      <c r="CY580"/>
      <c r="CZ580"/>
      <c r="DA580"/>
      <c r="DB580"/>
      <c r="DC580"/>
      <c r="DD580"/>
      <c r="DE580"/>
      <c r="DG580"/>
      <c r="DH580"/>
      <c r="DI580"/>
      <c r="DJ580"/>
      <c r="DK580"/>
      <c r="DL580"/>
      <c r="DM580"/>
      <c r="DN580"/>
      <c r="DO580"/>
      <c r="DP580"/>
      <c r="DQ580"/>
      <c r="DR580"/>
      <c r="DS580"/>
      <c r="DT580"/>
      <c r="DU580"/>
      <c r="DV580"/>
      <c r="DW580"/>
      <c r="DZ580"/>
      <c r="EA580"/>
      <c r="EB580"/>
      <c r="EC580"/>
      <c r="ED580"/>
      <c r="EE580"/>
      <c r="EF580"/>
      <c r="EG580"/>
      <c r="EJ580"/>
      <c r="EK580"/>
      <c r="EL580"/>
      <c r="EM580"/>
      <c r="EN580"/>
      <c r="EO580"/>
      <c r="EP580"/>
      <c r="EQ580"/>
      <c r="ER580"/>
      <c r="ES580"/>
      <c r="ET580"/>
      <c r="EU580"/>
      <c r="EV580"/>
      <c r="EW580"/>
      <c r="EX580"/>
      <c r="EY580"/>
      <c r="EZ580"/>
      <c r="FA580"/>
      <c r="FB580"/>
      <c r="FC580"/>
      <c r="FD580"/>
      <c r="FE580"/>
      <c r="FF580"/>
      <c r="FG580"/>
      <c r="FH580"/>
      <c r="FK580"/>
      <c r="FL580"/>
      <c r="FM580"/>
      <c r="FN580"/>
      <c r="FO580"/>
      <c r="FP580"/>
      <c r="FQ580"/>
      <c r="FR580"/>
      <c r="FS580"/>
      <c r="FT580"/>
      <c r="FU580"/>
      <c r="FV580"/>
      <c r="FW580"/>
      <c r="FX580"/>
      <c r="FY580"/>
      <c r="FZ580"/>
      <c r="GA580"/>
      <c r="GB580"/>
      <c r="GC580"/>
      <c r="GD580"/>
    </row>
    <row r="581" spans="27:186" x14ac:dyDescent="0.15">
      <c r="AG581"/>
      <c r="AH581"/>
      <c r="AJ581"/>
      <c r="AK581"/>
      <c r="AL581"/>
      <c r="AM581"/>
      <c r="AO581"/>
      <c r="AP581"/>
      <c r="AQ581"/>
      <c r="AR581"/>
      <c r="AS581"/>
      <c r="AT581"/>
      <c r="AU581"/>
      <c r="AV581"/>
      <c r="AW581"/>
      <c r="AX581"/>
      <c r="AY581"/>
      <c r="AZ581"/>
      <c r="BA581"/>
      <c r="BB581"/>
      <c r="BC581"/>
      <c r="BD581"/>
      <c r="BE581"/>
      <c r="BF581"/>
      <c r="BH581"/>
      <c r="BI581"/>
      <c r="BJ581"/>
      <c r="BK581"/>
      <c r="BL581"/>
      <c r="BM581"/>
      <c r="BN581"/>
      <c r="BP581"/>
      <c r="BQ581"/>
      <c r="BR581"/>
      <c r="BS581"/>
      <c r="BT581"/>
      <c r="BU581"/>
      <c r="BV581"/>
      <c r="BW581"/>
      <c r="BZ581"/>
      <c r="CA581"/>
      <c r="CB581"/>
      <c r="CC581"/>
      <c r="CD581"/>
      <c r="CF581"/>
      <c r="CG581"/>
      <c r="CH581"/>
      <c r="CI581"/>
      <c r="CJ581"/>
      <c r="CK581"/>
      <c r="CL581"/>
      <c r="CM581"/>
      <c r="CN581"/>
      <c r="CO581"/>
      <c r="CP581"/>
      <c r="CQ581"/>
      <c r="CR581"/>
      <c r="CS581"/>
      <c r="CT581"/>
      <c r="CU581"/>
      <c r="CV581"/>
      <c r="CW581"/>
      <c r="CX581"/>
      <c r="CY581"/>
      <c r="CZ581"/>
      <c r="DA581"/>
      <c r="DB581"/>
      <c r="DC581"/>
      <c r="DD581"/>
      <c r="DE581"/>
      <c r="DG581"/>
      <c r="DH581"/>
      <c r="DI581"/>
      <c r="DJ581"/>
      <c r="DK581"/>
      <c r="DL581"/>
      <c r="DM581"/>
      <c r="DN581"/>
      <c r="DO581"/>
      <c r="DP581"/>
      <c r="DQ581"/>
      <c r="DR581"/>
      <c r="DS581"/>
      <c r="DT581"/>
      <c r="DU581"/>
      <c r="DV581"/>
      <c r="DW581"/>
      <c r="DZ581"/>
      <c r="EA581"/>
      <c r="EB581"/>
      <c r="EC581"/>
      <c r="ED581"/>
      <c r="EE581"/>
      <c r="EF581"/>
      <c r="EG581"/>
      <c r="EJ581"/>
      <c r="EK581"/>
      <c r="EL581"/>
      <c r="EM581"/>
      <c r="EN581"/>
      <c r="EO581"/>
      <c r="EP581"/>
      <c r="EQ581"/>
      <c r="ER581"/>
      <c r="ES581"/>
      <c r="ET581"/>
      <c r="EU581"/>
      <c r="EV581"/>
      <c r="EW581"/>
      <c r="EX581"/>
      <c r="EY581"/>
      <c r="EZ581"/>
      <c r="FA581"/>
      <c r="FB581"/>
      <c r="FC581"/>
      <c r="FD581"/>
      <c r="FE581"/>
      <c r="FF581"/>
      <c r="FG581"/>
      <c r="FH581"/>
      <c r="FK581"/>
      <c r="FL581"/>
      <c r="FM581"/>
      <c r="FN581"/>
      <c r="FO581"/>
      <c r="FP581"/>
      <c r="FQ581"/>
      <c r="FR581"/>
      <c r="FS581"/>
      <c r="FT581"/>
      <c r="FU581"/>
      <c r="FV581"/>
      <c r="FW581"/>
      <c r="FX581"/>
      <c r="FY581"/>
      <c r="FZ581"/>
      <c r="GA581"/>
      <c r="GB581"/>
      <c r="GC581"/>
      <c r="GD581"/>
    </row>
    <row r="582" spans="27:186" x14ac:dyDescent="0.15">
      <c r="AG582"/>
      <c r="AH582"/>
      <c r="AJ582"/>
      <c r="AK582"/>
      <c r="AL582"/>
      <c r="AM582"/>
      <c r="AO582"/>
      <c r="AP582"/>
      <c r="AQ582"/>
      <c r="AR582"/>
      <c r="AS582"/>
      <c r="AT582"/>
      <c r="AU582"/>
      <c r="AV582"/>
      <c r="AW582"/>
      <c r="AX582"/>
      <c r="AY582"/>
      <c r="AZ582"/>
      <c r="BA582"/>
      <c r="BB582"/>
      <c r="BC582"/>
      <c r="BD582"/>
      <c r="BE582"/>
      <c r="BF582"/>
      <c r="BH582"/>
      <c r="BI582"/>
      <c r="BJ582"/>
      <c r="BK582"/>
      <c r="BL582"/>
      <c r="BM582"/>
      <c r="BN582"/>
      <c r="BP582"/>
      <c r="BQ582"/>
      <c r="BR582"/>
      <c r="BS582"/>
      <c r="BT582"/>
      <c r="BU582"/>
      <c r="BV582"/>
      <c r="BW582"/>
      <c r="BZ582"/>
      <c r="CA582"/>
      <c r="CB582"/>
      <c r="CC582"/>
      <c r="CD582"/>
      <c r="CF582"/>
      <c r="CG582"/>
      <c r="CH582"/>
      <c r="CI582"/>
      <c r="CJ582"/>
      <c r="CK582"/>
      <c r="CL582"/>
      <c r="CM582"/>
      <c r="CN582"/>
      <c r="CO582"/>
      <c r="CP582"/>
      <c r="CQ582"/>
      <c r="CR582"/>
      <c r="CS582"/>
      <c r="CT582"/>
      <c r="CU582"/>
      <c r="CV582"/>
      <c r="CW582"/>
      <c r="CX582"/>
      <c r="CY582"/>
      <c r="CZ582"/>
      <c r="DA582"/>
      <c r="DB582"/>
      <c r="DC582"/>
      <c r="DD582"/>
      <c r="DE582"/>
      <c r="DG582"/>
      <c r="DH582"/>
      <c r="DI582"/>
      <c r="DJ582"/>
      <c r="DK582"/>
      <c r="DL582"/>
      <c r="DM582"/>
      <c r="DN582"/>
      <c r="DO582"/>
      <c r="DP582"/>
      <c r="DQ582"/>
      <c r="DR582"/>
      <c r="DS582"/>
      <c r="DT582"/>
      <c r="DU582"/>
      <c r="DV582"/>
      <c r="DW582"/>
      <c r="DZ582"/>
      <c r="EA582"/>
      <c r="EB582"/>
      <c r="EC582"/>
      <c r="ED582"/>
      <c r="EE582"/>
      <c r="EF582"/>
      <c r="EG582"/>
      <c r="EJ582"/>
      <c r="EK582"/>
      <c r="EL582"/>
      <c r="EM582"/>
      <c r="EN582"/>
      <c r="EO582"/>
      <c r="EP582"/>
      <c r="EQ582"/>
      <c r="ER582"/>
      <c r="ES582"/>
      <c r="ET582"/>
      <c r="EU582"/>
      <c r="EV582"/>
      <c r="EW582"/>
      <c r="EX582"/>
      <c r="EY582"/>
      <c r="EZ582"/>
      <c r="FA582"/>
      <c r="FB582"/>
      <c r="FC582"/>
      <c r="FD582"/>
      <c r="FE582"/>
      <c r="FF582"/>
      <c r="FG582"/>
      <c r="FH582"/>
      <c r="FK582"/>
      <c r="FL582"/>
      <c r="FM582"/>
      <c r="FN582"/>
      <c r="FO582"/>
      <c r="FP582"/>
      <c r="FQ582"/>
      <c r="FR582"/>
      <c r="FS582"/>
      <c r="FT582"/>
      <c r="FU582"/>
      <c r="FV582"/>
      <c r="FW582"/>
      <c r="FX582"/>
      <c r="FY582"/>
      <c r="FZ582"/>
      <c r="GA582"/>
      <c r="GB582"/>
      <c r="GC582"/>
      <c r="GD582"/>
    </row>
    <row r="583" spans="27:186" x14ac:dyDescent="0.15">
      <c r="AG583"/>
      <c r="AH583"/>
      <c r="AJ583"/>
      <c r="AK583"/>
      <c r="AL583"/>
      <c r="AM583"/>
      <c r="AO583"/>
      <c r="AP583"/>
      <c r="AQ583"/>
      <c r="AR583"/>
      <c r="AS583"/>
      <c r="AT583"/>
      <c r="AU583"/>
      <c r="AV583"/>
      <c r="AW583"/>
      <c r="AX583"/>
      <c r="AY583"/>
      <c r="AZ583"/>
      <c r="BA583"/>
      <c r="BB583"/>
      <c r="BC583"/>
      <c r="BD583"/>
      <c r="BE583"/>
      <c r="BF583"/>
      <c r="BH583"/>
      <c r="BI583"/>
      <c r="BJ583"/>
      <c r="BK583"/>
      <c r="BL583"/>
      <c r="BM583"/>
      <c r="BN583"/>
      <c r="BP583"/>
      <c r="BQ583"/>
      <c r="BR583"/>
      <c r="BS583"/>
      <c r="BT583"/>
      <c r="BU583"/>
      <c r="BV583"/>
      <c r="BW583"/>
      <c r="BZ583"/>
      <c r="CA583"/>
      <c r="CB583"/>
      <c r="CC583"/>
      <c r="CD583"/>
      <c r="CF583"/>
      <c r="CG583"/>
      <c r="CH583"/>
      <c r="CI583"/>
      <c r="CJ583"/>
      <c r="CK583"/>
      <c r="CL583"/>
      <c r="CM583"/>
      <c r="CN583"/>
      <c r="CO583"/>
      <c r="CP583"/>
      <c r="CQ583"/>
      <c r="CR583"/>
      <c r="CS583"/>
      <c r="CT583"/>
      <c r="CU583"/>
      <c r="CV583"/>
      <c r="CW583"/>
      <c r="CX583"/>
      <c r="CY583"/>
      <c r="CZ583"/>
      <c r="DA583"/>
      <c r="DB583"/>
      <c r="DC583"/>
      <c r="DD583"/>
      <c r="DE583"/>
      <c r="DG583"/>
      <c r="DH583"/>
      <c r="DI583"/>
      <c r="DJ583"/>
      <c r="DK583"/>
      <c r="DL583"/>
      <c r="DM583"/>
      <c r="DN583"/>
      <c r="DO583"/>
      <c r="DP583"/>
      <c r="DQ583"/>
      <c r="DR583"/>
      <c r="DS583"/>
      <c r="DT583"/>
      <c r="DU583"/>
      <c r="DV583"/>
      <c r="DW583"/>
      <c r="DZ583"/>
      <c r="EA583"/>
      <c r="EB583"/>
      <c r="EC583"/>
      <c r="ED583"/>
      <c r="EE583"/>
      <c r="EF583"/>
      <c r="EG583"/>
      <c r="EJ583"/>
      <c r="EK583"/>
      <c r="EL583"/>
      <c r="EM583"/>
      <c r="EN583"/>
      <c r="EO583"/>
      <c r="EP583"/>
      <c r="EQ583"/>
      <c r="ER583"/>
      <c r="ES583"/>
      <c r="ET583"/>
      <c r="EU583"/>
      <c r="EV583"/>
      <c r="EW583"/>
      <c r="EX583"/>
      <c r="EY583"/>
      <c r="EZ583"/>
      <c r="FA583"/>
      <c r="FB583"/>
      <c r="FC583"/>
      <c r="FD583"/>
      <c r="FE583"/>
      <c r="FF583"/>
      <c r="FG583"/>
      <c r="FH583"/>
      <c r="FK583"/>
      <c r="FL583"/>
      <c r="FM583"/>
      <c r="FN583"/>
      <c r="FO583"/>
      <c r="FP583"/>
      <c r="FQ583"/>
      <c r="FR583"/>
      <c r="FS583"/>
      <c r="FT583"/>
      <c r="FU583"/>
      <c r="FV583"/>
      <c r="FW583"/>
      <c r="FX583"/>
      <c r="FY583"/>
      <c r="FZ583"/>
      <c r="GA583"/>
      <c r="GB583"/>
      <c r="GC583"/>
      <c r="GD583"/>
    </row>
    <row r="584" spans="27:186" x14ac:dyDescent="0.15">
      <c r="AG584"/>
      <c r="AH584"/>
      <c r="AJ584"/>
      <c r="AK584"/>
      <c r="AL584"/>
      <c r="AM584"/>
      <c r="AO584"/>
      <c r="AP584"/>
      <c r="AQ584"/>
      <c r="AR584"/>
      <c r="AS584"/>
      <c r="AT584"/>
      <c r="AU584"/>
      <c r="AV584"/>
      <c r="AW584"/>
      <c r="AX584"/>
      <c r="AY584"/>
      <c r="AZ584"/>
      <c r="BA584"/>
      <c r="BB584"/>
      <c r="BC584"/>
      <c r="BD584"/>
      <c r="BE584"/>
      <c r="BF584"/>
      <c r="BH584"/>
      <c r="BI584"/>
      <c r="BJ584"/>
      <c r="BK584"/>
      <c r="BL584"/>
      <c r="BM584"/>
      <c r="BN584"/>
      <c r="BP584"/>
      <c r="BQ584"/>
      <c r="BR584"/>
      <c r="BS584"/>
      <c r="BT584"/>
      <c r="BU584"/>
      <c r="BV584"/>
      <c r="BW584"/>
      <c r="BZ584"/>
      <c r="CA584"/>
      <c r="CB584"/>
      <c r="CC584"/>
      <c r="CD584"/>
      <c r="CF584"/>
      <c r="CG584"/>
      <c r="CH584"/>
      <c r="CI584"/>
      <c r="CJ584"/>
      <c r="CK584"/>
      <c r="CL584"/>
      <c r="CM584"/>
      <c r="CN584"/>
      <c r="CO584"/>
      <c r="CP584"/>
      <c r="CQ584"/>
      <c r="CR584"/>
      <c r="CS584"/>
      <c r="CT584"/>
      <c r="CU584"/>
      <c r="CV584"/>
      <c r="CW584"/>
      <c r="CX584"/>
      <c r="CY584"/>
      <c r="CZ584"/>
      <c r="DA584"/>
      <c r="DB584"/>
      <c r="DC584"/>
      <c r="DD584"/>
      <c r="DE584"/>
      <c r="DG584"/>
      <c r="DH584"/>
      <c r="DI584"/>
      <c r="DJ584"/>
      <c r="DK584"/>
      <c r="DL584"/>
      <c r="DM584"/>
      <c r="DN584"/>
      <c r="DO584"/>
      <c r="DP584"/>
      <c r="DQ584"/>
      <c r="DR584"/>
      <c r="DS584"/>
      <c r="DT584"/>
      <c r="DU584"/>
      <c r="DV584"/>
      <c r="DW584"/>
      <c r="DZ584"/>
      <c r="EA584"/>
      <c r="EB584"/>
      <c r="EC584"/>
      <c r="ED584"/>
      <c r="EE584"/>
      <c r="EF584"/>
      <c r="EG584"/>
      <c r="EJ584"/>
      <c r="EK584"/>
      <c r="EL584"/>
      <c r="EM584"/>
      <c r="EN584"/>
      <c r="EO584"/>
      <c r="EP584"/>
      <c r="EQ584"/>
      <c r="ER584"/>
      <c r="ES584"/>
      <c r="ET584"/>
      <c r="EU584"/>
      <c r="EV584"/>
      <c r="EW584"/>
      <c r="EX584"/>
      <c r="EY584"/>
      <c r="EZ584"/>
      <c r="FA584"/>
      <c r="FB584"/>
      <c r="FC584"/>
      <c r="FD584"/>
      <c r="FE584"/>
      <c r="FF584"/>
      <c r="FG584"/>
      <c r="FH584"/>
      <c r="FK584"/>
      <c r="FL584"/>
      <c r="FM584"/>
      <c r="FN584"/>
      <c r="FO584"/>
      <c r="FP584"/>
      <c r="FQ584"/>
      <c r="FR584"/>
      <c r="FS584"/>
      <c r="FT584"/>
      <c r="FU584"/>
      <c r="FV584"/>
      <c r="FW584"/>
      <c r="FX584"/>
      <c r="FY584"/>
      <c r="FZ584"/>
      <c r="GA584"/>
      <c r="GB584"/>
      <c r="GC584"/>
      <c r="GD584"/>
    </row>
    <row r="585" spans="27:186" x14ac:dyDescent="0.15">
      <c r="AG585"/>
      <c r="AH585"/>
      <c r="AJ585"/>
      <c r="AK585"/>
      <c r="AL585"/>
      <c r="AM585"/>
      <c r="AO585"/>
      <c r="AP585"/>
      <c r="AQ585"/>
      <c r="AR585"/>
      <c r="AS585"/>
      <c r="AT585"/>
      <c r="AU585"/>
      <c r="AV585"/>
      <c r="AW585"/>
      <c r="AX585"/>
      <c r="AY585"/>
      <c r="AZ585"/>
      <c r="BA585"/>
      <c r="BB585"/>
      <c r="BC585"/>
      <c r="BD585"/>
      <c r="BE585"/>
      <c r="BF585"/>
      <c r="BH585"/>
      <c r="BI585"/>
      <c r="BJ585"/>
      <c r="BK585"/>
      <c r="BL585"/>
      <c r="BM585"/>
      <c r="BN585"/>
      <c r="BP585"/>
      <c r="BQ585"/>
      <c r="BR585"/>
      <c r="BS585"/>
      <c r="BT585"/>
      <c r="BU585"/>
      <c r="BV585"/>
      <c r="BW585"/>
      <c r="BZ585"/>
      <c r="CA585"/>
      <c r="CB585"/>
      <c r="CC585"/>
      <c r="CD585"/>
      <c r="CF585"/>
      <c r="CG585"/>
      <c r="CH585"/>
      <c r="CI585"/>
      <c r="CJ585"/>
      <c r="CK585"/>
      <c r="CL585"/>
      <c r="CM585"/>
      <c r="CN585"/>
      <c r="CO585"/>
      <c r="CP585"/>
      <c r="CQ585"/>
      <c r="CR585"/>
      <c r="CS585"/>
      <c r="CT585"/>
      <c r="CU585"/>
      <c r="CV585"/>
      <c r="CW585"/>
      <c r="CX585"/>
      <c r="CY585"/>
      <c r="CZ585"/>
      <c r="DA585"/>
      <c r="DB585"/>
      <c r="DC585"/>
      <c r="DD585"/>
      <c r="DE585"/>
      <c r="DG585"/>
      <c r="DH585"/>
      <c r="DI585"/>
      <c r="DJ585"/>
      <c r="DK585"/>
      <c r="DL585"/>
      <c r="DM585"/>
      <c r="DN585"/>
      <c r="DO585"/>
      <c r="DP585"/>
      <c r="DQ585"/>
      <c r="DR585"/>
      <c r="DS585"/>
      <c r="DT585"/>
      <c r="DU585"/>
      <c r="DV585"/>
      <c r="DW585"/>
      <c r="DZ585"/>
      <c r="EA585"/>
      <c r="EB585"/>
      <c r="EC585"/>
      <c r="ED585"/>
      <c r="EE585"/>
      <c r="EF585"/>
      <c r="EG585"/>
      <c r="EJ585"/>
      <c r="EK585"/>
      <c r="EL585"/>
      <c r="EM585"/>
      <c r="EN585"/>
      <c r="EO585"/>
      <c r="EP585"/>
      <c r="EQ585"/>
      <c r="ER585"/>
      <c r="ES585"/>
      <c r="ET585"/>
      <c r="EU585"/>
      <c r="EV585"/>
      <c r="EW585"/>
      <c r="EX585"/>
      <c r="EY585"/>
      <c r="EZ585"/>
      <c r="FA585"/>
      <c r="FB585"/>
      <c r="FC585"/>
      <c r="FD585"/>
      <c r="FE585"/>
      <c r="FF585"/>
      <c r="FG585"/>
      <c r="FH585"/>
      <c r="FK585"/>
      <c r="FL585"/>
      <c r="FM585"/>
      <c r="FN585"/>
      <c r="FO585"/>
      <c r="FP585"/>
      <c r="FQ585"/>
      <c r="FR585"/>
      <c r="FS585"/>
      <c r="FT585"/>
      <c r="FU585"/>
      <c r="FV585"/>
      <c r="FW585"/>
      <c r="FX585"/>
      <c r="FY585"/>
      <c r="FZ585"/>
      <c r="GA585"/>
      <c r="GB585"/>
      <c r="GC585"/>
      <c r="GD585"/>
    </row>
    <row r="586" spans="27:186" x14ac:dyDescent="0.15">
      <c r="AG586"/>
      <c r="AH586"/>
      <c r="AJ586"/>
      <c r="AK586"/>
      <c r="AL586"/>
      <c r="AM586"/>
      <c r="AO586"/>
      <c r="AP586"/>
      <c r="AQ586"/>
      <c r="AR586"/>
      <c r="AS586"/>
      <c r="AT586"/>
      <c r="AU586"/>
      <c r="AV586"/>
      <c r="AW586"/>
      <c r="AX586"/>
      <c r="AY586"/>
      <c r="AZ586"/>
      <c r="BA586"/>
      <c r="BB586"/>
      <c r="BC586"/>
      <c r="BD586"/>
      <c r="BE586"/>
      <c r="BF586"/>
      <c r="BH586"/>
      <c r="BI586"/>
      <c r="BJ586"/>
      <c r="BK586"/>
      <c r="BL586"/>
      <c r="BM586"/>
      <c r="BN586"/>
      <c r="BP586"/>
      <c r="BQ586"/>
      <c r="BR586"/>
      <c r="BS586"/>
      <c r="BT586"/>
      <c r="BU586"/>
      <c r="BV586"/>
      <c r="BW586"/>
      <c r="BZ586"/>
      <c r="CA586"/>
      <c r="CB586"/>
      <c r="CC586"/>
      <c r="CD586"/>
      <c r="CF586"/>
      <c r="CG586"/>
      <c r="CH586"/>
      <c r="CI586"/>
      <c r="CJ586"/>
      <c r="CK586"/>
      <c r="CL586"/>
      <c r="CM586"/>
      <c r="CN586"/>
      <c r="CO586"/>
      <c r="CP586"/>
      <c r="CQ586"/>
      <c r="CR586"/>
      <c r="CS586"/>
      <c r="CT586"/>
      <c r="CU586"/>
      <c r="CV586"/>
      <c r="CW586"/>
      <c r="CX586"/>
      <c r="CY586"/>
      <c r="CZ586"/>
      <c r="DA586"/>
      <c r="DB586"/>
      <c r="DC586"/>
      <c r="DD586"/>
      <c r="DE586"/>
      <c r="DG586"/>
      <c r="DH586"/>
      <c r="DI586"/>
      <c r="DJ586"/>
      <c r="DK586"/>
      <c r="DL586"/>
      <c r="DM586"/>
      <c r="DN586"/>
      <c r="DO586"/>
      <c r="DP586"/>
      <c r="DQ586"/>
      <c r="DR586"/>
      <c r="DS586"/>
      <c r="DT586"/>
      <c r="DU586"/>
      <c r="DV586"/>
      <c r="DW586"/>
      <c r="DZ586"/>
      <c r="EA586"/>
      <c r="EB586"/>
      <c r="EC586"/>
      <c r="ED586"/>
      <c r="EE586"/>
      <c r="EF586"/>
      <c r="EG586"/>
      <c r="EJ586"/>
      <c r="EK586"/>
      <c r="EL586"/>
      <c r="EM586"/>
      <c r="EN586"/>
      <c r="EO586"/>
      <c r="EP586"/>
      <c r="EQ586"/>
      <c r="ER586"/>
      <c r="ES586"/>
      <c r="ET586"/>
      <c r="EU586"/>
      <c r="EV586"/>
      <c r="EW586"/>
      <c r="EX586"/>
      <c r="EY586"/>
      <c r="EZ586"/>
      <c r="FA586"/>
      <c r="FB586"/>
      <c r="FC586"/>
      <c r="FD586"/>
      <c r="FE586"/>
      <c r="FF586"/>
      <c r="FG586"/>
      <c r="FH586"/>
      <c r="FK586"/>
      <c r="FL586"/>
      <c r="FM586"/>
      <c r="FN586"/>
      <c r="FO586"/>
      <c r="FP586"/>
      <c r="FQ586"/>
      <c r="FR586"/>
      <c r="FS586"/>
      <c r="FT586"/>
      <c r="FU586"/>
      <c r="FV586"/>
      <c r="FW586"/>
      <c r="FX586"/>
      <c r="FY586"/>
      <c r="FZ586"/>
      <c r="GA586"/>
      <c r="GB586"/>
      <c r="GC586"/>
      <c r="GD586"/>
    </row>
    <row r="587" spans="27:186" x14ac:dyDescent="0.15">
      <c r="AG587"/>
      <c r="AH587"/>
      <c r="AJ587"/>
      <c r="AK587"/>
      <c r="AL587"/>
      <c r="AM587"/>
      <c r="AO587"/>
      <c r="AP587"/>
      <c r="AQ587"/>
      <c r="AR587"/>
      <c r="AS587"/>
      <c r="AT587"/>
      <c r="AU587"/>
      <c r="AV587"/>
      <c r="AW587"/>
      <c r="AX587"/>
      <c r="AY587"/>
      <c r="AZ587"/>
      <c r="BA587"/>
      <c r="BB587"/>
      <c r="BC587"/>
      <c r="BD587"/>
      <c r="BE587"/>
      <c r="BF587"/>
      <c r="BH587"/>
      <c r="BI587"/>
      <c r="BJ587"/>
      <c r="BK587"/>
      <c r="BL587"/>
      <c r="BM587"/>
      <c r="BN587"/>
      <c r="BP587"/>
      <c r="BQ587"/>
      <c r="BR587"/>
      <c r="BS587"/>
      <c r="BT587"/>
      <c r="BU587"/>
      <c r="BV587"/>
      <c r="BW587"/>
      <c r="BZ587"/>
      <c r="CA587"/>
      <c r="CB587"/>
      <c r="CC587"/>
      <c r="CD587"/>
      <c r="CF587"/>
      <c r="CG587"/>
      <c r="CH587"/>
      <c r="CI587"/>
      <c r="CJ587"/>
      <c r="CK587"/>
      <c r="CL587"/>
      <c r="CM587"/>
      <c r="CN587"/>
      <c r="CO587"/>
      <c r="CP587"/>
      <c r="CQ587"/>
      <c r="CR587"/>
      <c r="CS587"/>
      <c r="CT587"/>
      <c r="CU587"/>
      <c r="CV587"/>
      <c r="CW587"/>
      <c r="CX587"/>
      <c r="CY587"/>
      <c r="CZ587"/>
      <c r="DA587"/>
      <c r="DB587"/>
      <c r="DC587"/>
      <c r="DD587"/>
      <c r="DE587"/>
      <c r="DG587"/>
      <c r="DH587"/>
      <c r="DI587"/>
      <c r="DJ587"/>
      <c r="DK587"/>
      <c r="DL587"/>
      <c r="DM587"/>
      <c r="DN587"/>
      <c r="DO587"/>
      <c r="DP587"/>
      <c r="DQ587"/>
      <c r="DR587"/>
      <c r="DS587"/>
      <c r="DT587"/>
      <c r="DU587"/>
      <c r="DV587"/>
      <c r="DW587"/>
      <c r="DZ587"/>
      <c r="EA587"/>
      <c r="EB587"/>
      <c r="EC587"/>
      <c r="ED587"/>
      <c r="EE587"/>
      <c r="EF587"/>
      <c r="EG587"/>
      <c r="EJ587"/>
      <c r="EK587"/>
      <c r="EL587"/>
      <c r="EM587"/>
      <c r="EN587"/>
      <c r="EO587"/>
      <c r="EP587"/>
      <c r="EQ587"/>
      <c r="ER587"/>
      <c r="ES587"/>
      <c r="ET587"/>
      <c r="EU587"/>
      <c r="EV587"/>
      <c r="EW587"/>
      <c r="EX587"/>
      <c r="EY587"/>
      <c r="EZ587"/>
      <c r="FA587"/>
      <c r="FB587"/>
      <c r="FC587"/>
      <c r="FD587"/>
      <c r="FE587"/>
      <c r="FF587"/>
      <c r="FG587"/>
      <c r="FH587"/>
      <c r="FK587"/>
      <c r="FL587"/>
      <c r="FM587"/>
      <c r="FN587"/>
      <c r="FO587"/>
      <c r="FP587"/>
      <c r="FQ587"/>
      <c r="FR587"/>
      <c r="FS587"/>
      <c r="FT587"/>
      <c r="FU587"/>
      <c r="FV587"/>
      <c r="FW587"/>
      <c r="FX587"/>
      <c r="FY587"/>
      <c r="FZ587"/>
      <c r="GA587"/>
      <c r="GB587"/>
      <c r="GC587"/>
      <c r="GD587"/>
    </row>
    <row r="588" spans="27:186" x14ac:dyDescent="0.15">
      <c r="AG588"/>
      <c r="AH588"/>
      <c r="AJ588"/>
      <c r="AK588"/>
      <c r="AL588"/>
      <c r="AM588"/>
      <c r="AO588"/>
      <c r="AP588"/>
      <c r="AQ588"/>
      <c r="AR588"/>
      <c r="AS588"/>
      <c r="AT588"/>
      <c r="AU588"/>
      <c r="AV588"/>
      <c r="AW588"/>
      <c r="AX588"/>
      <c r="AY588"/>
      <c r="AZ588"/>
      <c r="BA588"/>
      <c r="BB588"/>
      <c r="BC588"/>
      <c r="BD588"/>
      <c r="BE588"/>
      <c r="BF588"/>
      <c r="BH588"/>
      <c r="BI588"/>
      <c r="BJ588"/>
      <c r="BK588"/>
      <c r="BL588"/>
      <c r="BM588"/>
      <c r="BN588"/>
      <c r="BP588"/>
      <c r="BQ588"/>
      <c r="BR588"/>
      <c r="BS588"/>
      <c r="BT588"/>
      <c r="BU588"/>
      <c r="BV588"/>
      <c r="BW588"/>
      <c r="BZ588"/>
      <c r="CA588"/>
      <c r="CB588"/>
      <c r="CC588"/>
      <c r="CD588"/>
      <c r="CF588"/>
      <c r="CG588"/>
      <c r="CH588"/>
      <c r="CI588"/>
      <c r="CJ588"/>
      <c r="CK588"/>
      <c r="CL588"/>
      <c r="CM588"/>
      <c r="CN588"/>
      <c r="CO588"/>
      <c r="CP588"/>
      <c r="CQ588"/>
      <c r="CR588"/>
      <c r="CS588"/>
      <c r="CT588"/>
      <c r="CU588"/>
      <c r="CV588"/>
      <c r="CW588"/>
      <c r="CX588"/>
      <c r="CY588"/>
      <c r="CZ588"/>
      <c r="DA588"/>
      <c r="DB588"/>
      <c r="DC588"/>
      <c r="DD588"/>
      <c r="DE588"/>
      <c r="DG588"/>
      <c r="DH588"/>
      <c r="DI588"/>
      <c r="DJ588"/>
      <c r="DK588"/>
      <c r="DL588"/>
      <c r="DM588"/>
      <c r="DN588"/>
      <c r="DO588"/>
      <c r="DP588"/>
      <c r="DQ588"/>
      <c r="DR588"/>
      <c r="DS588"/>
      <c r="DT588"/>
      <c r="DU588"/>
      <c r="DV588"/>
      <c r="DW588"/>
      <c r="DZ588"/>
      <c r="EA588"/>
      <c r="EB588"/>
      <c r="EC588"/>
      <c r="ED588"/>
      <c r="EE588"/>
      <c r="EF588"/>
      <c r="EG588"/>
      <c r="EJ588"/>
      <c r="EK588"/>
      <c r="EL588"/>
      <c r="EM588"/>
      <c r="EN588"/>
      <c r="EO588"/>
      <c r="EP588"/>
      <c r="EQ588"/>
      <c r="ER588"/>
      <c r="ES588"/>
      <c r="ET588"/>
      <c r="EU588"/>
      <c r="EV588"/>
      <c r="EW588"/>
      <c r="EX588"/>
      <c r="EY588"/>
      <c r="EZ588"/>
      <c r="FA588"/>
      <c r="FB588"/>
      <c r="FC588"/>
      <c r="FD588"/>
      <c r="FE588"/>
      <c r="FF588"/>
      <c r="FG588"/>
      <c r="FH588"/>
      <c r="FK588"/>
      <c r="FL588"/>
      <c r="FM588"/>
      <c r="FN588"/>
      <c r="FO588"/>
      <c r="FP588"/>
      <c r="FQ588"/>
      <c r="FR588"/>
      <c r="FS588"/>
      <c r="FT588"/>
      <c r="FU588"/>
      <c r="FV588"/>
      <c r="FW588"/>
      <c r="FX588"/>
      <c r="FY588"/>
      <c r="FZ588"/>
      <c r="GA588"/>
      <c r="GB588"/>
      <c r="GC588"/>
      <c r="GD588"/>
    </row>
    <row r="589" spans="27:186" x14ac:dyDescent="0.15">
      <c r="AG589"/>
      <c r="AH589"/>
      <c r="AJ589"/>
      <c r="AK589"/>
      <c r="AL589"/>
      <c r="AM589"/>
      <c r="AO589"/>
      <c r="AP589"/>
      <c r="AQ589"/>
      <c r="AR589"/>
      <c r="AS589"/>
      <c r="AT589"/>
      <c r="AU589"/>
      <c r="AV589"/>
      <c r="AW589"/>
      <c r="AX589"/>
      <c r="AY589"/>
      <c r="AZ589"/>
      <c r="BA589"/>
      <c r="BB589"/>
      <c r="BC589"/>
      <c r="BD589"/>
      <c r="BE589"/>
      <c r="BF589"/>
      <c r="BH589"/>
      <c r="BI589"/>
      <c r="BJ589"/>
      <c r="BK589"/>
      <c r="BL589"/>
      <c r="BM589"/>
      <c r="BN589"/>
      <c r="BP589"/>
      <c r="BQ589"/>
      <c r="BR589"/>
      <c r="BS589"/>
      <c r="BT589"/>
      <c r="BU589"/>
      <c r="BV589"/>
      <c r="BW589"/>
      <c r="BZ589"/>
      <c r="CA589"/>
      <c r="CB589"/>
      <c r="CC589"/>
      <c r="CD589"/>
      <c r="CF589"/>
      <c r="CG589"/>
      <c r="CH589"/>
      <c r="CI589"/>
      <c r="CJ589"/>
      <c r="CK589"/>
      <c r="CL589"/>
      <c r="CM589"/>
      <c r="CN589"/>
      <c r="CO589"/>
      <c r="CP589"/>
      <c r="CQ589"/>
      <c r="CR589"/>
      <c r="CS589"/>
      <c r="CT589"/>
      <c r="CU589"/>
      <c r="CV589"/>
      <c r="CW589"/>
      <c r="CX589"/>
      <c r="CY589"/>
      <c r="CZ589"/>
      <c r="DA589"/>
      <c r="DB589"/>
      <c r="DC589"/>
      <c r="DD589"/>
      <c r="DE589"/>
      <c r="DG589"/>
      <c r="DH589"/>
      <c r="DI589"/>
      <c r="DJ589"/>
      <c r="DK589"/>
      <c r="DL589"/>
      <c r="DM589"/>
      <c r="DN589"/>
      <c r="DO589"/>
      <c r="DP589"/>
      <c r="DQ589"/>
      <c r="DR589"/>
      <c r="DS589"/>
      <c r="DT589"/>
      <c r="DU589"/>
      <c r="DV589"/>
      <c r="DW589"/>
      <c r="DZ589"/>
      <c r="EA589"/>
      <c r="EB589"/>
      <c r="EC589"/>
      <c r="ED589"/>
      <c r="EE589"/>
      <c r="EF589"/>
      <c r="EG589"/>
      <c r="EJ589"/>
      <c r="EK589"/>
      <c r="EL589"/>
      <c r="EM589"/>
      <c r="EN589"/>
      <c r="EO589"/>
      <c r="EP589"/>
      <c r="EQ589"/>
      <c r="ER589"/>
      <c r="ES589"/>
      <c r="ET589"/>
      <c r="EU589"/>
      <c r="EV589"/>
      <c r="EW589"/>
      <c r="EX589"/>
      <c r="EY589"/>
      <c r="EZ589"/>
      <c r="FA589"/>
      <c r="FB589"/>
      <c r="FC589"/>
      <c r="FD589"/>
      <c r="FE589"/>
      <c r="FF589"/>
      <c r="FG589"/>
      <c r="FH589"/>
      <c r="FK589"/>
      <c r="FL589"/>
      <c r="FM589"/>
      <c r="FN589"/>
      <c r="FO589"/>
      <c r="FP589"/>
      <c r="FQ589"/>
      <c r="FR589"/>
      <c r="FS589"/>
      <c r="FT589"/>
      <c r="FU589"/>
      <c r="FV589"/>
      <c r="FW589"/>
      <c r="FX589"/>
      <c r="FY589"/>
      <c r="FZ589"/>
      <c r="GA589"/>
      <c r="GB589"/>
      <c r="GC589"/>
      <c r="GD589"/>
    </row>
    <row r="590" spans="27:186" x14ac:dyDescent="0.15">
      <c r="AG590"/>
      <c r="AH590"/>
      <c r="AJ590"/>
      <c r="AK590"/>
      <c r="AL590"/>
      <c r="AM590"/>
      <c r="AO590"/>
      <c r="AP590"/>
      <c r="AQ590"/>
      <c r="AR590"/>
      <c r="AS590"/>
      <c r="AT590"/>
      <c r="AU590"/>
      <c r="AV590"/>
      <c r="AW590"/>
      <c r="AX590"/>
      <c r="AY590"/>
      <c r="AZ590"/>
      <c r="BA590"/>
      <c r="BB590"/>
      <c r="BC590"/>
      <c r="BD590"/>
      <c r="BE590"/>
      <c r="BF590"/>
      <c r="BH590"/>
      <c r="BI590"/>
      <c r="BJ590"/>
      <c r="BK590"/>
      <c r="BL590"/>
      <c r="BM590"/>
      <c r="BN590"/>
      <c r="BP590"/>
      <c r="BQ590"/>
      <c r="BR590"/>
      <c r="BS590"/>
      <c r="BT590"/>
      <c r="BU590"/>
      <c r="BV590"/>
      <c r="BW590"/>
      <c r="BZ590"/>
      <c r="CA590"/>
      <c r="CB590"/>
      <c r="CC590"/>
      <c r="CD590"/>
      <c r="CF590"/>
      <c r="CG590"/>
      <c r="CH590"/>
      <c r="CI590"/>
      <c r="CJ590"/>
      <c r="CK590"/>
      <c r="CL590"/>
      <c r="CM590"/>
      <c r="CN590"/>
      <c r="CO590"/>
      <c r="CP590"/>
      <c r="CQ590"/>
      <c r="CR590"/>
      <c r="CS590"/>
      <c r="CT590"/>
      <c r="CU590"/>
      <c r="CV590"/>
      <c r="CW590"/>
      <c r="CX590"/>
      <c r="CY590"/>
      <c r="CZ590"/>
      <c r="DA590"/>
      <c r="DB590"/>
      <c r="DC590"/>
      <c r="DD590"/>
      <c r="DE590"/>
      <c r="DG590"/>
      <c r="DH590"/>
      <c r="DI590"/>
      <c r="DJ590"/>
      <c r="DK590"/>
      <c r="DL590"/>
      <c r="DM590"/>
      <c r="DN590"/>
      <c r="DO590"/>
      <c r="DP590"/>
      <c r="DQ590"/>
      <c r="DR590"/>
      <c r="DS590"/>
      <c r="DT590"/>
      <c r="DU590"/>
      <c r="DV590"/>
      <c r="DW590"/>
      <c r="DZ590"/>
      <c r="EA590"/>
      <c r="EB590"/>
      <c r="EC590"/>
      <c r="ED590"/>
      <c r="EE590"/>
      <c r="EF590"/>
      <c r="EG590"/>
      <c r="EJ590"/>
      <c r="EK590"/>
      <c r="EL590"/>
      <c r="EM590"/>
      <c r="EN590"/>
      <c r="EO590"/>
      <c r="EP590"/>
      <c r="EQ590"/>
      <c r="ER590"/>
      <c r="ES590"/>
      <c r="ET590"/>
      <c r="EU590"/>
      <c r="EV590"/>
      <c r="EW590"/>
      <c r="EX590"/>
      <c r="EY590"/>
      <c r="EZ590"/>
      <c r="FA590"/>
      <c r="FB590"/>
      <c r="FC590"/>
      <c r="FD590"/>
      <c r="FE590"/>
      <c r="FF590"/>
      <c r="FG590"/>
      <c r="FH590"/>
      <c r="FK590"/>
      <c r="FL590"/>
      <c r="FM590"/>
      <c r="FN590"/>
      <c r="FO590"/>
      <c r="FP590"/>
      <c r="FQ590"/>
      <c r="FR590"/>
      <c r="FS590"/>
      <c r="FT590"/>
      <c r="FU590"/>
      <c r="FV590"/>
      <c r="FW590"/>
      <c r="FX590"/>
      <c r="FY590"/>
      <c r="FZ590"/>
      <c r="GA590"/>
      <c r="GB590"/>
      <c r="GC590"/>
      <c r="GD590"/>
    </row>
    <row r="591" spans="27:186" x14ac:dyDescent="0.15">
      <c r="AG591"/>
      <c r="AH591"/>
      <c r="AJ591"/>
      <c r="AK591"/>
      <c r="AL591"/>
      <c r="AM591"/>
      <c r="AO591"/>
      <c r="AP591"/>
      <c r="AQ591"/>
      <c r="AR591"/>
      <c r="AS591"/>
      <c r="AT591"/>
      <c r="AU591"/>
      <c r="AV591"/>
      <c r="AW591"/>
      <c r="AX591"/>
      <c r="AY591"/>
      <c r="AZ591"/>
      <c r="BA591"/>
      <c r="BB591"/>
      <c r="BC591"/>
      <c r="BD591"/>
      <c r="BE591"/>
      <c r="BF591"/>
      <c r="BH591"/>
      <c r="BI591"/>
      <c r="BJ591"/>
      <c r="BK591"/>
      <c r="BL591"/>
      <c r="BM591"/>
      <c r="BN591"/>
      <c r="BP591"/>
      <c r="BQ591"/>
      <c r="BR591"/>
      <c r="BS591"/>
      <c r="BT591"/>
      <c r="BU591"/>
      <c r="BV591"/>
      <c r="BW591"/>
      <c r="BZ591"/>
      <c r="CA591"/>
      <c r="CB591"/>
      <c r="CC591"/>
      <c r="CD591"/>
      <c r="CF591"/>
      <c r="CG591"/>
      <c r="CH591"/>
      <c r="CI591"/>
      <c r="CJ591"/>
      <c r="CK591"/>
      <c r="CL591"/>
      <c r="CM591"/>
      <c r="CN591"/>
      <c r="CO591"/>
      <c r="CP591"/>
      <c r="CQ591"/>
      <c r="CR591"/>
      <c r="CS591"/>
      <c r="CT591"/>
      <c r="CU591"/>
      <c r="CV591"/>
      <c r="CW591"/>
      <c r="CX591"/>
      <c r="CY591"/>
      <c r="CZ591"/>
      <c r="DA591"/>
      <c r="DB591"/>
      <c r="DC591"/>
      <c r="DD591"/>
      <c r="DE591"/>
      <c r="DG591"/>
      <c r="DH591"/>
      <c r="DI591"/>
      <c r="DJ591"/>
      <c r="DK591"/>
      <c r="DL591"/>
      <c r="DM591"/>
      <c r="DN591"/>
      <c r="DO591"/>
      <c r="DP591"/>
      <c r="DQ591"/>
      <c r="DR591"/>
      <c r="DS591"/>
      <c r="DT591"/>
      <c r="DU591"/>
      <c r="DV591"/>
      <c r="DW591"/>
      <c r="DZ591"/>
      <c r="EA591"/>
      <c r="EB591"/>
      <c r="EC591"/>
      <c r="ED591"/>
      <c r="EE591"/>
      <c r="EF591"/>
      <c r="EG591"/>
      <c r="EJ591"/>
      <c r="EK591"/>
      <c r="EL591"/>
      <c r="EM591"/>
      <c r="EN591"/>
      <c r="EO591"/>
      <c r="EP591"/>
      <c r="EQ591"/>
      <c r="ER591"/>
      <c r="ES591"/>
      <c r="ET591"/>
      <c r="EU591"/>
      <c r="EV591"/>
      <c r="EW591"/>
      <c r="EX591"/>
      <c r="EY591"/>
      <c r="EZ591"/>
      <c r="FA591"/>
      <c r="FB591"/>
      <c r="FC591"/>
      <c r="FD591"/>
      <c r="FE591"/>
      <c r="FF591"/>
      <c r="FG591"/>
      <c r="FH591"/>
      <c r="FK591"/>
      <c r="FL591"/>
      <c r="FM591"/>
      <c r="FN591"/>
      <c r="FO591"/>
      <c r="FP591"/>
      <c r="FQ591"/>
      <c r="FR591"/>
      <c r="FS591"/>
      <c r="FT591"/>
      <c r="FU591"/>
      <c r="FV591"/>
      <c r="FW591"/>
      <c r="FX591"/>
      <c r="FY591"/>
      <c r="FZ591"/>
      <c r="GA591"/>
      <c r="GB591"/>
      <c r="GC591"/>
      <c r="GD591"/>
    </row>
    <row r="592" spans="27:186" x14ac:dyDescent="0.15">
      <c r="AG592"/>
      <c r="AH592"/>
      <c r="AJ592"/>
      <c r="AK592"/>
      <c r="AL592"/>
      <c r="AM592"/>
      <c r="AO592"/>
      <c r="AP592"/>
      <c r="AQ592"/>
      <c r="AR592"/>
      <c r="AS592"/>
      <c r="AT592"/>
      <c r="AU592"/>
      <c r="AV592"/>
      <c r="AW592"/>
      <c r="AX592"/>
      <c r="AY592"/>
      <c r="AZ592"/>
      <c r="BA592"/>
      <c r="BB592"/>
      <c r="BC592"/>
      <c r="BD592"/>
      <c r="BE592"/>
      <c r="BF592"/>
      <c r="BH592"/>
      <c r="BI592"/>
      <c r="BJ592"/>
      <c r="BK592"/>
      <c r="BL592"/>
      <c r="BM592"/>
      <c r="BN592"/>
      <c r="BP592"/>
      <c r="BQ592"/>
      <c r="BR592"/>
      <c r="BS592"/>
      <c r="BT592"/>
      <c r="BU592"/>
      <c r="BV592"/>
      <c r="BW592"/>
      <c r="BZ592"/>
      <c r="CA592"/>
      <c r="CB592"/>
      <c r="CC592"/>
      <c r="CD592"/>
      <c r="CF592"/>
      <c r="CG592"/>
      <c r="CH592"/>
      <c r="CI592"/>
      <c r="CJ592"/>
      <c r="CK592"/>
      <c r="CL592"/>
      <c r="CM592"/>
      <c r="CN592"/>
      <c r="CO592"/>
      <c r="CP592"/>
      <c r="CQ592"/>
      <c r="CR592"/>
      <c r="CS592"/>
      <c r="CT592"/>
      <c r="CU592"/>
      <c r="CV592"/>
      <c r="CW592"/>
      <c r="CX592"/>
      <c r="CY592"/>
      <c r="CZ592"/>
      <c r="DA592"/>
      <c r="DB592"/>
      <c r="DC592"/>
      <c r="DD592"/>
      <c r="DE592"/>
      <c r="DG592"/>
      <c r="DH592"/>
      <c r="DI592"/>
      <c r="DJ592"/>
      <c r="DK592"/>
      <c r="DL592"/>
      <c r="DM592"/>
      <c r="DN592"/>
      <c r="DO592"/>
      <c r="DP592"/>
      <c r="DQ592"/>
      <c r="DR592"/>
      <c r="DS592"/>
      <c r="DT592"/>
      <c r="DU592"/>
      <c r="DV592"/>
      <c r="DW592"/>
      <c r="DZ592"/>
      <c r="EA592"/>
      <c r="EB592"/>
      <c r="EC592"/>
      <c r="ED592"/>
      <c r="EE592"/>
      <c r="EF592"/>
      <c r="EG592"/>
      <c r="EJ592"/>
      <c r="EK592"/>
      <c r="EL592"/>
      <c r="EM592"/>
      <c r="EN592"/>
      <c r="EO592"/>
      <c r="EP592"/>
      <c r="EQ592"/>
      <c r="ER592"/>
      <c r="ES592"/>
      <c r="ET592"/>
      <c r="EU592"/>
      <c r="EV592"/>
      <c r="EW592"/>
      <c r="EX592"/>
      <c r="EY592"/>
      <c r="EZ592"/>
      <c r="FA592"/>
      <c r="FB592"/>
      <c r="FC592"/>
      <c r="FD592"/>
      <c r="FE592"/>
      <c r="FF592"/>
      <c r="FG592"/>
      <c r="FH592"/>
      <c r="FK592"/>
      <c r="FL592"/>
      <c r="FM592"/>
      <c r="FN592"/>
      <c r="FO592"/>
      <c r="FP592"/>
      <c r="FQ592"/>
      <c r="FR592"/>
      <c r="FS592"/>
      <c r="FT592"/>
      <c r="FU592"/>
      <c r="FV592"/>
      <c r="FW592"/>
      <c r="FX592"/>
      <c r="FY592"/>
      <c r="FZ592"/>
      <c r="GA592"/>
      <c r="GB592"/>
      <c r="GC592"/>
      <c r="GD592"/>
    </row>
    <row r="593" spans="1:186" x14ac:dyDescent="0.15">
      <c r="AG593"/>
      <c r="AH593"/>
      <c r="AJ593"/>
      <c r="AK593"/>
      <c r="AL593"/>
      <c r="AM593"/>
      <c r="AO593"/>
      <c r="AP593"/>
      <c r="AQ593"/>
      <c r="AR593"/>
      <c r="AS593"/>
      <c r="AT593"/>
      <c r="AU593"/>
      <c r="AV593"/>
      <c r="AW593"/>
      <c r="AX593"/>
      <c r="AY593"/>
      <c r="AZ593"/>
      <c r="BA593"/>
      <c r="BB593"/>
      <c r="BC593"/>
      <c r="BD593"/>
      <c r="BE593"/>
      <c r="BF593"/>
      <c r="BH593"/>
      <c r="BI593"/>
      <c r="BJ593"/>
      <c r="BK593"/>
      <c r="BL593"/>
      <c r="BM593"/>
      <c r="BN593"/>
      <c r="BP593"/>
      <c r="BQ593"/>
      <c r="BR593"/>
      <c r="BS593"/>
      <c r="BT593"/>
      <c r="BU593"/>
      <c r="BV593"/>
      <c r="BW593"/>
      <c r="BZ593"/>
      <c r="CA593"/>
      <c r="CB593"/>
      <c r="CC593"/>
      <c r="CD593"/>
      <c r="CF593"/>
      <c r="CG593"/>
      <c r="CH593"/>
      <c r="CI593"/>
      <c r="CJ593"/>
      <c r="CK593"/>
      <c r="CL593"/>
      <c r="CM593"/>
      <c r="CN593"/>
      <c r="CO593"/>
      <c r="CP593"/>
      <c r="CQ593"/>
      <c r="CR593"/>
      <c r="CS593"/>
      <c r="CT593"/>
      <c r="CU593"/>
      <c r="CV593"/>
      <c r="CW593"/>
      <c r="CX593"/>
      <c r="CY593"/>
      <c r="CZ593"/>
      <c r="DA593"/>
      <c r="DB593"/>
      <c r="DC593"/>
      <c r="DD593"/>
      <c r="DE593"/>
      <c r="DG593"/>
      <c r="DH593"/>
      <c r="DI593"/>
      <c r="DJ593"/>
      <c r="DK593"/>
      <c r="DL593"/>
      <c r="DM593"/>
      <c r="DN593"/>
      <c r="DO593"/>
      <c r="DP593"/>
      <c r="DQ593"/>
      <c r="DR593"/>
      <c r="DS593"/>
      <c r="DT593"/>
      <c r="DU593"/>
      <c r="DV593"/>
      <c r="DW593"/>
      <c r="DZ593"/>
      <c r="EA593"/>
      <c r="EB593"/>
      <c r="EC593"/>
      <c r="ED593"/>
      <c r="EE593"/>
      <c r="EF593"/>
      <c r="EG593"/>
      <c r="EJ593"/>
      <c r="EK593"/>
      <c r="EL593"/>
      <c r="EM593"/>
      <c r="EN593"/>
      <c r="EO593"/>
      <c r="EP593"/>
      <c r="EQ593"/>
      <c r="ER593"/>
      <c r="ES593"/>
      <c r="ET593"/>
      <c r="EU593"/>
      <c r="EV593"/>
      <c r="EW593"/>
      <c r="EX593"/>
      <c r="EY593"/>
      <c r="EZ593"/>
      <c r="FA593"/>
      <c r="FB593"/>
      <c r="FC593"/>
      <c r="FD593"/>
      <c r="FE593"/>
      <c r="FF593"/>
      <c r="FG593"/>
      <c r="FH593"/>
      <c r="FK593"/>
      <c r="FL593"/>
      <c r="FM593"/>
      <c r="FN593"/>
      <c r="FO593"/>
      <c r="FP593"/>
      <c r="FQ593"/>
      <c r="FR593"/>
      <c r="FS593"/>
      <c r="FT593"/>
      <c r="FU593"/>
      <c r="FV593"/>
      <c r="FW593"/>
      <c r="FX593"/>
      <c r="FY593"/>
      <c r="FZ593"/>
      <c r="GA593"/>
      <c r="GB593"/>
      <c r="GC593"/>
      <c r="GD593"/>
    </row>
    <row r="594" spans="1:186" x14ac:dyDescent="0.15">
      <c r="AG594"/>
      <c r="AH594"/>
      <c r="AJ594"/>
      <c r="AK594"/>
      <c r="AL594"/>
      <c r="AM594"/>
      <c r="AO594"/>
      <c r="AP594"/>
      <c r="AQ594"/>
      <c r="AR594"/>
      <c r="AS594"/>
      <c r="AT594"/>
      <c r="AU594"/>
      <c r="AV594"/>
      <c r="AW594"/>
      <c r="AX594"/>
      <c r="AY594"/>
      <c r="AZ594"/>
      <c r="BA594"/>
      <c r="BB594"/>
      <c r="BC594"/>
      <c r="BD594"/>
      <c r="BE594"/>
      <c r="BF594"/>
      <c r="BH594"/>
      <c r="BI594"/>
      <c r="BJ594"/>
      <c r="BK594"/>
      <c r="BL594"/>
      <c r="BM594"/>
      <c r="BN594"/>
      <c r="BP594"/>
      <c r="BQ594"/>
      <c r="BR594"/>
      <c r="BS594"/>
      <c r="BT594"/>
      <c r="BU594"/>
      <c r="BV594"/>
      <c r="BW594"/>
      <c r="BZ594"/>
      <c r="CA594"/>
      <c r="CB594"/>
      <c r="CC594"/>
      <c r="CD594"/>
      <c r="CF594"/>
      <c r="CG594"/>
      <c r="CH594"/>
      <c r="CI594"/>
      <c r="CJ594"/>
      <c r="CK594"/>
      <c r="CL594"/>
      <c r="CM594"/>
      <c r="CN594"/>
      <c r="CO594"/>
      <c r="CP594"/>
      <c r="CQ594"/>
      <c r="CR594"/>
      <c r="CS594"/>
      <c r="CT594"/>
      <c r="CU594"/>
      <c r="CV594"/>
      <c r="CW594"/>
      <c r="CX594"/>
      <c r="CY594"/>
      <c r="CZ594"/>
      <c r="DA594"/>
      <c r="DB594"/>
      <c r="DC594"/>
      <c r="DD594"/>
      <c r="DE594"/>
      <c r="DG594"/>
      <c r="DH594"/>
      <c r="DI594"/>
      <c r="DJ594"/>
      <c r="DK594"/>
      <c r="DL594"/>
      <c r="DM594"/>
      <c r="DN594"/>
      <c r="DO594"/>
      <c r="DP594"/>
      <c r="DQ594"/>
      <c r="DR594"/>
      <c r="DS594"/>
      <c r="DT594"/>
      <c r="DU594"/>
      <c r="DV594"/>
      <c r="DW594"/>
      <c r="DZ594"/>
      <c r="EA594"/>
      <c r="EB594"/>
      <c r="EC594"/>
      <c r="ED594"/>
      <c r="EE594"/>
      <c r="EF594"/>
      <c r="EG594"/>
      <c r="EJ594"/>
      <c r="EK594"/>
      <c r="EL594"/>
      <c r="EM594"/>
      <c r="EN594"/>
      <c r="EO594"/>
      <c r="EP594"/>
      <c r="EQ594"/>
      <c r="ER594"/>
      <c r="ES594"/>
      <c r="ET594"/>
      <c r="EU594"/>
      <c r="EV594"/>
      <c r="EW594"/>
      <c r="EX594"/>
      <c r="EY594"/>
      <c r="EZ594"/>
      <c r="FA594"/>
      <c r="FB594"/>
      <c r="FC594"/>
      <c r="FD594"/>
      <c r="FE594"/>
      <c r="FF594"/>
      <c r="FG594"/>
      <c r="FH594"/>
      <c r="FK594"/>
      <c r="FL594"/>
      <c r="FM594"/>
      <c r="FN594"/>
      <c r="FO594"/>
      <c r="FP594"/>
      <c r="FQ594"/>
      <c r="FR594"/>
      <c r="FS594"/>
      <c r="FT594"/>
      <c r="FU594"/>
      <c r="FV594"/>
      <c r="FW594"/>
      <c r="FX594"/>
      <c r="FY594"/>
      <c r="FZ594"/>
      <c r="GA594"/>
      <c r="GB594"/>
      <c r="GC594"/>
      <c r="GD594"/>
    </row>
    <row r="595" spans="1:186" x14ac:dyDescent="0.15">
      <c r="AG595"/>
      <c r="AH595"/>
      <c r="AJ595"/>
      <c r="AK595"/>
      <c r="AL595"/>
      <c r="AM595"/>
      <c r="AO595"/>
      <c r="AP595"/>
      <c r="AQ595"/>
      <c r="AR595"/>
      <c r="AS595"/>
      <c r="AT595"/>
      <c r="AU595"/>
      <c r="AV595"/>
      <c r="AW595"/>
      <c r="AX595"/>
      <c r="AY595"/>
      <c r="AZ595"/>
      <c r="BA595"/>
      <c r="BB595"/>
      <c r="BC595"/>
      <c r="BD595"/>
      <c r="BE595"/>
      <c r="BF595"/>
      <c r="BH595"/>
      <c r="BI595"/>
      <c r="BJ595"/>
      <c r="BK595"/>
      <c r="BL595"/>
      <c r="BM595"/>
      <c r="BN595"/>
      <c r="BP595"/>
      <c r="BQ595"/>
      <c r="BR595"/>
      <c r="BS595"/>
      <c r="BT595"/>
      <c r="BU595"/>
      <c r="BV595"/>
      <c r="BW595"/>
      <c r="BZ595"/>
      <c r="CA595"/>
      <c r="CB595"/>
      <c r="CC595"/>
      <c r="CD595"/>
      <c r="CF595"/>
      <c r="CG595"/>
      <c r="CH595"/>
      <c r="CI595"/>
      <c r="CJ595"/>
      <c r="CK595"/>
      <c r="CL595"/>
      <c r="CM595"/>
      <c r="CN595"/>
      <c r="CO595"/>
      <c r="CP595"/>
      <c r="CQ595"/>
      <c r="CR595"/>
      <c r="CS595"/>
      <c r="CT595"/>
      <c r="CU595"/>
      <c r="CV595"/>
      <c r="CW595"/>
      <c r="CX595"/>
      <c r="CY595"/>
      <c r="CZ595"/>
      <c r="DA595"/>
      <c r="DB595"/>
      <c r="DC595"/>
      <c r="DD595"/>
      <c r="DE595"/>
      <c r="DG595"/>
      <c r="DH595"/>
      <c r="DI595"/>
      <c r="DJ595"/>
      <c r="DK595"/>
      <c r="DL595"/>
      <c r="DM595"/>
      <c r="DN595"/>
      <c r="DO595"/>
      <c r="DP595"/>
      <c r="DQ595"/>
      <c r="DR595"/>
      <c r="DS595"/>
      <c r="DT595"/>
      <c r="DU595"/>
      <c r="DV595"/>
      <c r="DW595"/>
      <c r="DZ595"/>
      <c r="EA595"/>
      <c r="EB595"/>
      <c r="EC595"/>
      <c r="ED595"/>
      <c r="EE595"/>
      <c r="EF595"/>
      <c r="EG595"/>
      <c r="EJ595"/>
      <c r="EK595"/>
      <c r="EL595"/>
      <c r="EM595"/>
      <c r="EN595"/>
      <c r="EO595"/>
      <c r="EP595"/>
      <c r="EQ595"/>
      <c r="ER595"/>
      <c r="ES595"/>
      <c r="ET595"/>
      <c r="EU595"/>
      <c r="EV595"/>
      <c r="EW595"/>
      <c r="EX595"/>
      <c r="EY595"/>
      <c r="EZ595"/>
      <c r="FA595"/>
      <c r="FB595"/>
      <c r="FC595"/>
      <c r="FD595"/>
      <c r="FE595"/>
      <c r="FF595"/>
      <c r="FG595"/>
      <c r="FH595"/>
      <c r="FK595"/>
      <c r="FL595"/>
      <c r="FM595"/>
      <c r="FN595"/>
      <c r="FO595"/>
      <c r="FP595"/>
      <c r="FQ595"/>
      <c r="FR595"/>
      <c r="FS595"/>
      <c r="FT595"/>
      <c r="FU595"/>
      <c r="FV595"/>
      <c r="FW595"/>
      <c r="FX595"/>
      <c r="FY595"/>
      <c r="FZ595"/>
      <c r="GA595"/>
      <c r="GB595"/>
      <c r="GC595"/>
      <c r="GD595"/>
    </row>
    <row r="596" spans="1:186" x14ac:dyDescent="0.15">
      <c r="A596" s="30" t="s">
        <v>148</v>
      </c>
      <c r="AG596"/>
      <c r="AH596"/>
      <c r="AJ596"/>
      <c r="AK596"/>
      <c r="AL596"/>
      <c r="AM596"/>
      <c r="AO596"/>
      <c r="AP596"/>
      <c r="AQ596"/>
      <c r="AR596"/>
      <c r="AS596"/>
      <c r="AT596"/>
      <c r="AU596"/>
      <c r="AV596"/>
      <c r="AW596"/>
      <c r="AX596"/>
      <c r="AY596"/>
      <c r="AZ596"/>
      <c r="BA596"/>
      <c r="BB596"/>
      <c r="BC596"/>
      <c r="BD596"/>
      <c r="BE596"/>
      <c r="BF596"/>
      <c r="BH596"/>
      <c r="BI596"/>
      <c r="BJ596"/>
      <c r="BK596"/>
      <c r="BL596"/>
      <c r="BM596"/>
      <c r="BN596"/>
      <c r="BP596"/>
      <c r="BQ596"/>
      <c r="BR596"/>
      <c r="BS596"/>
      <c r="BT596"/>
      <c r="BU596"/>
      <c r="BV596"/>
      <c r="BW596"/>
      <c r="BZ596"/>
      <c r="CA596"/>
      <c r="CB596"/>
      <c r="CC596"/>
      <c r="CD596"/>
      <c r="CF596"/>
      <c r="CG596"/>
      <c r="CH596"/>
      <c r="CI596"/>
      <c r="CJ596"/>
      <c r="CK596"/>
      <c r="CL596"/>
      <c r="CM596"/>
      <c r="CN596"/>
      <c r="CO596"/>
      <c r="CP596"/>
      <c r="CQ596"/>
      <c r="CR596"/>
      <c r="CS596"/>
      <c r="CT596"/>
      <c r="CU596"/>
      <c r="CV596"/>
      <c r="CW596"/>
      <c r="CX596"/>
      <c r="CY596"/>
      <c r="CZ596"/>
      <c r="DA596"/>
      <c r="DB596"/>
      <c r="DC596"/>
      <c r="DD596"/>
      <c r="DE596"/>
      <c r="DG596"/>
      <c r="DH596"/>
      <c r="DI596"/>
      <c r="DJ596"/>
      <c r="DK596"/>
      <c r="DL596"/>
      <c r="DM596"/>
      <c r="DN596"/>
      <c r="DO596"/>
      <c r="DP596"/>
      <c r="DQ596"/>
      <c r="DR596"/>
      <c r="DS596"/>
      <c r="DT596"/>
      <c r="DU596"/>
      <c r="DV596"/>
      <c r="DW596"/>
      <c r="DZ596"/>
      <c r="EA596"/>
      <c r="EB596"/>
      <c r="EC596"/>
      <c r="ED596"/>
      <c r="EE596"/>
      <c r="EF596"/>
      <c r="EG596"/>
      <c r="EJ596"/>
      <c r="EK596"/>
      <c r="EL596"/>
      <c r="EM596"/>
      <c r="EN596"/>
      <c r="EO596"/>
      <c r="EP596"/>
      <c r="EQ596"/>
      <c r="ER596"/>
      <c r="ES596"/>
      <c r="ET596"/>
      <c r="EU596"/>
      <c r="EV596"/>
      <c r="EW596"/>
      <c r="EX596"/>
      <c r="EY596"/>
      <c r="EZ596"/>
      <c r="FA596"/>
      <c r="FB596"/>
      <c r="FC596"/>
      <c r="FD596"/>
      <c r="FE596"/>
      <c r="FF596"/>
      <c r="FG596"/>
      <c r="FH596"/>
      <c r="FK596"/>
      <c r="FL596"/>
      <c r="FM596"/>
      <c r="FN596"/>
      <c r="FO596"/>
      <c r="FP596"/>
      <c r="FQ596"/>
      <c r="FR596"/>
      <c r="FS596"/>
      <c r="FT596"/>
      <c r="FU596"/>
      <c r="FV596"/>
      <c r="FW596"/>
      <c r="FX596"/>
      <c r="FY596"/>
      <c r="FZ596"/>
      <c r="GA596"/>
      <c r="GB596"/>
      <c r="GC596"/>
      <c r="GD596"/>
    </row>
    <row r="597" spans="1:186" x14ac:dyDescent="0.15">
      <c r="A597" s="30" t="s">
        <v>147</v>
      </c>
      <c r="AG597"/>
      <c r="AH597"/>
      <c r="AJ597"/>
      <c r="AK597"/>
      <c r="AL597"/>
      <c r="AM597"/>
      <c r="AO597"/>
      <c r="AP597"/>
      <c r="AQ597"/>
      <c r="AR597"/>
      <c r="AS597"/>
      <c r="AT597"/>
      <c r="AU597"/>
      <c r="AV597"/>
      <c r="AW597"/>
      <c r="AX597"/>
      <c r="AY597"/>
      <c r="AZ597"/>
      <c r="BA597"/>
      <c r="BB597"/>
      <c r="BC597"/>
      <c r="BD597"/>
      <c r="BE597"/>
      <c r="BF597"/>
      <c r="BH597"/>
      <c r="BI597"/>
      <c r="BJ597"/>
      <c r="BK597"/>
      <c r="BL597"/>
      <c r="BM597"/>
      <c r="BN597"/>
      <c r="BP597"/>
      <c r="BQ597"/>
      <c r="BR597"/>
      <c r="BS597"/>
      <c r="BT597"/>
      <c r="BU597"/>
      <c r="BV597"/>
      <c r="BW597"/>
      <c r="BZ597"/>
      <c r="CA597"/>
      <c r="CB597"/>
      <c r="CC597"/>
      <c r="CD597"/>
      <c r="CF597"/>
      <c r="CG597"/>
      <c r="CH597"/>
      <c r="CI597"/>
      <c r="CJ597"/>
      <c r="CK597"/>
      <c r="CL597"/>
      <c r="CM597"/>
      <c r="CN597"/>
      <c r="CO597"/>
      <c r="CP597"/>
      <c r="CQ597"/>
      <c r="CR597"/>
      <c r="CS597"/>
      <c r="CT597"/>
      <c r="CU597"/>
      <c r="CV597"/>
      <c r="CW597"/>
      <c r="CX597"/>
      <c r="CY597"/>
      <c r="CZ597"/>
      <c r="DA597"/>
      <c r="DB597"/>
      <c r="DC597"/>
      <c r="DD597"/>
      <c r="DE597"/>
      <c r="DG597"/>
      <c r="DH597"/>
      <c r="DI597"/>
      <c r="DJ597"/>
      <c r="DK597"/>
      <c r="DL597"/>
      <c r="DM597"/>
      <c r="DN597"/>
      <c r="DO597"/>
      <c r="DP597"/>
      <c r="DQ597"/>
      <c r="DR597"/>
      <c r="DS597"/>
      <c r="DT597"/>
      <c r="DU597"/>
      <c r="DV597"/>
      <c r="DW597"/>
      <c r="DZ597"/>
      <c r="EA597"/>
      <c r="EB597"/>
      <c r="EC597"/>
      <c r="ED597"/>
      <c r="EE597"/>
      <c r="EF597"/>
      <c r="EG597"/>
      <c r="EJ597"/>
      <c r="EK597"/>
      <c r="EL597"/>
      <c r="EM597"/>
      <c r="EN597"/>
      <c r="EO597"/>
      <c r="EP597"/>
      <c r="EQ597"/>
      <c r="ER597"/>
      <c r="ES597"/>
      <c r="ET597"/>
      <c r="EU597"/>
      <c r="EV597"/>
      <c r="EW597"/>
      <c r="EX597"/>
      <c r="EY597"/>
      <c r="EZ597"/>
      <c r="FA597"/>
      <c r="FB597"/>
      <c r="FC597"/>
      <c r="FD597"/>
      <c r="FE597"/>
      <c r="FF597"/>
      <c r="FG597"/>
      <c r="FH597"/>
      <c r="FK597"/>
      <c r="FL597"/>
      <c r="FM597"/>
      <c r="FN597"/>
      <c r="FO597"/>
      <c r="FP597"/>
      <c r="FQ597"/>
      <c r="FR597"/>
      <c r="FS597"/>
      <c r="FT597"/>
      <c r="FU597"/>
      <c r="FV597"/>
      <c r="FW597"/>
      <c r="FX597"/>
      <c r="FY597"/>
      <c r="FZ597"/>
      <c r="GA597"/>
      <c r="GB597"/>
      <c r="GC597"/>
      <c r="GD597"/>
    </row>
    <row r="598" spans="1:186" x14ac:dyDescent="0.15">
      <c r="A598" s="30" t="s">
        <v>146</v>
      </c>
      <c r="AG598"/>
      <c r="AH598"/>
      <c r="AJ598"/>
      <c r="AK598"/>
      <c r="AL598"/>
      <c r="AM598"/>
      <c r="AO598"/>
      <c r="AP598"/>
      <c r="AQ598"/>
      <c r="AR598"/>
      <c r="AS598"/>
      <c r="AT598"/>
      <c r="AU598"/>
      <c r="AV598"/>
      <c r="AW598"/>
      <c r="AX598"/>
      <c r="AY598"/>
      <c r="AZ598"/>
      <c r="BA598"/>
      <c r="BB598"/>
      <c r="BC598"/>
      <c r="BD598"/>
      <c r="BE598"/>
      <c r="BF598"/>
      <c r="BH598"/>
      <c r="BI598"/>
      <c r="BJ598"/>
      <c r="BK598"/>
      <c r="BL598"/>
      <c r="BM598"/>
      <c r="BN598"/>
      <c r="BP598"/>
      <c r="BQ598"/>
      <c r="BR598"/>
      <c r="BS598"/>
      <c r="BT598"/>
      <c r="BU598"/>
      <c r="BV598"/>
      <c r="BW598"/>
      <c r="BZ598"/>
      <c r="CA598"/>
      <c r="CB598"/>
      <c r="CC598"/>
      <c r="CD598"/>
      <c r="CF598"/>
      <c r="CG598"/>
      <c r="CH598"/>
      <c r="CI598"/>
      <c r="CJ598"/>
      <c r="CK598"/>
      <c r="CL598"/>
      <c r="CM598"/>
      <c r="CN598"/>
      <c r="CO598"/>
      <c r="CP598"/>
      <c r="CQ598"/>
      <c r="CR598"/>
      <c r="CS598"/>
      <c r="CT598"/>
      <c r="CU598"/>
      <c r="CV598"/>
      <c r="CW598"/>
      <c r="CX598"/>
      <c r="CY598"/>
      <c r="CZ598"/>
      <c r="DA598"/>
      <c r="DB598"/>
      <c r="DC598"/>
      <c r="DD598"/>
      <c r="DE598"/>
      <c r="DG598"/>
      <c r="DH598"/>
      <c r="DI598"/>
      <c r="DJ598"/>
      <c r="DK598"/>
      <c r="DL598"/>
      <c r="DM598"/>
      <c r="DN598"/>
      <c r="DO598"/>
      <c r="DP598"/>
      <c r="DQ598"/>
      <c r="DR598"/>
      <c r="DS598"/>
      <c r="DT598"/>
      <c r="DU598"/>
      <c r="DV598"/>
      <c r="DW598"/>
      <c r="DZ598"/>
      <c r="EA598"/>
      <c r="EB598"/>
      <c r="EC598"/>
      <c r="ED598"/>
      <c r="EE598"/>
      <c r="EF598"/>
      <c r="EG598"/>
      <c r="EJ598"/>
      <c r="EK598"/>
      <c r="EL598"/>
      <c r="EM598"/>
      <c r="EN598"/>
      <c r="EO598"/>
      <c r="EP598"/>
      <c r="EQ598"/>
      <c r="ER598"/>
      <c r="ES598"/>
      <c r="ET598"/>
      <c r="EU598"/>
      <c r="EV598"/>
      <c r="EW598"/>
      <c r="EX598"/>
      <c r="EY598"/>
      <c r="EZ598"/>
      <c r="FA598"/>
      <c r="FB598"/>
      <c r="FC598"/>
      <c r="FD598"/>
      <c r="FE598"/>
      <c r="FF598"/>
      <c r="FG598"/>
      <c r="FH598"/>
      <c r="FK598"/>
      <c r="FL598"/>
      <c r="FM598"/>
      <c r="FN598"/>
      <c r="FO598"/>
      <c r="FP598"/>
      <c r="FQ598"/>
      <c r="FR598"/>
      <c r="FS598"/>
      <c r="FT598"/>
      <c r="FU598"/>
      <c r="FV598"/>
      <c r="FW598"/>
      <c r="FX598"/>
      <c r="FY598"/>
      <c r="FZ598"/>
      <c r="GA598"/>
      <c r="GB598"/>
      <c r="GC598"/>
      <c r="GD598"/>
    </row>
    <row r="599" spans="1:186" x14ac:dyDescent="0.15">
      <c r="A599" s="30" t="s">
        <v>145</v>
      </c>
      <c r="AG599"/>
      <c r="AH599"/>
      <c r="AJ599"/>
      <c r="AK599"/>
      <c r="AL599"/>
      <c r="AM599"/>
      <c r="AO599"/>
      <c r="AP599"/>
      <c r="AQ599"/>
      <c r="AR599"/>
      <c r="AS599"/>
      <c r="AT599"/>
      <c r="AU599"/>
      <c r="AV599"/>
      <c r="AW599"/>
      <c r="AX599"/>
      <c r="AY599"/>
      <c r="AZ599"/>
      <c r="BA599"/>
      <c r="BB599"/>
      <c r="BC599"/>
      <c r="BD599"/>
      <c r="BE599"/>
      <c r="BF599"/>
      <c r="BH599"/>
      <c r="BI599"/>
      <c r="BJ599"/>
      <c r="BK599"/>
      <c r="BL599"/>
      <c r="BM599"/>
      <c r="BN599"/>
      <c r="BP599"/>
      <c r="BQ599"/>
      <c r="BR599"/>
      <c r="BS599"/>
      <c r="BT599"/>
      <c r="BU599"/>
      <c r="BV599"/>
      <c r="BW599"/>
      <c r="BZ599"/>
      <c r="CA599"/>
      <c r="CB599"/>
      <c r="CC599"/>
      <c r="CD599"/>
      <c r="CF599"/>
      <c r="CG599"/>
      <c r="CH599"/>
      <c r="CI599"/>
      <c r="CJ599"/>
      <c r="CK599"/>
      <c r="CL599"/>
      <c r="CM599"/>
      <c r="CN599"/>
      <c r="CO599"/>
      <c r="CP599"/>
      <c r="CQ599"/>
      <c r="CR599"/>
      <c r="CS599"/>
      <c r="CT599"/>
      <c r="CU599"/>
      <c r="CV599"/>
      <c r="CW599"/>
      <c r="CX599"/>
      <c r="CY599"/>
      <c r="CZ599"/>
      <c r="DA599"/>
      <c r="DB599"/>
      <c r="DC599"/>
      <c r="DD599"/>
      <c r="DE599"/>
      <c r="DG599"/>
      <c r="DH599"/>
      <c r="DI599"/>
      <c r="DJ599"/>
      <c r="DK599"/>
      <c r="DL599"/>
      <c r="DM599"/>
      <c r="DN599"/>
      <c r="DO599"/>
      <c r="DP599"/>
      <c r="DQ599"/>
      <c r="DR599"/>
      <c r="DS599"/>
      <c r="DT599"/>
      <c r="DU599"/>
      <c r="DV599"/>
      <c r="DW599"/>
      <c r="DZ599"/>
      <c r="EA599"/>
      <c r="EB599"/>
      <c r="EC599"/>
      <c r="ED599"/>
      <c r="EE599"/>
      <c r="EF599"/>
      <c r="EG599"/>
      <c r="EJ599"/>
      <c r="EK599"/>
      <c r="EL599"/>
      <c r="EM599"/>
      <c r="EN599"/>
      <c r="EO599"/>
      <c r="EP599"/>
      <c r="EQ599"/>
      <c r="ER599"/>
      <c r="ES599"/>
      <c r="ET599"/>
      <c r="EU599"/>
      <c r="EV599"/>
      <c r="EW599"/>
      <c r="EX599"/>
      <c r="EY599"/>
      <c r="EZ599"/>
      <c r="FA599"/>
      <c r="FB599"/>
      <c r="FC599"/>
      <c r="FD599"/>
      <c r="FE599"/>
      <c r="FF599"/>
      <c r="FG599"/>
      <c r="FH599"/>
      <c r="FK599"/>
      <c r="FL599"/>
      <c r="FM599"/>
      <c r="FN599"/>
      <c r="FO599"/>
      <c r="FP599"/>
      <c r="FQ599"/>
      <c r="FR599"/>
      <c r="FS599"/>
      <c r="FT599"/>
      <c r="FU599"/>
      <c r="FV599"/>
      <c r="FW599"/>
      <c r="FX599"/>
      <c r="FY599"/>
      <c r="FZ599"/>
      <c r="GA599"/>
      <c r="GB599"/>
      <c r="GC599"/>
      <c r="GD599"/>
    </row>
    <row r="600" spans="1:186" x14ac:dyDescent="0.15">
      <c r="A600" s="30" t="s">
        <v>144</v>
      </c>
      <c r="AG600"/>
      <c r="AH600"/>
      <c r="AJ600"/>
      <c r="AK600"/>
      <c r="AL600"/>
      <c r="AM600"/>
      <c r="AO600"/>
      <c r="AP600"/>
      <c r="AQ600"/>
      <c r="AR600"/>
      <c r="AS600"/>
      <c r="AT600"/>
      <c r="AU600"/>
      <c r="AV600"/>
      <c r="AW600"/>
      <c r="AX600"/>
      <c r="AY600"/>
      <c r="AZ600"/>
      <c r="BA600"/>
      <c r="BB600"/>
      <c r="BC600"/>
      <c r="BD600"/>
      <c r="BE600"/>
      <c r="BF600"/>
      <c r="BH600"/>
      <c r="BI600"/>
      <c r="BJ600"/>
      <c r="BK600"/>
      <c r="BL600"/>
      <c r="BM600"/>
      <c r="BN600"/>
      <c r="BP600"/>
      <c r="BQ600"/>
      <c r="BR600"/>
      <c r="BS600"/>
      <c r="BT600"/>
      <c r="BU600"/>
      <c r="BV600"/>
      <c r="BW600"/>
      <c r="BZ600"/>
      <c r="CA600"/>
      <c r="CB600"/>
      <c r="CC600"/>
      <c r="CD600"/>
      <c r="CF600"/>
      <c r="CG600"/>
      <c r="CH600"/>
      <c r="CI600"/>
      <c r="CJ600"/>
      <c r="CK600"/>
      <c r="CL600"/>
      <c r="CM600"/>
      <c r="CN600"/>
      <c r="CO600"/>
      <c r="CP600"/>
      <c r="CQ600"/>
      <c r="CR600"/>
      <c r="CS600"/>
      <c r="CT600"/>
      <c r="CU600"/>
      <c r="CV600"/>
      <c r="CW600"/>
      <c r="CX600"/>
      <c r="CY600"/>
      <c r="CZ600"/>
      <c r="DA600"/>
      <c r="DB600"/>
      <c r="DC600"/>
      <c r="DD600"/>
      <c r="DE600"/>
      <c r="DG600"/>
      <c r="DH600"/>
      <c r="DI600"/>
      <c r="DJ600"/>
      <c r="DK600"/>
      <c r="DL600"/>
      <c r="DM600"/>
      <c r="DN600"/>
      <c r="DO600"/>
      <c r="DP600"/>
      <c r="DQ600"/>
      <c r="DR600"/>
      <c r="DS600"/>
      <c r="DT600"/>
      <c r="DU600"/>
      <c r="DV600"/>
      <c r="DW600"/>
      <c r="DZ600"/>
      <c r="EA600"/>
      <c r="EB600"/>
      <c r="EC600"/>
      <c r="ED600"/>
      <c r="EE600"/>
      <c r="EF600"/>
      <c r="EG600"/>
      <c r="EJ600"/>
      <c r="EK600"/>
      <c r="EL600"/>
      <c r="EM600"/>
      <c r="EN600"/>
      <c r="EO600"/>
      <c r="EP600"/>
      <c r="EQ600"/>
      <c r="ER600"/>
      <c r="ES600"/>
      <c r="ET600"/>
      <c r="EU600"/>
      <c r="EV600"/>
      <c r="EW600"/>
      <c r="EX600"/>
      <c r="EY600"/>
      <c r="EZ600"/>
      <c r="FA600"/>
      <c r="FB600"/>
      <c r="FC600"/>
      <c r="FD600"/>
      <c r="FE600"/>
      <c r="FF600"/>
      <c r="FG600"/>
      <c r="FH600"/>
      <c r="FK600"/>
      <c r="FL600"/>
      <c r="FM600"/>
      <c r="FN600"/>
      <c r="FO600"/>
      <c r="FP600"/>
      <c r="FQ600"/>
      <c r="FR600"/>
      <c r="FS600"/>
      <c r="FT600"/>
      <c r="FU600"/>
      <c r="FV600"/>
      <c r="FW600"/>
      <c r="FX600"/>
      <c r="FY600"/>
      <c r="FZ600"/>
      <c r="GA600"/>
      <c r="GB600"/>
      <c r="GC600"/>
      <c r="GD600"/>
    </row>
    <row r="601" spans="1:186" x14ac:dyDescent="0.15">
      <c r="A601" s="30" t="s">
        <v>143</v>
      </c>
      <c r="AG601"/>
      <c r="AH601"/>
      <c r="AJ601"/>
      <c r="AK601"/>
      <c r="AL601"/>
      <c r="AM601"/>
      <c r="AO601"/>
      <c r="AP601"/>
      <c r="AQ601"/>
      <c r="AR601"/>
      <c r="AS601"/>
      <c r="AT601"/>
      <c r="AU601"/>
      <c r="AV601"/>
      <c r="AW601"/>
      <c r="AX601"/>
      <c r="AY601"/>
      <c r="AZ601"/>
      <c r="BA601"/>
      <c r="BB601"/>
      <c r="BC601"/>
      <c r="BD601"/>
      <c r="BE601"/>
      <c r="BF601"/>
      <c r="BH601"/>
      <c r="BI601"/>
      <c r="BJ601"/>
      <c r="BK601"/>
      <c r="BL601"/>
      <c r="BM601"/>
      <c r="BN601"/>
      <c r="BP601"/>
      <c r="BQ601"/>
      <c r="BR601"/>
      <c r="BS601"/>
      <c r="BT601"/>
      <c r="BU601"/>
      <c r="BV601"/>
      <c r="BW601"/>
      <c r="BZ601"/>
      <c r="CA601"/>
      <c r="CB601"/>
      <c r="CC601"/>
      <c r="CD601"/>
      <c r="CF601"/>
      <c r="CG601"/>
      <c r="CH601"/>
      <c r="CI601"/>
      <c r="CJ601"/>
      <c r="CK601"/>
      <c r="CL601"/>
      <c r="CM601"/>
      <c r="CN601"/>
      <c r="CO601"/>
      <c r="CP601"/>
      <c r="CQ601"/>
      <c r="CR601"/>
      <c r="CS601"/>
      <c r="CT601"/>
      <c r="CU601"/>
      <c r="CV601"/>
      <c r="CW601"/>
      <c r="CX601"/>
      <c r="CY601"/>
      <c r="CZ601"/>
      <c r="DA601"/>
      <c r="DB601"/>
      <c r="DC601"/>
      <c r="DD601"/>
      <c r="DE601"/>
      <c r="DG601"/>
      <c r="DH601"/>
      <c r="DI601"/>
      <c r="DJ601"/>
      <c r="DK601"/>
      <c r="DL601"/>
      <c r="DM601"/>
      <c r="DN601"/>
      <c r="DO601"/>
      <c r="DP601"/>
      <c r="DQ601"/>
      <c r="DR601"/>
      <c r="DS601"/>
      <c r="DT601"/>
      <c r="DU601"/>
      <c r="DV601"/>
      <c r="DW601"/>
      <c r="DZ601"/>
      <c r="EA601"/>
      <c r="EB601"/>
      <c r="EC601"/>
      <c r="ED601"/>
      <c r="EE601"/>
      <c r="EF601"/>
      <c r="EG601"/>
      <c r="EJ601"/>
      <c r="EK601"/>
      <c r="EL601"/>
      <c r="EM601"/>
      <c r="EN601"/>
      <c r="EO601"/>
      <c r="EP601"/>
      <c r="EQ601"/>
      <c r="ER601"/>
      <c r="ES601"/>
      <c r="ET601"/>
      <c r="EU601"/>
      <c r="EV601"/>
      <c r="EW601"/>
      <c r="EX601"/>
      <c r="EY601"/>
      <c r="EZ601"/>
      <c r="FA601"/>
      <c r="FB601"/>
      <c r="FC601"/>
      <c r="FD601"/>
      <c r="FE601"/>
      <c r="FF601"/>
      <c r="FG601"/>
      <c r="FH601"/>
      <c r="FK601"/>
      <c r="FL601"/>
      <c r="FM601"/>
      <c r="FN601"/>
      <c r="FO601"/>
      <c r="FP601"/>
      <c r="FQ601"/>
      <c r="FR601"/>
      <c r="FS601"/>
      <c r="FT601"/>
      <c r="FU601"/>
      <c r="FV601"/>
      <c r="FW601"/>
      <c r="FX601"/>
      <c r="FY601"/>
      <c r="FZ601"/>
      <c r="GA601"/>
      <c r="GB601"/>
      <c r="GC601"/>
      <c r="GD601"/>
    </row>
    <row r="602" spans="1:186" x14ac:dyDescent="0.15">
      <c r="A602" s="30" t="s">
        <v>142</v>
      </c>
      <c r="AG602"/>
      <c r="AH602"/>
      <c r="AJ602"/>
      <c r="AK602"/>
      <c r="AL602"/>
      <c r="AM602"/>
      <c r="AO602"/>
      <c r="AP602"/>
      <c r="AQ602"/>
      <c r="AR602"/>
      <c r="AS602"/>
      <c r="AT602"/>
      <c r="AU602"/>
      <c r="AV602"/>
      <c r="AW602"/>
      <c r="AX602"/>
      <c r="AY602"/>
      <c r="AZ602"/>
      <c r="BA602"/>
      <c r="BB602"/>
      <c r="BC602"/>
      <c r="BD602"/>
      <c r="BE602"/>
      <c r="BF602"/>
      <c r="BH602"/>
      <c r="BI602"/>
      <c r="BJ602"/>
      <c r="BK602"/>
      <c r="BL602"/>
      <c r="BM602"/>
      <c r="BN602"/>
      <c r="BP602"/>
      <c r="BQ602"/>
      <c r="BR602"/>
      <c r="BS602"/>
      <c r="BT602"/>
      <c r="BU602"/>
      <c r="BV602"/>
      <c r="BW602"/>
      <c r="BZ602"/>
      <c r="CA602"/>
      <c r="CB602"/>
      <c r="CC602"/>
      <c r="CD602"/>
      <c r="CF602"/>
      <c r="CG602"/>
      <c r="CH602"/>
      <c r="CI602"/>
      <c r="CJ602"/>
      <c r="CK602"/>
      <c r="CL602"/>
      <c r="CM602"/>
      <c r="CN602"/>
      <c r="CO602"/>
      <c r="CP602"/>
      <c r="CQ602"/>
      <c r="CR602"/>
      <c r="CS602"/>
      <c r="CT602"/>
      <c r="CU602"/>
      <c r="CV602"/>
      <c r="CW602"/>
      <c r="CX602"/>
      <c r="CY602"/>
      <c r="CZ602"/>
      <c r="DA602"/>
      <c r="DB602"/>
      <c r="DC602"/>
      <c r="DD602"/>
      <c r="DE602"/>
      <c r="DG602"/>
      <c r="DH602"/>
      <c r="DI602"/>
      <c r="DJ602"/>
      <c r="DK602"/>
      <c r="DL602"/>
      <c r="DM602"/>
      <c r="DN602"/>
      <c r="DO602"/>
      <c r="DP602"/>
      <c r="DQ602"/>
      <c r="DR602"/>
      <c r="DS602"/>
      <c r="DT602"/>
      <c r="DU602"/>
      <c r="DV602"/>
      <c r="DW602"/>
      <c r="DZ602"/>
      <c r="EA602"/>
      <c r="EB602"/>
      <c r="EC602"/>
      <c r="ED602"/>
      <c r="EE602"/>
      <c r="EF602"/>
      <c r="EG602"/>
      <c r="EJ602"/>
      <c r="EK602"/>
      <c r="EL602"/>
      <c r="EM602"/>
      <c r="EN602"/>
      <c r="EO602"/>
      <c r="EP602"/>
      <c r="EQ602"/>
      <c r="ER602"/>
      <c r="ES602"/>
      <c r="ET602"/>
      <c r="EU602"/>
      <c r="EV602"/>
      <c r="EW602"/>
      <c r="EX602"/>
      <c r="EY602"/>
      <c r="EZ602"/>
      <c r="FA602"/>
      <c r="FB602"/>
      <c r="FC602"/>
      <c r="FD602"/>
      <c r="FE602"/>
      <c r="FF602"/>
      <c r="FG602"/>
      <c r="FH602"/>
      <c r="FK602"/>
      <c r="FL602"/>
      <c r="FM602"/>
      <c r="FN602"/>
      <c r="FO602"/>
      <c r="FP602"/>
      <c r="FQ602"/>
      <c r="FR602"/>
      <c r="FS602"/>
      <c r="FT602"/>
      <c r="FU602"/>
      <c r="FV602"/>
      <c r="FW602"/>
      <c r="FX602"/>
      <c r="FY602"/>
      <c r="FZ602"/>
      <c r="GA602"/>
      <c r="GB602"/>
      <c r="GC602"/>
      <c r="GD602"/>
    </row>
    <row r="603" spans="1:186" x14ac:dyDescent="0.15">
      <c r="A603" s="30" t="s">
        <v>141</v>
      </c>
      <c r="AG603"/>
      <c r="AH603"/>
      <c r="AJ603"/>
      <c r="AK603"/>
      <c r="AL603"/>
      <c r="AM603"/>
      <c r="AO603"/>
      <c r="AP603"/>
      <c r="AQ603"/>
      <c r="AR603"/>
      <c r="AS603"/>
      <c r="AT603"/>
      <c r="AU603"/>
      <c r="AV603"/>
      <c r="AW603"/>
      <c r="AX603"/>
      <c r="AY603"/>
      <c r="AZ603"/>
      <c r="BA603"/>
      <c r="BB603"/>
      <c r="BC603"/>
      <c r="BD603"/>
      <c r="BE603"/>
      <c r="BF603"/>
      <c r="BH603"/>
      <c r="BI603"/>
      <c r="BJ603"/>
      <c r="BK603"/>
      <c r="BL603"/>
      <c r="BM603"/>
      <c r="BN603"/>
      <c r="BP603"/>
      <c r="BQ603"/>
      <c r="BR603"/>
      <c r="BS603"/>
      <c r="BT603"/>
      <c r="BU603"/>
      <c r="BV603"/>
      <c r="BW603"/>
      <c r="BZ603"/>
      <c r="CA603"/>
      <c r="CB603"/>
      <c r="CC603"/>
      <c r="CD603"/>
      <c r="CF603"/>
      <c r="CG603"/>
      <c r="CH603"/>
      <c r="CI603"/>
      <c r="CJ603"/>
      <c r="CK603"/>
      <c r="CL603"/>
      <c r="CM603"/>
      <c r="CN603"/>
      <c r="CO603"/>
      <c r="CP603"/>
      <c r="CQ603"/>
      <c r="CR603"/>
      <c r="CS603"/>
      <c r="CT603"/>
      <c r="CU603"/>
      <c r="CV603"/>
      <c r="CW603"/>
      <c r="CX603"/>
      <c r="CY603"/>
      <c r="CZ603"/>
      <c r="DA603"/>
      <c r="DB603"/>
      <c r="DC603"/>
      <c r="DD603"/>
      <c r="DE603"/>
      <c r="DG603"/>
      <c r="DH603"/>
      <c r="DI603"/>
      <c r="DJ603"/>
      <c r="DK603"/>
      <c r="DL603"/>
      <c r="DM603"/>
      <c r="DN603"/>
      <c r="DO603"/>
      <c r="DP603"/>
      <c r="DQ603"/>
      <c r="DR603"/>
      <c r="DS603"/>
      <c r="DT603"/>
      <c r="DU603"/>
      <c r="DV603"/>
      <c r="DW603"/>
      <c r="DZ603"/>
      <c r="EA603"/>
      <c r="EB603"/>
      <c r="EC603"/>
      <c r="ED603"/>
      <c r="EE603"/>
      <c r="EF603"/>
      <c r="EG603"/>
      <c r="EJ603"/>
      <c r="EK603"/>
      <c r="EL603"/>
      <c r="EM603"/>
      <c r="EN603"/>
      <c r="EO603"/>
      <c r="EP603"/>
      <c r="EQ603"/>
      <c r="ER603"/>
      <c r="ES603"/>
      <c r="ET603"/>
      <c r="EU603"/>
      <c r="EV603"/>
      <c r="EW603"/>
      <c r="EX603"/>
      <c r="EY603"/>
      <c r="EZ603"/>
      <c r="FA603"/>
      <c r="FB603"/>
      <c r="FC603"/>
      <c r="FD603"/>
      <c r="FE603"/>
      <c r="FF603"/>
      <c r="FG603"/>
      <c r="FH603"/>
      <c r="FK603"/>
      <c r="FL603"/>
      <c r="FM603"/>
      <c r="FN603"/>
      <c r="FO603"/>
      <c r="FP603"/>
      <c r="FQ603"/>
      <c r="FR603"/>
      <c r="FS603"/>
      <c r="FT603"/>
      <c r="FU603"/>
      <c r="FV603"/>
      <c r="FW603"/>
      <c r="FX603"/>
      <c r="FY603"/>
      <c r="FZ603"/>
      <c r="GA603"/>
      <c r="GB603"/>
      <c r="GC603"/>
      <c r="GD603"/>
    </row>
    <row r="604" spans="1:186" x14ac:dyDescent="0.15">
      <c r="A604" s="30" t="s">
        <v>140</v>
      </c>
      <c r="AG604"/>
      <c r="AH604"/>
      <c r="AJ604"/>
      <c r="AK604"/>
      <c r="AL604"/>
      <c r="AM604"/>
      <c r="AO604"/>
      <c r="AP604"/>
      <c r="AQ604"/>
      <c r="AR604"/>
      <c r="AS604"/>
      <c r="AT604"/>
      <c r="AU604"/>
      <c r="AV604"/>
      <c r="AW604"/>
      <c r="AX604"/>
      <c r="AY604"/>
      <c r="AZ604"/>
      <c r="BA604"/>
      <c r="BB604"/>
      <c r="BC604"/>
      <c r="BD604"/>
      <c r="BE604"/>
      <c r="BF604"/>
      <c r="BH604"/>
      <c r="BI604"/>
      <c r="BJ604"/>
      <c r="BK604"/>
      <c r="BL604"/>
      <c r="BM604"/>
      <c r="BN604"/>
      <c r="BP604"/>
      <c r="BQ604"/>
      <c r="BR604"/>
      <c r="BS604"/>
      <c r="BT604"/>
      <c r="BU604"/>
      <c r="BV604"/>
      <c r="BW604"/>
      <c r="BZ604"/>
      <c r="CA604"/>
      <c r="CB604"/>
      <c r="CC604"/>
      <c r="CD604"/>
      <c r="CF604"/>
      <c r="CG604"/>
      <c r="CH604"/>
      <c r="CI604"/>
      <c r="CJ604"/>
      <c r="CK604"/>
      <c r="CL604"/>
      <c r="CM604"/>
      <c r="CN604"/>
      <c r="CO604"/>
      <c r="CP604"/>
      <c r="CQ604"/>
      <c r="CR604"/>
      <c r="CS604"/>
      <c r="CT604"/>
      <c r="CU604"/>
      <c r="CV604"/>
      <c r="CW604"/>
      <c r="CX604"/>
      <c r="CY604"/>
      <c r="CZ604"/>
      <c r="DA604"/>
      <c r="DB604"/>
      <c r="DC604"/>
      <c r="DD604"/>
      <c r="DE604"/>
      <c r="DG604"/>
      <c r="DH604"/>
      <c r="DI604"/>
      <c r="DJ604"/>
      <c r="DK604"/>
      <c r="DL604"/>
      <c r="DM604"/>
      <c r="DN604"/>
      <c r="DO604"/>
      <c r="DP604"/>
      <c r="DQ604"/>
      <c r="DR604"/>
      <c r="DS604"/>
      <c r="DT604"/>
      <c r="DU604"/>
      <c r="DV604"/>
      <c r="DW604"/>
      <c r="DZ604"/>
      <c r="EA604"/>
      <c r="EB604"/>
      <c r="EC604"/>
      <c r="ED604"/>
      <c r="EE604"/>
      <c r="EF604"/>
      <c r="EG604"/>
      <c r="EJ604"/>
      <c r="EK604"/>
      <c r="EL604"/>
      <c r="EM604"/>
      <c r="EN604"/>
      <c r="EO604"/>
      <c r="EP604"/>
      <c r="EQ604"/>
      <c r="ER604"/>
      <c r="ES604"/>
      <c r="ET604"/>
      <c r="EU604"/>
      <c r="EV604"/>
      <c r="EW604"/>
      <c r="EX604"/>
      <c r="EY604"/>
      <c r="EZ604"/>
      <c r="FA604"/>
      <c r="FB604"/>
      <c r="FC604"/>
      <c r="FD604"/>
      <c r="FE604"/>
      <c r="FF604"/>
      <c r="FG604"/>
      <c r="FH604"/>
      <c r="FK604"/>
      <c r="FL604"/>
      <c r="FM604"/>
      <c r="FN604"/>
      <c r="FO604"/>
      <c r="FP604"/>
      <c r="FQ604"/>
      <c r="FR604"/>
      <c r="FS604"/>
      <c r="FT604"/>
      <c r="FU604"/>
      <c r="FV604"/>
      <c r="FW604"/>
      <c r="FX604"/>
      <c r="FY604"/>
      <c r="FZ604"/>
      <c r="GA604"/>
      <c r="GB604"/>
      <c r="GC604"/>
      <c r="GD604"/>
    </row>
    <row r="605" spans="1:186" x14ac:dyDescent="0.15">
      <c r="A605" s="30" t="s">
        <v>139</v>
      </c>
      <c r="AG605"/>
      <c r="AH605"/>
      <c r="AJ605"/>
      <c r="AK605"/>
      <c r="AL605"/>
      <c r="AM605"/>
      <c r="AO605"/>
      <c r="AP605"/>
      <c r="AQ605"/>
      <c r="AR605"/>
      <c r="AS605"/>
      <c r="AT605"/>
      <c r="AU605"/>
      <c r="AV605"/>
      <c r="AW605"/>
      <c r="AX605"/>
      <c r="AY605"/>
      <c r="AZ605"/>
      <c r="BA605"/>
      <c r="BB605"/>
      <c r="BC605"/>
      <c r="BD605"/>
      <c r="BE605"/>
      <c r="BF605"/>
      <c r="BH605"/>
      <c r="BI605"/>
      <c r="BJ605"/>
      <c r="BK605"/>
      <c r="BL605"/>
      <c r="BM605"/>
      <c r="BN605"/>
      <c r="BP605"/>
      <c r="BQ605"/>
      <c r="BR605"/>
      <c r="BS605"/>
      <c r="BT605"/>
      <c r="BU605"/>
      <c r="BV605"/>
      <c r="BW605"/>
      <c r="BZ605"/>
      <c r="CA605"/>
      <c r="CB605"/>
      <c r="CC605"/>
      <c r="CD605"/>
      <c r="CF605"/>
      <c r="CG605"/>
      <c r="CH605"/>
      <c r="CI605"/>
      <c r="CJ605"/>
      <c r="CK605"/>
      <c r="CL605"/>
      <c r="CM605"/>
      <c r="CN605"/>
      <c r="CO605"/>
      <c r="CP605"/>
      <c r="CQ605"/>
      <c r="CR605"/>
      <c r="CS605"/>
      <c r="CT605"/>
      <c r="CU605"/>
      <c r="CV605"/>
      <c r="CW605"/>
      <c r="CX605"/>
      <c r="CY605"/>
      <c r="CZ605"/>
      <c r="DA605"/>
      <c r="DB605"/>
      <c r="DC605"/>
      <c r="DD605"/>
      <c r="DE605"/>
      <c r="DG605"/>
      <c r="DH605"/>
      <c r="DI605"/>
      <c r="DJ605"/>
      <c r="DK605"/>
      <c r="DL605"/>
      <c r="DM605"/>
      <c r="DN605"/>
      <c r="DO605"/>
      <c r="DP605"/>
      <c r="DQ605"/>
      <c r="DR605"/>
      <c r="DS605"/>
      <c r="DT605"/>
      <c r="DU605"/>
      <c r="DV605"/>
      <c r="DW605"/>
      <c r="DZ605"/>
      <c r="EA605"/>
      <c r="EB605"/>
      <c r="EC605"/>
      <c r="ED605"/>
      <c r="EE605"/>
      <c r="EF605"/>
      <c r="EG605"/>
      <c r="EJ605"/>
      <c r="EK605"/>
      <c r="EL605"/>
      <c r="EM605"/>
      <c r="EN605"/>
      <c r="EO605"/>
      <c r="EP605"/>
      <c r="EQ605"/>
      <c r="ER605"/>
      <c r="ES605"/>
      <c r="ET605"/>
      <c r="EU605"/>
      <c r="EV605"/>
      <c r="EW605"/>
      <c r="EX605"/>
      <c r="EY605"/>
      <c r="EZ605"/>
      <c r="FA605"/>
      <c r="FB605"/>
      <c r="FC605"/>
      <c r="FD605"/>
      <c r="FE605"/>
      <c r="FF605"/>
      <c r="FG605"/>
      <c r="FH605"/>
      <c r="FK605"/>
      <c r="FL605"/>
      <c r="FM605"/>
      <c r="FN605"/>
      <c r="FO605"/>
      <c r="FP605"/>
      <c r="FQ605"/>
      <c r="FR605"/>
      <c r="FS605"/>
      <c r="FT605"/>
      <c r="FU605"/>
      <c r="FV605"/>
      <c r="FW605"/>
      <c r="FX605"/>
      <c r="FY605"/>
      <c r="FZ605"/>
      <c r="GA605"/>
      <c r="GB605"/>
      <c r="GC605"/>
      <c r="GD605"/>
    </row>
    <row r="606" spans="1:186" x14ac:dyDescent="0.15">
      <c r="A606" s="30" t="s">
        <v>138</v>
      </c>
      <c r="AG606"/>
      <c r="AH606"/>
      <c r="AJ606"/>
      <c r="AK606"/>
      <c r="AL606"/>
      <c r="AM606"/>
      <c r="AO606"/>
      <c r="AP606"/>
      <c r="AQ606"/>
      <c r="AR606"/>
      <c r="AS606"/>
      <c r="AT606"/>
      <c r="AU606"/>
      <c r="AV606"/>
      <c r="AW606"/>
      <c r="AX606"/>
      <c r="AY606"/>
      <c r="AZ606"/>
      <c r="BA606"/>
      <c r="BB606"/>
      <c r="BC606"/>
      <c r="BD606"/>
      <c r="BE606"/>
      <c r="BF606"/>
      <c r="BH606"/>
      <c r="BI606"/>
      <c r="BJ606"/>
      <c r="BK606"/>
      <c r="BL606"/>
      <c r="BM606"/>
      <c r="BN606"/>
      <c r="BP606"/>
      <c r="BQ606"/>
      <c r="BR606"/>
      <c r="BS606"/>
      <c r="BT606"/>
      <c r="BU606"/>
      <c r="BV606"/>
      <c r="BW606"/>
      <c r="BZ606"/>
      <c r="CA606"/>
      <c r="CB606"/>
      <c r="CC606"/>
      <c r="CD606"/>
      <c r="CF606"/>
      <c r="CG606"/>
      <c r="CH606"/>
      <c r="CI606"/>
      <c r="CJ606"/>
      <c r="CK606"/>
      <c r="CL606"/>
      <c r="CM606"/>
      <c r="CN606"/>
      <c r="CO606"/>
      <c r="CP606"/>
      <c r="CQ606"/>
      <c r="CR606"/>
      <c r="CS606"/>
      <c r="CT606"/>
      <c r="CU606"/>
      <c r="CV606"/>
      <c r="CW606"/>
      <c r="CX606"/>
      <c r="CY606"/>
      <c r="CZ606"/>
      <c r="DA606"/>
      <c r="DB606"/>
      <c r="DC606"/>
      <c r="DD606"/>
      <c r="DE606"/>
      <c r="DG606"/>
      <c r="DH606"/>
      <c r="DI606"/>
      <c r="DJ606"/>
      <c r="DK606"/>
      <c r="DL606"/>
      <c r="DM606"/>
      <c r="DN606"/>
      <c r="DO606"/>
      <c r="DP606"/>
      <c r="DQ606"/>
      <c r="DR606"/>
      <c r="DS606"/>
      <c r="DT606"/>
      <c r="DU606"/>
      <c r="DV606"/>
      <c r="DW606"/>
      <c r="DZ606"/>
      <c r="EA606"/>
      <c r="EB606"/>
      <c r="EC606"/>
      <c r="ED606"/>
      <c r="EE606"/>
      <c r="EF606"/>
      <c r="EG606"/>
      <c r="EJ606"/>
      <c r="EK606"/>
      <c r="EL606"/>
      <c r="EM606"/>
      <c r="EN606"/>
      <c r="EO606"/>
      <c r="EP606"/>
      <c r="EQ606"/>
      <c r="ER606"/>
      <c r="ES606"/>
      <c r="ET606"/>
      <c r="EU606"/>
      <c r="EV606"/>
      <c r="EW606"/>
      <c r="EX606"/>
      <c r="EY606"/>
      <c r="EZ606"/>
      <c r="FA606"/>
      <c r="FB606"/>
      <c r="FC606"/>
      <c r="FD606"/>
      <c r="FE606"/>
      <c r="FF606"/>
      <c r="FG606"/>
      <c r="FH606"/>
      <c r="FK606"/>
      <c r="FL606"/>
      <c r="FM606"/>
      <c r="FN606"/>
      <c r="FO606"/>
      <c r="FP606"/>
      <c r="FQ606"/>
      <c r="FR606"/>
      <c r="FS606"/>
      <c r="FT606"/>
      <c r="FU606"/>
      <c r="FV606"/>
      <c r="FW606"/>
      <c r="FX606"/>
      <c r="FY606"/>
      <c r="FZ606"/>
      <c r="GA606"/>
      <c r="GB606"/>
      <c r="GC606"/>
      <c r="GD606"/>
    </row>
    <row r="607" spans="1:186" x14ac:dyDescent="0.15">
      <c r="A607" s="30" t="s">
        <v>137</v>
      </c>
      <c r="AG607"/>
      <c r="AH607"/>
      <c r="AJ607"/>
      <c r="AK607"/>
      <c r="AL607"/>
      <c r="AM607"/>
      <c r="AO607"/>
      <c r="AP607"/>
      <c r="AQ607"/>
      <c r="AR607"/>
      <c r="AS607"/>
      <c r="AT607"/>
      <c r="AU607"/>
      <c r="AV607"/>
      <c r="AW607"/>
      <c r="AX607"/>
      <c r="AY607"/>
      <c r="AZ607"/>
      <c r="BA607"/>
      <c r="BB607"/>
      <c r="BC607"/>
      <c r="BD607"/>
      <c r="BE607"/>
      <c r="BF607"/>
      <c r="BH607"/>
      <c r="BI607"/>
      <c r="BJ607"/>
      <c r="BK607"/>
      <c r="BL607"/>
      <c r="BM607"/>
      <c r="BN607"/>
      <c r="BP607"/>
      <c r="BQ607"/>
      <c r="BR607"/>
      <c r="BS607"/>
      <c r="BT607"/>
      <c r="BU607"/>
      <c r="BV607"/>
      <c r="BW607"/>
      <c r="BZ607"/>
      <c r="CA607"/>
      <c r="CB607"/>
      <c r="CC607"/>
      <c r="CD607"/>
      <c r="CF607"/>
      <c r="CG607"/>
      <c r="CH607"/>
      <c r="CI607"/>
      <c r="CJ607"/>
      <c r="CK607"/>
      <c r="CL607"/>
      <c r="CM607"/>
      <c r="CN607"/>
      <c r="CO607"/>
      <c r="CP607"/>
      <c r="CQ607"/>
      <c r="CR607"/>
      <c r="CS607"/>
      <c r="CT607"/>
      <c r="CU607"/>
      <c r="CV607"/>
      <c r="CW607"/>
      <c r="CX607"/>
      <c r="CY607"/>
      <c r="CZ607"/>
      <c r="DA607"/>
      <c r="DB607"/>
      <c r="DC607"/>
      <c r="DD607"/>
      <c r="DE607"/>
      <c r="DG607"/>
      <c r="DH607"/>
      <c r="DI607"/>
      <c r="DJ607"/>
      <c r="DK607"/>
      <c r="DL607"/>
      <c r="DM607"/>
      <c r="DN607"/>
      <c r="DO607"/>
      <c r="DP607"/>
      <c r="DQ607"/>
      <c r="DR607"/>
      <c r="DS607"/>
      <c r="DT607"/>
      <c r="DU607"/>
      <c r="DV607"/>
      <c r="DW607"/>
      <c r="DZ607"/>
      <c r="EA607"/>
      <c r="EB607"/>
      <c r="EC607"/>
      <c r="ED607"/>
      <c r="EE607"/>
      <c r="EF607"/>
      <c r="EG607"/>
      <c r="EJ607"/>
      <c r="EK607"/>
      <c r="EL607"/>
      <c r="EM607"/>
      <c r="EN607"/>
      <c r="EO607"/>
      <c r="EP607"/>
      <c r="EQ607"/>
      <c r="ER607"/>
      <c r="ES607"/>
      <c r="ET607"/>
      <c r="EU607"/>
      <c r="EV607"/>
      <c r="EW607"/>
      <c r="EX607"/>
      <c r="EY607"/>
      <c r="EZ607"/>
      <c r="FA607"/>
      <c r="FB607"/>
      <c r="FC607"/>
      <c r="FD607"/>
      <c r="FE607"/>
      <c r="FF607"/>
      <c r="FG607"/>
      <c r="FH607"/>
      <c r="FK607"/>
      <c r="FL607"/>
      <c r="FM607"/>
      <c r="FN607"/>
      <c r="FO607"/>
      <c r="FP607"/>
      <c r="FQ607"/>
      <c r="FR607"/>
      <c r="FS607"/>
      <c r="FT607"/>
      <c r="FU607"/>
      <c r="FV607"/>
      <c r="FW607"/>
      <c r="FX607"/>
      <c r="FY607"/>
      <c r="FZ607"/>
      <c r="GA607"/>
      <c r="GB607"/>
      <c r="GC607"/>
      <c r="GD607"/>
    </row>
    <row r="608" spans="1:186" x14ac:dyDescent="0.15">
      <c r="AG608"/>
      <c r="AH608"/>
      <c r="AJ608"/>
      <c r="AK608"/>
      <c r="AL608"/>
      <c r="AM608"/>
      <c r="AO608"/>
      <c r="AP608"/>
      <c r="AQ608"/>
      <c r="AR608"/>
      <c r="AS608"/>
      <c r="AT608"/>
      <c r="AU608"/>
      <c r="AV608"/>
      <c r="AW608"/>
      <c r="AX608"/>
      <c r="AY608"/>
      <c r="AZ608"/>
      <c r="BA608"/>
      <c r="BB608"/>
      <c r="BC608"/>
      <c r="BD608"/>
      <c r="BE608"/>
      <c r="BF608"/>
      <c r="BH608"/>
      <c r="BI608"/>
      <c r="BJ608"/>
      <c r="BK608"/>
      <c r="BL608"/>
      <c r="BM608"/>
      <c r="BN608"/>
      <c r="BP608"/>
      <c r="BQ608"/>
      <c r="BR608"/>
      <c r="BS608"/>
      <c r="BT608"/>
      <c r="BU608"/>
      <c r="BV608"/>
      <c r="BW608"/>
      <c r="BZ608"/>
      <c r="CA608"/>
      <c r="CB608"/>
      <c r="CC608"/>
      <c r="CD608"/>
      <c r="CF608"/>
      <c r="CG608"/>
      <c r="CH608"/>
      <c r="CI608"/>
      <c r="CJ608"/>
      <c r="CK608"/>
      <c r="CL608"/>
      <c r="CM608"/>
      <c r="CN608"/>
      <c r="CO608"/>
      <c r="CP608"/>
      <c r="CQ608"/>
      <c r="CR608"/>
      <c r="CS608"/>
      <c r="CT608"/>
      <c r="CU608"/>
      <c r="CV608"/>
      <c r="CW608"/>
      <c r="CX608"/>
      <c r="CY608"/>
      <c r="CZ608"/>
      <c r="DA608"/>
      <c r="DB608"/>
      <c r="DC608"/>
      <c r="DD608"/>
      <c r="DE608"/>
      <c r="DG608"/>
      <c r="DH608"/>
      <c r="DI608"/>
      <c r="DJ608"/>
      <c r="DK608"/>
      <c r="DL608"/>
      <c r="DM608"/>
      <c r="DN608"/>
      <c r="DO608"/>
      <c r="DP608"/>
      <c r="DQ608"/>
      <c r="DR608"/>
      <c r="DS608"/>
      <c r="DT608"/>
      <c r="DU608"/>
      <c r="DV608"/>
      <c r="DW608"/>
      <c r="DZ608"/>
      <c r="EA608"/>
      <c r="EB608"/>
      <c r="EC608"/>
      <c r="ED608"/>
      <c r="EE608"/>
      <c r="EF608"/>
      <c r="EG608"/>
      <c r="EJ608"/>
      <c r="EK608"/>
      <c r="EL608"/>
      <c r="EM608"/>
      <c r="EN608"/>
      <c r="EO608"/>
      <c r="EP608"/>
      <c r="EQ608"/>
      <c r="ER608"/>
      <c r="ES608"/>
      <c r="ET608"/>
      <c r="EU608"/>
      <c r="EV608"/>
      <c r="EW608"/>
      <c r="EX608"/>
      <c r="EY608"/>
      <c r="EZ608"/>
      <c r="FA608"/>
      <c r="FB608"/>
      <c r="FC608"/>
      <c r="FD608"/>
      <c r="FE608"/>
      <c r="FF608"/>
      <c r="FG608"/>
      <c r="FH608"/>
      <c r="FK608"/>
      <c r="FL608"/>
      <c r="FM608"/>
      <c r="FN608"/>
      <c r="FO608"/>
      <c r="FP608"/>
      <c r="FQ608"/>
      <c r="FR608"/>
      <c r="FS608"/>
      <c r="FT608"/>
      <c r="FU608"/>
      <c r="FV608"/>
      <c r="FW608"/>
      <c r="FX608"/>
      <c r="FY608"/>
      <c r="FZ608"/>
      <c r="GA608"/>
      <c r="GB608"/>
      <c r="GC608"/>
      <c r="GD608"/>
    </row>
    <row r="609" spans="33:186" x14ac:dyDescent="0.15">
      <c r="AG609"/>
      <c r="AH609"/>
      <c r="AJ609"/>
      <c r="AK609"/>
      <c r="AL609"/>
      <c r="AM609"/>
      <c r="AO609"/>
      <c r="AP609"/>
      <c r="AQ609"/>
      <c r="AR609"/>
      <c r="AS609"/>
      <c r="AT609"/>
      <c r="AU609"/>
      <c r="AV609"/>
      <c r="AW609"/>
      <c r="AX609"/>
      <c r="AY609"/>
      <c r="AZ609"/>
      <c r="BA609"/>
      <c r="BB609"/>
      <c r="BC609"/>
      <c r="BD609"/>
      <c r="BE609"/>
      <c r="BF609"/>
      <c r="BH609"/>
      <c r="BI609"/>
      <c r="BJ609"/>
      <c r="BK609"/>
      <c r="BL609"/>
      <c r="BM609"/>
      <c r="BN609"/>
      <c r="BP609"/>
      <c r="BQ609"/>
      <c r="BR609"/>
      <c r="BS609"/>
      <c r="BT609"/>
      <c r="BU609"/>
      <c r="BV609"/>
      <c r="BW609"/>
      <c r="BZ609"/>
      <c r="CA609"/>
      <c r="CB609"/>
      <c r="CC609"/>
      <c r="CD609"/>
      <c r="CF609"/>
      <c r="CG609"/>
      <c r="CH609"/>
      <c r="CI609"/>
      <c r="CJ609"/>
      <c r="CK609"/>
      <c r="CL609"/>
      <c r="CM609"/>
      <c r="CN609"/>
      <c r="CO609"/>
      <c r="CP609"/>
      <c r="CQ609"/>
      <c r="CR609"/>
      <c r="CS609"/>
      <c r="CT609"/>
      <c r="CU609"/>
      <c r="CV609"/>
      <c r="CW609"/>
      <c r="CX609"/>
      <c r="CY609"/>
      <c r="CZ609"/>
      <c r="DA609"/>
      <c r="DB609"/>
      <c r="DC609"/>
      <c r="DD609"/>
      <c r="DE609"/>
      <c r="DG609"/>
      <c r="DH609"/>
      <c r="DI609"/>
      <c r="DJ609"/>
      <c r="DK609"/>
      <c r="DL609"/>
      <c r="DM609"/>
      <c r="DN609"/>
      <c r="DO609"/>
      <c r="DP609"/>
      <c r="DQ609"/>
      <c r="DR609"/>
      <c r="DS609"/>
      <c r="DT609"/>
      <c r="DU609"/>
      <c r="DV609"/>
      <c r="DW609"/>
      <c r="DZ609"/>
      <c r="EA609"/>
      <c r="EB609"/>
      <c r="EC609"/>
      <c r="ED609"/>
      <c r="EE609"/>
      <c r="EF609"/>
      <c r="EG609"/>
      <c r="EJ609"/>
      <c r="EK609"/>
      <c r="EL609"/>
      <c r="EM609"/>
      <c r="EN609"/>
      <c r="EO609"/>
      <c r="EP609"/>
      <c r="EQ609"/>
      <c r="ER609"/>
      <c r="ES609"/>
      <c r="ET609"/>
      <c r="EU609"/>
      <c r="EV609"/>
      <c r="EW609"/>
      <c r="EX609"/>
      <c r="EY609"/>
      <c r="EZ609"/>
      <c r="FA609"/>
      <c r="FB609"/>
      <c r="FC609"/>
      <c r="FD609"/>
      <c r="FE609"/>
      <c r="FF609"/>
      <c r="FG609"/>
      <c r="FH609"/>
      <c r="FK609"/>
      <c r="FL609"/>
      <c r="FM609"/>
      <c r="FN609"/>
      <c r="FO609"/>
      <c r="FP609"/>
      <c r="FQ609"/>
      <c r="FR609"/>
      <c r="FS609"/>
      <c r="FT609"/>
      <c r="FU609"/>
      <c r="FV609"/>
      <c r="FW609"/>
      <c r="FX609"/>
      <c r="FY609"/>
      <c r="FZ609"/>
      <c r="GA609"/>
      <c r="GB609"/>
      <c r="GC609"/>
      <c r="GD609"/>
    </row>
    <row r="610" spans="33:186" x14ac:dyDescent="0.15">
      <c r="AG610"/>
      <c r="AH610"/>
      <c r="AJ610"/>
      <c r="AK610"/>
      <c r="AL610"/>
      <c r="AM610"/>
      <c r="AO610"/>
      <c r="AP610"/>
      <c r="AQ610"/>
      <c r="AR610"/>
      <c r="AS610"/>
      <c r="AT610"/>
      <c r="AU610"/>
      <c r="AV610"/>
      <c r="AW610"/>
      <c r="AX610"/>
      <c r="AY610"/>
      <c r="AZ610"/>
      <c r="BA610"/>
      <c r="BB610"/>
      <c r="BC610"/>
      <c r="BD610"/>
      <c r="BE610"/>
      <c r="BF610"/>
      <c r="BH610"/>
      <c r="BI610"/>
      <c r="BJ610"/>
      <c r="BK610"/>
      <c r="BL610"/>
      <c r="BM610"/>
      <c r="BN610"/>
      <c r="BP610"/>
      <c r="BQ610"/>
      <c r="BR610"/>
      <c r="BS610"/>
      <c r="BT610"/>
      <c r="BU610"/>
      <c r="BV610"/>
      <c r="BW610"/>
      <c r="BZ610"/>
      <c r="CA610"/>
      <c r="CB610"/>
      <c r="CC610"/>
      <c r="CD610"/>
      <c r="CF610"/>
      <c r="CG610"/>
      <c r="CH610"/>
      <c r="CI610"/>
      <c r="CJ610"/>
      <c r="CK610"/>
      <c r="CL610"/>
      <c r="CM610"/>
      <c r="CN610"/>
      <c r="CO610"/>
      <c r="CP610"/>
      <c r="CQ610"/>
      <c r="CR610"/>
      <c r="CS610"/>
      <c r="CT610"/>
      <c r="CU610"/>
      <c r="CV610"/>
      <c r="CW610"/>
      <c r="CX610"/>
      <c r="CY610"/>
      <c r="CZ610"/>
      <c r="DA610"/>
      <c r="DB610"/>
      <c r="DC610"/>
      <c r="DD610"/>
      <c r="DE610"/>
      <c r="DG610"/>
      <c r="DH610"/>
      <c r="DI610"/>
      <c r="DJ610"/>
      <c r="DK610"/>
      <c r="DL610"/>
      <c r="DM610"/>
      <c r="DN610"/>
      <c r="DO610"/>
      <c r="DP610"/>
      <c r="DQ610"/>
      <c r="DR610"/>
      <c r="DS610"/>
      <c r="DT610"/>
      <c r="DU610"/>
      <c r="DV610"/>
      <c r="DW610"/>
      <c r="DZ610"/>
      <c r="EA610"/>
      <c r="EB610"/>
      <c r="EC610"/>
      <c r="ED610"/>
      <c r="EE610"/>
      <c r="EF610"/>
      <c r="EG610"/>
      <c r="EJ610"/>
      <c r="EK610"/>
      <c r="EL610"/>
      <c r="EM610"/>
      <c r="EN610"/>
      <c r="EO610"/>
      <c r="EP610"/>
      <c r="EQ610"/>
      <c r="ER610"/>
      <c r="ES610"/>
      <c r="ET610"/>
      <c r="EU610"/>
      <c r="EV610"/>
      <c r="EW610"/>
      <c r="EX610"/>
      <c r="EY610"/>
      <c r="EZ610"/>
      <c r="FA610"/>
      <c r="FB610"/>
      <c r="FC610"/>
      <c r="FD610"/>
      <c r="FE610"/>
      <c r="FF610"/>
      <c r="FG610"/>
      <c r="FH610"/>
      <c r="FK610"/>
      <c r="FL610"/>
      <c r="FM610"/>
      <c r="FN610"/>
      <c r="FO610"/>
      <c r="FP610"/>
      <c r="FQ610"/>
      <c r="FR610"/>
      <c r="FS610"/>
      <c r="FT610"/>
      <c r="FU610"/>
      <c r="FV610"/>
      <c r="FW610"/>
      <c r="FX610"/>
      <c r="FY610"/>
      <c r="FZ610"/>
      <c r="GA610"/>
      <c r="GB610"/>
      <c r="GC610"/>
      <c r="GD610"/>
    </row>
    <row r="611" spans="33:186" x14ac:dyDescent="0.15">
      <c r="AG611"/>
      <c r="AH611"/>
      <c r="AJ611"/>
      <c r="AK611"/>
      <c r="AL611"/>
      <c r="AM611"/>
      <c r="AO611"/>
      <c r="AP611"/>
      <c r="AQ611"/>
      <c r="AR611"/>
      <c r="AS611"/>
      <c r="AT611"/>
      <c r="AU611"/>
      <c r="AV611"/>
      <c r="AW611"/>
      <c r="AX611"/>
      <c r="AY611"/>
      <c r="AZ611"/>
      <c r="BA611"/>
      <c r="BB611"/>
      <c r="BC611"/>
      <c r="BD611"/>
      <c r="BE611"/>
      <c r="BF611"/>
      <c r="BH611"/>
      <c r="BI611"/>
      <c r="BJ611"/>
      <c r="BK611"/>
      <c r="BL611"/>
      <c r="BM611"/>
      <c r="BN611"/>
      <c r="BP611"/>
      <c r="BQ611"/>
      <c r="BR611"/>
      <c r="BS611"/>
      <c r="BT611"/>
      <c r="BU611"/>
      <c r="BV611"/>
      <c r="BW611"/>
      <c r="BZ611"/>
      <c r="CA611"/>
      <c r="CB611"/>
      <c r="CC611"/>
      <c r="CD611"/>
      <c r="CF611"/>
      <c r="CG611"/>
      <c r="CH611"/>
      <c r="CI611"/>
      <c r="CJ611"/>
      <c r="CK611"/>
      <c r="CL611"/>
      <c r="CM611"/>
      <c r="CN611"/>
      <c r="CO611"/>
      <c r="CP611"/>
      <c r="CQ611"/>
      <c r="CR611"/>
      <c r="CS611"/>
      <c r="CT611"/>
      <c r="CU611"/>
      <c r="CV611"/>
      <c r="CW611"/>
      <c r="CX611"/>
      <c r="CY611"/>
      <c r="CZ611"/>
      <c r="DA611"/>
      <c r="DB611"/>
      <c r="DC611"/>
      <c r="DD611"/>
      <c r="DE611"/>
      <c r="DG611"/>
      <c r="DH611"/>
      <c r="DI611"/>
      <c r="DJ611"/>
      <c r="DK611"/>
      <c r="DL611"/>
      <c r="DM611"/>
      <c r="DN611"/>
      <c r="DO611"/>
      <c r="DP611"/>
      <c r="DQ611"/>
      <c r="DR611"/>
      <c r="DS611"/>
      <c r="DT611"/>
      <c r="DU611"/>
      <c r="DV611"/>
      <c r="DW611"/>
      <c r="DZ611"/>
      <c r="EA611"/>
      <c r="EB611"/>
      <c r="EC611"/>
      <c r="ED611"/>
      <c r="EE611"/>
      <c r="EF611"/>
      <c r="EG611"/>
      <c r="EJ611"/>
      <c r="EK611"/>
      <c r="EL611"/>
      <c r="EM611"/>
      <c r="EN611"/>
      <c r="EO611"/>
      <c r="EP611"/>
      <c r="EQ611"/>
      <c r="ER611"/>
      <c r="ES611"/>
      <c r="ET611"/>
      <c r="EU611"/>
      <c r="EV611"/>
      <c r="EW611"/>
      <c r="EX611"/>
      <c r="EY611"/>
      <c r="EZ611"/>
      <c r="FA611"/>
      <c r="FB611"/>
      <c r="FC611"/>
      <c r="FD611"/>
      <c r="FE611"/>
      <c r="FF611"/>
      <c r="FG611"/>
      <c r="FH611"/>
      <c r="FK611"/>
      <c r="FL611"/>
      <c r="FM611"/>
      <c r="FN611"/>
      <c r="FO611"/>
      <c r="FP611"/>
      <c r="FQ611"/>
      <c r="FR611"/>
      <c r="FS611"/>
      <c r="FT611"/>
      <c r="FU611"/>
      <c r="FV611"/>
      <c r="FW611"/>
      <c r="FX611"/>
      <c r="FY611"/>
      <c r="FZ611"/>
      <c r="GA611"/>
      <c r="GB611"/>
      <c r="GC611"/>
      <c r="GD611"/>
    </row>
    <row r="612" spans="33:186" x14ac:dyDescent="0.15">
      <c r="AG612"/>
      <c r="AH612"/>
      <c r="AJ612"/>
      <c r="AK612"/>
      <c r="AL612"/>
      <c r="AM612"/>
      <c r="AO612"/>
      <c r="AP612"/>
      <c r="AQ612"/>
      <c r="AR612"/>
      <c r="AS612"/>
      <c r="AT612"/>
      <c r="AU612"/>
      <c r="AV612"/>
      <c r="AW612"/>
      <c r="AX612"/>
      <c r="AY612"/>
      <c r="AZ612"/>
      <c r="BA612"/>
      <c r="BB612"/>
      <c r="BC612"/>
      <c r="BD612"/>
      <c r="BE612"/>
      <c r="BF612"/>
      <c r="BH612"/>
      <c r="BI612"/>
      <c r="BJ612"/>
      <c r="BK612"/>
      <c r="BL612"/>
      <c r="BM612"/>
      <c r="BN612"/>
      <c r="BP612"/>
      <c r="BQ612"/>
      <c r="BR612"/>
      <c r="BS612"/>
      <c r="BT612"/>
      <c r="BU612"/>
      <c r="BV612"/>
      <c r="BW612"/>
      <c r="BZ612"/>
      <c r="CA612"/>
      <c r="CB612"/>
      <c r="CC612"/>
      <c r="CD612"/>
      <c r="CF612"/>
      <c r="CG612"/>
      <c r="CH612"/>
      <c r="CI612"/>
      <c r="CJ612"/>
      <c r="CK612"/>
      <c r="CL612"/>
      <c r="CM612"/>
      <c r="CN612"/>
      <c r="CO612"/>
      <c r="CP612"/>
      <c r="CQ612"/>
      <c r="CR612"/>
      <c r="CS612"/>
      <c r="CT612"/>
      <c r="CU612"/>
      <c r="CV612"/>
      <c r="CW612"/>
      <c r="CX612"/>
      <c r="CY612"/>
      <c r="CZ612"/>
      <c r="DA612"/>
      <c r="DB612"/>
      <c r="DC612"/>
      <c r="DD612"/>
      <c r="DE612"/>
      <c r="DG612"/>
      <c r="DH612"/>
      <c r="DI612"/>
      <c r="DJ612"/>
      <c r="DK612"/>
      <c r="DL612"/>
      <c r="DM612"/>
      <c r="DN612"/>
      <c r="DO612"/>
      <c r="DP612"/>
      <c r="DQ612"/>
      <c r="DR612"/>
      <c r="DS612"/>
      <c r="DT612"/>
      <c r="DU612"/>
      <c r="DV612"/>
      <c r="DW612"/>
      <c r="DZ612"/>
      <c r="EA612"/>
      <c r="EB612"/>
      <c r="EC612"/>
      <c r="ED612"/>
      <c r="EE612"/>
      <c r="EF612"/>
      <c r="EG612"/>
      <c r="EJ612"/>
      <c r="EK612"/>
      <c r="EL612"/>
      <c r="EM612"/>
      <c r="EN612"/>
      <c r="EO612"/>
      <c r="EP612"/>
      <c r="EQ612"/>
      <c r="ER612"/>
      <c r="ES612"/>
      <c r="ET612"/>
      <c r="EU612"/>
      <c r="EV612"/>
      <c r="EW612"/>
      <c r="EX612"/>
      <c r="EY612"/>
      <c r="EZ612"/>
      <c r="FA612"/>
      <c r="FB612"/>
      <c r="FC612"/>
      <c r="FD612"/>
      <c r="FE612"/>
      <c r="FF612"/>
      <c r="FG612"/>
      <c r="FH612"/>
      <c r="FK612"/>
      <c r="FL612"/>
      <c r="FM612"/>
      <c r="FN612"/>
      <c r="FO612"/>
      <c r="FP612"/>
      <c r="FQ612"/>
      <c r="FR612"/>
      <c r="FS612"/>
      <c r="FT612"/>
      <c r="FU612"/>
      <c r="FV612"/>
      <c r="FW612"/>
      <c r="FX612"/>
      <c r="FY612"/>
      <c r="FZ612"/>
      <c r="GA612"/>
      <c r="GB612"/>
      <c r="GC612"/>
      <c r="GD612"/>
    </row>
    <row r="613" spans="33:186" x14ac:dyDescent="0.15">
      <c r="AG613"/>
      <c r="AH613"/>
      <c r="AJ613"/>
      <c r="AK613"/>
      <c r="AL613"/>
      <c r="AM613"/>
      <c r="AO613"/>
      <c r="AP613"/>
      <c r="AQ613"/>
      <c r="AR613"/>
      <c r="AS613"/>
      <c r="AT613"/>
      <c r="AU613"/>
      <c r="AV613"/>
      <c r="AW613"/>
      <c r="AX613"/>
      <c r="AY613"/>
      <c r="AZ613"/>
      <c r="BA613"/>
      <c r="BB613"/>
      <c r="BC613"/>
      <c r="BD613"/>
      <c r="BE613"/>
      <c r="BF613"/>
      <c r="BH613"/>
      <c r="BI613"/>
      <c r="BJ613"/>
      <c r="BK613"/>
      <c r="BL613"/>
      <c r="BM613"/>
      <c r="BN613"/>
      <c r="BP613"/>
      <c r="BQ613"/>
      <c r="BR613"/>
      <c r="BS613"/>
      <c r="BT613"/>
      <c r="BU613"/>
      <c r="BV613"/>
      <c r="BW613"/>
      <c r="BZ613"/>
      <c r="CA613"/>
      <c r="CB613"/>
      <c r="CC613"/>
      <c r="CD613"/>
      <c r="CF613"/>
      <c r="CG613"/>
      <c r="CH613"/>
      <c r="CI613"/>
      <c r="CJ613"/>
      <c r="CK613"/>
      <c r="CL613"/>
      <c r="CM613"/>
      <c r="CN613"/>
      <c r="CO613"/>
      <c r="CP613"/>
      <c r="CQ613"/>
      <c r="CR613"/>
      <c r="CS613"/>
      <c r="CT613"/>
      <c r="CU613"/>
      <c r="CV613"/>
      <c r="CW613"/>
      <c r="CX613"/>
      <c r="CY613"/>
      <c r="CZ613"/>
      <c r="DA613"/>
      <c r="DB613"/>
      <c r="DC613"/>
      <c r="DD613"/>
      <c r="DE613"/>
      <c r="DG613"/>
      <c r="DH613"/>
      <c r="DI613"/>
      <c r="DJ613"/>
      <c r="DK613"/>
      <c r="DL613"/>
      <c r="DM613"/>
      <c r="DN613"/>
      <c r="DO613"/>
      <c r="DP613"/>
      <c r="DQ613"/>
      <c r="DR613"/>
      <c r="DS613"/>
      <c r="DT613"/>
      <c r="DU613"/>
      <c r="DV613"/>
      <c r="DW613"/>
      <c r="DZ613"/>
      <c r="EA613"/>
      <c r="EB613"/>
      <c r="EC613"/>
      <c r="ED613"/>
      <c r="EE613"/>
      <c r="EF613"/>
      <c r="EG613"/>
      <c r="EJ613"/>
      <c r="EK613"/>
      <c r="EL613"/>
      <c r="EM613"/>
      <c r="EN613"/>
      <c r="EO613"/>
      <c r="EP613"/>
      <c r="EQ613"/>
      <c r="ER613"/>
      <c r="ES613"/>
      <c r="ET613"/>
      <c r="EU613"/>
      <c r="EV613"/>
      <c r="EW613"/>
      <c r="EX613"/>
      <c r="EY613"/>
      <c r="EZ613"/>
      <c r="FA613"/>
      <c r="FB613"/>
      <c r="FC613"/>
      <c r="FD613"/>
      <c r="FE613"/>
      <c r="FF613"/>
      <c r="FG613"/>
      <c r="FH613"/>
      <c r="FK613"/>
      <c r="FL613"/>
      <c r="FM613"/>
      <c r="FN613"/>
      <c r="FO613"/>
      <c r="FP613"/>
      <c r="FQ613"/>
      <c r="FR613"/>
      <c r="FS613"/>
      <c r="FT613"/>
      <c r="FU613"/>
      <c r="FV613"/>
      <c r="FW613"/>
      <c r="FX613"/>
      <c r="FY613"/>
      <c r="FZ613"/>
      <c r="GA613"/>
      <c r="GB613"/>
      <c r="GC613"/>
      <c r="GD613"/>
    </row>
    <row r="614" spans="33:186" x14ac:dyDescent="0.15">
      <c r="AG614"/>
      <c r="AH614"/>
      <c r="AJ614"/>
      <c r="AK614"/>
      <c r="AL614"/>
      <c r="AM614"/>
      <c r="AO614"/>
      <c r="AP614"/>
      <c r="AQ614"/>
      <c r="AR614"/>
      <c r="AS614"/>
      <c r="AT614"/>
      <c r="AU614"/>
      <c r="AV614"/>
      <c r="AW614"/>
      <c r="AX614"/>
      <c r="AY614"/>
      <c r="AZ614"/>
      <c r="BA614"/>
      <c r="BB614"/>
      <c r="BC614"/>
      <c r="BD614"/>
      <c r="BE614"/>
      <c r="BF614"/>
      <c r="BH614"/>
      <c r="BI614"/>
      <c r="BJ614"/>
      <c r="BK614"/>
      <c r="BL614"/>
      <c r="BM614"/>
      <c r="BN614"/>
      <c r="BP614"/>
      <c r="BQ614"/>
      <c r="BR614"/>
      <c r="BS614"/>
      <c r="BT614"/>
      <c r="BU614"/>
      <c r="BV614"/>
      <c r="BW614"/>
      <c r="BZ614"/>
      <c r="CA614"/>
      <c r="CB614"/>
      <c r="CC614"/>
      <c r="CD614"/>
      <c r="CF614"/>
      <c r="CG614"/>
      <c r="CH614"/>
      <c r="CI614"/>
      <c r="CJ614"/>
      <c r="CK614"/>
      <c r="CL614"/>
      <c r="CM614"/>
      <c r="CN614"/>
      <c r="CO614"/>
      <c r="CP614"/>
      <c r="CQ614"/>
      <c r="CR614"/>
      <c r="CS614"/>
      <c r="CT614"/>
      <c r="CU614"/>
      <c r="CV614"/>
      <c r="CW614"/>
      <c r="CX614"/>
      <c r="CY614"/>
      <c r="CZ614"/>
      <c r="DA614"/>
      <c r="DB614"/>
      <c r="DC614"/>
      <c r="DD614"/>
      <c r="DE614"/>
      <c r="DG614"/>
      <c r="DH614"/>
      <c r="DI614"/>
      <c r="DJ614"/>
      <c r="DK614"/>
      <c r="DL614"/>
      <c r="DM614"/>
      <c r="DN614"/>
      <c r="DO614"/>
      <c r="DP614"/>
      <c r="DQ614"/>
      <c r="DR614"/>
      <c r="DS614"/>
      <c r="DT614"/>
      <c r="DU614"/>
      <c r="DV614"/>
      <c r="DW614"/>
      <c r="DZ614"/>
      <c r="EA614"/>
      <c r="EB614"/>
      <c r="EC614"/>
      <c r="ED614"/>
      <c r="EE614"/>
      <c r="EF614"/>
      <c r="EG614"/>
      <c r="EJ614"/>
      <c r="EK614"/>
      <c r="EL614"/>
      <c r="EM614"/>
      <c r="EN614"/>
      <c r="EO614"/>
      <c r="EP614"/>
      <c r="EQ614"/>
      <c r="ER614"/>
      <c r="ES614"/>
      <c r="ET614"/>
      <c r="EU614"/>
      <c r="EV614"/>
      <c r="EW614"/>
      <c r="EX614"/>
      <c r="EY614"/>
      <c r="EZ614"/>
      <c r="FA614"/>
      <c r="FB614"/>
      <c r="FC614"/>
      <c r="FD614"/>
      <c r="FE614"/>
      <c r="FF614"/>
      <c r="FG614"/>
      <c r="FH614"/>
      <c r="FK614"/>
      <c r="FL614"/>
      <c r="FM614"/>
      <c r="FN614"/>
      <c r="FO614"/>
      <c r="FP614"/>
      <c r="FQ614"/>
      <c r="FR614"/>
      <c r="FS614"/>
      <c r="FT614"/>
      <c r="FU614"/>
      <c r="FV614"/>
      <c r="FW614"/>
      <c r="FX614"/>
      <c r="FY614"/>
      <c r="FZ614"/>
      <c r="GA614"/>
      <c r="GB614"/>
      <c r="GC614"/>
      <c r="GD614"/>
    </row>
    <row r="615" spans="33:186" x14ac:dyDescent="0.15">
      <c r="AG615"/>
      <c r="AH615"/>
      <c r="AJ615"/>
      <c r="AK615"/>
      <c r="AL615"/>
      <c r="AM615"/>
      <c r="AO615"/>
      <c r="AP615"/>
      <c r="AQ615"/>
      <c r="AR615"/>
      <c r="AS615"/>
      <c r="AT615"/>
      <c r="AU615"/>
      <c r="AV615"/>
      <c r="AW615"/>
      <c r="AX615"/>
      <c r="AY615"/>
      <c r="AZ615"/>
      <c r="BA615"/>
      <c r="BB615"/>
      <c r="BC615"/>
      <c r="BD615"/>
      <c r="BE615"/>
      <c r="BF615"/>
      <c r="BH615"/>
      <c r="BI615"/>
      <c r="BJ615"/>
      <c r="BK615"/>
      <c r="BL615"/>
      <c r="BM615"/>
      <c r="BN615"/>
      <c r="BP615"/>
      <c r="BQ615"/>
      <c r="BR615"/>
      <c r="BS615"/>
      <c r="BT615"/>
      <c r="BU615"/>
      <c r="BV615"/>
      <c r="BW615"/>
      <c r="BZ615"/>
      <c r="CA615"/>
      <c r="CB615"/>
      <c r="CC615"/>
      <c r="CD615"/>
      <c r="CF615"/>
      <c r="CG615"/>
      <c r="CH615"/>
      <c r="CI615"/>
      <c r="CJ615"/>
      <c r="CK615"/>
      <c r="CL615"/>
      <c r="CM615"/>
      <c r="CN615"/>
      <c r="CO615"/>
      <c r="CP615"/>
      <c r="CQ615"/>
      <c r="CR615"/>
      <c r="CS615"/>
      <c r="CT615"/>
      <c r="CU615"/>
      <c r="CV615"/>
      <c r="CW615"/>
      <c r="CX615"/>
      <c r="CY615"/>
      <c r="CZ615"/>
      <c r="DA615"/>
      <c r="DB615"/>
      <c r="DC615"/>
      <c r="DD615"/>
      <c r="DE615"/>
      <c r="DG615"/>
      <c r="DH615"/>
      <c r="DI615"/>
      <c r="DJ615"/>
      <c r="DK615"/>
      <c r="DL615"/>
      <c r="DM615"/>
      <c r="DN615"/>
      <c r="DO615"/>
      <c r="DP615"/>
      <c r="DQ615"/>
      <c r="DR615"/>
      <c r="DS615"/>
      <c r="DT615"/>
      <c r="DU615"/>
      <c r="DV615"/>
      <c r="DW615"/>
      <c r="DZ615"/>
      <c r="EA615"/>
      <c r="EB615"/>
      <c r="EC615"/>
      <c r="ED615"/>
      <c r="EE615"/>
      <c r="EF615"/>
      <c r="EG615"/>
      <c r="EJ615"/>
      <c r="EK615"/>
      <c r="EL615"/>
      <c r="EM615"/>
      <c r="EN615"/>
      <c r="EO615"/>
      <c r="EP615"/>
      <c r="EQ615"/>
      <c r="ER615"/>
      <c r="ES615"/>
      <c r="ET615"/>
      <c r="EU615"/>
      <c r="EV615"/>
      <c r="EW615"/>
      <c r="EX615"/>
      <c r="EY615"/>
      <c r="EZ615"/>
      <c r="FA615"/>
      <c r="FB615"/>
      <c r="FC615"/>
      <c r="FD615"/>
      <c r="FE615"/>
      <c r="FF615"/>
      <c r="FG615"/>
      <c r="FH615"/>
      <c r="FK615"/>
      <c r="FL615"/>
      <c r="FM615"/>
      <c r="FN615"/>
      <c r="FO615"/>
      <c r="FP615"/>
      <c r="FQ615"/>
      <c r="FR615"/>
      <c r="FS615"/>
      <c r="FT615"/>
      <c r="FU615"/>
      <c r="FV615"/>
      <c r="FW615"/>
      <c r="FX615"/>
      <c r="FY615"/>
      <c r="FZ615"/>
      <c r="GA615"/>
      <c r="GB615"/>
      <c r="GC615"/>
      <c r="GD615"/>
    </row>
    <row r="616" spans="33:186" x14ac:dyDescent="0.15">
      <c r="AG616"/>
      <c r="AH616"/>
      <c r="AJ616"/>
      <c r="AK616"/>
      <c r="AL616"/>
      <c r="AM616"/>
      <c r="AO616"/>
      <c r="AP616"/>
      <c r="AQ616"/>
      <c r="AR616"/>
      <c r="AS616"/>
      <c r="AT616"/>
      <c r="AU616"/>
      <c r="AV616"/>
      <c r="AW616"/>
      <c r="AX616"/>
      <c r="AY616"/>
      <c r="AZ616"/>
      <c r="BA616"/>
      <c r="BB616"/>
      <c r="BC616"/>
      <c r="BD616"/>
      <c r="BE616"/>
      <c r="BF616"/>
      <c r="BH616"/>
      <c r="BI616"/>
      <c r="BJ616"/>
      <c r="BK616"/>
      <c r="BL616"/>
      <c r="BM616"/>
      <c r="BN616"/>
      <c r="BP616"/>
      <c r="BQ616"/>
      <c r="BR616"/>
      <c r="BS616"/>
      <c r="BT616"/>
      <c r="BU616"/>
      <c r="BV616"/>
      <c r="BW616"/>
      <c r="BZ616"/>
      <c r="CA616"/>
      <c r="CB616"/>
      <c r="CC616"/>
      <c r="CD616"/>
      <c r="CF616"/>
      <c r="CG616"/>
      <c r="CH616"/>
      <c r="CI616"/>
      <c r="CJ616"/>
      <c r="CK616"/>
      <c r="CL616"/>
      <c r="CM616"/>
      <c r="CN616"/>
      <c r="CO616"/>
      <c r="CP616"/>
      <c r="CQ616"/>
      <c r="CR616"/>
      <c r="CS616"/>
      <c r="CT616"/>
      <c r="CU616"/>
      <c r="CV616"/>
      <c r="CW616"/>
      <c r="CX616"/>
      <c r="CY616"/>
      <c r="CZ616"/>
      <c r="DA616"/>
      <c r="DB616"/>
      <c r="DC616"/>
      <c r="DD616"/>
      <c r="DE616"/>
      <c r="DG616"/>
      <c r="DH616"/>
      <c r="DI616"/>
      <c r="DJ616"/>
      <c r="DK616"/>
      <c r="DL616"/>
      <c r="DM616"/>
      <c r="DN616"/>
      <c r="DO616"/>
      <c r="DP616"/>
      <c r="DQ616"/>
      <c r="DR616"/>
      <c r="DS616"/>
      <c r="DT616"/>
      <c r="DU616"/>
      <c r="DV616"/>
      <c r="DW616"/>
      <c r="DZ616"/>
      <c r="EA616"/>
      <c r="EB616"/>
      <c r="EC616"/>
      <c r="ED616"/>
      <c r="EE616"/>
      <c r="EF616"/>
      <c r="EG616"/>
      <c r="EJ616"/>
      <c r="EK616"/>
      <c r="EL616"/>
      <c r="EM616"/>
      <c r="EN616"/>
      <c r="EO616"/>
      <c r="EP616"/>
      <c r="EQ616"/>
      <c r="ER616"/>
      <c r="ES616"/>
      <c r="ET616"/>
      <c r="EU616"/>
      <c r="EV616"/>
      <c r="EW616"/>
      <c r="EX616"/>
      <c r="EY616"/>
      <c r="EZ616"/>
      <c r="FA616"/>
      <c r="FB616"/>
      <c r="FC616"/>
      <c r="FD616"/>
      <c r="FE616"/>
      <c r="FF616"/>
      <c r="FG616"/>
      <c r="FH616"/>
      <c r="FK616"/>
      <c r="FL616"/>
      <c r="FM616"/>
      <c r="FN616"/>
      <c r="FO616"/>
      <c r="FP616"/>
      <c r="FQ616"/>
      <c r="FR616"/>
      <c r="FS616"/>
      <c r="FT616"/>
      <c r="FU616"/>
      <c r="FV616"/>
      <c r="FW616"/>
      <c r="FX616"/>
      <c r="FY616"/>
      <c r="FZ616"/>
      <c r="GA616"/>
      <c r="GB616"/>
      <c r="GC616"/>
      <c r="GD616"/>
    </row>
    <row r="617" spans="33:186" x14ac:dyDescent="0.15">
      <c r="AG617"/>
      <c r="AH617"/>
      <c r="AJ617"/>
      <c r="AK617"/>
      <c r="AL617"/>
      <c r="AM617"/>
      <c r="AO617"/>
      <c r="AP617"/>
      <c r="AQ617"/>
      <c r="AR617"/>
      <c r="AS617"/>
      <c r="AT617"/>
      <c r="AU617"/>
      <c r="AV617"/>
      <c r="AW617"/>
      <c r="AX617"/>
      <c r="AY617"/>
      <c r="AZ617"/>
      <c r="BA617"/>
      <c r="BB617"/>
      <c r="BC617"/>
      <c r="BD617"/>
      <c r="BE617"/>
      <c r="BF617"/>
      <c r="BH617"/>
      <c r="BI617"/>
      <c r="BJ617"/>
      <c r="BK617"/>
      <c r="BL617"/>
      <c r="BM617"/>
      <c r="BN617"/>
      <c r="BP617"/>
      <c r="BQ617"/>
      <c r="BR617"/>
      <c r="BS617"/>
      <c r="BT617"/>
      <c r="BU617"/>
      <c r="BV617"/>
      <c r="BW617"/>
      <c r="BZ617"/>
      <c r="CA617"/>
      <c r="CB617"/>
      <c r="CC617"/>
      <c r="CD617"/>
      <c r="CF617"/>
      <c r="CG617"/>
      <c r="CH617"/>
      <c r="CI617"/>
      <c r="CJ617"/>
      <c r="CK617"/>
      <c r="CL617"/>
      <c r="CM617"/>
      <c r="CN617"/>
      <c r="CO617"/>
      <c r="CP617"/>
      <c r="CQ617"/>
      <c r="CR617"/>
      <c r="CS617"/>
      <c r="CT617"/>
      <c r="CU617"/>
      <c r="CV617"/>
      <c r="CW617"/>
      <c r="CX617"/>
      <c r="CY617"/>
      <c r="CZ617"/>
      <c r="DA617"/>
      <c r="DB617"/>
      <c r="DC617"/>
      <c r="DD617"/>
      <c r="DE617"/>
      <c r="DG617"/>
      <c r="DH617"/>
      <c r="DI617"/>
      <c r="DJ617"/>
      <c r="DK617"/>
      <c r="DL617"/>
      <c r="DM617"/>
      <c r="DN617"/>
      <c r="DO617"/>
      <c r="DP617"/>
      <c r="DQ617"/>
      <c r="DR617"/>
      <c r="DS617"/>
      <c r="DT617"/>
      <c r="DU617"/>
      <c r="DV617"/>
      <c r="DW617"/>
      <c r="DZ617"/>
      <c r="EA617"/>
      <c r="EB617"/>
      <c r="EC617"/>
      <c r="ED617"/>
      <c r="EE617"/>
      <c r="EF617"/>
      <c r="EG617"/>
      <c r="EJ617"/>
      <c r="EK617"/>
      <c r="EL617"/>
      <c r="EM617"/>
      <c r="EN617"/>
      <c r="EO617"/>
      <c r="EP617"/>
      <c r="EQ617"/>
      <c r="ER617"/>
      <c r="ES617"/>
      <c r="ET617"/>
      <c r="EU617"/>
      <c r="EV617"/>
      <c r="EW617"/>
      <c r="EX617"/>
      <c r="EY617"/>
      <c r="EZ617"/>
      <c r="FA617"/>
      <c r="FB617"/>
      <c r="FC617"/>
      <c r="FD617"/>
      <c r="FE617"/>
      <c r="FF617"/>
      <c r="FG617"/>
      <c r="FH617"/>
      <c r="FK617"/>
      <c r="FL617"/>
      <c r="FM617"/>
      <c r="FN617"/>
      <c r="FO617"/>
      <c r="FP617"/>
      <c r="FQ617"/>
      <c r="FR617"/>
      <c r="FS617"/>
      <c r="FT617"/>
      <c r="FU617"/>
      <c r="FV617"/>
      <c r="FW617"/>
      <c r="FX617"/>
      <c r="FY617"/>
      <c r="FZ617"/>
      <c r="GA617"/>
      <c r="GB617"/>
      <c r="GC617"/>
      <c r="GD617"/>
    </row>
    <row r="618" spans="33:186" x14ac:dyDescent="0.15">
      <c r="AG618"/>
      <c r="AH618"/>
      <c r="AJ618"/>
      <c r="AK618"/>
      <c r="AL618"/>
      <c r="AM618"/>
      <c r="AO618"/>
      <c r="AP618"/>
      <c r="AQ618"/>
      <c r="AR618"/>
      <c r="AS618"/>
      <c r="AT618"/>
      <c r="AU618"/>
      <c r="AV618"/>
      <c r="AW618"/>
      <c r="AX618"/>
      <c r="AY618"/>
      <c r="AZ618"/>
      <c r="BA618"/>
      <c r="BB618"/>
      <c r="BC618"/>
      <c r="BD618"/>
      <c r="BE618"/>
      <c r="BF618"/>
      <c r="BH618"/>
      <c r="BI618"/>
      <c r="BJ618"/>
      <c r="BK618"/>
      <c r="BL618"/>
      <c r="BM618"/>
      <c r="BN618"/>
      <c r="BP618"/>
      <c r="BQ618"/>
      <c r="BR618"/>
      <c r="BS618"/>
      <c r="BT618"/>
      <c r="BU618"/>
      <c r="BV618"/>
      <c r="BW618"/>
      <c r="BZ618"/>
      <c r="CA618"/>
      <c r="CB618"/>
      <c r="CC618"/>
      <c r="CD618"/>
      <c r="CF618"/>
      <c r="CG618"/>
      <c r="CH618"/>
      <c r="CI618"/>
      <c r="CJ618"/>
      <c r="CK618"/>
      <c r="CL618"/>
      <c r="CM618"/>
      <c r="CN618"/>
      <c r="CO618"/>
      <c r="CP618"/>
      <c r="CQ618"/>
      <c r="CR618"/>
      <c r="CS618"/>
      <c r="CT618"/>
      <c r="CU618"/>
      <c r="CV618"/>
      <c r="CW618"/>
      <c r="CX618"/>
      <c r="CY618"/>
      <c r="CZ618"/>
      <c r="DA618"/>
      <c r="DB618"/>
      <c r="DC618"/>
      <c r="DD618"/>
      <c r="DE618"/>
      <c r="DG618"/>
      <c r="DH618"/>
      <c r="DI618"/>
      <c r="DJ618"/>
      <c r="DK618"/>
      <c r="DL618"/>
      <c r="DM618"/>
      <c r="DN618"/>
      <c r="DO618"/>
      <c r="DP618"/>
      <c r="DQ618"/>
      <c r="DR618"/>
      <c r="DS618"/>
      <c r="DT618"/>
      <c r="DU618"/>
      <c r="DV618"/>
      <c r="DW618"/>
      <c r="DZ618"/>
      <c r="EA618"/>
      <c r="EB618"/>
      <c r="EC618"/>
      <c r="ED618"/>
      <c r="EE618"/>
      <c r="EF618"/>
      <c r="EG618"/>
      <c r="EJ618"/>
      <c r="EK618"/>
      <c r="EL618"/>
      <c r="EM618"/>
      <c r="EN618"/>
      <c r="EO618"/>
      <c r="EP618"/>
      <c r="EQ618"/>
      <c r="ER618"/>
      <c r="ES618"/>
      <c r="ET618"/>
      <c r="EU618"/>
      <c r="EV618"/>
      <c r="EW618"/>
      <c r="EX618"/>
      <c r="EY618"/>
      <c r="EZ618"/>
      <c r="FA618"/>
      <c r="FB618"/>
      <c r="FC618"/>
      <c r="FD618"/>
      <c r="FE618"/>
      <c r="FF618"/>
      <c r="FG618"/>
      <c r="FH618"/>
      <c r="FK618"/>
      <c r="FL618"/>
      <c r="FM618"/>
      <c r="FN618"/>
      <c r="FO618"/>
      <c r="FP618"/>
      <c r="FQ618"/>
      <c r="FR618"/>
      <c r="FS618"/>
      <c r="FT618"/>
      <c r="FU618"/>
      <c r="FV618"/>
      <c r="FW618"/>
      <c r="FX618"/>
      <c r="FY618"/>
      <c r="FZ618"/>
      <c r="GA618"/>
      <c r="GB618"/>
      <c r="GC618"/>
      <c r="GD618"/>
    </row>
    <row r="619" spans="33:186" x14ac:dyDescent="0.15">
      <c r="AG619"/>
      <c r="AH619"/>
      <c r="AJ619"/>
      <c r="AK619"/>
      <c r="AL619"/>
      <c r="AM619"/>
      <c r="AO619"/>
      <c r="AP619"/>
      <c r="AQ619"/>
      <c r="AR619"/>
      <c r="AS619"/>
      <c r="AT619"/>
      <c r="AU619"/>
      <c r="AV619"/>
      <c r="AW619"/>
      <c r="AX619"/>
      <c r="AY619"/>
      <c r="AZ619"/>
      <c r="BA619"/>
      <c r="BB619"/>
      <c r="BC619"/>
      <c r="BD619"/>
      <c r="BE619"/>
      <c r="BF619"/>
      <c r="BH619"/>
      <c r="BI619"/>
      <c r="BJ619"/>
      <c r="BK619"/>
      <c r="BL619"/>
      <c r="BM619"/>
      <c r="BN619"/>
      <c r="BP619"/>
      <c r="BQ619"/>
      <c r="BR619"/>
      <c r="BS619"/>
      <c r="BT619"/>
      <c r="BU619"/>
      <c r="BV619"/>
      <c r="BW619"/>
      <c r="BZ619"/>
      <c r="CA619"/>
      <c r="CB619"/>
      <c r="CC619"/>
      <c r="CD619"/>
      <c r="CF619"/>
      <c r="CG619"/>
      <c r="CH619"/>
      <c r="CI619"/>
      <c r="CJ619"/>
      <c r="CK619"/>
      <c r="CL619"/>
      <c r="CM619"/>
      <c r="CN619"/>
      <c r="CO619"/>
      <c r="CP619"/>
      <c r="CQ619"/>
      <c r="CR619"/>
      <c r="CS619"/>
      <c r="CT619"/>
      <c r="CU619"/>
      <c r="CV619"/>
      <c r="CW619"/>
      <c r="CX619"/>
      <c r="CY619"/>
      <c r="CZ619"/>
      <c r="DA619"/>
      <c r="DB619"/>
      <c r="DC619"/>
      <c r="DD619"/>
      <c r="DE619"/>
      <c r="DG619"/>
      <c r="DH619"/>
      <c r="DI619"/>
      <c r="DJ619"/>
      <c r="DK619"/>
      <c r="DL619"/>
      <c r="DM619"/>
      <c r="DN619"/>
      <c r="DO619"/>
      <c r="DP619"/>
      <c r="DQ619"/>
      <c r="DR619"/>
      <c r="DS619"/>
      <c r="DT619"/>
      <c r="DU619"/>
      <c r="DV619"/>
      <c r="DW619"/>
      <c r="DZ619"/>
      <c r="EA619"/>
      <c r="EB619"/>
      <c r="EC619"/>
      <c r="ED619"/>
      <c r="EE619"/>
      <c r="EF619"/>
      <c r="EG619"/>
      <c r="EJ619"/>
      <c r="EK619"/>
      <c r="EL619"/>
      <c r="EM619"/>
      <c r="EN619"/>
      <c r="EO619"/>
      <c r="EP619"/>
      <c r="EQ619"/>
      <c r="ER619"/>
      <c r="ES619"/>
      <c r="ET619"/>
      <c r="EU619"/>
      <c r="EV619"/>
      <c r="EW619"/>
      <c r="EX619"/>
      <c r="EY619"/>
      <c r="EZ619"/>
      <c r="FA619"/>
      <c r="FB619"/>
      <c r="FC619"/>
      <c r="FD619"/>
      <c r="FE619"/>
      <c r="FF619"/>
      <c r="FG619"/>
      <c r="FH619"/>
      <c r="FK619"/>
      <c r="FL619"/>
      <c r="FM619"/>
      <c r="FN619"/>
      <c r="FO619"/>
      <c r="FP619"/>
      <c r="FQ619"/>
      <c r="FR619"/>
      <c r="FS619"/>
      <c r="FT619"/>
      <c r="FU619"/>
      <c r="FV619"/>
      <c r="FW619"/>
      <c r="FX619"/>
      <c r="FY619"/>
      <c r="FZ619"/>
      <c r="GA619"/>
      <c r="GB619"/>
      <c r="GC619"/>
      <c r="GD619"/>
    </row>
    <row r="620" spans="33:186" x14ac:dyDescent="0.15">
      <c r="AG620"/>
      <c r="AH620"/>
      <c r="AJ620"/>
      <c r="AK620"/>
      <c r="AL620"/>
      <c r="AM620"/>
      <c r="AO620"/>
      <c r="AP620"/>
      <c r="AQ620"/>
      <c r="AR620"/>
      <c r="AS620"/>
      <c r="AT620"/>
      <c r="AU620"/>
      <c r="AV620"/>
      <c r="AW620"/>
      <c r="AX620"/>
      <c r="AY620"/>
      <c r="AZ620"/>
      <c r="BA620"/>
      <c r="BB620"/>
      <c r="BC620"/>
      <c r="BD620"/>
      <c r="BE620"/>
      <c r="BF620"/>
      <c r="BH620"/>
      <c r="BI620"/>
      <c r="BJ620"/>
      <c r="BK620"/>
      <c r="BL620"/>
      <c r="BM620"/>
      <c r="BN620"/>
      <c r="BP620"/>
      <c r="BQ620"/>
      <c r="BR620"/>
      <c r="BS620"/>
      <c r="BT620"/>
      <c r="BU620"/>
      <c r="BV620"/>
      <c r="BW620"/>
      <c r="BZ620"/>
      <c r="CA620"/>
      <c r="CB620"/>
      <c r="CC620"/>
      <c r="CD620"/>
      <c r="CF620"/>
      <c r="CG620"/>
      <c r="CH620"/>
      <c r="CI620"/>
      <c r="CJ620"/>
      <c r="CK620"/>
      <c r="CL620"/>
      <c r="CM620"/>
      <c r="CN620"/>
      <c r="CO620"/>
      <c r="CP620"/>
      <c r="CQ620"/>
      <c r="CR620"/>
      <c r="CS620"/>
      <c r="CT620"/>
      <c r="CU620"/>
      <c r="CV620"/>
      <c r="CW620"/>
      <c r="CX620"/>
      <c r="CY620"/>
      <c r="CZ620"/>
      <c r="DA620"/>
      <c r="DB620"/>
      <c r="DC620"/>
      <c r="DD620"/>
      <c r="DE620"/>
      <c r="DG620"/>
      <c r="DH620"/>
      <c r="DI620"/>
      <c r="DJ620"/>
      <c r="DK620"/>
      <c r="DL620"/>
      <c r="DM620"/>
      <c r="DN620"/>
      <c r="DO620"/>
      <c r="DP620"/>
      <c r="DQ620"/>
      <c r="DR620"/>
      <c r="DS620"/>
      <c r="DT620"/>
      <c r="DU620"/>
      <c r="DV620"/>
      <c r="DW620"/>
      <c r="DZ620"/>
      <c r="EA620"/>
      <c r="EB620"/>
      <c r="EC620"/>
      <c r="ED620"/>
      <c r="EE620"/>
      <c r="EF620"/>
      <c r="EG620"/>
      <c r="EJ620"/>
      <c r="EK620"/>
      <c r="EL620"/>
      <c r="EM620"/>
      <c r="EN620"/>
      <c r="EO620"/>
      <c r="EP620"/>
      <c r="EQ620"/>
      <c r="ER620"/>
      <c r="ES620"/>
      <c r="ET620"/>
      <c r="EU620"/>
      <c r="EV620"/>
      <c r="EW620"/>
      <c r="EX620"/>
      <c r="EY620"/>
      <c r="EZ620"/>
      <c r="FA620"/>
      <c r="FB620"/>
      <c r="FC620"/>
      <c r="FD620"/>
      <c r="FE620"/>
      <c r="FF620"/>
      <c r="FG620"/>
      <c r="FH620"/>
      <c r="FK620"/>
      <c r="FL620"/>
      <c r="FM620"/>
      <c r="FN620"/>
      <c r="FO620"/>
      <c r="FP620"/>
      <c r="FQ620"/>
      <c r="FR620"/>
      <c r="FS620"/>
      <c r="FT620"/>
      <c r="FU620"/>
      <c r="FV620"/>
      <c r="FW620"/>
      <c r="FX620"/>
      <c r="FY620"/>
      <c r="FZ620"/>
      <c r="GA620"/>
      <c r="GB620"/>
      <c r="GC620"/>
      <c r="GD620"/>
    </row>
    <row r="621" spans="33:186" x14ac:dyDescent="0.15">
      <c r="AG621"/>
      <c r="AH621"/>
      <c r="AJ621"/>
      <c r="AK621"/>
      <c r="AL621"/>
      <c r="AM621"/>
      <c r="AO621"/>
      <c r="AP621"/>
      <c r="AQ621"/>
      <c r="AR621"/>
      <c r="AS621"/>
      <c r="AT621"/>
      <c r="AU621"/>
      <c r="AV621"/>
      <c r="AW621"/>
      <c r="AX621"/>
      <c r="AY621"/>
      <c r="AZ621"/>
      <c r="BA621"/>
      <c r="BB621"/>
      <c r="BC621"/>
      <c r="BD621"/>
      <c r="BE621"/>
      <c r="BF621"/>
      <c r="BH621"/>
      <c r="BI621"/>
      <c r="BJ621"/>
      <c r="BK621"/>
      <c r="BL621"/>
      <c r="BM621"/>
      <c r="BN621"/>
      <c r="BP621"/>
      <c r="BQ621"/>
      <c r="BR621"/>
      <c r="BS621"/>
      <c r="BT621"/>
      <c r="BU621"/>
      <c r="BV621"/>
      <c r="BW621"/>
      <c r="BZ621"/>
      <c r="CA621"/>
      <c r="CB621"/>
      <c r="CC621"/>
      <c r="CD621"/>
      <c r="CF621"/>
      <c r="CG621"/>
      <c r="CH621"/>
      <c r="CI621"/>
      <c r="CJ621"/>
      <c r="CK621"/>
      <c r="CL621"/>
      <c r="CM621"/>
      <c r="CN621"/>
      <c r="CO621"/>
      <c r="CP621"/>
      <c r="CQ621"/>
      <c r="CR621"/>
      <c r="CS621"/>
      <c r="CT621"/>
      <c r="CU621"/>
      <c r="CV621"/>
      <c r="CW621"/>
      <c r="CX621"/>
      <c r="CY621"/>
      <c r="CZ621"/>
      <c r="DA621"/>
      <c r="DB621"/>
      <c r="DC621"/>
      <c r="DD621"/>
      <c r="DE621"/>
      <c r="DG621"/>
      <c r="DH621"/>
      <c r="DI621"/>
      <c r="DJ621"/>
      <c r="DK621"/>
      <c r="DL621"/>
      <c r="DM621"/>
      <c r="DN621"/>
      <c r="DO621"/>
      <c r="DP621"/>
      <c r="DQ621"/>
      <c r="DR621"/>
      <c r="DS621"/>
      <c r="DT621"/>
      <c r="DU621"/>
      <c r="DV621"/>
      <c r="DW621"/>
      <c r="DZ621"/>
      <c r="EA621"/>
      <c r="EB621"/>
      <c r="EC621"/>
      <c r="ED621"/>
      <c r="EE621"/>
      <c r="EF621"/>
      <c r="EG621"/>
      <c r="EJ621"/>
      <c r="EK621"/>
      <c r="EL621"/>
      <c r="EM621"/>
      <c r="EN621"/>
      <c r="EO621"/>
      <c r="EP621"/>
      <c r="EQ621"/>
      <c r="ER621"/>
      <c r="ES621"/>
      <c r="ET621"/>
      <c r="EU621"/>
      <c r="EV621"/>
      <c r="EW621"/>
      <c r="EX621"/>
      <c r="EY621"/>
      <c r="EZ621"/>
      <c r="FA621"/>
      <c r="FB621"/>
      <c r="FC621"/>
      <c r="FD621"/>
      <c r="FE621"/>
      <c r="FF621"/>
      <c r="FG621"/>
      <c r="FH621"/>
      <c r="FK621"/>
      <c r="FL621"/>
      <c r="FM621"/>
      <c r="FN621"/>
      <c r="FO621"/>
      <c r="FP621"/>
      <c r="FQ621"/>
      <c r="FR621"/>
      <c r="FS621"/>
      <c r="FT621"/>
      <c r="FU621"/>
      <c r="FV621"/>
      <c r="FW621"/>
      <c r="FX621"/>
      <c r="FY621"/>
      <c r="FZ621"/>
      <c r="GA621"/>
      <c r="GB621"/>
      <c r="GC621"/>
      <c r="GD621"/>
    </row>
    <row r="622" spans="33:186" x14ac:dyDescent="0.15">
      <c r="AG622"/>
      <c r="AH622"/>
      <c r="AJ622"/>
      <c r="AK622"/>
      <c r="AL622"/>
      <c r="AM622"/>
      <c r="AO622"/>
      <c r="AP622"/>
      <c r="AQ622"/>
      <c r="AR622"/>
      <c r="AS622"/>
      <c r="AT622"/>
      <c r="AU622"/>
      <c r="AV622"/>
      <c r="AW622"/>
      <c r="AX622"/>
      <c r="AY622"/>
      <c r="AZ622"/>
      <c r="BA622"/>
      <c r="BB622"/>
      <c r="BC622"/>
      <c r="BD622"/>
      <c r="BE622"/>
      <c r="BF622"/>
      <c r="BH622"/>
      <c r="BI622"/>
      <c r="BJ622"/>
      <c r="BK622"/>
      <c r="BL622"/>
      <c r="BM622"/>
      <c r="BN622"/>
      <c r="BP622"/>
      <c r="BQ622"/>
      <c r="BR622"/>
      <c r="BS622"/>
      <c r="BT622"/>
      <c r="BU622"/>
      <c r="BV622"/>
      <c r="BW622"/>
      <c r="BZ622"/>
      <c r="CA622"/>
      <c r="CB622"/>
      <c r="CC622"/>
      <c r="CD622"/>
      <c r="CF622"/>
      <c r="CG622"/>
      <c r="CH622"/>
      <c r="CI622"/>
      <c r="CJ622"/>
      <c r="CK622"/>
      <c r="CL622"/>
      <c r="CM622"/>
      <c r="CN622"/>
      <c r="CO622"/>
      <c r="CP622"/>
      <c r="CQ622"/>
      <c r="CR622"/>
      <c r="CS622"/>
      <c r="CT622"/>
      <c r="CU622"/>
      <c r="CV622"/>
      <c r="CW622"/>
      <c r="CX622"/>
      <c r="CY622"/>
      <c r="CZ622"/>
      <c r="DA622"/>
      <c r="DB622"/>
      <c r="DC622"/>
      <c r="DD622"/>
      <c r="DE622"/>
      <c r="DG622"/>
      <c r="DH622"/>
      <c r="DI622"/>
      <c r="DJ622"/>
      <c r="DK622"/>
      <c r="DL622"/>
      <c r="DM622"/>
      <c r="DN622"/>
      <c r="DO622"/>
      <c r="DP622"/>
      <c r="DQ622"/>
      <c r="DR622"/>
      <c r="DS622"/>
      <c r="DT622"/>
      <c r="DU622"/>
      <c r="DV622"/>
      <c r="DW622"/>
      <c r="DZ622"/>
      <c r="EA622"/>
      <c r="EB622"/>
      <c r="EC622"/>
      <c r="ED622"/>
      <c r="EE622"/>
      <c r="EF622"/>
      <c r="EG622"/>
      <c r="EJ622"/>
      <c r="EK622"/>
      <c r="EL622"/>
      <c r="EM622"/>
      <c r="EN622"/>
      <c r="EO622"/>
      <c r="EP622"/>
      <c r="EQ622"/>
      <c r="ER622"/>
      <c r="ES622"/>
      <c r="ET622"/>
      <c r="EU622"/>
      <c r="EV622"/>
      <c r="EW622"/>
      <c r="EX622"/>
      <c r="EY622"/>
      <c r="EZ622"/>
      <c r="FA622"/>
      <c r="FB622"/>
      <c r="FC622"/>
      <c r="FD622"/>
      <c r="FE622"/>
      <c r="FF622"/>
      <c r="FG622"/>
      <c r="FH622"/>
      <c r="FK622"/>
      <c r="FL622"/>
      <c r="FM622"/>
      <c r="FN622"/>
      <c r="FO622"/>
      <c r="FP622"/>
      <c r="FQ622"/>
      <c r="FR622"/>
      <c r="FS622"/>
      <c r="FT622"/>
      <c r="FU622"/>
      <c r="FV622"/>
      <c r="FW622"/>
      <c r="FX622"/>
      <c r="FY622"/>
      <c r="FZ622"/>
      <c r="GA622"/>
      <c r="GB622"/>
      <c r="GC622"/>
      <c r="GD622"/>
    </row>
    <row r="623" spans="33:186" x14ac:dyDescent="0.15">
      <c r="AG623"/>
      <c r="AH623"/>
      <c r="AJ623"/>
      <c r="AK623"/>
      <c r="AL623"/>
      <c r="AM623"/>
      <c r="AO623"/>
      <c r="AP623"/>
      <c r="AQ623"/>
      <c r="AR623"/>
      <c r="AS623"/>
      <c r="AT623"/>
      <c r="AU623"/>
      <c r="AV623"/>
      <c r="AW623"/>
      <c r="AX623"/>
      <c r="AY623"/>
      <c r="AZ623"/>
      <c r="BA623"/>
      <c r="BB623"/>
      <c r="BC623"/>
      <c r="BD623"/>
      <c r="BE623"/>
      <c r="BF623"/>
      <c r="BH623"/>
      <c r="BI623"/>
      <c r="BJ623"/>
      <c r="BK623"/>
      <c r="BL623"/>
      <c r="BM623"/>
      <c r="BN623"/>
      <c r="BP623"/>
      <c r="BQ623"/>
      <c r="BR623"/>
      <c r="BS623"/>
      <c r="BT623"/>
      <c r="BU623"/>
      <c r="BV623"/>
      <c r="BW623"/>
      <c r="BZ623"/>
      <c r="CA623"/>
      <c r="CB623"/>
      <c r="CC623"/>
      <c r="CD623"/>
      <c r="CF623"/>
      <c r="CG623"/>
      <c r="CH623"/>
      <c r="CI623"/>
      <c r="CJ623"/>
      <c r="CK623"/>
      <c r="CL623"/>
      <c r="CM623"/>
      <c r="CN623"/>
      <c r="CO623"/>
      <c r="CP623"/>
      <c r="CQ623"/>
      <c r="CR623"/>
      <c r="CS623"/>
      <c r="CT623"/>
      <c r="CU623"/>
      <c r="CV623"/>
      <c r="CW623"/>
      <c r="CX623"/>
      <c r="CY623"/>
      <c r="CZ623"/>
      <c r="DA623"/>
      <c r="DB623"/>
      <c r="DC623"/>
      <c r="DD623"/>
      <c r="DE623"/>
      <c r="DG623"/>
      <c r="DH623"/>
      <c r="DI623"/>
      <c r="DJ623"/>
      <c r="DK623"/>
      <c r="DL623"/>
      <c r="DM623"/>
      <c r="DN623"/>
      <c r="DO623"/>
      <c r="DP623"/>
      <c r="DQ623"/>
      <c r="DR623"/>
      <c r="DS623"/>
      <c r="DT623"/>
      <c r="DU623"/>
      <c r="DV623"/>
      <c r="DW623"/>
      <c r="DZ623"/>
      <c r="EA623"/>
      <c r="EB623"/>
      <c r="EC623"/>
      <c r="ED623"/>
      <c r="EE623"/>
      <c r="EF623"/>
      <c r="EG623"/>
      <c r="EJ623"/>
      <c r="EK623"/>
      <c r="EL623"/>
      <c r="EM623"/>
      <c r="EN623"/>
      <c r="EO623"/>
      <c r="EP623"/>
      <c r="EQ623"/>
      <c r="ER623"/>
      <c r="ES623"/>
      <c r="ET623"/>
      <c r="EU623"/>
      <c r="EV623"/>
      <c r="EW623"/>
      <c r="EX623"/>
      <c r="EY623"/>
      <c r="EZ623"/>
      <c r="FA623"/>
      <c r="FB623"/>
      <c r="FC623"/>
      <c r="FD623"/>
      <c r="FE623"/>
      <c r="FF623"/>
      <c r="FG623"/>
      <c r="FH623"/>
      <c r="FK623"/>
      <c r="FL623"/>
      <c r="FM623"/>
      <c r="FN623"/>
      <c r="FO623"/>
      <c r="FP623"/>
      <c r="FQ623"/>
      <c r="FR623"/>
      <c r="FS623"/>
      <c r="FT623"/>
      <c r="FU623"/>
      <c r="FV623"/>
      <c r="FW623"/>
      <c r="FX623"/>
      <c r="FY623"/>
      <c r="FZ623"/>
      <c r="GA623"/>
      <c r="GB623"/>
      <c r="GC623"/>
      <c r="GD623"/>
    </row>
    <row r="624" spans="33:186" x14ac:dyDescent="0.15">
      <c r="AG624"/>
      <c r="AH624"/>
      <c r="AJ624"/>
      <c r="AK624"/>
      <c r="AL624"/>
      <c r="AM624"/>
      <c r="AO624"/>
      <c r="AP624"/>
      <c r="AQ624"/>
      <c r="AR624"/>
      <c r="AS624"/>
      <c r="AT624"/>
      <c r="AU624"/>
      <c r="AV624"/>
      <c r="AW624"/>
      <c r="AX624"/>
      <c r="AY624"/>
      <c r="AZ624"/>
      <c r="BA624"/>
      <c r="BB624"/>
      <c r="BC624"/>
      <c r="BD624"/>
      <c r="BE624"/>
      <c r="BF624"/>
      <c r="BH624"/>
      <c r="BI624"/>
      <c r="BJ624"/>
      <c r="BK624"/>
      <c r="BL624"/>
      <c r="BM624"/>
      <c r="BN624"/>
      <c r="BP624"/>
      <c r="BQ624"/>
      <c r="BR624"/>
      <c r="BS624"/>
      <c r="BT624"/>
      <c r="BU624"/>
      <c r="BV624"/>
      <c r="BW624"/>
      <c r="BZ624"/>
      <c r="CA624"/>
      <c r="CB624"/>
      <c r="CC624"/>
      <c r="CD624"/>
      <c r="CF624"/>
      <c r="CG624"/>
      <c r="CH624"/>
      <c r="CI624"/>
      <c r="CJ624"/>
      <c r="CK624"/>
      <c r="CL624"/>
      <c r="CM624"/>
      <c r="CN624"/>
      <c r="CO624"/>
      <c r="CP624"/>
      <c r="CQ624"/>
      <c r="CR624"/>
      <c r="CS624"/>
      <c r="CT624"/>
      <c r="CU624"/>
      <c r="CV624"/>
      <c r="CW624"/>
      <c r="CX624"/>
      <c r="CY624"/>
      <c r="CZ624"/>
      <c r="DA624"/>
      <c r="DB624"/>
      <c r="DC624"/>
      <c r="DD624"/>
      <c r="DE624"/>
      <c r="DG624"/>
      <c r="DH624"/>
      <c r="DI624"/>
      <c r="DJ624"/>
      <c r="DK624"/>
      <c r="DL624"/>
      <c r="DM624"/>
      <c r="DN624"/>
      <c r="DO624"/>
      <c r="DP624"/>
      <c r="DQ624"/>
      <c r="DR624"/>
      <c r="DS624"/>
      <c r="DT624"/>
      <c r="DU624"/>
      <c r="DV624"/>
      <c r="DW624"/>
      <c r="DZ624"/>
      <c r="EA624"/>
      <c r="EB624"/>
      <c r="EC624"/>
      <c r="ED624"/>
      <c r="EE624"/>
      <c r="EF624"/>
      <c r="EG624"/>
      <c r="EJ624"/>
      <c r="EK624"/>
      <c r="EL624"/>
      <c r="EM624"/>
      <c r="EN624"/>
      <c r="EO624"/>
      <c r="EP624"/>
      <c r="EQ624"/>
      <c r="ER624"/>
      <c r="ES624"/>
      <c r="ET624"/>
      <c r="EU624"/>
      <c r="EV624"/>
      <c r="EW624"/>
      <c r="EX624"/>
      <c r="EY624"/>
      <c r="EZ624"/>
      <c r="FA624"/>
      <c r="FB624"/>
      <c r="FC624"/>
      <c r="FD624"/>
      <c r="FE624"/>
      <c r="FF624"/>
      <c r="FG624"/>
      <c r="FH624"/>
      <c r="FK624"/>
      <c r="FL624"/>
      <c r="FM624"/>
      <c r="FN624"/>
      <c r="FO624"/>
      <c r="FP624"/>
      <c r="FQ624"/>
      <c r="FR624"/>
      <c r="FS624"/>
      <c r="FT624"/>
      <c r="FU624"/>
      <c r="FV624"/>
      <c r="FW624"/>
      <c r="FX624"/>
      <c r="FY624"/>
      <c r="FZ624"/>
      <c r="GA624"/>
      <c r="GB624"/>
      <c r="GC624"/>
      <c r="GD624"/>
    </row>
    <row r="625" spans="4:186" x14ac:dyDescent="0.15">
      <c r="AG625"/>
      <c r="AH625"/>
      <c r="AJ625"/>
      <c r="AK625"/>
      <c r="AL625"/>
      <c r="AM625"/>
      <c r="AO625"/>
      <c r="AP625"/>
      <c r="AQ625"/>
      <c r="AR625"/>
      <c r="AS625"/>
      <c r="AT625"/>
      <c r="AU625"/>
      <c r="AV625"/>
      <c r="AW625"/>
      <c r="AX625"/>
      <c r="AY625"/>
      <c r="AZ625"/>
      <c r="BA625"/>
      <c r="BB625"/>
      <c r="BC625"/>
      <c r="BD625"/>
      <c r="BE625"/>
      <c r="BF625"/>
      <c r="BH625"/>
      <c r="BI625"/>
      <c r="BJ625"/>
      <c r="BK625"/>
      <c r="BL625"/>
      <c r="BM625"/>
      <c r="BN625"/>
      <c r="BP625"/>
      <c r="BQ625"/>
      <c r="BR625"/>
      <c r="BS625"/>
      <c r="BT625"/>
      <c r="BU625"/>
      <c r="BV625"/>
      <c r="BW625"/>
      <c r="BZ625"/>
      <c r="CA625"/>
      <c r="CB625"/>
      <c r="CC625"/>
      <c r="CD625"/>
      <c r="CF625"/>
      <c r="CG625"/>
      <c r="CH625"/>
      <c r="CI625"/>
      <c r="CJ625"/>
      <c r="CK625"/>
      <c r="CL625"/>
      <c r="CM625"/>
      <c r="CN625"/>
      <c r="CO625"/>
      <c r="CP625"/>
      <c r="CQ625"/>
      <c r="CR625"/>
      <c r="CS625"/>
      <c r="CT625"/>
      <c r="CU625"/>
      <c r="CV625"/>
      <c r="CW625"/>
      <c r="CX625"/>
      <c r="CY625"/>
      <c r="CZ625"/>
      <c r="DA625"/>
      <c r="DB625"/>
      <c r="DC625"/>
      <c r="DD625"/>
      <c r="DE625"/>
      <c r="DG625"/>
      <c r="DH625"/>
      <c r="DI625"/>
      <c r="DJ625"/>
      <c r="DK625"/>
      <c r="DL625"/>
      <c r="DM625"/>
      <c r="DN625"/>
      <c r="DO625"/>
      <c r="DP625"/>
      <c r="DQ625"/>
      <c r="DR625"/>
      <c r="DS625"/>
      <c r="DT625"/>
      <c r="DU625"/>
      <c r="DV625"/>
      <c r="DW625"/>
      <c r="DZ625"/>
      <c r="EA625"/>
      <c r="EB625"/>
      <c r="EC625"/>
      <c r="ED625"/>
      <c r="EE625"/>
      <c r="EF625"/>
      <c r="EG625"/>
      <c r="EJ625"/>
      <c r="EK625"/>
      <c r="EL625"/>
      <c r="EM625"/>
      <c r="EN625"/>
      <c r="EO625"/>
      <c r="EP625"/>
      <c r="EQ625"/>
      <c r="ER625"/>
      <c r="ES625"/>
      <c r="ET625"/>
      <c r="EU625"/>
      <c r="EV625"/>
      <c r="EW625"/>
      <c r="EX625"/>
      <c r="EY625"/>
      <c r="EZ625"/>
      <c r="FA625"/>
      <c r="FB625"/>
      <c r="FC625"/>
      <c r="FD625"/>
      <c r="FE625"/>
      <c r="FF625"/>
      <c r="FG625"/>
      <c r="FH625"/>
      <c r="FK625"/>
      <c r="FL625"/>
      <c r="FM625"/>
      <c r="FN625"/>
      <c r="FO625"/>
      <c r="FP625"/>
      <c r="FQ625"/>
      <c r="FR625"/>
      <c r="FS625"/>
      <c r="FT625"/>
      <c r="FU625"/>
      <c r="FV625"/>
      <c r="FW625"/>
      <c r="FX625"/>
      <c r="FY625"/>
      <c r="FZ625"/>
      <c r="GA625"/>
      <c r="GB625"/>
      <c r="GC625"/>
      <c r="GD625"/>
    </row>
    <row r="626" spans="4:186" x14ac:dyDescent="0.15">
      <c r="AG626"/>
      <c r="AH626"/>
      <c r="AJ626"/>
      <c r="AK626"/>
      <c r="AL626"/>
      <c r="AM626"/>
      <c r="AO626"/>
      <c r="AP626"/>
      <c r="AQ626"/>
      <c r="AR626"/>
      <c r="AS626"/>
      <c r="AT626"/>
      <c r="AU626"/>
      <c r="AV626"/>
      <c r="AW626"/>
      <c r="AX626"/>
      <c r="AY626"/>
      <c r="AZ626"/>
      <c r="BA626"/>
      <c r="BB626"/>
      <c r="BC626"/>
      <c r="BD626"/>
      <c r="BE626"/>
      <c r="BF626"/>
      <c r="BH626"/>
      <c r="BI626"/>
      <c r="BJ626"/>
      <c r="BK626"/>
      <c r="BL626"/>
      <c r="BM626"/>
      <c r="BN626"/>
      <c r="BP626"/>
      <c r="BQ626"/>
      <c r="BR626"/>
      <c r="BS626"/>
      <c r="BT626"/>
      <c r="BU626"/>
      <c r="BV626"/>
      <c r="BW626"/>
      <c r="BZ626"/>
      <c r="CA626"/>
      <c r="CB626"/>
      <c r="CC626"/>
      <c r="CD626"/>
      <c r="CF626"/>
      <c r="CG626"/>
      <c r="CH626"/>
      <c r="CI626"/>
      <c r="CJ626"/>
      <c r="CK626"/>
      <c r="CL626"/>
      <c r="CM626"/>
      <c r="CN626"/>
      <c r="CO626"/>
      <c r="CP626"/>
      <c r="CQ626"/>
      <c r="CR626"/>
      <c r="CS626"/>
      <c r="CT626"/>
      <c r="CU626"/>
      <c r="CV626"/>
      <c r="CW626"/>
      <c r="CX626"/>
      <c r="CY626"/>
      <c r="CZ626"/>
      <c r="DA626"/>
      <c r="DB626"/>
      <c r="DC626"/>
      <c r="DD626"/>
      <c r="DE626"/>
      <c r="DG626"/>
      <c r="DH626"/>
      <c r="DI626"/>
      <c r="DJ626"/>
      <c r="DK626"/>
      <c r="DL626"/>
      <c r="DM626"/>
      <c r="DN626"/>
      <c r="DO626"/>
      <c r="DP626"/>
      <c r="DQ626"/>
      <c r="DR626"/>
      <c r="DS626"/>
      <c r="DT626"/>
      <c r="DU626"/>
      <c r="DV626"/>
      <c r="DW626"/>
      <c r="DZ626"/>
      <c r="EA626"/>
      <c r="EB626"/>
      <c r="EC626"/>
      <c r="ED626"/>
      <c r="EE626"/>
      <c r="EF626"/>
      <c r="EG626"/>
      <c r="EJ626"/>
      <c r="EK626"/>
      <c r="EL626"/>
      <c r="EM626"/>
      <c r="EN626"/>
      <c r="EO626"/>
      <c r="EP626"/>
      <c r="EQ626"/>
      <c r="ER626"/>
      <c r="ES626"/>
      <c r="ET626"/>
      <c r="EU626"/>
      <c r="EV626"/>
      <c r="EW626"/>
      <c r="EX626"/>
      <c r="EY626"/>
      <c r="EZ626"/>
      <c r="FA626"/>
      <c r="FB626"/>
      <c r="FC626"/>
      <c r="FD626"/>
      <c r="FE626"/>
      <c r="FF626"/>
      <c r="FG626"/>
      <c r="FH626"/>
      <c r="FK626"/>
      <c r="FL626"/>
      <c r="FM626"/>
      <c r="FN626"/>
      <c r="FO626"/>
      <c r="FP626"/>
      <c r="FQ626"/>
      <c r="FR626"/>
      <c r="FS626"/>
      <c r="FT626"/>
      <c r="FU626"/>
      <c r="FV626"/>
      <c r="FW626"/>
      <c r="FX626"/>
      <c r="FY626"/>
      <c r="FZ626"/>
      <c r="GA626"/>
      <c r="GB626"/>
      <c r="GC626"/>
      <c r="GD626"/>
    </row>
    <row r="627" spans="4:186" x14ac:dyDescent="0.15">
      <c r="AG627"/>
      <c r="AH627"/>
      <c r="AJ627"/>
      <c r="AK627"/>
      <c r="AL627"/>
      <c r="AM627"/>
      <c r="AO627"/>
      <c r="AP627"/>
      <c r="AQ627"/>
      <c r="AR627"/>
      <c r="AS627"/>
      <c r="AT627"/>
      <c r="AU627"/>
      <c r="AV627"/>
      <c r="AW627"/>
      <c r="AX627"/>
      <c r="AY627"/>
      <c r="AZ627"/>
      <c r="BA627"/>
      <c r="BB627"/>
      <c r="BC627"/>
      <c r="BD627"/>
      <c r="BE627"/>
      <c r="BF627"/>
      <c r="BH627"/>
      <c r="BI627"/>
      <c r="BJ627"/>
      <c r="BK627"/>
      <c r="BL627"/>
      <c r="BM627"/>
      <c r="BN627"/>
      <c r="BP627"/>
      <c r="BQ627"/>
      <c r="BR627"/>
      <c r="BS627"/>
      <c r="BT627"/>
      <c r="BU627"/>
      <c r="BV627"/>
      <c r="BW627"/>
      <c r="BZ627"/>
      <c r="CA627"/>
      <c r="CB627"/>
      <c r="CC627"/>
      <c r="CD627"/>
      <c r="CF627"/>
      <c r="CG627"/>
      <c r="CH627"/>
      <c r="CI627"/>
      <c r="CJ627"/>
      <c r="CK627"/>
      <c r="CL627"/>
      <c r="CM627"/>
      <c r="CN627"/>
      <c r="CO627"/>
      <c r="CP627"/>
      <c r="CQ627"/>
      <c r="CR627"/>
      <c r="CS627"/>
      <c r="CT627"/>
      <c r="CU627"/>
      <c r="CV627"/>
      <c r="CW627"/>
      <c r="CX627"/>
      <c r="CY627"/>
      <c r="CZ627"/>
      <c r="DA627"/>
      <c r="DB627"/>
      <c r="DC627"/>
      <c r="DD627"/>
      <c r="DE627"/>
      <c r="DG627"/>
      <c r="DH627"/>
      <c r="DI627"/>
      <c r="DJ627"/>
      <c r="DK627"/>
      <c r="DL627"/>
      <c r="DM627"/>
      <c r="DN627"/>
      <c r="DO627"/>
      <c r="DP627"/>
      <c r="DQ627"/>
      <c r="DR627"/>
      <c r="DS627"/>
      <c r="DT627"/>
      <c r="DU627"/>
      <c r="DV627"/>
      <c r="DW627"/>
      <c r="DZ627"/>
      <c r="EA627"/>
      <c r="EB627"/>
      <c r="EC627"/>
      <c r="ED627"/>
      <c r="EE627"/>
      <c r="EF627"/>
      <c r="EG627"/>
      <c r="EJ627"/>
      <c r="EK627"/>
      <c r="EL627"/>
      <c r="EM627"/>
      <c r="EN627"/>
      <c r="EO627"/>
      <c r="EP627"/>
      <c r="EQ627"/>
      <c r="ER627"/>
      <c r="ES627"/>
      <c r="ET627"/>
      <c r="EU627"/>
      <c r="EV627"/>
      <c r="EW627"/>
      <c r="EX627"/>
      <c r="EY627"/>
      <c r="EZ627"/>
      <c r="FA627"/>
      <c r="FB627"/>
      <c r="FC627"/>
      <c r="FD627"/>
      <c r="FE627"/>
      <c r="FF627"/>
      <c r="FG627"/>
      <c r="FH627"/>
      <c r="FK627"/>
      <c r="FL627"/>
      <c r="FM627"/>
      <c r="FN627"/>
      <c r="FO627"/>
      <c r="FP627"/>
      <c r="FQ627"/>
      <c r="FR627"/>
      <c r="FS627"/>
      <c r="FT627"/>
      <c r="FU627"/>
      <c r="FV627"/>
      <c r="FW627"/>
      <c r="FX627"/>
      <c r="FY627"/>
      <c r="FZ627"/>
      <c r="GA627"/>
      <c r="GB627"/>
      <c r="GC627"/>
      <c r="GD627"/>
    </row>
    <row r="628" spans="4:186" ht="18" x14ac:dyDescent="0.2">
      <c r="D628" s="18" t="str">
        <f>$D$1</f>
        <v>Type 'Heading' Here</v>
      </c>
      <c r="AG628"/>
      <c r="AH628"/>
      <c r="AJ628"/>
      <c r="AK628"/>
      <c r="AL628"/>
      <c r="AM628"/>
      <c r="AO628"/>
      <c r="AP628"/>
      <c r="AQ628"/>
      <c r="AR628"/>
      <c r="AS628"/>
      <c r="AT628"/>
      <c r="AU628"/>
      <c r="AV628"/>
      <c r="AW628"/>
      <c r="AX628"/>
      <c r="AY628"/>
      <c r="AZ628"/>
      <c r="BA628"/>
      <c r="BB628"/>
      <c r="BC628"/>
      <c r="BD628"/>
      <c r="BE628"/>
      <c r="BF628"/>
      <c r="BH628"/>
      <c r="BI628"/>
      <c r="BJ628"/>
      <c r="BK628"/>
      <c r="BL628"/>
      <c r="BM628"/>
      <c r="BN628"/>
      <c r="BP628"/>
      <c r="BQ628"/>
      <c r="BR628"/>
      <c r="BS628"/>
      <c r="BT628"/>
      <c r="BU628"/>
      <c r="BV628"/>
      <c r="BW628"/>
      <c r="BZ628"/>
      <c r="CA628"/>
      <c r="CB628"/>
      <c r="CC628"/>
      <c r="CD628"/>
      <c r="CF628"/>
      <c r="CG628"/>
      <c r="CH628"/>
      <c r="CI628"/>
      <c r="CJ628"/>
      <c r="CK628"/>
      <c r="CL628"/>
      <c r="CM628"/>
      <c r="CN628"/>
      <c r="CO628"/>
      <c r="CP628"/>
      <c r="CQ628"/>
      <c r="CR628"/>
      <c r="CS628"/>
      <c r="CT628"/>
      <c r="CU628"/>
      <c r="CV628"/>
      <c r="CW628"/>
      <c r="CX628"/>
      <c r="CY628"/>
      <c r="CZ628"/>
      <c r="DA628"/>
      <c r="DB628"/>
      <c r="DC628"/>
      <c r="DD628"/>
      <c r="DE628"/>
      <c r="DG628"/>
      <c r="DH628"/>
      <c r="DI628"/>
      <c r="DJ628"/>
      <c r="DK628"/>
      <c r="DL628"/>
      <c r="DM628"/>
      <c r="DN628"/>
      <c r="DO628"/>
      <c r="DP628"/>
      <c r="DQ628"/>
      <c r="DR628"/>
      <c r="DS628"/>
      <c r="DT628"/>
      <c r="DU628"/>
      <c r="DV628"/>
      <c r="DW628"/>
      <c r="DZ628"/>
      <c r="EA628"/>
      <c r="EB628"/>
      <c r="EC628"/>
      <c r="ED628"/>
      <c r="EE628"/>
      <c r="EF628"/>
      <c r="EG628"/>
      <c r="EJ628"/>
      <c r="EK628"/>
      <c r="EL628"/>
      <c r="EM628"/>
      <c r="EN628"/>
      <c r="EO628"/>
      <c r="EP628"/>
      <c r="EQ628"/>
      <c r="ER628"/>
      <c r="ES628"/>
      <c r="ET628"/>
      <c r="EU628"/>
      <c r="EV628"/>
      <c r="EW628"/>
      <c r="EX628"/>
      <c r="EY628"/>
      <c r="EZ628"/>
      <c r="FA628"/>
      <c r="FB628"/>
      <c r="FC628"/>
      <c r="FD628"/>
      <c r="FE628"/>
      <c r="FF628"/>
      <c r="FG628"/>
      <c r="FH628"/>
      <c r="FK628"/>
      <c r="FL628"/>
      <c r="FM628"/>
      <c r="FN628"/>
      <c r="FO628"/>
      <c r="FP628"/>
      <c r="FQ628"/>
      <c r="FR628"/>
      <c r="FS628"/>
      <c r="FT628"/>
      <c r="FU628"/>
      <c r="FV628"/>
      <c r="FW628"/>
      <c r="FX628"/>
      <c r="FY628"/>
      <c r="FZ628"/>
      <c r="GA628"/>
      <c r="GB628"/>
      <c r="GC628"/>
      <c r="GD628"/>
    </row>
    <row r="629" spans="4:186" x14ac:dyDescent="0.15">
      <c r="D629" s="23" t="s">
        <v>150</v>
      </c>
      <c r="AG629"/>
      <c r="AH629"/>
      <c r="AJ629"/>
      <c r="AK629"/>
      <c r="AL629"/>
      <c r="AM629"/>
      <c r="AO629"/>
      <c r="AP629"/>
      <c r="AQ629"/>
      <c r="AR629"/>
      <c r="AS629"/>
      <c r="AT629"/>
      <c r="AU629"/>
      <c r="AV629"/>
      <c r="AW629"/>
      <c r="AX629"/>
      <c r="AY629"/>
      <c r="AZ629"/>
      <c r="BA629"/>
      <c r="BB629"/>
      <c r="BC629"/>
      <c r="BD629"/>
      <c r="BE629"/>
      <c r="BF629"/>
      <c r="BH629"/>
      <c r="BI629"/>
      <c r="BJ629"/>
      <c r="BK629"/>
      <c r="BL629"/>
      <c r="BM629"/>
      <c r="BN629"/>
      <c r="BP629"/>
      <c r="BQ629"/>
      <c r="BR629"/>
      <c r="BS629"/>
      <c r="BT629"/>
      <c r="BU629"/>
      <c r="BV629"/>
      <c r="BW629"/>
      <c r="BZ629"/>
      <c r="CA629"/>
      <c r="CB629"/>
      <c r="CC629"/>
      <c r="CD629"/>
      <c r="CF629"/>
      <c r="CG629"/>
      <c r="CH629"/>
      <c r="CI629"/>
      <c r="CJ629"/>
      <c r="CK629"/>
      <c r="CL629"/>
      <c r="CM629"/>
      <c r="CN629"/>
      <c r="CO629"/>
      <c r="CP629"/>
      <c r="CQ629"/>
      <c r="CR629"/>
      <c r="CS629"/>
      <c r="CT629"/>
      <c r="CU629"/>
      <c r="CV629"/>
      <c r="CW629"/>
      <c r="CX629"/>
      <c r="CY629"/>
      <c r="CZ629"/>
      <c r="DA629"/>
      <c r="DB629"/>
      <c r="DC629"/>
      <c r="DD629"/>
      <c r="DE629"/>
      <c r="DG629"/>
      <c r="DH629"/>
      <c r="DI629"/>
      <c r="DJ629"/>
      <c r="DK629"/>
      <c r="DL629"/>
      <c r="DM629"/>
      <c r="DN629"/>
      <c r="DO629"/>
      <c r="DP629"/>
      <c r="DQ629"/>
      <c r="DR629"/>
      <c r="DS629"/>
      <c r="DT629"/>
      <c r="DU629"/>
      <c r="DV629"/>
      <c r="DW629"/>
      <c r="DZ629"/>
      <c r="EA629"/>
      <c r="EB629"/>
      <c r="EC629"/>
      <c r="ED629"/>
      <c r="EE629"/>
      <c r="EF629"/>
      <c r="EG629"/>
      <c r="EJ629"/>
      <c r="EK629"/>
      <c r="EL629"/>
      <c r="EM629"/>
      <c r="EN629"/>
      <c r="EO629"/>
      <c r="EP629"/>
      <c r="EQ629"/>
      <c r="ER629"/>
      <c r="ES629"/>
      <c r="ET629"/>
      <c r="EU629"/>
      <c r="EV629"/>
      <c r="EW629"/>
      <c r="EX629"/>
      <c r="EY629"/>
      <c r="EZ629"/>
      <c r="FA629"/>
      <c r="FB629"/>
      <c r="FC629"/>
      <c r="FD629"/>
      <c r="FE629"/>
      <c r="FF629"/>
      <c r="FG629"/>
      <c r="FH629"/>
      <c r="FK629"/>
      <c r="FL629"/>
      <c r="FM629"/>
      <c r="FN629"/>
      <c r="FO629"/>
      <c r="FP629"/>
      <c r="FQ629"/>
      <c r="FR629"/>
      <c r="FS629"/>
      <c r="FT629"/>
      <c r="FU629"/>
      <c r="FV629"/>
      <c r="FW629"/>
      <c r="FX629"/>
      <c r="FY629"/>
      <c r="FZ629"/>
      <c r="GA629"/>
      <c r="GB629"/>
      <c r="GC629"/>
      <c r="GD629"/>
    </row>
    <row r="630" spans="4:186" x14ac:dyDescent="0.15">
      <c r="AG630"/>
      <c r="AH630"/>
      <c r="AJ630"/>
      <c r="AK630"/>
      <c r="AL630"/>
      <c r="AM630"/>
      <c r="AO630"/>
      <c r="AP630"/>
      <c r="AQ630"/>
      <c r="AR630"/>
      <c r="AS630"/>
      <c r="AT630"/>
      <c r="AU630"/>
      <c r="AV630"/>
      <c r="AW630"/>
      <c r="AX630"/>
      <c r="AY630"/>
      <c r="AZ630"/>
      <c r="BA630"/>
      <c r="BB630"/>
      <c r="BC630"/>
      <c r="BD630"/>
      <c r="BE630"/>
      <c r="BF630"/>
      <c r="BH630"/>
      <c r="BI630"/>
      <c r="BJ630"/>
      <c r="BK630"/>
      <c r="BL630"/>
      <c r="BM630"/>
      <c r="BN630"/>
      <c r="BP630"/>
      <c r="BQ630"/>
      <c r="BR630"/>
      <c r="BS630"/>
      <c r="BT630"/>
      <c r="BU630"/>
      <c r="BV630"/>
      <c r="BW630"/>
      <c r="BZ630"/>
      <c r="CA630"/>
      <c r="CB630"/>
      <c r="CC630"/>
      <c r="CD630"/>
      <c r="CF630"/>
      <c r="CG630"/>
      <c r="CH630"/>
      <c r="CI630"/>
      <c r="CJ630"/>
      <c r="CK630"/>
      <c r="CL630"/>
      <c r="CM630"/>
      <c r="CN630"/>
      <c r="CO630"/>
      <c r="CP630"/>
      <c r="CQ630"/>
      <c r="CR630"/>
      <c r="CS630"/>
      <c r="CT630"/>
      <c r="CU630"/>
      <c r="CV630"/>
      <c r="CW630"/>
      <c r="CX630"/>
      <c r="CY630"/>
      <c r="CZ630"/>
      <c r="DA630"/>
      <c r="DB630"/>
      <c r="DC630"/>
      <c r="DD630"/>
      <c r="DE630"/>
      <c r="DG630"/>
      <c r="DH630"/>
      <c r="DI630"/>
      <c r="DJ630"/>
      <c r="DK630"/>
      <c r="DL630"/>
      <c r="DM630"/>
      <c r="DN630"/>
      <c r="DO630"/>
      <c r="DP630"/>
      <c r="DQ630"/>
      <c r="DR630"/>
      <c r="DS630"/>
      <c r="DT630"/>
      <c r="DU630"/>
      <c r="DV630"/>
      <c r="DW630"/>
      <c r="DZ630"/>
      <c r="EA630"/>
      <c r="EB630"/>
      <c r="EC630"/>
      <c r="ED630"/>
      <c r="EE630"/>
      <c r="EF630"/>
      <c r="EG630"/>
      <c r="EJ630"/>
      <c r="EK630"/>
      <c r="EL630"/>
      <c r="EM630"/>
      <c r="EN630"/>
      <c r="EO630"/>
      <c r="EP630"/>
      <c r="EQ630"/>
      <c r="ER630"/>
      <c r="ES630"/>
      <c r="ET630"/>
      <c r="EU630"/>
      <c r="EV630"/>
      <c r="EW630"/>
      <c r="EX630"/>
      <c r="EY630"/>
      <c r="EZ630"/>
      <c r="FA630"/>
      <c r="FB630"/>
      <c r="FC630"/>
      <c r="FD630"/>
      <c r="FE630"/>
      <c r="FF630"/>
      <c r="FG630"/>
      <c r="FH630"/>
      <c r="FK630"/>
      <c r="FL630"/>
      <c r="FM630"/>
      <c r="FN630"/>
      <c r="FO630"/>
      <c r="FP630"/>
      <c r="FQ630"/>
      <c r="FR630"/>
      <c r="FS630"/>
      <c r="FT630"/>
      <c r="FU630"/>
      <c r="FV630"/>
      <c r="FW630"/>
      <c r="FX630"/>
      <c r="FY630"/>
      <c r="FZ630"/>
      <c r="GA630"/>
      <c r="GB630"/>
      <c r="GC630"/>
      <c r="GD630"/>
    </row>
    <row r="631" spans="4:186" x14ac:dyDescent="0.15">
      <c r="AG631"/>
      <c r="AH631"/>
      <c r="AJ631"/>
      <c r="AK631"/>
      <c r="AL631"/>
      <c r="AM631"/>
      <c r="AO631"/>
      <c r="AP631"/>
      <c r="AQ631"/>
      <c r="AR631"/>
      <c r="AS631"/>
      <c r="AT631"/>
      <c r="AU631"/>
      <c r="AV631"/>
      <c r="AW631"/>
      <c r="AX631"/>
      <c r="AY631"/>
      <c r="AZ631"/>
      <c r="BA631"/>
      <c r="BB631"/>
      <c r="BC631"/>
      <c r="BD631"/>
      <c r="BE631"/>
      <c r="BF631"/>
      <c r="BH631"/>
      <c r="BI631"/>
      <c r="BJ631"/>
      <c r="BK631"/>
      <c r="BL631"/>
      <c r="BM631"/>
      <c r="BN631"/>
      <c r="BP631"/>
      <c r="BQ631"/>
      <c r="BR631"/>
      <c r="BS631"/>
      <c r="BT631"/>
      <c r="BU631"/>
      <c r="BV631"/>
      <c r="BW631"/>
      <c r="BZ631"/>
      <c r="CA631"/>
      <c r="CB631"/>
      <c r="CC631"/>
      <c r="CD631"/>
      <c r="CF631"/>
      <c r="CG631"/>
      <c r="CH631"/>
      <c r="CI631"/>
      <c r="CJ631"/>
      <c r="CK631"/>
      <c r="CL631"/>
      <c r="CM631"/>
      <c r="CN631"/>
      <c r="CO631"/>
      <c r="CP631"/>
      <c r="CQ631"/>
      <c r="CR631"/>
      <c r="CS631"/>
      <c r="CT631"/>
      <c r="CU631"/>
      <c r="CV631"/>
      <c r="CW631"/>
      <c r="CX631"/>
      <c r="CY631"/>
      <c r="CZ631"/>
      <c r="DA631"/>
      <c r="DB631"/>
      <c r="DC631"/>
      <c r="DD631"/>
      <c r="DE631"/>
      <c r="DG631"/>
      <c r="DH631"/>
      <c r="DI631"/>
      <c r="DJ631"/>
      <c r="DK631"/>
      <c r="DL631"/>
      <c r="DM631"/>
      <c r="DN631"/>
      <c r="DO631"/>
      <c r="DP631"/>
      <c r="DQ631"/>
      <c r="DR631"/>
      <c r="DS631"/>
      <c r="DT631"/>
      <c r="DU631"/>
      <c r="DV631"/>
      <c r="DW631"/>
      <c r="DZ631"/>
      <c r="EA631"/>
      <c r="EB631"/>
      <c r="EC631"/>
      <c r="ED631"/>
      <c r="EE631"/>
      <c r="EF631"/>
      <c r="EG631"/>
      <c r="EJ631"/>
      <c r="EK631"/>
      <c r="EL631"/>
      <c r="EM631"/>
      <c r="EN631"/>
      <c r="EO631"/>
      <c r="EP631"/>
      <c r="EQ631"/>
      <c r="ER631"/>
      <c r="ES631"/>
      <c r="ET631"/>
      <c r="EU631"/>
      <c r="EV631"/>
      <c r="EW631"/>
      <c r="EX631"/>
      <c r="EY631"/>
      <c r="EZ631"/>
      <c r="FA631"/>
      <c r="FB631"/>
      <c r="FC631"/>
      <c r="FD631"/>
      <c r="FE631"/>
      <c r="FF631"/>
      <c r="FG631"/>
      <c r="FH631"/>
      <c r="FK631"/>
      <c r="FL631"/>
      <c r="FM631"/>
      <c r="FN631"/>
      <c r="FO631"/>
      <c r="FP631"/>
      <c r="FQ631"/>
      <c r="FR631"/>
      <c r="FS631"/>
      <c r="FT631"/>
      <c r="FU631"/>
      <c r="FV631"/>
      <c r="FW631"/>
      <c r="FX631"/>
      <c r="FY631"/>
      <c r="FZ631"/>
      <c r="GA631"/>
      <c r="GB631"/>
      <c r="GC631"/>
      <c r="GD631"/>
    </row>
    <row r="632" spans="4:186" x14ac:dyDescent="0.15">
      <c r="AG632"/>
      <c r="AH632"/>
      <c r="AJ632"/>
      <c r="AK632"/>
      <c r="AL632"/>
      <c r="AM632"/>
      <c r="AO632"/>
      <c r="AP632"/>
      <c r="AQ632"/>
      <c r="AR632"/>
      <c r="AS632"/>
      <c r="AT632"/>
      <c r="AU632"/>
      <c r="AV632"/>
      <c r="AW632"/>
      <c r="AX632"/>
      <c r="AY632"/>
      <c r="AZ632"/>
      <c r="BA632"/>
      <c r="BB632"/>
      <c r="BC632"/>
      <c r="BD632"/>
      <c r="BE632"/>
      <c r="BF632"/>
      <c r="BH632"/>
      <c r="BI632"/>
      <c r="BJ632"/>
      <c r="BK632"/>
      <c r="BL632"/>
      <c r="BM632"/>
      <c r="BN632"/>
      <c r="BP632"/>
      <c r="BQ632"/>
      <c r="BR632"/>
      <c r="BS632"/>
      <c r="BT632"/>
      <c r="BU632"/>
      <c r="BV632"/>
      <c r="BW632"/>
      <c r="BZ632"/>
      <c r="CA632"/>
      <c r="CB632"/>
      <c r="CC632"/>
      <c r="CD632"/>
      <c r="CF632"/>
      <c r="CG632"/>
      <c r="CH632"/>
      <c r="CI632"/>
      <c r="CJ632"/>
      <c r="CK632"/>
      <c r="CL632"/>
      <c r="CM632"/>
      <c r="CN632"/>
      <c r="CO632"/>
      <c r="CP632"/>
      <c r="CQ632"/>
      <c r="CR632"/>
      <c r="CS632"/>
      <c r="CT632"/>
      <c r="CU632"/>
      <c r="CV632"/>
      <c r="CW632"/>
      <c r="CX632"/>
      <c r="CY632"/>
      <c r="CZ632"/>
      <c r="DA632"/>
      <c r="DB632"/>
      <c r="DC632"/>
      <c r="DD632"/>
      <c r="DE632"/>
      <c r="DG632"/>
      <c r="DH632"/>
      <c r="DI632"/>
      <c r="DJ632"/>
      <c r="DK632"/>
      <c r="DL632"/>
      <c r="DM632"/>
      <c r="DN632"/>
      <c r="DO632"/>
      <c r="DP632"/>
      <c r="DQ632"/>
      <c r="DR632"/>
      <c r="DS632"/>
      <c r="DT632"/>
      <c r="DU632"/>
      <c r="DV632"/>
      <c r="DW632"/>
      <c r="DZ632"/>
      <c r="EA632"/>
      <c r="EB632"/>
      <c r="EC632"/>
      <c r="ED632"/>
      <c r="EE632"/>
      <c r="EF632"/>
      <c r="EG632"/>
      <c r="EJ632"/>
      <c r="EK632"/>
      <c r="EL632"/>
      <c r="EM632"/>
      <c r="EN632"/>
      <c r="EO632"/>
      <c r="EP632"/>
      <c r="EQ632"/>
      <c r="ER632"/>
      <c r="ES632"/>
      <c r="ET632"/>
      <c r="EU632"/>
      <c r="EV632"/>
      <c r="EW632"/>
      <c r="EX632"/>
      <c r="EY632"/>
      <c r="EZ632"/>
      <c r="FA632"/>
      <c r="FB632"/>
      <c r="FC632"/>
      <c r="FD632"/>
      <c r="FE632"/>
      <c r="FF632"/>
      <c r="FG632"/>
      <c r="FH632"/>
      <c r="FK632"/>
      <c r="FL632"/>
      <c r="FM632"/>
      <c r="FN632"/>
      <c r="FO632"/>
      <c r="FP632"/>
      <c r="FQ632"/>
      <c r="FR632"/>
      <c r="FS632"/>
      <c r="FT632"/>
      <c r="FU632"/>
      <c r="FV632"/>
      <c r="FW632"/>
      <c r="FX632"/>
      <c r="FY632"/>
      <c r="FZ632"/>
      <c r="GA632"/>
      <c r="GB632"/>
      <c r="GC632"/>
      <c r="GD632"/>
    </row>
    <row r="633" spans="4:186" x14ac:dyDescent="0.15">
      <c r="AG633"/>
      <c r="AH633"/>
      <c r="AJ633"/>
      <c r="AK633"/>
      <c r="AL633"/>
      <c r="AM633"/>
      <c r="AO633"/>
      <c r="AP633"/>
      <c r="AQ633"/>
      <c r="AR633"/>
      <c r="AS633"/>
      <c r="AT633"/>
      <c r="AU633"/>
      <c r="AV633"/>
      <c r="AW633"/>
      <c r="AX633"/>
      <c r="AY633"/>
      <c r="AZ633"/>
      <c r="BA633"/>
      <c r="BB633"/>
      <c r="BC633"/>
      <c r="BD633"/>
      <c r="BE633"/>
      <c r="BF633"/>
      <c r="BH633"/>
      <c r="BI633"/>
      <c r="BJ633"/>
      <c r="BK633"/>
      <c r="BL633"/>
      <c r="BM633"/>
      <c r="BN633"/>
      <c r="BP633"/>
      <c r="BQ633"/>
      <c r="BR633"/>
      <c r="BS633"/>
      <c r="BT633"/>
      <c r="BU633"/>
      <c r="BV633"/>
      <c r="BW633"/>
      <c r="BZ633"/>
      <c r="CA633"/>
      <c r="CB633"/>
      <c r="CC633"/>
      <c r="CD633"/>
      <c r="CF633"/>
      <c r="CG633"/>
      <c r="CH633"/>
      <c r="CI633"/>
      <c r="CJ633"/>
      <c r="CK633"/>
      <c r="CL633"/>
      <c r="CM633"/>
      <c r="CN633"/>
      <c r="CO633"/>
      <c r="CP633"/>
      <c r="CQ633"/>
      <c r="CR633"/>
      <c r="CS633"/>
      <c r="CT633"/>
      <c r="CU633"/>
      <c r="CV633"/>
      <c r="CW633"/>
      <c r="CX633"/>
      <c r="CY633"/>
      <c r="CZ633"/>
      <c r="DA633"/>
      <c r="DB633"/>
      <c r="DC633"/>
      <c r="DD633"/>
      <c r="DE633"/>
      <c r="DG633"/>
      <c r="DH633"/>
      <c r="DI633"/>
      <c r="DJ633"/>
      <c r="DK633"/>
      <c r="DL633"/>
      <c r="DM633"/>
      <c r="DN633"/>
      <c r="DO633"/>
      <c r="DP633"/>
      <c r="DQ633"/>
      <c r="DR633"/>
      <c r="DS633"/>
      <c r="DT633"/>
      <c r="DU633"/>
      <c r="DV633"/>
      <c r="DW633"/>
      <c r="DZ633"/>
      <c r="EA633"/>
      <c r="EB633"/>
      <c r="EC633"/>
      <c r="ED633"/>
      <c r="EE633"/>
      <c r="EF633"/>
      <c r="EG633"/>
      <c r="EJ633"/>
      <c r="EK633"/>
      <c r="EL633"/>
      <c r="EM633"/>
      <c r="EN633"/>
      <c r="EO633"/>
      <c r="EP633"/>
      <c r="EQ633"/>
      <c r="ER633"/>
      <c r="ES633"/>
      <c r="ET633"/>
      <c r="EU633"/>
      <c r="EV633"/>
      <c r="EW633"/>
      <c r="EX633"/>
      <c r="EY633"/>
      <c r="EZ633"/>
      <c r="FA633"/>
      <c r="FB633"/>
      <c r="FC633"/>
      <c r="FD633"/>
      <c r="FE633"/>
      <c r="FF633"/>
      <c r="FG633"/>
      <c r="FH633"/>
      <c r="FK633"/>
      <c r="FL633"/>
      <c r="FM633"/>
      <c r="FN633"/>
      <c r="FO633"/>
      <c r="FP633"/>
      <c r="FQ633"/>
      <c r="FR633"/>
      <c r="FS633"/>
      <c r="FT633"/>
      <c r="FU633"/>
      <c r="FV633"/>
      <c r="FW633"/>
      <c r="FX633"/>
      <c r="FY633"/>
      <c r="FZ633"/>
      <c r="GA633"/>
      <c r="GB633"/>
      <c r="GC633"/>
      <c r="GD633"/>
    </row>
    <row r="634" spans="4:186" x14ac:dyDescent="0.15">
      <c r="AA634" s="7" t="s">
        <v>149</v>
      </c>
      <c r="AG634"/>
      <c r="AH634"/>
      <c r="AJ634"/>
      <c r="AK634"/>
      <c r="AL634"/>
      <c r="AM634"/>
      <c r="AO634"/>
      <c r="AP634"/>
      <c r="AQ634"/>
      <c r="AR634"/>
      <c r="AS634"/>
      <c r="AT634"/>
      <c r="AU634"/>
      <c r="AV634"/>
      <c r="AW634"/>
      <c r="AX634"/>
      <c r="AY634"/>
      <c r="AZ634"/>
      <c r="BA634"/>
      <c r="BB634"/>
      <c r="BC634"/>
      <c r="BD634"/>
      <c r="BE634"/>
      <c r="BF634"/>
      <c r="BH634"/>
      <c r="BI634"/>
      <c r="BJ634"/>
      <c r="BK634"/>
      <c r="BL634"/>
      <c r="BM634"/>
      <c r="BN634"/>
      <c r="BP634"/>
      <c r="BQ634"/>
      <c r="BR634"/>
      <c r="BS634"/>
      <c r="BT634"/>
      <c r="BU634"/>
      <c r="BV634"/>
      <c r="BW634"/>
      <c r="BZ634"/>
      <c r="CA634"/>
      <c r="CB634"/>
      <c r="CC634"/>
      <c r="CD634"/>
      <c r="CF634"/>
      <c r="CG634"/>
      <c r="CH634"/>
      <c r="CI634"/>
      <c r="CJ634"/>
      <c r="CK634"/>
      <c r="CL634"/>
      <c r="CM634"/>
      <c r="CN634"/>
      <c r="CO634"/>
      <c r="CP634"/>
      <c r="CQ634"/>
      <c r="CR634"/>
      <c r="CS634"/>
      <c r="CT634"/>
      <c r="CU634"/>
      <c r="CV634"/>
      <c r="CW634"/>
      <c r="CX634"/>
      <c r="CY634"/>
      <c r="CZ634"/>
      <c r="DA634"/>
      <c r="DB634"/>
      <c r="DC634"/>
      <c r="DD634"/>
      <c r="DE634"/>
      <c r="DG634"/>
      <c r="DH634"/>
      <c r="DI634"/>
      <c r="DJ634"/>
      <c r="DK634"/>
      <c r="DL634"/>
      <c r="DM634"/>
      <c r="DN634"/>
      <c r="DO634"/>
      <c r="DP634"/>
      <c r="DQ634"/>
      <c r="DR634"/>
      <c r="DS634"/>
      <c r="DT634"/>
      <c r="DU634"/>
      <c r="DV634"/>
      <c r="DW634"/>
      <c r="DZ634"/>
      <c r="EA634"/>
      <c r="EB634"/>
      <c r="EC634"/>
      <c r="ED634"/>
      <c r="EE634"/>
      <c r="EF634"/>
      <c r="EG634"/>
      <c r="EJ634"/>
      <c r="EK634"/>
      <c r="EL634"/>
      <c r="EM634"/>
      <c r="EN634"/>
      <c r="EO634"/>
      <c r="EP634"/>
      <c r="EQ634"/>
      <c r="ER634"/>
      <c r="ES634"/>
      <c r="ET634"/>
      <c r="EU634"/>
      <c r="EV634"/>
      <c r="EW634"/>
      <c r="EX634"/>
      <c r="EY634"/>
      <c r="EZ634"/>
      <c r="FA634"/>
      <c r="FB634"/>
      <c r="FC634"/>
      <c r="FD634"/>
      <c r="FE634"/>
      <c r="FF634"/>
      <c r="FG634"/>
      <c r="FH634"/>
      <c r="FK634"/>
      <c r="FL634"/>
      <c r="FM634"/>
      <c r="FN634"/>
      <c r="FO634"/>
      <c r="FP634"/>
      <c r="FQ634"/>
      <c r="FR634"/>
      <c r="FS634"/>
      <c r="FT634"/>
      <c r="FU634"/>
      <c r="FV634"/>
      <c r="FW634"/>
      <c r="FX634"/>
      <c r="FY634"/>
      <c r="FZ634"/>
      <c r="GA634"/>
      <c r="GB634"/>
      <c r="GC634"/>
      <c r="GD634"/>
    </row>
    <row r="635" spans="4:186" x14ac:dyDescent="0.15">
      <c r="AG635"/>
      <c r="AH635"/>
      <c r="AJ635"/>
      <c r="AK635"/>
      <c r="AL635"/>
      <c r="AM635"/>
      <c r="AO635"/>
      <c r="AP635"/>
      <c r="AQ635"/>
      <c r="AR635"/>
      <c r="AS635"/>
      <c r="AT635"/>
      <c r="AU635"/>
      <c r="AV635"/>
      <c r="AW635"/>
      <c r="AX635"/>
      <c r="AY635"/>
      <c r="AZ635"/>
      <c r="BA635"/>
      <c r="BB635"/>
      <c r="BC635"/>
      <c r="BD635"/>
      <c r="BE635"/>
      <c r="BF635"/>
      <c r="BH635"/>
      <c r="BI635"/>
      <c r="BJ635"/>
      <c r="BK635"/>
      <c r="BL635"/>
      <c r="BM635"/>
      <c r="BN635"/>
      <c r="BP635"/>
      <c r="BQ635"/>
      <c r="BR635"/>
      <c r="BS635"/>
      <c r="BT635"/>
      <c r="BU635"/>
      <c r="BV635"/>
      <c r="BW635"/>
      <c r="BZ635"/>
      <c r="CA635"/>
      <c r="CB635"/>
      <c r="CC635"/>
      <c r="CD635"/>
      <c r="CF635"/>
      <c r="CG635"/>
      <c r="CH635"/>
      <c r="CI635"/>
      <c r="CJ635"/>
      <c r="CK635"/>
      <c r="CL635"/>
      <c r="CM635"/>
      <c r="CN635"/>
      <c r="CO635"/>
      <c r="CP635"/>
      <c r="CQ635"/>
      <c r="CR635"/>
      <c r="CS635"/>
      <c r="CT635"/>
      <c r="CU635"/>
      <c r="CV635"/>
      <c r="CW635"/>
      <c r="CX635"/>
      <c r="CY635"/>
      <c r="CZ635"/>
      <c r="DA635"/>
      <c r="DB635"/>
      <c r="DC635"/>
      <c r="DD635"/>
      <c r="DE635"/>
      <c r="DG635"/>
      <c r="DH635"/>
      <c r="DI635"/>
      <c r="DJ635"/>
      <c r="DK635"/>
      <c r="DL635"/>
      <c r="DM635"/>
      <c r="DN635"/>
      <c r="DO635"/>
      <c r="DP635"/>
      <c r="DQ635"/>
      <c r="DR635"/>
      <c r="DS635"/>
      <c r="DT635"/>
      <c r="DU635"/>
      <c r="DV635"/>
      <c r="DW635"/>
      <c r="DZ635"/>
      <c r="EA635"/>
      <c r="EB635"/>
      <c r="EC635"/>
      <c r="ED635"/>
      <c r="EE635"/>
      <c r="EF635"/>
      <c r="EG635"/>
      <c r="EJ635"/>
      <c r="EK635"/>
      <c r="EL635"/>
      <c r="EM635"/>
      <c r="EN635"/>
      <c r="EO635"/>
      <c r="EP635"/>
      <c r="EQ635"/>
      <c r="ER635"/>
      <c r="ES635"/>
      <c r="ET635"/>
      <c r="EU635"/>
      <c r="EV635"/>
      <c r="EW635"/>
      <c r="EX635"/>
      <c r="EY635"/>
      <c r="EZ635"/>
      <c r="FA635"/>
      <c r="FB635"/>
      <c r="FC635"/>
      <c r="FD635"/>
      <c r="FE635"/>
      <c r="FF635"/>
      <c r="FG635"/>
      <c r="FH635"/>
      <c r="FK635"/>
      <c r="FL635"/>
      <c r="FM635"/>
      <c r="FN635"/>
      <c r="FO635"/>
      <c r="FP635"/>
      <c r="FQ635"/>
      <c r="FR635"/>
      <c r="FS635"/>
      <c r="FT635"/>
      <c r="FU635"/>
      <c r="FV635"/>
      <c r="FW635"/>
      <c r="FX635"/>
      <c r="FY635"/>
      <c r="FZ635"/>
      <c r="GA635"/>
      <c r="GB635"/>
      <c r="GC635"/>
      <c r="GD635"/>
    </row>
    <row r="636" spans="4:186" x14ac:dyDescent="0.15">
      <c r="AG636"/>
      <c r="AH636"/>
      <c r="AJ636"/>
      <c r="AK636"/>
      <c r="AL636"/>
      <c r="AM636"/>
      <c r="AO636"/>
      <c r="AP636"/>
      <c r="AQ636"/>
      <c r="AR636"/>
      <c r="AS636"/>
      <c r="AT636"/>
      <c r="AU636"/>
      <c r="AV636"/>
      <c r="AW636"/>
      <c r="AX636"/>
      <c r="AY636"/>
      <c r="AZ636"/>
      <c r="BA636"/>
      <c r="BB636"/>
      <c r="BC636"/>
      <c r="BD636"/>
      <c r="BE636"/>
      <c r="BF636"/>
      <c r="BH636"/>
      <c r="BI636"/>
      <c r="BJ636"/>
      <c r="BK636"/>
      <c r="BL636"/>
      <c r="BM636"/>
      <c r="BN636"/>
      <c r="BP636"/>
      <c r="BQ636"/>
      <c r="BR636"/>
      <c r="BS636"/>
      <c r="BT636"/>
      <c r="BU636"/>
      <c r="BV636"/>
      <c r="BW636"/>
      <c r="BZ636"/>
      <c r="CA636"/>
      <c r="CB636"/>
      <c r="CC636"/>
      <c r="CD636"/>
      <c r="CF636"/>
      <c r="CG636"/>
      <c r="CH636"/>
      <c r="CI636"/>
      <c r="CJ636"/>
      <c r="CK636"/>
      <c r="CL636"/>
      <c r="CM636"/>
      <c r="CN636"/>
      <c r="CO636"/>
      <c r="CP636"/>
      <c r="CQ636"/>
      <c r="CR636"/>
      <c r="CS636"/>
      <c r="CT636"/>
      <c r="CU636"/>
      <c r="CV636"/>
      <c r="CW636"/>
      <c r="CX636"/>
      <c r="CY636"/>
      <c r="CZ636"/>
      <c r="DA636"/>
      <c r="DB636"/>
      <c r="DC636"/>
      <c r="DD636"/>
      <c r="DE636"/>
      <c r="DG636"/>
      <c r="DH636"/>
      <c r="DI636"/>
      <c r="DJ636"/>
      <c r="DK636"/>
      <c r="DL636"/>
      <c r="DM636"/>
      <c r="DN636"/>
      <c r="DO636"/>
      <c r="DP636"/>
      <c r="DQ636"/>
      <c r="DR636"/>
      <c r="DS636"/>
      <c r="DT636"/>
      <c r="DU636"/>
      <c r="DV636"/>
      <c r="DW636"/>
      <c r="DZ636"/>
      <c r="EA636"/>
      <c r="EB636"/>
      <c r="EC636"/>
      <c r="ED636"/>
      <c r="EE636"/>
      <c r="EF636"/>
      <c r="EG636"/>
      <c r="EJ636"/>
      <c r="EK636"/>
      <c r="EL636"/>
      <c r="EM636"/>
      <c r="EN636"/>
      <c r="EO636"/>
      <c r="EP636"/>
      <c r="EQ636"/>
      <c r="ER636"/>
      <c r="ES636"/>
      <c r="ET636"/>
      <c r="EU636"/>
      <c r="EV636"/>
      <c r="EW636"/>
      <c r="EX636"/>
      <c r="EY636"/>
      <c r="EZ636"/>
      <c r="FA636"/>
      <c r="FB636"/>
      <c r="FC636"/>
      <c r="FD636"/>
      <c r="FE636"/>
      <c r="FF636"/>
      <c r="FG636"/>
      <c r="FH636"/>
      <c r="FK636"/>
      <c r="FL636"/>
      <c r="FM636"/>
      <c r="FN636"/>
      <c r="FO636"/>
      <c r="FP636"/>
      <c r="FQ636"/>
      <c r="FR636"/>
      <c r="FS636"/>
      <c r="FT636"/>
      <c r="FU636"/>
      <c r="FV636"/>
      <c r="FW636"/>
      <c r="FX636"/>
      <c r="FY636"/>
      <c r="FZ636"/>
      <c r="GA636"/>
      <c r="GB636"/>
      <c r="GC636"/>
      <c r="GD636"/>
    </row>
    <row r="637" spans="4:186" x14ac:dyDescent="0.15">
      <c r="AG637"/>
      <c r="AH637"/>
      <c r="AJ637"/>
      <c r="AK637"/>
      <c r="AL637"/>
      <c r="AM637"/>
      <c r="AO637"/>
      <c r="AP637"/>
      <c r="AQ637"/>
      <c r="AR637"/>
      <c r="AS637"/>
      <c r="AT637"/>
      <c r="AU637"/>
      <c r="AV637"/>
      <c r="AW637"/>
      <c r="AX637"/>
      <c r="AY637"/>
      <c r="AZ637"/>
      <c r="BA637"/>
      <c r="BB637"/>
      <c r="BC637"/>
      <c r="BD637"/>
      <c r="BE637"/>
      <c r="BF637"/>
      <c r="BH637"/>
      <c r="BI637"/>
      <c r="BJ637"/>
      <c r="BK637"/>
      <c r="BL637"/>
      <c r="BM637"/>
      <c r="BN637"/>
      <c r="BP637"/>
      <c r="BQ637"/>
      <c r="BR637"/>
      <c r="BS637"/>
      <c r="BT637"/>
      <c r="BU637"/>
      <c r="BV637"/>
      <c r="BW637"/>
      <c r="BZ637"/>
      <c r="CA637"/>
      <c r="CB637"/>
      <c r="CC637"/>
      <c r="CD637"/>
      <c r="CF637"/>
      <c r="CG637"/>
      <c r="CH637"/>
      <c r="CI637"/>
      <c r="CJ637"/>
      <c r="CK637"/>
      <c r="CL637"/>
      <c r="CM637"/>
      <c r="CN637"/>
      <c r="CO637"/>
      <c r="CP637"/>
      <c r="CQ637"/>
      <c r="CR637"/>
      <c r="CS637"/>
      <c r="CT637"/>
      <c r="CU637"/>
      <c r="CV637"/>
      <c r="CW637"/>
      <c r="CX637"/>
      <c r="CY637"/>
      <c r="CZ637"/>
      <c r="DA637"/>
      <c r="DB637"/>
      <c r="DC637"/>
      <c r="DD637"/>
      <c r="DE637"/>
      <c r="DG637"/>
      <c r="DH637"/>
      <c r="DI637"/>
      <c r="DJ637"/>
      <c r="DK637"/>
      <c r="DL637"/>
      <c r="DM637"/>
      <c r="DN637"/>
      <c r="DO637"/>
      <c r="DP637"/>
      <c r="DQ637"/>
      <c r="DR637"/>
      <c r="DS637"/>
      <c r="DT637"/>
      <c r="DU637"/>
      <c r="DV637"/>
      <c r="DW637"/>
      <c r="DZ637"/>
      <c r="EA637"/>
      <c r="EB637"/>
      <c r="EC637"/>
      <c r="ED637"/>
      <c r="EE637"/>
      <c r="EF637"/>
      <c r="EG637"/>
      <c r="EJ637"/>
      <c r="EK637"/>
      <c r="EL637"/>
      <c r="EM637"/>
      <c r="EN637"/>
      <c r="EO637"/>
      <c r="EP637"/>
      <c r="EQ637"/>
      <c r="ER637"/>
      <c r="ES637"/>
      <c r="ET637"/>
      <c r="EU637"/>
      <c r="EV637"/>
      <c r="EW637"/>
      <c r="EX637"/>
      <c r="EY637"/>
      <c r="EZ637"/>
      <c r="FA637"/>
      <c r="FB637"/>
      <c r="FC637"/>
      <c r="FD637"/>
      <c r="FE637"/>
      <c r="FF637"/>
      <c r="FG637"/>
      <c r="FH637"/>
      <c r="FK637"/>
      <c r="FL637"/>
      <c r="FM637"/>
      <c r="FN637"/>
      <c r="FO637"/>
      <c r="FP637"/>
      <c r="FQ637"/>
      <c r="FR637"/>
      <c r="FS637"/>
      <c r="FT637"/>
      <c r="FU637"/>
      <c r="FV637"/>
      <c r="FW637"/>
      <c r="FX637"/>
      <c r="FY637"/>
      <c r="FZ637"/>
      <c r="GA637"/>
      <c r="GB637"/>
      <c r="GC637"/>
      <c r="GD637"/>
    </row>
    <row r="638" spans="4:186" x14ac:dyDescent="0.15">
      <c r="AG638"/>
      <c r="AH638"/>
      <c r="AJ638"/>
      <c r="AK638"/>
      <c r="AL638"/>
      <c r="AM638"/>
      <c r="AO638"/>
      <c r="AP638"/>
      <c r="AQ638"/>
      <c r="AR638"/>
      <c r="AS638"/>
      <c r="AT638"/>
      <c r="AU638"/>
      <c r="AV638"/>
      <c r="AW638"/>
      <c r="AX638"/>
      <c r="AY638"/>
      <c r="AZ638"/>
      <c r="BA638"/>
      <c r="BB638"/>
      <c r="BC638"/>
      <c r="BD638"/>
      <c r="BE638"/>
      <c r="BF638"/>
      <c r="BH638"/>
      <c r="BI638"/>
      <c r="BJ638"/>
      <c r="BK638"/>
      <c r="BL638"/>
      <c r="BM638"/>
      <c r="BN638"/>
      <c r="BP638"/>
      <c r="BQ638"/>
      <c r="BR638"/>
      <c r="BS638"/>
      <c r="BT638"/>
      <c r="BU638"/>
      <c r="BV638"/>
      <c r="BW638"/>
      <c r="BZ638"/>
      <c r="CA638"/>
      <c r="CB638"/>
      <c r="CC638"/>
      <c r="CD638"/>
      <c r="CF638"/>
      <c r="CG638"/>
      <c r="CH638"/>
      <c r="CI638"/>
      <c r="CJ638"/>
      <c r="CK638"/>
      <c r="CL638"/>
      <c r="CM638"/>
      <c r="CN638"/>
      <c r="CO638"/>
      <c r="CP638"/>
      <c r="CQ638"/>
      <c r="CR638"/>
      <c r="CS638"/>
      <c r="CT638"/>
      <c r="CU638"/>
      <c r="CV638"/>
      <c r="CW638"/>
      <c r="CX638"/>
      <c r="CY638"/>
      <c r="CZ638"/>
      <c r="DA638"/>
      <c r="DB638"/>
      <c r="DC638"/>
      <c r="DD638"/>
      <c r="DE638"/>
      <c r="DG638"/>
      <c r="DH638"/>
      <c r="DI638"/>
      <c r="DJ638"/>
      <c r="DK638"/>
      <c r="DL638"/>
      <c r="DM638"/>
      <c r="DN638"/>
      <c r="DO638"/>
      <c r="DP638"/>
      <c r="DQ638"/>
      <c r="DR638"/>
      <c r="DS638"/>
      <c r="DT638"/>
      <c r="DU638"/>
      <c r="DV638"/>
      <c r="DW638"/>
      <c r="DZ638"/>
      <c r="EA638"/>
      <c r="EB638"/>
      <c r="EC638"/>
      <c r="ED638"/>
      <c r="EE638"/>
      <c r="EF638"/>
      <c r="EG638"/>
      <c r="EJ638"/>
      <c r="EK638"/>
      <c r="EL638"/>
      <c r="EM638"/>
      <c r="EN638"/>
      <c r="EO638"/>
      <c r="EP638"/>
      <c r="EQ638"/>
      <c r="ER638"/>
      <c r="ES638"/>
      <c r="ET638"/>
      <c r="EU638"/>
      <c r="EV638"/>
      <c r="EW638"/>
      <c r="EX638"/>
      <c r="EY638"/>
      <c r="EZ638"/>
      <c r="FA638"/>
      <c r="FB638"/>
      <c r="FC638"/>
      <c r="FD638"/>
      <c r="FE638"/>
      <c r="FF638"/>
      <c r="FG638"/>
      <c r="FH638"/>
      <c r="FK638"/>
      <c r="FL638"/>
      <c r="FM638"/>
      <c r="FN638"/>
      <c r="FO638"/>
      <c r="FP638"/>
      <c r="FQ638"/>
      <c r="FR638"/>
      <c r="FS638"/>
      <c r="FT638"/>
      <c r="FU638"/>
      <c r="FV638"/>
      <c r="FW638"/>
      <c r="FX638"/>
      <c r="FY638"/>
      <c r="FZ638"/>
      <c r="GA638"/>
      <c r="GB638"/>
      <c r="GC638"/>
      <c r="GD638"/>
    </row>
    <row r="639" spans="4:186" x14ac:dyDescent="0.15">
      <c r="AG639"/>
      <c r="AH639"/>
      <c r="AJ639"/>
      <c r="AK639"/>
      <c r="AL639"/>
      <c r="AM639"/>
      <c r="AO639"/>
      <c r="AP639"/>
      <c r="AQ639"/>
      <c r="AR639"/>
      <c r="AS639"/>
      <c r="AT639"/>
      <c r="AU639"/>
      <c r="AV639"/>
      <c r="AW639"/>
      <c r="AX639"/>
      <c r="AY639"/>
      <c r="AZ639"/>
      <c r="BA639"/>
      <c r="BB639"/>
      <c r="BC639"/>
      <c r="BD639"/>
      <c r="BE639"/>
      <c r="BF639"/>
      <c r="BH639"/>
      <c r="BI639"/>
      <c r="BJ639"/>
      <c r="BK639"/>
      <c r="BL639"/>
      <c r="BM639"/>
      <c r="BN639"/>
      <c r="BP639"/>
      <c r="BQ639"/>
      <c r="BR639"/>
      <c r="BS639"/>
      <c r="BT639"/>
      <c r="BU639"/>
      <c r="BV639"/>
      <c r="BW639"/>
      <c r="BZ639"/>
      <c r="CA639"/>
      <c r="CB639"/>
      <c r="CC639"/>
      <c r="CD639"/>
      <c r="CF639"/>
      <c r="CG639"/>
      <c r="CH639"/>
      <c r="CI639"/>
      <c r="CJ639"/>
      <c r="CK639"/>
      <c r="CL639"/>
      <c r="CM639"/>
      <c r="CN639"/>
      <c r="CO639"/>
      <c r="CP639"/>
      <c r="CQ639"/>
      <c r="CR639"/>
      <c r="CS639"/>
      <c r="CT639"/>
      <c r="CU639"/>
      <c r="CV639"/>
      <c r="CW639"/>
      <c r="CX639"/>
      <c r="CY639"/>
      <c r="CZ639"/>
      <c r="DA639"/>
      <c r="DB639"/>
      <c r="DC639"/>
      <c r="DD639"/>
      <c r="DE639"/>
      <c r="DG639"/>
      <c r="DH639"/>
      <c r="DI639"/>
      <c r="DJ639"/>
      <c r="DK639"/>
      <c r="DL639"/>
      <c r="DM639"/>
      <c r="DN639"/>
      <c r="DO639"/>
      <c r="DP639"/>
      <c r="DQ639"/>
      <c r="DR639"/>
      <c r="DS639"/>
      <c r="DT639"/>
      <c r="DU639"/>
      <c r="DV639"/>
      <c r="DW639"/>
      <c r="DZ639"/>
      <c r="EA639"/>
      <c r="EB639"/>
      <c r="EC639"/>
      <c r="ED639"/>
      <c r="EE639"/>
      <c r="EF639"/>
      <c r="EG639"/>
      <c r="EJ639"/>
      <c r="EK639"/>
      <c r="EL639"/>
      <c r="EM639"/>
      <c r="EN639"/>
      <c r="EO639"/>
      <c r="EP639"/>
      <c r="EQ639"/>
      <c r="ER639"/>
      <c r="ES639"/>
      <c r="ET639"/>
      <c r="EU639"/>
      <c r="EV639"/>
      <c r="EW639"/>
      <c r="EX639"/>
      <c r="EY639"/>
      <c r="EZ639"/>
      <c r="FA639"/>
      <c r="FB639"/>
      <c r="FC639"/>
      <c r="FD639"/>
      <c r="FE639"/>
      <c r="FF639"/>
      <c r="FG639"/>
      <c r="FH639"/>
      <c r="FK639"/>
      <c r="FL639"/>
      <c r="FM639"/>
      <c r="FN639"/>
      <c r="FO639"/>
      <c r="FP639"/>
      <c r="FQ639"/>
      <c r="FR639"/>
      <c r="FS639"/>
      <c r="FT639"/>
      <c r="FU639"/>
      <c r="FV639"/>
      <c r="FW639"/>
      <c r="FX639"/>
      <c r="FY639"/>
      <c r="FZ639"/>
      <c r="GA639"/>
      <c r="GB639"/>
      <c r="GC639"/>
      <c r="GD639"/>
    </row>
    <row r="640" spans="4:186" x14ac:dyDescent="0.15">
      <c r="AG640"/>
      <c r="AH640"/>
      <c r="AJ640"/>
      <c r="AK640"/>
      <c r="AL640"/>
      <c r="AM640"/>
      <c r="AO640"/>
      <c r="AP640"/>
      <c r="AQ640"/>
      <c r="AR640"/>
      <c r="AS640"/>
      <c r="AT640"/>
      <c r="AU640"/>
      <c r="AV640"/>
      <c r="AW640"/>
      <c r="AX640"/>
      <c r="AY640"/>
      <c r="AZ640"/>
      <c r="BA640"/>
      <c r="BB640"/>
      <c r="BC640"/>
      <c r="BD640"/>
      <c r="BE640"/>
      <c r="BF640"/>
      <c r="BH640"/>
      <c r="BI640"/>
      <c r="BJ640"/>
      <c r="BK640"/>
      <c r="BL640"/>
      <c r="BM640"/>
      <c r="BN640"/>
      <c r="BP640"/>
      <c r="BQ640"/>
      <c r="BR640"/>
      <c r="BS640"/>
      <c r="BT640"/>
      <c r="BU640"/>
      <c r="BV640"/>
      <c r="BW640"/>
      <c r="BZ640"/>
      <c r="CA640"/>
      <c r="CB640"/>
      <c r="CC640"/>
      <c r="CD640"/>
      <c r="CF640"/>
      <c r="CG640"/>
      <c r="CH640"/>
      <c r="CI640"/>
      <c r="CJ640"/>
      <c r="CK640"/>
      <c r="CL640"/>
      <c r="CM640"/>
      <c r="CN640"/>
      <c r="CO640"/>
      <c r="CP640"/>
      <c r="CQ640"/>
      <c r="CR640"/>
      <c r="CS640"/>
      <c r="CT640"/>
      <c r="CU640"/>
      <c r="CV640"/>
      <c r="CW640"/>
      <c r="CX640"/>
      <c r="CY640"/>
      <c r="CZ640"/>
      <c r="DA640"/>
      <c r="DB640"/>
      <c r="DC640"/>
      <c r="DD640"/>
      <c r="DE640"/>
      <c r="DG640"/>
      <c r="DH640"/>
      <c r="DI640"/>
      <c r="DJ640"/>
      <c r="DK640"/>
      <c r="DL640"/>
      <c r="DM640"/>
      <c r="DN640"/>
      <c r="DO640"/>
      <c r="DP640"/>
      <c r="DQ640"/>
      <c r="DR640"/>
      <c r="DS640"/>
      <c r="DT640"/>
      <c r="DU640"/>
      <c r="DV640"/>
      <c r="DW640"/>
      <c r="DZ640"/>
      <c r="EA640"/>
      <c r="EB640"/>
      <c r="EC640"/>
      <c r="ED640"/>
      <c r="EE640"/>
      <c r="EF640"/>
      <c r="EG640"/>
      <c r="EJ640"/>
      <c r="EK640"/>
      <c r="EL640"/>
      <c r="EM640"/>
      <c r="EN640"/>
      <c r="EO640"/>
      <c r="EP640"/>
      <c r="EQ640"/>
      <c r="ER640"/>
      <c r="ES640"/>
      <c r="ET640"/>
      <c r="EU640"/>
      <c r="EV640"/>
      <c r="EW640"/>
      <c r="EX640"/>
      <c r="EY640"/>
      <c r="EZ640"/>
      <c r="FA640"/>
      <c r="FB640"/>
      <c r="FC640"/>
      <c r="FD640"/>
      <c r="FE640"/>
      <c r="FF640"/>
      <c r="FG640"/>
      <c r="FH640"/>
      <c r="FK640"/>
      <c r="FL640"/>
      <c r="FM640"/>
      <c r="FN640"/>
      <c r="FO640"/>
      <c r="FP640"/>
      <c r="FQ640"/>
      <c r="FR640"/>
      <c r="FS640"/>
      <c r="FT640"/>
      <c r="FU640"/>
      <c r="FV640"/>
      <c r="FW640"/>
      <c r="FX640"/>
      <c r="FY640"/>
      <c r="FZ640"/>
      <c r="GA640"/>
      <c r="GB640"/>
      <c r="GC640"/>
      <c r="GD640"/>
    </row>
    <row r="641" spans="1:186" x14ac:dyDescent="0.15">
      <c r="AG641"/>
      <c r="AH641"/>
      <c r="AJ641"/>
      <c r="AK641"/>
      <c r="AL641"/>
      <c r="AM641"/>
      <c r="AO641"/>
      <c r="AP641"/>
      <c r="AQ641"/>
      <c r="AR641"/>
      <c r="AS641"/>
      <c r="AT641"/>
      <c r="AU641"/>
      <c r="AV641"/>
      <c r="AW641"/>
      <c r="AX641"/>
      <c r="AY641"/>
      <c r="AZ641"/>
      <c r="BA641"/>
      <c r="BB641"/>
      <c r="BC641"/>
      <c r="BD641"/>
      <c r="BE641"/>
      <c r="BF641"/>
      <c r="BH641"/>
      <c r="BI641"/>
      <c r="BJ641"/>
      <c r="BK641"/>
      <c r="BL641"/>
      <c r="BM641"/>
      <c r="BN641"/>
      <c r="BP641"/>
      <c r="BQ641"/>
      <c r="BR641"/>
      <c r="BS641"/>
      <c r="BT641"/>
      <c r="BU641"/>
      <c r="BV641"/>
      <c r="BW641"/>
      <c r="BZ641"/>
      <c r="CA641"/>
      <c r="CB641"/>
      <c r="CC641"/>
      <c r="CD641"/>
      <c r="CF641"/>
      <c r="CG641"/>
      <c r="CH641"/>
      <c r="CI641"/>
      <c r="CJ641"/>
      <c r="CK641"/>
      <c r="CL641"/>
      <c r="CM641"/>
      <c r="CN641"/>
      <c r="CO641"/>
      <c r="CP641"/>
      <c r="CQ641"/>
      <c r="CR641"/>
      <c r="CS641"/>
      <c r="CT641"/>
      <c r="CU641"/>
      <c r="CV641"/>
      <c r="CW641"/>
      <c r="CX641"/>
      <c r="CY641"/>
      <c r="CZ641"/>
      <c r="DA641"/>
      <c r="DB641"/>
      <c r="DC641"/>
      <c r="DD641"/>
      <c r="DE641"/>
      <c r="DG641"/>
      <c r="DH641"/>
      <c r="DI641"/>
      <c r="DJ641"/>
      <c r="DK641"/>
      <c r="DL641"/>
      <c r="DM641"/>
      <c r="DN641"/>
      <c r="DO641"/>
      <c r="DP641"/>
      <c r="DQ641"/>
      <c r="DR641"/>
      <c r="DS641"/>
      <c r="DT641"/>
      <c r="DU641"/>
      <c r="DV641"/>
      <c r="DW641"/>
      <c r="DZ641"/>
      <c r="EA641"/>
      <c r="EB641"/>
      <c r="EC641"/>
      <c r="ED641"/>
      <c r="EE641"/>
      <c r="EF641"/>
      <c r="EG641"/>
      <c r="EJ641"/>
      <c r="EK641"/>
      <c r="EL641"/>
      <c r="EM641"/>
      <c r="EN641"/>
      <c r="EO641"/>
      <c r="EP641"/>
      <c r="EQ641"/>
      <c r="ER641"/>
      <c r="ES641"/>
      <c r="ET641"/>
      <c r="EU641"/>
      <c r="EV641"/>
      <c r="EW641"/>
      <c r="EX641"/>
      <c r="EY641"/>
      <c r="EZ641"/>
      <c r="FA641"/>
      <c r="FB641"/>
      <c r="FC641"/>
      <c r="FD641"/>
      <c r="FE641"/>
      <c r="FF641"/>
      <c r="FG641"/>
      <c r="FH641"/>
      <c r="FK641"/>
      <c r="FL641"/>
      <c r="FM641"/>
      <c r="FN641"/>
      <c r="FO641"/>
      <c r="FP641"/>
      <c r="FQ641"/>
      <c r="FR641"/>
      <c r="FS641"/>
      <c r="FT641"/>
      <c r="FU641"/>
      <c r="FV641"/>
      <c r="FW641"/>
      <c r="FX641"/>
      <c r="FY641"/>
      <c r="FZ641"/>
      <c r="GA641"/>
      <c r="GB641"/>
      <c r="GC641"/>
      <c r="GD641"/>
    </row>
    <row r="642" spans="1:186" x14ac:dyDescent="0.15">
      <c r="AG642"/>
      <c r="AH642"/>
      <c r="AJ642"/>
      <c r="AK642"/>
      <c r="AL642"/>
      <c r="AM642"/>
      <c r="AO642"/>
      <c r="AP642"/>
      <c r="AQ642"/>
      <c r="AR642"/>
      <c r="AS642"/>
      <c r="AT642"/>
      <c r="AU642"/>
      <c r="AV642"/>
      <c r="AW642"/>
      <c r="AX642"/>
      <c r="AY642"/>
      <c r="AZ642"/>
      <c r="BA642"/>
      <c r="BB642"/>
      <c r="BC642"/>
      <c r="BD642"/>
      <c r="BE642"/>
      <c r="BF642"/>
      <c r="BH642"/>
      <c r="BI642"/>
      <c r="BJ642"/>
      <c r="BK642"/>
      <c r="BL642"/>
      <c r="BM642"/>
      <c r="BN642"/>
      <c r="BP642"/>
      <c r="BQ642"/>
      <c r="BR642"/>
      <c r="BS642"/>
      <c r="BT642"/>
      <c r="BU642"/>
      <c r="BV642"/>
      <c r="BW642"/>
      <c r="BZ642"/>
      <c r="CA642"/>
      <c r="CB642"/>
      <c r="CC642"/>
      <c r="CD642"/>
      <c r="CF642"/>
      <c r="CG642"/>
      <c r="CH642"/>
      <c r="CI642"/>
      <c r="CJ642"/>
      <c r="CK642"/>
      <c r="CL642"/>
      <c r="CM642"/>
      <c r="CN642"/>
      <c r="CO642"/>
      <c r="CP642"/>
      <c r="CQ642"/>
      <c r="CR642"/>
      <c r="CS642"/>
      <c r="CT642"/>
      <c r="CU642"/>
      <c r="CV642"/>
      <c r="CW642"/>
      <c r="CX642"/>
      <c r="CY642"/>
      <c r="CZ642"/>
      <c r="DA642"/>
      <c r="DB642"/>
      <c r="DC642"/>
      <c r="DD642"/>
      <c r="DE642"/>
      <c r="DG642"/>
      <c r="DH642"/>
      <c r="DI642"/>
      <c r="DJ642"/>
      <c r="DK642"/>
      <c r="DL642"/>
      <c r="DM642"/>
      <c r="DN642"/>
      <c r="DO642"/>
      <c r="DP642"/>
      <c r="DQ642"/>
      <c r="DR642"/>
      <c r="DS642"/>
      <c r="DT642"/>
      <c r="DU642"/>
      <c r="DV642"/>
      <c r="DW642"/>
      <c r="DZ642"/>
      <c r="EA642"/>
      <c r="EB642"/>
      <c r="EC642"/>
      <c r="ED642"/>
      <c r="EE642"/>
      <c r="EF642"/>
      <c r="EG642"/>
      <c r="EJ642"/>
      <c r="EK642"/>
      <c r="EL642"/>
      <c r="EM642"/>
      <c r="EN642"/>
      <c r="EO642"/>
      <c r="EP642"/>
      <c r="EQ642"/>
      <c r="ER642"/>
      <c r="ES642"/>
      <c r="ET642"/>
      <c r="EU642"/>
      <c r="EV642"/>
      <c r="EW642"/>
      <c r="EX642"/>
      <c r="EY642"/>
      <c r="EZ642"/>
      <c r="FA642"/>
      <c r="FB642"/>
      <c r="FC642"/>
      <c r="FD642"/>
      <c r="FE642"/>
      <c r="FF642"/>
      <c r="FG642"/>
      <c r="FH642"/>
      <c r="FK642"/>
      <c r="FL642"/>
      <c r="FM642"/>
      <c r="FN642"/>
      <c r="FO642"/>
      <c r="FP642"/>
      <c r="FQ642"/>
      <c r="FR642"/>
      <c r="FS642"/>
      <c r="FT642"/>
      <c r="FU642"/>
      <c r="FV642"/>
      <c r="FW642"/>
      <c r="FX642"/>
      <c r="FY642"/>
      <c r="FZ642"/>
      <c r="GA642"/>
      <c r="GB642"/>
      <c r="GC642"/>
      <c r="GD642"/>
    </row>
    <row r="643" spans="1:186" x14ac:dyDescent="0.15">
      <c r="AG643"/>
      <c r="AH643"/>
      <c r="AJ643"/>
      <c r="AK643"/>
      <c r="AL643"/>
      <c r="AM643"/>
      <c r="AO643"/>
      <c r="AP643"/>
      <c r="AQ643"/>
      <c r="AR643"/>
      <c r="AS643"/>
      <c r="AT643"/>
      <c r="AU643"/>
      <c r="AV643"/>
      <c r="AW643"/>
      <c r="AX643"/>
      <c r="AY643"/>
      <c r="AZ643"/>
      <c r="BA643"/>
      <c r="BB643"/>
      <c r="BC643"/>
      <c r="BD643"/>
      <c r="BE643"/>
      <c r="BF643"/>
      <c r="BH643"/>
      <c r="BI643"/>
      <c r="BJ643"/>
      <c r="BK643"/>
      <c r="BL643"/>
      <c r="BM643"/>
      <c r="BN643"/>
      <c r="BP643"/>
      <c r="BQ643"/>
      <c r="BR643"/>
      <c r="BS643"/>
      <c r="BT643"/>
      <c r="BU643"/>
      <c r="BV643"/>
      <c r="BW643"/>
      <c r="BZ643"/>
      <c r="CA643"/>
      <c r="CB643"/>
      <c r="CC643"/>
      <c r="CD643"/>
      <c r="CF643"/>
      <c r="CG643"/>
      <c r="CH643"/>
      <c r="CI643"/>
      <c r="CJ643"/>
      <c r="CK643"/>
      <c r="CL643"/>
      <c r="CM643"/>
      <c r="CN643"/>
      <c r="CO643"/>
      <c r="CP643"/>
      <c r="CQ643"/>
      <c r="CR643"/>
      <c r="CS643"/>
      <c r="CT643"/>
      <c r="CU643"/>
      <c r="CV643"/>
      <c r="CW643"/>
      <c r="CX643"/>
      <c r="CY643"/>
      <c r="CZ643"/>
      <c r="DA643"/>
      <c r="DB643"/>
      <c r="DC643"/>
      <c r="DD643"/>
      <c r="DE643"/>
      <c r="DG643"/>
      <c r="DH643"/>
      <c r="DI643"/>
      <c r="DJ643"/>
      <c r="DK643"/>
      <c r="DL643"/>
      <c r="DM643"/>
      <c r="DN643"/>
      <c r="DO643"/>
      <c r="DP643"/>
      <c r="DQ643"/>
      <c r="DR643"/>
      <c r="DS643"/>
      <c r="DT643"/>
      <c r="DU643"/>
      <c r="DV643"/>
      <c r="DW643"/>
      <c r="DZ643"/>
      <c r="EA643"/>
      <c r="EB643"/>
      <c r="EC643"/>
      <c r="ED643"/>
      <c r="EE643"/>
      <c r="EF643"/>
      <c r="EG643"/>
      <c r="EJ643"/>
      <c r="EK643"/>
      <c r="EL643"/>
      <c r="EM643"/>
      <c r="EN643"/>
      <c r="EO643"/>
      <c r="EP643"/>
      <c r="EQ643"/>
      <c r="ER643"/>
      <c r="ES643"/>
      <c r="ET643"/>
      <c r="EU643"/>
      <c r="EV643"/>
      <c r="EW643"/>
      <c r="EX643"/>
      <c r="EY643"/>
      <c r="EZ643"/>
      <c r="FA643"/>
      <c r="FB643"/>
      <c r="FC643"/>
      <c r="FD643"/>
      <c r="FE643"/>
      <c r="FF643"/>
      <c r="FG643"/>
      <c r="FH643"/>
      <c r="FK643"/>
      <c r="FL643"/>
      <c r="FM643"/>
      <c r="FN643"/>
      <c r="FO643"/>
      <c r="FP643"/>
      <c r="FQ643"/>
      <c r="FR643"/>
      <c r="FS643"/>
      <c r="FT643"/>
      <c r="FU643"/>
      <c r="FV643"/>
      <c r="FW643"/>
      <c r="FX643"/>
      <c r="FY643"/>
      <c r="FZ643"/>
      <c r="GA643"/>
      <c r="GB643"/>
      <c r="GC643"/>
      <c r="GD643"/>
    </row>
    <row r="644" spans="1:186" x14ac:dyDescent="0.15">
      <c r="AG644"/>
      <c r="AH644"/>
      <c r="AJ644"/>
      <c r="AK644"/>
      <c r="AL644"/>
      <c r="AM644"/>
      <c r="AO644"/>
      <c r="AP644"/>
      <c r="AQ644"/>
      <c r="AR644"/>
      <c r="AS644"/>
      <c r="AT644"/>
      <c r="AU644"/>
      <c r="AV644"/>
      <c r="AW644"/>
      <c r="AX644"/>
      <c r="AY644"/>
      <c r="AZ644"/>
      <c r="BA644"/>
      <c r="BB644"/>
      <c r="BC644"/>
      <c r="BD644"/>
      <c r="BE644"/>
      <c r="BF644"/>
      <c r="BH644"/>
      <c r="BI644"/>
      <c r="BJ644"/>
      <c r="BK644"/>
      <c r="BL644"/>
      <c r="BM644"/>
      <c r="BN644"/>
      <c r="BP644"/>
      <c r="BQ644"/>
      <c r="BR644"/>
      <c r="BS644"/>
      <c r="BT644"/>
      <c r="BU644"/>
      <c r="BV644"/>
      <c r="BW644"/>
      <c r="BZ644"/>
      <c r="CA644"/>
      <c r="CB644"/>
      <c r="CC644"/>
      <c r="CD644"/>
      <c r="CF644"/>
      <c r="CG644"/>
      <c r="CH644"/>
      <c r="CI644"/>
      <c r="CJ644"/>
      <c r="CK644"/>
      <c r="CL644"/>
      <c r="CM644"/>
      <c r="CN644"/>
      <c r="CO644"/>
      <c r="CP644"/>
      <c r="CQ644"/>
      <c r="CR644"/>
      <c r="CS644"/>
      <c r="CT644"/>
      <c r="CU644"/>
      <c r="CV644"/>
      <c r="CW644"/>
      <c r="CX644"/>
      <c r="CY644"/>
      <c r="CZ644"/>
      <c r="DA644"/>
      <c r="DB644"/>
      <c r="DC644"/>
      <c r="DD644"/>
      <c r="DE644"/>
      <c r="DG644"/>
      <c r="DH644"/>
      <c r="DI644"/>
      <c r="DJ644"/>
      <c r="DK644"/>
      <c r="DL644"/>
      <c r="DM644"/>
      <c r="DN644"/>
      <c r="DO644"/>
      <c r="DP644"/>
      <c r="DQ644"/>
      <c r="DR644"/>
      <c r="DS644"/>
      <c r="DT644"/>
      <c r="DU644"/>
      <c r="DV644"/>
      <c r="DW644"/>
      <c r="DZ644"/>
      <c r="EA644"/>
      <c r="EB644"/>
      <c r="EC644"/>
      <c r="ED644"/>
      <c r="EE644"/>
      <c r="EF644"/>
      <c r="EG644"/>
      <c r="EJ644"/>
      <c r="EK644"/>
      <c r="EL644"/>
      <c r="EM644"/>
      <c r="EN644"/>
      <c r="EO644"/>
      <c r="EP644"/>
      <c r="EQ644"/>
      <c r="ER644"/>
      <c r="ES644"/>
      <c r="ET644"/>
      <c r="EU644"/>
      <c r="EV644"/>
      <c r="EW644"/>
      <c r="EX644"/>
      <c r="EY644"/>
      <c r="EZ644"/>
      <c r="FA644"/>
      <c r="FB644"/>
      <c r="FC644"/>
      <c r="FD644"/>
      <c r="FE644"/>
      <c r="FF644"/>
      <c r="FG644"/>
      <c r="FH644"/>
      <c r="FK644"/>
      <c r="FL644"/>
      <c r="FM644"/>
      <c r="FN644"/>
      <c r="FO644"/>
      <c r="FP644"/>
      <c r="FQ644"/>
      <c r="FR644"/>
      <c r="FS644"/>
      <c r="FT644"/>
      <c r="FU644"/>
      <c r="FV644"/>
      <c r="FW644"/>
      <c r="FX644"/>
      <c r="FY644"/>
      <c r="FZ644"/>
      <c r="GA644"/>
      <c r="GB644"/>
      <c r="GC644"/>
      <c r="GD644"/>
    </row>
    <row r="645" spans="1:186" x14ac:dyDescent="0.15">
      <c r="AG645"/>
      <c r="AH645"/>
      <c r="AJ645"/>
      <c r="AK645"/>
      <c r="AL645"/>
      <c r="AM645"/>
      <c r="AO645"/>
      <c r="AP645"/>
      <c r="AQ645"/>
      <c r="AR645"/>
      <c r="AS645"/>
      <c r="AT645"/>
      <c r="AU645"/>
      <c r="AV645"/>
      <c r="AW645"/>
      <c r="AX645"/>
      <c r="AY645"/>
      <c r="AZ645"/>
      <c r="BA645"/>
      <c r="BB645"/>
      <c r="BC645"/>
      <c r="BD645"/>
      <c r="BE645"/>
      <c r="BF645"/>
      <c r="BH645"/>
      <c r="BI645"/>
      <c r="BJ645"/>
      <c r="BK645"/>
      <c r="BL645"/>
      <c r="BM645"/>
      <c r="BN645"/>
      <c r="BP645"/>
      <c r="BQ645"/>
      <c r="BR645"/>
      <c r="BS645"/>
      <c r="BT645"/>
      <c r="BU645"/>
      <c r="BV645"/>
      <c r="BW645"/>
      <c r="BZ645"/>
      <c r="CA645"/>
      <c r="CB645"/>
      <c r="CC645"/>
      <c r="CD645"/>
      <c r="CF645"/>
      <c r="CG645"/>
      <c r="CH645"/>
      <c r="CI645"/>
      <c r="CJ645"/>
      <c r="CK645"/>
      <c r="CL645"/>
      <c r="CM645"/>
      <c r="CN645"/>
      <c r="CO645"/>
      <c r="CP645"/>
      <c r="CQ645"/>
      <c r="CR645"/>
      <c r="CS645"/>
      <c r="CT645"/>
      <c r="CU645"/>
      <c r="CV645"/>
      <c r="CW645"/>
      <c r="CX645"/>
      <c r="CY645"/>
      <c r="CZ645"/>
      <c r="DA645"/>
      <c r="DB645"/>
      <c r="DC645"/>
      <c r="DD645"/>
      <c r="DE645"/>
      <c r="DG645"/>
      <c r="DH645"/>
      <c r="DI645"/>
      <c r="DJ645"/>
      <c r="DK645"/>
      <c r="DL645"/>
      <c r="DM645"/>
      <c r="DN645"/>
      <c r="DO645"/>
      <c r="DP645"/>
      <c r="DQ645"/>
      <c r="DR645"/>
      <c r="DS645"/>
      <c r="DT645"/>
      <c r="DU645"/>
      <c r="DV645"/>
      <c r="DW645"/>
      <c r="DZ645"/>
      <c r="EA645"/>
      <c r="EB645"/>
      <c r="EC645"/>
      <c r="ED645"/>
      <c r="EE645"/>
      <c r="EF645"/>
      <c r="EG645"/>
      <c r="EJ645"/>
      <c r="EK645"/>
      <c r="EL645"/>
      <c r="EM645"/>
      <c r="EN645"/>
      <c r="EO645"/>
      <c r="EP645"/>
      <c r="EQ645"/>
      <c r="ER645"/>
      <c r="ES645"/>
      <c r="ET645"/>
      <c r="EU645"/>
      <c r="EV645"/>
      <c r="EW645"/>
      <c r="EX645"/>
      <c r="EY645"/>
      <c r="EZ645"/>
      <c r="FA645"/>
      <c r="FB645"/>
      <c r="FC645"/>
      <c r="FD645"/>
      <c r="FE645"/>
      <c r="FF645"/>
      <c r="FG645"/>
      <c r="FH645"/>
      <c r="FK645"/>
      <c r="FL645"/>
      <c r="FM645"/>
      <c r="FN645"/>
      <c r="FO645"/>
      <c r="FP645"/>
      <c r="FQ645"/>
      <c r="FR645"/>
      <c r="FS645"/>
      <c r="FT645"/>
      <c r="FU645"/>
      <c r="FV645"/>
      <c r="FW645"/>
      <c r="FX645"/>
      <c r="FY645"/>
      <c r="FZ645"/>
      <c r="GA645"/>
      <c r="GB645"/>
      <c r="GC645"/>
      <c r="GD645"/>
    </row>
    <row r="646" spans="1:186" x14ac:dyDescent="0.15">
      <c r="AG646"/>
      <c r="AH646"/>
      <c r="AJ646"/>
      <c r="AK646"/>
      <c r="AL646"/>
      <c r="AM646"/>
      <c r="AO646"/>
      <c r="AP646"/>
      <c r="AQ646"/>
      <c r="AR646"/>
      <c r="AS646"/>
      <c r="AT646"/>
      <c r="AU646"/>
      <c r="AV646"/>
      <c r="AW646"/>
      <c r="AX646"/>
      <c r="AY646"/>
      <c r="AZ646"/>
      <c r="BA646"/>
      <c r="BB646"/>
      <c r="BC646"/>
      <c r="BD646"/>
      <c r="BE646"/>
      <c r="BF646"/>
      <c r="BH646"/>
      <c r="BI646"/>
      <c r="BJ646"/>
      <c r="BK646"/>
      <c r="BL646"/>
      <c r="BM646"/>
      <c r="BN646"/>
      <c r="BP646"/>
      <c r="BQ646"/>
      <c r="BR646"/>
      <c r="BS646"/>
      <c r="BT646"/>
      <c r="BU646"/>
      <c r="BV646"/>
      <c r="BW646"/>
      <c r="BZ646"/>
      <c r="CA646"/>
      <c r="CB646"/>
      <c r="CC646"/>
      <c r="CD646"/>
      <c r="CF646"/>
      <c r="CG646"/>
      <c r="CH646"/>
      <c r="CI646"/>
      <c r="CJ646"/>
      <c r="CK646"/>
      <c r="CL646"/>
      <c r="CM646"/>
      <c r="CN646"/>
      <c r="CO646"/>
      <c r="CP646"/>
      <c r="CQ646"/>
      <c r="CR646"/>
      <c r="CS646"/>
      <c r="CT646"/>
      <c r="CU646"/>
      <c r="CV646"/>
      <c r="CW646"/>
      <c r="CX646"/>
      <c r="CY646"/>
      <c r="CZ646"/>
      <c r="DA646"/>
      <c r="DB646"/>
      <c r="DC646"/>
      <c r="DD646"/>
      <c r="DE646"/>
      <c r="DG646"/>
      <c r="DH646"/>
      <c r="DI646"/>
      <c r="DJ646"/>
      <c r="DK646"/>
      <c r="DL646"/>
      <c r="DM646"/>
      <c r="DN646"/>
      <c r="DO646"/>
      <c r="DP646"/>
      <c r="DQ646"/>
      <c r="DR646"/>
      <c r="DS646"/>
      <c r="DT646"/>
      <c r="DU646"/>
      <c r="DV646"/>
      <c r="DW646"/>
      <c r="DZ646"/>
      <c r="EA646"/>
      <c r="EB646"/>
      <c r="EC646"/>
      <c r="ED646"/>
      <c r="EE646"/>
      <c r="EF646"/>
      <c r="EG646"/>
      <c r="EJ646"/>
      <c r="EK646"/>
      <c r="EL646"/>
      <c r="EM646"/>
      <c r="EN646"/>
      <c r="EO646"/>
      <c r="EP646"/>
      <c r="EQ646"/>
      <c r="ER646"/>
      <c r="ES646"/>
      <c r="ET646"/>
      <c r="EU646"/>
      <c r="EV646"/>
      <c r="EW646"/>
      <c r="EX646"/>
      <c r="EY646"/>
      <c r="EZ646"/>
      <c r="FA646"/>
      <c r="FB646"/>
      <c r="FC646"/>
      <c r="FD646"/>
      <c r="FE646"/>
      <c r="FF646"/>
      <c r="FG646"/>
      <c r="FH646"/>
      <c r="FK646"/>
      <c r="FL646"/>
      <c r="FM646"/>
      <c r="FN646"/>
      <c r="FO646"/>
      <c r="FP646"/>
      <c r="FQ646"/>
      <c r="FR646"/>
      <c r="FS646"/>
      <c r="FT646"/>
      <c r="FU646"/>
      <c r="FV646"/>
      <c r="FW646"/>
      <c r="FX646"/>
      <c r="FY646"/>
      <c r="FZ646"/>
      <c r="GA646"/>
      <c r="GB646"/>
      <c r="GC646"/>
      <c r="GD646"/>
    </row>
    <row r="647" spans="1:186" x14ac:dyDescent="0.15">
      <c r="AG647"/>
      <c r="AH647"/>
      <c r="AJ647"/>
      <c r="AK647"/>
      <c r="AL647"/>
      <c r="AM647"/>
      <c r="AO647"/>
      <c r="AP647"/>
      <c r="AQ647"/>
      <c r="AR647"/>
      <c r="AS647"/>
      <c r="AT647"/>
      <c r="AU647"/>
      <c r="AV647"/>
      <c r="AW647"/>
      <c r="AX647"/>
      <c r="AY647"/>
      <c r="AZ647"/>
      <c r="BA647"/>
      <c r="BB647"/>
      <c r="BC647"/>
      <c r="BD647"/>
      <c r="BE647"/>
      <c r="BF647"/>
      <c r="BH647"/>
      <c r="BI647"/>
      <c r="BJ647"/>
      <c r="BK647"/>
      <c r="BL647"/>
      <c r="BM647"/>
      <c r="BN647"/>
      <c r="BP647"/>
      <c r="BQ647"/>
      <c r="BR647"/>
      <c r="BS647"/>
      <c r="BT647"/>
      <c r="BU647"/>
      <c r="BV647"/>
      <c r="BW647"/>
      <c r="BZ647"/>
      <c r="CA647"/>
      <c r="CB647"/>
      <c r="CC647"/>
      <c r="CD647"/>
      <c r="CF647"/>
      <c r="CG647"/>
      <c r="CH647"/>
      <c r="CI647"/>
      <c r="CJ647"/>
      <c r="CK647"/>
      <c r="CL647"/>
      <c r="CM647"/>
      <c r="CN647"/>
      <c r="CO647"/>
      <c r="CP647"/>
      <c r="CQ647"/>
      <c r="CR647"/>
      <c r="CS647"/>
      <c r="CT647"/>
      <c r="CU647"/>
      <c r="CV647"/>
      <c r="CW647"/>
      <c r="CX647"/>
      <c r="CY647"/>
      <c r="CZ647"/>
      <c r="DA647"/>
      <c r="DB647"/>
      <c r="DC647"/>
      <c r="DD647"/>
      <c r="DE647"/>
      <c r="DG647"/>
      <c r="DH647"/>
      <c r="DI647"/>
      <c r="DJ647"/>
      <c r="DK647"/>
      <c r="DL647"/>
      <c r="DM647"/>
      <c r="DN647"/>
      <c r="DO647"/>
      <c r="DP647"/>
      <c r="DQ647"/>
      <c r="DR647"/>
      <c r="DS647"/>
      <c r="DT647"/>
      <c r="DU647"/>
      <c r="DV647"/>
      <c r="DW647"/>
      <c r="DZ647"/>
      <c r="EA647"/>
      <c r="EB647"/>
      <c r="EC647"/>
      <c r="ED647"/>
      <c r="EE647"/>
      <c r="EF647"/>
      <c r="EG647"/>
      <c r="EJ647"/>
      <c r="EK647"/>
      <c r="EL647"/>
      <c r="EM647"/>
      <c r="EN647"/>
      <c r="EO647"/>
      <c r="EP647"/>
      <c r="EQ647"/>
      <c r="ER647"/>
      <c r="ES647"/>
      <c r="ET647"/>
      <c r="EU647"/>
      <c r="EV647"/>
      <c r="EW647"/>
      <c r="EX647"/>
      <c r="EY647"/>
      <c r="EZ647"/>
      <c r="FA647"/>
      <c r="FB647"/>
      <c r="FC647"/>
      <c r="FD647"/>
      <c r="FE647"/>
      <c r="FF647"/>
      <c r="FG647"/>
      <c r="FH647"/>
      <c r="FK647"/>
      <c r="FL647"/>
      <c r="FM647"/>
      <c r="FN647"/>
      <c r="FO647"/>
      <c r="FP647"/>
      <c r="FQ647"/>
      <c r="FR647"/>
      <c r="FS647"/>
      <c r="FT647"/>
      <c r="FU647"/>
      <c r="FV647"/>
      <c r="FW647"/>
      <c r="FX647"/>
      <c r="FY647"/>
      <c r="FZ647"/>
      <c r="GA647"/>
      <c r="GB647"/>
      <c r="GC647"/>
      <c r="GD647"/>
    </row>
    <row r="648" spans="1:186" x14ac:dyDescent="0.15">
      <c r="AG648"/>
      <c r="AH648"/>
      <c r="AJ648"/>
      <c r="AK648"/>
      <c r="AL648"/>
      <c r="AM648"/>
      <c r="AO648"/>
      <c r="AP648"/>
      <c r="AQ648"/>
      <c r="AR648"/>
      <c r="AS648"/>
      <c r="AT648"/>
      <c r="AU648"/>
      <c r="AV648"/>
      <c r="AW648"/>
      <c r="AX648"/>
      <c r="AY648"/>
      <c r="AZ648"/>
      <c r="BA648"/>
      <c r="BB648"/>
      <c r="BC648"/>
      <c r="BD648"/>
      <c r="BE648"/>
      <c r="BF648"/>
      <c r="BH648"/>
      <c r="BI648"/>
      <c r="BJ648"/>
      <c r="BK648"/>
      <c r="BL648"/>
      <c r="BM648"/>
      <c r="BN648"/>
      <c r="BP648"/>
      <c r="BQ648"/>
      <c r="BR648"/>
      <c r="BS648"/>
      <c r="BT648"/>
      <c r="BU648"/>
      <c r="BV648"/>
      <c r="BW648"/>
      <c r="BZ648"/>
      <c r="CA648"/>
      <c r="CB648"/>
      <c r="CC648"/>
      <c r="CD648"/>
      <c r="CF648"/>
      <c r="CG648"/>
      <c r="CH648"/>
      <c r="CI648"/>
      <c r="CJ648"/>
      <c r="CK648"/>
      <c r="CL648"/>
      <c r="CM648"/>
      <c r="CN648"/>
      <c r="CO648"/>
      <c r="CP648"/>
      <c r="CQ648"/>
      <c r="CR648"/>
      <c r="CS648"/>
      <c r="CT648"/>
      <c r="CU648"/>
      <c r="CV648"/>
      <c r="CW648"/>
      <c r="CX648"/>
      <c r="CY648"/>
      <c r="CZ648"/>
      <c r="DA648"/>
      <c r="DB648"/>
      <c r="DC648"/>
      <c r="DD648"/>
      <c r="DE648"/>
      <c r="DG648"/>
      <c r="DH648"/>
      <c r="DI648"/>
      <c r="DJ648"/>
      <c r="DK648"/>
      <c r="DL648"/>
      <c r="DM648"/>
      <c r="DN648"/>
      <c r="DO648"/>
      <c r="DP648"/>
      <c r="DQ648"/>
      <c r="DR648"/>
      <c r="DS648"/>
      <c r="DT648"/>
      <c r="DU648"/>
      <c r="DV648"/>
      <c r="DW648"/>
      <c r="DZ648"/>
      <c r="EA648"/>
      <c r="EB648"/>
      <c r="EC648"/>
      <c r="ED648"/>
      <c r="EE648"/>
      <c r="EF648"/>
      <c r="EG648"/>
      <c r="EJ648"/>
      <c r="EK648"/>
      <c r="EL648"/>
      <c r="EM648"/>
      <c r="EN648"/>
      <c r="EO648"/>
      <c r="EP648"/>
      <c r="EQ648"/>
      <c r="ER648"/>
      <c r="ES648"/>
      <c r="ET648"/>
      <c r="EU648"/>
      <c r="EV648"/>
      <c r="EW648"/>
      <c r="EX648"/>
      <c r="EY648"/>
      <c r="EZ648"/>
      <c r="FA648"/>
      <c r="FB648"/>
      <c r="FC648"/>
      <c r="FD648"/>
      <c r="FE648"/>
      <c r="FF648"/>
      <c r="FG648"/>
      <c r="FH648"/>
      <c r="FK648"/>
      <c r="FL648"/>
      <c r="FM648"/>
      <c r="FN648"/>
      <c r="FO648"/>
      <c r="FP648"/>
      <c r="FQ648"/>
      <c r="FR648"/>
      <c r="FS648"/>
      <c r="FT648"/>
      <c r="FU648"/>
      <c r="FV648"/>
      <c r="FW648"/>
      <c r="FX648"/>
      <c r="FY648"/>
      <c r="FZ648"/>
      <c r="GA648"/>
      <c r="GB648"/>
      <c r="GC648"/>
      <c r="GD648"/>
    </row>
    <row r="649" spans="1:186" x14ac:dyDescent="0.15">
      <c r="AG649"/>
      <c r="AH649"/>
      <c r="AJ649"/>
      <c r="AK649"/>
      <c r="AL649"/>
      <c r="AM649"/>
      <c r="AO649"/>
      <c r="AP649"/>
      <c r="AQ649"/>
      <c r="AR649"/>
      <c r="AS649"/>
      <c r="AT649"/>
      <c r="AU649"/>
      <c r="AV649"/>
      <c r="AW649"/>
      <c r="AX649"/>
      <c r="AY649"/>
      <c r="AZ649"/>
      <c r="BA649"/>
      <c r="BB649"/>
      <c r="BC649"/>
      <c r="BD649"/>
      <c r="BE649"/>
      <c r="BF649"/>
      <c r="BH649"/>
      <c r="BI649"/>
      <c r="BJ649"/>
      <c r="BK649"/>
      <c r="BL649"/>
      <c r="BM649"/>
      <c r="BN649"/>
      <c r="BP649"/>
      <c r="BQ649"/>
      <c r="BR649"/>
      <c r="BS649"/>
      <c r="BT649"/>
      <c r="BU649"/>
      <c r="BV649"/>
      <c r="BW649"/>
      <c r="BZ649"/>
      <c r="CA649"/>
      <c r="CB649"/>
      <c r="CC649"/>
      <c r="CD649"/>
      <c r="CF649"/>
      <c r="CG649"/>
      <c r="CH649"/>
      <c r="CI649"/>
      <c r="CJ649"/>
      <c r="CK649"/>
      <c r="CL649"/>
      <c r="CM649"/>
      <c r="CN649"/>
      <c r="CO649"/>
      <c r="CP649"/>
      <c r="CQ649"/>
      <c r="CR649"/>
      <c r="CS649"/>
      <c r="CT649"/>
      <c r="CU649"/>
      <c r="CV649"/>
      <c r="CW649"/>
      <c r="CX649"/>
      <c r="CY649"/>
      <c r="CZ649"/>
      <c r="DA649"/>
      <c r="DB649"/>
      <c r="DC649"/>
      <c r="DD649"/>
      <c r="DE649"/>
      <c r="DG649"/>
      <c r="DH649"/>
      <c r="DI649"/>
      <c r="DJ649"/>
      <c r="DK649"/>
      <c r="DL649"/>
      <c r="DM649"/>
      <c r="DN649"/>
      <c r="DO649"/>
      <c r="DP649"/>
      <c r="DQ649"/>
      <c r="DR649"/>
      <c r="DS649"/>
      <c r="DT649"/>
      <c r="DU649"/>
      <c r="DV649"/>
      <c r="DW649"/>
      <c r="DZ649"/>
      <c r="EA649"/>
      <c r="EB649"/>
      <c r="EC649"/>
      <c r="ED649"/>
      <c r="EE649"/>
      <c r="EF649"/>
      <c r="EG649"/>
      <c r="EJ649"/>
      <c r="EK649"/>
      <c r="EL649"/>
      <c r="EM649"/>
      <c r="EN649"/>
      <c r="EO649"/>
      <c r="EP649"/>
      <c r="EQ649"/>
      <c r="ER649"/>
      <c r="ES649"/>
      <c r="ET649"/>
      <c r="EU649"/>
      <c r="EV649"/>
      <c r="EW649"/>
      <c r="EX649"/>
      <c r="EY649"/>
      <c r="EZ649"/>
      <c r="FA649"/>
      <c r="FB649"/>
      <c r="FC649"/>
      <c r="FD649"/>
      <c r="FE649"/>
      <c r="FF649"/>
      <c r="FG649"/>
      <c r="FH649"/>
      <c r="FK649"/>
      <c r="FL649"/>
      <c r="FM649"/>
      <c r="FN649"/>
      <c r="FO649"/>
      <c r="FP649"/>
      <c r="FQ649"/>
      <c r="FR649"/>
      <c r="FS649"/>
      <c r="FT649"/>
      <c r="FU649"/>
      <c r="FV649"/>
      <c r="FW649"/>
      <c r="FX649"/>
      <c r="FY649"/>
      <c r="FZ649"/>
      <c r="GA649"/>
      <c r="GB649"/>
      <c r="GC649"/>
      <c r="GD649"/>
    </row>
    <row r="650" spans="1:186" x14ac:dyDescent="0.15">
      <c r="AG650"/>
      <c r="AH650"/>
      <c r="AJ650"/>
      <c r="AK650"/>
      <c r="AL650"/>
      <c r="AM650"/>
      <c r="AO650"/>
      <c r="AP650"/>
      <c r="AQ650"/>
      <c r="AR650"/>
      <c r="AS650"/>
      <c r="AT650"/>
      <c r="AU650"/>
      <c r="AV650"/>
      <c r="AW650"/>
      <c r="AX650"/>
      <c r="AY650"/>
      <c r="AZ650"/>
      <c r="BA650"/>
      <c r="BB650"/>
      <c r="BC650"/>
      <c r="BD650"/>
      <c r="BE650"/>
      <c r="BF650"/>
      <c r="BH650"/>
      <c r="BI650"/>
      <c r="BJ650"/>
      <c r="BK650"/>
      <c r="BL650"/>
      <c r="BM650"/>
      <c r="BN650"/>
      <c r="BP650"/>
      <c r="BQ650"/>
      <c r="BR650"/>
      <c r="BS650"/>
      <c r="BT650"/>
      <c r="BU650"/>
      <c r="BV650"/>
      <c r="BW650"/>
      <c r="BZ650"/>
      <c r="CA650"/>
      <c r="CB650"/>
      <c r="CC650"/>
      <c r="CD650"/>
      <c r="CF650"/>
      <c r="CG650"/>
      <c r="CH650"/>
      <c r="CI650"/>
      <c r="CJ650"/>
      <c r="CK650"/>
      <c r="CL650"/>
      <c r="CM650"/>
      <c r="CN650"/>
      <c r="CO650"/>
      <c r="CP650"/>
      <c r="CQ650"/>
      <c r="CR650"/>
      <c r="CS650"/>
      <c r="CT650"/>
      <c r="CU650"/>
      <c r="CV650"/>
      <c r="CW650"/>
      <c r="CX650"/>
      <c r="CY650"/>
      <c r="CZ650"/>
      <c r="DA650"/>
      <c r="DB650"/>
      <c r="DC650"/>
      <c r="DD650"/>
      <c r="DE650"/>
      <c r="DG650"/>
      <c r="DH650"/>
      <c r="DI650"/>
      <c r="DJ650"/>
      <c r="DK650"/>
      <c r="DL650"/>
      <c r="DM650"/>
      <c r="DN650"/>
      <c r="DO650"/>
      <c r="DP650"/>
      <c r="DQ650"/>
      <c r="DR650"/>
      <c r="DS650"/>
      <c r="DT650"/>
      <c r="DU650"/>
      <c r="DV650"/>
      <c r="DW650"/>
      <c r="DZ650"/>
      <c r="EA650"/>
      <c r="EB650"/>
      <c r="EC650"/>
      <c r="ED650"/>
      <c r="EE650"/>
      <c r="EF650"/>
      <c r="EG650"/>
      <c r="EJ650"/>
      <c r="EK650"/>
      <c r="EL650"/>
      <c r="EM650"/>
      <c r="EN650"/>
      <c r="EO650"/>
      <c r="EP650"/>
      <c r="EQ650"/>
      <c r="ER650"/>
      <c r="ES650"/>
      <c r="ET650"/>
      <c r="EU650"/>
      <c r="EV650"/>
      <c r="EW650"/>
      <c r="EX650"/>
      <c r="EY650"/>
      <c r="EZ650"/>
      <c r="FA650"/>
      <c r="FB650"/>
      <c r="FC650"/>
      <c r="FD650"/>
      <c r="FE650"/>
      <c r="FF650"/>
      <c r="FG650"/>
      <c r="FH650"/>
      <c r="FK650"/>
      <c r="FL650"/>
      <c r="FM650"/>
      <c r="FN650"/>
      <c r="FO650"/>
      <c r="FP650"/>
      <c r="FQ650"/>
      <c r="FR650"/>
      <c r="FS650"/>
      <c r="FT650"/>
      <c r="FU650"/>
      <c r="FV650"/>
      <c r="FW650"/>
      <c r="FX650"/>
      <c r="FY650"/>
      <c r="FZ650"/>
      <c r="GA650"/>
      <c r="GB650"/>
      <c r="GC650"/>
      <c r="GD650"/>
    </row>
    <row r="651" spans="1:186" x14ac:dyDescent="0.15">
      <c r="AG651"/>
      <c r="AH651"/>
      <c r="AJ651"/>
      <c r="AK651"/>
      <c r="AL651"/>
      <c r="AM651"/>
      <c r="AO651"/>
      <c r="AP651"/>
      <c r="AQ651"/>
      <c r="AR651"/>
      <c r="AS651"/>
      <c r="AT651"/>
      <c r="AU651"/>
      <c r="AV651"/>
      <c r="AW651"/>
      <c r="AX651"/>
      <c r="AY651"/>
      <c r="AZ651"/>
      <c r="BA651"/>
      <c r="BB651"/>
      <c r="BC651"/>
      <c r="BD651"/>
      <c r="BE651"/>
      <c r="BF651"/>
      <c r="BH651"/>
      <c r="BI651"/>
      <c r="BJ651"/>
      <c r="BK651"/>
      <c r="BL651"/>
      <c r="BM651"/>
      <c r="BN651"/>
      <c r="BP651"/>
      <c r="BQ651"/>
      <c r="BR651"/>
      <c r="BS651"/>
      <c r="BT651"/>
      <c r="BU651"/>
      <c r="BV651"/>
      <c r="BW651"/>
      <c r="BZ651"/>
      <c r="CA651"/>
      <c r="CB651"/>
      <c r="CC651"/>
      <c r="CD651"/>
      <c r="CF651"/>
      <c r="CG651"/>
      <c r="CH651"/>
      <c r="CI651"/>
      <c r="CJ651"/>
      <c r="CK651"/>
      <c r="CL651"/>
      <c r="CM651"/>
      <c r="CN651"/>
      <c r="CO651"/>
      <c r="CP651"/>
      <c r="CQ651"/>
      <c r="CR651"/>
      <c r="CS651"/>
      <c r="CT651"/>
      <c r="CU651"/>
      <c r="CV651"/>
      <c r="CW651"/>
      <c r="CX651"/>
      <c r="CY651"/>
      <c r="CZ651"/>
      <c r="DA651"/>
      <c r="DB651"/>
      <c r="DC651"/>
      <c r="DD651"/>
      <c r="DE651"/>
      <c r="DG651"/>
      <c r="DH651"/>
      <c r="DI651"/>
      <c r="DJ651"/>
      <c r="DK651"/>
      <c r="DL651"/>
      <c r="DM651"/>
      <c r="DN651"/>
      <c r="DO651"/>
      <c r="DP651"/>
      <c r="DQ651"/>
      <c r="DR651"/>
      <c r="DS651"/>
      <c r="DT651"/>
      <c r="DU651"/>
      <c r="DV651"/>
      <c r="DW651"/>
      <c r="DZ651"/>
      <c r="EA651"/>
      <c r="EB651"/>
      <c r="EC651"/>
      <c r="ED651"/>
      <c r="EE651"/>
      <c r="EF651"/>
      <c r="EG651"/>
      <c r="EJ651"/>
      <c r="EK651"/>
      <c r="EL651"/>
      <c r="EM651"/>
      <c r="EN651"/>
      <c r="EO651"/>
      <c r="EP651"/>
      <c r="EQ651"/>
      <c r="ER651"/>
      <c r="ES651"/>
      <c r="ET651"/>
      <c r="EU651"/>
      <c r="EV651"/>
      <c r="EW651"/>
      <c r="EX651"/>
      <c r="EY651"/>
      <c r="EZ651"/>
      <c r="FA651"/>
      <c r="FB651"/>
      <c r="FC651"/>
      <c r="FD651"/>
      <c r="FE651"/>
      <c r="FF651"/>
      <c r="FG651"/>
      <c r="FH651"/>
      <c r="FK651"/>
      <c r="FL651"/>
      <c r="FM651"/>
      <c r="FN651"/>
      <c r="FO651"/>
      <c r="FP651"/>
      <c r="FQ651"/>
      <c r="FR651"/>
      <c r="FS651"/>
      <c r="FT651"/>
      <c r="FU651"/>
      <c r="FV651"/>
      <c r="FW651"/>
      <c r="FX651"/>
      <c r="FY651"/>
      <c r="FZ651"/>
      <c r="GA651"/>
      <c r="GB651"/>
      <c r="GC651"/>
      <c r="GD651"/>
    </row>
    <row r="652" spans="1:186" x14ac:dyDescent="0.15">
      <c r="A652" s="30" t="s">
        <v>148</v>
      </c>
      <c r="AG652"/>
      <c r="AH652"/>
      <c r="AJ652"/>
      <c r="AK652"/>
      <c r="AL652"/>
      <c r="AM652"/>
      <c r="AO652"/>
      <c r="AP652"/>
      <c r="AQ652"/>
      <c r="AR652"/>
      <c r="AS652"/>
      <c r="AT652"/>
      <c r="AU652"/>
      <c r="AV652"/>
      <c r="AW652"/>
      <c r="AX652"/>
      <c r="AY652"/>
      <c r="AZ652"/>
      <c r="BA652"/>
      <c r="BB652"/>
      <c r="BC652"/>
      <c r="BD652"/>
      <c r="BE652"/>
      <c r="BF652"/>
      <c r="BH652"/>
      <c r="BI652"/>
      <c r="BJ652"/>
      <c r="BK652"/>
      <c r="BL652"/>
      <c r="BM652"/>
      <c r="BN652"/>
      <c r="BP652"/>
      <c r="BQ652"/>
      <c r="BR652"/>
      <c r="BS652"/>
      <c r="BT652"/>
      <c r="BU652"/>
      <c r="BV652"/>
      <c r="BW652"/>
      <c r="BZ652"/>
      <c r="CA652"/>
      <c r="CB652"/>
      <c r="CC652"/>
      <c r="CD652"/>
      <c r="CF652"/>
      <c r="CG652"/>
      <c r="CH652"/>
      <c r="CI652"/>
      <c r="CJ652"/>
      <c r="CK652"/>
      <c r="CL652"/>
      <c r="CM652"/>
      <c r="CN652"/>
      <c r="CO652"/>
      <c r="CP652"/>
      <c r="CQ652"/>
      <c r="CR652"/>
      <c r="CS652"/>
      <c r="CT652"/>
      <c r="CU652"/>
      <c r="CV652"/>
      <c r="CW652"/>
      <c r="CX652"/>
      <c r="CY652"/>
      <c r="CZ652"/>
      <c r="DA652"/>
      <c r="DB652"/>
      <c r="DC652"/>
      <c r="DD652"/>
      <c r="DE652"/>
      <c r="DG652"/>
      <c r="DH652"/>
      <c r="DI652"/>
      <c r="DJ652"/>
      <c r="DK652"/>
      <c r="DL652"/>
      <c r="DM652"/>
      <c r="DN652"/>
      <c r="DO652"/>
      <c r="DP652"/>
      <c r="DQ652"/>
      <c r="DR652"/>
      <c r="DS652"/>
      <c r="DT652"/>
      <c r="DU652"/>
      <c r="DV652"/>
      <c r="DW652"/>
      <c r="DZ652"/>
      <c r="EA652"/>
      <c r="EB652"/>
      <c r="EC652"/>
      <c r="ED652"/>
      <c r="EE652"/>
      <c r="EF652"/>
      <c r="EG652"/>
      <c r="EJ652"/>
      <c r="EK652"/>
      <c r="EL652"/>
      <c r="EM652"/>
      <c r="EN652"/>
      <c r="EO652"/>
      <c r="EP652"/>
      <c r="EQ652"/>
      <c r="ER652"/>
      <c r="ES652"/>
      <c r="ET652"/>
      <c r="EU652"/>
      <c r="EV652"/>
      <c r="EW652"/>
      <c r="EX652"/>
      <c r="EY652"/>
      <c r="EZ652"/>
      <c r="FA652"/>
      <c r="FB652"/>
      <c r="FC652"/>
      <c r="FD652"/>
      <c r="FE652"/>
      <c r="FF652"/>
      <c r="FG652"/>
      <c r="FH652"/>
      <c r="FK652"/>
      <c r="FL652"/>
      <c r="FM652"/>
      <c r="FN652"/>
      <c r="FO652"/>
      <c r="FP652"/>
      <c r="FQ652"/>
      <c r="FR652"/>
      <c r="FS652"/>
      <c r="FT652"/>
      <c r="FU652"/>
      <c r="FV652"/>
      <c r="FW652"/>
      <c r="FX652"/>
      <c r="FY652"/>
      <c r="FZ652"/>
      <c r="GA652"/>
      <c r="GB652"/>
      <c r="GC652"/>
      <c r="GD652"/>
    </row>
    <row r="653" spans="1:186" x14ac:dyDescent="0.15">
      <c r="A653" s="30" t="s">
        <v>147</v>
      </c>
      <c r="AG653"/>
      <c r="AH653"/>
      <c r="AJ653"/>
      <c r="AK653"/>
      <c r="AL653"/>
      <c r="AM653"/>
      <c r="AO653"/>
      <c r="AP653"/>
      <c r="AQ653"/>
      <c r="AR653"/>
      <c r="AS653"/>
      <c r="AT653"/>
      <c r="AU653"/>
      <c r="AV653"/>
      <c r="AW653"/>
      <c r="AX653"/>
      <c r="AY653"/>
      <c r="AZ653"/>
      <c r="BA653"/>
      <c r="BB653"/>
      <c r="BC653"/>
      <c r="BD653"/>
      <c r="BE653"/>
      <c r="BF653"/>
      <c r="BH653"/>
      <c r="BI653"/>
      <c r="BJ653"/>
      <c r="BK653"/>
      <c r="BL653"/>
      <c r="BM653"/>
      <c r="BN653"/>
      <c r="BP653"/>
      <c r="BQ653"/>
      <c r="BR653"/>
      <c r="BS653"/>
      <c r="BT653"/>
      <c r="BU653"/>
      <c r="BV653"/>
      <c r="BW653"/>
      <c r="BZ653"/>
      <c r="CA653"/>
      <c r="CB653"/>
      <c r="CC653"/>
      <c r="CD653"/>
      <c r="CF653"/>
      <c r="CG653"/>
      <c r="CH653"/>
      <c r="CI653"/>
      <c r="CJ653"/>
      <c r="CK653"/>
      <c r="CL653"/>
      <c r="CM653"/>
      <c r="CN653"/>
      <c r="CO653"/>
      <c r="CP653"/>
      <c r="CQ653"/>
      <c r="CR653"/>
      <c r="CS653"/>
      <c r="CT653"/>
      <c r="CU653"/>
      <c r="CV653"/>
      <c r="CW653"/>
      <c r="CX653"/>
      <c r="CY653"/>
      <c r="CZ653"/>
      <c r="DA653"/>
      <c r="DB653"/>
      <c r="DC653"/>
      <c r="DD653"/>
      <c r="DE653"/>
      <c r="DG653"/>
      <c r="DH653"/>
      <c r="DI653"/>
      <c r="DJ653"/>
      <c r="DK653"/>
      <c r="DL653"/>
      <c r="DM653"/>
      <c r="DN653"/>
      <c r="DO653"/>
      <c r="DP653"/>
      <c r="DQ653"/>
      <c r="DR653"/>
      <c r="DS653"/>
      <c r="DT653"/>
      <c r="DU653"/>
      <c r="DV653"/>
      <c r="DW653"/>
      <c r="DZ653"/>
      <c r="EA653"/>
      <c r="EB653"/>
      <c r="EC653"/>
      <c r="ED653"/>
      <c r="EE653"/>
      <c r="EF653"/>
      <c r="EG653"/>
      <c r="EJ653"/>
      <c r="EK653"/>
      <c r="EL653"/>
      <c r="EM653"/>
      <c r="EN653"/>
      <c r="EO653"/>
      <c r="EP653"/>
      <c r="EQ653"/>
      <c r="ER653"/>
      <c r="ES653"/>
      <c r="ET653"/>
      <c r="EU653"/>
      <c r="EV653"/>
      <c r="EW653"/>
      <c r="EX653"/>
      <c r="EY653"/>
      <c r="EZ653"/>
      <c r="FA653"/>
      <c r="FB653"/>
      <c r="FC653"/>
      <c r="FD653"/>
      <c r="FE653"/>
      <c r="FF653"/>
      <c r="FG653"/>
      <c r="FH653"/>
      <c r="FK653"/>
      <c r="FL653"/>
      <c r="FM653"/>
      <c r="FN653"/>
      <c r="FO653"/>
      <c r="FP653"/>
      <c r="FQ653"/>
      <c r="FR653"/>
      <c r="FS653"/>
      <c r="FT653"/>
      <c r="FU653"/>
      <c r="FV653"/>
      <c r="FW653"/>
      <c r="FX653"/>
      <c r="FY653"/>
      <c r="FZ653"/>
      <c r="GA653"/>
      <c r="GB653"/>
      <c r="GC653"/>
      <c r="GD653"/>
    </row>
    <row r="654" spans="1:186" x14ac:dyDescent="0.15">
      <c r="A654" s="30" t="s">
        <v>146</v>
      </c>
      <c r="AG654"/>
      <c r="AH654"/>
      <c r="AJ654"/>
      <c r="AK654"/>
      <c r="AL654"/>
      <c r="AM654"/>
      <c r="AO654"/>
      <c r="AP654"/>
      <c r="AQ654"/>
      <c r="AR654"/>
      <c r="AS654"/>
      <c r="AT654"/>
      <c r="AU654"/>
      <c r="AV654"/>
      <c r="AW654"/>
      <c r="AX654"/>
      <c r="AY654"/>
      <c r="AZ654"/>
      <c r="BA654"/>
      <c r="BB654"/>
      <c r="BC654"/>
      <c r="BD654"/>
      <c r="BE654"/>
      <c r="BF654"/>
      <c r="BH654"/>
      <c r="BI654"/>
      <c r="BJ654"/>
      <c r="BK654"/>
      <c r="BL654"/>
      <c r="BM654"/>
      <c r="BN654"/>
      <c r="BP654"/>
      <c r="BQ654"/>
      <c r="BR654"/>
      <c r="BS654"/>
      <c r="BT654"/>
      <c r="BU654"/>
      <c r="BV654"/>
      <c r="BW654"/>
      <c r="BZ654"/>
      <c r="CA654"/>
      <c r="CB654"/>
      <c r="CC654"/>
      <c r="CD654"/>
      <c r="CF654"/>
      <c r="CG654"/>
      <c r="CH654"/>
      <c r="CI654"/>
      <c r="CJ654"/>
      <c r="CK654"/>
      <c r="CL654"/>
      <c r="CM654"/>
      <c r="CN654"/>
      <c r="CO654"/>
      <c r="CP654"/>
      <c r="CQ654"/>
      <c r="CR654"/>
      <c r="CS654"/>
      <c r="CT654"/>
      <c r="CU654"/>
      <c r="CV654"/>
      <c r="CW654"/>
      <c r="CX654"/>
      <c r="CY654"/>
      <c r="CZ654"/>
      <c r="DA654"/>
      <c r="DB654"/>
      <c r="DC654"/>
      <c r="DD654"/>
      <c r="DE654"/>
      <c r="DG654"/>
      <c r="DH654"/>
      <c r="DI654"/>
      <c r="DJ654"/>
      <c r="DK654"/>
      <c r="DL654"/>
      <c r="DM654"/>
      <c r="DN654"/>
      <c r="DO654"/>
      <c r="DP654"/>
      <c r="DQ654"/>
      <c r="DR654"/>
      <c r="DS654"/>
      <c r="DT654"/>
      <c r="DU654"/>
      <c r="DV654"/>
      <c r="DW654"/>
      <c r="DZ654"/>
      <c r="EA654"/>
      <c r="EB654"/>
      <c r="EC654"/>
      <c r="ED654"/>
      <c r="EE654"/>
      <c r="EF654"/>
      <c r="EG654"/>
      <c r="EJ654"/>
      <c r="EK654"/>
      <c r="EL654"/>
      <c r="EM654"/>
      <c r="EN654"/>
      <c r="EO654"/>
      <c r="EP654"/>
      <c r="EQ654"/>
      <c r="ER654"/>
      <c r="ES654"/>
      <c r="ET654"/>
      <c r="EU654"/>
      <c r="EV654"/>
      <c r="EW654"/>
      <c r="EX654"/>
      <c r="EY654"/>
      <c r="EZ654"/>
      <c r="FA654"/>
      <c r="FB654"/>
      <c r="FC654"/>
      <c r="FD654"/>
      <c r="FE654"/>
      <c r="FF654"/>
      <c r="FG654"/>
      <c r="FH654"/>
      <c r="FK654"/>
      <c r="FL654"/>
      <c r="FM654"/>
      <c r="FN654"/>
      <c r="FO654"/>
      <c r="FP654"/>
      <c r="FQ654"/>
      <c r="FR654"/>
      <c r="FS654"/>
      <c r="FT654"/>
      <c r="FU654"/>
      <c r="FV654"/>
      <c r="FW654"/>
      <c r="FX654"/>
      <c r="FY654"/>
      <c r="FZ654"/>
      <c r="GA654"/>
      <c r="GB654"/>
      <c r="GC654"/>
      <c r="GD654"/>
    </row>
    <row r="655" spans="1:186" x14ac:dyDescent="0.15">
      <c r="A655" s="30" t="s">
        <v>145</v>
      </c>
      <c r="AG655"/>
      <c r="AH655"/>
      <c r="AJ655"/>
      <c r="AK655"/>
      <c r="AL655"/>
      <c r="AM655"/>
      <c r="AO655"/>
      <c r="AP655"/>
      <c r="AQ655"/>
      <c r="AR655"/>
      <c r="AS655"/>
      <c r="AT655"/>
      <c r="AU655"/>
      <c r="AV655"/>
      <c r="AW655"/>
      <c r="AX655"/>
      <c r="AY655"/>
      <c r="AZ655"/>
      <c r="BA655"/>
      <c r="BB655"/>
      <c r="BC655"/>
      <c r="BD655"/>
      <c r="BE655"/>
      <c r="BF655"/>
      <c r="BH655"/>
      <c r="BI655"/>
      <c r="BJ655"/>
      <c r="BK655"/>
      <c r="BL655"/>
      <c r="BM655"/>
      <c r="BN655"/>
      <c r="BP655"/>
      <c r="BQ655"/>
      <c r="BR655"/>
      <c r="BS655"/>
      <c r="BT655"/>
      <c r="BU655"/>
      <c r="BV655"/>
      <c r="BW655"/>
      <c r="BZ655"/>
      <c r="CA655"/>
      <c r="CB655"/>
      <c r="CC655"/>
      <c r="CD655"/>
      <c r="CF655"/>
      <c r="CG655"/>
      <c r="CH655"/>
      <c r="CI655"/>
      <c r="CJ655"/>
      <c r="CK655"/>
      <c r="CL655"/>
      <c r="CM655"/>
      <c r="CN655"/>
      <c r="CO655"/>
      <c r="CP655"/>
      <c r="CQ655"/>
      <c r="CR655"/>
      <c r="CS655"/>
      <c r="CT655"/>
      <c r="CU655"/>
      <c r="CV655"/>
      <c r="CW655"/>
      <c r="CX655"/>
      <c r="CY655"/>
      <c r="CZ655"/>
      <c r="DA655"/>
      <c r="DB655"/>
      <c r="DC655"/>
      <c r="DD655"/>
      <c r="DE655"/>
      <c r="DG655"/>
      <c r="DH655"/>
      <c r="DI655"/>
      <c r="DJ655"/>
      <c r="DK655"/>
      <c r="DL655"/>
      <c r="DM655"/>
      <c r="DN655"/>
      <c r="DO655"/>
      <c r="DP655"/>
      <c r="DQ655"/>
      <c r="DR655"/>
      <c r="DS655"/>
      <c r="DT655"/>
      <c r="DU655"/>
      <c r="DV655"/>
      <c r="DW655"/>
      <c r="DZ655"/>
      <c r="EA655"/>
      <c r="EB655"/>
      <c r="EC655"/>
      <c r="ED655"/>
      <c r="EE655"/>
      <c r="EF655"/>
      <c r="EG655"/>
      <c r="EJ655"/>
      <c r="EK655"/>
      <c r="EL655"/>
      <c r="EM655"/>
      <c r="EN655"/>
      <c r="EO655"/>
      <c r="EP655"/>
      <c r="EQ655"/>
      <c r="ER655"/>
      <c r="ES655"/>
      <c r="ET655"/>
      <c r="EU655"/>
      <c r="EV655"/>
      <c r="EW655"/>
      <c r="EX655"/>
      <c r="EY655"/>
      <c r="EZ655"/>
      <c r="FA655"/>
      <c r="FB655"/>
      <c r="FC655"/>
      <c r="FD655"/>
      <c r="FE655"/>
      <c r="FF655"/>
      <c r="FG655"/>
      <c r="FH655"/>
      <c r="FK655"/>
      <c r="FL655"/>
      <c r="FM655"/>
      <c r="FN655"/>
      <c r="FO655"/>
      <c r="FP655"/>
      <c r="FQ655"/>
      <c r="FR655"/>
      <c r="FS655"/>
      <c r="FT655"/>
      <c r="FU655"/>
      <c r="FV655"/>
      <c r="FW655"/>
      <c r="FX655"/>
      <c r="FY655"/>
      <c r="FZ655"/>
      <c r="GA655"/>
      <c r="GB655"/>
      <c r="GC655"/>
      <c r="GD655"/>
    </row>
    <row r="656" spans="1:186" x14ac:dyDescent="0.15">
      <c r="A656" s="30" t="s">
        <v>144</v>
      </c>
      <c r="AG656"/>
      <c r="AH656"/>
      <c r="AJ656"/>
      <c r="AK656"/>
      <c r="AL656"/>
      <c r="AM656"/>
      <c r="AO656"/>
      <c r="AP656"/>
      <c r="AQ656"/>
      <c r="AR656"/>
      <c r="AS656"/>
      <c r="AT656"/>
      <c r="AU656"/>
      <c r="AV656"/>
      <c r="AW656"/>
      <c r="AX656"/>
      <c r="AY656"/>
      <c r="AZ656"/>
      <c r="BA656"/>
      <c r="BB656"/>
      <c r="BC656"/>
      <c r="BD656"/>
      <c r="BE656"/>
      <c r="BF656"/>
      <c r="BH656"/>
      <c r="BI656"/>
      <c r="BJ656"/>
      <c r="BK656"/>
      <c r="BL656"/>
      <c r="BM656"/>
      <c r="BN656"/>
      <c r="BP656"/>
      <c r="BQ656"/>
      <c r="BR656"/>
      <c r="BS656"/>
      <c r="BT656"/>
      <c r="BU656"/>
      <c r="BV656"/>
      <c r="BW656"/>
      <c r="BZ656"/>
      <c r="CA656"/>
      <c r="CB656"/>
      <c r="CC656"/>
      <c r="CD656"/>
      <c r="CF656"/>
      <c r="CG656"/>
      <c r="CH656"/>
      <c r="CI656"/>
      <c r="CJ656"/>
      <c r="CK656"/>
      <c r="CL656"/>
      <c r="CM656"/>
      <c r="CN656"/>
      <c r="CO656"/>
      <c r="CP656"/>
      <c r="CQ656"/>
      <c r="CR656"/>
      <c r="CS656"/>
      <c r="CT656"/>
      <c r="CU656"/>
      <c r="CV656"/>
      <c r="CW656"/>
      <c r="CX656"/>
      <c r="CY656"/>
      <c r="CZ656"/>
      <c r="DA656"/>
      <c r="DB656"/>
      <c r="DC656"/>
      <c r="DD656"/>
      <c r="DE656"/>
      <c r="DG656"/>
      <c r="DH656"/>
      <c r="DI656"/>
      <c r="DJ656"/>
      <c r="DK656"/>
      <c r="DL656"/>
      <c r="DM656"/>
      <c r="DN656"/>
      <c r="DO656"/>
      <c r="DP656"/>
      <c r="DQ656"/>
      <c r="DR656"/>
      <c r="DS656"/>
      <c r="DT656"/>
      <c r="DU656"/>
      <c r="DV656"/>
      <c r="DW656"/>
      <c r="DZ656"/>
      <c r="EA656"/>
      <c r="EB656"/>
      <c r="EC656"/>
      <c r="ED656"/>
      <c r="EE656"/>
      <c r="EF656"/>
      <c r="EG656"/>
      <c r="EJ656"/>
      <c r="EK656"/>
      <c r="EL656"/>
      <c r="EM656"/>
      <c r="EN656"/>
      <c r="EO656"/>
      <c r="EP656"/>
      <c r="EQ656"/>
      <c r="ER656"/>
      <c r="ES656"/>
      <c r="ET656"/>
      <c r="EU656"/>
      <c r="EV656"/>
      <c r="EW656"/>
      <c r="EX656"/>
      <c r="EY656"/>
      <c r="EZ656"/>
      <c r="FA656"/>
      <c r="FB656"/>
      <c r="FC656"/>
      <c r="FD656"/>
      <c r="FE656"/>
      <c r="FF656"/>
      <c r="FG656"/>
      <c r="FH656"/>
      <c r="FK656"/>
      <c r="FL656"/>
      <c r="FM656"/>
      <c r="FN656"/>
      <c r="FO656"/>
      <c r="FP656"/>
      <c r="FQ656"/>
      <c r="FR656"/>
      <c r="FS656"/>
      <c r="FT656"/>
      <c r="FU656"/>
      <c r="FV656"/>
      <c r="FW656"/>
      <c r="FX656"/>
      <c r="FY656"/>
      <c r="FZ656"/>
      <c r="GA656"/>
      <c r="GB656"/>
      <c r="GC656"/>
      <c r="GD656"/>
    </row>
    <row r="657" spans="1:186" x14ac:dyDescent="0.15">
      <c r="A657" s="30" t="s">
        <v>143</v>
      </c>
      <c r="AG657"/>
      <c r="AH657"/>
      <c r="AJ657"/>
      <c r="AK657"/>
      <c r="AL657"/>
      <c r="AM657"/>
      <c r="AO657"/>
      <c r="AP657"/>
      <c r="AQ657"/>
      <c r="AR657"/>
      <c r="AS657"/>
      <c r="AT657"/>
      <c r="AU657"/>
      <c r="AV657"/>
      <c r="AW657"/>
      <c r="AX657"/>
      <c r="AY657"/>
      <c r="AZ657"/>
      <c r="BA657"/>
      <c r="BB657"/>
      <c r="BC657"/>
      <c r="BD657"/>
      <c r="BE657"/>
      <c r="BF657"/>
      <c r="BH657"/>
      <c r="BI657"/>
      <c r="BJ657"/>
      <c r="BK657"/>
      <c r="BL657"/>
      <c r="BM657"/>
      <c r="BN657"/>
      <c r="BP657"/>
      <c r="BQ657"/>
      <c r="BR657"/>
      <c r="BS657"/>
      <c r="BT657"/>
      <c r="BU657"/>
      <c r="BV657"/>
      <c r="BW657"/>
      <c r="BZ657"/>
      <c r="CA657"/>
      <c r="CB657"/>
      <c r="CC657"/>
      <c r="CD657"/>
      <c r="CF657"/>
      <c r="CG657"/>
      <c r="CH657"/>
      <c r="CI657"/>
      <c r="CJ657"/>
      <c r="CK657"/>
      <c r="CL657"/>
      <c r="CM657"/>
      <c r="CN657"/>
      <c r="CO657"/>
      <c r="CP657"/>
      <c r="CQ657"/>
      <c r="CR657"/>
      <c r="CS657"/>
      <c r="CT657"/>
      <c r="CU657"/>
      <c r="CV657"/>
      <c r="CW657"/>
      <c r="CX657"/>
      <c r="CY657"/>
      <c r="CZ657"/>
      <c r="DA657"/>
      <c r="DB657"/>
      <c r="DC657"/>
      <c r="DD657"/>
      <c r="DE657"/>
      <c r="DG657"/>
      <c r="DH657"/>
      <c r="DI657"/>
      <c r="DJ657"/>
      <c r="DK657"/>
      <c r="DL657"/>
      <c r="DM657"/>
      <c r="DN657"/>
      <c r="DO657"/>
      <c r="DP657"/>
      <c r="DQ657"/>
      <c r="DR657"/>
      <c r="DS657"/>
      <c r="DT657"/>
      <c r="DU657"/>
      <c r="DV657"/>
      <c r="DW657"/>
      <c r="DZ657"/>
      <c r="EA657"/>
      <c r="EB657"/>
      <c r="EC657"/>
      <c r="ED657"/>
      <c r="EE657"/>
      <c r="EF657"/>
      <c r="EG657"/>
      <c r="EJ657"/>
      <c r="EK657"/>
      <c r="EL657"/>
      <c r="EM657"/>
      <c r="EN657"/>
      <c r="EO657"/>
      <c r="EP657"/>
      <c r="EQ657"/>
      <c r="ER657"/>
      <c r="ES657"/>
      <c r="ET657"/>
      <c r="EU657"/>
      <c r="EV657"/>
      <c r="EW657"/>
      <c r="EX657"/>
      <c r="EY657"/>
      <c r="EZ657"/>
      <c r="FA657"/>
      <c r="FB657"/>
      <c r="FC657"/>
      <c r="FD657"/>
      <c r="FE657"/>
      <c r="FF657"/>
      <c r="FG657"/>
      <c r="FH657"/>
      <c r="FK657"/>
      <c r="FL657"/>
      <c r="FM657"/>
      <c r="FN657"/>
      <c r="FO657"/>
      <c r="FP657"/>
      <c r="FQ657"/>
      <c r="FR657"/>
      <c r="FS657"/>
      <c r="FT657"/>
      <c r="FU657"/>
      <c r="FV657"/>
      <c r="FW657"/>
      <c r="FX657"/>
      <c r="FY657"/>
      <c r="FZ657"/>
      <c r="GA657"/>
      <c r="GB657"/>
      <c r="GC657"/>
      <c r="GD657"/>
    </row>
    <row r="658" spans="1:186" x14ac:dyDescent="0.15">
      <c r="A658" s="30" t="s">
        <v>142</v>
      </c>
      <c r="AG658"/>
      <c r="AH658"/>
      <c r="AJ658"/>
      <c r="AK658"/>
      <c r="AL658"/>
      <c r="AM658"/>
      <c r="AO658"/>
      <c r="AP658"/>
      <c r="AQ658"/>
      <c r="AR658"/>
      <c r="AS658"/>
      <c r="AT658"/>
      <c r="AU658"/>
      <c r="AV658"/>
      <c r="AW658"/>
      <c r="AX658"/>
      <c r="AY658"/>
      <c r="AZ658"/>
      <c r="BA658"/>
      <c r="BB658"/>
      <c r="BC658"/>
      <c r="BD658"/>
      <c r="BE658"/>
      <c r="BF658"/>
      <c r="BH658"/>
      <c r="BI658"/>
      <c r="BJ658"/>
      <c r="BK658"/>
      <c r="BL658"/>
      <c r="BM658"/>
      <c r="BN658"/>
      <c r="BP658"/>
      <c r="BQ658"/>
      <c r="BR658"/>
      <c r="BS658"/>
      <c r="BT658"/>
      <c r="BU658"/>
      <c r="BV658"/>
      <c r="BW658"/>
      <c r="BZ658"/>
      <c r="CA658"/>
      <c r="CB658"/>
      <c r="CC658"/>
      <c r="CD658"/>
      <c r="CF658"/>
      <c r="CG658"/>
      <c r="CH658"/>
      <c r="CI658"/>
      <c r="CJ658"/>
      <c r="CK658"/>
      <c r="CL658"/>
      <c r="CM658"/>
      <c r="CN658"/>
      <c r="CO658"/>
      <c r="CP658"/>
      <c r="CQ658"/>
      <c r="CR658"/>
      <c r="CS658"/>
      <c r="CT658"/>
      <c r="CU658"/>
      <c r="CV658"/>
      <c r="CW658"/>
      <c r="CX658"/>
      <c r="CY658"/>
      <c r="CZ658"/>
      <c r="DA658"/>
      <c r="DB658"/>
      <c r="DC658"/>
      <c r="DD658"/>
      <c r="DE658"/>
      <c r="DG658"/>
      <c r="DH658"/>
      <c r="DI658"/>
      <c r="DJ658"/>
      <c r="DK658"/>
      <c r="DL658"/>
      <c r="DM658"/>
      <c r="DN658"/>
      <c r="DO658"/>
      <c r="DP658"/>
      <c r="DQ658"/>
      <c r="DR658"/>
      <c r="DS658"/>
      <c r="DT658"/>
      <c r="DU658"/>
      <c r="DV658"/>
      <c r="DW658"/>
      <c r="DZ658"/>
      <c r="EA658"/>
      <c r="EB658"/>
      <c r="EC658"/>
      <c r="ED658"/>
      <c r="EE658"/>
      <c r="EF658"/>
      <c r="EG658"/>
      <c r="EJ658"/>
      <c r="EK658"/>
      <c r="EL658"/>
      <c r="EM658"/>
      <c r="EN658"/>
      <c r="EO658"/>
      <c r="EP658"/>
      <c r="EQ658"/>
      <c r="ER658"/>
      <c r="ES658"/>
      <c r="ET658"/>
      <c r="EU658"/>
      <c r="EV658"/>
      <c r="EW658"/>
      <c r="EX658"/>
      <c r="EY658"/>
      <c r="EZ658"/>
      <c r="FA658"/>
      <c r="FB658"/>
      <c r="FC658"/>
      <c r="FD658"/>
      <c r="FE658"/>
      <c r="FF658"/>
      <c r="FG658"/>
      <c r="FH658"/>
      <c r="FK658"/>
      <c r="FL658"/>
      <c r="FM658"/>
      <c r="FN658"/>
      <c r="FO658"/>
      <c r="FP658"/>
      <c r="FQ658"/>
      <c r="FR658"/>
      <c r="FS658"/>
      <c r="FT658"/>
      <c r="FU658"/>
      <c r="FV658"/>
      <c r="FW658"/>
      <c r="FX658"/>
      <c r="FY658"/>
      <c r="FZ658"/>
      <c r="GA658"/>
      <c r="GB658"/>
      <c r="GC658"/>
      <c r="GD658"/>
    </row>
    <row r="659" spans="1:186" x14ac:dyDescent="0.15">
      <c r="A659" s="30" t="s">
        <v>141</v>
      </c>
      <c r="AG659"/>
      <c r="AH659"/>
      <c r="AJ659"/>
      <c r="AK659"/>
      <c r="AL659"/>
      <c r="AM659"/>
      <c r="AO659"/>
      <c r="AP659"/>
      <c r="AQ659"/>
      <c r="AR659"/>
      <c r="AS659"/>
      <c r="AT659"/>
      <c r="AU659"/>
      <c r="AV659"/>
      <c r="AW659"/>
      <c r="AX659"/>
      <c r="AY659"/>
      <c r="AZ659"/>
      <c r="BA659"/>
      <c r="BB659"/>
      <c r="BC659"/>
      <c r="BD659"/>
      <c r="BE659"/>
      <c r="BF659"/>
      <c r="BH659"/>
      <c r="BI659"/>
      <c r="BJ659"/>
      <c r="BK659"/>
      <c r="BL659"/>
      <c r="BM659"/>
      <c r="BN659"/>
      <c r="BP659"/>
      <c r="BQ659"/>
      <c r="BR659"/>
      <c r="BS659"/>
      <c r="BT659"/>
      <c r="BU659"/>
      <c r="BV659"/>
      <c r="BW659"/>
      <c r="BZ659"/>
      <c r="CA659"/>
      <c r="CB659"/>
      <c r="CC659"/>
      <c r="CD659"/>
      <c r="CF659"/>
      <c r="CG659"/>
      <c r="CH659"/>
      <c r="CI659"/>
      <c r="CJ659"/>
      <c r="CK659"/>
      <c r="CL659"/>
      <c r="CM659"/>
      <c r="CN659"/>
      <c r="CO659"/>
      <c r="CP659"/>
      <c r="CQ659"/>
      <c r="CR659"/>
      <c r="CS659"/>
      <c r="CT659"/>
      <c r="CU659"/>
      <c r="CV659"/>
      <c r="CW659"/>
      <c r="CX659"/>
      <c r="CY659"/>
      <c r="CZ659"/>
      <c r="DA659"/>
      <c r="DB659"/>
      <c r="DC659"/>
      <c r="DD659"/>
      <c r="DE659"/>
      <c r="DG659"/>
      <c r="DH659"/>
      <c r="DI659"/>
      <c r="DJ659"/>
      <c r="DK659"/>
      <c r="DL659"/>
      <c r="DM659"/>
      <c r="DN659"/>
      <c r="DO659"/>
      <c r="DP659"/>
      <c r="DQ659"/>
      <c r="DR659"/>
      <c r="DS659"/>
      <c r="DT659"/>
      <c r="DU659"/>
      <c r="DV659"/>
      <c r="DW659"/>
      <c r="DZ659"/>
      <c r="EA659"/>
      <c r="EB659"/>
      <c r="EC659"/>
      <c r="ED659"/>
      <c r="EE659"/>
      <c r="EF659"/>
      <c r="EG659"/>
      <c r="EJ659"/>
      <c r="EK659"/>
      <c r="EL659"/>
      <c r="EM659"/>
      <c r="EN659"/>
      <c r="EO659"/>
      <c r="EP659"/>
      <c r="EQ659"/>
      <c r="ER659"/>
      <c r="ES659"/>
      <c r="ET659"/>
      <c r="EU659"/>
      <c r="EV659"/>
      <c r="EW659"/>
      <c r="EX659"/>
      <c r="EY659"/>
      <c r="EZ659"/>
      <c r="FA659"/>
      <c r="FB659"/>
      <c r="FC659"/>
      <c r="FD659"/>
      <c r="FE659"/>
      <c r="FF659"/>
      <c r="FG659"/>
      <c r="FH659"/>
      <c r="FK659"/>
      <c r="FL659"/>
      <c r="FM659"/>
      <c r="FN659"/>
      <c r="FO659"/>
      <c r="FP659"/>
      <c r="FQ659"/>
      <c r="FR659"/>
      <c r="FS659"/>
      <c r="FT659"/>
      <c r="FU659"/>
      <c r="FV659"/>
      <c r="FW659"/>
      <c r="FX659"/>
      <c r="FY659"/>
      <c r="FZ659"/>
      <c r="GA659"/>
      <c r="GB659"/>
      <c r="GC659"/>
      <c r="GD659"/>
    </row>
    <row r="660" spans="1:186" x14ac:dyDescent="0.15">
      <c r="A660" s="30" t="s">
        <v>140</v>
      </c>
      <c r="AG660"/>
      <c r="AH660"/>
      <c r="AJ660"/>
      <c r="AK660"/>
      <c r="AL660"/>
      <c r="AM660"/>
      <c r="AO660"/>
      <c r="AP660"/>
      <c r="AQ660"/>
      <c r="AR660"/>
      <c r="AS660"/>
      <c r="AT660"/>
      <c r="AU660"/>
      <c r="AV660"/>
      <c r="AW660"/>
      <c r="AX660"/>
      <c r="AY660"/>
      <c r="AZ660"/>
      <c r="BA660"/>
      <c r="BB660"/>
      <c r="BC660"/>
      <c r="BD660"/>
      <c r="BE660"/>
      <c r="BF660"/>
      <c r="BH660"/>
      <c r="BI660"/>
      <c r="BJ660"/>
      <c r="BK660"/>
      <c r="BL660"/>
      <c r="BM660"/>
      <c r="BN660"/>
      <c r="BP660"/>
      <c r="BQ660"/>
      <c r="BR660"/>
      <c r="BS660"/>
      <c r="BT660"/>
      <c r="BU660"/>
      <c r="BV660"/>
      <c r="BW660"/>
      <c r="BZ660"/>
      <c r="CA660"/>
      <c r="CB660"/>
      <c r="CC660"/>
      <c r="CD660"/>
      <c r="CF660"/>
      <c r="CG660"/>
      <c r="CH660"/>
      <c r="CI660"/>
      <c r="CJ660"/>
      <c r="CK660"/>
      <c r="CL660"/>
      <c r="CM660"/>
      <c r="CN660"/>
      <c r="CO660"/>
      <c r="CP660"/>
      <c r="CQ660"/>
      <c r="CR660"/>
      <c r="CS660"/>
      <c r="CT660"/>
      <c r="CU660"/>
      <c r="CV660"/>
      <c r="CW660"/>
      <c r="CX660"/>
      <c r="CY660"/>
      <c r="CZ660"/>
      <c r="DA660"/>
      <c r="DB660"/>
      <c r="DC660"/>
      <c r="DD660"/>
      <c r="DE660"/>
      <c r="DG660"/>
      <c r="DH660"/>
      <c r="DI660"/>
      <c r="DJ660"/>
      <c r="DK660"/>
      <c r="DL660"/>
      <c r="DM660"/>
      <c r="DN660"/>
      <c r="DO660"/>
      <c r="DP660"/>
      <c r="DQ660"/>
      <c r="DR660"/>
      <c r="DS660"/>
      <c r="DT660"/>
      <c r="DU660"/>
      <c r="DV660"/>
      <c r="DW660"/>
      <c r="DZ660"/>
      <c r="EA660"/>
      <c r="EB660"/>
      <c r="EC660"/>
      <c r="ED660"/>
      <c r="EE660"/>
      <c r="EF660"/>
      <c r="EG660"/>
      <c r="EJ660"/>
      <c r="EK660"/>
      <c r="EL660"/>
      <c r="EM660"/>
      <c r="EN660"/>
      <c r="EO660"/>
      <c r="EP660"/>
      <c r="EQ660"/>
      <c r="ER660"/>
      <c r="ES660"/>
      <c r="ET660"/>
      <c r="EU660"/>
      <c r="EV660"/>
      <c r="EW660"/>
      <c r="EX660"/>
      <c r="EY660"/>
      <c r="EZ660"/>
      <c r="FA660"/>
      <c r="FB660"/>
      <c r="FC660"/>
      <c r="FD660"/>
      <c r="FE660"/>
      <c r="FF660"/>
      <c r="FG660"/>
      <c r="FH660"/>
      <c r="FK660"/>
      <c r="FL660"/>
      <c r="FM660"/>
      <c r="FN660"/>
      <c r="FO660"/>
      <c r="FP660"/>
      <c r="FQ660"/>
      <c r="FR660"/>
      <c r="FS660"/>
      <c r="FT660"/>
      <c r="FU660"/>
      <c r="FV660"/>
      <c r="FW660"/>
      <c r="FX660"/>
      <c r="FY660"/>
      <c r="FZ660"/>
      <c r="GA660"/>
      <c r="GB660"/>
      <c r="GC660"/>
      <c r="GD660"/>
    </row>
    <row r="661" spans="1:186" x14ac:dyDescent="0.15">
      <c r="A661" s="30" t="s">
        <v>139</v>
      </c>
      <c r="AG661"/>
      <c r="AH661"/>
      <c r="AJ661"/>
      <c r="AK661"/>
      <c r="AL661"/>
      <c r="AM661"/>
      <c r="AO661"/>
      <c r="AP661"/>
      <c r="AQ661"/>
      <c r="AR661"/>
      <c r="AS661"/>
      <c r="AT661"/>
      <c r="AU661"/>
      <c r="AV661"/>
      <c r="AW661"/>
      <c r="AX661"/>
      <c r="AY661"/>
      <c r="AZ661"/>
      <c r="BA661"/>
      <c r="BB661"/>
      <c r="BC661"/>
      <c r="BD661"/>
      <c r="BE661"/>
      <c r="BF661"/>
      <c r="BH661"/>
      <c r="BI661"/>
      <c r="BJ661"/>
      <c r="BK661"/>
      <c r="BL661"/>
      <c r="BM661"/>
      <c r="BN661"/>
      <c r="BP661"/>
      <c r="BQ661"/>
      <c r="BR661"/>
      <c r="BS661"/>
      <c r="BT661"/>
      <c r="BU661"/>
      <c r="BV661"/>
      <c r="BW661"/>
      <c r="BZ661"/>
      <c r="CA661"/>
      <c r="CB661"/>
      <c r="CC661"/>
      <c r="CD661"/>
      <c r="CF661"/>
      <c r="CG661"/>
      <c r="CH661"/>
      <c r="CI661"/>
      <c r="CJ661"/>
      <c r="CK661"/>
      <c r="CL661"/>
      <c r="CM661"/>
      <c r="CN661"/>
      <c r="CO661"/>
      <c r="CP661"/>
      <c r="CQ661"/>
      <c r="CR661"/>
      <c r="CS661"/>
      <c r="CT661"/>
      <c r="CU661"/>
      <c r="CV661"/>
      <c r="CW661"/>
      <c r="CX661"/>
      <c r="CY661"/>
      <c r="CZ661"/>
      <c r="DA661"/>
      <c r="DB661"/>
      <c r="DC661"/>
      <c r="DD661"/>
      <c r="DE661"/>
      <c r="DG661"/>
      <c r="DH661"/>
      <c r="DI661"/>
      <c r="DJ661"/>
      <c r="DK661"/>
      <c r="DL661"/>
      <c r="DM661"/>
      <c r="DN661"/>
      <c r="DO661"/>
      <c r="DP661"/>
      <c r="DQ661"/>
      <c r="DR661"/>
      <c r="DS661"/>
      <c r="DT661"/>
      <c r="DU661"/>
      <c r="DV661"/>
      <c r="DW661"/>
      <c r="DZ661"/>
      <c r="EA661"/>
      <c r="EB661"/>
      <c r="EC661"/>
      <c r="ED661"/>
      <c r="EE661"/>
      <c r="EF661"/>
      <c r="EG661"/>
      <c r="EJ661"/>
      <c r="EK661"/>
      <c r="EL661"/>
      <c r="EM661"/>
      <c r="EN661"/>
      <c r="EO661"/>
      <c r="EP661"/>
      <c r="EQ661"/>
      <c r="ER661"/>
      <c r="ES661"/>
      <c r="ET661"/>
      <c r="EU661"/>
      <c r="EV661"/>
      <c r="EW661"/>
      <c r="EX661"/>
      <c r="EY661"/>
      <c r="EZ661"/>
      <c r="FA661"/>
      <c r="FB661"/>
      <c r="FC661"/>
      <c r="FD661"/>
      <c r="FE661"/>
      <c r="FF661"/>
      <c r="FG661"/>
      <c r="FH661"/>
      <c r="FK661"/>
      <c r="FL661"/>
      <c r="FM661"/>
      <c r="FN661"/>
      <c r="FO661"/>
      <c r="FP661"/>
      <c r="FQ661"/>
      <c r="FR661"/>
      <c r="FS661"/>
      <c r="FT661"/>
      <c r="FU661"/>
      <c r="FV661"/>
      <c r="FW661"/>
      <c r="FX661"/>
      <c r="FY661"/>
      <c r="FZ661"/>
      <c r="GA661"/>
      <c r="GB661"/>
      <c r="GC661"/>
      <c r="GD661"/>
    </row>
    <row r="662" spans="1:186" x14ac:dyDescent="0.15">
      <c r="A662" s="30" t="s">
        <v>138</v>
      </c>
      <c r="AG662"/>
      <c r="AH662"/>
      <c r="AJ662"/>
      <c r="AK662"/>
      <c r="AL662"/>
      <c r="AM662"/>
      <c r="AO662"/>
      <c r="AP662"/>
      <c r="AQ662"/>
      <c r="AR662"/>
      <c r="AS662"/>
      <c r="AT662"/>
      <c r="AU662"/>
      <c r="AV662"/>
      <c r="AW662"/>
      <c r="AX662"/>
      <c r="AY662"/>
      <c r="AZ662"/>
      <c r="BA662"/>
      <c r="BB662"/>
      <c r="BC662"/>
      <c r="BD662"/>
      <c r="BE662"/>
      <c r="BF662"/>
      <c r="BH662"/>
      <c r="BI662"/>
      <c r="BJ662"/>
      <c r="BK662"/>
      <c r="BL662"/>
      <c r="BM662"/>
      <c r="BN662"/>
      <c r="BP662"/>
      <c r="BQ662"/>
      <c r="BR662"/>
      <c r="BS662"/>
      <c r="BT662"/>
      <c r="BU662"/>
      <c r="BV662"/>
      <c r="BW662"/>
      <c r="BZ662"/>
      <c r="CA662"/>
      <c r="CB662"/>
      <c r="CC662"/>
      <c r="CD662"/>
      <c r="CF662"/>
      <c r="CG662"/>
      <c r="CH662"/>
      <c r="CI662"/>
      <c r="CJ662"/>
      <c r="CK662"/>
      <c r="CL662"/>
      <c r="CM662"/>
      <c r="CN662"/>
      <c r="CO662"/>
      <c r="CP662"/>
      <c r="CQ662"/>
      <c r="CR662"/>
      <c r="CS662"/>
      <c r="CT662"/>
      <c r="CU662"/>
      <c r="CV662"/>
      <c r="CW662"/>
      <c r="CX662"/>
      <c r="CY662"/>
      <c r="CZ662"/>
      <c r="DA662"/>
      <c r="DB662"/>
      <c r="DC662"/>
      <c r="DD662"/>
      <c r="DE662"/>
      <c r="DG662"/>
      <c r="DH662"/>
      <c r="DI662"/>
      <c r="DJ662"/>
      <c r="DK662"/>
      <c r="DL662"/>
      <c r="DM662"/>
      <c r="DN662"/>
      <c r="DO662"/>
      <c r="DP662"/>
      <c r="DQ662"/>
      <c r="DR662"/>
      <c r="DS662"/>
      <c r="DT662"/>
      <c r="DU662"/>
      <c r="DV662"/>
      <c r="DW662"/>
      <c r="DZ662"/>
      <c r="EA662"/>
      <c r="EB662"/>
      <c r="EC662"/>
      <c r="ED662"/>
      <c r="EE662"/>
      <c r="EF662"/>
      <c r="EG662"/>
      <c r="EJ662"/>
      <c r="EK662"/>
      <c r="EL662"/>
      <c r="EM662"/>
      <c r="EN662"/>
      <c r="EO662"/>
      <c r="EP662"/>
      <c r="EQ662"/>
      <c r="ER662"/>
      <c r="ES662"/>
      <c r="ET662"/>
      <c r="EU662"/>
      <c r="EV662"/>
      <c r="EW662"/>
      <c r="EX662"/>
      <c r="EY662"/>
      <c r="EZ662"/>
      <c r="FA662"/>
      <c r="FB662"/>
      <c r="FC662"/>
      <c r="FD662"/>
      <c r="FE662"/>
      <c r="FF662"/>
      <c r="FG662"/>
      <c r="FH662"/>
      <c r="FK662"/>
      <c r="FL662"/>
      <c r="FM662"/>
      <c r="FN662"/>
      <c r="FO662"/>
      <c r="FP662"/>
      <c r="FQ662"/>
      <c r="FR662"/>
      <c r="FS662"/>
      <c r="FT662"/>
      <c r="FU662"/>
      <c r="FV662"/>
      <c r="FW662"/>
      <c r="FX662"/>
      <c r="FY662"/>
      <c r="FZ662"/>
      <c r="GA662"/>
      <c r="GB662"/>
      <c r="GC662"/>
      <c r="GD662"/>
    </row>
    <row r="663" spans="1:186" x14ac:dyDescent="0.15">
      <c r="A663" s="30" t="s">
        <v>137</v>
      </c>
      <c r="AG663"/>
      <c r="AH663"/>
      <c r="AJ663"/>
      <c r="AK663"/>
      <c r="AL663"/>
      <c r="AM663"/>
      <c r="AO663"/>
      <c r="AP663"/>
      <c r="AQ663"/>
      <c r="AR663"/>
      <c r="AS663"/>
      <c r="AT663"/>
      <c r="AU663"/>
      <c r="AV663"/>
      <c r="AW663"/>
      <c r="AX663"/>
      <c r="AY663"/>
      <c r="AZ663"/>
      <c r="BA663"/>
      <c r="BB663"/>
      <c r="BC663"/>
      <c r="BD663"/>
      <c r="BE663"/>
      <c r="BF663"/>
      <c r="BH663"/>
      <c r="BI663"/>
      <c r="BJ663"/>
      <c r="BK663"/>
      <c r="BL663"/>
      <c r="BM663"/>
      <c r="BN663"/>
      <c r="BP663"/>
      <c r="BQ663"/>
      <c r="BR663"/>
      <c r="BS663"/>
      <c r="BT663"/>
      <c r="BU663"/>
      <c r="BV663"/>
      <c r="BW663"/>
      <c r="BZ663"/>
      <c r="CA663"/>
      <c r="CB663"/>
      <c r="CC663"/>
      <c r="CD663"/>
      <c r="CF663"/>
      <c r="CG663"/>
      <c r="CH663"/>
      <c r="CI663"/>
      <c r="CJ663"/>
      <c r="CK663"/>
      <c r="CL663"/>
      <c r="CM663"/>
      <c r="CN663"/>
      <c r="CO663"/>
      <c r="CP663"/>
      <c r="CQ663"/>
      <c r="CR663"/>
      <c r="CS663"/>
      <c r="CT663"/>
      <c r="CU663"/>
      <c r="CV663"/>
      <c r="CW663"/>
      <c r="CX663"/>
      <c r="CY663"/>
      <c r="CZ663"/>
      <c r="DA663"/>
      <c r="DB663"/>
      <c r="DC663"/>
      <c r="DD663"/>
      <c r="DE663"/>
      <c r="DG663"/>
      <c r="DH663"/>
      <c r="DI663"/>
      <c r="DJ663"/>
      <c r="DK663"/>
      <c r="DL663"/>
      <c r="DM663"/>
      <c r="DN663"/>
      <c r="DO663"/>
      <c r="DP663"/>
      <c r="DQ663"/>
      <c r="DR663"/>
      <c r="DS663"/>
      <c r="DT663"/>
      <c r="DU663"/>
      <c r="DV663"/>
      <c r="DW663"/>
      <c r="DZ663"/>
      <c r="EA663"/>
      <c r="EB663"/>
      <c r="EC663"/>
      <c r="ED663"/>
      <c r="EE663"/>
      <c r="EF663"/>
      <c r="EG663"/>
      <c r="EJ663"/>
      <c r="EK663"/>
      <c r="EL663"/>
      <c r="EM663"/>
      <c r="EN663"/>
      <c r="EO663"/>
      <c r="EP663"/>
      <c r="EQ663"/>
      <c r="ER663"/>
      <c r="ES663"/>
      <c r="ET663"/>
      <c r="EU663"/>
      <c r="EV663"/>
      <c r="EW663"/>
      <c r="EX663"/>
      <c r="EY663"/>
      <c r="EZ663"/>
      <c r="FA663"/>
      <c r="FB663"/>
      <c r="FC663"/>
      <c r="FD663"/>
      <c r="FE663"/>
      <c r="FF663"/>
      <c r="FG663"/>
      <c r="FH663"/>
      <c r="FK663"/>
      <c r="FL663"/>
      <c r="FM663"/>
      <c r="FN663"/>
      <c r="FO663"/>
      <c r="FP663"/>
      <c r="FQ663"/>
      <c r="FR663"/>
      <c r="FS663"/>
      <c r="FT663"/>
      <c r="FU663"/>
      <c r="FV663"/>
      <c r="FW663"/>
      <c r="FX663"/>
      <c r="FY663"/>
      <c r="FZ663"/>
      <c r="GA663"/>
      <c r="GB663"/>
      <c r="GC663"/>
      <c r="GD663"/>
    </row>
    <row r="664" spans="1:186" x14ac:dyDescent="0.15">
      <c r="AG664"/>
      <c r="AH664"/>
      <c r="AJ664"/>
      <c r="AK664"/>
      <c r="AL664"/>
      <c r="AM664"/>
      <c r="AO664"/>
      <c r="AP664"/>
      <c r="AQ664"/>
      <c r="AR664"/>
      <c r="AS664"/>
      <c r="AT664"/>
      <c r="AU664"/>
      <c r="AV664"/>
      <c r="AW664"/>
      <c r="AX664"/>
      <c r="AY664"/>
      <c r="AZ664"/>
      <c r="BA664"/>
      <c r="BB664"/>
      <c r="BC664"/>
      <c r="BD664"/>
      <c r="BE664"/>
      <c r="BF664"/>
      <c r="BH664"/>
      <c r="BI664"/>
      <c r="BJ664"/>
      <c r="BK664"/>
      <c r="BL664"/>
      <c r="BM664"/>
      <c r="BN664"/>
      <c r="BP664"/>
      <c r="BQ664"/>
      <c r="BR664"/>
      <c r="BS664"/>
      <c r="BT664"/>
      <c r="BU664"/>
      <c r="BV664"/>
      <c r="BW664"/>
      <c r="BZ664"/>
      <c r="CA664"/>
      <c r="CB664"/>
      <c r="CC664"/>
      <c r="CD664"/>
      <c r="CF664"/>
      <c r="CG664"/>
      <c r="CH664"/>
      <c r="CI664"/>
      <c r="CJ664"/>
      <c r="CK664"/>
      <c r="CL664"/>
      <c r="CM664"/>
      <c r="CN664"/>
      <c r="CO664"/>
      <c r="CP664"/>
      <c r="CQ664"/>
      <c r="CR664"/>
      <c r="CS664"/>
      <c r="CT664"/>
      <c r="CU664"/>
      <c r="CV664"/>
      <c r="CW664"/>
      <c r="CX664"/>
      <c r="CY664"/>
      <c r="CZ664"/>
      <c r="DA664"/>
      <c r="DB664"/>
      <c r="DC664"/>
      <c r="DD664"/>
      <c r="DE664"/>
      <c r="DG664"/>
      <c r="DH664"/>
      <c r="DI664"/>
      <c r="DJ664"/>
      <c r="DK664"/>
      <c r="DL664"/>
      <c r="DM664"/>
      <c r="DN664"/>
      <c r="DO664"/>
      <c r="DP664"/>
      <c r="DQ664"/>
      <c r="DR664"/>
      <c r="DS664"/>
      <c r="DT664"/>
      <c r="DU664"/>
      <c r="DV664"/>
      <c r="DW664"/>
      <c r="DZ664"/>
      <c r="EA664"/>
      <c r="EB664"/>
      <c r="EC664"/>
      <c r="ED664"/>
      <c r="EE664"/>
      <c r="EF664"/>
      <c r="EG664"/>
      <c r="EJ664"/>
      <c r="EK664"/>
      <c r="EL664"/>
      <c r="EM664"/>
      <c r="EN664"/>
      <c r="EO664"/>
      <c r="EP664"/>
      <c r="EQ664"/>
      <c r="ER664"/>
      <c r="ES664"/>
      <c r="ET664"/>
      <c r="EU664"/>
      <c r="EV664"/>
      <c r="EW664"/>
      <c r="EX664"/>
      <c r="EY664"/>
      <c r="EZ664"/>
      <c r="FA664"/>
      <c r="FB664"/>
      <c r="FC664"/>
      <c r="FD664"/>
      <c r="FE664"/>
      <c r="FF664"/>
      <c r="FG664"/>
      <c r="FH664"/>
      <c r="FK664"/>
      <c r="FL664"/>
      <c r="FM664"/>
      <c r="FN664"/>
      <c r="FO664"/>
      <c r="FP664"/>
      <c r="FQ664"/>
      <c r="FR664"/>
      <c r="FS664"/>
      <c r="FT664"/>
      <c r="FU664"/>
      <c r="FV664"/>
      <c r="FW664"/>
      <c r="FX664"/>
      <c r="FY664"/>
      <c r="FZ664"/>
      <c r="GA664"/>
      <c r="GB664"/>
      <c r="GC664"/>
      <c r="GD664"/>
    </row>
    <row r="665" spans="1:186" x14ac:dyDescent="0.15">
      <c r="AG665"/>
      <c r="AH665"/>
      <c r="AJ665"/>
      <c r="AK665"/>
      <c r="AL665"/>
      <c r="AM665"/>
      <c r="AO665"/>
      <c r="AP665"/>
      <c r="AQ665"/>
      <c r="AR665"/>
      <c r="AS665"/>
      <c r="AT665"/>
      <c r="AU665"/>
      <c r="AV665"/>
      <c r="AW665"/>
      <c r="AX665"/>
      <c r="AY665"/>
      <c r="AZ665"/>
      <c r="BA665"/>
      <c r="BB665"/>
      <c r="BC665"/>
      <c r="BD665"/>
      <c r="BE665"/>
      <c r="BF665"/>
      <c r="BH665"/>
      <c r="BI665"/>
      <c r="BJ665"/>
      <c r="BK665"/>
      <c r="BL665"/>
      <c r="BM665"/>
      <c r="BN665"/>
      <c r="BP665"/>
      <c r="BQ665"/>
      <c r="BR665"/>
      <c r="BS665"/>
      <c r="BT665"/>
      <c r="BU665"/>
      <c r="BV665"/>
      <c r="BW665"/>
      <c r="BZ665"/>
      <c r="CA665"/>
      <c r="CB665"/>
      <c r="CC665"/>
      <c r="CD665"/>
      <c r="CF665"/>
      <c r="CG665"/>
      <c r="CH665"/>
      <c r="CI665"/>
      <c r="CJ665"/>
      <c r="CK665"/>
      <c r="CL665"/>
      <c r="CM665"/>
      <c r="CN665"/>
      <c r="CO665"/>
      <c r="CP665"/>
      <c r="CQ665"/>
      <c r="CR665"/>
      <c r="CS665"/>
      <c r="CT665"/>
      <c r="CU665"/>
      <c r="CV665"/>
      <c r="CW665"/>
      <c r="CX665"/>
      <c r="CY665"/>
      <c r="CZ665"/>
      <c r="DA665"/>
      <c r="DB665"/>
      <c r="DC665"/>
      <c r="DD665"/>
      <c r="DE665"/>
      <c r="DG665"/>
      <c r="DH665"/>
      <c r="DI665"/>
      <c r="DJ665"/>
      <c r="DK665"/>
      <c r="DL665"/>
      <c r="DM665"/>
      <c r="DN665"/>
      <c r="DO665"/>
      <c r="DP665"/>
      <c r="DQ665"/>
      <c r="DR665"/>
      <c r="DS665"/>
      <c r="DT665"/>
      <c r="DU665"/>
      <c r="DV665"/>
      <c r="DW665"/>
      <c r="DZ665"/>
      <c r="EA665"/>
      <c r="EB665"/>
      <c r="EC665"/>
      <c r="ED665"/>
      <c r="EE665"/>
      <c r="EF665"/>
      <c r="EG665"/>
      <c r="EJ665"/>
      <c r="EK665"/>
      <c r="EL665"/>
      <c r="EM665"/>
      <c r="EN665"/>
      <c r="EO665"/>
      <c r="EP665"/>
      <c r="EQ665"/>
      <c r="ER665"/>
      <c r="ES665"/>
      <c r="ET665"/>
      <c r="EU665"/>
      <c r="EV665"/>
      <c r="EW665"/>
      <c r="EX665"/>
      <c r="EY665"/>
      <c r="EZ665"/>
      <c r="FA665"/>
      <c r="FB665"/>
      <c r="FC665"/>
      <c r="FD665"/>
      <c r="FE665"/>
      <c r="FF665"/>
      <c r="FG665"/>
      <c r="FH665"/>
      <c r="FK665"/>
      <c r="FL665"/>
      <c r="FM665"/>
      <c r="FN665"/>
      <c r="FO665"/>
      <c r="FP665"/>
      <c r="FQ665"/>
      <c r="FR665"/>
      <c r="FS665"/>
      <c r="FT665"/>
      <c r="FU665"/>
      <c r="FV665"/>
      <c r="FW665"/>
      <c r="FX665"/>
      <c r="FY665"/>
      <c r="FZ665"/>
      <c r="GA665"/>
      <c r="GB665"/>
      <c r="GC665"/>
      <c r="GD665"/>
    </row>
    <row r="666" spans="1:186" x14ac:dyDescent="0.15">
      <c r="AG666"/>
      <c r="AH666"/>
      <c r="AJ666"/>
      <c r="AK666"/>
      <c r="AL666"/>
      <c r="AM666"/>
      <c r="AO666"/>
      <c r="AP666"/>
      <c r="AQ666"/>
      <c r="AR666"/>
      <c r="AS666"/>
      <c r="AT666"/>
      <c r="AU666"/>
      <c r="AV666"/>
      <c r="AW666"/>
      <c r="AX666"/>
      <c r="AY666"/>
      <c r="AZ666"/>
      <c r="BA666"/>
      <c r="BB666"/>
      <c r="BC666"/>
      <c r="BD666"/>
      <c r="BE666"/>
      <c r="BF666"/>
      <c r="BH666"/>
      <c r="BI666"/>
      <c r="BJ666"/>
      <c r="BK666"/>
      <c r="BL666"/>
      <c r="BM666"/>
      <c r="BN666"/>
      <c r="BP666"/>
      <c r="BQ666"/>
      <c r="BR666"/>
      <c r="BS666"/>
      <c r="BT666"/>
      <c r="BU666"/>
      <c r="BV666"/>
      <c r="BW666"/>
      <c r="BZ666"/>
      <c r="CA666"/>
      <c r="CB666"/>
      <c r="CC666"/>
      <c r="CD666"/>
      <c r="CF666"/>
      <c r="CG666"/>
      <c r="CH666"/>
      <c r="CI666"/>
      <c r="CJ666"/>
      <c r="CK666"/>
      <c r="CL666"/>
      <c r="CM666"/>
      <c r="CN666"/>
      <c r="CO666"/>
      <c r="CP666"/>
      <c r="CQ666"/>
      <c r="CR666"/>
      <c r="CS666"/>
      <c r="CT666"/>
      <c r="CU666"/>
      <c r="CV666"/>
      <c r="CW666"/>
      <c r="CX666"/>
      <c r="CY666"/>
      <c r="CZ666"/>
      <c r="DA666"/>
      <c r="DB666"/>
      <c r="DC666"/>
      <c r="DD666"/>
      <c r="DE666"/>
      <c r="DG666"/>
      <c r="DH666"/>
      <c r="DI666"/>
      <c r="DJ666"/>
      <c r="DK666"/>
      <c r="DL666"/>
      <c r="DM666"/>
      <c r="DN666"/>
      <c r="DO666"/>
      <c r="DP666"/>
      <c r="DQ666"/>
      <c r="DR666"/>
      <c r="DS666"/>
      <c r="DT666"/>
      <c r="DU666"/>
      <c r="DV666"/>
      <c r="DW666"/>
      <c r="DZ666"/>
      <c r="EA666"/>
      <c r="EB666"/>
      <c r="EC666"/>
      <c r="ED666"/>
      <c r="EE666"/>
      <c r="EF666"/>
      <c r="EG666"/>
      <c r="EJ666"/>
      <c r="EK666"/>
      <c r="EL666"/>
      <c r="EM666"/>
      <c r="EN666"/>
      <c r="EO666"/>
      <c r="EP666"/>
      <c r="EQ666"/>
      <c r="ER666"/>
      <c r="ES666"/>
      <c r="ET666"/>
      <c r="EU666"/>
      <c r="EV666"/>
      <c r="EW666"/>
      <c r="EX666"/>
      <c r="EY666"/>
      <c r="EZ666"/>
      <c r="FA666"/>
      <c r="FB666"/>
      <c r="FC666"/>
      <c r="FD666"/>
      <c r="FE666"/>
      <c r="FF666"/>
      <c r="FG666"/>
      <c r="FH666"/>
      <c r="FK666"/>
      <c r="FL666"/>
      <c r="FM666"/>
      <c r="FN666"/>
      <c r="FO666"/>
      <c r="FP666"/>
      <c r="FQ666"/>
      <c r="FR666"/>
      <c r="FS666"/>
      <c r="FT666"/>
      <c r="FU666"/>
      <c r="FV666"/>
      <c r="FW666"/>
      <c r="FX666"/>
      <c r="FY666"/>
      <c r="FZ666"/>
      <c r="GA666"/>
      <c r="GB666"/>
      <c r="GC666"/>
      <c r="GD666"/>
    </row>
    <row r="667" spans="1:186" x14ac:dyDescent="0.15">
      <c r="AG667"/>
      <c r="AH667"/>
      <c r="AJ667"/>
      <c r="AK667"/>
      <c r="AL667"/>
      <c r="AM667"/>
      <c r="AO667"/>
      <c r="AP667"/>
      <c r="AQ667"/>
      <c r="AR667"/>
      <c r="AS667"/>
      <c r="AT667"/>
      <c r="AU667"/>
      <c r="AV667"/>
      <c r="AW667"/>
      <c r="AX667"/>
      <c r="AY667"/>
      <c r="AZ667"/>
      <c r="BA667"/>
      <c r="BB667"/>
      <c r="BC667"/>
      <c r="BD667"/>
      <c r="BE667"/>
      <c r="BF667"/>
      <c r="BH667"/>
      <c r="BI667"/>
      <c r="BJ667"/>
      <c r="BK667"/>
      <c r="BL667"/>
      <c r="BM667"/>
      <c r="BN667"/>
      <c r="BP667"/>
      <c r="BQ667"/>
      <c r="BR667"/>
      <c r="BS667"/>
      <c r="BT667"/>
      <c r="BU667"/>
      <c r="BV667"/>
      <c r="BW667"/>
      <c r="BZ667"/>
      <c r="CA667"/>
      <c r="CB667"/>
      <c r="CC667"/>
      <c r="CD667"/>
      <c r="CF667"/>
      <c r="CG667"/>
      <c r="CH667"/>
      <c r="CI667"/>
      <c r="CJ667"/>
      <c r="CK667"/>
      <c r="CL667"/>
      <c r="CM667"/>
      <c r="CN667"/>
      <c r="CO667"/>
      <c r="CP667"/>
      <c r="CQ667"/>
      <c r="CR667"/>
      <c r="CS667"/>
      <c r="CT667"/>
      <c r="CU667"/>
      <c r="CV667"/>
      <c r="CW667"/>
      <c r="CX667"/>
      <c r="CY667"/>
      <c r="CZ667"/>
      <c r="DA667"/>
      <c r="DB667"/>
      <c r="DC667"/>
      <c r="DD667"/>
      <c r="DE667"/>
      <c r="DG667"/>
      <c r="DH667"/>
      <c r="DI667"/>
      <c r="DJ667"/>
      <c r="DK667"/>
      <c r="DL667"/>
      <c r="DM667"/>
      <c r="DN667"/>
      <c r="DO667"/>
      <c r="DP667"/>
      <c r="DQ667"/>
      <c r="DR667"/>
      <c r="DS667"/>
      <c r="DT667"/>
      <c r="DU667"/>
      <c r="DV667"/>
      <c r="DW667"/>
      <c r="DZ667"/>
      <c r="EA667"/>
      <c r="EB667"/>
      <c r="EC667"/>
      <c r="ED667"/>
      <c r="EE667"/>
      <c r="EF667"/>
      <c r="EG667"/>
      <c r="EJ667"/>
      <c r="EK667"/>
      <c r="EL667"/>
      <c r="EM667"/>
      <c r="EN667"/>
      <c r="EO667"/>
      <c r="EP667"/>
      <c r="EQ667"/>
      <c r="ER667"/>
      <c r="ES667"/>
      <c r="ET667"/>
      <c r="EU667"/>
      <c r="EV667"/>
      <c r="EW667"/>
      <c r="EX667"/>
      <c r="EY667"/>
      <c r="EZ667"/>
      <c r="FA667"/>
      <c r="FB667"/>
      <c r="FC667"/>
      <c r="FD667"/>
      <c r="FE667"/>
      <c r="FF667"/>
      <c r="FG667"/>
      <c r="FH667"/>
      <c r="FK667"/>
      <c r="FL667"/>
      <c r="FM667"/>
      <c r="FN667"/>
      <c r="FO667"/>
      <c r="FP667"/>
      <c r="FQ667"/>
      <c r="FR667"/>
      <c r="FS667"/>
      <c r="FT667"/>
      <c r="FU667"/>
      <c r="FV667"/>
      <c r="FW667"/>
      <c r="FX667"/>
      <c r="FY667"/>
      <c r="FZ667"/>
      <c r="GA667"/>
      <c r="GB667"/>
      <c r="GC667"/>
      <c r="GD667"/>
    </row>
    <row r="668" spans="1:186" x14ac:dyDescent="0.15">
      <c r="AG668"/>
      <c r="AH668"/>
      <c r="AJ668"/>
      <c r="AK668"/>
      <c r="AL668"/>
      <c r="AM668"/>
      <c r="AO668"/>
      <c r="AP668"/>
      <c r="AQ668"/>
      <c r="AR668"/>
      <c r="AS668"/>
      <c r="AT668"/>
      <c r="AU668"/>
      <c r="AV668"/>
      <c r="AW668"/>
      <c r="AX668"/>
      <c r="AY668"/>
      <c r="AZ668"/>
      <c r="BA668"/>
      <c r="BB668"/>
      <c r="BC668"/>
      <c r="BD668"/>
      <c r="BE668"/>
      <c r="BF668"/>
      <c r="BH668"/>
      <c r="BI668"/>
      <c r="BJ668"/>
      <c r="BK668"/>
      <c r="BL668"/>
      <c r="BM668"/>
      <c r="BN668"/>
      <c r="BP668"/>
      <c r="BQ668"/>
      <c r="BR668"/>
      <c r="BS668"/>
      <c r="BT668"/>
      <c r="BU668"/>
      <c r="BV668"/>
      <c r="BW668"/>
      <c r="BZ668"/>
      <c r="CA668"/>
      <c r="CB668"/>
      <c r="CC668"/>
      <c r="CD668"/>
      <c r="CF668"/>
      <c r="CG668"/>
      <c r="CH668"/>
      <c r="CI668"/>
      <c r="CJ668"/>
      <c r="CK668"/>
      <c r="CL668"/>
      <c r="CM668"/>
      <c r="CN668"/>
      <c r="CO668"/>
      <c r="CP668"/>
      <c r="CQ668"/>
      <c r="CR668"/>
      <c r="CS668"/>
      <c r="CT668"/>
      <c r="CU668"/>
      <c r="CV668"/>
      <c r="CW668"/>
      <c r="CX668"/>
      <c r="CY668"/>
      <c r="CZ668"/>
      <c r="DA668"/>
      <c r="DB668"/>
      <c r="DC668"/>
      <c r="DD668"/>
      <c r="DE668"/>
      <c r="DG668"/>
      <c r="DH668"/>
      <c r="DI668"/>
      <c r="DJ668"/>
      <c r="DK668"/>
      <c r="DL668"/>
      <c r="DM668"/>
      <c r="DN668"/>
      <c r="DO668"/>
      <c r="DP668"/>
      <c r="DQ668"/>
      <c r="DR668"/>
      <c r="DS668"/>
      <c r="DT668"/>
      <c r="DU668"/>
      <c r="DV668"/>
      <c r="DW668"/>
      <c r="DZ668"/>
      <c r="EA668"/>
      <c r="EB668"/>
      <c r="EC668"/>
      <c r="ED668"/>
      <c r="EE668"/>
      <c r="EF668"/>
      <c r="EG668"/>
      <c r="EJ668"/>
      <c r="EK668"/>
      <c r="EL668"/>
      <c r="EM668"/>
      <c r="EN668"/>
      <c r="EO668"/>
      <c r="EP668"/>
      <c r="EQ668"/>
      <c r="ER668"/>
      <c r="ES668"/>
      <c r="ET668"/>
      <c r="EU668"/>
      <c r="EV668"/>
      <c r="EW668"/>
      <c r="EX668"/>
      <c r="EY668"/>
      <c r="EZ668"/>
      <c r="FA668"/>
      <c r="FB668"/>
      <c r="FC668"/>
      <c r="FD668"/>
      <c r="FE668"/>
      <c r="FF668"/>
      <c r="FG668"/>
      <c r="FH668"/>
      <c r="FK668"/>
      <c r="FL668"/>
      <c r="FM668"/>
      <c r="FN668"/>
      <c r="FO668"/>
      <c r="FP668"/>
      <c r="FQ668"/>
      <c r="FR668"/>
      <c r="FS668"/>
      <c r="FT668"/>
      <c r="FU668"/>
      <c r="FV668"/>
      <c r="FW668"/>
      <c r="FX668"/>
      <c r="FY668"/>
      <c r="FZ668"/>
      <c r="GA668"/>
      <c r="GB668"/>
      <c r="GC668"/>
      <c r="GD668"/>
    </row>
    <row r="669" spans="1:186" x14ac:dyDescent="0.15">
      <c r="AG669"/>
      <c r="AH669"/>
      <c r="AJ669"/>
      <c r="AK669"/>
      <c r="AL669"/>
      <c r="AM669"/>
      <c r="AO669"/>
      <c r="AP669"/>
      <c r="AQ669"/>
      <c r="AR669"/>
      <c r="AS669"/>
      <c r="AT669"/>
      <c r="AU669"/>
      <c r="AV669"/>
      <c r="AW669"/>
      <c r="AX669"/>
      <c r="AY669"/>
      <c r="AZ669"/>
      <c r="BA669"/>
      <c r="BB669"/>
      <c r="BC669"/>
      <c r="BD669"/>
      <c r="BE669"/>
      <c r="BF669"/>
      <c r="BH669"/>
      <c r="BI669"/>
      <c r="BJ669"/>
      <c r="BK669"/>
      <c r="BL669"/>
      <c r="BM669"/>
      <c r="BN669"/>
      <c r="BP669"/>
      <c r="BQ669"/>
      <c r="BR669"/>
      <c r="BS669"/>
      <c r="BT669"/>
      <c r="BU669"/>
      <c r="BV669"/>
      <c r="BW669"/>
      <c r="BZ669"/>
      <c r="CA669"/>
      <c r="CB669"/>
      <c r="CC669"/>
      <c r="CD669"/>
      <c r="CF669"/>
      <c r="CG669"/>
      <c r="CH669"/>
      <c r="CI669"/>
      <c r="CJ669"/>
      <c r="CK669"/>
      <c r="CL669"/>
      <c r="CM669"/>
      <c r="CN669"/>
      <c r="CO669"/>
      <c r="CP669"/>
      <c r="CQ669"/>
      <c r="CR669"/>
      <c r="CS669"/>
      <c r="CT669"/>
      <c r="CU669"/>
      <c r="CV669"/>
      <c r="CW669"/>
      <c r="CX669"/>
      <c r="CY669"/>
      <c r="CZ669"/>
      <c r="DA669"/>
      <c r="DB669"/>
      <c r="DC669"/>
      <c r="DD669"/>
      <c r="DE669"/>
      <c r="DG669"/>
      <c r="DH669"/>
      <c r="DI669"/>
      <c r="DJ669"/>
      <c r="DK669"/>
      <c r="DL669"/>
      <c r="DM669"/>
      <c r="DN669"/>
      <c r="DO669"/>
      <c r="DP669"/>
      <c r="DQ669"/>
      <c r="DR669"/>
      <c r="DS669"/>
      <c r="DT669"/>
      <c r="DU669"/>
      <c r="DV669"/>
      <c r="DW669"/>
      <c r="DZ669"/>
      <c r="EA669"/>
      <c r="EB669"/>
      <c r="EC669"/>
      <c r="ED669"/>
      <c r="EE669"/>
      <c r="EF669"/>
      <c r="EG669"/>
      <c r="EJ669"/>
      <c r="EK669"/>
      <c r="EL669"/>
      <c r="EM669"/>
      <c r="EN669"/>
      <c r="EO669"/>
      <c r="EP669"/>
      <c r="EQ669"/>
      <c r="ER669"/>
      <c r="ES669"/>
      <c r="ET669"/>
      <c r="EU669"/>
      <c r="EV669"/>
      <c r="EW669"/>
      <c r="EX669"/>
      <c r="EY669"/>
      <c r="EZ669"/>
      <c r="FA669"/>
      <c r="FB669"/>
      <c r="FC669"/>
      <c r="FD669"/>
      <c r="FE669"/>
      <c r="FF669"/>
      <c r="FG669"/>
      <c r="FH669"/>
      <c r="FK669"/>
      <c r="FL669"/>
      <c r="FM669"/>
      <c r="FN669"/>
      <c r="FO669"/>
      <c r="FP669"/>
      <c r="FQ669"/>
      <c r="FR669"/>
      <c r="FS669"/>
      <c r="FT669"/>
      <c r="FU669"/>
      <c r="FV669"/>
      <c r="FW669"/>
      <c r="FX669"/>
      <c r="FY669"/>
      <c r="FZ669"/>
      <c r="GA669"/>
      <c r="GB669"/>
      <c r="GC669"/>
      <c r="GD669"/>
    </row>
    <row r="670" spans="1:186" x14ac:dyDescent="0.15">
      <c r="AG670"/>
      <c r="AH670"/>
      <c r="AJ670"/>
      <c r="AK670"/>
      <c r="AL670"/>
      <c r="AM670"/>
      <c r="AO670"/>
      <c r="AP670"/>
      <c r="AQ670"/>
      <c r="AR670"/>
      <c r="AS670"/>
      <c r="AT670"/>
      <c r="AU670"/>
      <c r="AV670"/>
      <c r="AW670"/>
      <c r="AX670"/>
      <c r="AY670"/>
      <c r="AZ670"/>
      <c r="BA670"/>
      <c r="BB670"/>
      <c r="BC670"/>
      <c r="BD670"/>
      <c r="BE670"/>
      <c r="BF670"/>
      <c r="BH670"/>
      <c r="BI670"/>
      <c r="BJ670"/>
      <c r="BK670"/>
      <c r="BL670"/>
      <c r="BM670"/>
      <c r="BN670"/>
      <c r="BP670"/>
      <c r="BQ670"/>
      <c r="BR670"/>
      <c r="BS670"/>
      <c r="BT670"/>
      <c r="BU670"/>
      <c r="BV670"/>
      <c r="BW670"/>
      <c r="BZ670"/>
      <c r="CA670"/>
      <c r="CB670"/>
      <c r="CC670"/>
      <c r="CD670"/>
      <c r="CF670"/>
      <c r="CG670"/>
      <c r="CH670"/>
      <c r="CI670"/>
      <c r="CJ670"/>
      <c r="CK670"/>
      <c r="CL670"/>
      <c r="CM670"/>
      <c r="CN670"/>
      <c r="CO670"/>
      <c r="CP670"/>
      <c r="CQ670"/>
      <c r="CR670"/>
      <c r="CS670"/>
      <c r="CT670"/>
      <c r="CU670"/>
      <c r="CV670"/>
      <c r="CW670"/>
      <c r="CX670"/>
      <c r="CY670"/>
      <c r="CZ670"/>
      <c r="DA670"/>
      <c r="DB670"/>
      <c r="DC670"/>
      <c r="DD670"/>
      <c r="DE670"/>
      <c r="DG670"/>
      <c r="DH670"/>
      <c r="DI670"/>
      <c r="DJ670"/>
      <c r="DK670"/>
      <c r="DL670"/>
      <c r="DM670"/>
      <c r="DN670"/>
      <c r="DO670"/>
      <c r="DP670"/>
      <c r="DQ670"/>
      <c r="DR670"/>
      <c r="DS670"/>
      <c r="DT670"/>
      <c r="DU670"/>
      <c r="DV670"/>
      <c r="DW670"/>
      <c r="DZ670"/>
      <c r="EA670"/>
      <c r="EB670"/>
      <c r="EC670"/>
      <c r="ED670"/>
      <c r="EE670"/>
      <c r="EF670"/>
      <c r="EG670"/>
      <c r="EJ670"/>
      <c r="EK670"/>
      <c r="EL670"/>
      <c r="EM670"/>
      <c r="EN670"/>
      <c r="EO670"/>
      <c r="EP670"/>
      <c r="EQ670"/>
      <c r="ER670"/>
      <c r="ES670"/>
      <c r="ET670"/>
      <c r="EU670"/>
      <c r="EV670"/>
      <c r="EW670"/>
      <c r="EX670"/>
      <c r="EY670"/>
      <c r="EZ670"/>
      <c r="FA670"/>
      <c r="FB670"/>
      <c r="FC670"/>
      <c r="FD670"/>
      <c r="FE670"/>
      <c r="FF670"/>
      <c r="FG670"/>
      <c r="FH670"/>
      <c r="FK670"/>
      <c r="FL670"/>
      <c r="FM670"/>
      <c r="FN670"/>
      <c r="FO670"/>
      <c r="FP670"/>
      <c r="FQ670"/>
      <c r="FR670"/>
      <c r="FS670"/>
      <c r="FT670"/>
      <c r="FU670"/>
      <c r="FV670"/>
      <c r="FW670"/>
      <c r="FX670"/>
      <c r="FY670"/>
      <c r="FZ670"/>
      <c r="GA670"/>
      <c r="GB670"/>
      <c r="GC670"/>
      <c r="GD670"/>
    </row>
    <row r="671" spans="1:186" x14ac:dyDescent="0.15">
      <c r="AG671"/>
      <c r="AH671"/>
      <c r="AJ671"/>
      <c r="AK671"/>
      <c r="AL671"/>
      <c r="AM671"/>
      <c r="AO671"/>
      <c r="AP671"/>
      <c r="AQ671"/>
      <c r="AR671"/>
      <c r="AS671"/>
      <c r="AT671"/>
      <c r="AU671"/>
      <c r="AV671"/>
      <c r="AW671"/>
      <c r="AX671"/>
      <c r="AY671"/>
      <c r="AZ671"/>
      <c r="BA671"/>
      <c r="BB671"/>
      <c r="BC671"/>
      <c r="BD671"/>
      <c r="BE671"/>
      <c r="BF671"/>
      <c r="BH671"/>
      <c r="BI671"/>
      <c r="BJ671"/>
      <c r="BK671"/>
      <c r="BL671"/>
      <c r="BM671"/>
      <c r="BN671"/>
      <c r="BP671"/>
      <c r="BQ671"/>
      <c r="BR671"/>
      <c r="BS671"/>
      <c r="BT671"/>
      <c r="BU671"/>
      <c r="BV671"/>
      <c r="BW671"/>
      <c r="BZ671"/>
      <c r="CA671"/>
      <c r="CB671"/>
      <c r="CC671"/>
      <c r="CD671"/>
      <c r="CF671"/>
      <c r="CG671"/>
      <c r="CH671"/>
      <c r="CI671"/>
      <c r="CJ671"/>
      <c r="CK671"/>
      <c r="CL671"/>
      <c r="CM671"/>
      <c r="CN671"/>
      <c r="CO671"/>
      <c r="CP671"/>
      <c r="CQ671"/>
      <c r="CR671"/>
      <c r="CS671"/>
      <c r="CT671"/>
      <c r="CU671"/>
      <c r="CV671"/>
      <c r="CW671"/>
      <c r="CX671"/>
      <c r="CY671"/>
      <c r="CZ671"/>
      <c r="DA671"/>
      <c r="DB671"/>
      <c r="DC671"/>
      <c r="DD671"/>
      <c r="DE671"/>
      <c r="DG671"/>
      <c r="DH671"/>
      <c r="DI671"/>
      <c r="DJ671"/>
      <c r="DK671"/>
      <c r="DL671"/>
      <c r="DM671"/>
      <c r="DN671"/>
      <c r="DO671"/>
      <c r="DP671"/>
      <c r="DQ671"/>
      <c r="DR671"/>
      <c r="DS671"/>
      <c r="DT671"/>
      <c r="DU671"/>
      <c r="DV671"/>
      <c r="DW671"/>
      <c r="DZ671"/>
      <c r="EA671"/>
      <c r="EB671"/>
      <c r="EC671"/>
      <c r="ED671"/>
      <c r="EE671"/>
      <c r="EF671"/>
      <c r="EG671"/>
      <c r="EJ671"/>
      <c r="EK671"/>
      <c r="EL671"/>
      <c r="EM671"/>
      <c r="EN671"/>
      <c r="EO671"/>
      <c r="EP671"/>
      <c r="EQ671"/>
      <c r="ER671"/>
      <c r="ES671"/>
      <c r="ET671"/>
      <c r="EU671"/>
      <c r="EV671"/>
      <c r="EW671"/>
      <c r="EX671"/>
      <c r="EY671"/>
      <c r="EZ671"/>
      <c r="FA671"/>
      <c r="FB671"/>
      <c r="FC671"/>
      <c r="FD671"/>
      <c r="FE671"/>
      <c r="FF671"/>
      <c r="FG671"/>
      <c r="FH671"/>
      <c r="FK671"/>
      <c r="FL671"/>
      <c r="FM671"/>
      <c r="FN671"/>
      <c r="FO671"/>
      <c r="FP671"/>
      <c r="FQ671"/>
      <c r="FR671"/>
      <c r="FS671"/>
      <c r="FT671"/>
      <c r="FU671"/>
      <c r="FV671"/>
      <c r="FW671"/>
      <c r="FX671"/>
      <c r="FY671"/>
      <c r="FZ671"/>
      <c r="GA671"/>
      <c r="GB671"/>
      <c r="GC671"/>
      <c r="GD671"/>
    </row>
    <row r="672" spans="1:186" x14ac:dyDescent="0.15">
      <c r="AG672"/>
      <c r="AH672"/>
      <c r="AJ672"/>
      <c r="AK672"/>
      <c r="AL672"/>
      <c r="AM672"/>
      <c r="AO672"/>
      <c r="AP672"/>
      <c r="AQ672"/>
      <c r="AR672"/>
      <c r="AS672"/>
      <c r="AT672"/>
      <c r="AU672"/>
      <c r="AV672"/>
      <c r="AW672"/>
      <c r="AX672"/>
      <c r="AY672"/>
      <c r="AZ672"/>
      <c r="BA672"/>
      <c r="BB672"/>
      <c r="BC672"/>
      <c r="BD672"/>
      <c r="BE672"/>
      <c r="BF672"/>
      <c r="BH672"/>
      <c r="BI672"/>
      <c r="BJ672"/>
      <c r="BK672"/>
      <c r="BL672"/>
      <c r="BM672"/>
      <c r="BN672"/>
      <c r="BP672"/>
      <c r="BQ672"/>
      <c r="BR672"/>
      <c r="BS672"/>
      <c r="BT672"/>
      <c r="BU672"/>
      <c r="BV672"/>
      <c r="BW672"/>
      <c r="BZ672"/>
      <c r="CA672"/>
      <c r="CB672"/>
      <c r="CC672"/>
      <c r="CD672"/>
      <c r="CF672"/>
      <c r="CG672"/>
      <c r="CH672"/>
      <c r="CI672"/>
      <c r="CJ672"/>
      <c r="CK672"/>
      <c r="CL672"/>
      <c r="CM672"/>
      <c r="CN672"/>
      <c r="CO672"/>
      <c r="CP672"/>
      <c r="CQ672"/>
      <c r="CR672"/>
      <c r="CS672"/>
      <c r="CT672"/>
      <c r="CU672"/>
      <c r="CV672"/>
      <c r="CW672"/>
      <c r="CX672"/>
      <c r="CY672"/>
      <c r="CZ672"/>
      <c r="DA672"/>
      <c r="DB672"/>
      <c r="DC672"/>
      <c r="DD672"/>
      <c r="DE672"/>
      <c r="DG672"/>
      <c r="DH672"/>
      <c r="DI672"/>
      <c r="DJ672"/>
      <c r="DK672"/>
      <c r="DL672"/>
      <c r="DM672"/>
      <c r="DN672"/>
      <c r="DO672"/>
      <c r="DP672"/>
      <c r="DQ672"/>
      <c r="DR672"/>
      <c r="DS672"/>
      <c r="DT672"/>
      <c r="DU672"/>
      <c r="DV672"/>
      <c r="DW672"/>
      <c r="DZ672"/>
      <c r="EA672"/>
      <c r="EB672"/>
      <c r="EC672"/>
      <c r="ED672"/>
      <c r="EE672"/>
      <c r="EF672"/>
      <c r="EG672"/>
      <c r="EJ672"/>
      <c r="EK672"/>
      <c r="EL672"/>
      <c r="EM672"/>
      <c r="EN672"/>
      <c r="EO672"/>
      <c r="EP672"/>
      <c r="EQ672"/>
      <c r="ER672"/>
      <c r="ES672"/>
      <c r="ET672"/>
      <c r="EU672"/>
      <c r="EV672"/>
      <c r="EW672"/>
      <c r="EX672"/>
      <c r="EY672"/>
      <c r="EZ672"/>
      <c r="FA672"/>
      <c r="FB672"/>
      <c r="FC672"/>
      <c r="FD672"/>
      <c r="FE672"/>
      <c r="FF672"/>
      <c r="FG672"/>
      <c r="FH672"/>
      <c r="FK672"/>
      <c r="FL672"/>
      <c r="FM672"/>
      <c r="FN672"/>
      <c r="FO672"/>
      <c r="FP672"/>
      <c r="FQ672"/>
      <c r="FR672"/>
      <c r="FS672"/>
      <c r="FT672"/>
      <c r="FU672"/>
      <c r="FV672"/>
      <c r="FW672"/>
      <c r="FX672"/>
      <c r="FY672"/>
      <c r="FZ672"/>
      <c r="GA672"/>
      <c r="GB672"/>
      <c r="GC672"/>
      <c r="GD672"/>
    </row>
    <row r="673" spans="33:186" x14ac:dyDescent="0.15">
      <c r="AG673"/>
      <c r="AH673"/>
      <c r="AJ673"/>
      <c r="AK673"/>
      <c r="AL673"/>
      <c r="AM673"/>
      <c r="AO673"/>
      <c r="AP673"/>
      <c r="AQ673"/>
      <c r="AR673"/>
      <c r="AS673"/>
      <c r="AT673"/>
      <c r="AU673"/>
      <c r="AV673"/>
      <c r="AW673"/>
      <c r="AX673"/>
      <c r="AY673"/>
      <c r="AZ673"/>
      <c r="BA673"/>
      <c r="BB673"/>
      <c r="BC673"/>
      <c r="BD673"/>
      <c r="BE673"/>
      <c r="BF673"/>
      <c r="BH673"/>
      <c r="BI673"/>
      <c r="BJ673"/>
      <c r="BK673"/>
      <c r="BL673"/>
      <c r="BM673"/>
      <c r="BN673"/>
      <c r="BP673"/>
      <c r="BQ673"/>
      <c r="BR673"/>
      <c r="BS673"/>
      <c r="BT673"/>
      <c r="BU673"/>
      <c r="BV673"/>
      <c r="BW673"/>
      <c r="BZ673"/>
      <c r="CA673"/>
      <c r="CB673"/>
      <c r="CC673"/>
      <c r="CD673"/>
      <c r="CF673"/>
      <c r="CG673"/>
      <c r="CH673"/>
      <c r="CI673"/>
      <c r="CJ673"/>
      <c r="CK673"/>
      <c r="CL673"/>
      <c r="CM673"/>
      <c r="CN673"/>
      <c r="CO673"/>
      <c r="CP673"/>
      <c r="CQ673"/>
      <c r="CR673"/>
      <c r="CS673"/>
      <c r="CT673"/>
      <c r="CU673"/>
      <c r="CV673"/>
      <c r="CW673"/>
      <c r="CX673"/>
      <c r="CY673"/>
      <c r="CZ673"/>
      <c r="DA673"/>
      <c r="DB673"/>
      <c r="DC673"/>
      <c r="DD673"/>
      <c r="DE673"/>
      <c r="DG673"/>
      <c r="DH673"/>
      <c r="DI673"/>
      <c r="DJ673"/>
      <c r="DK673"/>
      <c r="DL673"/>
      <c r="DM673"/>
      <c r="DN673"/>
      <c r="DO673"/>
      <c r="DP673"/>
      <c r="DQ673"/>
      <c r="DR673"/>
      <c r="DS673"/>
      <c r="DT673"/>
      <c r="DU673"/>
      <c r="DV673"/>
      <c r="DW673"/>
      <c r="DZ673"/>
      <c r="EA673"/>
      <c r="EB673"/>
      <c r="EC673"/>
      <c r="ED673"/>
      <c r="EE673"/>
      <c r="EF673"/>
      <c r="EG673"/>
      <c r="EJ673"/>
      <c r="EK673"/>
      <c r="EL673"/>
      <c r="EM673"/>
      <c r="EN673"/>
      <c r="EO673"/>
      <c r="EP673"/>
      <c r="EQ673"/>
      <c r="ER673"/>
      <c r="ES673"/>
      <c r="ET673"/>
      <c r="EU673"/>
      <c r="EV673"/>
      <c r="EW673"/>
      <c r="EX673"/>
      <c r="EY673"/>
      <c r="EZ673"/>
      <c r="FA673"/>
      <c r="FB673"/>
      <c r="FC673"/>
      <c r="FD673"/>
      <c r="FE673"/>
      <c r="FF673"/>
      <c r="FG673"/>
      <c r="FH673"/>
      <c r="FK673"/>
      <c r="FL673"/>
      <c r="FM673"/>
      <c r="FN673"/>
      <c r="FO673"/>
      <c r="FP673"/>
      <c r="FQ673"/>
      <c r="FR673"/>
      <c r="FS673"/>
      <c r="FT673"/>
      <c r="FU673"/>
      <c r="FV673"/>
      <c r="FW673"/>
      <c r="FX673"/>
      <c r="FY673"/>
      <c r="FZ673"/>
      <c r="GA673"/>
      <c r="GB673"/>
      <c r="GC673"/>
      <c r="GD673"/>
    </row>
    <row r="674" spans="33:186" x14ac:dyDescent="0.15">
      <c r="AG674"/>
      <c r="AH674"/>
      <c r="AJ674"/>
      <c r="AK674"/>
      <c r="AL674"/>
      <c r="AM674"/>
      <c r="AO674"/>
      <c r="AP674"/>
      <c r="AQ674"/>
      <c r="AR674"/>
      <c r="AS674"/>
      <c r="AT674"/>
      <c r="AU674"/>
      <c r="AV674"/>
      <c r="AW674"/>
      <c r="AX674"/>
      <c r="AY674"/>
      <c r="AZ674"/>
      <c r="BA674"/>
      <c r="BB674"/>
      <c r="BC674"/>
      <c r="BD674"/>
      <c r="BE674"/>
      <c r="BF674"/>
      <c r="BH674"/>
      <c r="BI674"/>
      <c r="BJ674"/>
      <c r="BK674"/>
      <c r="BL674"/>
      <c r="BM674"/>
      <c r="BN674"/>
      <c r="BP674"/>
      <c r="BQ674"/>
      <c r="BR674"/>
      <c r="BS674"/>
      <c r="BT674"/>
      <c r="BU674"/>
      <c r="BV674"/>
      <c r="BW674"/>
      <c r="BZ674"/>
      <c r="CA674"/>
      <c r="CB674"/>
      <c r="CC674"/>
      <c r="CD674"/>
      <c r="CF674"/>
      <c r="CG674"/>
      <c r="CH674"/>
      <c r="CI674"/>
      <c r="CJ674"/>
      <c r="CK674"/>
      <c r="CL674"/>
      <c r="CM674"/>
      <c r="CN674"/>
      <c r="CO674"/>
      <c r="CP674"/>
      <c r="CQ674"/>
      <c r="CR674"/>
      <c r="CS674"/>
      <c r="CT674"/>
      <c r="CU674"/>
      <c r="CV674"/>
      <c r="CW674"/>
      <c r="CX674"/>
      <c r="CY674"/>
      <c r="CZ674"/>
      <c r="DA674"/>
      <c r="DB674"/>
      <c r="DC674"/>
      <c r="DD674"/>
      <c r="DE674"/>
      <c r="DG674"/>
      <c r="DH674"/>
      <c r="DI674"/>
      <c r="DJ674"/>
      <c r="DK674"/>
      <c r="DL674"/>
      <c r="DM674"/>
      <c r="DN674"/>
      <c r="DO674"/>
      <c r="DP674"/>
      <c r="DQ674"/>
      <c r="DR674"/>
      <c r="DS674"/>
      <c r="DT674"/>
      <c r="DU674"/>
      <c r="DV674"/>
      <c r="DW674"/>
      <c r="DZ674"/>
      <c r="EA674"/>
      <c r="EB674"/>
      <c r="EC674"/>
      <c r="ED674"/>
      <c r="EE674"/>
      <c r="EF674"/>
      <c r="EG674"/>
      <c r="EJ674"/>
      <c r="EK674"/>
      <c r="EL674"/>
      <c r="EM674"/>
      <c r="EN674"/>
      <c r="EO674"/>
      <c r="EP674"/>
      <c r="EQ674"/>
      <c r="ER674"/>
      <c r="ES674"/>
      <c r="ET674"/>
      <c r="EU674"/>
      <c r="EV674"/>
      <c r="EW674"/>
      <c r="EX674"/>
      <c r="EY674"/>
      <c r="EZ674"/>
      <c r="FA674"/>
      <c r="FB674"/>
      <c r="FC674"/>
      <c r="FD674"/>
      <c r="FE674"/>
      <c r="FF674"/>
      <c r="FG674"/>
      <c r="FH674"/>
      <c r="FK674"/>
      <c r="FL674"/>
      <c r="FM674"/>
      <c r="FN674"/>
      <c r="FO674"/>
      <c r="FP674"/>
      <c r="FQ674"/>
      <c r="FR674"/>
      <c r="FS674"/>
      <c r="FT674"/>
      <c r="FU674"/>
      <c r="FV674"/>
      <c r="FW674"/>
      <c r="FX674"/>
      <c r="FY674"/>
      <c r="FZ674"/>
      <c r="GA674"/>
      <c r="GB674"/>
      <c r="GC674"/>
      <c r="GD674"/>
    </row>
    <row r="675" spans="33:186" x14ac:dyDescent="0.15">
      <c r="AG675"/>
      <c r="AH675"/>
      <c r="AJ675"/>
      <c r="AK675"/>
      <c r="AL675"/>
      <c r="AM675"/>
      <c r="AO675"/>
      <c r="AP675"/>
      <c r="AQ675"/>
      <c r="AR675"/>
      <c r="AS675"/>
      <c r="AT675"/>
      <c r="AU675"/>
      <c r="AV675"/>
      <c r="AW675"/>
      <c r="AX675"/>
      <c r="AY675"/>
      <c r="AZ675"/>
      <c r="BA675"/>
      <c r="BB675"/>
      <c r="BC675"/>
      <c r="BD675"/>
      <c r="BE675"/>
      <c r="BF675"/>
      <c r="BH675"/>
      <c r="BI675"/>
      <c r="BJ675"/>
      <c r="BK675"/>
      <c r="BL675"/>
      <c r="BM675"/>
      <c r="BN675"/>
      <c r="BP675"/>
      <c r="BQ675"/>
      <c r="BR675"/>
      <c r="BS675"/>
      <c r="BT675"/>
      <c r="BU675"/>
      <c r="BV675"/>
      <c r="BW675"/>
      <c r="BZ675"/>
      <c r="CA675"/>
      <c r="CB675"/>
      <c r="CC675"/>
      <c r="CD675"/>
      <c r="CF675"/>
      <c r="CG675"/>
      <c r="CH675"/>
      <c r="CI675"/>
      <c r="CJ675"/>
      <c r="CK675"/>
      <c r="CL675"/>
      <c r="CM675"/>
      <c r="CN675"/>
      <c r="CO675"/>
      <c r="CP675"/>
      <c r="CQ675"/>
      <c r="CR675"/>
      <c r="CS675"/>
      <c r="CT675"/>
      <c r="CU675"/>
      <c r="CV675"/>
      <c r="CW675"/>
      <c r="CX675"/>
      <c r="CY675"/>
      <c r="CZ675"/>
      <c r="DA675"/>
      <c r="DB675"/>
      <c r="DC675"/>
      <c r="DD675"/>
      <c r="DE675"/>
      <c r="DG675"/>
      <c r="DH675"/>
      <c r="DI675"/>
      <c r="DJ675"/>
      <c r="DK675"/>
      <c r="DL675"/>
      <c r="DM675"/>
      <c r="DN675"/>
      <c r="DO675"/>
      <c r="DP675"/>
      <c r="DQ675"/>
      <c r="DR675"/>
      <c r="DS675"/>
      <c r="DT675"/>
      <c r="DU675"/>
      <c r="DV675"/>
      <c r="DW675"/>
      <c r="DZ675"/>
      <c r="EA675"/>
      <c r="EB675"/>
      <c r="EC675"/>
      <c r="ED675"/>
      <c r="EE675"/>
      <c r="EF675"/>
      <c r="EG675"/>
      <c r="EJ675"/>
      <c r="EK675"/>
      <c r="EL675"/>
      <c r="EM675"/>
      <c r="EN675"/>
      <c r="EO675"/>
      <c r="EP675"/>
      <c r="EQ675"/>
      <c r="ER675"/>
      <c r="ES675"/>
      <c r="ET675"/>
      <c r="EU675"/>
      <c r="EV675"/>
      <c r="EW675"/>
      <c r="EX675"/>
      <c r="EY675"/>
      <c r="EZ675"/>
      <c r="FA675"/>
      <c r="FB675"/>
      <c r="FC675"/>
      <c r="FD675"/>
      <c r="FE675"/>
      <c r="FF675"/>
      <c r="FG675"/>
      <c r="FH675"/>
      <c r="FK675"/>
      <c r="FL675"/>
      <c r="FM675"/>
      <c r="FN675"/>
      <c r="FO675"/>
      <c r="FP675"/>
      <c r="FQ675"/>
      <c r="FR675"/>
      <c r="FS675"/>
      <c r="FT675"/>
      <c r="FU675"/>
      <c r="FV675"/>
      <c r="FW675"/>
      <c r="FX675"/>
      <c r="FY675"/>
      <c r="FZ675"/>
      <c r="GA675"/>
      <c r="GB675"/>
      <c r="GC675"/>
      <c r="GD675"/>
    </row>
    <row r="676" spans="33:186" x14ac:dyDescent="0.15">
      <c r="AG676"/>
      <c r="AH676"/>
      <c r="AJ676"/>
      <c r="AK676"/>
      <c r="AL676"/>
      <c r="AM676"/>
      <c r="AO676"/>
      <c r="AP676"/>
      <c r="AQ676"/>
      <c r="AR676"/>
      <c r="AS676"/>
      <c r="AT676"/>
      <c r="AU676"/>
      <c r="AV676"/>
      <c r="AW676"/>
      <c r="AX676"/>
      <c r="AY676"/>
      <c r="AZ676"/>
      <c r="BA676"/>
      <c r="BB676"/>
      <c r="BC676"/>
      <c r="BD676"/>
      <c r="BE676"/>
      <c r="BF676"/>
      <c r="BH676"/>
      <c r="BI676"/>
      <c r="BJ676"/>
      <c r="BK676"/>
      <c r="BL676"/>
      <c r="BM676"/>
      <c r="BN676"/>
      <c r="BP676"/>
      <c r="BQ676"/>
      <c r="BR676"/>
      <c r="BS676"/>
      <c r="BT676"/>
      <c r="BU676"/>
      <c r="BV676"/>
      <c r="BW676"/>
      <c r="BZ676"/>
      <c r="CA676"/>
      <c r="CB676"/>
      <c r="CC676"/>
      <c r="CD676"/>
      <c r="CF676"/>
      <c r="CG676"/>
      <c r="CH676"/>
      <c r="CI676"/>
      <c r="CJ676"/>
      <c r="CK676"/>
      <c r="CL676"/>
      <c r="CM676"/>
      <c r="CN676"/>
      <c r="CO676"/>
      <c r="CP676"/>
      <c r="CQ676"/>
      <c r="CR676"/>
      <c r="CS676"/>
      <c r="CT676"/>
      <c r="CU676"/>
      <c r="CV676"/>
      <c r="CW676"/>
      <c r="CX676"/>
      <c r="CY676"/>
      <c r="CZ676"/>
      <c r="DA676"/>
      <c r="DB676"/>
      <c r="DC676"/>
      <c r="DD676"/>
      <c r="DE676"/>
      <c r="DG676"/>
      <c r="DH676"/>
      <c r="DI676"/>
      <c r="DJ676"/>
      <c r="DK676"/>
      <c r="DL676"/>
      <c r="DM676"/>
      <c r="DN676"/>
      <c r="DO676"/>
      <c r="DP676"/>
      <c r="DQ676"/>
      <c r="DR676"/>
      <c r="DS676"/>
      <c r="DT676"/>
      <c r="DU676"/>
      <c r="DV676"/>
      <c r="DW676"/>
      <c r="DZ676"/>
      <c r="EA676"/>
      <c r="EB676"/>
      <c r="EC676"/>
      <c r="ED676"/>
      <c r="EE676"/>
      <c r="EF676"/>
      <c r="EG676"/>
      <c r="EJ676"/>
      <c r="EK676"/>
      <c r="EL676"/>
      <c r="EM676"/>
      <c r="EN676"/>
      <c r="EO676"/>
      <c r="EP676"/>
      <c r="EQ676"/>
      <c r="ER676"/>
      <c r="ES676"/>
      <c r="ET676"/>
      <c r="EU676"/>
      <c r="EV676"/>
      <c r="EW676"/>
      <c r="EX676"/>
      <c r="EY676"/>
      <c r="EZ676"/>
      <c r="FA676"/>
      <c r="FB676"/>
      <c r="FC676"/>
      <c r="FD676"/>
      <c r="FE676"/>
      <c r="FF676"/>
      <c r="FG676"/>
      <c r="FH676"/>
      <c r="FK676"/>
      <c r="FL676"/>
      <c r="FM676"/>
      <c r="FN676"/>
      <c r="FO676"/>
      <c r="FP676"/>
      <c r="FQ676"/>
      <c r="FR676"/>
      <c r="FS676"/>
      <c r="FT676"/>
      <c r="FU676"/>
      <c r="FV676"/>
      <c r="FW676"/>
      <c r="FX676"/>
      <c r="FY676"/>
      <c r="FZ676"/>
      <c r="GA676"/>
      <c r="GB676"/>
      <c r="GC676"/>
      <c r="GD676"/>
    </row>
    <row r="677" spans="33:186" x14ac:dyDescent="0.15">
      <c r="AG677"/>
      <c r="AH677"/>
      <c r="AJ677"/>
      <c r="AK677"/>
      <c r="AL677"/>
      <c r="AM677"/>
      <c r="AO677"/>
      <c r="AP677"/>
      <c r="AQ677"/>
      <c r="AR677"/>
      <c r="AS677"/>
      <c r="AT677"/>
      <c r="AU677"/>
      <c r="AV677"/>
      <c r="AW677"/>
      <c r="AX677"/>
      <c r="AY677"/>
      <c r="AZ677"/>
      <c r="BA677"/>
      <c r="BB677"/>
      <c r="BC677"/>
      <c r="BD677"/>
      <c r="BE677"/>
      <c r="BF677"/>
      <c r="BH677"/>
      <c r="BI677"/>
      <c r="BJ677"/>
      <c r="BK677"/>
      <c r="BL677"/>
      <c r="BM677"/>
      <c r="BN677"/>
      <c r="BP677"/>
      <c r="BQ677"/>
      <c r="BR677"/>
      <c r="BS677"/>
      <c r="BT677"/>
      <c r="BU677"/>
      <c r="BV677"/>
      <c r="BW677"/>
      <c r="BZ677"/>
      <c r="CA677"/>
      <c r="CB677"/>
      <c r="CC677"/>
      <c r="CD677"/>
      <c r="CF677"/>
      <c r="CG677"/>
      <c r="CH677"/>
      <c r="CI677"/>
      <c r="CJ677"/>
      <c r="CK677"/>
      <c r="CL677"/>
      <c r="CM677"/>
      <c r="CN677"/>
      <c r="CO677"/>
      <c r="CP677"/>
      <c r="CQ677"/>
      <c r="CR677"/>
      <c r="CS677"/>
      <c r="CT677"/>
      <c r="CU677"/>
      <c r="CV677"/>
      <c r="CW677"/>
      <c r="CX677"/>
      <c r="CY677"/>
      <c r="CZ677"/>
      <c r="DA677"/>
      <c r="DB677"/>
      <c r="DC677"/>
      <c r="DD677"/>
      <c r="DE677"/>
      <c r="DG677"/>
      <c r="DH677"/>
      <c r="DI677"/>
      <c r="DJ677"/>
      <c r="DK677"/>
      <c r="DL677"/>
      <c r="DM677"/>
      <c r="DN677"/>
      <c r="DO677"/>
      <c r="DP677"/>
      <c r="DQ677"/>
      <c r="DR677"/>
      <c r="DS677"/>
      <c r="DT677"/>
      <c r="DU677"/>
      <c r="DV677"/>
      <c r="DW677"/>
      <c r="DZ677"/>
      <c r="EA677"/>
      <c r="EB677"/>
      <c r="EC677"/>
      <c r="ED677"/>
      <c r="EE677"/>
      <c r="EF677"/>
      <c r="EG677"/>
      <c r="EJ677"/>
      <c r="EK677"/>
      <c r="EL677"/>
      <c r="EM677"/>
      <c r="EN677"/>
      <c r="EO677"/>
      <c r="EP677"/>
      <c r="EQ677"/>
      <c r="ER677"/>
      <c r="ES677"/>
      <c r="ET677"/>
      <c r="EU677"/>
      <c r="EV677"/>
      <c r="EW677"/>
      <c r="EX677"/>
      <c r="EY677"/>
      <c r="EZ677"/>
      <c r="FA677"/>
      <c r="FB677"/>
      <c r="FC677"/>
      <c r="FD677"/>
      <c r="FE677"/>
      <c r="FF677"/>
      <c r="FG677"/>
      <c r="FH677"/>
      <c r="FK677"/>
      <c r="FL677"/>
      <c r="FM677"/>
      <c r="FN677"/>
      <c r="FO677"/>
      <c r="FP677"/>
      <c r="FQ677"/>
      <c r="FR677"/>
      <c r="FS677"/>
      <c r="FT677"/>
      <c r="FU677"/>
      <c r="FV677"/>
      <c r="FW677"/>
      <c r="FX677"/>
      <c r="FY677"/>
      <c r="FZ677"/>
      <c r="GA677"/>
      <c r="GB677"/>
      <c r="GC677"/>
      <c r="GD677"/>
    </row>
    <row r="678" spans="33:186" x14ac:dyDescent="0.15">
      <c r="AG678"/>
      <c r="AH678"/>
      <c r="AJ678"/>
      <c r="AK678"/>
      <c r="AL678"/>
      <c r="AM678"/>
      <c r="AO678"/>
      <c r="AP678"/>
      <c r="AQ678"/>
      <c r="AR678"/>
      <c r="AS678"/>
      <c r="AT678"/>
      <c r="AU678"/>
      <c r="AV678"/>
      <c r="AW678"/>
      <c r="AX678"/>
      <c r="AY678"/>
      <c r="AZ678"/>
      <c r="BA678"/>
      <c r="BB678"/>
      <c r="BC678"/>
      <c r="BD678"/>
      <c r="BE678"/>
      <c r="BF678"/>
      <c r="BH678"/>
      <c r="BI678"/>
      <c r="BJ678"/>
      <c r="BK678"/>
      <c r="BL678"/>
      <c r="BM678"/>
      <c r="BN678"/>
      <c r="BP678"/>
      <c r="BQ678"/>
      <c r="BR678"/>
      <c r="BS678"/>
      <c r="BT678"/>
      <c r="BU678"/>
      <c r="BV678"/>
      <c r="BW678"/>
      <c r="BZ678"/>
      <c r="CA678"/>
      <c r="CB678"/>
      <c r="CC678"/>
      <c r="CD678"/>
      <c r="CF678"/>
      <c r="CG678"/>
      <c r="CH678"/>
      <c r="CI678"/>
      <c r="CJ678"/>
      <c r="CK678"/>
      <c r="CL678"/>
      <c r="CM678"/>
      <c r="CN678"/>
      <c r="CO678"/>
      <c r="CP678"/>
      <c r="CQ678"/>
      <c r="CR678"/>
      <c r="CS678"/>
      <c r="CT678"/>
      <c r="CU678"/>
      <c r="CV678"/>
      <c r="CW678"/>
      <c r="CX678"/>
      <c r="CY678"/>
      <c r="CZ678"/>
      <c r="DA678"/>
      <c r="DB678"/>
      <c r="DC678"/>
      <c r="DD678"/>
      <c r="DE678"/>
      <c r="DG678"/>
      <c r="DH678"/>
      <c r="DI678"/>
      <c r="DJ678"/>
      <c r="DK678"/>
      <c r="DL678"/>
      <c r="DM678"/>
      <c r="DN678"/>
      <c r="DO678"/>
      <c r="DP678"/>
      <c r="DQ678"/>
      <c r="DR678"/>
      <c r="DS678"/>
      <c r="DT678"/>
      <c r="DU678"/>
      <c r="DV678"/>
      <c r="DW678"/>
      <c r="DZ678"/>
      <c r="EA678"/>
      <c r="EB678"/>
      <c r="EC678"/>
      <c r="ED678"/>
      <c r="EE678"/>
      <c r="EF678"/>
      <c r="EG678"/>
      <c r="EJ678"/>
      <c r="EK678"/>
      <c r="EL678"/>
      <c r="EM678"/>
      <c r="EN678"/>
      <c r="EO678"/>
      <c r="EP678"/>
      <c r="EQ678"/>
      <c r="ER678"/>
      <c r="ES678"/>
      <c r="ET678"/>
      <c r="EU678"/>
      <c r="EV678"/>
      <c r="EW678"/>
      <c r="EX678"/>
      <c r="EY678"/>
      <c r="EZ678"/>
      <c r="FA678"/>
      <c r="FB678"/>
      <c r="FC678"/>
      <c r="FD678"/>
      <c r="FE678"/>
      <c r="FF678"/>
      <c r="FG678"/>
      <c r="FH678"/>
      <c r="FK678"/>
      <c r="FL678"/>
      <c r="FM678"/>
      <c r="FN678"/>
      <c r="FO678"/>
      <c r="FP678"/>
      <c r="FQ678"/>
      <c r="FR678"/>
      <c r="FS678"/>
      <c r="FT678"/>
      <c r="FU678"/>
      <c r="FV678"/>
      <c r="FW678"/>
      <c r="FX678"/>
      <c r="FY678"/>
      <c r="FZ678"/>
      <c r="GA678"/>
      <c r="GB678"/>
      <c r="GC678"/>
      <c r="GD678"/>
    </row>
    <row r="679" spans="33:186" x14ac:dyDescent="0.15">
      <c r="AG679"/>
      <c r="AH679"/>
      <c r="AJ679"/>
      <c r="AK679"/>
      <c r="AL679"/>
      <c r="AM679"/>
      <c r="AO679"/>
      <c r="AP679"/>
      <c r="AQ679"/>
      <c r="AR679"/>
      <c r="AS679"/>
      <c r="AT679"/>
      <c r="AU679"/>
      <c r="AV679"/>
      <c r="AW679"/>
      <c r="AX679"/>
      <c r="AY679"/>
      <c r="AZ679"/>
      <c r="BA679"/>
      <c r="BB679"/>
      <c r="BC679"/>
      <c r="BD679"/>
      <c r="BE679"/>
      <c r="BF679"/>
      <c r="BH679"/>
      <c r="BI679"/>
      <c r="BJ679"/>
      <c r="BK679"/>
      <c r="BL679"/>
      <c r="BM679"/>
      <c r="BN679"/>
      <c r="BP679"/>
      <c r="BQ679"/>
      <c r="BR679"/>
      <c r="BS679"/>
      <c r="BT679"/>
      <c r="BU679"/>
      <c r="BV679"/>
      <c r="BW679"/>
      <c r="BZ679"/>
      <c r="CA679"/>
      <c r="CB679"/>
      <c r="CC679"/>
      <c r="CD679"/>
      <c r="CF679"/>
      <c r="CG679"/>
      <c r="CH679"/>
      <c r="CI679"/>
      <c r="CJ679"/>
      <c r="CK679"/>
      <c r="CL679"/>
      <c r="CM679"/>
      <c r="CN679"/>
      <c r="CO679"/>
      <c r="CP679"/>
      <c r="CQ679"/>
      <c r="CR679"/>
      <c r="CS679"/>
      <c r="CT679"/>
      <c r="CU679"/>
      <c r="CV679"/>
      <c r="CW679"/>
      <c r="CX679"/>
      <c r="CY679"/>
      <c r="CZ679"/>
      <c r="DA679"/>
      <c r="DB679"/>
      <c r="DC679"/>
      <c r="DD679"/>
      <c r="DE679"/>
      <c r="DG679"/>
      <c r="DH679"/>
      <c r="DI679"/>
      <c r="DJ679"/>
      <c r="DK679"/>
      <c r="DL679"/>
      <c r="DM679"/>
      <c r="DN679"/>
      <c r="DO679"/>
      <c r="DP679"/>
      <c r="DQ679"/>
      <c r="DR679"/>
      <c r="DS679"/>
      <c r="DT679"/>
      <c r="DU679"/>
      <c r="DV679"/>
      <c r="DW679"/>
      <c r="DZ679"/>
      <c r="EA679"/>
      <c r="EB679"/>
      <c r="EC679"/>
      <c r="ED679"/>
      <c r="EE679"/>
      <c r="EF679"/>
      <c r="EG679"/>
      <c r="EJ679"/>
      <c r="EK679"/>
      <c r="EL679"/>
      <c r="EM679"/>
      <c r="EN679"/>
      <c r="EO679"/>
      <c r="EP679"/>
      <c r="EQ679"/>
      <c r="ER679"/>
      <c r="ES679"/>
      <c r="ET679"/>
      <c r="EU679"/>
      <c r="EV679"/>
      <c r="EW679"/>
      <c r="EX679"/>
      <c r="EY679"/>
      <c r="EZ679"/>
      <c r="FA679"/>
      <c r="FB679"/>
      <c r="FC679"/>
      <c r="FD679"/>
      <c r="FE679"/>
      <c r="FF679"/>
      <c r="FG679"/>
      <c r="FH679"/>
      <c r="FK679"/>
      <c r="FL679"/>
      <c r="FM679"/>
      <c r="FN679"/>
      <c r="FO679"/>
      <c r="FP679"/>
      <c r="FQ679"/>
      <c r="FR679"/>
      <c r="FS679"/>
      <c r="FT679"/>
      <c r="FU679"/>
      <c r="FV679"/>
      <c r="FW679"/>
      <c r="FX679"/>
      <c r="FY679"/>
      <c r="FZ679"/>
      <c r="GA679"/>
      <c r="GB679"/>
      <c r="GC679"/>
      <c r="GD679"/>
    </row>
    <row r="680" spans="33:186" x14ac:dyDescent="0.15">
      <c r="AG680"/>
      <c r="AH680"/>
      <c r="AJ680"/>
      <c r="AK680"/>
      <c r="AL680"/>
      <c r="AM680"/>
      <c r="AO680"/>
      <c r="AP680"/>
      <c r="AQ680"/>
      <c r="AR680"/>
      <c r="AS680"/>
      <c r="AT680"/>
      <c r="AU680"/>
      <c r="AV680"/>
      <c r="AW680"/>
      <c r="AX680"/>
      <c r="AY680"/>
      <c r="AZ680"/>
      <c r="BA680"/>
      <c r="BB680"/>
      <c r="BC680"/>
      <c r="BD680"/>
      <c r="BE680"/>
      <c r="BF680"/>
      <c r="BH680"/>
      <c r="BI680"/>
      <c r="BJ680"/>
      <c r="BK680"/>
      <c r="BL680"/>
      <c r="BM680"/>
      <c r="BN680"/>
      <c r="BP680"/>
      <c r="BQ680"/>
      <c r="BR680"/>
      <c r="BS680"/>
      <c r="BT680"/>
      <c r="BU680"/>
      <c r="BV680"/>
      <c r="BW680"/>
      <c r="BZ680"/>
      <c r="CA680"/>
      <c r="CB680"/>
      <c r="CC680"/>
      <c r="CD680"/>
      <c r="CF680"/>
      <c r="CG680"/>
      <c r="CH680"/>
      <c r="CI680"/>
      <c r="CJ680"/>
      <c r="CK680"/>
      <c r="CL680"/>
      <c r="CM680"/>
      <c r="CN680"/>
      <c r="CO680"/>
      <c r="CP680"/>
      <c r="CQ680"/>
      <c r="CR680"/>
      <c r="CS680"/>
      <c r="CT680"/>
      <c r="CU680"/>
      <c r="CV680"/>
      <c r="CW680"/>
      <c r="CX680"/>
      <c r="CY680"/>
      <c r="CZ680"/>
      <c r="DA680"/>
      <c r="DB680"/>
      <c r="DC680"/>
      <c r="DD680"/>
      <c r="DE680"/>
      <c r="DG680"/>
      <c r="DH680"/>
      <c r="DI680"/>
      <c r="DJ680"/>
      <c r="DK680"/>
      <c r="DL680"/>
      <c r="DM680"/>
      <c r="DN680"/>
      <c r="DO680"/>
      <c r="DP680"/>
      <c r="DQ680"/>
      <c r="DR680"/>
      <c r="DS680"/>
      <c r="DT680"/>
      <c r="DU680"/>
      <c r="DV680"/>
      <c r="DW680"/>
      <c r="DZ680"/>
      <c r="EA680"/>
      <c r="EB680"/>
      <c r="EC680"/>
      <c r="ED680"/>
      <c r="EE680"/>
      <c r="EF680"/>
      <c r="EG680"/>
      <c r="EJ680"/>
      <c r="EK680"/>
      <c r="EL680"/>
      <c r="EM680"/>
      <c r="EN680"/>
      <c r="EO680"/>
      <c r="EP680"/>
      <c r="EQ680"/>
      <c r="ER680"/>
      <c r="ES680"/>
      <c r="ET680"/>
      <c r="EU680"/>
      <c r="EV680"/>
      <c r="EW680"/>
      <c r="EX680"/>
      <c r="EY680"/>
      <c r="EZ680"/>
      <c r="FA680"/>
      <c r="FB680"/>
      <c r="FC680"/>
      <c r="FD680"/>
      <c r="FE680"/>
      <c r="FF680"/>
      <c r="FG680"/>
      <c r="FH680"/>
      <c r="FK680"/>
      <c r="FL680"/>
      <c r="FM680"/>
      <c r="FN680"/>
      <c r="FO680"/>
      <c r="FP680"/>
      <c r="FQ680"/>
      <c r="FR680"/>
      <c r="FS680"/>
      <c r="FT680"/>
      <c r="FU680"/>
      <c r="FV680"/>
      <c r="FW680"/>
      <c r="FX680"/>
      <c r="FY680"/>
      <c r="FZ680"/>
      <c r="GA680"/>
      <c r="GB680"/>
      <c r="GC680"/>
      <c r="GD680"/>
    </row>
    <row r="681" spans="33:186" x14ac:dyDescent="0.15">
      <c r="AG681"/>
      <c r="AH681"/>
      <c r="AJ681"/>
      <c r="AK681"/>
      <c r="AL681"/>
      <c r="AM681"/>
      <c r="AO681"/>
      <c r="AP681"/>
      <c r="AQ681"/>
      <c r="AR681"/>
      <c r="AS681"/>
      <c r="AT681"/>
      <c r="AU681"/>
      <c r="AV681"/>
      <c r="AW681"/>
      <c r="AX681"/>
      <c r="AY681"/>
      <c r="AZ681"/>
      <c r="BA681"/>
      <c r="BB681"/>
      <c r="BC681"/>
      <c r="BD681"/>
      <c r="BE681"/>
      <c r="BF681"/>
      <c r="BH681"/>
      <c r="BI681"/>
      <c r="BJ681"/>
      <c r="BK681"/>
      <c r="BL681"/>
      <c r="BM681"/>
      <c r="BN681"/>
      <c r="BP681"/>
      <c r="BQ681"/>
      <c r="BR681"/>
      <c r="BS681"/>
      <c r="BT681"/>
      <c r="BU681"/>
      <c r="BV681"/>
      <c r="BW681"/>
      <c r="BZ681"/>
      <c r="CA681"/>
      <c r="CB681"/>
      <c r="CC681"/>
      <c r="CD681"/>
      <c r="CF681"/>
      <c r="CG681"/>
      <c r="CH681"/>
      <c r="CI681"/>
      <c r="CJ681"/>
      <c r="CK681"/>
      <c r="CL681"/>
      <c r="CM681"/>
      <c r="CN681"/>
      <c r="CO681"/>
      <c r="CP681"/>
      <c r="CQ681"/>
      <c r="CR681"/>
      <c r="CS681"/>
      <c r="CT681"/>
      <c r="CU681"/>
      <c r="CV681"/>
      <c r="CW681"/>
      <c r="CX681"/>
      <c r="CY681"/>
      <c r="CZ681"/>
      <c r="DA681"/>
      <c r="DB681"/>
      <c r="DC681"/>
      <c r="DD681"/>
      <c r="DE681"/>
      <c r="DG681"/>
      <c r="DH681"/>
      <c r="DI681"/>
      <c r="DJ681"/>
      <c r="DK681"/>
      <c r="DL681"/>
      <c r="DM681"/>
      <c r="DN681"/>
      <c r="DO681"/>
      <c r="DP681"/>
      <c r="DQ681"/>
      <c r="DR681"/>
      <c r="DS681"/>
      <c r="DT681"/>
      <c r="DU681"/>
      <c r="DV681"/>
      <c r="DW681"/>
      <c r="DZ681"/>
      <c r="EA681"/>
      <c r="EB681"/>
      <c r="EC681"/>
      <c r="ED681"/>
      <c r="EE681"/>
      <c r="EF681"/>
      <c r="EG681"/>
      <c r="EJ681"/>
      <c r="EK681"/>
      <c r="EL681"/>
      <c r="EM681"/>
      <c r="EN681"/>
      <c r="EO681"/>
      <c r="EP681"/>
      <c r="EQ681"/>
      <c r="ER681"/>
      <c r="ES681"/>
      <c r="ET681"/>
      <c r="EU681"/>
      <c r="EV681"/>
      <c r="EW681"/>
      <c r="EX681"/>
      <c r="EY681"/>
      <c r="EZ681"/>
      <c r="FA681"/>
      <c r="FB681"/>
      <c r="FC681"/>
      <c r="FD681"/>
      <c r="FE681"/>
      <c r="FF681"/>
      <c r="FG681"/>
      <c r="FH681"/>
      <c r="FK681"/>
      <c r="FL681"/>
      <c r="FM681"/>
      <c r="FN681"/>
      <c r="FO681"/>
      <c r="FP681"/>
      <c r="FQ681"/>
      <c r="FR681"/>
      <c r="FS681"/>
      <c r="FT681"/>
      <c r="FU681"/>
      <c r="FV681"/>
      <c r="FW681"/>
      <c r="FX681"/>
      <c r="FY681"/>
      <c r="FZ681"/>
      <c r="GA681"/>
      <c r="GB681"/>
      <c r="GC681"/>
      <c r="GD681"/>
    </row>
    <row r="682" spans="33:186" x14ac:dyDescent="0.15">
      <c r="AG682"/>
      <c r="AH682"/>
      <c r="AJ682"/>
      <c r="AK682"/>
      <c r="AL682"/>
      <c r="AM682"/>
      <c r="AO682"/>
      <c r="AP682"/>
      <c r="AQ682"/>
      <c r="AR682"/>
      <c r="AS682"/>
      <c r="AT682"/>
      <c r="AU682"/>
      <c r="AV682"/>
      <c r="AW682"/>
      <c r="AX682"/>
      <c r="AY682"/>
      <c r="AZ682"/>
      <c r="BA682"/>
      <c r="BB682"/>
      <c r="BC682"/>
      <c r="BD682"/>
      <c r="BE682"/>
      <c r="BF682"/>
      <c r="BH682"/>
      <c r="BI682"/>
      <c r="BJ682"/>
      <c r="BK682"/>
      <c r="BL682"/>
      <c r="BM682"/>
      <c r="BN682"/>
      <c r="BP682"/>
      <c r="BQ682"/>
      <c r="BR682"/>
      <c r="BS682"/>
      <c r="BT682"/>
      <c r="BU682"/>
      <c r="BV682"/>
      <c r="BW682"/>
      <c r="BZ682"/>
      <c r="CA682"/>
      <c r="CB682"/>
      <c r="CC682"/>
      <c r="CD682"/>
      <c r="CF682"/>
      <c r="CG682"/>
      <c r="CH682"/>
      <c r="CI682"/>
      <c r="CJ682"/>
      <c r="CK682"/>
      <c r="CL682"/>
      <c r="CM682"/>
      <c r="CN682"/>
      <c r="CO682"/>
      <c r="CP682"/>
      <c r="CQ682"/>
      <c r="CR682"/>
      <c r="CS682"/>
      <c r="CT682"/>
      <c r="CU682"/>
      <c r="CV682"/>
      <c r="CW682"/>
      <c r="CX682"/>
      <c r="CY682"/>
      <c r="CZ682"/>
      <c r="DA682"/>
      <c r="DB682"/>
      <c r="DC682"/>
      <c r="DD682"/>
      <c r="DE682"/>
      <c r="DG682"/>
      <c r="DH682"/>
      <c r="DI682"/>
      <c r="DJ682"/>
      <c r="DK682"/>
      <c r="DL682"/>
      <c r="DM682"/>
      <c r="DN682"/>
      <c r="DO682"/>
      <c r="DP682"/>
      <c r="DQ682"/>
      <c r="DR682"/>
      <c r="DS682"/>
      <c r="DT682"/>
      <c r="DU682"/>
      <c r="DV682"/>
      <c r="DW682"/>
      <c r="DZ682"/>
      <c r="EA682"/>
      <c r="EB682"/>
      <c r="EC682"/>
      <c r="ED682"/>
      <c r="EE682"/>
      <c r="EF682"/>
      <c r="EG682"/>
      <c r="EJ682"/>
      <c r="EK682"/>
      <c r="EL682"/>
      <c r="EM682"/>
      <c r="EN682"/>
      <c r="EO682"/>
      <c r="EP682"/>
      <c r="EQ682"/>
      <c r="ER682"/>
      <c r="ES682"/>
      <c r="ET682"/>
      <c r="EU682"/>
      <c r="EV682"/>
      <c r="EW682"/>
      <c r="EX682"/>
      <c r="EY682"/>
      <c r="EZ682"/>
      <c r="FA682"/>
      <c r="FB682"/>
      <c r="FC682"/>
      <c r="FD682"/>
      <c r="FE682"/>
      <c r="FF682"/>
      <c r="FG682"/>
      <c r="FH682"/>
      <c r="FK682"/>
      <c r="FL682"/>
      <c r="FM682"/>
      <c r="FN682"/>
      <c r="FO682"/>
      <c r="FP682"/>
      <c r="FQ682"/>
      <c r="FR682"/>
      <c r="FS682"/>
      <c r="FT682"/>
      <c r="FU682"/>
      <c r="FV682"/>
      <c r="FW682"/>
      <c r="FX682"/>
      <c r="FY682"/>
      <c r="FZ682"/>
      <c r="GA682"/>
      <c r="GB682"/>
      <c r="GC682"/>
      <c r="GD682"/>
    </row>
    <row r="683" spans="33:186" x14ac:dyDescent="0.15">
      <c r="AG683"/>
      <c r="AH683"/>
      <c r="AJ683"/>
      <c r="AK683"/>
      <c r="AL683"/>
      <c r="AM683"/>
      <c r="AO683"/>
      <c r="AP683"/>
      <c r="AQ683"/>
      <c r="AR683"/>
      <c r="AS683"/>
      <c r="AT683"/>
      <c r="AU683"/>
      <c r="AV683"/>
      <c r="AW683"/>
      <c r="AX683"/>
      <c r="AY683"/>
      <c r="AZ683"/>
      <c r="BA683"/>
      <c r="BB683"/>
      <c r="BC683"/>
      <c r="BD683"/>
      <c r="BE683"/>
      <c r="BF683"/>
      <c r="BH683"/>
      <c r="BI683"/>
      <c r="BJ683"/>
      <c r="BK683"/>
      <c r="BL683"/>
      <c r="BM683"/>
      <c r="BN683"/>
      <c r="BP683"/>
      <c r="BQ683"/>
      <c r="BR683"/>
      <c r="BS683"/>
      <c r="BT683"/>
      <c r="BU683"/>
      <c r="BV683"/>
      <c r="BW683"/>
      <c r="BZ683"/>
      <c r="CA683"/>
      <c r="CB683"/>
      <c r="CC683"/>
      <c r="CD683"/>
      <c r="CF683"/>
      <c r="CG683"/>
      <c r="CH683"/>
      <c r="CI683"/>
      <c r="CJ683"/>
      <c r="CK683"/>
      <c r="CL683"/>
      <c r="CM683"/>
      <c r="CN683"/>
      <c r="CO683"/>
      <c r="CP683"/>
      <c r="CQ683"/>
      <c r="CR683"/>
      <c r="CS683"/>
      <c r="CT683"/>
      <c r="CU683"/>
      <c r="CV683"/>
      <c r="CW683"/>
      <c r="CX683"/>
      <c r="CY683"/>
      <c r="CZ683"/>
      <c r="DA683"/>
      <c r="DB683"/>
      <c r="DC683"/>
      <c r="DD683"/>
      <c r="DE683"/>
      <c r="DG683"/>
      <c r="DH683"/>
      <c r="DI683"/>
      <c r="DJ683"/>
      <c r="DK683"/>
      <c r="DL683"/>
      <c r="DM683"/>
      <c r="DN683"/>
      <c r="DO683"/>
      <c r="DP683"/>
      <c r="DQ683"/>
      <c r="DR683"/>
      <c r="DS683"/>
      <c r="DT683"/>
      <c r="DU683"/>
      <c r="DV683"/>
      <c r="DW683"/>
      <c r="DZ683"/>
      <c r="EA683"/>
      <c r="EB683"/>
      <c r="EC683"/>
      <c r="ED683"/>
      <c r="EE683"/>
      <c r="EF683"/>
      <c r="EG683"/>
      <c r="EJ683"/>
      <c r="EK683"/>
      <c r="EL683"/>
      <c r="EM683"/>
      <c r="EN683"/>
      <c r="EO683"/>
      <c r="EP683"/>
      <c r="EQ683"/>
      <c r="ER683"/>
      <c r="ES683"/>
      <c r="ET683"/>
      <c r="EU683"/>
      <c r="EV683"/>
      <c r="EW683"/>
      <c r="EX683"/>
      <c r="EY683"/>
      <c r="EZ683"/>
      <c r="FA683"/>
      <c r="FB683"/>
      <c r="FC683"/>
      <c r="FD683"/>
      <c r="FE683"/>
      <c r="FF683"/>
      <c r="FG683"/>
      <c r="FH683"/>
      <c r="FK683"/>
      <c r="FL683"/>
      <c r="FM683"/>
      <c r="FN683"/>
      <c r="FO683"/>
      <c r="FP683"/>
      <c r="FQ683"/>
      <c r="FR683"/>
      <c r="FS683"/>
      <c r="FT683"/>
      <c r="FU683"/>
      <c r="FV683"/>
      <c r="FW683"/>
      <c r="FX683"/>
      <c r="FY683"/>
      <c r="FZ683"/>
      <c r="GA683"/>
      <c r="GB683"/>
      <c r="GC683"/>
      <c r="GD683"/>
    </row>
    <row r="684" spans="33:186" x14ac:dyDescent="0.15">
      <c r="AG684"/>
      <c r="AH684"/>
      <c r="AJ684"/>
      <c r="AK684"/>
      <c r="AL684"/>
      <c r="AM684"/>
      <c r="AO684"/>
      <c r="AP684"/>
      <c r="AQ684"/>
      <c r="AR684"/>
      <c r="AS684"/>
      <c r="AT684"/>
      <c r="AU684"/>
      <c r="AV684"/>
      <c r="AW684"/>
      <c r="AX684"/>
      <c r="AY684"/>
      <c r="AZ684"/>
      <c r="BA684"/>
      <c r="BB684"/>
      <c r="BC684"/>
      <c r="BD684"/>
      <c r="BE684"/>
      <c r="BF684"/>
      <c r="BH684"/>
      <c r="BI684"/>
      <c r="BJ684"/>
      <c r="BK684"/>
      <c r="BL684"/>
      <c r="BM684"/>
      <c r="BN684"/>
      <c r="BP684"/>
      <c r="BQ684"/>
      <c r="BR684"/>
      <c r="BS684"/>
      <c r="BT684"/>
      <c r="BU684"/>
      <c r="BV684"/>
      <c r="BW684"/>
      <c r="BZ684"/>
      <c r="CA684"/>
      <c r="CB684"/>
      <c r="CC684"/>
      <c r="CD684"/>
      <c r="CF684"/>
      <c r="CG684"/>
      <c r="CH684"/>
      <c r="CI684"/>
      <c r="CJ684"/>
      <c r="CK684"/>
      <c r="CL684"/>
      <c r="CM684"/>
      <c r="CN684"/>
      <c r="CO684"/>
      <c r="CP684"/>
      <c r="CQ684"/>
      <c r="CR684"/>
      <c r="CS684"/>
      <c r="CT684"/>
      <c r="CU684"/>
      <c r="CV684"/>
      <c r="CW684"/>
      <c r="CX684"/>
      <c r="CY684"/>
      <c r="CZ684"/>
      <c r="DA684"/>
      <c r="DB684"/>
      <c r="DC684"/>
      <c r="DD684"/>
      <c r="DE684"/>
      <c r="DG684"/>
      <c r="DH684"/>
      <c r="DI684"/>
      <c r="DJ684"/>
      <c r="DK684"/>
      <c r="DL684"/>
      <c r="DM684"/>
      <c r="DN684"/>
      <c r="DO684"/>
      <c r="DP684"/>
      <c r="DQ684"/>
      <c r="DR684"/>
      <c r="DS684"/>
      <c r="DT684"/>
      <c r="DU684"/>
      <c r="DV684"/>
      <c r="DW684"/>
      <c r="DZ684"/>
      <c r="EA684"/>
      <c r="EB684"/>
      <c r="EC684"/>
      <c r="ED684"/>
      <c r="EE684"/>
      <c r="EF684"/>
      <c r="EG684"/>
      <c r="EJ684"/>
      <c r="EK684"/>
      <c r="EL684"/>
      <c r="EM684"/>
      <c r="EN684"/>
      <c r="EO684"/>
      <c r="EP684"/>
      <c r="EQ684"/>
      <c r="ER684"/>
      <c r="ES684"/>
      <c r="ET684"/>
      <c r="EU684"/>
      <c r="EV684"/>
      <c r="EW684"/>
      <c r="EX684"/>
      <c r="EY684"/>
      <c r="EZ684"/>
      <c r="FA684"/>
      <c r="FB684"/>
      <c r="FC684"/>
      <c r="FD684"/>
      <c r="FE684"/>
      <c r="FF684"/>
      <c r="FG684"/>
      <c r="FH684"/>
      <c r="FK684"/>
      <c r="FL684"/>
      <c r="FM684"/>
      <c r="FN684"/>
      <c r="FO684"/>
      <c r="FP684"/>
      <c r="FQ684"/>
      <c r="FR684"/>
      <c r="FS684"/>
      <c r="FT684"/>
      <c r="FU684"/>
      <c r="FV684"/>
      <c r="FW684"/>
      <c r="FX684"/>
      <c r="FY684"/>
      <c r="FZ684"/>
      <c r="GA684"/>
      <c r="GB684"/>
      <c r="GC684"/>
      <c r="GD684"/>
    </row>
    <row r="685" spans="33:186" x14ac:dyDescent="0.15">
      <c r="AG685"/>
      <c r="AH685"/>
      <c r="AJ685"/>
      <c r="AK685"/>
      <c r="AL685"/>
      <c r="AM685"/>
      <c r="AO685"/>
      <c r="AP685"/>
      <c r="AQ685"/>
      <c r="AR685"/>
      <c r="AS685"/>
      <c r="AT685"/>
      <c r="AU685"/>
      <c r="AV685"/>
      <c r="AW685"/>
      <c r="AX685"/>
      <c r="AY685"/>
      <c r="AZ685"/>
      <c r="BA685"/>
      <c r="BB685"/>
      <c r="BC685"/>
      <c r="BD685"/>
      <c r="BE685"/>
      <c r="BF685"/>
      <c r="BH685"/>
      <c r="BI685"/>
      <c r="BJ685"/>
      <c r="BK685"/>
      <c r="BL685"/>
      <c r="BM685"/>
      <c r="BN685"/>
      <c r="BP685"/>
      <c r="BQ685"/>
      <c r="BR685"/>
      <c r="BS685"/>
      <c r="BT685"/>
      <c r="BU685"/>
      <c r="BV685"/>
      <c r="BW685"/>
      <c r="BZ685"/>
      <c r="CA685"/>
      <c r="CB685"/>
      <c r="CC685"/>
      <c r="CD685"/>
      <c r="CF685"/>
      <c r="CG685"/>
      <c r="CH685"/>
      <c r="CI685"/>
      <c r="CJ685"/>
      <c r="CK685"/>
      <c r="CL685"/>
      <c r="CM685"/>
      <c r="CN685"/>
      <c r="CO685"/>
      <c r="CP685"/>
      <c r="CQ685"/>
      <c r="CR685"/>
      <c r="CS685"/>
      <c r="CT685"/>
      <c r="CU685"/>
      <c r="CV685"/>
      <c r="CW685"/>
      <c r="CX685"/>
      <c r="CY685"/>
      <c r="CZ685"/>
      <c r="DA685"/>
      <c r="DB685"/>
      <c r="DC685"/>
      <c r="DD685"/>
      <c r="DE685"/>
      <c r="DG685"/>
      <c r="DH685"/>
      <c r="DI685"/>
      <c r="DJ685"/>
      <c r="DK685"/>
      <c r="DL685"/>
      <c r="DM685"/>
      <c r="DN685"/>
      <c r="DO685"/>
      <c r="DP685"/>
      <c r="DQ685"/>
      <c r="DR685"/>
      <c r="DS685"/>
      <c r="DT685"/>
      <c r="DU685"/>
      <c r="DV685"/>
      <c r="DW685"/>
      <c r="DZ685"/>
      <c r="EA685"/>
      <c r="EB685"/>
      <c r="EC685"/>
      <c r="ED685"/>
      <c r="EE685"/>
      <c r="EF685"/>
      <c r="EG685"/>
      <c r="EJ685"/>
      <c r="EK685"/>
      <c r="EL685"/>
      <c r="EM685"/>
      <c r="EN685"/>
      <c r="EO685"/>
      <c r="EP685"/>
      <c r="EQ685"/>
      <c r="ER685"/>
      <c r="ES685"/>
      <c r="ET685"/>
      <c r="EU685"/>
      <c r="EV685"/>
      <c r="EW685"/>
      <c r="EX685"/>
      <c r="EY685"/>
      <c r="EZ685"/>
      <c r="FA685"/>
      <c r="FB685"/>
      <c r="FC685"/>
      <c r="FD685"/>
      <c r="FE685"/>
      <c r="FF685"/>
      <c r="FG685"/>
      <c r="FH685"/>
      <c r="FK685"/>
      <c r="FL685"/>
      <c r="FM685"/>
      <c r="FN685"/>
      <c r="FO685"/>
      <c r="FP685"/>
      <c r="FQ685"/>
      <c r="FR685"/>
      <c r="FS685"/>
      <c r="FT685"/>
      <c r="FU685"/>
      <c r="FV685"/>
      <c r="FW685"/>
      <c r="FX685"/>
      <c r="FY685"/>
      <c r="FZ685"/>
      <c r="GA685"/>
      <c r="GB685"/>
      <c r="GC685"/>
      <c r="GD685"/>
    </row>
    <row r="686" spans="33:186" x14ac:dyDescent="0.15">
      <c r="AG686"/>
      <c r="AH686"/>
      <c r="AJ686"/>
      <c r="AK686"/>
      <c r="AL686"/>
      <c r="AM686"/>
      <c r="AO686"/>
      <c r="AP686"/>
      <c r="AQ686"/>
      <c r="AR686"/>
      <c r="AS686"/>
      <c r="AT686"/>
      <c r="AU686"/>
      <c r="AV686"/>
      <c r="AW686"/>
      <c r="AX686"/>
      <c r="AY686"/>
      <c r="AZ686"/>
      <c r="BA686"/>
      <c r="BB686"/>
      <c r="BC686"/>
      <c r="BD686"/>
      <c r="BE686"/>
      <c r="BF686"/>
      <c r="BH686"/>
      <c r="BI686"/>
      <c r="BJ686"/>
      <c r="BK686"/>
      <c r="BL686"/>
      <c r="BM686"/>
      <c r="BN686"/>
      <c r="BP686"/>
      <c r="BQ686"/>
      <c r="BR686"/>
      <c r="BS686"/>
      <c r="BT686"/>
      <c r="BU686"/>
      <c r="BV686"/>
      <c r="BW686"/>
      <c r="BZ686"/>
      <c r="CA686"/>
      <c r="CB686"/>
      <c r="CC686"/>
      <c r="CD686"/>
      <c r="CF686"/>
      <c r="CG686"/>
      <c r="CH686"/>
      <c r="CI686"/>
      <c r="CJ686"/>
      <c r="CK686"/>
      <c r="CL686"/>
      <c r="CM686"/>
      <c r="CN686"/>
      <c r="CO686"/>
      <c r="CP686"/>
      <c r="CQ686"/>
      <c r="CR686"/>
      <c r="CS686"/>
      <c r="CT686"/>
      <c r="CU686"/>
      <c r="CV686"/>
      <c r="CW686"/>
      <c r="CX686"/>
      <c r="CY686"/>
      <c r="CZ686"/>
      <c r="DA686"/>
      <c r="DB686"/>
      <c r="DC686"/>
      <c r="DD686"/>
      <c r="DE686"/>
      <c r="DG686"/>
      <c r="DH686"/>
      <c r="DI686"/>
      <c r="DJ686"/>
      <c r="DK686"/>
      <c r="DL686"/>
      <c r="DM686"/>
      <c r="DN686"/>
      <c r="DO686"/>
      <c r="DP686"/>
      <c r="DQ686"/>
      <c r="DR686"/>
      <c r="DS686"/>
      <c r="DT686"/>
      <c r="DU686"/>
      <c r="DV686"/>
      <c r="DW686"/>
      <c r="DZ686"/>
      <c r="EA686"/>
      <c r="EB686"/>
      <c r="EC686"/>
      <c r="ED686"/>
      <c r="EE686"/>
      <c r="EF686"/>
      <c r="EG686"/>
      <c r="EJ686"/>
      <c r="EK686"/>
      <c r="EL686"/>
      <c r="EM686"/>
      <c r="EN686"/>
      <c r="EO686"/>
      <c r="EP686"/>
      <c r="EQ686"/>
      <c r="ER686"/>
      <c r="ES686"/>
      <c r="ET686"/>
      <c r="EU686"/>
      <c r="EV686"/>
      <c r="EW686"/>
      <c r="EX686"/>
      <c r="EY686"/>
      <c r="EZ686"/>
      <c r="FA686"/>
      <c r="FB686"/>
      <c r="FC686"/>
      <c r="FD686"/>
      <c r="FE686"/>
      <c r="FF686"/>
      <c r="FG686"/>
      <c r="FH686"/>
      <c r="FK686"/>
      <c r="FL686"/>
      <c r="FM686"/>
      <c r="FN686"/>
      <c r="FO686"/>
      <c r="FP686"/>
      <c r="FQ686"/>
      <c r="FR686"/>
      <c r="FS686"/>
      <c r="FT686"/>
      <c r="FU686"/>
      <c r="FV686"/>
      <c r="FW686"/>
      <c r="FX686"/>
      <c r="FY686"/>
      <c r="FZ686"/>
      <c r="GA686"/>
      <c r="GB686"/>
      <c r="GC686"/>
      <c r="GD686"/>
    </row>
    <row r="687" spans="33:186" x14ac:dyDescent="0.15">
      <c r="AG687"/>
      <c r="AH687"/>
      <c r="AJ687"/>
      <c r="AK687"/>
      <c r="AL687"/>
      <c r="AM687"/>
      <c r="AO687"/>
      <c r="AP687"/>
      <c r="AQ687"/>
      <c r="AR687"/>
      <c r="AS687"/>
      <c r="AT687"/>
      <c r="AU687"/>
      <c r="AV687"/>
      <c r="AW687"/>
      <c r="AX687"/>
      <c r="AY687"/>
      <c r="AZ687"/>
      <c r="BA687"/>
      <c r="BB687"/>
      <c r="BC687"/>
      <c r="BD687"/>
      <c r="BE687"/>
      <c r="BF687"/>
      <c r="BH687"/>
      <c r="BI687"/>
      <c r="BJ687"/>
      <c r="BK687"/>
      <c r="BL687"/>
      <c r="BM687"/>
      <c r="BN687"/>
      <c r="BP687"/>
      <c r="BQ687"/>
      <c r="BR687"/>
      <c r="BS687"/>
      <c r="BT687"/>
      <c r="BU687"/>
      <c r="BV687"/>
      <c r="BW687"/>
      <c r="BZ687"/>
      <c r="CA687"/>
      <c r="CB687"/>
      <c r="CC687"/>
      <c r="CD687"/>
      <c r="CF687"/>
      <c r="CG687"/>
      <c r="CH687"/>
      <c r="CI687"/>
      <c r="CJ687"/>
      <c r="CK687"/>
      <c r="CL687"/>
      <c r="CM687"/>
      <c r="CN687"/>
      <c r="CO687"/>
      <c r="CP687"/>
      <c r="CQ687"/>
      <c r="CR687"/>
      <c r="CS687"/>
      <c r="CT687"/>
      <c r="CU687"/>
      <c r="CV687"/>
      <c r="CW687"/>
      <c r="CX687"/>
      <c r="CY687"/>
      <c r="CZ687"/>
      <c r="DA687"/>
      <c r="DB687"/>
      <c r="DC687"/>
      <c r="DD687"/>
      <c r="DE687"/>
      <c r="DG687"/>
      <c r="DH687"/>
      <c r="DI687"/>
      <c r="DJ687"/>
      <c r="DK687"/>
      <c r="DL687"/>
      <c r="DM687"/>
      <c r="DN687"/>
      <c r="DO687"/>
      <c r="DP687"/>
      <c r="DQ687"/>
      <c r="DR687"/>
      <c r="DS687"/>
      <c r="DT687"/>
      <c r="DU687"/>
      <c r="DV687"/>
      <c r="DW687"/>
      <c r="DZ687"/>
      <c r="EA687"/>
      <c r="EB687"/>
      <c r="EC687"/>
      <c r="ED687"/>
      <c r="EE687"/>
      <c r="EF687"/>
      <c r="EG687"/>
      <c r="EJ687"/>
      <c r="EK687"/>
      <c r="EL687"/>
      <c r="EM687"/>
      <c r="EN687"/>
      <c r="EO687"/>
      <c r="EP687"/>
      <c r="EQ687"/>
      <c r="ER687"/>
      <c r="ES687"/>
      <c r="ET687"/>
      <c r="EU687"/>
      <c r="EV687"/>
      <c r="EW687"/>
      <c r="EX687"/>
      <c r="EY687"/>
      <c r="EZ687"/>
      <c r="FA687"/>
      <c r="FB687"/>
      <c r="FC687"/>
      <c r="FD687"/>
      <c r="FE687"/>
      <c r="FF687"/>
      <c r="FG687"/>
      <c r="FH687"/>
      <c r="FK687"/>
      <c r="FL687"/>
      <c r="FM687"/>
      <c r="FN687"/>
      <c r="FO687"/>
      <c r="FP687"/>
      <c r="FQ687"/>
      <c r="FR687"/>
      <c r="FS687"/>
      <c r="FT687"/>
      <c r="FU687"/>
      <c r="FV687"/>
      <c r="FW687"/>
      <c r="FX687"/>
      <c r="FY687"/>
      <c r="FZ687"/>
      <c r="GA687"/>
      <c r="GB687"/>
      <c r="GC687"/>
      <c r="GD687"/>
    </row>
    <row r="688" spans="33:186" x14ac:dyDescent="0.15">
      <c r="AG688"/>
      <c r="AH688"/>
      <c r="AJ688"/>
      <c r="AK688"/>
      <c r="AL688"/>
      <c r="AM688"/>
      <c r="AO688"/>
      <c r="AP688"/>
      <c r="AQ688"/>
      <c r="AR688"/>
      <c r="AS688"/>
      <c r="AT688"/>
      <c r="AU688"/>
      <c r="AV688"/>
      <c r="AW688"/>
      <c r="AX688"/>
      <c r="AY688"/>
      <c r="AZ688"/>
      <c r="BA688"/>
      <c r="BB688"/>
      <c r="BC688"/>
      <c r="BD688"/>
      <c r="BE688"/>
      <c r="BF688"/>
      <c r="BH688"/>
      <c r="BI688"/>
      <c r="BJ688"/>
      <c r="BK688"/>
      <c r="BL688"/>
      <c r="BM688"/>
      <c r="BN688"/>
      <c r="BP688"/>
      <c r="BQ688"/>
      <c r="BR688"/>
      <c r="BS688"/>
      <c r="BT688"/>
      <c r="BU688"/>
      <c r="BV688"/>
      <c r="BW688"/>
      <c r="BZ688"/>
      <c r="CA688"/>
      <c r="CB688"/>
      <c r="CC688"/>
      <c r="CD688"/>
      <c r="CF688"/>
      <c r="CG688"/>
      <c r="CH688"/>
      <c r="CI688"/>
      <c r="CJ688"/>
      <c r="CK688"/>
      <c r="CL688"/>
      <c r="CM688"/>
      <c r="CN688"/>
      <c r="CO688"/>
      <c r="CP688"/>
      <c r="CQ688"/>
      <c r="CR688"/>
      <c r="CS688"/>
      <c r="CT688"/>
      <c r="CU688"/>
      <c r="CV688"/>
      <c r="CW688"/>
      <c r="CX688"/>
      <c r="CY688"/>
      <c r="CZ688"/>
      <c r="DA688"/>
      <c r="DB688"/>
      <c r="DC688"/>
      <c r="DD688"/>
      <c r="DE688"/>
      <c r="DG688"/>
      <c r="DH688"/>
      <c r="DI688"/>
      <c r="DJ688"/>
      <c r="DK688"/>
      <c r="DL688"/>
      <c r="DM688"/>
      <c r="DN688"/>
      <c r="DO688"/>
      <c r="DP688"/>
      <c r="DQ688"/>
      <c r="DR688"/>
      <c r="DS688"/>
      <c r="DT688"/>
      <c r="DU688"/>
      <c r="DV688"/>
      <c r="DW688"/>
      <c r="DZ688"/>
      <c r="EA688"/>
      <c r="EB688"/>
      <c r="EC688"/>
      <c r="ED688"/>
      <c r="EE688"/>
      <c r="EF688"/>
      <c r="EG688"/>
      <c r="EJ688"/>
      <c r="EK688"/>
      <c r="EL688"/>
      <c r="EM688"/>
      <c r="EN688"/>
      <c r="EO688"/>
      <c r="EP688"/>
      <c r="EQ688"/>
      <c r="ER688"/>
      <c r="ES688"/>
      <c r="ET688"/>
      <c r="EU688"/>
      <c r="EV688"/>
      <c r="EW688"/>
      <c r="EX688"/>
      <c r="EY688"/>
      <c r="EZ688"/>
      <c r="FA688"/>
      <c r="FB688"/>
      <c r="FC688"/>
      <c r="FD688"/>
      <c r="FE688"/>
      <c r="FF688"/>
      <c r="FG688"/>
      <c r="FH688"/>
      <c r="FK688"/>
      <c r="FL688"/>
      <c r="FM688"/>
      <c r="FN688"/>
      <c r="FO688"/>
      <c r="FP688"/>
      <c r="FQ688"/>
      <c r="FR688"/>
      <c r="FS688"/>
      <c r="FT688"/>
      <c r="FU688"/>
      <c r="FV688"/>
      <c r="FW688"/>
      <c r="FX688"/>
      <c r="FY688"/>
      <c r="FZ688"/>
      <c r="GA688"/>
      <c r="GB688"/>
      <c r="GC688"/>
      <c r="GD688"/>
    </row>
    <row r="689" spans="1:186" x14ac:dyDescent="0.15">
      <c r="A689" s="30" t="s">
        <v>136</v>
      </c>
      <c r="AG689"/>
      <c r="AH689"/>
      <c r="AJ689"/>
      <c r="AK689"/>
      <c r="AL689"/>
      <c r="AM689"/>
      <c r="AO689"/>
      <c r="AP689"/>
      <c r="AQ689"/>
      <c r="AR689"/>
      <c r="AS689"/>
      <c r="AT689"/>
      <c r="AU689"/>
      <c r="AV689"/>
      <c r="AW689"/>
      <c r="AX689"/>
      <c r="AY689"/>
      <c r="AZ689"/>
      <c r="BA689"/>
      <c r="BB689"/>
      <c r="BC689"/>
      <c r="BD689"/>
      <c r="BE689"/>
      <c r="BF689"/>
      <c r="BH689"/>
      <c r="BI689"/>
      <c r="BJ689"/>
      <c r="BK689"/>
      <c r="BL689"/>
      <c r="BM689"/>
      <c r="BN689"/>
      <c r="BP689"/>
      <c r="BQ689"/>
      <c r="BR689"/>
      <c r="BS689"/>
      <c r="BT689"/>
      <c r="BU689"/>
      <c r="BV689"/>
      <c r="BW689"/>
      <c r="BZ689"/>
      <c r="CA689"/>
      <c r="CB689"/>
      <c r="CC689"/>
      <c r="CD689"/>
      <c r="CF689"/>
      <c r="CG689"/>
      <c r="CH689"/>
      <c r="CI689"/>
      <c r="CJ689"/>
      <c r="CK689"/>
      <c r="CL689"/>
      <c r="CM689"/>
      <c r="CN689"/>
      <c r="CO689"/>
      <c r="CP689"/>
      <c r="CQ689"/>
      <c r="CR689"/>
      <c r="CS689"/>
      <c r="CT689"/>
      <c r="CU689"/>
      <c r="CV689"/>
      <c r="CW689"/>
      <c r="CX689"/>
      <c r="CY689"/>
      <c r="CZ689"/>
      <c r="DA689"/>
      <c r="DB689"/>
      <c r="DC689"/>
      <c r="DD689"/>
      <c r="DE689"/>
      <c r="DG689"/>
      <c r="DH689"/>
      <c r="DI689"/>
      <c r="DJ689"/>
      <c r="DK689"/>
      <c r="DL689"/>
      <c r="DM689"/>
      <c r="DN689"/>
      <c r="DO689"/>
      <c r="DP689"/>
      <c r="DQ689"/>
      <c r="DR689"/>
      <c r="DS689"/>
      <c r="DT689"/>
      <c r="DU689"/>
      <c r="DV689"/>
      <c r="DW689"/>
      <c r="DZ689"/>
      <c r="EA689"/>
      <c r="EB689"/>
      <c r="EC689"/>
      <c r="ED689"/>
      <c r="EE689"/>
      <c r="EF689"/>
      <c r="EG689"/>
      <c r="EJ689"/>
      <c r="EK689"/>
      <c r="EL689"/>
      <c r="EM689"/>
      <c r="EN689"/>
      <c r="EO689"/>
      <c r="EP689"/>
      <c r="EQ689"/>
      <c r="ER689"/>
      <c r="ES689"/>
      <c r="ET689"/>
      <c r="EU689"/>
      <c r="EV689"/>
      <c r="EW689"/>
      <c r="EX689"/>
      <c r="EY689"/>
      <c r="EZ689"/>
      <c r="FA689"/>
      <c r="FB689"/>
      <c r="FC689"/>
      <c r="FD689"/>
      <c r="FE689"/>
      <c r="FF689"/>
      <c r="FG689"/>
      <c r="FH689"/>
      <c r="FK689"/>
      <c r="FL689"/>
      <c r="FM689"/>
      <c r="FN689"/>
      <c r="FO689"/>
      <c r="FP689"/>
      <c r="FQ689"/>
      <c r="FR689"/>
      <c r="FS689"/>
      <c r="FT689"/>
      <c r="FU689"/>
      <c r="FV689"/>
      <c r="FW689"/>
      <c r="FX689"/>
      <c r="FY689"/>
      <c r="FZ689"/>
      <c r="GA689"/>
      <c r="GB689"/>
      <c r="GC689"/>
      <c r="GD689"/>
    </row>
    <row r="690" spans="1:186" x14ac:dyDescent="0.15">
      <c r="A690" s="464" t="s">
        <v>135</v>
      </c>
      <c r="B690" s="464" t="s">
        <v>40</v>
      </c>
      <c r="C690" s="457"/>
      <c r="D690" s="457"/>
      <c r="E690" s="457"/>
      <c r="F690" s="457"/>
      <c r="G690" s="457"/>
      <c r="H690" s="457"/>
      <c r="I690" s="457"/>
      <c r="J690" s="463"/>
      <c r="K690"/>
      <c r="AG690"/>
      <c r="AH690"/>
      <c r="AJ690"/>
      <c r="AK690"/>
      <c r="AL690"/>
      <c r="AM690"/>
      <c r="AO690"/>
      <c r="AP690"/>
      <c r="AQ690"/>
      <c r="AR690"/>
      <c r="AS690"/>
      <c r="AT690"/>
      <c r="AU690"/>
      <c r="AV690"/>
      <c r="AW690"/>
      <c r="AX690"/>
      <c r="AY690"/>
      <c r="AZ690"/>
      <c r="BA690"/>
      <c r="BB690"/>
      <c r="BC690"/>
      <c r="BD690"/>
      <c r="BE690"/>
      <c r="BF690"/>
      <c r="BH690"/>
      <c r="BI690"/>
      <c r="BJ690"/>
      <c r="BK690"/>
      <c r="BL690"/>
      <c r="BM690"/>
      <c r="BN690"/>
      <c r="BP690"/>
      <c r="BQ690"/>
      <c r="BR690"/>
      <c r="BS690"/>
      <c r="BT690"/>
      <c r="BU690"/>
      <c r="BV690"/>
      <c r="BW690"/>
      <c r="BZ690"/>
      <c r="CA690"/>
      <c r="CB690"/>
      <c r="CC690"/>
      <c r="CD690"/>
      <c r="CF690"/>
      <c r="CG690"/>
      <c r="CH690"/>
      <c r="CI690"/>
      <c r="CJ690"/>
      <c r="CK690"/>
      <c r="CL690"/>
      <c r="CM690"/>
      <c r="CN690"/>
      <c r="CO690"/>
      <c r="CP690"/>
      <c r="CQ690"/>
      <c r="CR690"/>
      <c r="CS690"/>
      <c r="CT690"/>
      <c r="CU690"/>
      <c r="CV690"/>
      <c r="CW690"/>
      <c r="CX690"/>
      <c r="CY690"/>
      <c r="CZ690"/>
      <c r="DA690"/>
      <c r="DB690"/>
      <c r="DC690"/>
      <c r="DD690"/>
      <c r="DE690"/>
      <c r="DG690"/>
      <c r="DH690"/>
      <c r="DI690"/>
      <c r="DJ690"/>
      <c r="DK690"/>
      <c r="DL690"/>
      <c r="DM690"/>
      <c r="DN690"/>
      <c r="DO690"/>
      <c r="DP690"/>
      <c r="DQ690"/>
      <c r="DR690"/>
      <c r="DS690"/>
      <c r="DT690"/>
      <c r="DU690"/>
      <c r="DV690"/>
      <c r="DW690"/>
      <c r="DZ690"/>
      <c r="EA690"/>
      <c r="EB690"/>
      <c r="EC690"/>
      <c r="ED690"/>
      <c r="EE690"/>
      <c r="EF690"/>
      <c r="EG690"/>
      <c r="EJ690"/>
      <c r="EK690"/>
      <c r="EL690"/>
      <c r="EM690"/>
      <c r="EN690"/>
      <c r="EO690"/>
      <c r="EP690"/>
      <c r="EQ690"/>
      <c r="ER690"/>
      <c r="ES690"/>
      <c r="ET690"/>
      <c r="EU690"/>
      <c r="EV690"/>
      <c r="EW690"/>
      <c r="EX690"/>
      <c r="EY690"/>
      <c r="EZ690"/>
      <c r="FA690"/>
      <c r="FB690"/>
      <c r="FC690"/>
      <c r="FD690"/>
      <c r="FE690"/>
      <c r="FF690"/>
      <c r="FG690"/>
      <c r="FH690"/>
      <c r="FK690"/>
      <c r="FL690"/>
      <c r="FM690"/>
      <c r="FN690"/>
      <c r="FO690"/>
      <c r="FP690"/>
      <c r="FQ690"/>
      <c r="FR690"/>
      <c r="FS690"/>
      <c r="FT690"/>
      <c r="FU690"/>
      <c r="FV690"/>
      <c r="FW690"/>
      <c r="FX690"/>
      <c r="FY690"/>
      <c r="FZ690"/>
      <c r="GA690"/>
      <c r="GB690"/>
      <c r="GC690"/>
      <c r="GD690"/>
    </row>
    <row r="691" spans="1:186" x14ac:dyDescent="0.15">
      <c r="A691" s="464" t="s">
        <v>22</v>
      </c>
      <c r="B691" s="449" t="s">
        <v>411</v>
      </c>
      <c r="C691" s="452" t="s">
        <v>406</v>
      </c>
      <c r="D691" s="452" t="s">
        <v>405</v>
      </c>
      <c r="E691" s="452" t="s">
        <v>410</v>
      </c>
      <c r="F691" s="452" t="s">
        <v>445</v>
      </c>
      <c r="G691" s="452" t="s">
        <v>397</v>
      </c>
      <c r="H691" s="452" t="s">
        <v>396</v>
      </c>
      <c r="I691" s="452" t="s">
        <v>446</v>
      </c>
      <c r="J691" s="453" t="s">
        <v>401</v>
      </c>
      <c r="K691"/>
      <c r="AG691"/>
      <c r="AH691"/>
      <c r="AJ691"/>
      <c r="AK691"/>
      <c r="AL691"/>
      <c r="AM691"/>
      <c r="AO691"/>
      <c r="AP691"/>
      <c r="AQ691"/>
      <c r="AR691"/>
      <c r="AS691"/>
      <c r="AT691"/>
      <c r="AU691"/>
      <c r="AV691"/>
      <c r="AW691"/>
      <c r="AX691"/>
      <c r="AY691"/>
      <c r="AZ691"/>
      <c r="BA691"/>
      <c r="BB691"/>
      <c r="BC691"/>
      <c r="BD691"/>
      <c r="BE691"/>
      <c r="BF691"/>
      <c r="BH691"/>
      <c r="BI691"/>
      <c r="BJ691"/>
      <c r="BK691"/>
      <c r="BL691"/>
      <c r="BM691"/>
      <c r="BN691"/>
      <c r="BP691"/>
      <c r="BQ691"/>
      <c r="BR691"/>
      <c r="BS691"/>
      <c r="BT691"/>
      <c r="BU691"/>
      <c r="BV691"/>
      <c r="BW691"/>
      <c r="BZ691"/>
      <c r="CA691"/>
      <c r="CB691"/>
      <c r="CC691"/>
      <c r="CD691"/>
      <c r="CF691"/>
      <c r="CG691"/>
      <c r="CH691"/>
      <c r="CI691"/>
      <c r="CJ691"/>
      <c r="CK691"/>
      <c r="CL691"/>
      <c r="CM691"/>
      <c r="CN691"/>
      <c r="CO691"/>
      <c r="CP691"/>
      <c r="CQ691"/>
      <c r="CR691"/>
      <c r="CS691"/>
      <c r="CT691"/>
      <c r="CU691"/>
      <c r="CV691"/>
      <c r="CW691"/>
      <c r="CX691"/>
      <c r="CY691"/>
      <c r="CZ691"/>
      <c r="DA691"/>
      <c r="DB691"/>
      <c r="DC691"/>
      <c r="DD691"/>
      <c r="DE691"/>
      <c r="DG691"/>
      <c r="DH691"/>
      <c r="DI691"/>
      <c r="DJ691"/>
      <c r="DK691"/>
      <c r="DL691"/>
      <c r="DM691"/>
      <c r="DN691"/>
      <c r="DO691"/>
      <c r="DP691"/>
      <c r="DQ691"/>
      <c r="DR691"/>
      <c r="DS691"/>
      <c r="DT691"/>
      <c r="DU691"/>
      <c r="DV691"/>
      <c r="DW691"/>
      <c r="DZ691"/>
      <c r="EA691"/>
      <c r="EB691"/>
      <c r="EC691"/>
      <c r="ED691"/>
      <c r="EE691"/>
      <c r="EF691"/>
      <c r="EG691"/>
      <c r="EJ691"/>
      <c r="EK691"/>
      <c r="EL691"/>
      <c r="EM691"/>
      <c r="EN691"/>
      <c r="EO691"/>
      <c r="EP691"/>
      <c r="EQ691"/>
      <c r="ER691"/>
      <c r="ES691"/>
      <c r="ET691"/>
      <c r="EU691"/>
      <c r="EV691"/>
      <c r="EW691"/>
      <c r="EX691"/>
      <c r="EY691"/>
      <c r="EZ691"/>
      <c r="FA691"/>
      <c r="FB691"/>
      <c r="FC691"/>
      <c r="FD691"/>
      <c r="FE691"/>
      <c r="FF691"/>
      <c r="FG691"/>
      <c r="FH691"/>
      <c r="FK691"/>
      <c r="FL691"/>
      <c r="FM691"/>
      <c r="FN691"/>
      <c r="FO691"/>
      <c r="FP691"/>
      <c r="FQ691"/>
      <c r="FR691"/>
      <c r="FS691"/>
      <c r="FT691"/>
      <c r="FU691"/>
      <c r="FV691"/>
      <c r="FW691"/>
      <c r="FX691"/>
      <c r="FY691"/>
      <c r="FZ691"/>
      <c r="GA691"/>
      <c r="GB691"/>
      <c r="GC691"/>
      <c r="GD691"/>
    </row>
    <row r="692" spans="1:186" x14ac:dyDescent="0.15">
      <c r="A692" s="449">
        <v>0.54300000000000004</v>
      </c>
      <c r="B692" s="449"/>
      <c r="C692" s="452"/>
      <c r="D692" s="452"/>
      <c r="E692" s="452">
        <v>1</v>
      </c>
      <c r="F692" s="452"/>
      <c r="G692" s="452"/>
      <c r="H692" s="452"/>
      <c r="I692" s="452"/>
      <c r="J692" s="453"/>
      <c r="K692"/>
      <c r="AG692"/>
      <c r="AH692"/>
      <c r="AJ692"/>
      <c r="AK692"/>
      <c r="AL692"/>
      <c r="AM692"/>
      <c r="AO692"/>
      <c r="AP692"/>
      <c r="AQ692"/>
      <c r="AR692"/>
      <c r="AS692"/>
      <c r="AT692"/>
      <c r="AU692"/>
      <c r="AV692"/>
      <c r="AW692"/>
      <c r="AX692"/>
      <c r="AY692"/>
      <c r="AZ692"/>
      <c r="BA692"/>
      <c r="BB692"/>
      <c r="BC692"/>
      <c r="BD692"/>
      <c r="BE692"/>
      <c r="BF692"/>
      <c r="BH692"/>
      <c r="BI692"/>
      <c r="BJ692"/>
      <c r="BK692"/>
      <c r="BL692"/>
      <c r="BM692"/>
      <c r="BN692"/>
      <c r="BP692"/>
      <c r="BQ692"/>
      <c r="BR692"/>
      <c r="BS692"/>
      <c r="BT692"/>
      <c r="BU692"/>
      <c r="BV692"/>
      <c r="BW692"/>
      <c r="BZ692"/>
      <c r="CA692"/>
      <c r="CB692"/>
      <c r="CC692"/>
      <c r="CD692"/>
      <c r="CF692"/>
      <c r="CG692"/>
      <c r="CH692"/>
      <c r="CI692"/>
      <c r="CJ692"/>
      <c r="CK692"/>
      <c r="CL692"/>
      <c r="CM692"/>
      <c r="CN692"/>
      <c r="CO692"/>
      <c r="CP692"/>
      <c r="CQ692"/>
      <c r="CR692"/>
      <c r="CS692"/>
      <c r="CT692"/>
      <c r="CU692"/>
      <c r="CV692"/>
      <c r="CW692"/>
      <c r="CX692"/>
      <c r="CY692"/>
      <c r="CZ692"/>
      <c r="DA692"/>
      <c r="DB692"/>
      <c r="DC692"/>
      <c r="DD692"/>
      <c r="DE692"/>
      <c r="DG692"/>
      <c r="DH692"/>
      <c r="DI692"/>
      <c r="DJ692"/>
      <c r="DK692"/>
      <c r="DL692"/>
      <c r="DM692"/>
      <c r="DN692"/>
      <c r="DO692"/>
      <c r="DP692"/>
      <c r="DQ692"/>
      <c r="DR692"/>
      <c r="DS692"/>
      <c r="DT692"/>
      <c r="DU692"/>
      <c r="DV692"/>
      <c r="DW692"/>
      <c r="DZ692"/>
      <c r="EA692"/>
      <c r="EB692"/>
      <c r="EC692"/>
      <c r="ED692"/>
      <c r="EE692"/>
      <c r="EF692"/>
      <c r="EG692"/>
      <c r="EJ692"/>
      <c r="EK692"/>
      <c r="EL692"/>
      <c r="EM692"/>
      <c r="EN692"/>
      <c r="EO692"/>
      <c r="EP692"/>
      <c r="EQ692"/>
      <c r="ER692"/>
      <c r="ES692"/>
      <c r="ET692"/>
      <c r="EU692"/>
      <c r="EV692"/>
      <c r="EW692"/>
      <c r="EX692"/>
      <c r="EY692"/>
      <c r="EZ692"/>
      <c r="FA692"/>
      <c r="FB692"/>
      <c r="FC692"/>
      <c r="FD692"/>
      <c r="FE692"/>
      <c r="FF692"/>
      <c r="FG692"/>
      <c r="FH692"/>
      <c r="FK692"/>
      <c r="FL692"/>
      <c r="FM692"/>
      <c r="FN692"/>
      <c r="FO692"/>
      <c r="FP692"/>
      <c r="FQ692"/>
      <c r="FR692"/>
      <c r="FS692"/>
      <c r="FT692"/>
      <c r="FU692"/>
      <c r="FV692"/>
      <c r="FW692"/>
      <c r="FX692"/>
      <c r="FY692"/>
      <c r="FZ692"/>
      <c r="GA692"/>
      <c r="GB692"/>
      <c r="GC692"/>
      <c r="GD692"/>
    </row>
    <row r="693" spans="1:186" x14ac:dyDescent="0.15">
      <c r="A693" s="455">
        <v>14.592000000000001</v>
      </c>
      <c r="B693" s="455">
        <v>1</v>
      </c>
      <c r="C693"/>
      <c r="D693"/>
      <c r="E693"/>
      <c r="F693"/>
      <c r="G693"/>
      <c r="H693"/>
      <c r="I693"/>
      <c r="J693" s="558"/>
      <c r="K693"/>
      <c r="AG693"/>
      <c r="AH693"/>
      <c r="AJ693"/>
      <c r="AK693"/>
      <c r="AL693"/>
      <c r="AM693"/>
      <c r="AO693"/>
      <c r="AP693"/>
      <c r="AQ693"/>
      <c r="AR693"/>
      <c r="AS693"/>
      <c r="AT693"/>
      <c r="AU693"/>
      <c r="AV693"/>
      <c r="AW693"/>
      <c r="AX693"/>
      <c r="AY693"/>
      <c r="AZ693"/>
      <c r="BA693"/>
      <c r="BB693"/>
      <c r="BC693"/>
      <c r="BD693"/>
      <c r="BE693"/>
      <c r="BF693"/>
      <c r="BH693"/>
      <c r="BI693"/>
      <c r="BJ693"/>
      <c r="BK693"/>
      <c r="BL693"/>
      <c r="BM693"/>
      <c r="BN693"/>
      <c r="BP693"/>
      <c r="BQ693"/>
      <c r="BR693"/>
      <c r="BS693"/>
      <c r="BT693"/>
      <c r="BU693"/>
      <c r="BV693"/>
      <c r="BW693"/>
      <c r="BZ693"/>
      <c r="CA693"/>
      <c r="CB693"/>
      <c r="CC693"/>
      <c r="CD693"/>
      <c r="CF693"/>
      <c r="CG693"/>
      <c r="CH693"/>
      <c r="CI693"/>
      <c r="CJ693"/>
      <c r="CK693"/>
      <c r="CL693"/>
      <c r="CM693"/>
      <c r="CN693"/>
      <c r="CO693"/>
      <c r="CP693"/>
      <c r="CQ693"/>
      <c r="CR693"/>
      <c r="CS693"/>
      <c r="CT693"/>
      <c r="CU693"/>
      <c r="CV693"/>
      <c r="CW693"/>
      <c r="CX693"/>
      <c r="CY693"/>
      <c r="CZ693"/>
      <c r="DA693"/>
      <c r="DB693"/>
      <c r="DC693"/>
      <c r="DD693"/>
      <c r="DE693"/>
      <c r="DG693"/>
      <c r="DH693"/>
      <c r="DI693"/>
      <c r="DJ693"/>
      <c r="DK693"/>
      <c r="DL693"/>
      <c r="DM693"/>
      <c r="DN693"/>
      <c r="DO693"/>
      <c r="DP693"/>
      <c r="DQ693"/>
      <c r="DR693"/>
      <c r="DS693"/>
      <c r="DT693"/>
      <c r="DU693"/>
      <c r="DV693"/>
      <c r="DW693"/>
      <c r="DZ693"/>
      <c r="EA693"/>
      <c r="EB693"/>
      <c r="EC693"/>
      <c r="ED693"/>
      <c r="EE693"/>
      <c r="EF693"/>
      <c r="EG693"/>
      <c r="EJ693"/>
      <c r="EK693"/>
      <c r="EL693"/>
      <c r="EM693"/>
      <c r="EN693"/>
      <c r="EO693"/>
      <c r="EP693"/>
      <c r="EQ693"/>
      <c r="ER693"/>
      <c r="ES693"/>
      <c r="ET693"/>
      <c r="EU693"/>
      <c r="EV693"/>
      <c r="EW693"/>
      <c r="EX693"/>
      <c r="EY693"/>
      <c r="EZ693"/>
      <c r="FA693"/>
      <c r="FB693"/>
      <c r="FC693"/>
      <c r="FD693"/>
      <c r="FE693"/>
      <c r="FF693"/>
      <c r="FG693"/>
      <c r="FH693"/>
      <c r="FK693"/>
      <c r="FL693"/>
      <c r="FM693"/>
      <c r="FN693"/>
      <c r="FO693"/>
      <c r="FP693"/>
      <c r="FQ693"/>
      <c r="FR693"/>
      <c r="FS693"/>
      <c r="FT693"/>
      <c r="FU693"/>
      <c r="FV693"/>
      <c r="FW693"/>
      <c r="FX693"/>
      <c r="FY693"/>
      <c r="FZ693"/>
      <c r="GA693"/>
      <c r="GB693"/>
      <c r="GC693"/>
      <c r="GD693"/>
    </row>
    <row r="694" spans="1:186" x14ac:dyDescent="0.15">
      <c r="A694" s="455"/>
      <c r="B694" s="455">
        <v>3</v>
      </c>
      <c r="C694">
        <v>5</v>
      </c>
      <c r="D694">
        <v>1</v>
      </c>
      <c r="E694">
        <v>5</v>
      </c>
      <c r="F694">
        <v>2</v>
      </c>
      <c r="G694"/>
      <c r="H694">
        <v>2</v>
      </c>
      <c r="I694">
        <v>2</v>
      </c>
      <c r="J694" s="558"/>
      <c r="K694"/>
      <c r="AG694"/>
      <c r="AH694"/>
      <c r="AJ694"/>
      <c r="AK694"/>
      <c r="AL694"/>
      <c r="AM694"/>
      <c r="AO694"/>
      <c r="AP694"/>
      <c r="AQ694"/>
      <c r="AR694"/>
      <c r="AS694"/>
      <c r="AT694"/>
      <c r="AU694"/>
      <c r="AV694"/>
      <c r="AW694"/>
      <c r="AX694"/>
      <c r="AY694"/>
      <c r="AZ694"/>
      <c r="BA694"/>
      <c r="BB694"/>
      <c r="BC694"/>
      <c r="BD694"/>
      <c r="BE694"/>
      <c r="BF694"/>
      <c r="BH694"/>
      <c r="BI694"/>
      <c r="BJ694"/>
      <c r="BK694"/>
      <c r="BL694"/>
      <c r="BM694"/>
      <c r="BN694"/>
      <c r="BP694"/>
      <c r="BQ694"/>
      <c r="BR694"/>
      <c r="BS694"/>
      <c r="BT694"/>
      <c r="BU694"/>
      <c r="BV694"/>
      <c r="BW694"/>
      <c r="BZ694"/>
      <c r="CA694"/>
      <c r="CB694"/>
      <c r="CC694"/>
      <c r="CD694"/>
      <c r="CF694"/>
      <c r="CG694"/>
      <c r="CH694"/>
      <c r="CI694"/>
      <c r="CJ694"/>
      <c r="CK694"/>
      <c r="CL694"/>
      <c r="CM694"/>
      <c r="CN694"/>
      <c r="CO694"/>
      <c r="CP694"/>
      <c r="CQ694"/>
      <c r="CR694"/>
      <c r="CS694"/>
      <c r="CT694"/>
      <c r="CU694"/>
      <c r="CV694"/>
      <c r="CW694"/>
      <c r="CX694"/>
      <c r="CY694"/>
      <c r="CZ694"/>
      <c r="DA694"/>
      <c r="DB694"/>
      <c r="DC694"/>
      <c r="DD694"/>
      <c r="DE694"/>
      <c r="DG694"/>
      <c r="DH694"/>
      <c r="DI694"/>
      <c r="DJ694"/>
      <c r="DK694"/>
      <c r="DL694"/>
      <c r="DM694"/>
      <c r="DN694"/>
      <c r="DO694"/>
      <c r="DP694"/>
      <c r="DQ694"/>
      <c r="DR694"/>
      <c r="DS694"/>
      <c r="DT694"/>
      <c r="DU694"/>
      <c r="DV694"/>
      <c r="DW694"/>
      <c r="DZ694"/>
      <c r="EA694"/>
      <c r="EB694"/>
      <c r="EC694"/>
      <c r="ED694"/>
      <c r="EE694"/>
      <c r="EF694"/>
      <c r="EG694"/>
      <c r="EJ694"/>
      <c r="EK694"/>
      <c r="EL694"/>
      <c r="EM694"/>
      <c r="EN694"/>
      <c r="EO694"/>
      <c r="EP694"/>
      <c r="EQ694"/>
      <c r="ER694"/>
      <c r="ES694"/>
      <c r="ET694"/>
      <c r="EU694"/>
      <c r="EV694"/>
      <c r="EW694"/>
      <c r="EX694"/>
      <c r="EY694"/>
      <c r="EZ694"/>
      <c r="FA694"/>
      <c r="FB694"/>
      <c r="FC694"/>
      <c r="FD694"/>
      <c r="FE694"/>
      <c r="FF694"/>
      <c r="FG694"/>
      <c r="FH694"/>
      <c r="FK694"/>
      <c r="FL694"/>
      <c r="FM694"/>
      <c r="FN694"/>
      <c r="FO694"/>
      <c r="FP694"/>
      <c r="FQ694"/>
      <c r="FR694"/>
      <c r="FS694"/>
      <c r="FT694"/>
      <c r="FU694"/>
      <c r="FV694"/>
      <c r="FW694"/>
      <c r="FX694"/>
      <c r="FY694"/>
      <c r="FZ694"/>
      <c r="GA694"/>
      <c r="GB694"/>
      <c r="GC694"/>
      <c r="GD694"/>
    </row>
    <row r="695" spans="1:186" x14ac:dyDescent="0.15">
      <c r="A695" s="455">
        <v>0.373</v>
      </c>
      <c r="B695" s="455"/>
      <c r="C695">
        <v>1</v>
      </c>
      <c r="D695"/>
      <c r="E695"/>
      <c r="F695"/>
      <c r="G695"/>
      <c r="H695"/>
      <c r="I695"/>
      <c r="J695" s="558"/>
      <c r="K695"/>
      <c r="AG695"/>
      <c r="AH695"/>
      <c r="AJ695"/>
      <c r="AK695"/>
      <c r="AL695"/>
      <c r="AM695"/>
      <c r="AO695"/>
      <c r="AP695"/>
      <c r="AQ695"/>
      <c r="AR695"/>
      <c r="AS695"/>
      <c r="AT695"/>
      <c r="AU695"/>
      <c r="AV695"/>
      <c r="AW695"/>
      <c r="AX695"/>
      <c r="AY695"/>
      <c r="AZ695"/>
      <c r="BA695"/>
      <c r="BB695"/>
      <c r="BC695"/>
      <c r="BD695"/>
      <c r="BE695"/>
      <c r="BF695"/>
      <c r="BH695"/>
      <c r="BI695"/>
      <c r="BJ695"/>
      <c r="BK695"/>
      <c r="BL695"/>
      <c r="BM695"/>
      <c r="BN695"/>
      <c r="BP695"/>
      <c r="BQ695"/>
      <c r="BR695"/>
      <c r="BS695"/>
      <c r="BT695"/>
      <c r="BU695"/>
      <c r="BV695"/>
      <c r="BW695"/>
      <c r="BZ695"/>
      <c r="CA695"/>
      <c r="CB695"/>
      <c r="CC695"/>
      <c r="CD695"/>
      <c r="CF695"/>
      <c r="CG695"/>
      <c r="CH695"/>
      <c r="CI695"/>
      <c r="CJ695"/>
      <c r="CK695"/>
      <c r="CL695"/>
      <c r="CM695"/>
      <c r="CN695"/>
      <c r="CO695"/>
      <c r="CP695"/>
      <c r="CQ695"/>
      <c r="CR695"/>
      <c r="CS695"/>
      <c r="CT695"/>
      <c r="CU695"/>
      <c r="CV695"/>
      <c r="CW695"/>
      <c r="CX695"/>
      <c r="CY695"/>
      <c r="CZ695"/>
      <c r="DA695"/>
      <c r="DB695"/>
      <c r="DC695"/>
      <c r="DD695"/>
      <c r="DE695"/>
      <c r="DG695"/>
      <c r="DH695"/>
      <c r="DI695"/>
      <c r="DJ695"/>
      <c r="DK695"/>
      <c r="DL695"/>
      <c r="DM695"/>
      <c r="DN695"/>
      <c r="DO695"/>
      <c r="DP695"/>
      <c r="DQ695"/>
      <c r="DR695"/>
      <c r="DS695"/>
      <c r="DT695"/>
      <c r="DU695"/>
      <c r="DV695"/>
      <c r="DW695"/>
      <c r="DZ695"/>
      <c r="EA695"/>
      <c r="EB695"/>
      <c r="EC695"/>
      <c r="ED695"/>
      <c r="EE695"/>
      <c r="EF695"/>
      <c r="EG695"/>
      <c r="EJ695"/>
      <c r="EK695"/>
      <c r="EL695"/>
      <c r="EM695"/>
      <c r="EN695"/>
      <c r="EO695"/>
      <c r="EP695"/>
      <c r="EQ695"/>
      <c r="ER695"/>
      <c r="ES695"/>
      <c r="ET695"/>
      <c r="EU695"/>
      <c r="EV695"/>
      <c r="EW695"/>
      <c r="EX695"/>
      <c r="EY695"/>
      <c r="EZ695"/>
      <c r="FA695"/>
      <c r="FB695"/>
      <c r="FC695"/>
      <c r="FD695"/>
      <c r="FE695"/>
      <c r="FF695"/>
      <c r="FG695"/>
      <c r="FH695"/>
      <c r="FK695"/>
      <c r="FL695"/>
      <c r="FM695"/>
      <c r="FN695"/>
      <c r="FO695"/>
      <c r="FP695"/>
      <c r="FQ695"/>
      <c r="FR695"/>
      <c r="FS695"/>
      <c r="FT695"/>
      <c r="FU695"/>
      <c r="FV695"/>
      <c r="FW695"/>
      <c r="FX695"/>
      <c r="FY695"/>
      <c r="FZ695"/>
      <c r="GA695"/>
      <c r="GB695"/>
      <c r="GC695"/>
      <c r="GD695"/>
    </row>
    <row r="696" spans="1:186" x14ac:dyDescent="0.15">
      <c r="A696" s="455">
        <v>0.40699999999999997</v>
      </c>
      <c r="B696" s="455">
        <v>1</v>
      </c>
      <c r="C696"/>
      <c r="D696"/>
      <c r="E696"/>
      <c r="F696"/>
      <c r="G696"/>
      <c r="H696"/>
      <c r="I696"/>
      <c r="J696" s="558"/>
      <c r="K696"/>
      <c r="AG696"/>
      <c r="AH696"/>
      <c r="AJ696"/>
      <c r="AK696"/>
      <c r="AL696"/>
      <c r="AM696"/>
      <c r="AO696"/>
      <c r="AP696"/>
      <c r="AQ696"/>
      <c r="AR696"/>
      <c r="AS696"/>
      <c r="AT696"/>
      <c r="AU696"/>
      <c r="AV696"/>
      <c r="AW696"/>
      <c r="AX696"/>
      <c r="AY696"/>
      <c r="AZ696"/>
      <c r="BA696"/>
      <c r="BB696"/>
      <c r="BC696"/>
      <c r="BD696"/>
      <c r="BE696"/>
      <c r="BF696"/>
      <c r="BH696"/>
      <c r="BI696"/>
      <c r="BJ696"/>
      <c r="BK696"/>
      <c r="BL696"/>
      <c r="BM696"/>
      <c r="BN696"/>
      <c r="BP696"/>
      <c r="BQ696"/>
      <c r="BR696"/>
      <c r="BS696"/>
      <c r="BT696"/>
      <c r="BU696"/>
      <c r="BV696"/>
      <c r="BW696"/>
      <c r="BZ696"/>
      <c r="CA696"/>
      <c r="CB696"/>
      <c r="CC696"/>
      <c r="CD696"/>
      <c r="CF696"/>
      <c r="CG696"/>
      <c r="CH696"/>
      <c r="CI696"/>
      <c r="CJ696"/>
      <c r="CK696"/>
      <c r="CL696"/>
      <c r="CM696"/>
      <c r="CN696"/>
      <c r="CO696"/>
      <c r="CP696"/>
      <c r="CQ696"/>
      <c r="CR696"/>
      <c r="CS696"/>
      <c r="CT696"/>
      <c r="CU696"/>
      <c r="CV696"/>
      <c r="CW696"/>
      <c r="CX696"/>
      <c r="CY696"/>
      <c r="CZ696"/>
      <c r="DA696"/>
      <c r="DB696"/>
      <c r="DC696"/>
      <c r="DD696"/>
      <c r="DE696"/>
      <c r="DG696"/>
      <c r="DH696"/>
      <c r="DI696"/>
      <c r="DJ696"/>
      <c r="DK696"/>
      <c r="DL696"/>
      <c r="DM696"/>
      <c r="DN696"/>
      <c r="DO696"/>
      <c r="DP696"/>
      <c r="DQ696"/>
      <c r="DR696"/>
      <c r="DS696"/>
      <c r="DT696"/>
      <c r="DU696"/>
      <c r="DV696"/>
      <c r="DW696"/>
      <c r="DZ696"/>
      <c r="EA696"/>
      <c r="EB696"/>
      <c r="EC696"/>
      <c r="ED696"/>
      <c r="EE696"/>
      <c r="EF696"/>
      <c r="EG696"/>
      <c r="EJ696"/>
      <c r="EK696"/>
      <c r="EL696"/>
      <c r="EM696"/>
      <c r="EN696"/>
      <c r="EO696"/>
      <c r="EP696"/>
      <c r="EQ696"/>
      <c r="ER696"/>
      <c r="ES696"/>
      <c r="ET696"/>
      <c r="EU696"/>
      <c r="EV696"/>
      <c r="EW696"/>
      <c r="EX696"/>
      <c r="EY696"/>
      <c r="EZ696"/>
      <c r="FA696"/>
      <c r="FB696"/>
      <c r="FC696"/>
      <c r="FD696"/>
      <c r="FE696"/>
      <c r="FF696"/>
      <c r="FG696"/>
      <c r="FH696"/>
      <c r="FK696"/>
      <c r="FL696"/>
      <c r="FM696"/>
      <c r="FN696"/>
      <c r="FO696"/>
      <c r="FP696"/>
      <c r="FQ696"/>
      <c r="FR696"/>
      <c r="FS696"/>
      <c r="FT696"/>
      <c r="FU696"/>
      <c r="FV696"/>
      <c r="FW696"/>
      <c r="FX696"/>
      <c r="FY696"/>
      <c r="FZ696"/>
      <c r="GA696"/>
      <c r="GB696"/>
      <c r="GC696"/>
      <c r="GD696"/>
    </row>
    <row r="697" spans="1:186" x14ac:dyDescent="0.15">
      <c r="A697" s="455">
        <v>35.491</v>
      </c>
      <c r="B697" s="455">
        <v>1</v>
      </c>
      <c r="C697"/>
      <c r="D697"/>
      <c r="E697"/>
      <c r="F697"/>
      <c r="G697"/>
      <c r="H697"/>
      <c r="I697"/>
      <c r="J697" s="558"/>
      <c r="K697"/>
      <c r="AG697"/>
      <c r="AH697"/>
      <c r="AJ697"/>
      <c r="AK697"/>
      <c r="AL697"/>
      <c r="AM697"/>
      <c r="AO697"/>
      <c r="AP697"/>
      <c r="AQ697"/>
      <c r="AR697"/>
      <c r="AS697"/>
      <c r="AT697"/>
      <c r="AU697"/>
      <c r="AV697"/>
      <c r="AW697"/>
      <c r="AX697"/>
      <c r="AY697"/>
      <c r="AZ697"/>
      <c r="BA697"/>
      <c r="BB697"/>
      <c r="BC697"/>
      <c r="BD697"/>
      <c r="BE697"/>
      <c r="BF697"/>
      <c r="BH697"/>
      <c r="BI697"/>
      <c r="BJ697"/>
      <c r="BK697"/>
      <c r="BL697"/>
      <c r="BM697"/>
      <c r="BN697"/>
      <c r="BP697"/>
      <c r="BQ697"/>
      <c r="BR697"/>
      <c r="BS697"/>
      <c r="BT697"/>
      <c r="BU697"/>
      <c r="BV697"/>
      <c r="BW697"/>
      <c r="BZ697"/>
      <c r="CA697"/>
      <c r="CB697"/>
      <c r="CC697"/>
      <c r="CD697"/>
      <c r="CF697"/>
      <c r="CG697"/>
      <c r="CH697"/>
      <c r="CI697"/>
      <c r="CJ697"/>
      <c r="CK697"/>
      <c r="CL697"/>
      <c r="CM697"/>
      <c r="CN697"/>
      <c r="CO697"/>
      <c r="CP697"/>
      <c r="CQ697"/>
      <c r="CR697"/>
      <c r="CS697"/>
      <c r="CT697"/>
      <c r="CU697"/>
      <c r="CV697"/>
      <c r="CW697"/>
      <c r="CX697"/>
      <c r="CY697"/>
      <c r="CZ697"/>
      <c r="DA697"/>
      <c r="DB697"/>
      <c r="DC697"/>
      <c r="DD697"/>
      <c r="DE697"/>
      <c r="DG697"/>
      <c r="DH697"/>
      <c r="DI697"/>
      <c r="DJ697"/>
      <c r="DK697"/>
      <c r="DL697"/>
      <c r="DM697"/>
      <c r="DN697"/>
      <c r="DO697"/>
      <c r="DP697"/>
      <c r="DQ697"/>
      <c r="DR697"/>
      <c r="DS697"/>
      <c r="DT697"/>
      <c r="DU697"/>
      <c r="DV697"/>
      <c r="DW697"/>
      <c r="DZ697"/>
      <c r="EA697"/>
      <c r="EB697"/>
      <c r="EC697"/>
      <c r="ED697"/>
      <c r="EE697"/>
      <c r="EF697"/>
      <c r="EG697"/>
      <c r="EJ697"/>
      <c r="EK697"/>
      <c r="EL697"/>
      <c r="EM697"/>
      <c r="EN697"/>
      <c r="EO697"/>
      <c r="EP697"/>
      <c r="EQ697"/>
      <c r="ER697"/>
      <c r="ES697"/>
      <c r="ET697"/>
      <c r="EU697"/>
      <c r="EV697"/>
      <c r="EW697"/>
      <c r="EX697"/>
      <c r="EY697"/>
      <c r="EZ697"/>
      <c r="FA697"/>
      <c r="FB697"/>
      <c r="FC697"/>
      <c r="FD697"/>
      <c r="FE697"/>
      <c r="FF697"/>
      <c r="FG697"/>
      <c r="FH697"/>
      <c r="FK697"/>
      <c r="FL697"/>
      <c r="FM697"/>
      <c r="FN697"/>
      <c r="FO697"/>
      <c r="FP697"/>
      <c r="FQ697"/>
      <c r="FR697"/>
      <c r="FS697"/>
      <c r="FT697"/>
      <c r="FU697"/>
      <c r="FV697"/>
      <c r="FW697"/>
      <c r="FX697"/>
      <c r="FY697"/>
      <c r="FZ697"/>
      <c r="GA697"/>
      <c r="GB697"/>
      <c r="GC697"/>
      <c r="GD697"/>
    </row>
    <row r="698" spans="1:186" x14ac:dyDescent="0.15">
      <c r="A698" s="455">
        <v>3.1160000000000001</v>
      </c>
      <c r="B698" s="455"/>
      <c r="C698">
        <v>1</v>
      </c>
      <c r="D698"/>
      <c r="E698"/>
      <c r="F698"/>
      <c r="G698"/>
      <c r="H698"/>
      <c r="I698"/>
      <c r="J698" s="558"/>
      <c r="K698"/>
      <c r="AG698"/>
      <c r="AH698"/>
      <c r="AJ698"/>
      <c r="AK698"/>
      <c r="AL698"/>
      <c r="AM698"/>
      <c r="AO698"/>
      <c r="AP698"/>
      <c r="AQ698"/>
      <c r="AR698"/>
      <c r="AS698"/>
      <c r="AT698"/>
      <c r="AU698"/>
      <c r="AV698"/>
      <c r="AW698"/>
      <c r="AX698"/>
      <c r="AY698"/>
      <c r="AZ698"/>
      <c r="BA698"/>
      <c r="BB698"/>
      <c r="BC698"/>
      <c r="BD698"/>
      <c r="BE698"/>
      <c r="BF698"/>
      <c r="BH698"/>
      <c r="BI698"/>
      <c r="BJ698"/>
      <c r="BK698"/>
      <c r="BL698"/>
      <c r="BM698"/>
      <c r="BN698"/>
      <c r="BP698"/>
      <c r="BQ698"/>
      <c r="BR698"/>
      <c r="BS698"/>
      <c r="BT698"/>
      <c r="BU698"/>
      <c r="BV698"/>
      <c r="BW698"/>
      <c r="BZ698"/>
      <c r="CA698"/>
      <c r="CB698"/>
      <c r="CC698"/>
      <c r="CD698"/>
      <c r="CF698"/>
      <c r="CG698"/>
      <c r="CH698"/>
      <c r="CI698"/>
      <c r="CJ698"/>
      <c r="CK698"/>
      <c r="CL698"/>
      <c r="CM698"/>
      <c r="CN698"/>
      <c r="CO698"/>
      <c r="CP698"/>
      <c r="CQ698"/>
      <c r="CR698"/>
      <c r="CS698"/>
      <c r="CT698"/>
      <c r="CU698"/>
      <c r="CV698"/>
      <c r="CW698"/>
      <c r="CX698"/>
      <c r="CY698"/>
      <c r="CZ698"/>
      <c r="DA698"/>
      <c r="DB698"/>
      <c r="DC698"/>
      <c r="DD698"/>
      <c r="DE698"/>
      <c r="DG698"/>
      <c r="DH698"/>
      <c r="DI698"/>
      <c r="DJ698"/>
      <c r="DK698"/>
      <c r="DL698"/>
      <c r="DM698"/>
      <c r="DN698"/>
      <c r="DO698"/>
      <c r="DP698"/>
      <c r="DQ698"/>
      <c r="DR698"/>
      <c r="DS698"/>
      <c r="DT698"/>
      <c r="DU698"/>
      <c r="DV698"/>
      <c r="DW698"/>
      <c r="DZ698"/>
      <c r="EA698"/>
      <c r="EB698"/>
      <c r="EC698"/>
      <c r="ED698"/>
      <c r="EE698"/>
      <c r="EF698"/>
      <c r="EG698"/>
      <c r="EJ698"/>
      <c r="EK698"/>
      <c r="EL698"/>
      <c r="EM698"/>
      <c r="EN698"/>
      <c r="EO698"/>
      <c r="EP698"/>
      <c r="EQ698"/>
      <c r="ER698"/>
      <c r="ES698"/>
      <c r="ET698"/>
      <c r="EU698"/>
      <c r="EV698"/>
      <c r="EW698"/>
      <c r="EX698"/>
      <c r="EY698"/>
      <c r="EZ698"/>
      <c r="FA698"/>
      <c r="FB698"/>
      <c r="FC698"/>
      <c r="FD698"/>
      <c r="FE698"/>
      <c r="FF698"/>
      <c r="FG698"/>
      <c r="FH698"/>
      <c r="FK698"/>
      <c r="FL698"/>
      <c r="FM698"/>
      <c r="FN698"/>
      <c r="FO698"/>
      <c r="FP698"/>
      <c r="FQ698"/>
      <c r="FR698"/>
      <c r="FS698"/>
      <c r="FT698"/>
      <c r="FU698"/>
      <c r="FV698"/>
      <c r="FW698"/>
      <c r="FX698"/>
      <c r="FY698"/>
      <c r="FZ698"/>
      <c r="GA698"/>
      <c r="GB698"/>
      <c r="GC698"/>
      <c r="GD698"/>
    </row>
    <row r="699" spans="1:186" x14ac:dyDescent="0.15">
      <c r="A699" s="455">
        <v>5.5069999999999997</v>
      </c>
      <c r="B699" s="455"/>
      <c r="C699"/>
      <c r="D699"/>
      <c r="E699"/>
      <c r="F699">
        <v>1</v>
      </c>
      <c r="G699"/>
      <c r="H699"/>
      <c r="I699"/>
      <c r="J699" s="558"/>
      <c r="K699"/>
      <c r="AG699"/>
      <c r="AH699"/>
      <c r="AJ699"/>
      <c r="AK699"/>
      <c r="AL699"/>
      <c r="AM699"/>
      <c r="AO699"/>
      <c r="AP699"/>
      <c r="AQ699"/>
      <c r="AR699"/>
      <c r="AS699"/>
      <c r="AT699"/>
      <c r="AU699"/>
      <c r="AV699"/>
      <c r="AW699"/>
      <c r="AX699"/>
      <c r="AY699"/>
      <c r="AZ699"/>
      <c r="BA699"/>
      <c r="BB699"/>
      <c r="BC699"/>
      <c r="BD699"/>
      <c r="BE699"/>
      <c r="BF699"/>
      <c r="BH699"/>
      <c r="BI699"/>
      <c r="BJ699"/>
      <c r="BK699"/>
      <c r="BL699"/>
      <c r="BM699"/>
      <c r="BN699"/>
      <c r="BP699"/>
      <c r="BQ699"/>
      <c r="BR699"/>
      <c r="BS699"/>
      <c r="BT699"/>
      <c r="BU699"/>
      <c r="BV699"/>
      <c r="BW699"/>
      <c r="BZ699"/>
      <c r="CA699"/>
      <c r="CB699"/>
      <c r="CC699"/>
      <c r="CD699"/>
      <c r="CF699"/>
      <c r="CG699"/>
      <c r="CH699"/>
      <c r="CI699"/>
      <c r="CJ699"/>
      <c r="CK699"/>
      <c r="CL699"/>
      <c r="CM699"/>
      <c r="CN699"/>
      <c r="CO699"/>
      <c r="CP699"/>
      <c r="CQ699"/>
      <c r="CR699"/>
      <c r="CS699"/>
      <c r="CT699"/>
      <c r="CU699"/>
      <c r="CV699"/>
      <c r="CW699"/>
      <c r="CX699"/>
      <c r="CY699"/>
      <c r="CZ699"/>
      <c r="DA699"/>
      <c r="DB699"/>
      <c r="DC699"/>
      <c r="DD699"/>
      <c r="DE699"/>
      <c r="DG699"/>
      <c r="DH699"/>
      <c r="DI699"/>
      <c r="DJ699"/>
      <c r="DK699"/>
      <c r="DL699"/>
      <c r="DM699"/>
      <c r="DN699"/>
      <c r="DO699"/>
      <c r="DP699"/>
      <c r="DQ699"/>
      <c r="DR699"/>
      <c r="DS699"/>
      <c r="DT699"/>
      <c r="DU699"/>
      <c r="DV699"/>
      <c r="DW699"/>
      <c r="DZ699"/>
      <c r="EA699"/>
      <c r="EB699"/>
      <c r="EC699"/>
      <c r="ED699"/>
      <c r="EE699"/>
      <c r="EF699"/>
      <c r="EG699"/>
      <c r="EJ699"/>
      <c r="EK699"/>
      <c r="EL699"/>
      <c r="EM699"/>
      <c r="EN699"/>
      <c r="EO699"/>
      <c r="EP699"/>
      <c r="EQ699"/>
      <c r="ER699"/>
      <c r="ES699"/>
      <c r="ET699"/>
      <c r="EU699"/>
      <c r="EV699"/>
      <c r="EW699"/>
      <c r="EX699"/>
      <c r="EY699"/>
      <c r="EZ699"/>
      <c r="FA699"/>
      <c r="FB699"/>
      <c r="FC699"/>
      <c r="FD699"/>
      <c r="FE699"/>
      <c r="FF699"/>
      <c r="FG699"/>
      <c r="FH699"/>
      <c r="FK699"/>
      <c r="FL699"/>
      <c r="FM699"/>
      <c r="FN699"/>
      <c r="FO699"/>
      <c r="FP699"/>
      <c r="FQ699"/>
      <c r="FR699"/>
      <c r="FS699"/>
      <c r="FT699"/>
      <c r="FU699"/>
      <c r="FV699"/>
      <c r="FW699"/>
      <c r="FX699"/>
      <c r="FY699"/>
      <c r="FZ699"/>
      <c r="GA699"/>
      <c r="GB699"/>
      <c r="GC699"/>
      <c r="GD699"/>
    </row>
    <row r="700" spans="1:186" x14ac:dyDescent="0.15">
      <c r="A700" s="455">
        <v>11.250999999999999</v>
      </c>
      <c r="B700" s="455"/>
      <c r="C700"/>
      <c r="D700"/>
      <c r="E700"/>
      <c r="F700"/>
      <c r="G700"/>
      <c r="H700">
        <v>1</v>
      </c>
      <c r="I700"/>
      <c r="J700" s="558"/>
      <c r="K700"/>
      <c r="AG700"/>
      <c r="AH700"/>
      <c r="AJ700"/>
      <c r="AK700"/>
      <c r="AL700"/>
      <c r="AM700"/>
      <c r="AO700"/>
      <c r="AP700"/>
      <c r="AQ700"/>
      <c r="AR700"/>
      <c r="AS700"/>
      <c r="AT700"/>
      <c r="AU700"/>
      <c r="AV700"/>
      <c r="AW700"/>
      <c r="AX700"/>
      <c r="AY700"/>
      <c r="AZ700"/>
      <c r="BA700"/>
      <c r="BB700"/>
      <c r="BC700"/>
      <c r="BD700"/>
      <c r="BE700"/>
      <c r="BF700"/>
      <c r="BH700"/>
      <c r="BI700"/>
      <c r="BJ700"/>
      <c r="BK700"/>
      <c r="BL700"/>
      <c r="BM700"/>
      <c r="BN700"/>
      <c r="BP700"/>
      <c r="BQ700"/>
      <c r="BR700"/>
      <c r="BS700"/>
      <c r="BT700"/>
      <c r="BU700"/>
      <c r="BV700"/>
      <c r="BW700"/>
      <c r="BZ700"/>
      <c r="CA700"/>
      <c r="CB700"/>
      <c r="CC700"/>
      <c r="CD700"/>
      <c r="CF700"/>
      <c r="CG700"/>
      <c r="CH700"/>
      <c r="CI700"/>
      <c r="CJ700"/>
      <c r="CK700"/>
      <c r="CL700"/>
      <c r="CM700"/>
      <c r="CN700"/>
      <c r="CO700"/>
      <c r="CP700"/>
      <c r="CQ700"/>
      <c r="CR700"/>
      <c r="CS700"/>
      <c r="CT700"/>
      <c r="CU700"/>
      <c r="CV700"/>
      <c r="CW700"/>
      <c r="CX700"/>
      <c r="CY700"/>
      <c r="CZ700"/>
      <c r="DA700"/>
      <c r="DB700"/>
      <c r="DC700"/>
      <c r="DD700"/>
      <c r="DE700"/>
      <c r="DG700"/>
      <c r="DH700"/>
      <c r="DI700"/>
      <c r="DJ700"/>
      <c r="DK700"/>
      <c r="DL700"/>
      <c r="DM700"/>
      <c r="DN700"/>
      <c r="DO700"/>
      <c r="DP700"/>
      <c r="DQ700"/>
      <c r="DR700"/>
      <c r="DS700"/>
      <c r="DT700"/>
      <c r="DU700"/>
      <c r="DV700"/>
      <c r="DW700"/>
      <c r="DZ700"/>
      <c r="EA700"/>
      <c r="EB700"/>
      <c r="EC700"/>
      <c r="ED700"/>
      <c r="EE700"/>
      <c r="EF700"/>
      <c r="EG700"/>
      <c r="EJ700"/>
      <c r="EK700"/>
      <c r="EL700"/>
      <c r="EM700"/>
      <c r="EN700"/>
      <c r="EO700"/>
      <c r="EP700"/>
      <c r="EQ700"/>
      <c r="ER700"/>
      <c r="ES700"/>
      <c r="ET700"/>
      <c r="EU700"/>
      <c r="EV700"/>
      <c r="EW700"/>
      <c r="EX700"/>
      <c r="EY700"/>
      <c r="EZ700"/>
      <c r="FA700"/>
      <c r="FB700"/>
      <c r="FC700"/>
      <c r="FD700"/>
      <c r="FE700"/>
      <c r="FF700"/>
      <c r="FG700"/>
      <c r="FH700"/>
      <c r="FK700"/>
      <c r="FL700"/>
      <c r="FM700"/>
      <c r="FN700"/>
      <c r="FO700"/>
      <c r="FP700"/>
      <c r="FQ700"/>
      <c r="FR700"/>
      <c r="FS700"/>
      <c r="FT700"/>
      <c r="FU700"/>
      <c r="FV700"/>
      <c r="FW700"/>
      <c r="FX700"/>
      <c r="FY700"/>
      <c r="FZ700"/>
      <c r="GA700"/>
      <c r="GB700"/>
      <c r="GC700"/>
      <c r="GD700"/>
    </row>
    <row r="701" spans="1:186" x14ac:dyDescent="0.15">
      <c r="A701" s="455">
        <v>1.371</v>
      </c>
      <c r="B701" s="455"/>
      <c r="C701"/>
      <c r="D701">
        <v>1</v>
      </c>
      <c r="E701"/>
      <c r="F701"/>
      <c r="G701"/>
      <c r="H701"/>
      <c r="I701"/>
      <c r="J701" s="558"/>
      <c r="K701"/>
      <c r="AG701"/>
      <c r="AH701"/>
      <c r="AJ701"/>
      <c r="AK701"/>
      <c r="AL701"/>
      <c r="AM701"/>
      <c r="AO701"/>
      <c r="AP701"/>
      <c r="AQ701"/>
      <c r="AR701"/>
      <c r="AS701"/>
      <c r="AT701"/>
      <c r="AU701"/>
      <c r="AV701"/>
      <c r="AW701"/>
      <c r="AX701"/>
      <c r="AY701"/>
      <c r="AZ701"/>
      <c r="BA701"/>
      <c r="BB701"/>
      <c r="BC701"/>
      <c r="BD701"/>
      <c r="BE701"/>
      <c r="BF701"/>
      <c r="BH701"/>
      <c r="BI701"/>
      <c r="BJ701"/>
      <c r="BK701"/>
      <c r="BL701"/>
      <c r="BM701"/>
      <c r="BN701"/>
      <c r="BP701"/>
      <c r="BQ701"/>
      <c r="BR701"/>
      <c r="BS701"/>
      <c r="BT701"/>
      <c r="BU701"/>
      <c r="BV701"/>
      <c r="BW701"/>
      <c r="BZ701"/>
      <c r="CA701"/>
      <c r="CB701"/>
      <c r="CC701"/>
      <c r="CD701"/>
      <c r="CF701"/>
      <c r="CG701"/>
      <c r="CH701"/>
      <c r="CI701"/>
      <c r="CJ701"/>
      <c r="CK701"/>
      <c r="CL701"/>
      <c r="CM701"/>
      <c r="CN701"/>
      <c r="CO701"/>
      <c r="CP701"/>
      <c r="CQ701"/>
      <c r="CR701"/>
      <c r="CS701"/>
      <c r="CT701"/>
      <c r="CU701"/>
      <c r="CV701"/>
      <c r="CW701"/>
      <c r="CX701"/>
      <c r="CY701"/>
      <c r="CZ701"/>
      <c r="DA701"/>
      <c r="DB701"/>
      <c r="DC701"/>
      <c r="DD701"/>
      <c r="DE701"/>
      <c r="DG701"/>
      <c r="DH701"/>
      <c r="DI701"/>
      <c r="DJ701"/>
      <c r="DK701"/>
      <c r="DL701"/>
      <c r="DM701"/>
      <c r="DN701"/>
      <c r="DO701"/>
      <c r="DP701"/>
      <c r="DQ701"/>
      <c r="DR701"/>
      <c r="DS701"/>
      <c r="DT701"/>
      <c r="DU701"/>
      <c r="DV701"/>
      <c r="DW701"/>
      <c r="DZ701"/>
      <c r="EA701"/>
      <c r="EB701"/>
      <c r="EC701"/>
      <c r="ED701"/>
      <c r="EE701"/>
      <c r="EF701"/>
      <c r="EG701"/>
      <c r="EJ701"/>
      <c r="EK701"/>
      <c r="EL701"/>
      <c r="EM701"/>
      <c r="EN701"/>
      <c r="EO701"/>
      <c r="EP701"/>
      <c r="EQ701"/>
      <c r="ER701"/>
      <c r="ES701"/>
      <c r="ET701"/>
      <c r="EU701"/>
      <c r="EV701"/>
      <c r="EW701"/>
      <c r="EX701"/>
      <c r="EY701"/>
      <c r="EZ701"/>
      <c r="FA701"/>
      <c r="FB701"/>
      <c r="FC701"/>
      <c r="FD701"/>
      <c r="FE701"/>
      <c r="FF701"/>
      <c r="FG701"/>
      <c r="FH701"/>
      <c r="FK701"/>
      <c r="FL701"/>
      <c r="FM701"/>
      <c r="FN701"/>
      <c r="FO701"/>
      <c r="FP701"/>
      <c r="FQ701"/>
      <c r="FR701"/>
      <c r="FS701"/>
      <c r="FT701"/>
      <c r="FU701"/>
      <c r="FV701"/>
      <c r="FW701"/>
      <c r="FX701"/>
      <c r="FY701"/>
      <c r="FZ701"/>
      <c r="GA701"/>
      <c r="GB701"/>
      <c r="GC701"/>
      <c r="GD701"/>
    </row>
    <row r="702" spans="1:186" x14ac:dyDescent="0.15">
      <c r="A702" s="455">
        <v>7.4370000000000003</v>
      </c>
      <c r="B702" s="455">
        <v>1</v>
      </c>
      <c r="C702"/>
      <c r="D702"/>
      <c r="E702"/>
      <c r="F702"/>
      <c r="G702"/>
      <c r="H702"/>
      <c r="I702"/>
      <c r="J702" s="558"/>
      <c r="K702"/>
      <c r="AG702"/>
      <c r="AH702"/>
      <c r="AJ702"/>
      <c r="AK702"/>
      <c r="AL702"/>
      <c r="AM702"/>
      <c r="AO702"/>
      <c r="AP702"/>
      <c r="AQ702"/>
      <c r="AR702"/>
      <c r="AS702"/>
      <c r="AT702"/>
      <c r="AU702"/>
      <c r="AV702"/>
      <c r="AW702"/>
      <c r="AX702"/>
      <c r="AY702"/>
      <c r="AZ702"/>
      <c r="BA702"/>
      <c r="BB702"/>
      <c r="BC702"/>
      <c r="BD702"/>
      <c r="BE702"/>
      <c r="BF702"/>
      <c r="BH702"/>
      <c r="BI702"/>
      <c r="BJ702"/>
      <c r="BK702"/>
      <c r="BL702"/>
      <c r="BM702"/>
      <c r="BN702"/>
      <c r="BP702"/>
      <c r="BQ702"/>
      <c r="BR702"/>
      <c r="BS702"/>
      <c r="BT702"/>
      <c r="BU702"/>
      <c r="BV702"/>
      <c r="BW702"/>
      <c r="BZ702"/>
      <c r="CA702"/>
      <c r="CB702"/>
      <c r="CC702"/>
      <c r="CD702"/>
      <c r="CF702"/>
      <c r="CG702"/>
      <c r="CH702"/>
      <c r="CI702"/>
      <c r="CJ702"/>
      <c r="CK702"/>
      <c r="CL702"/>
      <c r="CM702"/>
      <c r="CN702"/>
      <c r="CO702"/>
      <c r="CP702"/>
      <c r="CQ702"/>
      <c r="CR702"/>
      <c r="CS702"/>
      <c r="CT702"/>
      <c r="CU702"/>
      <c r="CV702"/>
      <c r="CW702"/>
      <c r="CX702"/>
      <c r="CY702"/>
      <c r="CZ702"/>
      <c r="DA702"/>
      <c r="DB702"/>
      <c r="DC702"/>
      <c r="DD702"/>
      <c r="DE702"/>
      <c r="DG702"/>
      <c r="DH702"/>
      <c r="DI702"/>
      <c r="DJ702"/>
      <c r="DK702"/>
      <c r="DL702"/>
      <c r="DM702"/>
      <c r="DN702"/>
      <c r="DO702"/>
      <c r="DP702"/>
      <c r="DQ702"/>
      <c r="DR702"/>
      <c r="DS702"/>
      <c r="DT702"/>
      <c r="DU702"/>
      <c r="DV702"/>
      <c r="DW702"/>
      <c r="DZ702"/>
      <c r="EA702"/>
      <c r="EB702"/>
      <c r="EC702"/>
      <c r="ED702"/>
      <c r="EE702"/>
      <c r="EF702"/>
      <c r="EG702"/>
      <c r="EJ702"/>
      <c r="EK702"/>
      <c r="EL702"/>
      <c r="EM702"/>
      <c r="EN702"/>
      <c r="EO702"/>
      <c r="EP702"/>
      <c r="EQ702"/>
      <c r="ER702"/>
      <c r="ES702"/>
      <c r="ET702"/>
      <c r="EU702"/>
      <c r="EV702"/>
      <c r="EW702"/>
      <c r="EX702"/>
      <c r="EY702"/>
      <c r="EZ702"/>
      <c r="FA702"/>
      <c r="FB702"/>
      <c r="FC702"/>
      <c r="FD702"/>
      <c r="FE702"/>
      <c r="FF702"/>
      <c r="FG702"/>
      <c r="FH702"/>
      <c r="FK702"/>
      <c r="FL702"/>
      <c r="FM702"/>
      <c r="FN702"/>
      <c r="FO702"/>
      <c r="FP702"/>
      <c r="FQ702"/>
      <c r="FR702"/>
      <c r="FS702"/>
      <c r="FT702"/>
      <c r="FU702"/>
      <c r="FV702"/>
      <c r="FW702"/>
      <c r="FX702"/>
      <c r="FY702"/>
      <c r="FZ702"/>
      <c r="GA702"/>
      <c r="GB702"/>
      <c r="GC702"/>
      <c r="GD702"/>
    </row>
    <row r="703" spans="1:186" x14ac:dyDescent="0.15">
      <c r="A703" s="455">
        <v>18.358000000000001</v>
      </c>
      <c r="B703" s="455">
        <v>1</v>
      </c>
      <c r="C703"/>
      <c r="D703"/>
      <c r="E703"/>
      <c r="F703"/>
      <c r="G703"/>
      <c r="H703"/>
      <c r="I703"/>
      <c r="J703" s="558"/>
      <c r="K703"/>
      <c r="AG703"/>
      <c r="AH703"/>
      <c r="AJ703"/>
      <c r="AK703"/>
      <c r="AL703"/>
      <c r="AM703"/>
      <c r="AO703"/>
      <c r="AP703"/>
      <c r="AQ703"/>
      <c r="AR703"/>
      <c r="AS703"/>
      <c r="AT703"/>
      <c r="AU703"/>
      <c r="AV703"/>
      <c r="AW703"/>
      <c r="AX703"/>
      <c r="AY703"/>
      <c r="AZ703"/>
      <c r="BA703"/>
      <c r="BB703"/>
      <c r="BC703"/>
      <c r="BD703"/>
      <c r="BE703"/>
      <c r="BF703"/>
      <c r="BH703"/>
      <c r="BI703"/>
      <c r="BJ703"/>
      <c r="BK703"/>
      <c r="BL703"/>
      <c r="BM703"/>
      <c r="BN703"/>
      <c r="BP703"/>
      <c r="BQ703"/>
      <c r="BR703"/>
      <c r="BS703"/>
      <c r="BT703"/>
      <c r="BU703"/>
      <c r="BV703"/>
      <c r="BW703"/>
      <c r="BZ703"/>
      <c r="CA703"/>
      <c r="CB703"/>
      <c r="CC703"/>
      <c r="CD703"/>
      <c r="CF703"/>
      <c r="CG703"/>
      <c r="CH703"/>
      <c r="CI703"/>
      <c r="CJ703"/>
      <c r="CK703"/>
      <c r="CL703"/>
      <c r="CM703"/>
      <c r="CN703"/>
      <c r="CO703"/>
      <c r="CP703"/>
      <c r="CQ703"/>
      <c r="CR703"/>
      <c r="CS703"/>
      <c r="CT703"/>
      <c r="CU703"/>
      <c r="CV703"/>
      <c r="CW703"/>
      <c r="CX703"/>
      <c r="CY703"/>
      <c r="CZ703"/>
      <c r="DA703"/>
      <c r="DB703"/>
      <c r="DC703"/>
      <c r="DD703"/>
      <c r="DE703"/>
      <c r="DG703"/>
      <c r="DH703"/>
      <c r="DI703"/>
      <c r="DJ703"/>
      <c r="DK703"/>
      <c r="DL703"/>
      <c r="DM703"/>
      <c r="DN703"/>
      <c r="DO703"/>
      <c r="DP703"/>
      <c r="DQ703"/>
      <c r="DR703"/>
      <c r="DS703"/>
      <c r="DT703"/>
      <c r="DU703"/>
      <c r="DV703"/>
      <c r="DW703"/>
      <c r="DZ703"/>
      <c r="EA703"/>
      <c r="EB703"/>
      <c r="EC703"/>
      <c r="ED703"/>
      <c r="EE703"/>
      <c r="EF703"/>
      <c r="EG703"/>
      <c r="EJ703"/>
      <c r="EK703"/>
      <c r="EL703"/>
      <c r="EM703"/>
      <c r="EN703"/>
      <c r="EO703"/>
      <c r="EP703"/>
      <c r="EQ703"/>
      <c r="ER703"/>
      <c r="ES703"/>
      <c r="ET703"/>
      <c r="EU703"/>
      <c r="EV703"/>
      <c r="EW703"/>
      <c r="EX703"/>
      <c r="EY703"/>
      <c r="EZ703"/>
      <c r="FA703"/>
      <c r="FB703"/>
      <c r="FC703"/>
      <c r="FD703"/>
      <c r="FE703"/>
      <c r="FF703"/>
      <c r="FG703"/>
      <c r="FH703"/>
      <c r="FK703"/>
      <c r="FL703"/>
      <c r="FM703"/>
      <c r="FN703"/>
      <c r="FO703"/>
      <c r="FP703"/>
      <c r="FQ703"/>
      <c r="FR703"/>
      <c r="FS703"/>
      <c r="FT703"/>
      <c r="FU703"/>
      <c r="FV703"/>
      <c r="FW703"/>
      <c r="FX703"/>
      <c r="FY703"/>
      <c r="FZ703"/>
      <c r="GA703"/>
      <c r="GB703"/>
      <c r="GC703"/>
      <c r="GD703"/>
    </row>
    <row r="704" spans="1:186" x14ac:dyDescent="0.15">
      <c r="A704" s="455">
        <v>2.097</v>
      </c>
      <c r="B704" s="455"/>
      <c r="C704"/>
      <c r="D704">
        <v>1</v>
      </c>
      <c r="E704"/>
      <c r="F704"/>
      <c r="G704"/>
      <c r="H704"/>
      <c r="I704"/>
      <c r="J704" s="558"/>
      <c r="K704"/>
      <c r="AG704"/>
      <c r="AH704"/>
      <c r="AJ704"/>
      <c r="AK704"/>
      <c r="AL704"/>
      <c r="AM704"/>
      <c r="AO704"/>
      <c r="AP704"/>
      <c r="AQ704"/>
      <c r="AR704"/>
      <c r="AS704"/>
      <c r="AT704"/>
      <c r="AU704"/>
      <c r="AV704"/>
      <c r="AW704"/>
      <c r="AX704"/>
      <c r="AY704"/>
      <c r="AZ704"/>
      <c r="BA704"/>
      <c r="BB704"/>
      <c r="BC704"/>
      <c r="BD704"/>
      <c r="BE704"/>
      <c r="BF704"/>
      <c r="BH704"/>
      <c r="BI704"/>
      <c r="BJ704"/>
      <c r="BK704"/>
      <c r="BL704"/>
      <c r="BM704"/>
      <c r="BN704"/>
      <c r="BP704"/>
      <c r="BQ704"/>
      <c r="BR704"/>
      <c r="BS704"/>
      <c r="BT704"/>
      <c r="BU704"/>
      <c r="BV704"/>
      <c r="BW704"/>
      <c r="BZ704"/>
      <c r="CA704"/>
      <c r="CB704"/>
      <c r="CC704"/>
      <c r="CD704"/>
      <c r="CF704"/>
      <c r="CG704"/>
      <c r="CH704"/>
      <c r="CI704"/>
      <c r="CJ704"/>
      <c r="CK704"/>
      <c r="CL704"/>
      <c r="CM704"/>
      <c r="CN704"/>
      <c r="CO704"/>
      <c r="CP704"/>
      <c r="CQ704"/>
      <c r="CR704"/>
      <c r="CS704"/>
      <c r="CT704"/>
      <c r="CU704"/>
      <c r="CV704"/>
      <c r="CW704"/>
      <c r="CX704"/>
      <c r="CY704"/>
      <c r="CZ704"/>
      <c r="DA704"/>
      <c r="DB704"/>
      <c r="DC704"/>
      <c r="DD704"/>
      <c r="DE704"/>
      <c r="DG704"/>
      <c r="DH704"/>
      <c r="DI704"/>
      <c r="DJ704"/>
      <c r="DK704"/>
      <c r="DL704"/>
      <c r="DM704"/>
      <c r="DN704"/>
      <c r="DO704"/>
      <c r="DP704"/>
      <c r="DQ704"/>
      <c r="DR704"/>
      <c r="DS704"/>
      <c r="DT704"/>
      <c r="DU704"/>
      <c r="DV704"/>
      <c r="DW704"/>
      <c r="DZ704"/>
      <c r="EA704"/>
      <c r="EB704"/>
      <c r="EC704"/>
      <c r="ED704"/>
      <c r="EE704"/>
      <c r="EF704"/>
      <c r="EG704"/>
      <c r="EJ704"/>
      <c r="EK704"/>
      <c r="EL704"/>
      <c r="EM704"/>
      <c r="EN704"/>
      <c r="EO704"/>
      <c r="EP704"/>
      <c r="EQ704"/>
      <c r="ER704"/>
      <c r="ES704"/>
      <c r="ET704"/>
      <c r="EU704"/>
      <c r="EV704"/>
      <c r="EW704"/>
      <c r="EX704"/>
      <c r="EY704"/>
      <c r="EZ704"/>
      <c r="FA704"/>
      <c r="FB704"/>
      <c r="FC704"/>
      <c r="FD704"/>
      <c r="FE704"/>
      <c r="FF704"/>
      <c r="FG704"/>
      <c r="FH704"/>
      <c r="FK704"/>
      <c r="FL704"/>
      <c r="FM704"/>
      <c r="FN704"/>
      <c r="FO704"/>
      <c r="FP704"/>
      <c r="FQ704"/>
      <c r="FR704"/>
      <c r="FS704"/>
      <c r="FT704"/>
      <c r="FU704"/>
      <c r="FV704"/>
      <c r="FW704"/>
      <c r="FX704"/>
      <c r="FY704"/>
      <c r="FZ704"/>
      <c r="GA704"/>
      <c r="GB704"/>
      <c r="GC704"/>
      <c r="GD704"/>
    </row>
    <row r="705" spans="1:186" x14ac:dyDescent="0.15">
      <c r="A705" s="455">
        <v>0.32700000000000001</v>
      </c>
      <c r="B705" s="455"/>
      <c r="C705">
        <v>1</v>
      </c>
      <c r="D705"/>
      <c r="E705"/>
      <c r="F705"/>
      <c r="G705"/>
      <c r="H705"/>
      <c r="I705"/>
      <c r="J705" s="558"/>
      <c r="K705"/>
      <c r="AG705"/>
      <c r="AH705"/>
      <c r="AJ705"/>
      <c r="AK705"/>
      <c r="AL705"/>
      <c r="AM705"/>
      <c r="AO705"/>
      <c r="AP705"/>
      <c r="AQ705"/>
      <c r="AR705"/>
      <c r="AS705"/>
      <c r="AT705"/>
      <c r="AU705"/>
      <c r="AV705"/>
      <c r="AW705"/>
      <c r="AX705"/>
      <c r="AY705"/>
      <c r="AZ705"/>
      <c r="BA705"/>
      <c r="BB705"/>
      <c r="BC705"/>
      <c r="BD705"/>
      <c r="BE705"/>
      <c r="BF705"/>
      <c r="BH705"/>
      <c r="BI705"/>
      <c r="BJ705"/>
      <c r="BK705"/>
      <c r="BL705"/>
      <c r="BM705"/>
      <c r="BN705"/>
      <c r="BP705"/>
      <c r="BQ705"/>
      <c r="BR705"/>
      <c r="BS705"/>
      <c r="BT705"/>
      <c r="BU705"/>
      <c r="BV705"/>
      <c r="BW705"/>
      <c r="BZ705"/>
      <c r="CA705"/>
      <c r="CB705"/>
      <c r="CC705"/>
      <c r="CD705"/>
      <c r="CF705"/>
      <c r="CG705"/>
      <c r="CH705"/>
      <c r="CI705"/>
      <c r="CJ705"/>
      <c r="CK705"/>
      <c r="CL705"/>
      <c r="CM705"/>
      <c r="CN705"/>
      <c r="CO705"/>
      <c r="CP705"/>
      <c r="CQ705"/>
      <c r="CR705"/>
      <c r="CS705"/>
      <c r="CT705"/>
      <c r="CU705"/>
      <c r="CV705"/>
      <c r="CW705"/>
      <c r="CX705"/>
      <c r="CY705"/>
      <c r="CZ705"/>
      <c r="DA705"/>
      <c r="DB705"/>
      <c r="DC705"/>
      <c r="DD705"/>
      <c r="DE705"/>
      <c r="DG705"/>
      <c r="DH705"/>
      <c r="DI705"/>
      <c r="DJ705"/>
      <c r="DK705"/>
      <c r="DL705"/>
      <c r="DM705"/>
      <c r="DN705"/>
      <c r="DO705"/>
      <c r="DP705"/>
      <c r="DQ705"/>
      <c r="DR705"/>
      <c r="DS705"/>
      <c r="DT705"/>
      <c r="DU705"/>
      <c r="DV705"/>
      <c r="DW705"/>
      <c r="DZ705"/>
      <c r="EA705"/>
      <c r="EB705"/>
      <c r="EC705"/>
      <c r="ED705"/>
      <c r="EE705"/>
      <c r="EF705"/>
      <c r="EG705"/>
      <c r="EJ705"/>
      <c r="EK705"/>
      <c r="EL705"/>
      <c r="EM705"/>
      <c r="EN705"/>
      <c r="EO705"/>
      <c r="EP705"/>
      <c r="EQ705"/>
      <c r="ER705"/>
      <c r="ES705"/>
      <c r="ET705"/>
      <c r="EU705"/>
      <c r="EV705"/>
      <c r="EW705"/>
      <c r="EX705"/>
      <c r="EY705"/>
      <c r="EZ705"/>
      <c r="FA705"/>
      <c r="FB705"/>
      <c r="FC705"/>
      <c r="FD705"/>
      <c r="FE705"/>
      <c r="FF705"/>
      <c r="FG705"/>
      <c r="FH705"/>
      <c r="FK705"/>
      <c r="FL705"/>
      <c r="FM705"/>
      <c r="FN705"/>
      <c r="FO705"/>
      <c r="FP705"/>
      <c r="FQ705"/>
      <c r="FR705"/>
      <c r="FS705"/>
      <c r="FT705"/>
      <c r="FU705"/>
      <c r="FV705"/>
      <c r="FW705"/>
      <c r="FX705"/>
      <c r="FY705"/>
      <c r="FZ705"/>
      <c r="GA705"/>
      <c r="GB705"/>
      <c r="GC705"/>
      <c r="GD705"/>
    </row>
    <row r="706" spans="1:186" x14ac:dyDescent="0.15">
      <c r="A706" s="455">
        <v>0.44800000000000001</v>
      </c>
      <c r="B706" s="455"/>
      <c r="C706"/>
      <c r="D706"/>
      <c r="E706"/>
      <c r="F706"/>
      <c r="G706">
        <v>1</v>
      </c>
      <c r="H706"/>
      <c r="I706"/>
      <c r="J706" s="558"/>
      <c r="K706"/>
      <c r="AG706"/>
      <c r="AH706"/>
      <c r="AJ706"/>
      <c r="AK706"/>
      <c r="AL706"/>
      <c r="AM706"/>
      <c r="AO706"/>
      <c r="AP706"/>
      <c r="AQ706"/>
      <c r="AR706"/>
      <c r="AS706"/>
      <c r="AT706"/>
      <c r="AU706"/>
      <c r="AV706"/>
      <c r="AW706"/>
      <c r="AX706"/>
      <c r="AY706"/>
      <c r="AZ706"/>
      <c r="BA706"/>
      <c r="BB706"/>
      <c r="BC706"/>
      <c r="BD706"/>
      <c r="BE706"/>
      <c r="BF706"/>
      <c r="BH706"/>
      <c r="BI706"/>
      <c r="BJ706"/>
      <c r="BK706"/>
      <c r="BL706"/>
      <c r="BM706"/>
      <c r="BN706"/>
      <c r="BP706"/>
      <c r="BQ706"/>
      <c r="BR706"/>
      <c r="BS706"/>
      <c r="BT706"/>
      <c r="BU706"/>
      <c r="BV706"/>
      <c r="BW706"/>
      <c r="BZ706"/>
      <c r="CA706"/>
      <c r="CB706"/>
      <c r="CC706"/>
      <c r="CD706"/>
      <c r="CF706"/>
      <c r="CG706"/>
      <c r="CH706"/>
      <c r="CI706"/>
      <c r="CJ706"/>
      <c r="CK706"/>
      <c r="CL706"/>
      <c r="CM706"/>
      <c r="CN706"/>
      <c r="CO706"/>
      <c r="CP706"/>
      <c r="CQ706"/>
      <c r="CR706"/>
      <c r="CS706"/>
      <c r="CT706"/>
      <c r="CU706"/>
      <c r="CV706"/>
      <c r="CW706"/>
      <c r="CX706"/>
      <c r="CY706"/>
      <c r="CZ706"/>
      <c r="DA706"/>
      <c r="DB706"/>
      <c r="DC706"/>
      <c r="DD706"/>
      <c r="DE706"/>
      <c r="DG706"/>
      <c r="DH706"/>
      <c r="DI706"/>
      <c r="DJ706"/>
      <c r="DK706"/>
      <c r="DL706"/>
      <c r="DM706"/>
      <c r="DN706"/>
      <c r="DO706"/>
      <c r="DP706"/>
      <c r="DQ706"/>
      <c r="DR706"/>
      <c r="DS706"/>
      <c r="DT706"/>
      <c r="DU706"/>
      <c r="DV706"/>
      <c r="DW706"/>
      <c r="DZ706"/>
      <c r="EA706"/>
      <c r="EB706"/>
      <c r="EC706"/>
      <c r="ED706"/>
      <c r="EE706"/>
      <c r="EF706"/>
      <c r="EG706"/>
      <c r="EJ706"/>
      <c r="EK706"/>
      <c r="EL706"/>
      <c r="EM706"/>
      <c r="EN706"/>
      <c r="EO706"/>
      <c r="EP706"/>
      <c r="EQ706"/>
      <c r="ER706"/>
      <c r="ES706"/>
      <c r="ET706"/>
      <c r="EU706"/>
      <c r="EV706"/>
      <c r="EW706"/>
      <c r="EX706"/>
      <c r="EY706"/>
      <c r="EZ706"/>
      <c r="FA706"/>
      <c r="FB706"/>
      <c r="FC706"/>
      <c r="FD706"/>
      <c r="FE706"/>
      <c r="FF706"/>
      <c r="FG706"/>
      <c r="FH706"/>
      <c r="FK706"/>
      <c r="FL706"/>
      <c r="FM706"/>
      <c r="FN706"/>
      <c r="FO706"/>
      <c r="FP706"/>
      <c r="FQ706"/>
      <c r="FR706"/>
      <c r="FS706"/>
      <c r="FT706"/>
      <c r="FU706"/>
      <c r="FV706"/>
      <c r="FW706"/>
      <c r="FX706"/>
      <c r="FY706"/>
      <c r="FZ706"/>
      <c r="GA706"/>
      <c r="GB706"/>
      <c r="GC706"/>
      <c r="GD706"/>
    </row>
    <row r="707" spans="1:186" x14ac:dyDescent="0.15">
      <c r="A707" s="455">
        <v>10.111000000000001</v>
      </c>
      <c r="B707" s="455"/>
      <c r="C707"/>
      <c r="D707"/>
      <c r="E707"/>
      <c r="F707"/>
      <c r="G707">
        <v>1</v>
      </c>
      <c r="H707"/>
      <c r="I707"/>
      <c r="J707" s="558"/>
      <c r="K707"/>
      <c r="AG707"/>
      <c r="AH707"/>
      <c r="AJ707"/>
      <c r="AK707"/>
      <c r="AL707"/>
      <c r="AM707"/>
      <c r="AO707"/>
      <c r="AP707"/>
      <c r="AQ707"/>
      <c r="AR707"/>
      <c r="AS707"/>
      <c r="AT707"/>
      <c r="AU707"/>
      <c r="AV707"/>
      <c r="AW707"/>
      <c r="AX707"/>
      <c r="AY707"/>
      <c r="AZ707"/>
      <c r="BA707"/>
      <c r="BB707"/>
      <c r="BC707"/>
      <c r="BD707"/>
      <c r="BE707"/>
      <c r="BF707"/>
      <c r="BH707"/>
      <c r="BI707"/>
      <c r="BJ707"/>
      <c r="BK707"/>
      <c r="BL707"/>
      <c r="BM707"/>
      <c r="BN707"/>
      <c r="BP707"/>
      <c r="BQ707"/>
      <c r="BR707"/>
      <c r="BS707"/>
      <c r="BT707"/>
      <c r="BU707"/>
      <c r="BV707"/>
      <c r="BW707"/>
      <c r="BZ707"/>
      <c r="CA707"/>
      <c r="CB707"/>
      <c r="CC707"/>
      <c r="CD707"/>
      <c r="CF707"/>
      <c r="CG707"/>
      <c r="CH707"/>
      <c r="CI707"/>
      <c r="CJ707"/>
      <c r="CK707"/>
      <c r="CL707"/>
      <c r="CM707"/>
      <c r="CN707"/>
      <c r="CO707"/>
      <c r="CP707"/>
      <c r="CQ707"/>
      <c r="CR707"/>
      <c r="CS707"/>
      <c r="CT707"/>
      <c r="CU707"/>
      <c r="CV707"/>
      <c r="CW707"/>
      <c r="CX707"/>
      <c r="CY707"/>
      <c r="CZ707"/>
      <c r="DA707"/>
      <c r="DB707"/>
      <c r="DC707"/>
      <c r="DD707"/>
      <c r="DE707"/>
      <c r="DG707"/>
      <c r="DH707"/>
      <c r="DI707"/>
      <c r="DJ707"/>
      <c r="DK707"/>
      <c r="DL707"/>
      <c r="DM707"/>
      <c r="DN707"/>
      <c r="DO707"/>
      <c r="DP707"/>
      <c r="DQ707"/>
      <c r="DR707"/>
      <c r="DS707"/>
      <c r="DT707"/>
      <c r="DU707"/>
      <c r="DV707"/>
      <c r="DW707"/>
      <c r="DZ707"/>
      <c r="EA707"/>
      <c r="EB707"/>
      <c r="EC707"/>
      <c r="ED707"/>
      <c r="EE707"/>
      <c r="EF707"/>
      <c r="EG707"/>
      <c r="EJ707"/>
      <c r="EK707"/>
      <c r="EL707"/>
      <c r="EM707"/>
      <c r="EN707"/>
      <c r="EO707"/>
      <c r="EP707"/>
      <c r="EQ707"/>
      <c r="ER707"/>
      <c r="ES707"/>
      <c r="ET707"/>
      <c r="EU707"/>
      <c r="EV707"/>
      <c r="EW707"/>
      <c r="EX707"/>
      <c r="EY707"/>
      <c r="EZ707"/>
      <c r="FA707"/>
      <c r="FB707"/>
      <c r="FC707"/>
      <c r="FD707"/>
      <c r="FE707"/>
      <c r="FF707"/>
      <c r="FG707"/>
      <c r="FH707"/>
      <c r="FK707"/>
      <c r="FL707"/>
      <c r="FM707"/>
      <c r="FN707"/>
      <c r="FO707"/>
      <c r="FP707"/>
      <c r="FQ707"/>
      <c r="FR707"/>
      <c r="FS707"/>
      <c r="FT707"/>
      <c r="FU707"/>
      <c r="FV707"/>
      <c r="FW707"/>
      <c r="FX707"/>
      <c r="FY707"/>
      <c r="FZ707"/>
      <c r="GA707"/>
      <c r="GB707"/>
      <c r="GC707"/>
      <c r="GD707"/>
    </row>
    <row r="708" spans="1:186" x14ac:dyDescent="0.15">
      <c r="A708" s="455">
        <v>13.611000000000001</v>
      </c>
      <c r="B708" s="455">
        <v>1</v>
      </c>
      <c r="C708"/>
      <c r="D708"/>
      <c r="E708"/>
      <c r="F708"/>
      <c r="G708"/>
      <c r="H708"/>
      <c r="I708"/>
      <c r="J708" s="558"/>
      <c r="K708"/>
      <c r="AG708"/>
      <c r="AH708"/>
      <c r="AJ708"/>
      <c r="AK708"/>
      <c r="AL708"/>
      <c r="AM708"/>
      <c r="AO708"/>
      <c r="AP708"/>
      <c r="AQ708"/>
      <c r="AR708"/>
      <c r="AS708"/>
      <c r="AT708"/>
      <c r="AU708"/>
      <c r="AV708"/>
      <c r="AW708"/>
      <c r="AX708"/>
      <c r="AY708"/>
      <c r="AZ708"/>
      <c r="BA708"/>
      <c r="BB708"/>
      <c r="BC708"/>
      <c r="BD708"/>
      <c r="BE708"/>
      <c r="BF708"/>
      <c r="BH708"/>
      <c r="BI708"/>
      <c r="BJ708"/>
      <c r="BK708"/>
      <c r="BL708"/>
      <c r="BM708"/>
      <c r="BN708"/>
      <c r="BP708"/>
      <c r="BQ708"/>
      <c r="BR708"/>
      <c r="BS708"/>
      <c r="BT708"/>
      <c r="BU708"/>
      <c r="BV708"/>
      <c r="BW708"/>
      <c r="BZ708"/>
      <c r="CA708"/>
      <c r="CB708"/>
      <c r="CC708"/>
      <c r="CD708"/>
      <c r="CF708"/>
      <c r="CG708"/>
      <c r="CH708"/>
      <c r="CI708"/>
      <c r="CJ708"/>
      <c r="CK708"/>
      <c r="CL708"/>
      <c r="CM708"/>
      <c r="CN708"/>
      <c r="CO708"/>
      <c r="CP708"/>
      <c r="CQ708"/>
      <c r="CR708"/>
      <c r="CS708"/>
      <c r="CT708"/>
      <c r="CU708"/>
      <c r="CV708"/>
      <c r="CW708"/>
      <c r="CX708"/>
      <c r="CY708"/>
      <c r="CZ708"/>
      <c r="DA708"/>
      <c r="DB708"/>
      <c r="DC708"/>
      <c r="DD708"/>
      <c r="DE708"/>
      <c r="DG708"/>
      <c r="DH708"/>
      <c r="DI708"/>
      <c r="DJ708"/>
      <c r="DK708"/>
      <c r="DL708"/>
      <c r="DM708"/>
      <c r="DN708"/>
      <c r="DO708"/>
      <c r="DP708"/>
      <c r="DQ708"/>
      <c r="DR708"/>
      <c r="DS708"/>
      <c r="DT708"/>
      <c r="DU708"/>
      <c r="DV708"/>
      <c r="DW708"/>
      <c r="DZ708"/>
      <c r="EA708"/>
      <c r="EB708"/>
      <c r="EC708"/>
      <c r="ED708"/>
      <c r="EE708"/>
      <c r="EF708"/>
      <c r="EG708"/>
      <c r="EJ708"/>
      <c r="EK708"/>
      <c r="EL708"/>
      <c r="EM708"/>
      <c r="EN708"/>
      <c r="EO708"/>
      <c r="EP708"/>
      <c r="EQ708"/>
      <c r="ER708"/>
      <c r="ES708"/>
      <c r="ET708"/>
      <c r="EU708"/>
      <c r="EV708"/>
      <c r="EW708"/>
      <c r="EX708"/>
      <c r="EY708"/>
      <c r="EZ708"/>
      <c r="FA708"/>
      <c r="FB708"/>
      <c r="FC708"/>
      <c r="FD708"/>
      <c r="FE708"/>
      <c r="FF708"/>
      <c r="FG708"/>
      <c r="FH708"/>
      <c r="FK708"/>
      <c r="FL708"/>
      <c r="FM708"/>
      <c r="FN708"/>
      <c r="FO708"/>
      <c r="FP708"/>
      <c r="FQ708"/>
      <c r="FR708"/>
      <c r="FS708"/>
      <c r="FT708"/>
      <c r="FU708"/>
      <c r="FV708"/>
      <c r="FW708"/>
      <c r="FX708"/>
      <c r="FY708"/>
      <c r="FZ708"/>
      <c r="GA708"/>
      <c r="GB708"/>
      <c r="GC708"/>
      <c r="GD708"/>
    </row>
    <row r="709" spans="1:186" x14ac:dyDescent="0.15">
      <c r="A709" s="455">
        <v>2.4590000000000001</v>
      </c>
      <c r="B709" s="455"/>
      <c r="C709"/>
      <c r="D709">
        <v>1</v>
      </c>
      <c r="E709"/>
      <c r="F709"/>
      <c r="G709"/>
      <c r="H709"/>
      <c r="I709"/>
      <c r="J709" s="558"/>
      <c r="K709"/>
      <c r="AG709"/>
      <c r="AH709"/>
      <c r="AJ709"/>
      <c r="AK709"/>
      <c r="AL709"/>
      <c r="AM709"/>
      <c r="AO709"/>
      <c r="AP709"/>
      <c r="AQ709"/>
      <c r="AR709"/>
      <c r="AS709"/>
      <c r="AT709"/>
      <c r="AU709"/>
      <c r="AV709"/>
      <c r="AW709"/>
      <c r="AX709"/>
      <c r="AY709"/>
      <c r="AZ709"/>
      <c r="BA709"/>
      <c r="BB709"/>
      <c r="BC709"/>
      <c r="BD709"/>
      <c r="BE709"/>
      <c r="BF709"/>
      <c r="BH709"/>
      <c r="BI709"/>
      <c r="BJ709"/>
      <c r="BK709"/>
      <c r="BL709"/>
      <c r="BM709"/>
      <c r="BN709"/>
      <c r="BP709"/>
      <c r="BQ709"/>
      <c r="BR709"/>
      <c r="BS709"/>
      <c r="BT709"/>
      <c r="BU709"/>
      <c r="BV709"/>
      <c r="BW709"/>
      <c r="BZ709"/>
      <c r="CA709"/>
      <c r="CB709"/>
      <c r="CC709"/>
      <c r="CD709"/>
      <c r="CF709"/>
      <c r="CG709"/>
      <c r="CH709"/>
      <c r="CI709"/>
      <c r="CJ709"/>
      <c r="CK709"/>
      <c r="CL709"/>
      <c r="CM709"/>
      <c r="CN709"/>
      <c r="CO709"/>
      <c r="CP709"/>
      <c r="CQ709"/>
      <c r="CR709"/>
      <c r="CS709"/>
      <c r="CT709"/>
      <c r="CU709"/>
      <c r="CV709"/>
      <c r="CW709"/>
      <c r="CX709"/>
      <c r="CY709"/>
      <c r="CZ709"/>
      <c r="DA709"/>
      <c r="DB709"/>
      <c r="DC709"/>
      <c r="DD709"/>
      <c r="DE709"/>
      <c r="DG709"/>
      <c r="DH709"/>
      <c r="DI709"/>
      <c r="DJ709"/>
      <c r="DK709"/>
      <c r="DL709"/>
      <c r="DM709"/>
      <c r="DN709"/>
      <c r="DO709"/>
      <c r="DP709"/>
      <c r="DQ709"/>
      <c r="DR709"/>
      <c r="DS709"/>
      <c r="DT709"/>
      <c r="DU709"/>
      <c r="DV709"/>
      <c r="DW709"/>
      <c r="DZ709"/>
      <c r="EA709"/>
      <c r="EB709"/>
      <c r="EC709"/>
      <c r="ED709"/>
      <c r="EE709"/>
      <c r="EF709"/>
      <c r="EG709"/>
      <c r="EJ709"/>
      <c r="EK709"/>
      <c r="EL709"/>
      <c r="EM709"/>
      <c r="EN709"/>
      <c r="EO709"/>
      <c r="EP709"/>
      <c r="EQ709"/>
      <c r="ER709"/>
      <c r="ES709"/>
      <c r="ET709"/>
      <c r="EU709"/>
      <c r="EV709"/>
      <c r="EW709"/>
      <c r="EX709"/>
      <c r="EY709"/>
      <c r="EZ709"/>
      <c r="FA709"/>
      <c r="FB709"/>
      <c r="FC709"/>
      <c r="FD709"/>
      <c r="FE709"/>
      <c r="FF709"/>
      <c r="FG709"/>
      <c r="FH709"/>
      <c r="FK709"/>
      <c r="FL709"/>
      <c r="FM709"/>
      <c r="FN709"/>
      <c r="FO709"/>
      <c r="FP709"/>
      <c r="FQ709"/>
      <c r="FR709"/>
      <c r="FS709"/>
      <c r="FT709"/>
      <c r="FU709"/>
      <c r="FV709"/>
      <c r="FW709"/>
      <c r="FX709"/>
      <c r="FY709"/>
      <c r="FZ709"/>
      <c r="GA709"/>
      <c r="GB709"/>
      <c r="GC709"/>
      <c r="GD709"/>
    </row>
    <row r="710" spans="1:186" x14ac:dyDescent="0.15">
      <c r="A710" s="455">
        <v>0.184</v>
      </c>
      <c r="B710" s="455"/>
      <c r="C710"/>
      <c r="D710"/>
      <c r="E710">
        <v>1</v>
      </c>
      <c r="F710"/>
      <c r="G710"/>
      <c r="H710"/>
      <c r="I710"/>
      <c r="J710" s="558"/>
      <c r="K710"/>
      <c r="AG710"/>
      <c r="AH710"/>
      <c r="AJ710"/>
      <c r="AK710"/>
      <c r="AL710"/>
      <c r="AM710"/>
      <c r="AO710"/>
      <c r="AP710"/>
      <c r="AQ710"/>
      <c r="AR710"/>
      <c r="AS710"/>
      <c r="AT710"/>
      <c r="AU710"/>
      <c r="AV710"/>
      <c r="AW710"/>
      <c r="AX710"/>
      <c r="AY710"/>
      <c r="AZ710"/>
      <c r="BA710"/>
      <c r="BB710"/>
      <c r="BC710"/>
      <c r="BD710"/>
      <c r="BE710"/>
      <c r="BF710"/>
      <c r="BH710"/>
      <c r="BI710"/>
      <c r="BJ710"/>
      <c r="BK710"/>
      <c r="BL710"/>
      <c r="BM710"/>
      <c r="BN710"/>
      <c r="BP710"/>
      <c r="BQ710"/>
      <c r="BR710"/>
      <c r="BS710"/>
      <c r="BT710"/>
      <c r="BU710"/>
      <c r="BV710"/>
      <c r="BW710"/>
      <c r="BZ710"/>
      <c r="CA710"/>
      <c r="CB710"/>
      <c r="CC710"/>
      <c r="CD710"/>
      <c r="CF710"/>
      <c r="CG710"/>
      <c r="CH710"/>
      <c r="CI710"/>
      <c r="CJ710"/>
      <c r="CK710"/>
      <c r="CL710"/>
      <c r="CM710"/>
      <c r="CN710"/>
      <c r="CO710"/>
      <c r="CP710"/>
      <c r="CQ710"/>
      <c r="CR710"/>
      <c r="CS710"/>
      <c r="CT710"/>
      <c r="CU710"/>
      <c r="CV710"/>
      <c r="CW710"/>
      <c r="CX710"/>
      <c r="CY710"/>
      <c r="CZ710"/>
      <c r="DA710"/>
      <c r="DB710"/>
      <c r="DC710"/>
      <c r="DD710"/>
      <c r="DE710"/>
      <c r="DG710"/>
      <c r="DH710"/>
      <c r="DI710"/>
      <c r="DJ710"/>
      <c r="DK710"/>
      <c r="DL710"/>
      <c r="DM710"/>
      <c r="DN710"/>
      <c r="DO710"/>
      <c r="DP710"/>
      <c r="DQ710"/>
      <c r="DR710"/>
      <c r="DS710"/>
      <c r="DT710"/>
      <c r="DU710"/>
      <c r="DV710"/>
      <c r="DW710"/>
      <c r="DZ710"/>
      <c r="EA710"/>
      <c r="EB710"/>
      <c r="EC710"/>
      <c r="ED710"/>
      <c r="EE710"/>
      <c r="EF710"/>
      <c r="EG710"/>
      <c r="EJ710"/>
      <c r="EK710"/>
      <c r="EL710"/>
      <c r="EM710"/>
      <c r="EN710"/>
      <c r="EO710"/>
      <c r="EP710"/>
      <c r="EQ710"/>
      <c r="ER710"/>
      <c r="ES710"/>
      <c r="ET710"/>
      <c r="EU710"/>
      <c r="EV710"/>
      <c r="EW710"/>
      <c r="EX710"/>
      <c r="EY710"/>
      <c r="EZ710"/>
      <c r="FA710"/>
      <c r="FB710"/>
      <c r="FC710"/>
      <c r="FD710"/>
      <c r="FE710"/>
      <c r="FF710"/>
      <c r="FG710"/>
      <c r="FH710"/>
      <c r="FK710"/>
      <c r="FL710"/>
      <c r="FM710"/>
      <c r="FN710"/>
      <c r="FO710"/>
      <c r="FP710"/>
      <c r="FQ710"/>
      <c r="FR710"/>
      <c r="FS710"/>
      <c r="FT710"/>
      <c r="FU710"/>
      <c r="FV710"/>
      <c r="FW710"/>
      <c r="FX710"/>
      <c r="FY710"/>
      <c r="FZ710"/>
      <c r="GA710"/>
      <c r="GB710"/>
      <c r="GC710"/>
      <c r="GD710"/>
    </row>
    <row r="711" spans="1:186" x14ac:dyDescent="0.15">
      <c r="A711" s="455">
        <v>7.8230000000000004</v>
      </c>
      <c r="B711" s="455"/>
      <c r="C711"/>
      <c r="D711"/>
      <c r="E711"/>
      <c r="F711"/>
      <c r="G711"/>
      <c r="H711"/>
      <c r="I711"/>
      <c r="J711" s="558">
        <v>1</v>
      </c>
      <c r="K711"/>
      <c r="AG711"/>
      <c r="AH711"/>
      <c r="AJ711"/>
      <c r="AK711"/>
      <c r="AL711"/>
      <c r="AM711"/>
      <c r="AO711"/>
      <c r="AP711"/>
      <c r="AQ711"/>
      <c r="AR711"/>
      <c r="AS711"/>
      <c r="AT711"/>
      <c r="AU711"/>
      <c r="AV711"/>
      <c r="AW711"/>
      <c r="AX711"/>
      <c r="AY711"/>
      <c r="AZ711"/>
      <c r="BA711"/>
      <c r="BB711"/>
      <c r="BC711"/>
      <c r="BD711"/>
      <c r="BE711"/>
      <c r="BF711"/>
      <c r="BH711"/>
      <c r="BI711"/>
      <c r="BJ711"/>
      <c r="BK711"/>
      <c r="BL711"/>
      <c r="BM711"/>
      <c r="BN711"/>
      <c r="BP711"/>
      <c r="BQ711"/>
      <c r="BR711"/>
      <c r="BS711"/>
      <c r="BT711"/>
      <c r="BU711"/>
      <c r="BV711"/>
      <c r="BW711"/>
      <c r="BZ711"/>
      <c r="CA711"/>
      <c r="CB711"/>
      <c r="CC711"/>
      <c r="CD711"/>
      <c r="CF711"/>
      <c r="CG711"/>
      <c r="CH711"/>
      <c r="CI711"/>
      <c r="CJ711"/>
      <c r="CK711"/>
      <c r="CL711"/>
      <c r="CM711"/>
      <c r="CN711"/>
      <c r="CO711"/>
      <c r="CP711"/>
      <c r="CQ711"/>
      <c r="CR711"/>
      <c r="CS711"/>
      <c r="CT711"/>
      <c r="CU711"/>
      <c r="CV711"/>
      <c r="CW711"/>
      <c r="CX711"/>
      <c r="CY711"/>
      <c r="CZ711"/>
      <c r="DA711"/>
      <c r="DB711"/>
      <c r="DC711"/>
      <c r="DD711"/>
      <c r="DE711"/>
      <c r="DG711"/>
      <c r="DH711"/>
      <c r="DI711"/>
      <c r="DJ711"/>
      <c r="DK711"/>
      <c r="DL711"/>
      <c r="DM711"/>
      <c r="DN711"/>
      <c r="DO711"/>
      <c r="DP711"/>
      <c r="DQ711"/>
      <c r="DR711"/>
      <c r="DS711"/>
      <c r="DT711"/>
      <c r="DU711"/>
      <c r="DV711"/>
      <c r="DW711"/>
      <c r="DZ711"/>
      <c r="EA711"/>
      <c r="EB711"/>
      <c r="EC711"/>
      <c r="ED711"/>
      <c r="EE711"/>
      <c r="EF711"/>
      <c r="EG711"/>
      <c r="EJ711"/>
      <c r="EK711"/>
      <c r="EL711"/>
      <c r="EM711"/>
      <c r="EN711"/>
      <c r="EO711"/>
      <c r="EP711"/>
      <c r="EQ711"/>
      <c r="ER711"/>
      <c r="ES711"/>
      <c r="ET711"/>
      <c r="EU711"/>
      <c r="EV711"/>
      <c r="EW711"/>
      <c r="EX711"/>
      <c r="EY711"/>
      <c r="EZ711"/>
      <c r="FA711"/>
      <c r="FB711"/>
      <c r="FC711"/>
      <c r="FD711"/>
      <c r="FE711"/>
      <c r="FF711"/>
      <c r="FG711"/>
      <c r="FH711"/>
      <c r="FK711"/>
      <c r="FL711"/>
      <c r="FM711"/>
      <c r="FN711"/>
      <c r="FO711"/>
      <c r="FP711"/>
      <c r="FQ711"/>
      <c r="FR711"/>
      <c r="FS711"/>
      <c r="FT711"/>
      <c r="FU711"/>
      <c r="FV711"/>
      <c r="FW711"/>
      <c r="FX711"/>
      <c r="FY711"/>
      <c r="FZ711"/>
      <c r="GA711"/>
      <c r="GB711"/>
      <c r="GC711"/>
      <c r="GD711"/>
    </row>
    <row r="712" spans="1:186" x14ac:dyDescent="0.15">
      <c r="A712" s="455">
        <v>16.872</v>
      </c>
      <c r="B712" s="455"/>
      <c r="C712"/>
      <c r="D712"/>
      <c r="E712">
        <v>1</v>
      </c>
      <c r="F712"/>
      <c r="G712"/>
      <c r="H712"/>
      <c r="I712"/>
      <c r="J712" s="558"/>
      <c r="K712"/>
      <c r="AG712"/>
      <c r="AH712"/>
      <c r="AJ712"/>
      <c r="AK712"/>
      <c r="AL712"/>
      <c r="AM712"/>
      <c r="AO712"/>
      <c r="AP712"/>
      <c r="AQ712"/>
      <c r="AR712"/>
      <c r="AS712"/>
      <c r="AT712"/>
      <c r="AU712"/>
      <c r="AV712"/>
      <c r="AW712"/>
      <c r="AX712"/>
      <c r="AY712"/>
      <c r="AZ712"/>
      <c r="BA712"/>
      <c r="BB712"/>
      <c r="BC712"/>
      <c r="BD712"/>
      <c r="BE712"/>
      <c r="BF712"/>
      <c r="BH712"/>
      <c r="BI712"/>
      <c r="BJ712"/>
      <c r="BK712"/>
      <c r="BL712"/>
      <c r="BM712"/>
      <c r="BN712"/>
      <c r="BP712"/>
      <c r="BQ712"/>
      <c r="BR712"/>
      <c r="BS712"/>
      <c r="BT712"/>
      <c r="BU712"/>
      <c r="BV712"/>
      <c r="BW712"/>
      <c r="BZ712"/>
      <c r="CA712"/>
      <c r="CB712"/>
      <c r="CC712"/>
      <c r="CD712"/>
      <c r="CF712"/>
      <c r="CG712"/>
      <c r="CH712"/>
      <c r="CI712"/>
      <c r="CJ712"/>
      <c r="CK712"/>
      <c r="CL712"/>
      <c r="CM712"/>
      <c r="CN712"/>
      <c r="CO712"/>
      <c r="CP712"/>
      <c r="CQ712"/>
      <c r="CR712"/>
      <c r="CS712"/>
      <c r="CT712"/>
      <c r="CU712"/>
      <c r="CV712"/>
      <c r="CW712"/>
      <c r="CX712"/>
      <c r="CY712"/>
      <c r="CZ712"/>
      <c r="DA712"/>
      <c r="DB712"/>
      <c r="DC712"/>
      <c r="DD712"/>
      <c r="DE712"/>
      <c r="DG712"/>
      <c r="DH712"/>
      <c r="DI712"/>
      <c r="DJ712"/>
      <c r="DK712"/>
      <c r="DL712"/>
      <c r="DM712"/>
      <c r="DN712"/>
      <c r="DO712"/>
      <c r="DP712"/>
      <c r="DQ712"/>
      <c r="DR712"/>
      <c r="DS712"/>
      <c r="DT712"/>
      <c r="DU712"/>
      <c r="DV712"/>
      <c r="DW712"/>
      <c r="DZ712"/>
      <c r="EA712"/>
      <c r="EB712"/>
      <c r="EC712"/>
      <c r="ED712"/>
      <c r="EE712"/>
      <c r="EF712"/>
      <c r="EG712"/>
      <c r="EJ712"/>
      <c r="EK712"/>
      <c r="EL712"/>
      <c r="EM712"/>
      <c r="EN712"/>
      <c r="EO712"/>
      <c r="EP712"/>
      <c r="EQ712"/>
      <c r="ER712"/>
      <c r="ES712"/>
      <c r="ET712"/>
      <c r="EU712"/>
      <c r="EV712"/>
      <c r="EW712"/>
      <c r="EX712"/>
      <c r="EY712"/>
      <c r="EZ712"/>
      <c r="FA712"/>
      <c r="FB712"/>
      <c r="FC712"/>
      <c r="FD712"/>
      <c r="FE712"/>
      <c r="FF712"/>
      <c r="FG712"/>
      <c r="FH712"/>
      <c r="FK712"/>
      <c r="FL712"/>
      <c r="FM712"/>
      <c r="FN712"/>
      <c r="FO712"/>
      <c r="FP712"/>
      <c r="FQ712"/>
      <c r="FR712"/>
      <c r="FS712"/>
      <c r="FT712"/>
      <c r="FU712"/>
      <c r="FV712"/>
      <c r="FW712"/>
      <c r="FX712"/>
      <c r="FY712"/>
      <c r="FZ712"/>
      <c r="GA712"/>
      <c r="GB712"/>
      <c r="GC712"/>
      <c r="GD712"/>
    </row>
    <row r="713" spans="1:186" x14ac:dyDescent="0.15">
      <c r="A713" s="455">
        <v>3.823</v>
      </c>
      <c r="B713" s="455"/>
      <c r="C713"/>
      <c r="D713"/>
      <c r="E713"/>
      <c r="F713"/>
      <c r="G713"/>
      <c r="H713"/>
      <c r="I713">
        <v>1</v>
      </c>
      <c r="J713" s="558"/>
      <c r="K713"/>
      <c r="AG713"/>
      <c r="AH713"/>
      <c r="AJ713"/>
      <c r="AK713"/>
      <c r="AL713"/>
      <c r="AM713"/>
      <c r="AO713"/>
      <c r="AP713"/>
      <c r="AQ713"/>
      <c r="AR713"/>
      <c r="AS713"/>
      <c r="AT713"/>
      <c r="AU713"/>
      <c r="AV713"/>
      <c r="AW713"/>
      <c r="AX713"/>
      <c r="AY713"/>
      <c r="AZ713"/>
      <c r="BA713"/>
      <c r="BB713"/>
      <c r="BC713"/>
      <c r="BD713"/>
      <c r="BE713"/>
      <c r="BF713"/>
      <c r="BH713"/>
      <c r="BI713"/>
      <c r="BJ713"/>
      <c r="BK713"/>
      <c r="BL713"/>
      <c r="BM713"/>
      <c r="BN713"/>
      <c r="BP713"/>
      <c r="BQ713"/>
      <c r="BR713"/>
      <c r="BS713"/>
      <c r="BT713"/>
      <c r="BU713"/>
      <c r="BV713"/>
      <c r="BW713"/>
      <c r="BZ713"/>
      <c r="CA713"/>
      <c r="CB713"/>
      <c r="CC713"/>
      <c r="CD713"/>
      <c r="CF713"/>
      <c r="CG713"/>
      <c r="CH713"/>
      <c r="CI713"/>
      <c r="CJ713"/>
      <c r="CK713"/>
      <c r="CL713"/>
      <c r="CM713"/>
      <c r="CN713"/>
      <c r="CO713"/>
      <c r="CP713"/>
      <c r="CQ713"/>
      <c r="CR713"/>
      <c r="CS713"/>
      <c r="CT713"/>
      <c r="CU713"/>
      <c r="CV713"/>
      <c r="CW713"/>
      <c r="CX713"/>
      <c r="CY713"/>
      <c r="CZ713"/>
      <c r="DA713"/>
      <c r="DB713"/>
      <c r="DC713"/>
      <c r="DD713"/>
      <c r="DE713"/>
      <c r="DG713"/>
      <c r="DH713"/>
      <c r="DI713"/>
      <c r="DJ713"/>
      <c r="DK713"/>
      <c r="DL713"/>
      <c r="DM713"/>
      <c r="DN713"/>
      <c r="DO713"/>
      <c r="DP713"/>
      <c r="DQ713"/>
      <c r="DR713"/>
      <c r="DS713"/>
      <c r="DT713"/>
      <c r="DU713"/>
      <c r="DV713"/>
      <c r="DW713"/>
      <c r="DZ713"/>
      <c r="EA713"/>
      <c r="EB713"/>
      <c r="EC713"/>
      <c r="ED713"/>
      <c r="EE713"/>
      <c r="EF713"/>
      <c r="EG713"/>
      <c r="EJ713"/>
      <c r="EK713"/>
      <c r="EL713"/>
      <c r="EM713"/>
      <c r="EN713"/>
      <c r="EO713"/>
      <c r="EP713"/>
      <c r="EQ713"/>
      <c r="ER713"/>
      <c r="ES713"/>
      <c r="ET713"/>
      <c r="EU713"/>
      <c r="EV713"/>
      <c r="EW713"/>
      <c r="EX713"/>
      <c r="EY713"/>
      <c r="EZ713"/>
      <c r="FA713"/>
      <c r="FB713"/>
      <c r="FC713"/>
      <c r="FD713"/>
      <c r="FE713"/>
      <c r="FF713"/>
      <c r="FG713"/>
      <c r="FH713"/>
      <c r="FK713"/>
      <c r="FL713"/>
      <c r="FM713"/>
      <c r="FN713"/>
      <c r="FO713"/>
      <c r="FP713"/>
      <c r="FQ713"/>
      <c r="FR713"/>
      <c r="FS713"/>
      <c r="FT713"/>
      <c r="FU713"/>
      <c r="FV713"/>
      <c r="FW713"/>
      <c r="FX713"/>
      <c r="FY713"/>
      <c r="FZ713"/>
      <c r="GA713"/>
      <c r="GB713"/>
      <c r="GC713"/>
      <c r="GD713"/>
    </row>
    <row r="714" spans="1:186" x14ac:dyDescent="0.15">
      <c r="A714" s="455">
        <v>15.808999999999999</v>
      </c>
      <c r="B714" s="455">
        <v>1</v>
      </c>
      <c r="C714"/>
      <c r="D714"/>
      <c r="E714"/>
      <c r="F714"/>
      <c r="G714"/>
      <c r="H714"/>
      <c r="I714"/>
      <c r="J714" s="558"/>
      <c r="K714"/>
      <c r="AG714"/>
      <c r="AH714"/>
      <c r="AJ714"/>
      <c r="AK714"/>
      <c r="AL714"/>
      <c r="AM714"/>
      <c r="AO714"/>
      <c r="AP714"/>
      <c r="AQ714"/>
      <c r="AR714"/>
      <c r="AS714"/>
      <c r="AT714"/>
      <c r="AU714"/>
      <c r="AV714"/>
      <c r="AW714"/>
      <c r="AX714"/>
      <c r="AY714"/>
      <c r="AZ714"/>
      <c r="BA714"/>
      <c r="BB714"/>
      <c r="BC714"/>
      <c r="BD714"/>
      <c r="BE714"/>
      <c r="BF714"/>
      <c r="BH714"/>
      <c r="BI714"/>
      <c r="BJ714"/>
      <c r="BK714"/>
      <c r="BL714"/>
      <c r="BM714"/>
      <c r="BN714"/>
      <c r="BP714"/>
      <c r="BQ714"/>
      <c r="BR714"/>
      <c r="BS714"/>
      <c r="BT714"/>
      <c r="BU714"/>
      <c r="BV714"/>
      <c r="BW714"/>
      <c r="BZ714"/>
      <c r="CA714"/>
      <c r="CB714"/>
      <c r="CC714"/>
      <c r="CD714"/>
      <c r="CF714"/>
      <c r="CG714"/>
      <c r="CH714"/>
      <c r="CI714"/>
      <c r="CJ714"/>
      <c r="CK714"/>
      <c r="CL714"/>
      <c r="CM714"/>
      <c r="CN714"/>
      <c r="CO714"/>
      <c r="CP714"/>
      <c r="CQ714"/>
      <c r="CR714"/>
      <c r="CS714"/>
      <c r="CT714"/>
      <c r="CU714"/>
      <c r="CV714"/>
      <c r="CW714"/>
      <c r="CX714"/>
      <c r="CY714"/>
      <c r="CZ714"/>
      <c r="DA714"/>
      <c r="DB714"/>
      <c r="DC714"/>
      <c r="DD714"/>
      <c r="DE714"/>
      <c r="DG714"/>
      <c r="DH714"/>
      <c r="DI714"/>
      <c r="DJ714"/>
      <c r="DK714"/>
      <c r="DL714"/>
      <c r="DM714"/>
      <c r="DN714"/>
      <c r="DO714"/>
      <c r="DP714"/>
      <c r="DQ714"/>
      <c r="DR714"/>
      <c r="DS714"/>
      <c r="DT714"/>
      <c r="DU714"/>
      <c r="DV714"/>
      <c r="DW714"/>
      <c r="DZ714"/>
      <c r="EA714"/>
      <c r="EB714"/>
      <c r="EC714"/>
      <c r="ED714"/>
      <c r="EE714"/>
      <c r="EF714"/>
      <c r="EG714"/>
      <c r="EJ714"/>
      <c r="EK714"/>
      <c r="EL714"/>
      <c r="EM714"/>
      <c r="EN714"/>
      <c r="EO714"/>
      <c r="EP714"/>
      <c r="EQ714"/>
      <c r="ER714"/>
      <c r="ES714"/>
      <c r="ET714"/>
      <c r="EU714"/>
      <c r="EV714"/>
      <c r="EW714"/>
      <c r="EX714"/>
      <c r="EY714"/>
      <c r="EZ714"/>
      <c r="FA714"/>
      <c r="FB714"/>
      <c r="FC714"/>
      <c r="FD714"/>
      <c r="FE714"/>
      <c r="FF714"/>
      <c r="FG714"/>
      <c r="FH714"/>
      <c r="FK714"/>
      <c r="FL714"/>
      <c r="FM714"/>
      <c r="FN714"/>
      <c r="FO714"/>
      <c r="FP714"/>
      <c r="FQ714"/>
      <c r="FR714"/>
      <c r="FS714"/>
      <c r="FT714"/>
      <c r="FU714"/>
      <c r="FV714"/>
      <c r="FW714"/>
      <c r="FX714"/>
      <c r="FY714"/>
      <c r="FZ714"/>
      <c r="GA714"/>
      <c r="GB714"/>
      <c r="GC714"/>
      <c r="GD714"/>
    </row>
    <row r="715" spans="1:186" x14ac:dyDescent="0.15">
      <c r="A715" s="455">
        <v>2.8130000000000002</v>
      </c>
      <c r="B715" s="455"/>
      <c r="C715"/>
      <c r="D715">
        <v>1</v>
      </c>
      <c r="E715"/>
      <c r="F715"/>
      <c r="G715"/>
      <c r="H715"/>
      <c r="I715"/>
      <c r="J715" s="558"/>
      <c r="K715"/>
      <c r="AG715"/>
      <c r="AH715"/>
      <c r="AJ715"/>
      <c r="AK715"/>
      <c r="AL715"/>
      <c r="AM715"/>
      <c r="AO715"/>
      <c r="AP715"/>
      <c r="AQ715"/>
      <c r="AR715"/>
      <c r="AS715"/>
      <c r="AT715"/>
      <c r="AU715"/>
      <c r="AV715"/>
      <c r="AW715"/>
      <c r="AX715"/>
      <c r="AY715"/>
      <c r="AZ715"/>
      <c r="BA715"/>
      <c r="BB715"/>
      <c r="BC715"/>
      <c r="BD715"/>
      <c r="BE715"/>
      <c r="BF715"/>
      <c r="BH715"/>
      <c r="BI715"/>
      <c r="BJ715"/>
      <c r="BK715"/>
      <c r="BL715"/>
      <c r="BM715"/>
      <c r="BN715"/>
      <c r="BP715"/>
      <c r="BQ715"/>
      <c r="BR715"/>
      <c r="BS715"/>
      <c r="BT715"/>
      <c r="BU715"/>
      <c r="BV715"/>
      <c r="BW715"/>
      <c r="BZ715"/>
      <c r="CA715"/>
      <c r="CB715"/>
      <c r="CC715"/>
      <c r="CD715"/>
      <c r="CF715"/>
      <c r="CG715"/>
      <c r="CH715"/>
      <c r="CI715"/>
      <c r="CJ715"/>
      <c r="CK715"/>
      <c r="CL715"/>
      <c r="CM715"/>
      <c r="CN715"/>
      <c r="CO715"/>
      <c r="CP715"/>
      <c r="CQ715"/>
      <c r="CR715"/>
      <c r="CS715"/>
      <c r="CT715"/>
      <c r="CU715"/>
      <c r="CV715"/>
      <c r="CW715"/>
      <c r="CX715"/>
      <c r="CY715"/>
      <c r="CZ715"/>
      <c r="DA715"/>
      <c r="DB715"/>
      <c r="DC715"/>
      <c r="DD715"/>
      <c r="DE715"/>
      <c r="DG715"/>
      <c r="DH715"/>
      <c r="DI715"/>
      <c r="DJ715"/>
      <c r="DK715"/>
      <c r="DL715"/>
      <c r="DM715"/>
      <c r="DN715"/>
      <c r="DO715"/>
      <c r="DP715"/>
      <c r="DQ715"/>
      <c r="DR715"/>
      <c r="DS715"/>
      <c r="DT715"/>
      <c r="DU715"/>
      <c r="DV715"/>
      <c r="DW715"/>
      <c r="DZ715"/>
      <c r="EA715"/>
      <c r="EB715"/>
      <c r="EC715"/>
      <c r="ED715"/>
      <c r="EE715"/>
      <c r="EF715"/>
      <c r="EG715"/>
      <c r="EJ715"/>
      <c r="EK715"/>
      <c r="EL715"/>
      <c r="EM715"/>
      <c r="EN715"/>
      <c r="EO715"/>
      <c r="EP715"/>
      <c r="EQ715"/>
      <c r="ER715"/>
      <c r="ES715"/>
      <c r="ET715"/>
      <c r="EU715"/>
      <c r="EV715"/>
      <c r="EW715"/>
      <c r="EX715"/>
      <c r="EY715"/>
      <c r="EZ715"/>
      <c r="FA715"/>
      <c r="FB715"/>
      <c r="FC715"/>
      <c r="FD715"/>
      <c r="FE715"/>
      <c r="FF715"/>
      <c r="FG715"/>
      <c r="FH715"/>
      <c r="FK715"/>
      <c r="FL715"/>
      <c r="FM715"/>
      <c r="FN715"/>
      <c r="FO715"/>
      <c r="FP715"/>
      <c r="FQ715"/>
      <c r="FR715"/>
      <c r="FS715"/>
      <c r="FT715"/>
      <c r="FU715"/>
      <c r="FV715"/>
      <c r="FW715"/>
      <c r="FX715"/>
      <c r="FY715"/>
      <c r="FZ715"/>
      <c r="GA715"/>
      <c r="GB715"/>
      <c r="GC715"/>
      <c r="GD715"/>
    </row>
    <row r="716" spans="1:186" x14ac:dyDescent="0.15">
      <c r="A716" s="455">
        <v>11.831</v>
      </c>
      <c r="B716" s="455"/>
      <c r="C716"/>
      <c r="D716"/>
      <c r="E716">
        <v>1</v>
      </c>
      <c r="F716"/>
      <c r="G716"/>
      <c r="H716"/>
      <c r="I716"/>
      <c r="J716" s="558"/>
      <c r="K716"/>
      <c r="AG716"/>
      <c r="AH716"/>
      <c r="AJ716"/>
      <c r="AK716"/>
      <c r="AL716"/>
      <c r="AM716"/>
      <c r="AO716"/>
      <c r="AP716"/>
      <c r="AQ716"/>
      <c r="AR716"/>
      <c r="AS716"/>
      <c r="AT716"/>
      <c r="AU716"/>
      <c r="AV716"/>
      <c r="AW716"/>
      <c r="AX716"/>
      <c r="AY716"/>
      <c r="AZ716"/>
      <c r="BA716"/>
      <c r="BB716"/>
      <c r="BC716"/>
      <c r="BD716"/>
      <c r="BE716"/>
      <c r="BF716"/>
      <c r="BH716"/>
      <c r="BI716"/>
      <c r="BJ716"/>
      <c r="BK716"/>
      <c r="BL716"/>
      <c r="BM716"/>
      <c r="BN716"/>
      <c r="BP716"/>
      <c r="BQ716"/>
      <c r="BR716"/>
      <c r="BS716"/>
      <c r="BT716"/>
      <c r="BU716"/>
      <c r="BV716"/>
      <c r="BW716"/>
      <c r="BZ716"/>
      <c r="CA716"/>
      <c r="CB716"/>
      <c r="CC716"/>
      <c r="CD716"/>
      <c r="CF716"/>
      <c r="CG716"/>
      <c r="CH716"/>
      <c r="CI716"/>
      <c r="CJ716"/>
      <c r="CK716"/>
      <c r="CL716"/>
      <c r="CM716"/>
      <c r="CN716"/>
      <c r="CO716"/>
      <c r="CP716"/>
      <c r="CQ716"/>
      <c r="CR716"/>
      <c r="CS716"/>
      <c r="CT716"/>
      <c r="CU716"/>
      <c r="CV716"/>
      <c r="CW716"/>
      <c r="CX716"/>
      <c r="CY716"/>
      <c r="CZ716"/>
      <c r="DA716"/>
      <c r="DB716"/>
      <c r="DC716"/>
      <c r="DD716"/>
      <c r="DE716"/>
      <c r="DG716"/>
      <c r="DH716"/>
      <c r="DI716"/>
      <c r="DJ716"/>
      <c r="DK716"/>
      <c r="DL716"/>
      <c r="DM716"/>
      <c r="DN716"/>
      <c r="DO716"/>
      <c r="DP716"/>
      <c r="DQ716"/>
      <c r="DR716"/>
      <c r="DS716"/>
      <c r="DT716"/>
      <c r="DU716"/>
      <c r="DV716"/>
      <c r="DW716"/>
      <c r="DZ716"/>
      <c r="EA716"/>
      <c r="EB716"/>
      <c r="EC716"/>
      <c r="ED716"/>
      <c r="EE716"/>
      <c r="EF716"/>
      <c r="EG716"/>
      <c r="EJ716"/>
      <c r="EK716"/>
      <c r="EL716"/>
      <c r="EM716"/>
      <c r="EN716"/>
      <c r="EO716"/>
      <c r="EP716"/>
      <c r="EQ716"/>
      <c r="ER716"/>
      <c r="ES716"/>
      <c r="ET716"/>
      <c r="EU716"/>
      <c r="EV716"/>
      <c r="EW716"/>
      <c r="EX716"/>
      <c r="EY716"/>
      <c r="EZ716"/>
      <c r="FA716"/>
      <c r="FB716"/>
      <c r="FC716"/>
      <c r="FD716"/>
      <c r="FE716"/>
      <c r="FF716"/>
      <c r="FG716"/>
      <c r="FH716"/>
      <c r="FK716"/>
      <c r="FL716"/>
      <c r="FM716"/>
      <c r="FN716"/>
      <c r="FO716"/>
      <c r="FP716"/>
      <c r="FQ716"/>
      <c r="FR716"/>
      <c r="FS716"/>
      <c r="FT716"/>
      <c r="FU716"/>
      <c r="FV716"/>
      <c r="FW716"/>
      <c r="FX716"/>
      <c r="FY716"/>
      <c r="FZ716"/>
      <c r="GA716"/>
      <c r="GB716"/>
      <c r="GC716"/>
      <c r="GD716"/>
    </row>
    <row r="717" spans="1:186" x14ac:dyDescent="0.15">
      <c r="A717" s="455">
        <v>23.587</v>
      </c>
      <c r="B717" s="455"/>
      <c r="C717">
        <v>1</v>
      </c>
      <c r="D717"/>
      <c r="E717"/>
      <c r="F717"/>
      <c r="G717"/>
      <c r="H717"/>
      <c r="I717"/>
      <c r="J717" s="558"/>
      <c r="K717"/>
      <c r="AG717"/>
      <c r="AH717"/>
      <c r="AJ717"/>
      <c r="AK717"/>
      <c r="AL717"/>
      <c r="AM717"/>
      <c r="AO717"/>
      <c r="AP717"/>
      <c r="AQ717"/>
      <c r="AR717"/>
      <c r="AS717"/>
      <c r="AT717"/>
      <c r="AU717"/>
      <c r="AV717"/>
      <c r="AW717"/>
      <c r="AX717"/>
      <c r="AY717"/>
      <c r="AZ717"/>
      <c r="BA717"/>
      <c r="BB717"/>
      <c r="BC717"/>
      <c r="BD717"/>
      <c r="BE717"/>
      <c r="BF717"/>
      <c r="BH717"/>
      <c r="BI717"/>
      <c r="BJ717"/>
      <c r="BK717"/>
      <c r="BL717"/>
      <c r="BM717"/>
      <c r="BN717"/>
      <c r="BP717"/>
      <c r="BQ717"/>
      <c r="BR717"/>
      <c r="BS717"/>
      <c r="BT717"/>
      <c r="BU717"/>
      <c r="BV717"/>
      <c r="BW717"/>
      <c r="BZ717"/>
      <c r="CA717"/>
      <c r="CB717"/>
      <c r="CC717"/>
      <c r="CD717"/>
      <c r="CF717"/>
      <c r="CG717"/>
      <c r="CH717"/>
      <c r="CI717"/>
      <c r="CJ717"/>
      <c r="CK717"/>
      <c r="CL717"/>
      <c r="CM717"/>
      <c r="CN717"/>
      <c r="CO717"/>
      <c r="CP717"/>
      <c r="CQ717"/>
      <c r="CR717"/>
      <c r="CS717"/>
      <c r="CT717"/>
      <c r="CU717"/>
      <c r="CV717"/>
      <c r="CW717"/>
      <c r="CX717"/>
      <c r="CY717"/>
      <c r="CZ717"/>
      <c r="DA717"/>
      <c r="DB717"/>
      <c r="DC717"/>
      <c r="DD717"/>
      <c r="DE717"/>
      <c r="DG717"/>
      <c r="DH717"/>
      <c r="DI717"/>
      <c r="DJ717"/>
      <c r="DK717"/>
      <c r="DL717"/>
      <c r="DM717"/>
      <c r="DN717"/>
      <c r="DO717"/>
      <c r="DP717"/>
      <c r="DQ717"/>
      <c r="DR717"/>
      <c r="DS717"/>
      <c r="DT717"/>
      <c r="DU717"/>
      <c r="DV717"/>
      <c r="DW717"/>
      <c r="DZ717"/>
      <c r="EA717"/>
      <c r="EB717"/>
      <c r="EC717"/>
      <c r="ED717"/>
      <c r="EE717"/>
      <c r="EF717"/>
      <c r="EG717"/>
      <c r="EJ717"/>
      <c r="EK717"/>
      <c r="EL717"/>
      <c r="EM717"/>
      <c r="EN717"/>
      <c r="EO717"/>
      <c r="EP717"/>
      <c r="EQ717"/>
      <c r="ER717"/>
      <c r="ES717"/>
      <c r="ET717"/>
      <c r="EU717"/>
      <c r="EV717"/>
      <c r="EW717"/>
      <c r="EX717"/>
      <c r="EY717"/>
      <c r="EZ717"/>
      <c r="FA717"/>
      <c r="FB717"/>
      <c r="FC717"/>
      <c r="FD717"/>
      <c r="FE717"/>
      <c r="FF717"/>
      <c r="FG717"/>
      <c r="FH717"/>
      <c r="FK717"/>
      <c r="FL717"/>
      <c r="FM717"/>
      <c r="FN717"/>
      <c r="FO717"/>
      <c r="FP717"/>
      <c r="FQ717"/>
      <c r="FR717"/>
      <c r="FS717"/>
      <c r="FT717"/>
      <c r="FU717"/>
      <c r="FV717"/>
      <c r="FW717"/>
      <c r="FX717"/>
      <c r="FY717"/>
      <c r="FZ717"/>
      <c r="GA717"/>
      <c r="GB717"/>
      <c r="GC717"/>
      <c r="GD717"/>
    </row>
    <row r="718" spans="1:186" x14ac:dyDescent="0.15">
      <c r="A718" s="455">
        <v>8.6389999999999993</v>
      </c>
      <c r="B718" s="455"/>
      <c r="C718"/>
      <c r="D718"/>
      <c r="E718">
        <v>1</v>
      </c>
      <c r="F718"/>
      <c r="G718"/>
      <c r="H718"/>
      <c r="I718"/>
      <c r="J718" s="558"/>
      <c r="K718"/>
      <c r="AG718"/>
      <c r="AH718"/>
      <c r="AJ718"/>
      <c r="AK718"/>
      <c r="AL718"/>
      <c r="AM718"/>
      <c r="AO718"/>
      <c r="AP718"/>
      <c r="AQ718"/>
      <c r="AR718"/>
      <c r="AS718"/>
      <c r="AT718"/>
      <c r="AU718"/>
      <c r="AV718"/>
      <c r="AW718"/>
      <c r="AX718"/>
      <c r="AY718"/>
      <c r="AZ718"/>
      <c r="BA718"/>
      <c r="BB718"/>
      <c r="BC718"/>
      <c r="BD718"/>
      <c r="BE718"/>
      <c r="BF718"/>
      <c r="BH718"/>
      <c r="BI718"/>
      <c r="BJ718"/>
      <c r="BK718"/>
      <c r="BL718"/>
      <c r="BM718"/>
      <c r="BN718"/>
      <c r="BP718"/>
      <c r="BQ718"/>
      <c r="BR718"/>
      <c r="BS718"/>
      <c r="BT718"/>
      <c r="BU718"/>
      <c r="BV718"/>
      <c r="BW718"/>
      <c r="BZ718"/>
      <c r="CA718"/>
      <c r="CB718"/>
      <c r="CC718"/>
      <c r="CD718"/>
      <c r="CF718"/>
      <c r="CG718"/>
      <c r="CH718"/>
      <c r="CI718"/>
      <c r="CJ718"/>
      <c r="CK718"/>
      <c r="CL718"/>
      <c r="CM718"/>
      <c r="CN718"/>
      <c r="CO718"/>
      <c r="CP718"/>
      <c r="CQ718"/>
      <c r="CR718"/>
      <c r="CS718"/>
      <c r="CT718"/>
      <c r="CU718"/>
      <c r="CV718"/>
      <c r="CW718"/>
      <c r="CX718"/>
      <c r="CY718"/>
      <c r="CZ718"/>
      <c r="DA718"/>
      <c r="DB718"/>
      <c r="DC718"/>
      <c r="DD718"/>
      <c r="DE718"/>
      <c r="DG718"/>
      <c r="DH718"/>
      <c r="DI718"/>
      <c r="DJ718"/>
      <c r="DK718"/>
      <c r="DL718"/>
      <c r="DM718"/>
      <c r="DN718"/>
      <c r="DO718"/>
      <c r="DP718"/>
      <c r="DQ718"/>
      <c r="DR718"/>
      <c r="DS718"/>
      <c r="DT718"/>
      <c r="DU718"/>
      <c r="DV718"/>
      <c r="DW718"/>
      <c r="DZ718"/>
      <c r="EA718"/>
      <c r="EB718"/>
      <c r="EC718"/>
      <c r="ED718"/>
      <c r="EE718"/>
      <c r="EF718"/>
      <c r="EG718"/>
      <c r="EJ718"/>
      <c r="EK718"/>
      <c r="EL718"/>
      <c r="EM718"/>
      <c r="EN718"/>
      <c r="EO718"/>
      <c r="EP718"/>
      <c r="EQ718"/>
      <c r="ER718"/>
      <c r="ES718"/>
      <c r="ET718"/>
      <c r="EU718"/>
      <c r="EV718"/>
      <c r="EW718"/>
      <c r="EX718"/>
      <c r="EY718"/>
      <c r="EZ718"/>
      <c r="FA718"/>
      <c r="FB718"/>
      <c r="FC718"/>
      <c r="FD718"/>
      <c r="FE718"/>
      <c r="FF718"/>
      <c r="FG718"/>
      <c r="FH718"/>
      <c r="FK718"/>
      <c r="FL718"/>
      <c r="FM718"/>
      <c r="FN718"/>
      <c r="FO718"/>
      <c r="FP718"/>
      <c r="FQ718"/>
      <c r="FR718"/>
      <c r="FS718"/>
      <c r="FT718"/>
      <c r="FU718"/>
      <c r="FV718"/>
      <c r="FW718"/>
      <c r="FX718"/>
      <c r="FY718"/>
      <c r="FZ718"/>
      <c r="GA718"/>
      <c r="GB718"/>
      <c r="GC718"/>
      <c r="GD718"/>
    </row>
    <row r="719" spans="1:186" x14ac:dyDescent="0.15">
      <c r="A719" s="455">
        <v>0.52</v>
      </c>
      <c r="B719" s="455"/>
      <c r="C719"/>
      <c r="D719"/>
      <c r="E719"/>
      <c r="F719"/>
      <c r="G719"/>
      <c r="H719"/>
      <c r="I719">
        <v>1</v>
      </c>
      <c r="J719" s="558"/>
      <c r="K719"/>
      <c r="AG719"/>
      <c r="AH719"/>
      <c r="AJ719"/>
      <c r="AK719"/>
      <c r="AL719"/>
      <c r="AM719"/>
      <c r="AO719"/>
      <c r="AP719"/>
      <c r="AQ719"/>
      <c r="AR719"/>
      <c r="AS719"/>
      <c r="AT719"/>
      <c r="AU719"/>
      <c r="AV719"/>
      <c r="AW719"/>
      <c r="AX719"/>
      <c r="AY719"/>
      <c r="AZ719"/>
      <c r="BA719"/>
      <c r="BB719"/>
      <c r="BC719"/>
      <c r="BD719"/>
      <c r="BE719"/>
      <c r="BF719"/>
      <c r="BH719"/>
      <c r="BI719"/>
      <c r="BJ719"/>
      <c r="BK719"/>
      <c r="BL719"/>
      <c r="BM719"/>
      <c r="BN719"/>
      <c r="BP719"/>
      <c r="BQ719"/>
      <c r="BR719"/>
      <c r="BS719"/>
      <c r="BT719"/>
      <c r="BU719"/>
      <c r="BV719"/>
      <c r="BW719"/>
      <c r="BZ719"/>
      <c r="CA719"/>
      <c r="CB719"/>
      <c r="CC719"/>
      <c r="CD719"/>
      <c r="CF719"/>
      <c r="CG719"/>
      <c r="CH719"/>
      <c r="CI719"/>
      <c r="CJ719"/>
      <c r="CK719"/>
      <c r="CL719"/>
      <c r="CM719"/>
      <c r="CN719"/>
      <c r="CO719"/>
      <c r="CP719"/>
      <c r="CQ719"/>
      <c r="CR719"/>
      <c r="CS719"/>
      <c r="CT719"/>
      <c r="CU719"/>
      <c r="CV719"/>
      <c r="CW719"/>
      <c r="CX719"/>
      <c r="CY719"/>
      <c r="CZ719"/>
      <c r="DA719"/>
      <c r="DB719"/>
      <c r="DC719"/>
      <c r="DD719"/>
      <c r="DE719"/>
      <c r="DG719"/>
      <c r="DH719"/>
      <c r="DI719"/>
      <c r="DJ719"/>
      <c r="DK719"/>
      <c r="DL719"/>
      <c r="DM719"/>
      <c r="DN719"/>
      <c r="DO719"/>
      <c r="DP719"/>
      <c r="DQ719"/>
      <c r="DR719"/>
      <c r="DS719"/>
      <c r="DT719"/>
      <c r="DU719"/>
      <c r="DV719"/>
      <c r="DW719"/>
      <c r="DZ719"/>
      <c r="EA719"/>
      <c r="EB719"/>
      <c r="EC719"/>
      <c r="ED719"/>
      <c r="EE719"/>
      <c r="EF719"/>
      <c r="EG719"/>
      <c r="EJ719"/>
      <c r="EK719"/>
      <c r="EL719"/>
      <c r="EM719"/>
      <c r="EN719"/>
      <c r="EO719"/>
      <c r="EP719"/>
      <c r="EQ719"/>
      <c r="ER719"/>
      <c r="ES719"/>
      <c r="ET719"/>
      <c r="EU719"/>
      <c r="EV719"/>
      <c r="EW719"/>
      <c r="EX719"/>
      <c r="EY719"/>
      <c r="EZ719"/>
      <c r="FA719"/>
      <c r="FB719"/>
      <c r="FC719"/>
      <c r="FD719"/>
      <c r="FE719"/>
      <c r="FF719"/>
      <c r="FG719"/>
      <c r="FH719"/>
      <c r="FK719"/>
      <c r="FL719"/>
      <c r="FM719"/>
      <c r="FN719"/>
      <c r="FO719"/>
      <c r="FP719"/>
      <c r="FQ719"/>
      <c r="FR719"/>
      <c r="FS719"/>
      <c r="FT719"/>
      <c r="FU719"/>
      <c r="FV719"/>
      <c r="FW719"/>
      <c r="FX719"/>
      <c r="FY719"/>
      <c r="FZ719"/>
      <c r="GA719"/>
      <c r="GB719"/>
      <c r="GC719"/>
      <c r="GD719"/>
    </row>
    <row r="720" spans="1:186" x14ac:dyDescent="0.15">
      <c r="A720" s="455">
        <v>20.460999999999999</v>
      </c>
      <c r="B720" s="455"/>
      <c r="C720"/>
      <c r="D720"/>
      <c r="E720">
        <v>1</v>
      </c>
      <c r="F720"/>
      <c r="G720"/>
      <c r="H720"/>
      <c r="I720"/>
      <c r="J720" s="558"/>
      <c r="K720"/>
      <c r="AG720"/>
      <c r="AH720"/>
      <c r="AJ720"/>
      <c r="AK720"/>
      <c r="AL720"/>
      <c r="AM720"/>
      <c r="AO720"/>
      <c r="AP720"/>
      <c r="AQ720"/>
      <c r="AR720"/>
      <c r="AS720"/>
      <c r="AT720"/>
      <c r="AU720"/>
      <c r="AV720"/>
      <c r="AW720"/>
      <c r="AX720"/>
      <c r="AY720"/>
      <c r="AZ720"/>
      <c r="BA720"/>
      <c r="BB720"/>
      <c r="BC720"/>
      <c r="BD720"/>
      <c r="BE720"/>
      <c r="BF720"/>
      <c r="BH720"/>
      <c r="BI720"/>
      <c r="BJ720"/>
      <c r="BK720"/>
      <c r="BL720"/>
      <c r="BM720"/>
      <c r="BN720"/>
      <c r="BP720"/>
      <c r="BQ720"/>
      <c r="BR720"/>
      <c r="BS720"/>
      <c r="BT720"/>
      <c r="BU720"/>
      <c r="BV720"/>
      <c r="BW720"/>
      <c r="BZ720"/>
      <c r="CA720"/>
      <c r="CB720"/>
      <c r="CC720"/>
      <c r="CD720"/>
      <c r="CF720"/>
      <c r="CG720"/>
      <c r="CH720"/>
      <c r="CI720"/>
      <c r="CJ720"/>
      <c r="CK720"/>
      <c r="CL720"/>
      <c r="CM720"/>
      <c r="CN720"/>
      <c r="CO720"/>
      <c r="CP720"/>
      <c r="CQ720"/>
      <c r="CR720"/>
      <c r="CS720"/>
      <c r="CT720"/>
      <c r="CU720"/>
      <c r="CV720"/>
      <c r="CW720"/>
      <c r="CX720"/>
      <c r="CY720"/>
      <c r="CZ720"/>
      <c r="DA720"/>
      <c r="DB720"/>
      <c r="DC720"/>
      <c r="DD720"/>
      <c r="DE720"/>
      <c r="DG720"/>
      <c r="DH720"/>
      <c r="DI720"/>
      <c r="DJ720"/>
      <c r="DK720"/>
      <c r="DL720"/>
      <c r="DM720"/>
      <c r="DN720"/>
      <c r="DO720"/>
      <c r="DP720"/>
      <c r="DQ720"/>
      <c r="DR720"/>
      <c r="DS720"/>
      <c r="DT720"/>
      <c r="DU720"/>
      <c r="DV720"/>
      <c r="DW720"/>
      <c r="DZ720"/>
      <c r="EA720"/>
      <c r="EB720"/>
      <c r="EC720"/>
      <c r="ED720"/>
      <c r="EE720"/>
      <c r="EF720"/>
      <c r="EG720"/>
      <c r="EJ720"/>
      <c r="EK720"/>
      <c r="EL720"/>
      <c r="EM720"/>
      <c r="EN720"/>
      <c r="EO720"/>
      <c r="EP720"/>
      <c r="EQ720"/>
      <c r="ER720"/>
      <c r="ES720"/>
      <c r="ET720"/>
      <c r="EU720"/>
      <c r="EV720"/>
      <c r="EW720"/>
      <c r="EX720"/>
      <c r="EY720"/>
      <c r="EZ720"/>
      <c r="FA720"/>
      <c r="FB720"/>
      <c r="FC720"/>
      <c r="FD720"/>
      <c r="FE720"/>
      <c r="FF720"/>
      <c r="FG720"/>
      <c r="FH720"/>
      <c r="FK720"/>
      <c r="FL720"/>
      <c r="FM720"/>
      <c r="FN720"/>
      <c r="FO720"/>
      <c r="FP720"/>
      <c r="FQ720"/>
      <c r="FR720"/>
      <c r="FS720"/>
      <c r="FT720"/>
      <c r="FU720"/>
      <c r="FV720"/>
      <c r="FW720"/>
      <c r="FX720"/>
      <c r="FY720"/>
      <c r="FZ720"/>
      <c r="GA720"/>
      <c r="GB720"/>
      <c r="GC720"/>
      <c r="GD720"/>
    </row>
    <row r="721" spans="1:186" x14ac:dyDescent="0.15">
      <c r="A721" s="455">
        <v>1.444</v>
      </c>
      <c r="B721" s="455"/>
      <c r="C721"/>
      <c r="D721">
        <v>1</v>
      </c>
      <c r="E721"/>
      <c r="F721"/>
      <c r="G721"/>
      <c r="H721"/>
      <c r="I721"/>
      <c r="J721" s="558"/>
      <c r="K721"/>
      <c r="AG721"/>
      <c r="AH721"/>
      <c r="AJ721"/>
      <c r="AK721"/>
      <c r="AL721"/>
      <c r="AM721"/>
      <c r="AO721"/>
      <c r="AP721"/>
      <c r="AQ721"/>
      <c r="AR721"/>
      <c r="AS721"/>
      <c r="AT721"/>
      <c r="AU721"/>
      <c r="AV721"/>
      <c r="AW721"/>
      <c r="AX721"/>
      <c r="AY721"/>
      <c r="AZ721"/>
      <c r="BA721"/>
      <c r="BB721"/>
      <c r="BC721"/>
      <c r="BD721"/>
      <c r="BE721"/>
      <c r="BF721"/>
      <c r="BH721"/>
      <c r="BI721"/>
      <c r="BJ721"/>
      <c r="BK721"/>
      <c r="BL721"/>
      <c r="BM721"/>
      <c r="BN721"/>
      <c r="BP721"/>
      <c r="BQ721"/>
      <c r="BR721"/>
      <c r="BS721"/>
      <c r="BT721"/>
      <c r="BU721"/>
      <c r="BV721"/>
      <c r="BW721"/>
      <c r="BZ721"/>
      <c r="CA721"/>
      <c r="CB721"/>
      <c r="CC721"/>
      <c r="CD721"/>
      <c r="CF721"/>
      <c r="CG721"/>
      <c r="CH721"/>
      <c r="CI721"/>
      <c r="CJ721"/>
      <c r="CK721"/>
      <c r="CL721"/>
      <c r="CM721"/>
      <c r="CN721"/>
      <c r="CO721"/>
      <c r="CP721"/>
      <c r="CQ721"/>
      <c r="CR721"/>
      <c r="CS721"/>
      <c r="CT721"/>
      <c r="CU721"/>
      <c r="CV721"/>
      <c r="CW721"/>
      <c r="CX721"/>
      <c r="CY721"/>
      <c r="CZ721"/>
      <c r="DA721"/>
      <c r="DB721"/>
      <c r="DC721"/>
      <c r="DD721"/>
      <c r="DE721"/>
      <c r="DG721"/>
      <c r="DH721"/>
      <c r="DI721"/>
      <c r="DJ721"/>
      <c r="DK721"/>
      <c r="DL721"/>
      <c r="DM721"/>
      <c r="DN721"/>
      <c r="DO721"/>
      <c r="DP721"/>
      <c r="DQ721"/>
      <c r="DR721"/>
      <c r="DS721"/>
      <c r="DT721"/>
      <c r="DU721"/>
      <c r="DV721"/>
      <c r="DW721"/>
      <c r="DZ721"/>
      <c r="EA721"/>
      <c r="EB721"/>
      <c r="EC721"/>
      <c r="ED721"/>
      <c r="EE721"/>
      <c r="EF721"/>
      <c r="EG721"/>
      <c r="EJ721"/>
      <c r="EK721"/>
      <c r="EL721"/>
      <c r="EM721"/>
      <c r="EN721"/>
      <c r="EO721"/>
      <c r="EP721"/>
      <c r="EQ721"/>
      <c r="ER721"/>
      <c r="ES721"/>
      <c r="ET721"/>
      <c r="EU721"/>
      <c r="EV721"/>
      <c r="EW721"/>
      <c r="EX721"/>
      <c r="EY721"/>
      <c r="EZ721"/>
      <c r="FA721"/>
      <c r="FB721"/>
      <c r="FC721"/>
      <c r="FD721"/>
      <c r="FE721"/>
      <c r="FF721"/>
      <c r="FG721"/>
      <c r="FH721"/>
      <c r="FK721"/>
      <c r="FL721"/>
      <c r="FM721"/>
      <c r="FN721"/>
      <c r="FO721"/>
      <c r="FP721"/>
      <c r="FQ721"/>
      <c r="FR721"/>
      <c r="FS721"/>
      <c r="FT721"/>
      <c r="FU721"/>
      <c r="FV721"/>
      <c r="FW721"/>
      <c r="FX721"/>
      <c r="FY721"/>
      <c r="FZ721"/>
      <c r="GA721"/>
      <c r="GB721"/>
      <c r="GC721"/>
      <c r="GD721"/>
    </row>
    <row r="722" spans="1:186" x14ac:dyDescent="0.15">
      <c r="A722" s="455">
        <v>1.708</v>
      </c>
      <c r="B722" s="455"/>
      <c r="C722"/>
      <c r="D722">
        <v>1</v>
      </c>
      <c r="E722"/>
      <c r="F722"/>
      <c r="G722"/>
      <c r="H722"/>
      <c r="I722"/>
      <c r="J722" s="558"/>
      <c r="K722"/>
      <c r="AG722"/>
      <c r="AH722"/>
      <c r="AJ722"/>
      <c r="AK722"/>
      <c r="AL722"/>
      <c r="AM722"/>
      <c r="AO722"/>
      <c r="AP722"/>
      <c r="AQ722"/>
      <c r="AR722"/>
      <c r="AS722"/>
      <c r="AT722"/>
      <c r="AU722"/>
      <c r="AV722"/>
      <c r="AW722"/>
      <c r="AX722"/>
      <c r="AY722"/>
      <c r="AZ722"/>
      <c r="BA722"/>
      <c r="BB722"/>
      <c r="BC722"/>
      <c r="BD722"/>
      <c r="BE722"/>
      <c r="BF722"/>
      <c r="BH722"/>
      <c r="BI722"/>
      <c r="BJ722"/>
      <c r="BK722"/>
      <c r="BL722"/>
      <c r="BM722"/>
      <c r="BN722"/>
      <c r="BP722"/>
      <c r="BQ722"/>
      <c r="BR722"/>
      <c r="BS722"/>
      <c r="BT722"/>
      <c r="BU722"/>
      <c r="BV722"/>
      <c r="BW722"/>
      <c r="BZ722"/>
      <c r="CA722"/>
      <c r="CB722"/>
      <c r="CC722"/>
      <c r="CD722"/>
      <c r="CF722"/>
      <c r="CG722"/>
      <c r="CH722"/>
      <c r="CI722"/>
      <c r="CJ722"/>
      <c r="CK722"/>
      <c r="CL722"/>
      <c r="CM722"/>
      <c r="CN722"/>
      <c r="CO722"/>
      <c r="CP722"/>
      <c r="CQ722"/>
      <c r="CR722"/>
      <c r="CS722"/>
      <c r="CT722"/>
      <c r="CU722"/>
      <c r="CV722"/>
      <c r="CW722"/>
      <c r="CX722"/>
      <c r="CY722"/>
      <c r="CZ722"/>
      <c r="DA722"/>
      <c r="DB722"/>
      <c r="DC722"/>
      <c r="DD722"/>
      <c r="DE722"/>
      <c r="DG722"/>
      <c r="DH722"/>
      <c r="DI722"/>
      <c r="DJ722"/>
      <c r="DK722"/>
      <c r="DL722"/>
      <c r="DM722"/>
      <c r="DN722"/>
      <c r="DO722"/>
      <c r="DP722"/>
      <c r="DQ722"/>
      <c r="DR722"/>
      <c r="DS722"/>
      <c r="DT722"/>
      <c r="DU722"/>
      <c r="DV722"/>
      <c r="DW722"/>
      <c r="DZ722"/>
      <c r="EA722"/>
      <c r="EB722"/>
      <c r="EC722"/>
      <c r="ED722"/>
      <c r="EE722"/>
      <c r="EF722"/>
      <c r="EG722"/>
      <c r="EJ722"/>
      <c r="EK722"/>
      <c r="EL722"/>
      <c r="EM722"/>
      <c r="EN722"/>
      <c r="EO722"/>
      <c r="EP722"/>
      <c r="EQ722"/>
      <c r="ER722"/>
      <c r="ES722"/>
      <c r="ET722"/>
      <c r="EU722"/>
      <c r="EV722"/>
      <c r="EW722"/>
      <c r="EX722"/>
      <c r="EY722"/>
      <c r="EZ722"/>
      <c r="FA722"/>
      <c r="FB722"/>
      <c r="FC722"/>
      <c r="FD722"/>
      <c r="FE722"/>
      <c r="FF722"/>
      <c r="FG722"/>
      <c r="FH722"/>
      <c r="FK722"/>
      <c r="FL722"/>
      <c r="FM722"/>
      <c r="FN722"/>
      <c r="FO722"/>
      <c r="FP722"/>
      <c r="FQ722"/>
      <c r="FR722"/>
      <c r="FS722"/>
      <c r="FT722"/>
      <c r="FU722"/>
      <c r="FV722"/>
      <c r="FW722"/>
      <c r="FX722"/>
      <c r="FY722"/>
      <c r="FZ722"/>
      <c r="GA722"/>
      <c r="GB722"/>
      <c r="GC722"/>
      <c r="GD722"/>
    </row>
    <row r="723" spans="1:186" x14ac:dyDescent="0.15">
      <c r="A723" s="455">
        <v>2.2149999999999999</v>
      </c>
      <c r="B723" s="455"/>
      <c r="C723">
        <v>1</v>
      </c>
      <c r="D723"/>
      <c r="E723"/>
      <c r="F723"/>
      <c r="G723"/>
      <c r="H723"/>
      <c r="I723"/>
      <c r="J723" s="558"/>
      <c r="K723"/>
      <c r="AG723"/>
      <c r="AH723"/>
      <c r="AJ723"/>
      <c r="AK723"/>
      <c r="AL723"/>
      <c r="AM723"/>
      <c r="AO723"/>
      <c r="AP723"/>
      <c r="AQ723"/>
      <c r="AR723"/>
      <c r="AS723"/>
      <c r="AT723"/>
      <c r="AU723"/>
      <c r="AV723"/>
      <c r="AW723"/>
      <c r="AX723"/>
      <c r="AY723"/>
      <c r="AZ723"/>
      <c r="BA723"/>
      <c r="BB723"/>
      <c r="BC723"/>
      <c r="BD723"/>
      <c r="BE723"/>
      <c r="BF723"/>
      <c r="BH723"/>
      <c r="BI723"/>
      <c r="BJ723"/>
      <c r="BK723"/>
      <c r="BL723"/>
      <c r="BM723"/>
      <c r="BN723"/>
      <c r="BP723"/>
      <c r="BQ723"/>
      <c r="BR723"/>
      <c r="BS723"/>
      <c r="BT723"/>
      <c r="BU723"/>
      <c r="BV723"/>
      <c r="BW723"/>
      <c r="BZ723"/>
      <c r="CA723"/>
      <c r="CB723"/>
      <c r="CC723"/>
      <c r="CD723"/>
      <c r="CF723"/>
      <c r="CG723"/>
      <c r="CH723"/>
      <c r="CI723"/>
      <c r="CJ723"/>
      <c r="CK723"/>
      <c r="CL723"/>
      <c r="CM723"/>
      <c r="CN723"/>
      <c r="CO723"/>
      <c r="CP723"/>
      <c r="CQ723"/>
      <c r="CR723"/>
      <c r="CS723"/>
      <c r="CT723"/>
      <c r="CU723"/>
      <c r="CV723"/>
      <c r="CW723"/>
      <c r="CX723"/>
      <c r="CY723"/>
      <c r="CZ723"/>
      <c r="DA723"/>
      <c r="DB723"/>
      <c r="DC723"/>
      <c r="DD723"/>
      <c r="DE723"/>
      <c r="DG723"/>
      <c r="DH723"/>
      <c r="DI723"/>
      <c r="DJ723"/>
      <c r="DK723"/>
      <c r="DL723"/>
      <c r="DM723"/>
      <c r="DN723"/>
      <c r="DO723"/>
      <c r="DP723"/>
      <c r="DQ723"/>
      <c r="DR723"/>
      <c r="DS723"/>
      <c r="DT723"/>
      <c r="DU723"/>
      <c r="DV723"/>
      <c r="DW723"/>
      <c r="DZ723"/>
      <c r="EA723"/>
      <c r="EB723"/>
      <c r="EC723"/>
      <c r="ED723"/>
      <c r="EE723"/>
      <c r="EF723"/>
      <c r="EG723"/>
      <c r="EJ723"/>
      <c r="EK723"/>
      <c r="EL723"/>
      <c r="EM723"/>
      <c r="EN723"/>
      <c r="EO723"/>
      <c r="EP723"/>
      <c r="EQ723"/>
      <c r="ER723"/>
      <c r="ES723"/>
      <c r="ET723"/>
      <c r="EU723"/>
      <c r="EV723"/>
      <c r="EW723"/>
      <c r="EX723"/>
      <c r="EY723"/>
      <c r="EZ723"/>
      <c r="FA723"/>
      <c r="FB723"/>
      <c r="FC723"/>
      <c r="FD723"/>
      <c r="FE723"/>
      <c r="FF723"/>
      <c r="FG723"/>
      <c r="FH723"/>
      <c r="FK723"/>
      <c r="FL723"/>
      <c r="FM723"/>
      <c r="FN723"/>
      <c r="FO723"/>
      <c r="FP723"/>
      <c r="FQ723"/>
      <c r="FR723"/>
      <c r="FS723"/>
      <c r="FT723"/>
      <c r="FU723"/>
      <c r="FV723"/>
      <c r="FW723"/>
      <c r="FX723"/>
      <c r="FY723"/>
      <c r="FZ723"/>
      <c r="GA723"/>
      <c r="GB723"/>
      <c r="GC723"/>
      <c r="GD723"/>
    </row>
    <row r="724" spans="1:186" x14ac:dyDescent="0.15">
      <c r="A724" s="455">
        <v>1.1140000000000001</v>
      </c>
      <c r="B724" s="455"/>
      <c r="C724">
        <v>1</v>
      </c>
      <c r="D724"/>
      <c r="E724"/>
      <c r="F724"/>
      <c r="G724"/>
      <c r="H724"/>
      <c r="I724"/>
      <c r="J724" s="558"/>
      <c r="K724"/>
      <c r="AG724"/>
      <c r="AH724"/>
      <c r="AJ724"/>
      <c r="AK724"/>
      <c r="AL724"/>
      <c r="AM724"/>
      <c r="AO724"/>
      <c r="AP724"/>
      <c r="AQ724"/>
      <c r="AR724"/>
      <c r="AS724"/>
      <c r="AT724"/>
      <c r="AU724"/>
      <c r="AV724"/>
      <c r="AW724"/>
      <c r="AX724"/>
      <c r="AY724"/>
      <c r="AZ724"/>
      <c r="BA724"/>
      <c r="BB724"/>
      <c r="BC724"/>
      <c r="BD724"/>
      <c r="BE724"/>
      <c r="BF724"/>
      <c r="BH724"/>
      <c r="BI724"/>
      <c r="BJ724"/>
      <c r="BK724"/>
      <c r="BL724"/>
      <c r="BM724"/>
      <c r="BN724"/>
      <c r="BP724"/>
      <c r="BQ724"/>
      <c r="BR724"/>
      <c r="BS724"/>
      <c r="BT724"/>
      <c r="BU724"/>
      <c r="BV724"/>
      <c r="BW724"/>
      <c r="BZ724"/>
      <c r="CA724"/>
      <c r="CB724"/>
      <c r="CC724"/>
      <c r="CD724"/>
      <c r="CF724"/>
      <c r="CG724"/>
      <c r="CH724"/>
      <c r="CI724"/>
      <c r="CJ724"/>
      <c r="CK724"/>
      <c r="CL724"/>
      <c r="CM724"/>
      <c r="CN724"/>
      <c r="CO724"/>
      <c r="CP724"/>
      <c r="CQ724"/>
      <c r="CR724"/>
      <c r="CS724"/>
      <c r="CT724"/>
      <c r="CU724"/>
      <c r="CV724"/>
      <c r="CW724"/>
      <c r="CX724"/>
      <c r="CY724"/>
      <c r="CZ724"/>
      <c r="DA724"/>
      <c r="DB724"/>
      <c r="DC724"/>
      <c r="DD724"/>
      <c r="DE724"/>
      <c r="DG724"/>
      <c r="DH724"/>
      <c r="DI724"/>
      <c r="DJ724"/>
      <c r="DK724"/>
      <c r="DL724"/>
      <c r="DM724"/>
      <c r="DN724"/>
      <c r="DO724"/>
      <c r="DP724"/>
      <c r="DQ724"/>
      <c r="DR724"/>
      <c r="DS724"/>
      <c r="DT724"/>
      <c r="DU724"/>
      <c r="DV724"/>
      <c r="DW724"/>
      <c r="DZ724"/>
      <c r="EA724"/>
      <c r="EB724"/>
      <c r="EC724"/>
      <c r="ED724"/>
      <c r="EE724"/>
      <c r="EF724"/>
      <c r="EG724"/>
      <c r="EJ724"/>
      <c r="EK724"/>
      <c r="EL724"/>
      <c r="EM724"/>
      <c r="EN724"/>
      <c r="EO724"/>
      <c r="EP724"/>
      <c r="EQ724"/>
      <c r="ER724"/>
      <c r="ES724"/>
      <c r="ET724"/>
      <c r="EU724"/>
      <c r="EV724"/>
      <c r="EW724"/>
      <c r="EX724"/>
      <c r="EY724"/>
      <c r="EZ724"/>
      <c r="FA724"/>
      <c r="FB724"/>
      <c r="FC724"/>
      <c r="FD724"/>
      <c r="FE724"/>
      <c r="FF724"/>
      <c r="FG724"/>
      <c r="FH724"/>
      <c r="FK724"/>
      <c r="FL724"/>
      <c r="FM724"/>
      <c r="FN724"/>
      <c r="FO724"/>
      <c r="FP724"/>
      <c r="FQ724"/>
      <c r="FR724"/>
      <c r="FS724"/>
      <c r="FT724"/>
      <c r="FU724"/>
      <c r="FV724"/>
      <c r="FW724"/>
      <c r="FX724"/>
      <c r="FY724"/>
      <c r="FZ724"/>
      <c r="GA724"/>
      <c r="GB724"/>
      <c r="GC724"/>
      <c r="GD724"/>
    </row>
    <row r="725" spans="1:186" x14ac:dyDescent="0.15">
      <c r="A725" s="455">
        <v>2.028</v>
      </c>
      <c r="B725" s="455"/>
      <c r="C725"/>
      <c r="D725"/>
      <c r="E725">
        <v>1</v>
      </c>
      <c r="F725"/>
      <c r="G725"/>
      <c r="H725"/>
      <c r="I725"/>
      <c r="J725" s="558"/>
      <c r="K725"/>
      <c r="AG725"/>
      <c r="AH725"/>
      <c r="AJ725"/>
      <c r="AK725"/>
      <c r="AL725"/>
      <c r="AM725"/>
      <c r="AO725"/>
      <c r="AP725"/>
      <c r="AQ725"/>
      <c r="AR725"/>
      <c r="AS725"/>
      <c r="AT725"/>
      <c r="AU725"/>
      <c r="AV725"/>
      <c r="AW725"/>
      <c r="AX725"/>
      <c r="AY725"/>
      <c r="AZ725"/>
      <c r="BA725"/>
      <c r="BB725"/>
      <c r="BC725"/>
      <c r="BD725"/>
      <c r="BE725"/>
      <c r="BF725"/>
      <c r="BH725"/>
      <c r="BI725"/>
      <c r="BJ725"/>
      <c r="BK725"/>
      <c r="BL725"/>
      <c r="BM725"/>
      <c r="BN725"/>
      <c r="BP725"/>
      <c r="BQ725"/>
      <c r="BR725"/>
      <c r="BS725"/>
      <c r="BT725"/>
      <c r="BU725"/>
      <c r="BV725"/>
      <c r="BW725"/>
      <c r="BZ725"/>
      <c r="CA725"/>
      <c r="CB725"/>
      <c r="CC725"/>
      <c r="CD725"/>
      <c r="CF725"/>
      <c r="CG725"/>
      <c r="CH725"/>
      <c r="CI725"/>
      <c r="CJ725"/>
      <c r="CK725"/>
      <c r="CL725"/>
      <c r="CM725"/>
      <c r="CN725"/>
      <c r="CO725"/>
      <c r="CP725"/>
      <c r="CQ725"/>
      <c r="CR725"/>
      <c r="CS725"/>
      <c r="CT725"/>
      <c r="CU725"/>
      <c r="CV725"/>
      <c r="CW725"/>
      <c r="CX725"/>
      <c r="CY725"/>
      <c r="CZ725"/>
      <c r="DA725"/>
      <c r="DB725"/>
      <c r="DC725"/>
      <c r="DD725"/>
      <c r="DE725"/>
      <c r="DG725"/>
      <c r="DH725"/>
      <c r="DI725"/>
      <c r="DJ725"/>
      <c r="DK725"/>
      <c r="DL725"/>
      <c r="DM725"/>
      <c r="DN725"/>
      <c r="DO725"/>
      <c r="DP725"/>
      <c r="DQ725"/>
      <c r="DR725"/>
      <c r="DS725"/>
      <c r="DT725"/>
      <c r="DU725"/>
      <c r="DV725"/>
      <c r="DW725"/>
      <c r="DZ725"/>
      <c r="EA725"/>
      <c r="EB725"/>
      <c r="EC725"/>
      <c r="ED725"/>
      <c r="EE725"/>
      <c r="EF725"/>
      <c r="EG725"/>
      <c r="EJ725"/>
      <c r="EK725"/>
      <c r="EL725"/>
      <c r="EM725"/>
      <c r="EN725"/>
      <c r="EO725"/>
      <c r="EP725"/>
      <c r="EQ725"/>
      <c r="ER725"/>
      <c r="ES725"/>
      <c r="ET725"/>
      <c r="EU725"/>
      <c r="EV725"/>
      <c r="EW725"/>
      <c r="EX725"/>
      <c r="EY725"/>
      <c r="EZ725"/>
      <c r="FA725"/>
      <c r="FB725"/>
      <c r="FC725"/>
      <c r="FD725"/>
      <c r="FE725"/>
      <c r="FF725"/>
      <c r="FG725"/>
      <c r="FH725"/>
      <c r="FK725"/>
      <c r="FL725"/>
      <c r="FM725"/>
      <c r="FN725"/>
      <c r="FO725"/>
      <c r="FP725"/>
      <c r="FQ725"/>
      <c r="FR725"/>
      <c r="FS725"/>
      <c r="FT725"/>
      <c r="FU725"/>
      <c r="FV725"/>
      <c r="FW725"/>
      <c r="FX725"/>
      <c r="FY725"/>
      <c r="FZ725"/>
      <c r="GA725"/>
      <c r="GB725"/>
      <c r="GC725"/>
      <c r="GD725"/>
    </row>
    <row r="726" spans="1:186" x14ac:dyDescent="0.15">
      <c r="A726" s="455">
        <v>3.0000000000000001E-3</v>
      </c>
      <c r="B726" s="455">
        <v>1</v>
      </c>
      <c r="C726"/>
      <c r="D726"/>
      <c r="E726"/>
      <c r="F726"/>
      <c r="G726">
        <v>1</v>
      </c>
      <c r="H726"/>
      <c r="I726"/>
      <c r="J726" s="558"/>
      <c r="K726"/>
      <c r="AG726"/>
      <c r="AH726"/>
      <c r="AJ726"/>
      <c r="AK726"/>
      <c r="AL726"/>
      <c r="AM726"/>
      <c r="AO726"/>
      <c r="AP726"/>
      <c r="AQ726"/>
      <c r="AR726"/>
      <c r="AS726"/>
      <c r="AT726"/>
      <c r="AU726"/>
      <c r="AV726"/>
      <c r="AW726"/>
      <c r="AX726"/>
      <c r="AY726"/>
      <c r="AZ726"/>
      <c r="BA726"/>
      <c r="BB726"/>
      <c r="BC726"/>
      <c r="BD726"/>
      <c r="BE726"/>
      <c r="BF726"/>
      <c r="BH726"/>
      <c r="BI726"/>
      <c r="BJ726"/>
      <c r="BK726"/>
      <c r="BL726"/>
      <c r="BM726"/>
      <c r="BN726"/>
      <c r="BP726"/>
      <c r="BQ726"/>
      <c r="BR726"/>
      <c r="BS726"/>
      <c r="BT726"/>
      <c r="BU726"/>
      <c r="BV726"/>
      <c r="BW726"/>
      <c r="BZ726"/>
      <c r="CA726"/>
      <c r="CB726"/>
      <c r="CC726"/>
      <c r="CD726"/>
      <c r="CF726"/>
      <c r="CG726"/>
      <c r="CH726"/>
      <c r="CI726"/>
      <c r="CJ726"/>
      <c r="CK726"/>
      <c r="CL726"/>
      <c r="CM726"/>
      <c r="CN726"/>
      <c r="CO726"/>
      <c r="CP726"/>
      <c r="CQ726"/>
      <c r="CR726"/>
      <c r="CS726"/>
      <c r="CT726"/>
      <c r="CU726"/>
      <c r="CV726"/>
      <c r="CW726"/>
      <c r="CX726"/>
      <c r="CY726"/>
      <c r="CZ726"/>
      <c r="DA726"/>
      <c r="DB726"/>
      <c r="DC726"/>
      <c r="DD726"/>
      <c r="DE726"/>
      <c r="DG726"/>
      <c r="DH726"/>
      <c r="DI726"/>
      <c r="DJ726"/>
      <c r="DK726"/>
      <c r="DL726"/>
      <c r="DM726"/>
      <c r="DN726"/>
      <c r="DO726"/>
      <c r="DP726"/>
      <c r="DQ726"/>
      <c r="DR726"/>
      <c r="DS726"/>
      <c r="DT726"/>
      <c r="DU726"/>
      <c r="DV726"/>
      <c r="DW726"/>
      <c r="DZ726"/>
      <c r="EA726"/>
      <c r="EB726"/>
      <c r="EC726"/>
      <c r="ED726"/>
      <c r="EE726"/>
      <c r="EF726"/>
      <c r="EG726"/>
      <c r="EJ726"/>
      <c r="EK726"/>
      <c r="EL726"/>
      <c r="EM726"/>
      <c r="EN726"/>
      <c r="EO726"/>
      <c r="EP726"/>
      <c r="EQ726"/>
      <c r="ER726"/>
      <c r="ES726"/>
      <c r="ET726"/>
      <c r="EU726"/>
      <c r="EV726"/>
      <c r="EW726"/>
      <c r="EX726"/>
      <c r="EY726"/>
      <c r="EZ726"/>
      <c r="FA726"/>
      <c r="FB726"/>
      <c r="FC726"/>
      <c r="FD726"/>
      <c r="FE726"/>
      <c r="FF726"/>
      <c r="FG726"/>
      <c r="FH726"/>
      <c r="FK726"/>
      <c r="FL726"/>
      <c r="FM726"/>
      <c r="FN726"/>
      <c r="FO726"/>
      <c r="FP726"/>
      <c r="FQ726"/>
      <c r="FR726"/>
      <c r="FS726"/>
      <c r="FT726"/>
      <c r="FU726"/>
      <c r="FV726"/>
      <c r="FW726"/>
      <c r="FX726"/>
      <c r="FY726"/>
      <c r="FZ726"/>
      <c r="GA726"/>
      <c r="GB726"/>
      <c r="GC726"/>
      <c r="GD726"/>
    </row>
    <row r="727" spans="1:186" x14ac:dyDescent="0.15">
      <c r="A727" s="455">
        <v>28.84</v>
      </c>
      <c r="B727" s="455"/>
      <c r="C727"/>
      <c r="D727">
        <v>1</v>
      </c>
      <c r="E727"/>
      <c r="F727"/>
      <c r="G727"/>
      <c r="H727"/>
      <c r="I727"/>
      <c r="J727" s="558"/>
      <c r="K727"/>
      <c r="AG727"/>
      <c r="AH727"/>
      <c r="AJ727"/>
      <c r="AK727"/>
      <c r="AL727"/>
      <c r="AM727"/>
      <c r="AO727"/>
      <c r="AP727"/>
      <c r="AQ727"/>
      <c r="AR727"/>
      <c r="AS727"/>
      <c r="AT727"/>
      <c r="AU727"/>
      <c r="AV727"/>
      <c r="AW727"/>
      <c r="AX727"/>
      <c r="AY727"/>
      <c r="AZ727"/>
      <c r="BA727"/>
      <c r="BB727"/>
      <c r="BC727"/>
      <c r="BD727"/>
      <c r="BE727"/>
      <c r="BF727"/>
      <c r="BH727"/>
      <c r="BI727"/>
      <c r="BJ727"/>
      <c r="BK727"/>
      <c r="BL727"/>
      <c r="BM727"/>
      <c r="BN727"/>
      <c r="BP727"/>
      <c r="BQ727"/>
      <c r="BR727"/>
      <c r="BS727"/>
      <c r="BT727"/>
      <c r="BU727"/>
      <c r="BV727"/>
      <c r="BW727"/>
      <c r="BZ727"/>
      <c r="CA727"/>
      <c r="CB727"/>
      <c r="CC727"/>
      <c r="CD727"/>
      <c r="CF727"/>
      <c r="CG727"/>
      <c r="CH727"/>
      <c r="CI727"/>
      <c r="CJ727"/>
      <c r="CK727"/>
      <c r="CL727"/>
      <c r="CM727"/>
      <c r="CN727"/>
      <c r="CO727"/>
      <c r="CP727"/>
      <c r="CQ727"/>
      <c r="CR727"/>
      <c r="CS727"/>
      <c r="CT727"/>
      <c r="CU727"/>
      <c r="CV727"/>
      <c r="CW727"/>
      <c r="CX727"/>
      <c r="CY727"/>
      <c r="CZ727"/>
      <c r="DA727"/>
      <c r="DB727"/>
      <c r="DC727"/>
      <c r="DD727"/>
      <c r="DE727"/>
      <c r="DG727"/>
      <c r="DH727"/>
      <c r="DI727"/>
      <c r="DJ727"/>
      <c r="DK727"/>
      <c r="DL727"/>
      <c r="DM727"/>
      <c r="DN727"/>
      <c r="DO727"/>
      <c r="DP727"/>
      <c r="DQ727"/>
      <c r="DR727"/>
      <c r="DS727"/>
      <c r="DT727"/>
      <c r="DU727"/>
      <c r="DV727"/>
      <c r="DW727"/>
      <c r="DZ727"/>
      <c r="EA727"/>
      <c r="EB727"/>
      <c r="EC727"/>
      <c r="ED727"/>
      <c r="EE727"/>
      <c r="EF727"/>
      <c r="EG727"/>
      <c r="EJ727"/>
      <c r="EK727"/>
      <c r="EL727"/>
      <c r="EM727"/>
      <c r="EN727"/>
      <c r="EO727"/>
      <c r="EP727"/>
      <c r="EQ727"/>
      <c r="ER727"/>
      <c r="ES727"/>
      <c r="ET727"/>
      <c r="EU727"/>
      <c r="EV727"/>
      <c r="EW727"/>
      <c r="EX727"/>
      <c r="EY727"/>
      <c r="EZ727"/>
      <c r="FA727"/>
      <c r="FB727"/>
      <c r="FC727"/>
      <c r="FD727"/>
      <c r="FE727"/>
      <c r="FF727"/>
      <c r="FG727"/>
      <c r="FH727"/>
      <c r="FK727"/>
      <c r="FL727"/>
      <c r="FM727"/>
      <c r="FN727"/>
      <c r="FO727"/>
      <c r="FP727"/>
      <c r="FQ727"/>
      <c r="FR727"/>
      <c r="FS727"/>
      <c r="FT727"/>
      <c r="FU727"/>
      <c r="FV727"/>
      <c r="FW727"/>
      <c r="FX727"/>
      <c r="FY727"/>
      <c r="FZ727"/>
      <c r="GA727"/>
      <c r="GB727"/>
      <c r="GC727"/>
      <c r="GD727"/>
    </row>
    <row r="728" spans="1:186" x14ac:dyDescent="0.15">
      <c r="A728" s="455">
        <v>4.633</v>
      </c>
      <c r="B728" s="455"/>
      <c r="C728"/>
      <c r="D728"/>
      <c r="E728">
        <v>1</v>
      </c>
      <c r="F728"/>
      <c r="G728"/>
      <c r="H728"/>
      <c r="I728"/>
      <c r="J728" s="558"/>
      <c r="K728"/>
      <c r="AG728"/>
      <c r="AH728"/>
      <c r="AJ728"/>
      <c r="AK728"/>
      <c r="AL728"/>
      <c r="AM728"/>
      <c r="AO728"/>
      <c r="AP728"/>
      <c r="AQ728"/>
      <c r="AR728"/>
      <c r="AS728"/>
      <c r="AT728"/>
      <c r="AU728"/>
      <c r="AV728"/>
      <c r="AW728"/>
      <c r="AX728"/>
      <c r="AY728"/>
      <c r="AZ728"/>
      <c r="BA728"/>
      <c r="BB728"/>
      <c r="BC728"/>
      <c r="BD728"/>
      <c r="BE728"/>
      <c r="BF728"/>
      <c r="BH728"/>
      <c r="BI728"/>
      <c r="BJ728"/>
      <c r="BK728"/>
      <c r="BL728"/>
      <c r="BM728"/>
      <c r="BN728"/>
      <c r="BP728"/>
      <c r="BQ728"/>
      <c r="BR728"/>
      <c r="BS728"/>
      <c r="BT728"/>
      <c r="BU728"/>
      <c r="BV728"/>
      <c r="BW728"/>
      <c r="BZ728"/>
      <c r="CA728"/>
      <c r="CB728"/>
      <c r="CC728"/>
      <c r="CD728"/>
      <c r="CF728"/>
      <c r="CG728"/>
      <c r="CH728"/>
      <c r="CI728"/>
      <c r="CJ728"/>
      <c r="CK728"/>
      <c r="CL728"/>
      <c r="CM728"/>
      <c r="CN728"/>
      <c r="CO728"/>
      <c r="CP728"/>
      <c r="CQ728"/>
      <c r="CR728"/>
      <c r="CS728"/>
      <c r="CT728"/>
      <c r="CU728"/>
      <c r="CV728"/>
      <c r="CW728"/>
      <c r="CX728"/>
      <c r="CY728"/>
      <c r="CZ728"/>
      <c r="DA728"/>
      <c r="DB728"/>
      <c r="DC728"/>
      <c r="DD728"/>
      <c r="DE728"/>
      <c r="DG728"/>
      <c r="DH728"/>
      <c r="DI728"/>
      <c r="DJ728"/>
      <c r="DK728"/>
      <c r="DL728"/>
      <c r="DM728"/>
      <c r="DN728"/>
      <c r="DO728"/>
      <c r="DP728"/>
      <c r="DQ728"/>
      <c r="DR728"/>
      <c r="DS728"/>
      <c r="DT728"/>
      <c r="DU728"/>
      <c r="DV728"/>
      <c r="DW728"/>
      <c r="DZ728"/>
      <c r="EA728"/>
      <c r="EB728"/>
      <c r="EC728"/>
      <c r="ED728"/>
      <c r="EE728"/>
      <c r="EF728"/>
      <c r="EG728"/>
      <c r="EJ728"/>
      <c r="EK728"/>
      <c r="EL728"/>
      <c r="EM728"/>
      <c r="EN728"/>
      <c r="EO728"/>
      <c r="EP728"/>
      <c r="EQ728"/>
      <c r="ER728"/>
      <c r="ES728"/>
      <c r="ET728"/>
      <c r="EU728"/>
      <c r="EV728"/>
      <c r="EW728"/>
      <c r="EX728"/>
      <c r="EY728"/>
      <c r="EZ728"/>
      <c r="FA728"/>
      <c r="FB728"/>
      <c r="FC728"/>
      <c r="FD728"/>
      <c r="FE728"/>
      <c r="FF728"/>
      <c r="FG728"/>
      <c r="FH728"/>
      <c r="FK728"/>
      <c r="FL728"/>
      <c r="FM728"/>
      <c r="FN728"/>
      <c r="FO728"/>
      <c r="FP728"/>
      <c r="FQ728"/>
      <c r="FR728"/>
      <c r="FS728"/>
      <c r="FT728"/>
      <c r="FU728"/>
      <c r="FV728"/>
      <c r="FW728"/>
      <c r="FX728"/>
      <c r="FY728"/>
      <c r="FZ728"/>
      <c r="GA728"/>
      <c r="GB728"/>
      <c r="GC728"/>
      <c r="GD728"/>
    </row>
    <row r="729" spans="1:186" x14ac:dyDescent="0.15">
      <c r="A729" s="455">
        <v>1.94</v>
      </c>
      <c r="B729" s="455">
        <v>1</v>
      </c>
      <c r="C729"/>
      <c r="D729"/>
      <c r="E729"/>
      <c r="F729"/>
      <c r="G729"/>
      <c r="H729"/>
      <c r="I729"/>
      <c r="J729" s="558"/>
      <c r="K729"/>
      <c r="AG729"/>
      <c r="AH729"/>
      <c r="AJ729"/>
      <c r="AK729"/>
      <c r="AL729"/>
      <c r="AM729"/>
      <c r="AO729"/>
      <c r="AP729"/>
      <c r="AQ729"/>
      <c r="AR729"/>
      <c r="AS729"/>
      <c r="AT729"/>
      <c r="AU729"/>
      <c r="AV729"/>
      <c r="AW729"/>
      <c r="AX729"/>
      <c r="AY729"/>
      <c r="AZ729"/>
      <c r="BA729"/>
      <c r="BB729"/>
      <c r="BC729"/>
      <c r="BD729"/>
      <c r="BE729"/>
      <c r="BF729"/>
      <c r="BH729"/>
      <c r="BI729"/>
      <c r="BJ729"/>
      <c r="BK729"/>
      <c r="BL729"/>
      <c r="BM729"/>
      <c r="BN729"/>
      <c r="BP729"/>
      <c r="BQ729"/>
      <c r="BR729"/>
      <c r="BS729"/>
      <c r="BT729"/>
      <c r="BU729"/>
      <c r="BV729"/>
      <c r="BW729"/>
      <c r="BZ729"/>
      <c r="CA729"/>
      <c r="CB729"/>
      <c r="CC729"/>
      <c r="CD729"/>
      <c r="CF729"/>
      <c r="CG729"/>
      <c r="CH729"/>
      <c r="CI729"/>
      <c r="CJ729"/>
      <c r="CK729"/>
      <c r="CL729"/>
      <c r="CM729"/>
      <c r="CN729"/>
      <c r="CO729"/>
      <c r="CP729"/>
      <c r="CQ729"/>
      <c r="CR729"/>
      <c r="CS729"/>
      <c r="CT729"/>
      <c r="CU729"/>
      <c r="CV729"/>
      <c r="CW729"/>
      <c r="CX729"/>
      <c r="CY729"/>
      <c r="CZ729"/>
      <c r="DA729"/>
      <c r="DB729"/>
      <c r="DC729"/>
      <c r="DD729"/>
      <c r="DE729"/>
      <c r="DG729"/>
      <c r="DH729"/>
      <c r="DI729"/>
      <c r="DJ729"/>
      <c r="DK729"/>
      <c r="DL729"/>
      <c r="DM729"/>
      <c r="DN729"/>
      <c r="DO729"/>
      <c r="DP729"/>
      <c r="DQ729"/>
      <c r="DR729"/>
      <c r="DS729"/>
      <c r="DT729"/>
      <c r="DU729"/>
      <c r="DV729"/>
      <c r="DW729"/>
      <c r="DZ729"/>
      <c r="EA729"/>
      <c r="EB729"/>
      <c r="EC729"/>
      <c r="ED729"/>
      <c r="EE729"/>
      <c r="EF729"/>
      <c r="EG729"/>
      <c r="EJ729"/>
      <c r="EK729"/>
      <c r="EL729"/>
      <c r="EM729"/>
      <c r="EN729"/>
      <c r="EO729"/>
      <c r="EP729"/>
      <c r="EQ729"/>
      <c r="ER729"/>
      <c r="ES729"/>
      <c r="ET729"/>
      <c r="EU729"/>
      <c r="EV729"/>
      <c r="EW729"/>
      <c r="EX729"/>
      <c r="EY729"/>
      <c r="EZ729"/>
      <c r="FA729"/>
      <c r="FB729"/>
      <c r="FC729"/>
      <c r="FD729"/>
      <c r="FE729"/>
      <c r="FF729"/>
      <c r="FG729"/>
      <c r="FH729"/>
      <c r="FK729"/>
      <c r="FL729"/>
      <c r="FM729"/>
      <c r="FN729"/>
      <c r="FO729"/>
      <c r="FP729"/>
      <c r="FQ729"/>
      <c r="FR729"/>
      <c r="FS729"/>
      <c r="FT729"/>
      <c r="FU729"/>
      <c r="FV729"/>
      <c r="FW729"/>
      <c r="FX729"/>
      <c r="FY729"/>
      <c r="FZ729"/>
      <c r="GA729"/>
      <c r="GB729"/>
      <c r="GC729"/>
      <c r="GD729"/>
    </row>
    <row r="730" spans="1:186" x14ac:dyDescent="0.15">
      <c r="A730" s="455">
        <v>18.082999999999998</v>
      </c>
      <c r="B730" s="455"/>
      <c r="C730"/>
      <c r="D730">
        <v>1</v>
      </c>
      <c r="E730"/>
      <c r="F730"/>
      <c r="G730"/>
      <c r="H730"/>
      <c r="I730"/>
      <c r="J730" s="558"/>
      <c r="K730"/>
      <c r="AG730"/>
      <c r="AH730"/>
      <c r="AJ730"/>
      <c r="AK730"/>
      <c r="AL730"/>
      <c r="AM730"/>
      <c r="AO730"/>
      <c r="AP730"/>
      <c r="AQ730"/>
      <c r="AR730"/>
      <c r="AS730"/>
      <c r="AT730"/>
      <c r="AU730"/>
      <c r="AV730"/>
      <c r="AW730"/>
      <c r="AX730"/>
      <c r="AY730"/>
      <c r="AZ730"/>
      <c r="BA730"/>
      <c r="BB730"/>
      <c r="BC730"/>
      <c r="BD730"/>
      <c r="BE730"/>
      <c r="BF730"/>
      <c r="BH730"/>
      <c r="BI730"/>
      <c r="BJ730"/>
      <c r="BK730"/>
      <c r="BL730"/>
      <c r="BM730"/>
      <c r="BN730"/>
      <c r="BP730"/>
      <c r="BQ730"/>
      <c r="BR730"/>
      <c r="BS730"/>
      <c r="BT730"/>
      <c r="BU730"/>
      <c r="BV730"/>
      <c r="BW730"/>
      <c r="BZ730"/>
      <c r="CA730"/>
      <c r="CB730"/>
      <c r="CC730"/>
      <c r="CD730"/>
      <c r="CF730"/>
      <c r="CG730"/>
      <c r="CH730"/>
      <c r="CI730"/>
      <c r="CJ730"/>
      <c r="CK730"/>
      <c r="CL730"/>
      <c r="CM730"/>
      <c r="CN730"/>
      <c r="CO730"/>
      <c r="CP730"/>
      <c r="CQ730"/>
      <c r="CR730"/>
      <c r="CS730"/>
      <c r="CT730"/>
      <c r="CU730"/>
      <c r="CV730"/>
      <c r="CW730"/>
      <c r="CX730"/>
      <c r="CY730"/>
      <c r="CZ730"/>
      <c r="DA730"/>
      <c r="DB730"/>
      <c r="DC730"/>
      <c r="DD730"/>
      <c r="DE730"/>
      <c r="DG730"/>
      <c r="DH730"/>
      <c r="DI730"/>
      <c r="DJ730"/>
      <c r="DK730"/>
      <c r="DL730"/>
      <c r="DM730"/>
      <c r="DN730"/>
      <c r="DO730"/>
      <c r="DP730"/>
      <c r="DQ730"/>
      <c r="DR730"/>
      <c r="DS730"/>
      <c r="DT730"/>
      <c r="DU730"/>
      <c r="DV730"/>
      <c r="DW730"/>
      <c r="DZ730"/>
      <c r="EA730"/>
      <c r="EB730"/>
      <c r="EC730"/>
      <c r="ED730"/>
      <c r="EE730"/>
      <c r="EF730"/>
      <c r="EG730"/>
      <c r="EJ730"/>
      <c r="EK730"/>
      <c r="EL730"/>
      <c r="EM730"/>
      <c r="EN730"/>
      <c r="EO730"/>
      <c r="EP730"/>
      <c r="EQ730"/>
      <c r="ER730"/>
      <c r="ES730"/>
      <c r="ET730"/>
      <c r="EU730"/>
      <c r="EV730"/>
      <c r="EW730"/>
      <c r="EX730"/>
      <c r="EY730"/>
      <c r="EZ730"/>
      <c r="FA730"/>
      <c r="FB730"/>
      <c r="FC730"/>
      <c r="FD730"/>
      <c r="FE730"/>
      <c r="FF730"/>
      <c r="FG730"/>
      <c r="FH730"/>
      <c r="FK730"/>
      <c r="FL730"/>
      <c r="FM730"/>
      <c r="FN730"/>
      <c r="FO730"/>
      <c r="FP730"/>
      <c r="FQ730"/>
      <c r="FR730"/>
      <c r="FS730"/>
      <c r="FT730"/>
      <c r="FU730"/>
      <c r="FV730"/>
      <c r="FW730"/>
      <c r="FX730"/>
      <c r="FY730"/>
      <c r="FZ730"/>
      <c r="GA730"/>
      <c r="GB730"/>
      <c r="GC730"/>
      <c r="GD730"/>
    </row>
    <row r="731" spans="1:186" x14ac:dyDescent="0.15">
      <c r="A731" s="455">
        <v>6.0579999999999998</v>
      </c>
      <c r="B731" s="455"/>
      <c r="C731"/>
      <c r="D731"/>
      <c r="E731">
        <v>1</v>
      </c>
      <c r="F731"/>
      <c r="G731"/>
      <c r="H731"/>
      <c r="I731"/>
      <c r="J731" s="558"/>
      <c r="K731"/>
      <c r="AG731"/>
      <c r="AH731"/>
      <c r="AJ731"/>
      <c r="AK731"/>
      <c r="AL731"/>
      <c r="AM731"/>
      <c r="AO731"/>
      <c r="AP731"/>
      <c r="AQ731"/>
      <c r="AR731"/>
      <c r="AS731"/>
      <c r="AT731"/>
      <c r="AU731"/>
      <c r="AV731"/>
      <c r="AW731"/>
      <c r="AX731"/>
      <c r="AY731"/>
      <c r="AZ731"/>
      <c r="BA731"/>
      <c r="BB731"/>
      <c r="BC731"/>
      <c r="BD731"/>
      <c r="BE731"/>
      <c r="BF731"/>
      <c r="BH731"/>
      <c r="BI731"/>
      <c r="BJ731"/>
      <c r="BK731"/>
      <c r="BL731"/>
      <c r="BM731"/>
      <c r="BN731"/>
      <c r="BP731"/>
      <c r="BQ731"/>
      <c r="BR731"/>
      <c r="BS731"/>
      <c r="BT731"/>
      <c r="BU731"/>
      <c r="BV731"/>
      <c r="BW731"/>
      <c r="BZ731"/>
      <c r="CA731"/>
      <c r="CB731"/>
      <c r="CC731"/>
      <c r="CD731"/>
      <c r="CF731"/>
      <c r="CG731"/>
      <c r="CH731"/>
      <c r="CI731"/>
      <c r="CJ731"/>
      <c r="CK731"/>
      <c r="CL731"/>
      <c r="CM731"/>
      <c r="CN731"/>
      <c r="CO731"/>
      <c r="CP731"/>
      <c r="CQ731"/>
      <c r="CR731"/>
      <c r="CS731"/>
      <c r="CT731"/>
      <c r="CU731"/>
      <c r="CV731"/>
      <c r="CW731"/>
      <c r="CX731"/>
      <c r="CY731"/>
      <c r="CZ731"/>
      <c r="DA731"/>
      <c r="DB731"/>
      <c r="DC731"/>
      <c r="DD731"/>
      <c r="DE731"/>
      <c r="DG731"/>
      <c r="DH731"/>
      <c r="DI731"/>
      <c r="DJ731"/>
      <c r="DK731"/>
      <c r="DL731"/>
      <c r="DM731"/>
      <c r="DN731"/>
      <c r="DO731"/>
      <c r="DP731"/>
      <c r="DQ731"/>
      <c r="DR731"/>
      <c r="DS731"/>
      <c r="DT731"/>
      <c r="DU731"/>
      <c r="DV731"/>
      <c r="DW731"/>
      <c r="DZ731"/>
      <c r="EA731"/>
      <c r="EB731"/>
      <c r="EC731"/>
      <c r="ED731"/>
      <c r="EE731"/>
      <c r="EF731"/>
      <c r="EG731"/>
      <c r="EJ731"/>
      <c r="EK731"/>
      <c r="EL731"/>
      <c r="EM731"/>
      <c r="EN731"/>
      <c r="EO731"/>
      <c r="EP731"/>
      <c r="EQ731"/>
      <c r="ER731"/>
      <c r="ES731"/>
      <c r="ET731"/>
      <c r="EU731"/>
      <c r="EV731"/>
      <c r="EW731"/>
      <c r="EX731"/>
      <c r="EY731"/>
      <c r="EZ731"/>
      <c r="FA731"/>
      <c r="FB731"/>
      <c r="FC731"/>
      <c r="FD731"/>
      <c r="FE731"/>
      <c r="FF731"/>
      <c r="FG731"/>
      <c r="FH731"/>
      <c r="FK731"/>
      <c r="FL731"/>
      <c r="FM731"/>
      <c r="FN731"/>
      <c r="FO731"/>
      <c r="FP731"/>
      <c r="FQ731"/>
      <c r="FR731"/>
      <c r="FS731"/>
      <c r="FT731"/>
      <c r="FU731"/>
      <c r="FV731"/>
      <c r="FW731"/>
      <c r="FX731"/>
      <c r="FY731"/>
      <c r="FZ731"/>
      <c r="GA731"/>
      <c r="GB731"/>
      <c r="GC731"/>
      <c r="GD731"/>
    </row>
    <row r="732" spans="1:186" x14ac:dyDescent="0.15">
      <c r="A732" s="455">
        <v>4.2110000000000003</v>
      </c>
      <c r="B732" s="455">
        <v>1</v>
      </c>
      <c r="C732"/>
      <c r="D732"/>
      <c r="E732"/>
      <c r="F732"/>
      <c r="G732"/>
      <c r="H732"/>
      <c r="I732"/>
      <c r="J732" s="558"/>
      <c r="K732"/>
      <c r="AG732"/>
      <c r="AH732"/>
      <c r="AJ732"/>
      <c r="AK732"/>
      <c r="AL732"/>
      <c r="AM732"/>
      <c r="AO732"/>
      <c r="AP732"/>
      <c r="AQ732"/>
      <c r="AR732"/>
      <c r="AS732"/>
      <c r="AT732"/>
      <c r="AU732"/>
      <c r="AV732"/>
      <c r="AW732"/>
      <c r="AX732"/>
      <c r="AY732"/>
      <c r="AZ732"/>
      <c r="BA732"/>
      <c r="BB732"/>
      <c r="BC732"/>
      <c r="BD732"/>
      <c r="BE732"/>
      <c r="BF732"/>
      <c r="BH732"/>
      <c r="BI732"/>
      <c r="BJ732"/>
      <c r="BK732"/>
      <c r="BL732"/>
      <c r="BM732"/>
      <c r="BN732"/>
      <c r="BP732"/>
      <c r="BQ732"/>
      <c r="BR732"/>
      <c r="BS732"/>
      <c r="BT732"/>
      <c r="BU732"/>
      <c r="BV732"/>
      <c r="BW732"/>
      <c r="BZ732"/>
      <c r="CA732"/>
      <c r="CB732"/>
      <c r="CC732"/>
      <c r="CD732"/>
      <c r="CF732"/>
      <c r="CG732"/>
      <c r="CH732"/>
      <c r="CI732"/>
      <c r="CJ732"/>
      <c r="CK732"/>
      <c r="CL732"/>
      <c r="CM732"/>
      <c r="CN732"/>
      <c r="CO732"/>
      <c r="CP732"/>
      <c r="CQ732"/>
      <c r="CR732"/>
      <c r="CS732"/>
      <c r="CT732"/>
      <c r="CU732"/>
      <c r="CV732"/>
      <c r="CW732"/>
      <c r="CX732"/>
      <c r="CY732"/>
      <c r="CZ732"/>
      <c r="DA732"/>
      <c r="DB732"/>
      <c r="DC732"/>
      <c r="DD732"/>
      <c r="DE732"/>
      <c r="DG732"/>
      <c r="DH732"/>
      <c r="DI732"/>
      <c r="DJ732"/>
      <c r="DK732"/>
      <c r="DL732"/>
      <c r="DM732"/>
      <c r="DN732"/>
      <c r="DO732"/>
      <c r="DP732"/>
      <c r="DQ732"/>
      <c r="DR732"/>
      <c r="DS732"/>
      <c r="DT732"/>
      <c r="DU732"/>
      <c r="DV732"/>
      <c r="DW732"/>
      <c r="DZ732"/>
      <c r="EA732"/>
      <c r="EB732"/>
      <c r="EC732"/>
      <c r="ED732"/>
      <c r="EE732"/>
      <c r="EF732"/>
      <c r="EG732"/>
      <c r="EJ732"/>
      <c r="EK732"/>
      <c r="EL732"/>
      <c r="EM732"/>
      <c r="EN732"/>
      <c r="EO732"/>
      <c r="EP732"/>
      <c r="EQ732"/>
      <c r="ER732"/>
      <c r="ES732"/>
      <c r="ET732"/>
      <c r="EU732"/>
      <c r="EV732"/>
      <c r="EW732"/>
      <c r="EX732"/>
      <c r="EY732"/>
      <c r="EZ732"/>
      <c r="FA732"/>
      <c r="FB732"/>
      <c r="FC732"/>
      <c r="FD732"/>
      <c r="FE732"/>
      <c r="FF732"/>
      <c r="FG732"/>
      <c r="FH732"/>
      <c r="FK732"/>
      <c r="FL732"/>
      <c r="FM732"/>
      <c r="FN732"/>
      <c r="FO732"/>
      <c r="FP732"/>
      <c r="FQ732"/>
      <c r="FR732"/>
      <c r="FS732"/>
      <c r="FT732"/>
      <c r="FU732"/>
      <c r="FV732"/>
      <c r="FW732"/>
      <c r="FX732"/>
      <c r="FY732"/>
      <c r="FZ732"/>
      <c r="GA732"/>
      <c r="GB732"/>
      <c r="GC732"/>
      <c r="GD732"/>
    </row>
    <row r="733" spans="1:186" x14ac:dyDescent="0.15">
      <c r="A733" s="455">
        <v>23.103999999999999</v>
      </c>
      <c r="B733" s="455"/>
      <c r="C733"/>
      <c r="D733"/>
      <c r="E733"/>
      <c r="F733"/>
      <c r="G733"/>
      <c r="H733"/>
      <c r="I733"/>
      <c r="J733" s="558">
        <v>1</v>
      </c>
      <c r="K733"/>
      <c r="AG733"/>
      <c r="AH733"/>
      <c r="AJ733"/>
      <c r="AK733"/>
      <c r="AL733"/>
      <c r="AM733"/>
      <c r="AO733"/>
      <c r="AP733"/>
      <c r="AQ733"/>
      <c r="AR733"/>
      <c r="AS733"/>
      <c r="AT733"/>
      <c r="AU733"/>
      <c r="AV733"/>
      <c r="AW733"/>
      <c r="AX733"/>
      <c r="AY733"/>
      <c r="AZ733"/>
      <c r="BA733"/>
      <c r="BB733"/>
      <c r="BC733"/>
      <c r="BD733"/>
      <c r="BE733"/>
      <c r="BF733"/>
      <c r="BH733"/>
      <c r="BI733"/>
      <c r="BJ733"/>
      <c r="BK733"/>
      <c r="BL733"/>
      <c r="BM733"/>
      <c r="BN733"/>
      <c r="BP733"/>
      <c r="BQ733"/>
      <c r="BR733"/>
      <c r="BS733"/>
      <c r="BT733"/>
      <c r="BU733"/>
      <c r="BV733"/>
      <c r="BW733"/>
      <c r="BZ733"/>
      <c r="CA733"/>
      <c r="CB733"/>
      <c r="CC733"/>
      <c r="CD733"/>
      <c r="CF733"/>
      <c r="CG733"/>
      <c r="CH733"/>
      <c r="CI733"/>
      <c r="CJ733"/>
      <c r="CK733"/>
      <c r="CL733"/>
      <c r="CM733"/>
      <c r="CN733"/>
      <c r="CO733"/>
      <c r="CP733"/>
      <c r="CQ733"/>
      <c r="CR733"/>
      <c r="CS733"/>
      <c r="CT733"/>
      <c r="CU733"/>
      <c r="CV733"/>
      <c r="CW733"/>
      <c r="CX733"/>
      <c r="CY733"/>
      <c r="CZ733"/>
      <c r="DA733"/>
      <c r="DB733"/>
      <c r="DC733"/>
      <c r="DD733"/>
      <c r="DE733"/>
      <c r="DG733"/>
      <c r="DH733"/>
      <c r="DI733"/>
      <c r="DJ733"/>
      <c r="DK733"/>
      <c r="DL733"/>
      <c r="DM733"/>
      <c r="DN733"/>
      <c r="DO733"/>
      <c r="DP733"/>
      <c r="DQ733"/>
      <c r="DR733"/>
      <c r="DS733"/>
      <c r="DT733"/>
      <c r="DU733"/>
      <c r="DV733"/>
      <c r="DW733"/>
      <c r="DZ733"/>
      <c r="EA733"/>
      <c r="EB733"/>
      <c r="EC733"/>
      <c r="ED733"/>
      <c r="EE733"/>
      <c r="EF733"/>
      <c r="EG733"/>
      <c r="EJ733"/>
      <c r="EK733"/>
      <c r="EL733"/>
      <c r="EM733"/>
      <c r="EN733"/>
      <c r="EO733"/>
      <c r="EP733"/>
      <c r="EQ733"/>
      <c r="ER733"/>
      <c r="ES733"/>
      <c r="ET733"/>
      <c r="EU733"/>
      <c r="EV733"/>
      <c r="EW733"/>
      <c r="EX733"/>
      <c r="EY733"/>
      <c r="EZ733"/>
      <c r="FA733"/>
      <c r="FB733"/>
      <c r="FC733"/>
      <c r="FD733"/>
      <c r="FE733"/>
      <c r="FF733"/>
      <c r="FG733"/>
      <c r="FH733"/>
      <c r="FK733"/>
      <c r="FL733"/>
      <c r="FM733"/>
      <c r="FN733"/>
      <c r="FO733"/>
      <c r="FP733"/>
      <c r="FQ733"/>
      <c r="FR733"/>
      <c r="FS733"/>
      <c r="FT733"/>
      <c r="FU733"/>
      <c r="FV733"/>
      <c r="FW733"/>
      <c r="FX733"/>
      <c r="FY733"/>
      <c r="FZ733"/>
      <c r="GA733"/>
      <c r="GB733"/>
      <c r="GC733"/>
      <c r="GD733"/>
    </row>
    <row r="734" spans="1:186" x14ac:dyDescent="0.15">
      <c r="A734" s="455">
        <v>6.1440000000000001</v>
      </c>
      <c r="B734" s="455"/>
      <c r="C734"/>
      <c r="D734">
        <v>1</v>
      </c>
      <c r="E734"/>
      <c r="F734"/>
      <c r="G734"/>
      <c r="H734"/>
      <c r="I734"/>
      <c r="J734" s="558"/>
      <c r="K734"/>
      <c r="AG734"/>
      <c r="AH734"/>
      <c r="AJ734"/>
      <c r="AK734"/>
      <c r="AL734"/>
      <c r="AM734"/>
      <c r="AO734"/>
      <c r="AP734"/>
      <c r="AQ734"/>
      <c r="AR734"/>
      <c r="AS734"/>
      <c r="AT734"/>
      <c r="AU734"/>
      <c r="AV734"/>
      <c r="AW734"/>
      <c r="AX734"/>
      <c r="AY734"/>
      <c r="AZ734"/>
      <c r="BA734"/>
      <c r="BB734"/>
      <c r="BC734"/>
      <c r="BD734"/>
      <c r="BE734"/>
      <c r="BF734"/>
      <c r="BH734"/>
      <c r="BI734"/>
      <c r="BJ734"/>
      <c r="BK734"/>
      <c r="BL734"/>
      <c r="BM734"/>
      <c r="BN734"/>
      <c r="BP734"/>
      <c r="BQ734"/>
      <c r="BR734"/>
      <c r="BS734"/>
      <c r="BT734"/>
      <c r="BU734"/>
      <c r="BV734"/>
      <c r="BW734"/>
      <c r="BZ734"/>
      <c r="CA734"/>
      <c r="CB734"/>
      <c r="CC734"/>
      <c r="CD734"/>
      <c r="CF734"/>
      <c r="CG734"/>
      <c r="CH734"/>
      <c r="CI734"/>
      <c r="CJ734"/>
      <c r="CK734"/>
      <c r="CL734"/>
      <c r="CM734"/>
      <c r="CN734"/>
      <c r="CO734"/>
      <c r="CP734"/>
      <c r="CQ734"/>
      <c r="CR734"/>
      <c r="CS734"/>
      <c r="CT734"/>
      <c r="CU734"/>
      <c r="CV734"/>
      <c r="CW734"/>
      <c r="CX734"/>
      <c r="CY734"/>
      <c r="CZ734"/>
      <c r="DA734"/>
      <c r="DB734"/>
      <c r="DC734"/>
      <c r="DD734"/>
      <c r="DE734"/>
      <c r="DG734"/>
      <c r="DH734"/>
      <c r="DI734"/>
      <c r="DJ734"/>
      <c r="DK734"/>
      <c r="DL734"/>
      <c r="DM734"/>
      <c r="DN734"/>
      <c r="DO734"/>
      <c r="DP734"/>
      <c r="DQ734"/>
      <c r="DR734"/>
      <c r="DS734"/>
      <c r="DT734"/>
      <c r="DU734"/>
      <c r="DV734"/>
      <c r="DW734"/>
      <c r="DZ734"/>
      <c r="EA734"/>
      <c r="EB734"/>
      <c r="EC734"/>
      <c r="ED734"/>
      <c r="EE734"/>
      <c r="EF734"/>
      <c r="EG734"/>
      <c r="EJ734"/>
      <c r="EK734"/>
      <c r="EL734"/>
      <c r="EM734"/>
      <c r="EN734"/>
      <c r="EO734"/>
      <c r="EP734"/>
      <c r="EQ734"/>
      <c r="ER734"/>
      <c r="ES734"/>
      <c r="ET734"/>
      <c r="EU734"/>
      <c r="EV734"/>
      <c r="EW734"/>
      <c r="EX734"/>
      <c r="EY734"/>
      <c r="EZ734"/>
      <c r="FA734"/>
      <c r="FB734"/>
      <c r="FC734"/>
      <c r="FD734"/>
      <c r="FE734"/>
      <c r="FF734"/>
      <c r="FG734"/>
      <c r="FH734"/>
      <c r="FK734"/>
      <c r="FL734"/>
      <c r="FM734"/>
      <c r="FN734"/>
      <c r="FO734"/>
      <c r="FP734"/>
      <c r="FQ734"/>
      <c r="FR734"/>
      <c r="FS734"/>
      <c r="FT734"/>
      <c r="FU734"/>
      <c r="FV734"/>
      <c r="FW734"/>
      <c r="FX734"/>
      <c r="FY734"/>
      <c r="FZ734"/>
      <c r="GA734"/>
      <c r="GB734"/>
      <c r="GC734"/>
      <c r="GD734"/>
    </row>
    <row r="735" spans="1:186" x14ac:dyDescent="0.15">
      <c r="A735" s="455">
        <v>25.721</v>
      </c>
      <c r="B735" s="455"/>
      <c r="C735">
        <v>1</v>
      </c>
      <c r="D735"/>
      <c r="E735"/>
      <c r="F735"/>
      <c r="G735"/>
      <c r="H735"/>
      <c r="I735"/>
      <c r="J735" s="558"/>
      <c r="K735"/>
      <c r="AG735"/>
      <c r="AH735"/>
      <c r="AJ735"/>
      <c r="AK735"/>
      <c r="AL735"/>
      <c r="AM735"/>
      <c r="AO735"/>
      <c r="AP735"/>
      <c r="AQ735"/>
      <c r="AR735"/>
      <c r="AS735"/>
      <c r="AT735"/>
      <c r="AU735"/>
      <c r="AV735"/>
      <c r="AW735"/>
      <c r="AX735"/>
      <c r="AY735"/>
      <c r="AZ735"/>
      <c r="BA735"/>
      <c r="BB735"/>
      <c r="BC735"/>
      <c r="BD735"/>
      <c r="BE735"/>
      <c r="BF735"/>
      <c r="BH735"/>
      <c r="BI735"/>
      <c r="BJ735"/>
      <c r="BK735"/>
      <c r="BL735"/>
      <c r="BM735"/>
      <c r="BN735"/>
      <c r="BP735"/>
      <c r="BQ735"/>
      <c r="BR735"/>
      <c r="BS735"/>
      <c r="BT735"/>
      <c r="BU735"/>
      <c r="BV735"/>
      <c r="BW735"/>
      <c r="BZ735"/>
      <c r="CA735"/>
      <c r="CB735"/>
      <c r="CC735"/>
      <c r="CD735"/>
      <c r="CF735"/>
      <c r="CG735"/>
      <c r="CH735"/>
      <c r="CI735"/>
      <c r="CJ735"/>
      <c r="CK735"/>
      <c r="CL735"/>
      <c r="CM735"/>
      <c r="CN735"/>
      <c r="CO735"/>
      <c r="CP735"/>
      <c r="CQ735"/>
      <c r="CR735"/>
      <c r="CS735"/>
      <c r="CT735"/>
      <c r="CU735"/>
      <c r="CV735"/>
      <c r="CW735"/>
      <c r="CX735"/>
      <c r="CY735"/>
      <c r="CZ735"/>
      <c r="DA735"/>
      <c r="DB735"/>
      <c r="DC735"/>
      <c r="DD735"/>
      <c r="DE735"/>
      <c r="DG735"/>
      <c r="DH735"/>
      <c r="DI735"/>
      <c r="DJ735"/>
      <c r="DK735"/>
      <c r="DL735"/>
      <c r="DM735"/>
      <c r="DN735"/>
      <c r="DO735"/>
      <c r="DP735"/>
      <c r="DQ735"/>
      <c r="DR735"/>
      <c r="DS735"/>
      <c r="DT735"/>
      <c r="DU735"/>
      <c r="DV735"/>
      <c r="DW735"/>
      <c r="DZ735"/>
      <c r="EA735"/>
      <c r="EB735"/>
      <c r="EC735"/>
      <c r="ED735"/>
      <c r="EE735"/>
      <c r="EF735"/>
      <c r="EG735"/>
      <c r="EJ735"/>
      <c r="EK735"/>
      <c r="EL735"/>
      <c r="EM735"/>
      <c r="EN735"/>
      <c r="EO735"/>
      <c r="EP735"/>
      <c r="EQ735"/>
      <c r="ER735"/>
      <c r="ES735"/>
      <c r="ET735"/>
      <c r="EU735"/>
      <c r="EV735"/>
      <c r="EW735"/>
      <c r="EX735"/>
      <c r="EY735"/>
      <c r="EZ735"/>
      <c r="FA735"/>
      <c r="FB735"/>
      <c r="FC735"/>
      <c r="FD735"/>
      <c r="FE735"/>
      <c r="FF735"/>
      <c r="FG735"/>
      <c r="FH735"/>
      <c r="FK735"/>
      <c r="FL735"/>
      <c r="FM735"/>
      <c r="FN735"/>
      <c r="FO735"/>
      <c r="FP735"/>
      <c r="FQ735"/>
      <c r="FR735"/>
      <c r="FS735"/>
      <c r="FT735"/>
      <c r="FU735"/>
      <c r="FV735"/>
      <c r="FW735"/>
      <c r="FX735"/>
      <c r="FY735"/>
      <c r="FZ735"/>
      <c r="GA735"/>
      <c r="GB735"/>
      <c r="GC735"/>
      <c r="GD735"/>
    </row>
    <row r="736" spans="1:186" x14ac:dyDescent="0.15">
      <c r="A736" s="455">
        <v>0.51600000000000001</v>
      </c>
      <c r="B736" s="455"/>
      <c r="C736"/>
      <c r="D736"/>
      <c r="E736">
        <v>1</v>
      </c>
      <c r="F736"/>
      <c r="G736"/>
      <c r="H736"/>
      <c r="I736"/>
      <c r="J736" s="558"/>
      <c r="K736"/>
      <c r="AG736"/>
      <c r="AH736"/>
      <c r="AJ736"/>
      <c r="AK736"/>
      <c r="AL736"/>
      <c r="AM736"/>
      <c r="AO736"/>
      <c r="AP736"/>
      <c r="AQ736"/>
      <c r="AR736"/>
      <c r="AS736"/>
      <c r="AT736"/>
      <c r="AU736"/>
      <c r="AV736"/>
      <c r="AW736"/>
      <c r="AX736"/>
      <c r="AY736"/>
      <c r="AZ736"/>
      <c r="BA736"/>
      <c r="BB736"/>
      <c r="BC736"/>
      <c r="BD736"/>
      <c r="BE736"/>
      <c r="BF736"/>
      <c r="BH736"/>
      <c r="BI736"/>
      <c r="BJ736"/>
      <c r="BK736"/>
      <c r="BL736"/>
      <c r="BM736"/>
      <c r="BN736"/>
      <c r="BP736"/>
      <c r="BQ736"/>
      <c r="BR736"/>
      <c r="BS736"/>
      <c r="BT736"/>
      <c r="BU736"/>
      <c r="BV736"/>
      <c r="BW736"/>
      <c r="BZ736"/>
      <c r="CA736"/>
      <c r="CB736"/>
      <c r="CC736"/>
      <c r="CD736"/>
      <c r="CF736"/>
      <c r="CG736"/>
      <c r="CH736"/>
      <c r="CI736"/>
      <c r="CJ736"/>
      <c r="CK736"/>
      <c r="CL736"/>
      <c r="CM736"/>
      <c r="CN736"/>
      <c r="CO736"/>
      <c r="CP736"/>
      <c r="CQ736"/>
      <c r="CR736"/>
      <c r="CS736"/>
      <c r="CT736"/>
      <c r="CU736"/>
      <c r="CV736"/>
      <c r="CW736"/>
      <c r="CX736"/>
      <c r="CY736"/>
      <c r="CZ736"/>
      <c r="DA736"/>
      <c r="DB736"/>
      <c r="DC736"/>
      <c r="DD736"/>
      <c r="DE736"/>
      <c r="DG736"/>
      <c r="DH736"/>
      <c r="DI736"/>
      <c r="DJ736"/>
      <c r="DK736"/>
      <c r="DL736"/>
      <c r="DM736"/>
      <c r="DN736"/>
      <c r="DO736"/>
      <c r="DP736"/>
      <c r="DQ736"/>
      <c r="DR736"/>
      <c r="DS736"/>
      <c r="DT736"/>
      <c r="DU736"/>
      <c r="DV736"/>
      <c r="DW736"/>
      <c r="DZ736"/>
      <c r="EA736"/>
      <c r="EB736"/>
      <c r="EC736"/>
      <c r="ED736"/>
      <c r="EE736"/>
      <c r="EF736"/>
      <c r="EG736"/>
      <c r="EJ736"/>
      <c r="EK736"/>
      <c r="EL736"/>
      <c r="EM736"/>
      <c r="EN736"/>
      <c r="EO736"/>
      <c r="EP736"/>
      <c r="EQ736"/>
      <c r="ER736"/>
      <c r="ES736"/>
      <c r="ET736"/>
      <c r="EU736"/>
      <c r="EV736"/>
      <c r="EW736"/>
      <c r="EX736"/>
      <c r="EY736"/>
      <c r="EZ736"/>
      <c r="FA736"/>
      <c r="FB736"/>
      <c r="FC736"/>
      <c r="FD736"/>
      <c r="FE736"/>
      <c r="FF736"/>
      <c r="FG736"/>
      <c r="FH736"/>
      <c r="FK736"/>
      <c r="FL736"/>
      <c r="FM736"/>
      <c r="FN736"/>
      <c r="FO736"/>
      <c r="FP736"/>
      <c r="FQ736"/>
      <c r="FR736"/>
      <c r="FS736"/>
      <c r="FT736"/>
      <c r="FU736"/>
      <c r="FV736"/>
      <c r="FW736"/>
      <c r="FX736"/>
      <c r="FY736"/>
      <c r="FZ736"/>
      <c r="GA736"/>
      <c r="GB736"/>
      <c r="GC736"/>
      <c r="GD736"/>
    </row>
    <row r="737" spans="1:186" x14ac:dyDescent="0.15">
      <c r="A737" s="455">
        <v>0.14099999999999999</v>
      </c>
      <c r="B737" s="455"/>
      <c r="C737">
        <v>1</v>
      </c>
      <c r="D737"/>
      <c r="E737"/>
      <c r="F737"/>
      <c r="G737"/>
      <c r="H737"/>
      <c r="I737"/>
      <c r="J737" s="558"/>
      <c r="K737"/>
      <c r="AG737"/>
      <c r="AH737"/>
      <c r="AJ737"/>
      <c r="AK737"/>
      <c r="AL737"/>
      <c r="AM737"/>
      <c r="AO737"/>
      <c r="AP737"/>
      <c r="AQ737"/>
      <c r="AR737"/>
      <c r="AS737"/>
      <c r="AT737"/>
      <c r="AU737"/>
      <c r="AV737"/>
      <c r="AW737"/>
      <c r="AX737"/>
      <c r="AY737"/>
      <c r="AZ737"/>
      <c r="BA737"/>
      <c r="BB737"/>
      <c r="BC737"/>
      <c r="BD737"/>
      <c r="BE737"/>
      <c r="BF737"/>
      <c r="BH737"/>
      <c r="BI737"/>
      <c r="BJ737"/>
      <c r="BK737"/>
      <c r="BL737"/>
      <c r="BM737"/>
      <c r="BN737"/>
      <c r="BP737"/>
      <c r="BQ737"/>
      <c r="BR737"/>
      <c r="BS737"/>
      <c r="BT737"/>
      <c r="BU737"/>
      <c r="BV737"/>
      <c r="BW737"/>
      <c r="BZ737"/>
      <c r="CA737"/>
      <c r="CB737"/>
      <c r="CC737"/>
      <c r="CD737"/>
      <c r="CF737"/>
      <c r="CG737"/>
      <c r="CH737"/>
      <c r="CI737"/>
      <c r="CJ737"/>
      <c r="CK737"/>
      <c r="CL737"/>
      <c r="CM737"/>
      <c r="CN737"/>
      <c r="CO737"/>
      <c r="CP737"/>
      <c r="CQ737"/>
      <c r="CR737"/>
      <c r="CS737"/>
      <c r="CT737"/>
      <c r="CU737"/>
      <c r="CV737"/>
      <c r="CW737"/>
      <c r="CX737"/>
      <c r="CY737"/>
      <c r="CZ737"/>
      <c r="DA737"/>
      <c r="DB737"/>
      <c r="DC737"/>
      <c r="DD737"/>
      <c r="DE737"/>
      <c r="DG737"/>
      <c r="DH737"/>
      <c r="DI737"/>
      <c r="DJ737"/>
      <c r="DK737"/>
      <c r="DL737"/>
      <c r="DM737"/>
      <c r="DN737"/>
      <c r="DO737"/>
      <c r="DP737"/>
      <c r="DQ737"/>
      <c r="DR737"/>
      <c r="DS737"/>
      <c r="DT737"/>
      <c r="DU737"/>
      <c r="DV737"/>
      <c r="DW737"/>
      <c r="DZ737"/>
      <c r="EA737"/>
      <c r="EB737"/>
      <c r="EC737"/>
      <c r="ED737"/>
      <c r="EE737"/>
      <c r="EF737"/>
      <c r="EG737"/>
      <c r="EJ737"/>
      <c r="EK737"/>
      <c r="EL737"/>
      <c r="EM737"/>
      <c r="EN737"/>
      <c r="EO737"/>
      <c r="EP737"/>
      <c r="EQ737"/>
      <c r="ER737"/>
      <c r="ES737"/>
      <c r="ET737"/>
      <c r="EU737"/>
      <c r="EV737"/>
      <c r="EW737"/>
      <c r="EX737"/>
      <c r="EY737"/>
      <c r="EZ737"/>
      <c r="FA737"/>
      <c r="FB737"/>
      <c r="FC737"/>
      <c r="FD737"/>
      <c r="FE737"/>
      <c r="FF737"/>
      <c r="FG737"/>
      <c r="FH737"/>
      <c r="FK737"/>
      <c r="FL737"/>
      <c r="FM737"/>
      <c r="FN737"/>
      <c r="FO737"/>
      <c r="FP737"/>
      <c r="FQ737"/>
      <c r="FR737"/>
      <c r="FS737"/>
      <c r="FT737"/>
      <c r="FU737"/>
      <c r="FV737"/>
      <c r="FW737"/>
      <c r="FX737"/>
      <c r="FY737"/>
      <c r="FZ737"/>
      <c r="GA737"/>
      <c r="GB737"/>
      <c r="GC737"/>
      <c r="GD737"/>
    </row>
    <row r="738" spans="1:186" x14ac:dyDescent="0.15">
      <c r="A738" s="455">
        <v>4.9729999999999999</v>
      </c>
      <c r="B738" s="455">
        <v>1</v>
      </c>
      <c r="C738"/>
      <c r="D738"/>
      <c r="E738"/>
      <c r="F738"/>
      <c r="G738"/>
      <c r="H738"/>
      <c r="I738"/>
      <c r="J738" s="558"/>
      <c r="K738"/>
      <c r="AG738"/>
      <c r="AH738"/>
      <c r="AJ738"/>
      <c r="AK738"/>
      <c r="AL738"/>
      <c r="AM738"/>
      <c r="AO738"/>
      <c r="AP738"/>
      <c r="AQ738"/>
      <c r="AR738"/>
      <c r="AS738"/>
      <c r="AT738"/>
      <c r="AU738"/>
      <c r="AV738"/>
      <c r="AW738"/>
      <c r="AX738"/>
      <c r="AY738"/>
      <c r="AZ738"/>
      <c r="BA738"/>
      <c r="BB738"/>
      <c r="BC738"/>
      <c r="BD738"/>
      <c r="BE738"/>
      <c r="BF738"/>
      <c r="BH738"/>
      <c r="BI738"/>
      <c r="BJ738"/>
      <c r="BK738"/>
      <c r="BL738"/>
      <c r="BM738"/>
      <c r="BN738"/>
      <c r="BP738"/>
      <c r="BQ738"/>
      <c r="BR738"/>
      <c r="BS738"/>
      <c r="BT738"/>
      <c r="BU738"/>
      <c r="BV738"/>
      <c r="BW738"/>
      <c r="BZ738"/>
      <c r="CA738"/>
      <c r="CB738"/>
      <c r="CC738"/>
      <c r="CD738"/>
      <c r="CF738"/>
      <c r="CG738"/>
      <c r="CH738"/>
      <c r="CI738"/>
      <c r="CJ738"/>
      <c r="CK738"/>
      <c r="CL738"/>
      <c r="CM738"/>
      <c r="CN738"/>
      <c r="CO738"/>
      <c r="CP738"/>
      <c r="CQ738"/>
      <c r="CR738"/>
      <c r="CS738"/>
      <c r="CT738"/>
      <c r="CU738"/>
      <c r="CV738"/>
      <c r="CW738"/>
      <c r="CX738"/>
      <c r="CY738"/>
      <c r="CZ738"/>
      <c r="DA738"/>
      <c r="DB738"/>
      <c r="DC738"/>
      <c r="DD738"/>
      <c r="DE738"/>
      <c r="DG738"/>
      <c r="DH738"/>
      <c r="DI738"/>
      <c r="DJ738"/>
      <c r="DK738"/>
      <c r="DL738"/>
      <c r="DM738"/>
      <c r="DN738"/>
      <c r="DO738"/>
      <c r="DP738"/>
      <c r="DQ738"/>
      <c r="DR738"/>
      <c r="DS738"/>
      <c r="DT738"/>
      <c r="DU738"/>
      <c r="DV738"/>
      <c r="DW738"/>
      <c r="DZ738"/>
      <c r="EA738"/>
      <c r="EB738"/>
      <c r="EC738"/>
      <c r="ED738"/>
      <c r="EE738"/>
      <c r="EF738"/>
      <c r="EG738"/>
      <c r="EJ738"/>
      <c r="EK738"/>
      <c r="EL738"/>
      <c r="EM738"/>
      <c r="EN738"/>
      <c r="EO738"/>
      <c r="EP738"/>
      <c r="EQ738"/>
      <c r="ER738"/>
      <c r="ES738"/>
      <c r="ET738"/>
      <c r="EU738"/>
      <c r="EV738"/>
      <c r="EW738"/>
      <c r="EX738"/>
      <c r="EY738"/>
      <c r="EZ738"/>
      <c r="FA738"/>
      <c r="FB738"/>
      <c r="FC738"/>
      <c r="FD738"/>
      <c r="FE738"/>
      <c r="FF738"/>
      <c r="FG738"/>
      <c r="FH738"/>
      <c r="FK738"/>
      <c r="FL738"/>
      <c r="FM738"/>
      <c r="FN738"/>
      <c r="FO738"/>
      <c r="FP738"/>
      <c r="FQ738"/>
      <c r="FR738"/>
      <c r="FS738"/>
      <c r="FT738"/>
      <c r="FU738"/>
      <c r="FV738"/>
      <c r="FW738"/>
      <c r="FX738"/>
      <c r="FY738"/>
      <c r="FZ738"/>
      <c r="GA738"/>
      <c r="GB738"/>
      <c r="GC738"/>
      <c r="GD738"/>
    </row>
    <row r="739" spans="1:186" x14ac:dyDescent="0.15">
      <c r="A739" s="455">
        <v>0</v>
      </c>
      <c r="B739" s="455"/>
      <c r="C739">
        <v>1</v>
      </c>
      <c r="D739"/>
      <c r="E739"/>
      <c r="F739"/>
      <c r="G739"/>
      <c r="H739"/>
      <c r="I739"/>
      <c r="J739" s="558"/>
      <c r="K739"/>
      <c r="AG739"/>
      <c r="AH739"/>
      <c r="AJ739"/>
      <c r="AK739"/>
      <c r="AL739"/>
      <c r="AM739"/>
      <c r="AO739"/>
      <c r="AP739"/>
      <c r="AQ739"/>
      <c r="AR739"/>
      <c r="AS739"/>
      <c r="AT739"/>
      <c r="AU739"/>
      <c r="AV739"/>
      <c r="AW739"/>
      <c r="AX739"/>
      <c r="AY739"/>
      <c r="AZ739"/>
      <c r="BA739"/>
      <c r="BB739"/>
      <c r="BC739"/>
      <c r="BD739"/>
      <c r="BE739"/>
      <c r="BF739"/>
      <c r="BH739"/>
      <c r="BI739"/>
      <c r="BJ739"/>
      <c r="BK739"/>
      <c r="BL739"/>
      <c r="BM739"/>
      <c r="BN739"/>
      <c r="BP739"/>
      <c r="BQ739"/>
      <c r="BR739"/>
      <c r="BS739"/>
      <c r="BT739"/>
      <c r="BU739"/>
      <c r="BV739"/>
      <c r="BW739"/>
      <c r="BZ739"/>
      <c r="CA739"/>
      <c r="CB739"/>
      <c r="CC739"/>
      <c r="CD739"/>
      <c r="CF739"/>
      <c r="CG739"/>
      <c r="CH739"/>
      <c r="CI739"/>
      <c r="CJ739"/>
      <c r="CK739"/>
      <c r="CL739"/>
      <c r="CM739"/>
      <c r="CN739"/>
      <c r="CO739"/>
      <c r="CP739"/>
      <c r="CQ739"/>
      <c r="CR739"/>
      <c r="CS739"/>
      <c r="CT739"/>
      <c r="CU739"/>
      <c r="CV739"/>
      <c r="CW739"/>
      <c r="CX739"/>
      <c r="CY739"/>
      <c r="CZ739"/>
      <c r="DA739"/>
      <c r="DB739"/>
      <c r="DC739"/>
      <c r="DD739"/>
      <c r="DE739"/>
      <c r="DG739"/>
      <c r="DH739"/>
      <c r="DI739"/>
      <c r="DJ739"/>
      <c r="DK739"/>
      <c r="DL739"/>
      <c r="DM739"/>
      <c r="DN739"/>
      <c r="DO739"/>
      <c r="DP739"/>
      <c r="DQ739"/>
      <c r="DR739"/>
      <c r="DS739"/>
      <c r="DT739"/>
      <c r="DU739"/>
      <c r="DV739"/>
      <c r="DW739"/>
      <c r="DZ739"/>
      <c r="EA739"/>
      <c r="EB739"/>
      <c r="EC739"/>
      <c r="ED739"/>
      <c r="EE739"/>
      <c r="EF739"/>
      <c r="EG739"/>
      <c r="EJ739"/>
      <c r="EK739"/>
      <c r="EL739"/>
      <c r="EM739"/>
      <c r="EN739"/>
      <c r="EO739"/>
      <c r="EP739"/>
      <c r="EQ739"/>
      <c r="ER739"/>
      <c r="ES739"/>
      <c r="ET739"/>
      <c r="EU739"/>
      <c r="EV739"/>
      <c r="EW739"/>
      <c r="EX739"/>
      <c r="EY739"/>
      <c r="EZ739"/>
      <c r="FA739"/>
      <c r="FB739"/>
      <c r="FC739"/>
      <c r="FD739"/>
      <c r="FE739"/>
      <c r="FF739"/>
      <c r="FG739"/>
      <c r="FH739"/>
      <c r="FK739"/>
      <c r="FL739"/>
      <c r="FM739"/>
      <c r="FN739"/>
      <c r="FO739"/>
      <c r="FP739"/>
      <c r="FQ739"/>
      <c r="FR739"/>
      <c r="FS739"/>
      <c r="FT739"/>
      <c r="FU739"/>
      <c r="FV739"/>
      <c r="FW739"/>
      <c r="FX739"/>
      <c r="FY739"/>
      <c r="FZ739"/>
      <c r="GA739"/>
      <c r="GB739"/>
      <c r="GC739"/>
      <c r="GD739"/>
    </row>
    <row r="740" spans="1:186" x14ac:dyDescent="0.15">
      <c r="A740" s="455">
        <v>4.0270000000000001</v>
      </c>
      <c r="B740" s="455"/>
      <c r="C740"/>
      <c r="D740">
        <v>1</v>
      </c>
      <c r="E740"/>
      <c r="F740"/>
      <c r="G740"/>
      <c r="H740"/>
      <c r="I740"/>
      <c r="J740" s="558"/>
      <c r="K740"/>
      <c r="AG740"/>
      <c r="AH740"/>
      <c r="AJ740"/>
      <c r="AK740"/>
      <c r="AL740"/>
      <c r="AM740"/>
      <c r="AO740"/>
      <c r="AP740"/>
      <c r="AQ740"/>
      <c r="AR740"/>
      <c r="AS740"/>
      <c r="AT740"/>
      <c r="AU740"/>
      <c r="AV740"/>
      <c r="AW740"/>
      <c r="AX740"/>
      <c r="AY740"/>
      <c r="AZ740"/>
      <c r="BA740"/>
      <c r="BB740"/>
      <c r="BC740"/>
      <c r="BD740"/>
      <c r="BE740"/>
      <c r="BF740"/>
      <c r="BH740"/>
      <c r="BI740"/>
      <c r="BJ740"/>
      <c r="BK740"/>
      <c r="BL740"/>
      <c r="BM740"/>
      <c r="BN740"/>
      <c r="BP740"/>
      <c r="BQ740"/>
      <c r="BR740"/>
      <c r="BS740"/>
      <c r="BT740"/>
      <c r="BU740"/>
      <c r="BV740"/>
      <c r="BW740"/>
      <c r="BZ740"/>
      <c r="CA740"/>
      <c r="CB740"/>
      <c r="CC740"/>
      <c r="CD740"/>
      <c r="CF740"/>
      <c r="CG740"/>
      <c r="CH740"/>
      <c r="CI740"/>
      <c r="CJ740"/>
      <c r="CK740"/>
      <c r="CL740"/>
      <c r="CM740"/>
      <c r="CN740"/>
      <c r="CO740"/>
      <c r="CP740"/>
      <c r="CQ740"/>
      <c r="CR740"/>
      <c r="CS740"/>
      <c r="CT740"/>
      <c r="CU740"/>
      <c r="CV740"/>
      <c r="CW740"/>
      <c r="CX740"/>
      <c r="CY740"/>
      <c r="CZ740"/>
      <c r="DA740"/>
      <c r="DB740"/>
      <c r="DC740"/>
      <c r="DD740"/>
      <c r="DE740"/>
      <c r="DG740"/>
      <c r="DH740"/>
      <c r="DI740"/>
      <c r="DJ740"/>
      <c r="DK740"/>
      <c r="DL740"/>
      <c r="DM740"/>
      <c r="DN740"/>
      <c r="DO740"/>
      <c r="DP740"/>
      <c r="DQ740"/>
      <c r="DR740"/>
      <c r="DS740"/>
      <c r="DT740"/>
      <c r="DU740"/>
      <c r="DV740"/>
      <c r="DW740"/>
      <c r="DZ740"/>
      <c r="EA740"/>
      <c r="EB740"/>
      <c r="EC740"/>
      <c r="ED740"/>
      <c r="EE740"/>
      <c r="EF740"/>
      <c r="EG740"/>
      <c r="EJ740"/>
      <c r="EK740"/>
      <c r="EL740"/>
      <c r="EM740"/>
      <c r="EN740"/>
      <c r="EO740"/>
      <c r="EP740"/>
      <c r="EQ740"/>
      <c r="ER740"/>
      <c r="ES740"/>
      <c r="ET740"/>
      <c r="EU740"/>
      <c r="EV740"/>
      <c r="EW740"/>
      <c r="EX740"/>
      <c r="EY740"/>
      <c r="EZ740"/>
      <c r="FA740"/>
      <c r="FB740"/>
      <c r="FC740"/>
      <c r="FD740"/>
      <c r="FE740"/>
      <c r="FF740"/>
      <c r="FG740"/>
      <c r="FH740"/>
      <c r="FK740"/>
      <c r="FL740"/>
      <c r="FM740"/>
      <c r="FN740"/>
      <c r="FO740"/>
      <c r="FP740"/>
      <c r="FQ740"/>
      <c r="FR740"/>
      <c r="FS740"/>
      <c r="FT740"/>
      <c r="FU740"/>
      <c r="FV740"/>
      <c r="FW740"/>
      <c r="FX740"/>
      <c r="FY740"/>
      <c r="FZ740"/>
      <c r="GA740"/>
      <c r="GB740"/>
      <c r="GC740"/>
      <c r="GD740"/>
    </row>
    <row r="741" spans="1:186" x14ac:dyDescent="0.15">
      <c r="A741" s="455">
        <v>0.316</v>
      </c>
      <c r="B741" s="455"/>
      <c r="C741"/>
      <c r="D741"/>
      <c r="E741"/>
      <c r="F741"/>
      <c r="G741"/>
      <c r="H741">
        <v>1</v>
      </c>
      <c r="I741"/>
      <c r="J741" s="558"/>
      <c r="K741"/>
      <c r="AG741"/>
      <c r="AH741"/>
      <c r="AJ741"/>
      <c r="AK741"/>
      <c r="AL741"/>
      <c r="AM741"/>
      <c r="AO741"/>
      <c r="AP741"/>
      <c r="AQ741"/>
      <c r="AR741"/>
      <c r="AS741"/>
      <c r="AT741"/>
      <c r="AU741"/>
      <c r="AV741"/>
      <c r="AW741"/>
      <c r="AX741"/>
      <c r="AY741"/>
      <c r="AZ741"/>
      <c r="BA741"/>
      <c r="BB741"/>
      <c r="BC741"/>
      <c r="BD741"/>
      <c r="BE741"/>
      <c r="BF741"/>
      <c r="BH741"/>
      <c r="BI741"/>
      <c r="BJ741"/>
      <c r="BK741"/>
      <c r="BL741"/>
      <c r="BM741"/>
      <c r="BN741"/>
      <c r="BP741"/>
      <c r="BQ741"/>
      <c r="BR741"/>
      <c r="BS741"/>
      <c r="BT741"/>
      <c r="BU741"/>
      <c r="BV741"/>
      <c r="BW741"/>
      <c r="BZ741"/>
      <c r="CA741"/>
      <c r="CB741"/>
      <c r="CC741"/>
      <c r="CD741"/>
      <c r="CF741"/>
      <c r="CG741"/>
      <c r="CH741"/>
      <c r="CI741"/>
      <c r="CJ741"/>
      <c r="CK741"/>
      <c r="CL741"/>
      <c r="CM741"/>
      <c r="CN741"/>
      <c r="CO741"/>
      <c r="CP741"/>
      <c r="CQ741"/>
      <c r="CR741"/>
      <c r="CS741"/>
      <c r="CT741"/>
      <c r="CU741"/>
      <c r="CV741"/>
      <c r="CW741"/>
      <c r="CX741"/>
      <c r="CY741"/>
      <c r="CZ741"/>
      <c r="DA741"/>
      <c r="DB741"/>
      <c r="DC741"/>
      <c r="DD741"/>
      <c r="DE741"/>
      <c r="DG741"/>
      <c r="DH741"/>
      <c r="DI741"/>
      <c r="DJ741"/>
      <c r="DK741"/>
      <c r="DL741"/>
      <c r="DM741"/>
      <c r="DN741"/>
      <c r="DO741"/>
      <c r="DP741"/>
      <c r="DQ741"/>
      <c r="DR741"/>
      <c r="DS741"/>
      <c r="DT741"/>
      <c r="DU741"/>
      <c r="DV741"/>
      <c r="DW741"/>
      <c r="DZ741"/>
      <c r="EA741"/>
      <c r="EB741"/>
      <c r="EC741"/>
      <c r="ED741"/>
      <c r="EE741"/>
      <c r="EF741"/>
      <c r="EG741"/>
      <c r="EJ741"/>
      <c r="EK741"/>
      <c r="EL741"/>
      <c r="EM741"/>
      <c r="EN741"/>
      <c r="EO741"/>
      <c r="EP741"/>
      <c r="EQ741"/>
      <c r="ER741"/>
      <c r="ES741"/>
      <c r="ET741"/>
      <c r="EU741"/>
      <c r="EV741"/>
      <c r="EW741"/>
      <c r="EX741"/>
      <c r="EY741"/>
      <c r="EZ741"/>
      <c r="FA741"/>
      <c r="FB741"/>
      <c r="FC741"/>
      <c r="FD741"/>
      <c r="FE741"/>
      <c r="FF741"/>
      <c r="FG741"/>
      <c r="FH741"/>
      <c r="FK741"/>
      <c r="FL741"/>
      <c r="FM741"/>
      <c r="FN741"/>
      <c r="FO741"/>
      <c r="FP741"/>
      <c r="FQ741"/>
      <c r="FR741"/>
      <c r="FS741"/>
      <c r="FT741"/>
      <c r="FU741"/>
      <c r="FV741"/>
      <c r="FW741"/>
      <c r="FX741"/>
      <c r="FY741"/>
      <c r="FZ741"/>
      <c r="GA741"/>
      <c r="GB741"/>
      <c r="GC741"/>
      <c r="GD741"/>
    </row>
    <row r="742" spans="1:186" x14ac:dyDescent="0.15">
      <c r="A742" s="455">
        <v>11.082000000000001</v>
      </c>
      <c r="B742" s="455"/>
      <c r="C742"/>
      <c r="D742"/>
      <c r="E742">
        <v>1</v>
      </c>
      <c r="F742"/>
      <c r="G742"/>
      <c r="H742"/>
      <c r="I742"/>
      <c r="J742" s="558"/>
      <c r="K742"/>
      <c r="AG742"/>
      <c r="AH742"/>
      <c r="AJ742"/>
      <c r="AK742"/>
      <c r="AL742"/>
      <c r="AM742"/>
      <c r="AO742"/>
      <c r="AP742"/>
      <c r="AQ742"/>
      <c r="AR742"/>
      <c r="AS742"/>
      <c r="AT742"/>
      <c r="AU742"/>
      <c r="AV742"/>
      <c r="AW742"/>
      <c r="AX742"/>
      <c r="AY742"/>
      <c r="AZ742"/>
      <c r="BA742"/>
      <c r="BB742"/>
      <c r="BC742"/>
      <c r="BD742"/>
      <c r="BE742"/>
      <c r="BF742"/>
      <c r="BH742"/>
      <c r="BI742"/>
      <c r="BJ742"/>
      <c r="BK742"/>
      <c r="BL742"/>
      <c r="BM742"/>
      <c r="BN742"/>
      <c r="BP742"/>
      <c r="BQ742"/>
      <c r="BR742"/>
      <c r="BS742"/>
      <c r="BT742"/>
      <c r="BU742"/>
      <c r="BV742"/>
      <c r="BW742"/>
      <c r="BZ742"/>
      <c r="CA742"/>
      <c r="CB742"/>
      <c r="CC742"/>
      <c r="CD742"/>
      <c r="CF742"/>
      <c r="CG742"/>
      <c r="CH742"/>
      <c r="CI742"/>
      <c r="CJ742"/>
      <c r="CK742"/>
      <c r="CL742"/>
      <c r="CM742"/>
      <c r="CN742"/>
      <c r="CO742"/>
      <c r="CP742"/>
      <c r="CQ742"/>
      <c r="CR742"/>
      <c r="CS742"/>
      <c r="CT742"/>
      <c r="CU742"/>
      <c r="CV742"/>
      <c r="CW742"/>
      <c r="CX742"/>
      <c r="CY742"/>
      <c r="CZ742"/>
      <c r="DA742"/>
      <c r="DB742"/>
      <c r="DC742"/>
      <c r="DD742"/>
      <c r="DE742"/>
      <c r="DG742"/>
      <c r="DH742"/>
      <c r="DI742"/>
      <c r="DJ742"/>
      <c r="DK742"/>
      <c r="DL742"/>
      <c r="DM742"/>
      <c r="DN742"/>
      <c r="DO742"/>
      <c r="DP742"/>
      <c r="DQ742"/>
      <c r="DR742"/>
      <c r="DS742"/>
      <c r="DT742"/>
      <c r="DU742"/>
      <c r="DV742"/>
      <c r="DW742"/>
      <c r="DZ742"/>
      <c r="EA742"/>
      <c r="EB742"/>
      <c r="EC742"/>
      <c r="ED742"/>
      <c r="EE742"/>
      <c r="EF742"/>
      <c r="EG742"/>
      <c r="EJ742"/>
      <c r="EK742"/>
      <c r="EL742"/>
      <c r="EM742"/>
      <c r="EN742"/>
      <c r="EO742"/>
      <c r="EP742"/>
      <c r="EQ742"/>
      <c r="ER742"/>
      <c r="ES742"/>
      <c r="ET742"/>
      <c r="EU742"/>
      <c r="EV742"/>
      <c r="EW742"/>
      <c r="EX742"/>
      <c r="EY742"/>
      <c r="EZ742"/>
      <c r="FA742"/>
      <c r="FB742"/>
      <c r="FC742"/>
      <c r="FD742"/>
      <c r="FE742"/>
      <c r="FF742"/>
      <c r="FG742"/>
      <c r="FH742"/>
      <c r="FK742"/>
      <c r="FL742"/>
      <c r="FM742"/>
      <c r="FN742"/>
      <c r="FO742"/>
      <c r="FP742"/>
      <c r="FQ742"/>
      <c r="FR742"/>
      <c r="FS742"/>
      <c r="FT742"/>
      <c r="FU742"/>
      <c r="FV742"/>
      <c r="FW742"/>
      <c r="FX742"/>
      <c r="FY742"/>
      <c r="FZ742"/>
      <c r="GA742"/>
      <c r="GB742"/>
      <c r="GC742"/>
      <c r="GD742"/>
    </row>
    <row r="743" spans="1:186" x14ac:dyDescent="0.15">
      <c r="A743" s="455">
        <v>5.4429999999999996</v>
      </c>
      <c r="B743" s="455">
        <v>1</v>
      </c>
      <c r="C743"/>
      <c r="D743"/>
      <c r="E743"/>
      <c r="F743"/>
      <c r="G743"/>
      <c r="H743"/>
      <c r="I743"/>
      <c r="J743" s="558"/>
      <c r="K743"/>
      <c r="AG743"/>
      <c r="AH743"/>
      <c r="AJ743"/>
      <c r="AK743"/>
      <c r="AL743"/>
      <c r="AM743"/>
      <c r="AO743"/>
      <c r="AP743"/>
      <c r="AQ743"/>
      <c r="AR743"/>
      <c r="AS743"/>
      <c r="AT743"/>
      <c r="AU743"/>
      <c r="AV743"/>
      <c r="AW743"/>
      <c r="AX743"/>
      <c r="AY743"/>
      <c r="AZ743"/>
      <c r="BA743"/>
      <c r="BB743"/>
      <c r="BC743"/>
      <c r="BD743"/>
      <c r="BE743"/>
      <c r="BF743"/>
      <c r="BH743"/>
      <c r="BI743"/>
      <c r="BJ743"/>
      <c r="BK743"/>
      <c r="BL743"/>
      <c r="BM743"/>
      <c r="BN743"/>
      <c r="BP743"/>
      <c r="BQ743"/>
      <c r="BR743"/>
      <c r="BS743"/>
      <c r="BT743"/>
      <c r="BU743"/>
      <c r="BV743"/>
      <c r="BW743"/>
      <c r="BZ743"/>
      <c r="CA743"/>
      <c r="CB743"/>
      <c r="CC743"/>
      <c r="CD743"/>
      <c r="CF743"/>
      <c r="CG743"/>
      <c r="CH743"/>
      <c r="CI743"/>
      <c r="CJ743"/>
      <c r="CK743"/>
      <c r="CL743"/>
      <c r="CM743"/>
      <c r="CN743"/>
      <c r="CO743"/>
      <c r="CP743"/>
      <c r="CQ743"/>
      <c r="CR743"/>
      <c r="CS743"/>
      <c r="CT743"/>
      <c r="CU743"/>
      <c r="CV743"/>
      <c r="CW743"/>
      <c r="CX743"/>
      <c r="CY743"/>
      <c r="CZ743"/>
      <c r="DA743"/>
      <c r="DB743"/>
      <c r="DC743"/>
      <c r="DD743"/>
      <c r="DE743"/>
      <c r="DG743"/>
      <c r="DH743"/>
      <c r="DI743"/>
      <c r="DJ743"/>
      <c r="DK743"/>
      <c r="DL743"/>
      <c r="DM743"/>
      <c r="DN743"/>
      <c r="DO743"/>
      <c r="DP743"/>
      <c r="DQ743"/>
      <c r="DR743"/>
      <c r="DS743"/>
      <c r="DT743"/>
      <c r="DU743"/>
      <c r="DV743"/>
      <c r="DW743"/>
      <c r="DZ743"/>
      <c r="EA743"/>
      <c r="EB743"/>
      <c r="EC743"/>
      <c r="ED743"/>
      <c r="EE743"/>
      <c r="EF743"/>
      <c r="EG743"/>
      <c r="EJ743"/>
      <c r="EK743"/>
      <c r="EL743"/>
      <c r="EM743"/>
      <c r="EN743"/>
      <c r="EO743"/>
      <c r="EP743"/>
      <c r="EQ743"/>
      <c r="ER743"/>
      <c r="ES743"/>
      <c r="ET743"/>
      <c r="EU743"/>
      <c r="EV743"/>
      <c r="EW743"/>
      <c r="EX743"/>
      <c r="EY743"/>
      <c r="EZ743"/>
      <c r="FA743"/>
      <c r="FB743"/>
      <c r="FC743"/>
      <c r="FD743"/>
      <c r="FE743"/>
      <c r="FF743"/>
      <c r="FG743"/>
      <c r="FH743"/>
      <c r="FK743"/>
      <c r="FL743"/>
      <c r="FM743"/>
      <c r="FN743"/>
      <c r="FO743"/>
      <c r="FP743"/>
      <c r="FQ743"/>
      <c r="FR743"/>
      <c r="FS743"/>
      <c r="FT743"/>
      <c r="FU743"/>
      <c r="FV743"/>
      <c r="FW743"/>
      <c r="FX743"/>
      <c r="FY743"/>
      <c r="FZ743"/>
      <c r="GA743"/>
      <c r="GB743"/>
      <c r="GC743"/>
      <c r="GD743"/>
    </row>
    <row r="744" spans="1:186" x14ac:dyDescent="0.15">
      <c r="A744" s="455">
        <v>7.5869999999999997</v>
      </c>
      <c r="B744" s="455"/>
      <c r="C744">
        <v>1</v>
      </c>
      <c r="D744"/>
      <c r="E744"/>
      <c r="F744"/>
      <c r="G744"/>
      <c r="H744"/>
      <c r="I744"/>
      <c r="J744" s="558"/>
      <c r="K744"/>
      <c r="AG744"/>
      <c r="AH744"/>
      <c r="AJ744"/>
      <c r="AK744"/>
      <c r="AL744"/>
      <c r="AM744"/>
      <c r="AO744"/>
      <c r="AP744"/>
      <c r="AQ744"/>
      <c r="AR744"/>
      <c r="AS744"/>
      <c r="AT744"/>
      <c r="AU744"/>
      <c r="AV744"/>
      <c r="AW744"/>
      <c r="AX744"/>
      <c r="AY744"/>
      <c r="AZ744"/>
      <c r="BA744"/>
      <c r="BB744"/>
      <c r="BC744"/>
      <c r="BD744"/>
      <c r="BE744"/>
      <c r="BF744"/>
      <c r="BH744"/>
      <c r="BI744"/>
      <c r="BJ744"/>
      <c r="BK744"/>
      <c r="BL744"/>
      <c r="BM744"/>
      <c r="BN744"/>
      <c r="BP744"/>
      <c r="BQ744"/>
      <c r="BR744"/>
      <c r="BS744"/>
      <c r="BT744"/>
      <c r="BU744"/>
      <c r="BV744"/>
      <c r="BW744"/>
      <c r="BZ744"/>
      <c r="CA744"/>
      <c r="CB744"/>
      <c r="CC744"/>
      <c r="CD744"/>
      <c r="CF744"/>
      <c r="CG744"/>
      <c r="CH744"/>
      <c r="CI744"/>
      <c r="CJ744"/>
      <c r="CK744"/>
      <c r="CL744"/>
      <c r="CM744"/>
      <c r="CN744"/>
      <c r="CO744"/>
      <c r="CP744"/>
      <c r="CQ744"/>
      <c r="CR744"/>
      <c r="CS744"/>
      <c r="CT744"/>
      <c r="CU744"/>
      <c r="CV744"/>
      <c r="CW744"/>
      <c r="CX744"/>
      <c r="CY744"/>
      <c r="CZ744"/>
      <c r="DA744"/>
      <c r="DB744"/>
      <c r="DC744"/>
      <c r="DD744"/>
      <c r="DE744"/>
      <c r="DG744"/>
      <c r="DH744"/>
      <c r="DI744"/>
      <c r="DJ744"/>
      <c r="DK744"/>
      <c r="DL744"/>
      <c r="DM744"/>
      <c r="DN744"/>
      <c r="DO744"/>
      <c r="DP744"/>
      <c r="DQ744"/>
      <c r="DR744"/>
      <c r="DS744"/>
      <c r="DT744"/>
      <c r="DU744"/>
      <c r="DV744"/>
      <c r="DW744"/>
      <c r="DZ744"/>
      <c r="EA744"/>
      <c r="EB744"/>
      <c r="EC744"/>
      <c r="ED744"/>
      <c r="EE744"/>
      <c r="EF744"/>
      <c r="EG744"/>
      <c r="EJ744"/>
      <c r="EK744"/>
      <c r="EL744"/>
      <c r="EM744"/>
      <c r="EN744"/>
      <c r="EO744"/>
      <c r="EP744"/>
      <c r="EQ744"/>
      <c r="ER744"/>
      <c r="ES744"/>
      <c r="ET744"/>
      <c r="EU744"/>
      <c r="EV744"/>
      <c r="EW744"/>
      <c r="EX744"/>
      <c r="EY744"/>
      <c r="EZ744"/>
      <c r="FA744"/>
      <c r="FB744"/>
      <c r="FC744"/>
      <c r="FD744"/>
      <c r="FE744"/>
      <c r="FF744"/>
      <c r="FG744"/>
      <c r="FH744"/>
      <c r="FK744"/>
      <c r="FL744"/>
      <c r="FM744"/>
      <c r="FN744"/>
      <c r="FO744"/>
      <c r="FP744"/>
      <c r="FQ744"/>
      <c r="FR744"/>
      <c r="FS744"/>
      <c r="FT744"/>
      <c r="FU744"/>
      <c r="FV744"/>
      <c r="FW744"/>
      <c r="FX744"/>
      <c r="FY744"/>
      <c r="FZ744"/>
      <c r="GA744"/>
      <c r="GB744"/>
      <c r="GC744"/>
      <c r="GD744"/>
    </row>
    <row r="745" spans="1:186" x14ac:dyDescent="0.15">
      <c r="A745" s="455">
        <v>2.282</v>
      </c>
      <c r="B745" s="455"/>
      <c r="C745"/>
      <c r="D745"/>
      <c r="E745">
        <v>1</v>
      </c>
      <c r="F745"/>
      <c r="G745"/>
      <c r="H745"/>
      <c r="I745"/>
      <c r="J745" s="558"/>
      <c r="K745"/>
      <c r="AG745"/>
      <c r="AH745"/>
      <c r="AJ745"/>
      <c r="AK745"/>
      <c r="AL745"/>
      <c r="AM745"/>
      <c r="AO745"/>
      <c r="AP745"/>
      <c r="AQ745"/>
      <c r="AR745"/>
      <c r="AS745"/>
      <c r="AT745"/>
      <c r="AU745"/>
      <c r="AV745"/>
      <c r="AW745"/>
      <c r="AX745"/>
      <c r="AY745"/>
      <c r="AZ745"/>
      <c r="BA745"/>
      <c r="BB745"/>
      <c r="BC745"/>
      <c r="BD745"/>
      <c r="BE745"/>
      <c r="BF745"/>
      <c r="BH745"/>
      <c r="BI745"/>
      <c r="BJ745"/>
      <c r="BK745"/>
      <c r="BL745"/>
      <c r="BM745"/>
      <c r="BN745"/>
      <c r="BP745"/>
      <c r="BQ745"/>
      <c r="BR745"/>
      <c r="BS745"/>
      <c r="BT745"/>
      <c r="BU745"/>
      <c r="BV745"/>
      <c r="BW745"/>
      <c r="BZ745"/>
      <c r="CA745"/>
      <c r="CB745"/>
      <c r="CC745"/>
      <c r="CD745"/>
      <c r="CF745"/>
      <c r="CG745"/>
      <c r="CH745"/>
      <c r="CI745"/>
      <c r="CJ745"/>
      <c r="CK745"/>
      <c r="CL745"/>
      <c r="CM745"/>
      <c r="CN745"/>
      <c r="CO745"/>
      <c r="CP745"/>
      <c r="CQ745"/>
      <c r="CR745"/>
      <c r="CS745"/>
      <c r="CT745"/>
      <c r="CU745"/>
      <c r="CV745"/>
      <c r="CW745"/>
      <c r="CX745"/>
      <c r="CY745"/>
      <c r="CZ745"/>
      <c r="DA745"/>
      <c r="DB745"/>
      <c r="DC745"/>
      <c r="DD745"/>
      <c r="DE745"/>
      <c r="DG745"/>
      <c r="DH745"/>
      <c r="DI745"/>
      <c r="DJ745"/>
      <c r="DK745"/>
      <c r="DL745"/>
      <c r="DM745"/>
      <c r="DN745"/>
      <c r="DO745"/>
      <c r="DP745"/>
      <c r="DQ745"/>
      <c r="DR745"/>
      <c r="DS745"/>
      <c r="DT745"/>
      <c r="DU745"/>
      <c r="DV745"/>
      <c r="DW745"/>
      <c r="DZ745"/>
      <c r="EA745"/>
      <c r="EB745"/>
      <c r="EC745"/>
      <c r="ED745"/>
      <c r="EE745"/>
      <c r="EF745"/>
      <c r="EG745"/>
      <c r="EJ745"/>
      <c r="EK745"/>
      <c r="EL745"/>
      <c r="EM745"/>
      <c r="EN745"/>
      <c r="EO745"/>
      <c r="EP745"/>
      <c r="EQ745"/>
      <c r="ER745"/>
      <c r="ES745"/>
      <c r="ET745"/>
      <c r="EU745"/>
      <c r="EV745"/>
      <c r="EW745"/>
      <c r="EX745"/>
      <c r="EY745"/>
      <c r="EZ745"/>
      <c r="FA745"/>
      <c r="FB745"/>
      <c r="FC745"/>
      <c r="FD745"/>
      <c r="FE745"/>
      <c r="FF745"/>
      <c r="FG745"/>
      <c r="FH745"/>
      <c r="FK745"/>
      <c r="FL745"/>
      <c r="FM745"/>
      <c r="FN745"/>
      <c r="FO745"/>
      <c r="FP745"/>
      <c r="FQ745"/>
      <c r="FR745"/>
      <c r="FS745"/>
      <c r="FT745"/>
      <c r="FU745"/>
      <c r="FV745"/>
      <c r="FW745"/>
      <c r="FX745"/>
      <c r="FY745"/>
      <c r="FZ745"/>
      <c r="GA745"/>
      <c r="GB745"/>
      <c r="GC745"/>
      <c r="GD745"/>
    </row>
    <row r="746" spans="1:186" x14ac:dyDescent="0.15">
      <c r="A746" s="455">
        <v>3.7250000000000001</v>
      </c>
      <c r="B746" s="455"/>
      <c r="C746"/>
      <c r="D746">
        <v>1</v>
      </c>
      <c r="E746"/>
      <c r="F746"/>
      <c r="G746"/>
      <c r="H746"/>
      <c r="I746"/>
      <c r="J746" s="558"/>
      <c r="K746"/>
      <c r="AG746"/>
      <c r="AH746"/>
      <c r="AJ746"/>
      <c r="AK746"/>
      <c r="AL746"/>
      <c r="AM746"/>
      <c r="AO746"/>
      <c r="AP746"/>
      <c r="AQ746"/>
      <c r="AR746"/>
      <c r="AS746"/>
      <c r="AT746"/>
      <c r="AU746"/>
      <c r="AV746"/>
      <c r="AW746"/>
      <c r="AX746"/>
      <c r="AY746"/>
      <c r="AZ746"/>
      <c r="BA746"/>
      <c r="BB746"/>
      <c r="BC746"/>
      <c r="BD746"/>
      <c r="BE746"/>
      <c r="BF746"/>
      <c r="BH746"/>
      <c r="BI746"/>
      <c r="BJ746"/>
      <c r="BK746"/>
      <c r="BL746"/>
      <c r="BM746"/>
      <c r="BN746"/>
      <c r="BP746"/>
      <c r="BQ746"/>
      <c r="BR746"/>
      <c r="BS746"/>
      <c r="BT746"/>
      <c r="BU746"/>
      <c r="BV746"/>
      <c r="BW746"/>
      <c r="BZ746"/>
      <c r="CA746"/>
      <c r="CB746"/>
      <c r="CC746"/>
      <c r="CD746"/>
      <c r="CF746"/>
      <c r="CG746"/>
      <c r="CH746"/>
      <c r="CI746"/>
      <c r="CJ746"/>
      <c r="CK746"/>
      <c r="CL746"/>
      <c r="CM746"/>
      <c r="CN746"/>
      <c r="CO746"/>
      <c r="CP746"/>
      <c r="CQ746"/>
      <c r="CR746"/>
      <c r="CS746"/>
      <c r="CT746"/>
      <c r="CU746"/>
      <c r="CV746"/>
      <c r="CW746"/>
      <c r="CX746"/>
      <c r="CY746"/>
      <c r="CZ746"/>
      <c r="DA746"/>
      <c r="DB746"/>
      <c r="DC746"/>
      <c r="DD746"/>
      <c r="DE746"/>
      <c r="DG746"/>
      <c r="DH746"/>
      <c r="DI746"/>
      <c r="DJ746"/>
      <c r="DK746"/>
      <c r="DL746"/>
      <c r="DM746"/>
      <c r="DN746"/>
      <c r="DO746"/>
      <c r="DP746"/>
      <c r="DQ746"/>
      <c r="DR746"/>
      <c r="DS746"/>
      <c r="DT746"/>
      <c r="DU746"/>
      <c r="DV746"/>
      <c r="DW746"/>
      <c r="DZ746"/>
      <c r="EA746"/>
      <c r="EB746"/>
      <c r="EC746"/>
      <c r="ED746"/>
      <c r="EE746"/>
      <c r="EF746"/>
      <c r="EG746"/>
      <c r="EJ746"/>
      <c r="EK746"/>
      <c r="EL746"/>
      <c r="EM746"/>
      <c r="EN746"/>
      <c r="EO746"/>
      <c r="EP746"/>
      <c r="EQ746"/>
      <c r="ER746"/>
      <c r="ES746"/>
      <c r="ET746"/>
      <c r="EU746"/>
      <c r="EV746"/>
      <c r="EW746"/>
      <c r="EX746"/>
      <c r="EY746"/>
      <c r="EZ746"/>
      <c r="FA746"/>
      <c r="FB746"/>
      <c r="FC746"/>
      <c r="FD746"/>
      <c r="FE746"/>
      <c r="FF746"/>
      <c r="FG746"/>
      <c r="FH746"/>
      <c r="FK746"/>
      <c r="FL746"/>
      <c r="FM746"/>
      <c r="FN746"/>
      <c r="FO746"/>
      <c r="FP746"/>
      <c r="FQ746"/>
      <c r="FR746"/>
      <c r="FS746"/>
      <c r="FT746"/>
      <c r="FU746"/>
      <c r="FV746"/>
      <c r="FW746"/>
      <c r="FX746"/>
      <c r="FY746"/>
      <c r="FZ746"/>
      <c r="GA746"/>
      <c r="GB746"/>
      <c r="GC746"/>
      <c r="GD746"/>
    </row>
    <row r="747" spans="1:186" x14ac:dyDescent="0.15">
      <c r="A747" s="455">
        <v>4.2439999999999998</v>
      </c>
      <c r="B747" s="455">
        <v>1</v>
      </c>
      <c r="C747"/>
      <c r="D747"/>
      <c r="E747"/>
      <c r="F747"/>
      <c r="G747"/>
      <c r="H747"/>
      <c r="I747"/>
      <c r="J747" s="558"/>
      <c r="K747"/>
      <c r="AG747"/>
      <c r="AH747"/>
      <c r="AJ747"/>
      <c r="AK747"/>
      <c r="AL747"/>
      <c r="AM747"/>
      <c r="AO747"/>
      <c r="AP747"/>
      <c r="AQ747"/>
      <c r="AR747"/>
      <c r="AS747"/>
      <c r="AT747"/>
      <c r="AU747"/>
      <c r="AV747"/>
      <c r="AW747"/>
      <c r="AX747"/>
      <c r="AY747"/>
      <c r="AZ747"/>
      <c r="BA747"/>
      <c r="BB747"/>
      <c r="BC747"/>
      <c r="BD747"/>
      <c r="BE747"/>
      <c r="BF747"/>
      <c r="BH747"/>
      <c r="BI747"/>
      <c r="BJ747"/>
      <c r="BK747"/>
      <c r="BL747"/>
      <c r="BM747"/>
      <c r="BN747"/>
      <c r="BP747"/>
      <c r="BQ747"/>
      <c r="BR747"/>
      <c r="BS747"/>
      <c r="BT747"/>
      <c r="BU747"/>
      <c r="BV747"/>
      <c r="BW747"/>
      <c r="BZ747"/>
      <c r="CA747"/>
      <c r="CB747"/>
      <c r="CC747"/>
      <c r="CD747"/>
      <c r="CF747"/>
      <c r="CG747"/>
      <c r="CH747"/>
      <c r="CI747"/>
      <c r="CJ747"/>
      <c r="CK747"/>
      <c r="CL747"/>
      <c r="CM747"/>
      <c r="CN747"/>
      <c r="CO747"/>
      <c r="CP747"/>
      <c r="CQ747"/>
      <c r="CR747"/>
      <c r="CS747"/>
      <c r="CT747"/>
      <c r="CU747"/>
      <c r="CV747"/>
      <c r="CW747"/>
      <c r="CX747"/>
      <c r="CY747"/>
      <c r="CZ747"/>
      <c r="DA747"/>
      <c r="DB747"/>
      <c r="DC747"/>
      <c r="DD747"/>
      <c r="DE747"/>
      <c r="DG747"/>
      <c r="DH747"/>
      <c r="DI747"/>
      <c r="DJ747"/>
      <c r="DK747"/>
      <c r="DL747"/>
      <c r="DM747"/>
      <c r="DN747"/>
      <c r="DO747"/>
      <c r="DP747"/>
      <c r="DQ747"/>
      <c r="DR747"/>
      <c r="DS747"/>
      <c r="DT747"/>
      <c r="DU747"/>
      <c r="DV747"/>
      <c r="DW747"/>
      <c r="DZ747"/>
      <c r="EA747"/>
      <c r="EB747"/>
      <c r="EC747"/>
      <c r="ED747"/>
      <c r="EE747"/>
      <c r="EF747"/>
      <c r="EG747"/>
      <c r="EJ747"/>
      <c r="EK747"/>
      <c r="EL747"/>
      <c r="EM747"/>
      <c r="EN747"/>
      <c r="EO747"/>
      <c r="EP747"/>
      <c r="EQ747"/>
      <c r="ER747"/>
      <c r="ES747"/>
      <c r="ET747"/>
      <c r="EU747"/>
      <c r="EV747"/>
      <c r="EW747"/>
      <c r="EX747"/>
      <c r="EY747"/>
      <c r="EZ747"/>
      <c r="FA747"/>
      <c r="FB747"/>
      <c r="FC747"/>
      <c r="FD747"/>
      <c r="FE747"/>
      <c r="FF747"/>
      <c r="FG747"/>
      <c r="FH747"/>
      <c r="FK747"/>
      <c r="FL747"/>
      <c r="FM747"/>
      <c r="FN747"/>
      <c r="FO747"/>
      <c r="FP747"/>
      <c r="FQ747"/>
      <c r="FR747"/>
      <c r="FS747"/>
      <c r="FT747"/>
      <c r="FU747"/>
      <c r="FV747"/>
      <c r="FW747"/>
      <c r="FX747"/>
      <c r="FY747"/>
      <c r="FZ747"/>
      <c r="GA747"/>
      <c r="GB747"/>
      <c r="GC747"/>
      <c r="GD747"/>
    </row>
    <row r="748" spans="1:186" x14ac:dyDescent="0.15">
      <c r="A748" s="455">
        <v>17.143999999999998</v>
      </c>
      <c r="B748" s="455"/>
      <c r="C748"/>
      <c r="D748">
        <v>1</v>
      </c>
      <c r="E748"/>
      <c r="F748"/>
      <c r="G748"/>
      <c r="H748"/>
      <c r="I748"/>
      <c r="J748" s="558"/>
      <c r="K748"/>
      <c r="AG748"/>
      <c r="AH748"/>
      <c r="AJ748"/>
      <c r="AK748"/>
      <c r="AL748"/>
      <c r="AM748"/>
      <c r="AO748"/>
      <c r="AP748"/>
      <c r="AQ748"/>
      <c r="AR748"/>
      <c r="AS748"/>
      <c r="AT748"/>
      <c r="AU748"/>
      <c r="AV748"/>
      <c r="AW748"/>
      <c r="AX748"/>
      <c r="AY748"/>
      <c r="AZ748"/>
      <c r="BA748"/>
      <c r="BB748"/>
      <c r="BC748"/>
      <c r="BD748"/>
      <c r="BE748"/>
      <c r="BF748"/>
      <c r="BH748"/>
      <c r="BI748"/>
      <c r="BJ748"/>
      <c r="BK748"/>
      <c r="BL748"/>
      <c r="BM748"/>
      <c r="BN748"/>
      <c r="BP748"/>
      <c r="BQ748"/>
      <c r="BR748"/>
      <c r="BS748"/>
      <c r="BT748"/>
      <c r="BU748"/>
      <c r="BV748"/>
      <c r="BW748"/>
      <c r="BZ748"/>
      <c r="CA748"/>
      <c r="CB748"/>
      <c r="CC748"/>
      <c r="CD748"/>
      <c r="CF748"/>
      <c r="CG748"/>
      <c r="CH748"/>
      <c r="CI748"/>
      <c r="CJ748"/>
      <c r="CK748"/>
      <c r="CL748"/>
      <c r="CM748"/>
      <c r="CN748"/>
      <c r="CO748"/>
      <c r="CP748"/>
      <c r="CQ748"/>
      <c r="CR748"/>
      <c r="CS748"/>
      <c r="CT748"/>
      <c r="CU748"/>
      <c r="CV748"/>
      <c r="CW748"/>
      <c r="CX748"/>
      <c r="CY748"/>
      <c r="CZ748"/>
      <c r="DA748"/>
      <c r="DB748"/>
      <c r="DC748"/>
      <c r="DD748"/>
      <c r="DE748"/>
      <c r="DG748"/>
      <c r="DH748"/>
      <c r="DI748"/>
      <c r="DJ748"/>
      <c r="DK748"/>
      <c r="DL748"/>
      <c r="DM748"/>
      <c r="DN748"/>
      <c r="DO748"/>
      <c r="DP748"/>
      <c r="DQ748"/>
      <c r="DR748"/>
      <c r="DS748"/>
      <c r="DT748"/>
      <c r="DU748"/>
      <c r="DV748"/>
      <c r="DW748"/>
      <c r="DZ748"/>
      <c r="EA748"/>
      <c r="EB748"/>
      <c r="EC748"/>
      <c r="ED748"/>
      <c r="EE748"/>
      <c r="EF748"/>
      <c r="EG748"/>
      <c r="EJ748"/>
      <c r="EK748"/>
      <c r="EL748"/>
      <c r="EM748"/>
      <c r="EN748"/>
      <c r="EO748"/>
      <c r="EP748"/>
      <c r="EQ748"/>
      <c r="ER748"/>
      <c r="ES748"/>
      <c r="ET748"/>
      <c r="EU748"/>
      <c r="EV748"/>
      <c r="EW748"/>
      <c r="EX748"/>
      <c r="EY748"/>
      <c r="EZ748"/>
      <c r="FA748"/>
      <c r="FB748"/>
      <c r="FC748"/>
      <c r="FD748"/>
      <c r="FE748"/>
      <c r="FF748"/>
      <c r="FG748"/>
      <c r="FH748"/>
      <c r="FK748"/>
      <c r="FL748"/>
      <c r="FM748"/>
      <c r="FN748"/>
      <c r="FO748"/>
      <c r="FP748"/>
      <c r="FQ748"/>
      <c r="FR748"/>
      <c r="FS748"/>
      <c r="FT748"/>
      <c r="FU748"/>
      <c r="FV748"/>
      <c r="FW748"/>
      <c r="FX748"/>
      <c r="FY748"/>
      <c r="FZ748"/>
      <c r="GA748"/>
      <c r="GB748"/>
      <c r="GC748"/>
      <c r="GD748"/>
    </row>
    <row r="749" spans="1:186" x14ac:dyDescent="0.15">
      <c r="A749" s="455">
        <v>1.9419999999999999</v>
      </c>
      <c r="B749" s="455"/>
      <c r="C749">
        <v>1</v>
      </c>
      <c r="D749"/>
      <c r="E749"/>
      <c r="F749"/>
      <c r="G749"/>
      <c r="H749"/>
      <c r="I749"/>
      <c r="J749" s="558"/>
      <c r="K749"/>
      <c r="AG749"/>
      <c r="AH749"/>
      <c r="AJ749"/>
      <c r="AK749"/>
      <c r="AL749"/>
      <c r="AM749"/>
      <c r="AO749"/>
      <c r="AP749"/>
      <c r="AQ749"/>
      <c r="AR749"/>
      <c r="AS749"/>
      <c r="AT749"/>
      <c r="AU749"/>
      <c r="AV749"/>
      <c r="AW749"/>
      <c r="AX749"/>
      <c r="AY749"/>
      <c r="AZ749"/>
      <c r="BA749"/>
      <c r="BB749"/>
      <c r="BC749"/>
      <c r="BD749"/>
      <c r="BE749"/>
      <c r="BF749"/>
      <c r="BH749"/>
      <c r="BI749"/>
      <c r="BJ749"/>
      <c r="BK749"/>
      <c r="BL749"/>
      <c r="BM749"/>
      <c r="BN749"/>
      <c r="BP749"/>
      <c r="BQ749"/>
      <c r="BR749"/>
      <c r="BS749"/>
      <c r="BT749"/>
      <c r="BU749"/>
      <c r="BV749"/>
      <c r="BW749"/>
      <c r="BZ749"/>
      <c r="CA749"/>
      <c r="CB749"/>
      <c r="CC749"/>
      <c r="CD749"/>
      <c r="CF749"/>
      <c r="CG749"/>
      <c r="CH749"/>
      <c r="CI749"/>
      <c r="CJ749"/>
      <c r="CK749"/>
      <c r="CL749"/>
      <c r="CM749"/>
      <c r="CN749"/>
      <c r="CO749"/>
      <c r="CP749"/>
      <c r="CQ749"/>
      <c r="CR749"/>
      <c r="CS749"/>
      <c r="CT749"/>
      <c r="CU749"/>
      <c r="CV749"/>
      <c r="CW749"/>
      <c r="CX749"/>
      <c r="CY749"/>
      <c r="CZ749"/>
      <c r="DA749"/>
      <c r="DB749"/>
      <c r="DC749"/>
      <c r="DD749"/>
      <c r="DE749"/>
      <c r="DG749"/>
      <c r="DH749"/>
      <c r="DI749"/>
      <c r="DJ749"/>
      <c r="DK749"/>
      <c r="DL749"/>
      <c r="DM749"/>
      <c r="DN749"/>
      <c r="DO749"/>
      <c r="DP749"/>
      <c r="DQ749"/>
      <c r="DR749"/>
      <c r="DS749"/>
      <c r="DT749"/>
      <c r="DU749"/>
      <c r="DV749"/>
      <c r="DW749"/>
      <c r="DZ749"/>
      <c r="EA749"/>
      <c r="EB749"/>
      <c r="EC749"/>
      <c r="ED749"/>
      <c r="EE749"/>
      <c r="EF749"/>
      <c r="EG749"/>
      <c r="EJ749"/>
      <c r="EK749"/>
      <c r="EL749"/>
      <c r="EM749"/>
      <c r="EN749"/>
      <c r="EO749"/>
      <c r="EP749"/>
      <c r="EQ749"/>
      <c r="ER749"/>
      <c r="ES749"/>
      <c r="ET749"/>
      <c r="EU749"/>
      <c r="EV749"/>
      <c r="EW749"/>
      <c r="EX749"/>
      <c r="EY749"/>
      <c r="EZ749"/>
      <c r="FA749"/>
      <c r="FB749"/>
      <c r="FC749"/>
      <c r="FD749"/>
      <c r="FE749"/>
      <c r="FF749"/>
      <c r="FG749"/>
      <c r="FH749"/>
      <c r="FK749"/>
      <c r="FL749"/>
      <c r="FM749"/>
      <c r="FN749"/>
      <c r="FO749"/>
      <c r="FP749"/>
      <c r="FQ749"/>
      <c r="FR749"/>
      <c r="FS749"/>
      <c r="FT749"/>
      <c r="FU749"/>
      <c r="FV749"/>
      <c r="FW749"/>
      <c r="FX749"/>
      <c r="FY749"/>
      <c r="FZ749"/>
      <c r="GA749"/>
      <c r="GB749"/>
      <c r="GC749"/>
      <c r="GD749"/>
    </row>
    <row r="750" spans="1:186" x14ac:dyDescent="0.15">
      <c r="A750" s="455">
        <v>23.067</v>
      </c>
      <c r="B750" s="455"/>
      <c r="C750"/>
      <c r="D750">
        <v>1</v>
      </c>
      <c r="E750"/>
      <c r="F750"/>
      <c r="G750"/>
      <c r="H750"/>
      <c r="I750"/>
      <c r="J750" s="558"/>
      <c r="K750"/>
      <c r="AG750"/>
      <c r="AH750"/>
      <c r="AJ750"/>
      <c r="AK750"/>
      <c r="AL750"/>
      <c r="AM750"/>
      <c r="AO750"/>
      <c r="AP750"/>
      <c r="AQ750"/>
      <c r="AR750"/>
      <c r="AS750"/>
      <c r="AT750"/>
      <c r="AU750"/>
      <c r="AV750"/>
      <c r="AW750"/>
      <c r="AX750"/>
      <c r="AY750"/>
      <c r="AZ750"/>
      <c r="BA750"/>
      <c r="BB750"/>
      <c r="BC750"/>
      <c r="BD750"/>
      <c r="BE750"/>
      <c r="BF750"/>
      <c r="BH750"/>
      <c r="BI750"/>
      <c r="BJ750"/>
      <c r="BK750"/>
      <c r="BL750"/>
      <c r="BM750"/>
      <c r="BN750"/>
      <c r="BP750"/>
      <c r="BQ750"/>
      <c r="BR750"/>
      <c r="BS750"/>
      <c r="BT750"/>
      <c r="BU750"/>
      <c r="BV750"/>
      <c r="BW750"/>
      <c r="BZ750"/>
      <c r="CA750"/>
      <c r="CB750"/>
      <c r="CC750"/>
      <c r="CD750"/>
      <c r="CF750"/>
      <c r="CG750"/>
      <c r="CH750"/>
      <c r="CI750"/>
      <c r="CJ750"/>
      <c r="CK750"/>
      <c r="CL750"/>
      <c r="CM750"/>
      <c r="CN750"/>
      <c r="CO750"/>
      <c r="CP750"/>
      <c r="CQ750"/>
      <c r="CR750"/>
      <c r="CS750"/>
      <c r="CT750"/>
      <c r="CU750"/>
      <c r="CV750"/>
      <c r="CW750"/>
      <c r="CX750"/>
      <c r="CY750"/>
      <c r="CZ750"/>
      <c r="DA750"/>
      <c r="DB750"/>
      <c r="DC750"/>
      <c r="DD750"/>
      <c r="DE750"/>
      <c r="DG750"/>
      <c r="DH750"/>
      <c r="DI750"/>
      <c r="DJ750"/>
      <c r="DK750"/>
      <c r="DL750"/>
      <c r="DM750"/>
      <c r="DN750"/>
      <c r="DO750"/>
      <c r="DP750"/>
      <c r="DQ750"/>
      <c r="DR750"/>
      <c r="DS750"/>
      <c r="DT750"/>
      <c r="DU750"/>
      <c r="DV750"/>
      <c r="DW750"/>
      <c r="DZ750"/>
      <c r="EA750"/>
      <c r="EB750"/>
      <c r="EC750"/>
      <c r="ED750"/>
      <c r="EE750"/>
      <c r="EF750"/>
      <c r="EG750"/>
      <c r="EJ750"/>
      <c r="EK750"/>
      <c r="EL750"/>
      <c r="EM750"/>
      <c r="EN750"/>
      <c r="EO750"/>
      <c r="EP750"/>
      <c r="EQ750"/>
      <c r="ER750"/>
      <c r="ES750"/>
      <c r="ET750"/>
      <c r="EU750"/>
      <c r="EV750"/>
      <c r="EW750"/>
      <c r="EX750"/>
      <c r="EY750"/>
      <c r="EZ750"/>
      <c r="FA750"/>
      <c r="FB750"/>
      <c r="FC750"/>
      <c r="FD750"/>
      <c r="FE750"/>
      <c r="FF750"/>
      <c r="FG750"/>
      <c r="FH750"/>
      <c r="FK750"/>
      <c r="FL750"/>
      <c r="FM750"/>
      <c r="FN750"/>
      <c r="FO750"/>
      <c r="FP750"/>
      <c r="FQ750"/>
      <c r="FR750"/>
      <c r="FS750"/>
      <c r="FT750"/>
      <c r="FU750"/>
      <c r="FV750"/>
      <c r="FW750"/>
      <c r="FX750"/>
      <c r="FY750"/>
      <c r="FZ750"/>
      <c r="GA750"/>
      <c r="GB750"/>
      <c r="GC750"/>
      <c r="GD750"/>
    </row>
    <row r="751" spans="1:186" x14ac:dyDescent="0.15">
      <c r="A751" s="455">
        <v>7.952</v>
      </c>
      <c r="B751" s="455"/>
      <c r="C751">
        <v>1</v>
      </c>
      <c r="D751"/>
      <c r="E751"/>
      <c r="F751"/>
      <c r="G751"/>
      <c r="H751"/>
      <c r="I751"/>
      <c r="J751" s="558"/>
      <c r="K751"/>
      <c r="AG751"/>
      <c r="AH751"/>
      <c r="AJ751"/>
      <c r="AK751"/>
      <c r="AL751"/>
      <c r="AM751"/>
      <c r="AO751"/>
      <c r="AP751"/>
      <c r="AQ751"/>
      <c r="AR751"/>
      <c r="AS751"/>
      <c r="AT751"/>
      <c r="AU751"/>
      <c r="AV751"/>
      <c r="AW751"/>
      <c r="AX751"/>
      <c r="AY751"/>
      <c r="AZ751"/>
      <c r="BA751"/>
      <c r="BB751"/>
      <c r="BC751"/>
      <c r="BD751"/>
      <c r="BE751"/>
      <c r="BF751"/>
      <c r="BH751"/>
      <c r="BI751"/>
      <c r="BJ751"/>
      <c r="BK751"/>
      <c r="BL751"/>
      <c r="BM751"/>
      <c r="BN751"/>
      <c r="BP751"/>
      <c r="BQ751"/>
      <c r="BR751"/>
      <c r="BS751"/>
      <c r="BT751"/>
      <c r="BU751"/>
      <c r="BV751"/>
      <c r="BW751"/>
      <c r="BZ751"/>
      <c r="CA751"/>
      <c r="CB751"/>
      <c r="CC751"/>
      <c r="CD751"/>
      <c r="CF751"/>
      <c r="CG751"/>
      <c r="CH751"/>
      <c r="CI751"/>
      <c r="CJ751"/>
      <c r="CK751"/>
      <c r="CL751"/>
      <c r="CM751"/>
      <c r="CN751"/>
      <c r="CO751"/>
      <c r="CP751"/>
      <c r="CQ751"/>
      <c r="CR751"/>
      <c r="CS751"/>
      <c r="CT751"/>
      <c r="CU751"/>
      <c r="CV751"/>
      <c r="CW751"/>
      <c r="CX751"/>
      <c r="CY751"/>
      <c r="CZ751"/>
      <c r="DA751"/>
      <c r="DB751"/>
      <c r="DC751"/>
      <c r="DD751"/>
      <c r="DE751"/>
      <c r="DG751"/>
      <c r="DH751"/>
      <c r="DI751"/>
      <c r="DJ751"/>
      <c r="DK751"/>
      <c r="DL751"/>
      <c r="DM751"/>
      <c r="DN751"/>
      <c r="DO751"/>
      <c r="DP751"/>
      <c r="DQ751"/>
      <c r="DR751"/>
      <c r="DS751"/>
      <c r="DT751"/>
      <c r="DU751"/>
      <c r="DV751"/>
      <c r="DW751"/>
      <c r="DZ751"/>
      <c r="EA751"/>
      <c r="EB751"/>
      <c r="EC751"/>
      <c r="ED751"/>
      <c r="EE751"/>
      <c r="EF751"/>
      <c r="EG751"/>
      <c r="EJ751"/>
      <c r="EK751"/>
      <c r="EL751"/>
      <c r="EM751"/>
      <c r="EN751"/>
      <c r="EO751"/>
      <c r="EP751"/>
      <c r="EQ751"/>
      <c r="ER751"/>
      <c r="ES751"/>
      <c r="ET751"/>
      <c r="EU751"/>
      <c r="EV751"/>
      <c r="EW751"/>
      <c r="EX751"/>
      <c r="EY751"/>
      <c r="EZ751"/>
      <c r="FA751"/>
      <c r="FB751"/>
      <c r="FC751"/>
      <c r="FD751"/>
      <c r="FE751"/>
      <c r="FF751"/>
      <c r="FG751"/>
      <c r="FH751"/>
      <c r="FK751"/>
      <c r="FL751"/>
      <c r="FM751"/>
      <c r="FN751"/>
      <c r="FO751"/>
      <c r="FP751"/>
      <c r="FQ751"/>
      <c r="FR751"/>
      <c r="FS751"/>
      <c r="FT751"/>
      <c r="FU751"/>
      <c r="FV751"/>
      <c r="FW751"/>
      <c r="FX751"/>
      <c r="FY751"/>
      <c r="FZ751"/>
      <c r="GA751"/>
      <c r="GB751"/>
      <c r="GC751"/>
      <c r="GD751"/>
    </row>
    <row r="752" spans="1:186" x14ac:dyDescent="0.15">
      <c r="A752" s="455">
        <v>5.2009999999999996</v>
      </c>
      <c r="B752" s="455">
        <v>1</v>
      </c>
      <c r="C752"/>
      <c r="D752"/>
      <c r="E752"/>
      <c r="F752"/>
      <c r="G752"/>
      <c r="H752"/>
      <c r="I752"/>
      <c r="J752" s="558"/>
      <c r="K752"/>
      <c r="AG752"/>
      <c r="AH752"/>
      <c r="AJ752"/>
      <c r="AK752"/>
      <c r="AL752"/>
      <c r="AM752"/>
      <c r="AO752"/>
      <c r="AP752"/>
      <c r="AQ752"/>
      <c r="AR752"/>
      <c r="AS752"/>
      <c r="AT752"/>
      <c r="AU752"/>
      <c r="AV752"/>
      <c r="AW752"/>
      <c r="AX752"/>
      <c r="AY752"/>
      <c r="AZ752"/>
      <c r="BA752"/>
      <c r="BB752"/>
      <c r="BC752"/>
      <c r="BD752"/>
      <c r="BE752"/>
      <c r="BF752"/>
      <c r="BH752"/>
      <c r="BI752"/>
      <c r="BJ752"/>
      <c r="BK752"/>
      <c r="BL752"/>
      <c r="BM752"/>
      <c r="BN752"/>
      <c r="BP752"/>
      <c r="BQ752"/>
      <c r="BR752"/>
      <c r="BS752"/>
      <c r="BT752"/>
      <c r="BU752"/>
      <c r="BV752"/>
      <c r="BW752"/>
      <c r="BZ752"/>
      <c r="CA752"/>
      <c r="CB752"/>
      <c r="CC752"/>
      <c r="CD752"/>
      <c r="CF752"/>
      <c r="CG752"/>
      <c r="CH752"/>
      <c r="CI752"/>
      <c r="CJ752"/>
      <c r="CK752"/>
      <c r="CL752"/>
      <c r="CM752"/>
      <c r="CN752"/>
      <c r="CO752"/>
      <c r="CP752"/>
      <c r="CQ752"/>
      <c r="CR752"/>
      <c r="CS752"/>
      <c r="CT752"/>
      <c r="CU752"/>
      <c r="CV752"/>
      <c r="CW752"/>
      <c r="CX752"/>
      <c r="CY752"/>
      <c r="CZ752"/>
      <c r="DA752"/>
      <c r="DB752"/>
      <c r="DC752"/>
      <c r="DD752"/>
      <c r="DE752"/>
      <c r="DG752"/>
      <c r="DH752"/>
      <c r="DI752"/>
      <c r="DJ752"/>
      <c r="DK752"/>
      <c r="DL752"/>
      <c r="DM752"/>
      <c r="DN752"/>
      <c r="DO752"/>
      <c r="DP752"/>
      <c r="DQ752"/>
      <c r="DR752"/>
      <c r="DS752"/>
      <c r="DT752"/>
      <c r="DU752"/>
      <c r="DV752"/>
      <c r="DW752"/>
      <c r="DZ752"/>
      <c r="EA752"/>
      <c r="EB752"/>
      <c r="EC752"/>
      <c r="ED752"/>
      <c r="EE752"/>
      <c r="EF752"/>
      <c r="EG752"/>
      <c r="EJ752"/>
      <c r="EK752"/>
      <c r="EL752"/>
      <c r="EM752"/>
      <c r="EN752"/>
      <c r="EO752"/>
      <c r="EP752"/>
      <c r="EQ752"/>
      <c r="ER752"/>
      <c r="ES752"/>
      <c r="ET752"/>
      <c r="EU752"/>
      <c r="EV752"/>
      <c r="EW752"/>
      <c r="EX752"/>
      <c r="EY752"/>
      <c r="EZ752"/>
      <c r="FA752"/>
      <c r="FB752"/>
      <c r="FC752"/>
      <c r="FD752"/>
      <c r="FE752"/>
      <c r="FF752"/>
      <c r="FG752"/>
      <c r="FH752"/>
      <c r="FK752"/>
      <c r="FL752"/>
      <c r="FM752"/>
      <c r="FN752"/>
      <c r="FO752"/>
      <c r="FP752"/>
      <c r="FQ752"/>
      <c r="FR752"/>
      <c r="FS752"/>
      <c r="FT752"/>
      <c r="FU752"/>
      <c r="FV752"/>
      <c r="FW752"/>
      <c r="FX752"/>
      <c r="FY752"/>
      <c r="FZ752"/>
      <c r="GA752"/>
      <c r="GB752"/>
      <c r="GC752"/>
      <c r="GD752"/>
    </row>
    <row r="753" spans="1:186" x14ac:dyDescent="0.15">
      <c r="A753" s="455">
        <v>1.3979999999999999</v>
      </c>
      <c r="B753" s="455"/>
      <c r="C753"/>
      <c r="D753">
        <v>1</v>
      </c>
      <c r="E753"/>
      <c r="F753"/>
      <c r="G753"/>
      <c r="H753"/>
      <c r="I753"/>
      <c r="J753" s="558"/>
      <c r="K753"/>
      <c r="AG753"/>
      <c r="AH753"/>
      <c r="AJ753"/>
      <c r="AK753"/>
      <c r="AL753"/>
      <c r="AM753"/>
      <c r="AO753"/>
      <c r="AP753"/>
      <c r="AQ753"/>
      <c r="AR753"/>
      <c r="AS753"/>
      <c r="AT753"/>
      <c r="AU753"/>
      <c r="AV753"/>
      <c r="AW753"/>
      <c r="AX753"/>
      <c r="AY753"/>
      <c r="AZ753"/>
      <c r="BA753"/>
      <c r="BB753"/>
      <c r="BC753"/>
      <c r="BD753"/>
      <c r="BE753"/>
      <c r="BF753"/>
      <c r="BH753"/>
      <c r="BI753"/>
      <c r="BJ753"/>
      <c r="BK753"/>
      <c r="BL753"/>
      <c r="BM753"/>
      <c r="BN753"/>
      <c r="BP753"/>
      <c r="BQ753"/>
      <c r="BR753"/>
      <c r="BS753"/>
      <c r="BT753"/>
      <c r="BU753"/>
      <c r="BV753"/>
      <c r="BW753"/>
      <c r="BZ753"/>
      <c r="CA753"/>
      <c r="CB753"/>
      <c r="CC753"/>
      <c r="CD753"/>
      <c r="CF753"/>
      <c r="CG753"/>
      <c r="CH753"/>
      <c r="CI753"/>
      <c r="CJ753"/>
      <c r="CK753"/>
      <c r="CL753"/>
      <c r="CM753"/>
      <c r="CN753"/>
      <c r="CO753"/>
      <c r="CP753"/>
      <c r="CQ753"/>
      <c r="CR753"/>
      <c r="CS753"/>
      <c r="CT753"/>
      <c r="CU753"/>
      <c r="CV753"/>
      <c r="CW753"/>
      <c r="CX753"/>
      <c r="CY753"/>
      <c r="CZ753"/>
      <c r="DA753"/>
      <c r="DB753"/>
      <c r="DC753"/>
      <c r="DD753"/>
      <c r="DE753"/>
      <c r="DG753"/>
      <c r="DH753"/>
      <c r="DI753"/>
      <c r="DJ753"/>
      <c r="DK753"/>
      <c r="DL753"/>
      <c r="DM753"/>
      <c r="DN753"/>
      <c r="DO753"/>
      <c r="DP753"/>
      <c r="DQ753"/>
      <c r="DR753"/>
      <c r="DS753"/>
      <c r="DT753"/>
      <c r="DU753"/>
      <c r="DV753"/>
      <c r="DW753"/>
      <c r="DZ753"/>
      <c r="EA753"/>
      <c r="EB753"/>
      <c r="EC753"/>
      <c r="ED753"/>
      <c r="EE753"/>
      <c r="EF753"/>
      <c r="EG753"/>
      <c r="EJ753"/>
      <c r="EK753"/>
      <c r="EL753"/>
      <c r="EM753"/>
      <c r="EN753"/>
      <c r="EO753"/>
      <c r="EP753"/>
      <c r="EQ753"/>
      <c r="ER753"/>
      <c r="ES753"/>
      <c r="ET753"/>
      <c r="EU753"/>
      <c r="EV753"/>
      <c r="EW753"/>
      <c r="EX753"/>
      <c r="EY753"/>
      <c r="EZ753"/>
      <c r="FA753"/>
      <c r="FB753"/>
      <c r="FC753"/>
      <c r="FD753"/>
      <c r="FE753"/>
      <c r="FF753"/>
      <c r="FG753"/>
      <c r="FH753"/>
      <c r="FK753"/>
      <c r="FL753"/>
      <c r="FM753"/>
      <c r="FN753"/>
      <c r="FO753"/>
      <c r="FP753"/>
      <c r="FQ753"/>
      <c r="FR753"/>
      <c r="FS753"/>
      <c r="FT753"/>
      <c r="FU753"/>
      <c r="FV753"/>
      <c r="FW753"/>
      <c r="FX753"/>
      <c r="FY753"/>
      <c r="FZ753"/>
      <c r="GA753"/>
      <c r="GB753"/>
      <c r="GC753"/>
      <c r="GD753"/>
    </row>
    <row r="754" spans="1:186" x14ac:dyDescent="0.15">
      <c r="A754" s="455">
        <v>0.84299999999999997</v>
      </c>
      <c r="B754" s="455"/>
      <c r="C754"/>
      <c r="D754"/>
      <c r="E754">
        <v>1</v>
      </c>
      <c r="F754"/>
      <c r="G754"/>
      <c r="H754"/>
      <c r="I754"/>
      <c r="J754" s="558"/>
      <c r="K754"/>
      <c r="AG754"/>
      <c r="AH754"/>
      <c r="AJ754"/>
      <c r="AK754"/>
      <c r="AL754"/>
      <c r="AM754"/>
      <c r="AO754"/>
      <c r="AP754"/>
      <c r="AQ754"/>
      <c r="AR754"/>
      <c r="AS754"/>
      <c r="AT754"/>
      <c r="AU754"/>
      <c r="AV754"/>
      <c r="AW754"/>
      <c r="AX754"/>
      <c r="AY754"/>
      <c r="AZ754"/>
      <c r="BA754"/>
      <c r="BB754"/>
      <c r="BC754"/>
      <c r="BD754"/>
      <c r="BE754"/>
      <c r="BF754"/>
      <c r="BH754"/>
      <c r="BI754"/>
      <c r="BJ754"/>
      <c r="BK754"/>
      <c r="BL754"/>
      <c r="BM754"/>
      <c r="BN754"/>
      <c r="BP754"/>
      <c r="BQ754"/>
      <c r="BR754"/>
      <c r="BS754"/>
      <c r="BT754"/>
      <c r="BU754"/>
      <c r="BV754"/>
      <c r="BW754"/>
      <c r="BZ754"/>
      <c r="CA754"/>
      <c r="CB754"/>
      <c r="CC754"/>
      <c r="CD754"/>
      <c r="CF754"/>
      <c r="CG754"/>
      <c r="CH754"/>
      <c r="CI754"/>
      <c r="CJ754"/>
      <c r="CK754"/>
      <c r="CL754"/>
      <c r="CM754"/>
      <c r="CN754"/>
      <c r="CO754"/>
      <c r="CP754"/>
      <c r="CQ754"/>
      <c r="CR754"/>
      <c r="CS754"/>
      <c r="CT754"/>
      <c r="CU754"/>
      <c r="CV754"/>
      <c r="CW754"/>
      <c r="CX754"/>
      <c r="CY754"/>
      <c r="CZ754"/>
      <c r="DA754"/>
      <c r="DB754"/>
      <c r="DC754"/>
      <c r="DD754"/>
      <c r="DE754"/>
      <c r="DG754"/>
      <c r="DH754"/>
      <c r="DI754"/>
      <c r="DJ754"/>
      <c r="DK754"/>
      <c r="DL754"/>
      <c r="DM754"/>
      <c r="DN754"/>
      <c r="DO754"/>
      <c r="DP754"/>
      <c r="DQ754"/>
      <c r="DR754"/>
      <c r="DS754"/>
      <c r="DT754"/>
      <c r="DU754"/>
      <c r="DV754"/>
      <c r="DW754"/>
      <c r="DZ754"/>
      <c r="EA754"/>
      <c r="EB754"/>
      <c r="EC754"/>
      <c r="ED754"/>
      <c r="EE754"/>
      <c r="EF754"/>
      <c r="EG754"/>
      <c r="EJ754"/>
      <c r="EK754"/>
      <c r="EL754"/>
      <c r="EM754"/>
      <c r="EN754"/>
      <c r="EO754"/>
      <c r="EP754"/>
      <c r="EQ754"/>
      <c r="ER754"/>
      <c r="ES754"/>
      <c r="ET754"/>
      <c r="EU754"/>
      <c r="EV754"/>
      <c r="EW754"/>
      <c r="EX754"/>
      <c r="EY754"/>
      <c r="EZ754"/>
      <c r="FA754"/>
      <c r="FB754"/>
      <c r="FC754"/>
      <c r="FD754"/>
      <c r="FE754"/>
      <c r="FF754"/>
      <c r="FG754"/>
      <c r="FH754"/>
      <c r="FK754"/>
      <c r="FL754"/>
      <c r="FM754"/>
      <c r="FN754"/>
      <c r="FO754"/>
      <c r="FP754"/>
      <c r="FQ754"/>
      <c r="FR754"/>
      <c r="FS754"/>
      <c r="FT754"/>
      <c r="FU754"/>
      <c r="FV754"/>
      <c r="FW754"/>
      <c r="FX754"/>
      <c r="FY754"/>
      <c r="FZ754"/>
      <c r="GA754"/>
      <c r="GB754"/>
      <c r="GC754"/>
      <c r="GD754"/>
    </row>
    <row r="755" spans="1:186" x14ac:dyDescent="0.15">
      <c r="A755" s="455">
        <v>9.83</v>
      </c>
      <c r="B755" s="455">
        <v>1</v>
      </c>
      <c r="C755"/>
      <c r="D755"/>
      <c r="E755"/>
      <c r="F755"/>
      <c r="G755"/>
      <c r="H755"/>
      <c r="I755"/>
      <c r="J755" s="558"/>
      <c r="K755"/>
      <c r="AG755"/>
      <c r="AH755"/>
      <c r="AJ755"/>
      <c r="AK755"/>
      <c r="AL755"/>
      <c r="AM755"/>
      <c r="AO755"/>
      <c r="AP755"/>
      <c r="AQ755"/>
      <c r="AR755"/>
      <c r="AS755"/>
      <c r="AT755"/>
      <c r="AU755"/>
      <c r="AV755"/>
      <c r="AW755"/>
      <c r="AX755"/>
      <c r="AY755"/>
      <c r="AZ755"/>
      <c r="BA755"/>
      <c r="BB755"/>
      <c r="BC755"/>
      <c r="BD755"/>
      <c r="BE755"/>
      <c r="BF755"/>
      <c r="BH755"/>
      <c r="BI755"/>
      <c r="BJ755"/>
      <c r="BK755"/>
      <c r="BL755"/>
      <c r="BM755"/>
      <c r="BN755"/>
      <c r="BP755"/>
      <c r="BQ755"/>
      <c r="BR755"/>
      <c r="BS755"/>
      <c r="BT755"/>
      <c r="BU755"/>
      <c r="BV755"/>
      <c r="BW755"/>
      <c r="BZ755"/>
      <c r="CA755"/>
      <c r="CB755"/>
      <c r="CC755"/>
      <c r="CD755"/>
      <c r="CF755"/>
      <c r="CG755"/>
      <c r="CH755"/>
      <c r="CI755"/>
      <c r="CJ755"/>
      <c r="CK755"/>
      <c r="CL755"/>
      <c r="CM755"/>
      <c r="CN755"/>
      <c r="CO755"/>
      <c r="CP755"/>
      <c r="CQ755"/>
      <c r="CR755"/>
      <c r="CS755"/>
      <c r="CT755"/>
      <c r="CU755"/>
      <c r="CV755"/>
      <c r="CW755"/>
      <c r="CX755"/>
      <c r="CY755"/>
      <c r="CZ755"/>
      <c r="DA755"/>
      <c r="DB755"/>
      <c r="DC755"/>
      <c r="DD755"/>
      <c r="DE755"/>
      <c r="DG755"/>
      <c r="DH755"/>
      <c r="DI755"/>
      <c r="DJ755"/>
      <c r="DK755"/>
      <c r="DL755"/>
      <c r="DM755"/>
      <c r="DN755"/>
      <c r="DO755"/>
      <c r="DP755"/>
      <c r="DQ755"/>
      <c r="DR755"/>
      <c r="DS755"/>
      <c r="DT755"/>
      <c r="DU755"/>
      <c r="DV755"/>
      <c r="DW755"/>
      <c r="DZ755"/>
      <c r="EA755"/>
      <c r="EB755"/>
      <c r="EC755"/>
      <c r="ED755"/>
      <c r="EE755"/>
      <c r="EF755"/>
      <c r="EG755"/>
      <c r="EJ755"/>
      <c r="EK755"/>
      <c r="EL755"/>
      <c r="EM755"/>
      <c r="EN755"/>
      <c r="EO755"/>
      <c r="EP755"/>
      <c r="EQ755"/>
      <c r="ER755"/>
      <c r="ES755"/>
      <c r="ET755"/>
      <c r="EU755"/>
      <c r="EV755"/>
      <c r="EW755"/>
      <c r="EX755"/>
      <c r="EY755"/>
      <c r="EZ755"/>
      <c r="FA755"/>
      <c r="FB755"/>
      <c r="FC755"/>
      <c r="FD755"/>
      <c r="FE755"/>
      <c r="FF755"/>
      <c r="FG755"/>
      <c r="FH755"/>
      <c r="FK755"/>
      <c r="FL755"/>
      <c r="FM755"/>
      <c r="FN755"/>
      <c r="FO755"/>
      <c r="FP755"/>
      <c r="FQ755"/>
      <c r="FR755"/>
      <c r="FS755"/>
      <c r="FT755"/>
      <c r="FU755"/>
      <c r="FV755"/>
      <c r="FW755"/>
      <c r="FX755"/>
      <c r="FY755"/>
      <c r="FZ755"/>
      <c r="GA755"/>
      <c r="GB755"/>
      <c r="GC755"/>
      <c r="GD755"/>
    </row>
    <row r="756" spans="1:186" x14ac:dyDescent="0.15">
      <c r="A756" s="455">
        <v>2.6629999999999998</v>
      </c>
      <c r="B756" s="455"/>
      <c r="C756"/>
      <c r="D756"/>
      <c r="E756">
        <v>1</v>
      </c>
      <c r="F756"/>
      <c r="G756"/>
      <c r="H756"/>
      <c r="I756"/>
      <c r="J756" s="558"/>
      <c r="K756"/>
      <c r="AG756"/>
      <c r="AH756"/>
      <c r="AJ756"/>
      <c r="AK756"/>
      <c r="AL756"/>
      <c r="AM756"/>
      <c r="AO756"/>
      <c r="AP756"/>
      <c r="AQ756"/>
      <c r="AR756"/>
      <c r="AS756"/>
      <c r="AT756"/>
      <c r="AU756"/>
      <c r="AV756"/>
      <c r="AW756"/>
      <c r="AX756"/>
      <c r="AY756"/>
      <c r="AZ756"/>
      <c r="BA756"/>
      <c r="BB756"/>
      <c r="BC756"/>
      <c r="BD756"/>
      <c r="BE756"/>
      <c r="BF756"/>
      <c r="BH756"/>
      <c r="BI756"/>
      <c r="BJ756"/>
      <c r="BK756"/>
      <c r="BL756"/>
      <c r="BM756"/>
      <c r="BN756"/>
      <c r="BP756"/>
      <c r="BQ756"/>
      <c r="BR756"/>
      <c r="BS756"/>
      <c r="BT756"/>
      <c r="BU756"/>
      <c r="BV756"/>
      <c r="BW756"/>
      <c r="BZ756"/>
      <c r="CA756"/>
      <c r="CB756"/>
      <c r="CC756"/>
      <c r="CD756"/>
      <c r="CF756"/>
      <c r="CG756"/>
      <c r="CH756"/>
      <c r="CI756"/>
      <c r="CJ756"/>
      <c r="CK756"/>
      <c r="CL756"/>
      <c r="CM756"/>
      <c r="CN756"/>
      <c r="CO756"/>
      <c r="CP756"/>
      <c r="CQ756"/>
      <c r="CR756"/>
      <c r="CS756"/>
      <c r="CT756"/>
      <c r="CU756"/>
      <c r="CV756"/>
      <c r="CW756"/>
      <c r="CX756"/>
      <c r="CY756"/>
      <c r="CZ756"/>
      <c r="DA756"/>
      <c r="DB756"/>
      <c r="DC756"/>
      <c r="DD756"/>
      <c r="DE756"/>
      <c r="DG756"/>
      <c r="DH756"/>
      <c r="DI756"/>
      <c r="DJ756"/>
      <c r="DK756"/>
      <c r="DL756"/>
      <c r="DM756"/>
      <c r="DN756"/>
      <c r="DO756"/>
      <c r="DP756"/>
      <c r="DQ756"/>
      <c r="DR756"/>
      <c r="DS756"/>
      <c r="DT756"/>
      <c r="DU756"/>
      <c r="DV756"/>
      <c r="DW756"/>
      <c r="DZ756"/>
      <c r="EA756"/>
      <c r="EB756"/>
      <c r="EC756"/>
      <c r="ED756"/>
      <c r="EE756"/>
      <c r="EF756"/>
      <c r="EG756"/>
      <c r="EJ756"/>
      <c r="EK756"/>
      <c r="EL756"/>
      <c r="EM756"/>
      <c r="EN756"/>
      <c r="EO756"/>
      <c r="EP756"/>
      <c r="EQ756"/>
      <c r="ER756"/>
      <c r="ES756"/>
      <c r="ET756"/>
      <c r="EU756"/>
      <c r="EV756"/>
      <c r="EW756"/>
      <c r="EX756"/>
      <c r="EY756"/>
      <c r="EZ756"/>
      <c r="FA756"/>
      <c r="FB756"/>
      <c r="FC756"/>
      <c r="FD756"/>
      <c r="FE756"/>
      <c r="FF756"/>
      <c r="FG756"/>
      <c r="FH756"/>
      <c r="FK756"/>
      <c r="FL756"/>
      <c r="FM756"/>
      <c r="FN756"/>
      <c r="FO756"/>
      <c r="FP756"/>
      <c r="FQ756"/>
      <c r="FR756"/>
      <c r="FS756"/>
      <c r="FT756"/>
      <c r="FU756"/>
      <c r="FV756"/>
      <c r="FW756"/>
      <c r="FX756"/>
      <c r="FY756"/>
      <c r="FZ756"/>
      <c r="GA756"/>
      <c r="GB756"/>
      <c r="GC756"/>
      <c r="GD756"/>
    </row>
    <row r="757" spans="1:186" x14ac:dyDescent="0.15">
      <c r="A757" s="455">
        <v>0.32500000000000001</v>
      </c>
      <c r="B757" s="455"/>
      <c r="C757">
        <v>1</v>
      </c>
      <c r="D757"/>
      <c r="E757"/>
      <c r="F757"/>
      <c r="G757"/>
      <c r="H757"/>
      <c r="I757"/>
      <c r="J757" s="558"/>
      <c r="K757"/>
      <c r="AG757"/>
      <c r="AH757"/>
      <c r="AJ757"/>
      <c r="AK757"/>
      <c r="AL757"/>
      <c r="AM757"/>
      <c r="AO757"/>
      <c r="AP757"/>
      <c r="AQ757"/>
      <c r="AR757"/>
      <c r="AS757"/>
      <c r="AT757"/>
      <c r="AU757"/>
      <c r="AV757"/>
      <c r="AW757"/>
      <c r="AX757"/>
      <c r="AY757"/>
      <c r="AZ757"/>
      <c r="BA757"/>
      <c r="BB757"/>
      <c r="BC757"/>
      <c r="BD757"/>
      <c r="BE757"/>
      <c r="BF757"/>
      <c r="BH757"/>
      <c r="BI757"/>
      <c r="BJ757"/>
      <c r="BK757"/>
      <c r="BL757"/>
      <c r="BM757"/>
      <c r="BN757"/>
      <c r="BP757"/>
      <c r="BQ757"/>
      <c r="BR757"/>
      <c r="BS757"/>
      <c r="BT757"/>
      <c r="BU757"/>
      <c r="BV757"/>
      <c r="BW757"/>
      <c r="BZ757"/>
      <c r="CA757"/>
      <c r="CB757"/>
      <c r="CC757"/>
      <c r="CD757"/>
      <c r="CF757"/>
      <c r="CG757"/>
      <c r="CH757"/>
      <c r="CI757"/>
      <c r="CJ757"/>
      <c r="CK757"/>
      <c r="CL757"/>
      <c r="CM757"/>
      <c r="CN757"/>
      <c r="CO757"/>
      <c r="CP757"/>
      <c r="CQ757"/>
      <c r="CR757"/>
      <c r="CS757"/>
      <c r="CT757"/>
      <c r="CU757"/>
      <c r="CV757"/>
      <c r="CW757"/>
      <c r="CX757"/>
      <c r="CY757"/>
      <c r="CZ757"/>
      <c r="DA757"/>
      <c r="DB757"/>
      <c r="DC757"/>
      <c r="DD757"/>
      <c r="DE757"/>
      <c r="DG757"/>
      <c r="DH757"/>
      <c r="DI757"/>
      <c r="DJ757"/>
      <c r="DK757"/>
      <c r="DL757"/>
      <c r="DM757"/>
      <c r="DN757"/>
      <c r="DO757"/>
      <c r="DP757"/>
      <c r="DQ757"/>
      <c r="DR757"/>
      <c r="DS757"/>
      <c r="DT757"/>
      <c r="DU757"/>
      <c r="DV757"/>
      <c r="DW757"/>
      <c r="DZ757"/>
      <c r="EA757"/>
      <c r="EB757"/>
      <c r="EC757"/>
      <c r="ED757"/>
      <c r="EE757"/>
      <c r="EF757"/>
      <c r="EG757"/>
      <c r="EJ757"/>
      <c r="EK757"/>
      <c r="EL757"/>
      <c r="EM757"/>
      <c r="EN757"/>
      <c r="EO757"/>
      <c r="EP757"/>
      <c r="EQ757"/>
      <c r="ER757"/>
      <c r="ES757"/>
      <c r="ET757"/>
      <c r="EU757"/>
      <c r="EV757"/>
      <c r="EW757"/>
      <c r="EX757"/>
      <c r="EY757"/>
      <c r="EZ757"/>
      <c r="FA757"/>
      <c r="FB757"/>
      <c r="FC757"/>
      <c r="FD757"/>
      <c r="FE757"/>
      <c r="FF757"/>
      <c r="FG757"/>
      <c r="FH757"/>
      <c r="FK757"/>
      <c r="FL757"/>
      <c r="FM757"/>
      <c r="FN757"/>
      <c r="FO757"/>
      <c r="FP757"/>
      <c r="FQ757"/>
      <c r="FR757"/>
      <c r="FS757"/>
      <c r="FT757"/>
      <c r="FU757"/>
      <c r="FV757"/>
      <c r="FW757"/>
      <c r="FX757"/>
      <c r="FY757"/>
      <c r="FZ757"/>
      <c r="GA757"/>
      <c r="GB757"/>
      <c r="GC757"/>
      <c r="GD757"/>
    </row>
    <row r="758" spans="1:186" x14ac:dyDescent="0.15">
      <c r="A758" s="455">
        <v>0.35</v>
      </c>
      <c r="B758" s="455">
        <v>1</v>
      </c>
      <c r="C758"/>
      <c r="D758"/>
      <c r="E758"/>
      <c r="F758"/>
      <c r="G758"/>
      <c r="H758"/>
      <c r="I758"/>
      <c r="J758" s="558"/>
      <c r="K758"/>
      <c r="AG758"/>
      <c r="AH758"/>
      <c r="AJ758"/>
      <c r="AK758"/>
      <c r="AL758"/>
      <c r="AM758"/>
      <c r="AO758"/>
      <c r="AP758"/>
      <c r="AQ758"/>
      <c r="AR758"/>
      <c r="AS758"/>
      <c r="AT758"/>
      <c r="AU758"/>
      <c r="AV758"/>
      <c r="AW758"/>
      <c r="AX758"/>
      <c r="AY758"/>
      <c r="AZ758"/>
      <c r="BA758"/>
      <c r="BB758"/>
      <c r="BC758"/>
      <c r="BD758"/>
      <c r="BE758"/>
      <c r="BF758"/>
      <c r="BH758"/>
      <c r="BI758"/>
      <c r="BJ758"/>
      <c r="BK758"/>
      <c r="BL758"/>
      <c r="BM758"/>
      <c r="BN758"/>
      <c r="BP758"/>
      <c r="BQ758"/>
      <c r="BR758"/>
      <c r="BS758"/>
      <c r="BT758"/>
      <c r="BU758"/>
      <c r="BV758"/>
      <c r="BW758"/>
      <c r="BZ758"/>
      <c r="CA758"/>
      <c r="CB758"/>
      <c r="CC758"/>
      <c r="CD758"/>
      <c r="CF758"/>
      <c r="CG758"/>
      <c r="CH758"/>
      <c r="CI758"/>
      <c r="CJ758"/>
      <c r="CK758"/>
      <c r="CL758"/>
      <c r="CM758"/>
      <c r="CN758"/>
      <c r="CO758"/>
      <c r="CP758"/>
      <c r="CQ758"/>
      <c r="CR758"/>
      <c r="CS758"/>
      <c r="CT758"/>
      <c r="CU758"/>
      <c r="CV758"/>
      <c r="CW758"/>
      <c r="CX758"/>
      <c r="CY758"/>
      <c r="CZ758"/>
      <c r="DA758"/>
      <c r="DB758"/>
      <c r="DC758"/>
      <c r="DD758"/>
      <c r="DE758"/>
      <c r="DG758"/>
      <c r="DH758"/>
      <c r="DI758"/>
      <c r="DJ758"/>
      <c r="DK758"/>
      <c r="DL758"/>
      <c r="DM758"/>
      <c r="DN758"/>
      <c r="DO758"/>
      <c r="DP758"/>
      <c r="DQ758"/>
      <c r="DR758"/>
      <c r="DS758"/>
      <c r="DT758"/>
      <c r="DU758"/>
      <c r="DV758"/>
      <c r="DW758"/>
      <c r="DZ758"/>
      <c r="EA758"/>
      <c r="EB758"/>
      <c r="EC758"/>
      <c r="ED758"/>
      <c r="EE758"/>
      <c r="EF758"/>
      <c r="EG758"/>
      <c r="EJ758"/>
      <c r="EK758"/>
      <c r="EL758"/>
      <c r="EM758"/>
      <c r="EN758"/>
      <c r="EO758"/>
      <c r="EP758"/>
      <c r="EQ758"/>
      <c r="ER758"/>
      <c r="ES758"/>
      <c r="ET758"/>
      <c r="EU758"/>
      <c r="EV758"/>
      <c r="EW758"/>
      <c r="EX758"/>
      <c r="EY758"/>
      <c r="EZ758"/>
      <c r="FA758"/>
      <c r="FB758"/>
      <c r="FC758"/>
      <c r="FD758"/>
      <c r="FE758"/>
      <c r="FF758"/>
      <c r="FG758"/>
      <c r="FH758"/>
      <c r="FK758"/>
      <c r="FL758"/>
      <c r="FM758"/>
      <c r="FN758"/>
      <c r="FO758"/>
      <c r="FP758"/>
      <c r="FQ758"/>
      <c r="FR758"/>
      <c r="FS758"/>
      <c r="FT758"/>
      <c r="FU758"/>
      <c r="FV758"/>
      <c r="FW758"/>
      <c r="FX758"/>
      <c r="FY758"/>
      <c r="FZ758"/>
      <c r="GA758"/>
      <c r="GB758"/>
      <c r="GC758"/>
      <c r="GD758"/>
    </row>
    <row r="759" spans="1:186" x14ac:dyDescent="0.15">
      <c r="A759" s="455">
        <v>22.463999999999999</v>
      </c>
      <c r="B759" s="455"/>
      <c r="C759"/>
      <c r="D759"/>
      <c r="E759"/>
      <c r="F759"/>
      <c r="G759"/>
      <c r="H759"/>
      <c r="I759"/>
      <c r="J759" s="558">
        <v>1</v>
      </c>
      <c r="K759"/>
      <c r="AG759"/>
      <c r="AH759"/>
      <c r="AJ759"/>
      <c r="AK759"/>
      <c r="AL759"/>
      <c r="AM759"/>
      <c r="AO759"/>
      <c r="AP759"/>
      <c r="AQ759"/>
      <c r="AR759"/>
      <c r="AS759"/>
      <c r="AT759"/>
      <c r="AU759"/>
      <c r="AV759"/>
      <c r="AW759"/>
      <c r="AX759"/>
      <c r="AY759"/>
      <c r="AZ759"/>
      <c r="BA759"/>
      <c r="BB759"/>
      <c r="BC759"/>
      <c r="BD759"/>
      <c r="BE759"/>
      <c r="BF759"/>
      <c r="BH759"/>
      <c r="BI759"/>
      <c r="BJ759"/>
      <c r="BK759"/>
      <c r="BL759"/>
      <c r="BM759"/>
      <c r="BN759"/>
      <c r="BP759"/>
      <c r="BQ759"/>
      <c r="BR759"/>
      <c r="BS759"/>
      <c r="BT759"/>
      <c r="BU759"/>
      <c r="BV759"/>
      <c r="BW759"/>
      <c r="BZ759"/>
      <c r="CA759"/>
      <c r="CB759"/>
      <c r="CC759"/>
      <c r="CD759"/>
      <c r="CF759"/>
      <c r="CG759"/>
      <c r="CH759"/>
      <c r="CI759"/>
      <c r="CJ759"/>
      <c r="CK759"/>
      <c r="CL759"/>
      <c r="CM759"/>
      <c r="CN759"/>
      <c r="CO759"/>
      <c r="CP759"/>
      <c r="CQ759"/>
      <c r="CR759"/>
      <c r="CS759"/>
      <c r="CT759"/>
      <c r="CU759"/>
      <c r="CV759"/>
      <c r="CW759"/>
      <c r="CX759"/>
      <c r="CY759"/>
      <c r="CZ759"/>
      <c r="DA759"/>
      <c r="DB759"/>
      <c r="DC759"/>
      <c r="DD759"/>
      <c r="DE759"/>
      <c r="DG759"/>
      <c r="DH759"/>
      <c r="DI759"/>
      <c r="DJ759"/>
      <c r="DK759"/>
      <c r="DL759"/>
      <c r="DM759"/>
      <c r="DN759"/>
      <c r="DO759"/>
      <c r="DP759"/>
      <c r="DQ759"/>
      <c r="DR759"/>
      <c r="DS759"/>
      <c r="DT759"/>
      <c r="DU759"/>
      <c r="DV759"/>
      <c r="DW759"/>
      <c r="DZ759"/>
      <c r="EA759"/>
      <c r="EB759"/>
      <c r="EC759"/>
      <c r="ED759"/>
      <c r="EE759"/>
      <c r="EF759"/>
      <c r="EG759"/>
      <c r="EJ759"/>
      <c r="EK759"/>
      <c r="EL759"/>
      <c r="EM759"/>
      <c r="EN759"/>
      <c r="EO759"/>
      <c r="EP759"/>
      <c r="EQ759"/>
      <c r="ER759"/>
      <c r="ES759"/>
      <c r="ET759"/>
      <c r="EU759"/>
      <c r="EV759"/>
      <c r="EW759"/>
      <c r="EX759"/>
      <c r="EY759"/>
      <c r="EZ759"/>
      <c r="FA759"/>
      <c r="FB759"/>
      <c r="FC759"/>
      <c r="FD759"/>
      <c r="FE759"/>
      <c r="FF759"/>
      <c r="FG759"/>
      <c r="FH759"/>
      <c r="FK759"/>
      <c r="FL759"/>
      <c r="FM759"/>
      <c r="FN759"/>
      <c r="FO759"/>
      <c r="FP759"/>
      <c r="FQ759"/>
      <c r="FR759"/>
      <c r="FS759"/>
      <c r="FT759"/>
      <c r="FU759"/>
      <c r="FV759"/>
      <c r="FW759"/>
      <c r="FX759"/>
      <c r="FY759"/>
      <c r="FZ759"/>
      <c r="GA759"/>
      <c r="GB759"/>
      <c r="GC759"/>
      <c r="GD759"/>
    </row>
    <row r="760" spans="1:186" x14ac:dyDescent="0.15">
      <c r="A760" s="455">
        <v>3.6789999999999998</v>
      </c>
      <c r="B760" s="455"/>
      <c r="C760"/>
      <c r="D760"/>
      <c r="E760">
        <v>1</v>
      </c>
      <c r="F760"/>
      <c r="G760"/>
      <c r="H760"/>
      <c r="I760"/>
      <c r="J760" s="558"/>
      <c r="K760"/>
      <c r="AG760"/>
      <c r="AH760"/>
      <c r="AJ760"/>
      <c r="AK760"/>
      <c r="AL760"/>
      <c r="AM760"/>
      <c r="AO760"/>
      <c r="AP760"/>
      <c r="AQ760"/>
      <c r="AR760"/>
      <c r="AS760"/>
      <c r="AT760"/>
      <c r="AU760"/>
      <c r="AV760"/>
      <c r="AW760"/>
      <c r="AX760"/>
      <c r="AY760"/>
      <c r="AZ760"/>
      <c r="BA760"/>
      <c r="BB760"/>
      <c r="BC760"/>
      <c r="BD760"/>
      <c r="BE760"/>
      <c r="BF760"/>
      <c r="BH760"/>
      <c r="BI760"/>
      <c r="BJ760"/>
      <c r="BK760"/>
      <c r="BL760"/>
      <c r="BM760"/>
      <c r="BN760"/>
      <c r="BP760"/>
      <c r="BQ760"/>
      <c r="BR760"/>
      <c r="BS760"/>
      <c r="BT760"/>
      <c r="BU760"/>
      <c r="BV760"/>
      <c r="BW760"/>
      <c r="BZ760"/>
      <c r="CA760"/>
      <c r="CB760"/>
      <c r="CC760"/>
      <c r="CD760"/>
      <c r="CF760"/>
      <c r="CG760"/>
      <c r="CH760"/>
      <c r="CI760"/>
      <c r="CJ760"/>
      <c r="CK760"/>
      <c r="CL760"/>
      <c r="CM760"/>
      <c r="CN760"/>
      <c r="CO760"/>
      <c r="CP760"/>
      <c r="CQ760"/>
      <c r="CR760"/>
      <c r="CS760"/>
      <c r="CT760"/>
      <c r="CU760"/>
      <c r="CV760"/>
      <c r="CW760"/>
      <c r="CX760"/>
      <c r="CY760"/>
      <c r="CZ760"/>
      <c r="DA760"/>
      <c r="DB760"/>
      <c r="DC760"/>
      <c r="DD760"/>
      <c r="DE760"/>
      <c r="DG760"/>
      <c r="DH760"/>
      <c r="DI760"/>
      <c r="DJ760"/>
      <c r="DK760"/>
      <c r="DL760"/>
      <c r="DM760"/>
      <c r="DN760"/>
      <c r="DO760"/>
      <c r="DP760"/>
      <c r="DQ760"/>
      <c r="DR760"/>
      <c r="DS760"/>
      <c r="DT760"/>
      <c r="DU760"/>
      <c r="DV760"/>
      <c r="DW760"/>
      <c r="DZ760"/>
      <c r="EA760"/>
      <c r="EB760"/>
      <c r="EC760"/>
      <c r="ED760"/>
      <c r="EE760"/>
      <c r="EF760"/>
      <c r="EG760"/>
      <c r="EJ760"/>
      <c r="EK760"/>
      <c r="EL760"/>
      <c r="EM760"/>
      <c r="EN760"/>
      <c r="EO760"/>
      <c r="EP760"/>
      <c r="EQ760"/>
      <c r="ER760"/>
      <c r="ES760"/>
      <c r="ET760"/>
      <c r="EU760"/>
      <c r="EV760"/>
      <c r="EW760"/>
      <c r="EX760"/>
      <c r="EY760"/>
      <c r="EZ760"/>
      <c r="FA760"/>
      <c r="FB760"/>
      <c r="FC760"/>
      <c r="FD760"/>
      <c r="FE760"/>
      <c r="FF760"/>
      <c r="FG760"/>
      <c r="FH760"/>
      <c r="FK760"/>
      <c r="FL760"/>
      <c r="FM760"/>
      <c r="FN760"/>
      <c r="FO760"/>
      <c r="FP760"/>
      <c r="FQ760"/>
      <c r="FR760"/>
      <c r="FS760"/>
      <c r="FT760"/>
      <c r="FU760"/>
      <c r="FV760"/>
      <c r="FW760"/>
      <c r="FX760"/>
      <c r="FY760"/>
      <c r="FZ760"/>
      <c r="GA760"/>
      <c r="GB760"/>
      <c r="GC760"/>
      <c r="GD760"/>
    </row>
    <row r="761" spans="1:186" x14ac:dyDescent="0.15">
      <c r="A761" s="455">
        <v>8.7590000000000003</v>
      </c>
      <c r="B761" s="455"/>
      <c r="C761"/>
      <c r="D761"/>
      <c r="E761"/>
      <c r="F761">
        <v>1</v>
      </c>
      <c r="G761"/>
      <c r="H761"/>
      <c r="I761"/>
      <c r="J761" s="558"/>
      <c r="K761"/>
      <c r="AG761"/>
      <c r="AH761"/>
      <c r="AJ761"/>
      <c r="AK761"/>
      <c r="AL761"/>
      <c r="AM761"/>
      <c r="AO761"/>
      <c r="AP761"/>
      <c r="AQ761"/>
      <c r="AR761"/>
      <c r="AS761"/>
      <c r="AT761"/>
      <c r="AU761"/>
      <c r="AV761"/>
      <c r="AW761"/>
      <c r="AX761"/>
      <c r="AY761"/>
      <c r="AZ761"/>
      <c r="BA761"/>
      <c r="BB761"/>
      <c r="BC761"/>
      <c r="BD761"/>
      <c r="BE761"/>
      <c r="BF761"/>
      <c r="BH761"/>
      <c r="BI761"/>
      <c r="BJ761"/>
      <c r="BK761"/>
      <c r="BL761"/>
      <c r="BM761"/>
      <c r="BN761"/>
      <c r="BP761"/>
      <c r="BQ761"/>
      <c r="BR761"/>
      <c r="BS761"/>
      <c r="BT761"/>
      <c r="BU761"/>
      <c r="BV761"/>
      <c r="BW761"/>
      <c r="BZ761"/>
      <c r="CA761"/>
      <c r="CB761"/>
      <c r="CC761"/>
      <c r="CD761"/>
      <c r="CF761"/>
      <c r="CG761"/>
      <c r="CH761"/>
      <c r="CI761"/>
      <c r="CJ761"/>
      <c r="CK761"/>
      <c r="CL761"/>
      <c r="CM761"/>
      <c r="CN761"/>
      <c r="CO761"/>
      <c r="CP761"/>
      <c r="CQ761"/>
      <c r="CR761"/>
      <c r="CS761"/>
      <c r="CT761"/>
      <c r="CU761"/>
      <c r="CV761"/>
      <c r="CW761"/>
      <c r="CX761"/>
      <c r="CY761"/>
      <c r="CZ761"/>
      <c r="DA761"/>
      <c r="DB761"/>
      <c r="DC761"/>
      <c r="DD761"/>
      <c r="DE761"/>
      <c r="DG761"/>
      <c r="DH761"/>
      <c r="DI761"/>
      <c r="DJ761"/>
      <c r="DK761"/>
      <c r="DL761"/>
      <c r="DM761"/>
      <c r="DN761"/>
      <c r="DO761"/>
      <c r="DP761"/>
      <c r="DQ761"/>
      <c r="DR761"/>
      <c r="DS761"/>
      <c r="DT761"/>
      <c r="DU761"/>
      <c r="DV761"/>
      <c r="DW761"/>
      <c r="DZ761"/>
      <c r="EA761"/>
      <c r="EB761"/>
      <c r="EC761"/>
      <c r="ED761"/>
      <c r="EE761"/>
      <c r="EF761"/>
      <c r="EG761"/>
      <c r="EJ761"/>
      <c r="EK761"/>
      <c r="EL761"/>
      <c r="EM761"/>
      <c r="EN761"/>
      <c r="EO761"/>
      <c r="EP761"/>
      <c r="EQ761"/>
      <c r="ER761"/>
      <c r="ES761"/>
      <c r="ET761"/>
      <c r="EU761"/>
      <c r="EV761"/>
      <c r="EW761"/>
      <c r="EX761"/>
      <c r="EY761"/>
      <c r="EZ761"/>
      <c r="FA761"/>
      <c r="FB761"/>
      <c r="FC761"/>
      <c r="FD761"/>
      <c r="FE761"/>
      <c r="FF761"/>
      <c r="FG761"/>
      <c r="FH761"/>
      <c r="FK761"/>
      <c r="FL761"/>
      <c r="FM761"/>
      <c r="FN761"/>
      <c r="FO761"/>
      <c r="FP761"/>
      <c r="FQ761"/>
      <c r="FR761"/>
      <c r="FS761"/>
      <c r="FT761"/>
      <c r="FU761"/>
      <c r="FV761"/>
      <c r="FW761"/>
      <c r="FX761"/>
      <c r="FY761"/>
      <c r="FZ761"/>
      <c r="GA761"/>
      <c r="GB761"/>
      <c r="GC761"/>
      <c r="GD761"/>
    </row>
    <row r="762" spans="1:186" x14ac:dyDescent="0.15">
      <c r="A762" s="455">
        <v>17.724</v>
      </c>
      <c r="B762" s="455"/>
      <c r="C762">
        <v>1</v>
      </c>
      <c r="D762"/>
      <c r="E762"/>
      <c r="F762"/>
      <c r="G762"/>
      <c r="H762"/>
      <c r="I762"/>
      <c r="J762" s="558"/>
      <c r="K762"/>
      <c r="AG762"/>
      <c r="AH762"/>
      <c r="AJ762"/>
      <c r="AK762"/>
      <c r="AL762"/>
      <c r="AM762"/>
      <c r="AO762"/>
      <c r="AP762"/>
      <c r="AQ762"/>
      <c r="AR762"/>
      <c r="AS762"/>
      <c r="AT762"/>
      <c r="AU762"/>
      <c r="AV762"/>
      <c r="AW762"/>
      <c r="AX762"/>
      <c r="AY762"/>
      <c r="AZ762"/>
      <c r="BA762"/>
      <c r="BB762"/>
      <c r="BC762"/>
      <c r="BD762"/>
      <c r="BE762"/>
      <c r="BF762"/>
      <c r="BH762"/>
      <c r="BI762"/>
      <c r="BJ762"/>
      <c r="BK762"/>
      <c r="BL762"/>
      <c r="BM762"/>
      <c r="BN762"/>
      <c r="BP762"/>
      <c r="BQ762"/>
      <c r="BR762"/>
      <c r="BS762"/>
      <c r="BT762"/>
      <c r="BU762"/>
      <c r="BV762"/>
      <c r="BW762"/>
      <c r="BZ762"/>
      <c r="CA762"/>
      <c r="CB762"/>
      <c r="CC762"/>
      <c r="CD762"/>
      <c r="CF762"/>
      <c r="CG762"/>
      <c r="CH762"/>
      <c r="CI762"/>
      <c r="CJ762"/>
      <c r="CK762"/>
      <c r="CL762"/>
      <c r="CM762"/>
      <c r="CN762"/>
      <c r="CO762"/>
      <c r="CP762"/>
      <c r="CQ762"/>
      <c r="CR762"/>
      <c r="CS762"/>
      <c r="CT762"/>
      <c r="CU762"/>
      <c r="CV762"/>
      <c r="CW762"/>
      <c r="CX762"/>
      <c r="CY762"/>
      <c r="CZ762"/>
      <c r="DA762"/>
      <c r="DB762"/>
      <c r="DC762"/>
      <c r="DD762"/>
      <c r="DE762"/>
      <c r="DG762"/>
      <c r="DH762"/>
      <c r="DI762"/>
      <c r="DJ762"/>
      <c r="DK762"/>
      <c r="DL762"/>
      <c r="DM762"/>
      <c r="DN762"/>
      <c r="DO762"/>
      <c r="DP762"/>
      <c r="DQ762"/>
      <c r="DR762"/>
      <c r="DS762"/>
      <c r="DT762"/>
      <c r="DU762"/>
      <c r="DV762"/>
      <c r="DW762"/>
      <c r="DZ762"/>
      <c r="EA762"/>
      <c r="EB762"/>
      <c r="EC762"/>
      <c r="ED762"/>
      <c r="EE762"/>
      <c r="EF762"/>
      <c r="EG762"/>
      <c r="EJ762"/>
      <c r="EK762"/>
      <c r="EL762"/>
      <c r="EM762"/>
      <c r="EN762"/>
      <c r="EO762"/>
      <c r="EP762"/>
      <c r="EQ762"/>
      <c r="ER762"/>
      <c r="ES762"/>
      <c r="ET762"/>
      <c r="EU762"/>
      <c r="EV762"/>
      <c r="EW762"/>
      <c r="EX762"/>
      <c r="EY762"/>
      <c r="EZ762"/>
      <c r="FA762"/>
      <c r="FB762"/>
      <c r="FC762"/>
      <c r="FD762"/>
      <c r="FE762"/>
      <c r="FF762"/>
      <c r="FG762"/>
      <c r="FH762"/>
      <c r="FK762"/>
      <c r="FL762"/>
      <c r="FM762"/>
      <c r="FN762"/>
      <c r="FO762"/>
      <c r="FP762"/>
      <c r="FQ762"/>
      <c r="FR762"/>
      <c r="FS762"/>
      <c r="FT762"/>
      <c r="FU762"/>
      <c r="FV762"/>
      <c r="FW762"/>
      <c r="FX762"/>
      <c r="FY762"/>
      <c r="FZ762"/>
      <c r="GA762"/>
      <c r="GB762"/>
      <c r="GC762"/>
      <c r="GD762"/>
    </row>
    <row r="763" spans="1:186" x14ac:dyDescent="0.15">
      <c r="A763" s="455">
        <v>19.574000000000002</v>
      </c>
      <c r="B763" s="455">
        <v>1</v>
      </c>
      <c r="C763"/>
      <c r="D763"/>
      <c r="E763"/>
      <c r="F763"/>
      <c r="G763"/>
      <c r="H763"/>
      <c r="I763"/>
      <c r="J763" s="558"/>
      <c r="K763"/>
      <c r="AG763"/>
      <c r="AH763"/>
      <c r="AJ763"/>
      <c r="AK763"/>
      <c r="AL763"/>
      <c r="AM763"/>
      <c r="AO763"/>
      <c r="AP763"/>
      <c r="AQ763"/>
      <c r="AR763"/>
      <c r="AS763"/>
      <c r="AT763"/>
      <c r="AU763"/>
      <c r="AV763"/>
      <c r="AW763"/>
      <c r="AX763"/>
      <c r="AY763"/>
      <c r="AZ763"/>
      <c r="BA763"/>
      <c r="BB763"/>
      <c r="BC763"/>
      <c r="BD763"/>
      <c r="BE763"/>
      <c r="BF763"/>
      <c r="BH763"/>
      <c r="BI763"/>
      <c r="BJ763"/>
      <c r="BK763"/>
      <c r="BL763"/>
      <c r="BM763"/>
      <c r="BN763"/>
      <c r="BP763"/>
      <c r="BQ763"/>
      <c r="BR763"/>
      <c r="BS763"/>
      <c r="BT763"/>
      <c r="BU763"/>
      <c r="BV763"/>
      <c r="BW763"/>
      <c r="BZ763"/>
      <c r="CA763"/>
      <c r="CB763"/>
      <c r="CC763"/>
      <c r="CD763"/>
      <c r="CF763"/>
      <c r="CG763"/>
      <c r="CH763"/>
      <c r="CI763"/>
      <c r="CJ763"/>
      <c r="CK763"/>
      <c r="CL763"/>
      <c r="CM763"/>
      <c r="CN763"/>
      <c r="CO763"/>
      <c r="CP763"/>
      <c r="CQ763"/>
      <c r="CR763"/>
      <c r="CS763"/>
      <c r="CT763"/>
      <c r="CU763"/>
      <c r="CV763"/>
      <c r="CW763"/>
      <c r="CX763"/>
      <c r="CY763"/>
      <c r="CZ763"/>
      <c r="DA763"/>
      <c r="DB763"/>
      <c r="DC763"/>
      <c r="DD763"/>
      <c r="DE763"/>
      <c r="DG763"/>
      <c r="DH763"/>
      <c r="DI763"/>
      <c r="DJ763"/>
      <c r="DK763"/>
      <c r="DL763"/>
      <c r="DM763"/>
      <c r="DN763"/>
      <c r="DO763"/>
      <c r="DP763"/>
      <c r="DQ763"/>
      <c r="DR763"/>
      <c r="DS763"/>
      <c r="DT763"/>
      <c r="DU763"/>
      <c r="DV763"/>
      <c r="DW763"/>
      <c r="DZ763"/>
      <c r="EA763"/>
      <c r="EB763"/>
      <c r="EC763"/>
      <c r="ED763"/>
      <c r="EE763"/>
      <c r="EF763"/>
      <c r="EG763"/>
      <c r="EJ763"/>
      <c r="EK763"/>
      <c r="EL763"/>
      <c r="EM763"/>
      <c r="EN763"/>
      <c r="EO763"/>
      <c r="EP763"/>
      <c r="EQ763"/>
      <c r="ER763"/>
      <c r="ES763"/>
      <c r="ET763"/>
      <c r="EU763"/>
      <c r="EV763"/>
      <c r="EW763"/>
      <c r="EX763"/>
      <c r="EY763"/>
      <c r="EZ763"/>
      <c r="FA763"/>
      <c r="FB763"/>
      <c r="FC763"/>
      <c r="FD763"/>
      <c r="FE763"/>
      <c r="FF763"/>
      <c r="FG763"/>
      <c r="FH763"/>
      <c r="FK763"/>
      <c r="FL763"/>
      <c r="FM763"/>
      <c r="FN763"/>
      <c r="FO763"/>
      <c r="FP763"/>
      <c r="FQ763"/>
      <c r="FR763"/>
      <c r="FS763"/>
      <c r="FT763"/>
      <c r="FU763"/>
      <c r="FV763"/>
      <c r="FW763"/>
      <c r="FX763"/>
      <c r="FY763"/>
      <c r="FZ763"/>
      <c r="GA763"/>
      <c r="GB763"/>
      <c r="GC763"/>
      <c r="GD763"/>
    </row>
    <row r="764" spans="1:186" x14ac:dyDescent="0.15">
      <c r="A764" s="455">
        <v>0.79600000000000004</v>
      </c>
      <c r="B764" s="455">
        <v>1</v>
      </c>
      <c r="C764"/>
      <c r="D764"/>
      <c r="E764"/>
      <c r="F764"/>
      <c r="G764"/>
      <c r="H764"/>
      <c r="I764"/>
      <c r="J764" s="558"/>
      <c r="K764"/>
      <c r="AG764"/>
      <c r="AH764"/>
      <c r="AJ764"/>
      <c r="AK764"/>
      <c r="AL764"/>
      <c r="AM764"/>
      <c r="AO764"/>
      <c r="AP764"/>
      <c r="AQ764"/>
      <c r="AR764"/>
      <c r="AS764"/>
      <c r="AT764"/>
      <c r="AU764"/>
      <c r="AV764"/>
      <c r="AW764"/>
      <c r="AX764"/>
      <c r="AY764"/>
      <c r="AZ764"/>
      <c r="BA764"/>
      <c r="BB764"/>
      <c r="BC764"/>
      <c r="BD764"/>
      <c r="BE764"/>
      <c r="BF764"/>
      <c r="BH764"/>
      <c r="BI764"/>
      <c r="BJ764"/>
      <c r="BK764"/>
      <c r="BL764"/>
      <c r="BM764"/>
      <c r="BN764"/>
      <c r="BP764"/>
      <c r="BQ764"/>
      <c r="BR764"/>
      <c r="BS764"/>
      <c r="BT764"/>
      <c r="BU764"/>
      <c r="BV764"/>
      <c r="BW764"/>
      <c r="BZ764"/>
      <c r="CA764"/>
      <c r="CB764"/>
      <c r="CC764"/>
      <c r="CD764"/>
      <c r="CF764"/>
      <c r="CG764"/>
      <c r="CH764"/>
      <c r="CI764"/>
      <c r="CJ764"/>
      <c r="CK764"/>
      <c r="CL764"/>
      <c r="CM764"/>
      <c r="CN764"/>
      <c r="CO764"/>
      <c r="CP764"/>
      <c r="CQ764"/>
      <c r="CR764"/>
      <c r="CS764"/>
      <c r="CT764"/>
      <c r="CU764"/>
      <c r="CV764"/>
      <c r="CW764"/>
      <c r="CX764"/>
      <c r="CY764"/>
      <c r="CZ764"/>
      <c r="DA764"/>
      <c r="DB764"/>
      <c r="DC764"/>
      <c r="DD764"/>
      <c r="DE764"/>
      <c r="DG764"/>
      <c r="DH764"/>
      <c r="DI764"/>
      <c r="DJ764"/>
      <c r="DK764"/>
      <c r="DL764"/>
      <c r="DM764"/>
      <c r="DN764"/>
      <c r="DO764"/>
      <c r="DP764"/>
      <c r="DQ764"/>
      <c r="DR764"/>
      <c r="DS764"/>
      <c r="DT764"/>
      <c r="DU764"/>
      <c r="DV764"/>
      <c r="DW764"/>
      <c r="DZ764"/>
      <c r="EA764"/>
      <c r="EB764"/>
      <c r="EC764"/>
      <c r="ED764"/>
      <c r="EE764"/>
      <c r="EF764"/>
      <c r="EG764"/>
      <c r="EJ764"/>
      <c r="EK764"/>
      <c r="EL764"/>
      <c r="EM764"/>
      <c r="EN764"/>
      <c r="EO764"/>
      <c r="EP764"/>
      <c r="EQ764"/>
      <c r="ER764"/>
      <c r="ES764"/>
      <c r="ET764"/>
      <c r="EU764"/>
      <c r="EV764"/>
      <c r="EW764"/>
      <c r="EX764"/>
      <c r="EY764"/>
      <c r="EZ764"/>
      <c r="FA764"/>
      <c r="FB764"/>
      <c r="FC764"/>
      <c r="FD764"/>
      <c r="FE764"/>
      <c r="FF764"/>
      <c r="FG764"/>
      <c r="FH764"/>
      <c r="FK764"/>
      <c r="FL764"/>
      <c r="FM764"/>
      <c r="FN764"/>
      <c r="FO764"/>
      <c r="FP764"/>
      <c r="FQ764"/>
      <c r="FR764"/>
      <c r="FS764"/>
      <c r="FT764"/>
      <c r="FU764"/>
      <c r="FV764"/>
      <c r="FW764"/>
      <c r="FX764"/>
      <c r="FY764"/>
      <c r="FZ764"/>
      <c r="GA764"/>
      <c r="GB764"/>
      <c r="GC764"/>
      <c r="GD764"/>
    </row>
    <row r="765" spans="1:186" x14ac:dyDescent="0.15">
      <c r="A765" s="455">
        <v>0.93300000000000005</v>
      </c>
      <c r="B765" s="455"/>
      <c r="C765"/>
      <c r="D765">
        <v>1</v>
      </c>
      <c r="E765"/>
      <c r="F765"/>
      <c r="G765"/>
      <c r="H765"/>
      <c r="I765"/>
      <c r="J765" s="558"/>
      <c r="K765"/>
      <c r="AG765"/>
      <c r="AH765"/>
      <c r="AJ765"/>
      <c r="AK765"/>
      <c r="AL765"/>
      <c r="AM765"/>
      <c r="AO765"/>
      <c r="AP765"/>
      <c r="AQ765"/>
      <c r="AR765"/>
      <c r="AS765"/>
      <c r="AT765"/>
      <c r="AU765"/>
      <c r="AV765"/>
      <c r="AW765"/>
      <c r="AX765"/>
      <c r="AY765"/>
      <c r="AZ765"/>
      <c r="BA765"/>
      <c r="BB765"/>
      <c r="BC765"/>
      <c r="BD765"/>
      <c r="BE765"/>
      <c r="BF765"/>
      <c r="BH765"/>
      <c r="BI765"/>
      <c r="BJ765"/>
      <c r="BK765"/>
      <c r="BL765"/>
      <c r="BM765"/>
      <c r="BN765"/>
      <c r="BP765"/>
      <c r="BQ765"/>
      <c r="BR765"/>
      <c r="BS765"/>
      <c r="BT765"/>
      <c r="BU765"/>
      <c r="BV765"/>
      <c r="BW765"/>
      <c r="BZ765"/>
      <c r="CA765"/>
      <c r="CB765"/>
      <c r="CC765"/>
      <c r="CD765"/>
      <c r="CF765"/>
      <c r="CG765"/>
      <c r="CH765"/>
      <c r="CI765"/>
      <c r="CJ765"/>
      <c r="CK765"/>
      <c r="CL765"/>
      <c r="CM765"/>
      <c r="CN765"/>
      <c r="CO765"/>
      <c r="CP765"/>
      <c r="CQ765"/>
      <c r="CR765"/>
      <c r="CS765"/>
      <c r="CT765"/>
      <c r="CU765"/>
      <c r="CV765"/>
      <c r="CW765"/>
      <c r="CX765"/>
      <c r="CY765"/>
      <c r="CZ765"/>
      <c r="DA765"/>
      <c r="DB765"/>
      <c r="DC765"/>
      <c r="DD765"/>
      <c r="DE765"/>
      <c r="DG765"/>
      <c r="DH765"/>
      <c r="DI765"/>
      <c r="DJ765"/>
      <c r="DK765"/>
      <c r="DL765"/>
      <c r="DM765"/>
      <c r="DN765"/>
      <c r="DO765"/>
      <c r="DP765"/>
      <c r="DQ765"/>
      <c r="DR765"/>
      <c r="DS765"/>
      <c r="DT765"/>
      <c r="DU765"/>
      <c r="DV765"/>
      <c r="DW765"/>
      <c r="DZ765"/>
      <c r="EA765"/>
      <c r="EB765"/>
      <c r="EC765"/>
      <c r="ED765"/>
      <c r="EE765"/>
      <c r="EF765"/>
      <c r="EG765"/>
      <c r="EJ765"/>
      <c r="EK765"/>
      <c r="EL765"/>
      <c r="EM765"/>
      <c r="EN765"/>
      <c r="EO765"/>
      <c r="EP765"/>
      <c r="EQ765"/>
      <c r="ER765"/>
      <c r="ES765"/>
      <c r="ET765"/>
      <c r="EU765"/>
      <c r="EV765"/>
      <c r="EW765"/>
      <c r="EX765"/>
      <c r="EY765"/>
      <c r="EZ765"/>
      <c r="FA765"/>
      <c r="FB765"/>
      <c r="FC765"/>
      <c r="FD765"/>
      <c r="FE765"/>
      <c r="FF765"/>
      <c r="FG765"/>
      <c r="FH765"/>
      <c r="FK765"/>
      <c r="FL765"/>
      <c r="FM765"/>
      <c r="FN765"/>
      <c r="FO765"/>
      <c r="FP765"/>
      <c r="FQ765"/>
      <c r="FR765"/>
      <c r="FS765"/>
      <c r="FT765"/>
      <c r="FU765"/>
      <c r="FV765"/>
      <c r="FW765"/>
      <c r="FX765"/>
      <c r="FY765"/>
      <c r="FZ765"/>
      <c r="GA765"/>
      <c r="GB765"/>
      <c r="GC765"/>
      <c r="GD765"/>
    </row>
    <row r="766" spans="1:186" x14ac:dyDescent="0.15">
      <c r="A766" s="455">
        <v>25.722000000000001</v>
      </c>
      <c r="B766" s="455">
        <v>1</v>
      </c>
      <c r="C766"/>
      <c r="D766"/>
      <c r="E766"/>
      <c r="F766"/>
      <c r="G766"/>
      <c r="H766"/>
      <c r="I766"/>
      <c r="J766" s="558"/>
      <c r="K766"/>
      <c r="AG766"/>
      <c r="AH766"/>
      <c r="AJ766"/>
      <c r="AK766"/>
      <c r="AL766"/>
      <c r="AM766"/>
      <c r="AO766"/>
      <c r="AP766"/>
      <c r="AQ766"/>
      <c r="AR766"/>
      <c r="AS766"/>
      <c r="AT766"/>
      <c r="AU766"/>
      <c r="AV766"/>
      <c r="AW766"/>
      <c r="AX766"/>
      <c r="AY766"/>
      <c r="AZ766"/>
      <c r="BA766"/>
      <c r="BB766"/>
      <c r="BC766"/>
      <c r="BD766"/>
      <c r="BE766"/>
      <c r="BF766"/>
      <c r="BH766"/>
      <c r="BI766"/>
      <c r="BJ766"/>
      <c r="BK766"/>
      <c r="BL766"/>
      <c r="BM766"/>
      <c r="BN766"/>
      <c r="BP766"/>
      <c r="BQ766"/>
      <c r="BR766"/>
      <c r="BS766"/>
      <c r="BT766"/>
      <c r="BU766"/>
      <c r="BV766"/>
      <c r="BW766"/>
      <c r="BZ766"/>
      <c r="CA766"/>
      <c r="CB766"/>
      <c r="CC766"/>
      <c r="CD766"/>
      <c r="CF766"/>
      <c r="CG766"/>
      <c r="CH766"/>
      <c r="CI766"/>
      <c r="CJ766"/>
      <c r="CK766"/>
      <c r="CL766"/>
      <c r="CM766"/>
      <c r="CN766"/>
      <c r="CO766"/>
      <c r="CP766"/>
      <c r="CQ766"/>
      <c r="CR766"/>
      <c r="CS766"/>
      <c r="CT766"/>
      <c r="CU766"/>
      <c r="CV766"/>
      <c r="CW766"/>
      <c r="CX766"/>
      <c r="CY766"/>
      <c r="CZ766"/>
      <c r="DA766"/>
      <c r="DB766"/>
      <c r="DC766"/>
      <c r="DD766"/>
      <c r="DE766"/>
      <c r="DG766"/>
      <c r="DH766"/>
      <c r="DI766"/>
      <c r="DJ766"/>
      <c r="DK766"/>
      <c r="DL766"/>
      <c r="DM766"/>
      <c r="DN766"/>
      <c r="DO766"/>
      <c r="DP766"/>
      <c r="DQ766"/>
      <c r="DR766"/>
      <c r="DS766"/>
      <c r="DT766"/>
      <c r="DU766"/>
      <c r="DV766"/>
      <c r="DW766"/>
      <c r="DZ766"/>
      <c r="EA766"/>
      <c r="EB766"/>
      <c r="EC766"/>
      <c r="ED766"/>
      <c r="EE766"/>
      <c r="EF766"/>
      <c r="EG766"/>
      <c r="EJ766"/>
      <c r="EK766"/>
      <c r="EL766"/>
      <c r="EM766"/>
      <c r="EN766"/>
      <c r="EO766"/>
      <c r="EP766"/>
      <c r="EQ766"/>
      <c r="ER766"/>
      <c r="ES766"/>
      <c r="ET766"/>
      <c r="EU766"/>
      <c r="EV766"/>
      <c r="EW766"/>
      <c r="EX766"/>
      <c r="EY766"/>
      <c r="EZ766"/>
      <c r="FA766"/>
      <c r="FB766"/>
      <c r="FC766"/>
      <c r="FD766"/>
      <c r="FE766"/>
      <c r="FF766"/>
      <c r="FG766"/>
      <c r="FH766"/>
      <c r="FK766"/>
      <c r="FL766"/>
      <c r="FM766"/>
      <c r="FN766"/>
      <c r="FO766"/>
      <c r="FP766"/>
      <c r="FQ766"/>
      <c r="FR766"/>
      <c r="FS766"/>
      <c r="FT766"/>
      <c r="FU766"/>
      <c r="FV766"/>
      <c r="FW766"/>
      <c r="FX766"/>
      <c r="FY766"/>
      <c r="FZ766"/>
      <c r="GA766"/>
      <c r="GB766"/>
      <c r="GC766"/>
      <c r="GD766"/>
    </row>
    <row r="767" spans="1:186" x14ac:dyDescent="0.15">
      <c r="A767" s="455">
        <v>31.138000000000002</v>
      </c>
      <c r="B767" s="455">
        <v>1</v>
      </c>
      <c r="C767"/>
      <c r="D767"/>
      <c r="E767"/>
      <c r="F767"/>
      <c r="G767"/>
      <c r="H767"/>
      <c r="I767"/>
      <c r="J767" s="558"/>
      <c r="K767"/>
      <c r="AG767"/>
      <c r="AH767"/>
      <c r="AJ767"/>
      <c r="AK767"/>
      <c r="AL767"/>
      <c r="AM767"/>
      <c r="AO767"/>
      <c r="AP767"/>
      <c r="AQ767"/>
      <c r="AR767"/>
      <c r="AS767"/>
      <c r="AT767"/>
      <c r="AU767"/>
      <c r="AV767"/>
      <c r="AW767"/>
      <c r="AX767"/>
      <c r="AY767"/>
      <c r="AZ767"/>
      <c r="BA767"/>
      <c r="BB767"/>
      <c r="BC767"/>
      <c r="BD767"/>
      <c r="BE767"/>
      <c r="BF767"/>
      <c r="BH767"/>
      <c r="BI767"/>
      <c r="BJ767"/>
      <c r="BK767"/>
      <c r="BL767"/>
      <c r="BM767"/>
      <c r="BN767"/>
      <c r="BP767"/>
      <c r="BQ767"/>
      <c r="BR767"/>
      <c r="BS767"/>
      <c r="BT767"/>
      <c r="BU767"/>
      <c r="BV767"/>
      <c r="BW767"/>
      <c r="BZ767"/>
      <c r="CA767"/>
      <c r="CB767"/>
      <c r="CC767"/>
      <c r="CD767"/>
      <c r="CF767"/>
      <c r="CG767"/>
      <c r="CH767"/>
      <c r="CI767"/>
      <c r="CJ767"/>
      <c r="CK767"/>
      <c r="CL767"/>
      <c r="CM767"/>
      <c r="CN767"/>
      <c r="CO767"/>
      <c r="CP767"/>
      <c r="CQ767"/>
      <c r="CR767"/>
      <c r="CS767"/>
      <c r="CT767"/>
      <c r="CU767"/>
      <c r="CV767"/>
      <c r="CW767"/>
      <c r="CX767"/>
      <c r="CY767"/>
      <c r="CZ767"/>
      <c r="DA767"/>
      <c r="DB767"/>
      <c r="DC767"/>
      <c r="DD767"/>
      <c r="DE767"/>
      <c r="DG767"/>
      <c r="DH767"/>
      <c r="DI767"/>
      <c r="DJ767"/>
      <c r="DK767"/>
      <c r="DL767"/>
      <c r="DM767"/>
      <c r="DN767"/>
      <c r="DO767"/>
      <c r="DP767"/>
      <c r="DQ767"/>
      <c r="DR767"/>
      <c r="DS767"/>
      <c r="DT767"/>
      <c r="DU767"/>
      <c r="DV767"/>
      <c r="DW767"/>
      <c r="DZ767"/>
      <c r="EA767"/>
      <c r="EB767"/>
      <c r="EC767"/>
      <c r="ED767"/>
      <c r="EE767"/>
      <c r="EF767"/>
      <c r="EG767"/>
      <c r="EJ767"/>
      <c r="EK767"/>
      <c r="EL767"/>
      <c r="EM767"/>
      <c r="EN767"/>
      <c r="EO767"/>
      <c r="EP767"/>
      <c r="EQ767"/>
      <c r="ER767"/>
      <c r="ES767"/>
      <c r="ET767"/>
      <c r="EU767"/>
      <c r="EV767"/>
      <c r="EW767"/>
      <c r="EX767"/>
      <c r="EY767"/>
      <c r="EZ767"/>
      <c r="FA767"/>
      <c r="FB767"/>
      <c r="FC767"/>
      <c r="FD767"/>
      <c r="FE767"/>
      <c r="FF767"/>
      <c r="FG767"/>
      <c r="FH767"/>
      <c r="FK767"/>
      <c r="FL767"/>
      <c r="FM767"/>
      <c r="FN767"/>
      <c r="FO767"/>
      <c r="FP767"/>
      <c r="FQ767"/>
      <c r="FR767"/>
      <c r="FS767"/>
      <c r="FT767"/>
      <c r="FU767"/>
      <c r="FV767"/>
      <c r="FW767"/>
      <c r="FX767"/>
      <c r="FY767"/>
      <c r="FZ767"/>
      <c r="GA767"/>
      <c r="GB767"/>
      <c r="GC767"/>
      <c r="GD767"/>
    </row>
    <row r="768" spans="1:186" x14ac:dyDescent="0.15">
      <c r="A768" s="455">
        <v>13.16</v>
      </c>
      <c r="B768" s="455"/>
      <c r="C768"/>
      <c r="D768"/>
      <c r="E768"/>
      <c r="F768"/>
      <c r="G768"/>
      <c r="H768"/>
      <c r="I768"/>
      <c r="J768" s="558">
        <v>1</v>
      </c>
      <c r="K768"/>
      <c r="AG768"/>
      <c r="AH768"/>
      <c r="AJ768"/>
      <c r="AK768"/>
      <c r="AL768"/>
      <c r="AM768"/>
      <c r="AO768"/>
      <c r="AP768"/>
      <c r="AQ768"/>
      <c r="AR768"/>
      <c r="AS768"/>
      <c r="AT768"/>
      <c r="AU768"/>
      <c r="AV768"/>
      <c r="AW768"/>
      <c r="AX768"/>
      <c r="AY768"/>
      <c r="AZ768"/>
      <c r="BA768"/>
      <c r="BB768"/>
      <c r="BC768"/>
      <c r="BD768"/>
      <c r="BE768"/>
      <c r="BF768"/>
      <c r="BH768"/>
      <c r="BI768"/>
      <c r="BJ768"/>
      <c r="BK768"/>
      <c r="BL768"/>
      <c r="BM768"/>
      <c r="BN768"/>
      <c r="BP768"/>
      <c r="BQ768"/>
      <c r="BR768"/>
      <c r="BS768"/>
      <c r="BT768"/>
      <c r="BU768"/>
      <c r="BV768"/>
      <c r="BW768"/>
      <c r="BZ768"/>
      <c r="CA768"/>
      <c r="CB768"/>
      <c r="CC768"/>
      <c r="CD768"/>
      <c r="CF768"/>
      <c r="CG768"/>
      <c r="CH768"/>
      <c r="CI768"/>
      <c r="CJ768"/>
      <c r="CK768"/>
      <c r="CL768"/>
      <c r="CM768"/>
      <c r="CN768"/>
      <c r="CO768"/>
      <c r="CP768"/>
      <c r="CQ768"/>
      <c r="CR768"/>
      <c r="CS768"/>
      <c r="CT768"/>
      <c r="CU768"/>
      <c r="CV768"/>
      <c r="CW768"/>
      <c r="CX768"/>
      <c r="CY768"/>
      <c r="CZ768"/>
      <c r="DA768"/>
      <c r="DB768"/>
      <c r="DC768"/>
      <c r="DD768"/>
      <c r="DE768"/>
      <c r="DG768"/>
      <c r="DH768"/>
      <c r="DI768"/>
      <c r="DJ768"/>
      <c r="DK768"/>
      <c r="DL768"/>
      <c r="DM768"/>
      <c r="DN768"/>
      <c r="DO768"/>
      <c r="DP768"/>
      <c r="DQ768"/>
      <c r="DR768"/>
      <c r="DS768"/>
      <c r="DT768"/>
      <c r="DU768"/>
      <c r="DV768"/>
      <c r="DW768"/>
      <c r="DZ768"/>
      <c r="EA768"/>
      <c r="EB768"/>
      <c r="EC768"/>
      <c r="ED768"/>
      <c r="EE768"/>
      <c r="EF768"/>
      <c r="EG768"/>
      <c r="EJ768"/>
      <c r="EK768"/>
      <c r="EL768"/>
      <c r="EM768"/>
      <c r="EN768"/>
      <c r="EO768"/>
      <c r="EP768"/>
      <c r="EQ768"/>
      <c r="ER768"/>
      <c r="ES768"/>
      <c r="ET768"/>
      <c r="EU768"/>
      <c r="EV768"/>
      <c r="EW768"/>
      <c r="EX768"/>
      <c r="EY768"/>
      <c r="EZ768"/>
      <c r="FA768"/>
      <c r="FB768"/>
      <c r="FC768"/>
      <c r="FD768"/>
      <c r="FE768"/>
      <c r="FF768"/>
      <c r="FG768"/>
      <c r="FH768"/>
      <c r="FK768"/>
      <c r="FL768"/>
      <c r="FM768"/>
      <c r="FN768"/>
      <c r="FO768"/>
      <c r="FP768"/>
      <c r="FQ768"/>
      <c r="FR768"/>
      <c r="FS768"/>
      <c r="FT768"/>
      <c r="FU768"/>
      <c r="FV768"/>
      <c r="FW768"/>
      <c r="FX768"/>
      <c r="FY768"/>
      <c r="FZ768"/>
      <c r="GA768"/>
      <c r="GB768"/>
      <c r="GC768"/>
      <c r="GD768"/>
    </row>
    <row r="769" spans="1:186" x14ac:dyDescent="0.15">
      <c r="A769" s="455">
        <v>6.0830000000000002</v>
      </c>
      <c r="B769" s="455"/>
      <c r="C769"/>
      <c r="D769"/>
      <c r="E769"/>
      <c r="F769">
        <v>1</v>
      </c>
      <c r="G769"/>
      <c r="H769"/>
      <c r="I769"/>
      <c r="J769" s="558"/>
      <c r="K769"/>
      <c r="AG769"/>
      <c r="AH769"/>
      <c r="AJ769"/>
      <c r="AK769"/>
      <c r="AL769"/>
      <c r="AM769"/>
      <c r="AO769"/>
      <c r="AP769"/>
      <c r="AQ769"/>
      <c r="AR769"/>
      <c r="AS769"/>
      <c r="AT769"/>
      <c r="AU769"/>
      <c r="AV769"/>
      <c r="AW769"/>
      <c r="AX769"/>
      <c r="AY769"/>
      <c r="AZ769"/>
      <c r="BA769"/>
      <c r="BB769"/>
      <c r="BC769"/>
      <c r="BD769"/>
      <c r="BE769"/>
      <c r="BF769"/>
      <c r="BH769"/>
      <c r="BI769"/>
      <c r="BJ769"/>
      <c r="BK769"/>
      <c r="BL769"/>
      <c r="BM769"/>
      <c r="BN769"/>
      <c r="BP769"/>
      <c r="BQ769"/>
      <c r="BR769"/>
      <c r="BS769"/>
      <c r="BT769"/>
      <c r="BU769"/>
      <c r="BV769"/>
      <c r="BW769"/>
      <c r="BZ769"/>
      <c r="CA769"/>
      <c r="CB769"/>
      <c r="CC769"/>
      <c r="CD769"/>
      <c r="CF769"/>
      <c r="CG769"/>
      <c r="CH769"/>
      <c r="CI769"/>
      <c r="CJ769"/>
      <c r="CK769"/>
      <c r="CL769"/>
      <c r="CM769"/>
      <c r="CN769"/>
      <c r="CO769"/>
      <c r="CP769"/>
      <c r="CQ769"/>
      <c r="CR769"/>
      <c r="CS769"/>
      <c r="CT769"/>
      <c r="CU769"/>
      <c r="CV769"/>
      <c r="CW769"/>
      <c r="CX769"/>
      <c r="CY769"/>
      <c r="CZ769"/>
      <c r="DA769"/>
      <c r="DB769"/>
      <c r="DC769"/>
      <c r="DD769"/>
      <c r="DE769"/>
      <c r="DG769"/>
      <c r="DH769"/>
      <c r="DI769"/>
      <c r="DJ769"/>
      <c r="DK769"/>
      <c r="DL769"/>
      <c r="DM769"/>
      <c r="DN769"/>
      <c r="DO769"/>
      <c r="DP769"/>
      <c r="DQ769"/>
      <c r="DR769"/>
      <c r="DS769"/>
      <c r="DT769"/>
      <c r="DU769"/>
      <c r="DV769"/>
      <c r="DW769"/>
      <c r="DZ769"/>
      <c r="EA769"/>
      <c r="EB769"/>
      <c r="EC769"/>
      <c r="ED769"/>
      <c r="EE769"/>
      <c r="EF769"/>
      <c r="EG769"/>
      <c r="EJ769"/>
      <c r="EK769"/>
      <c r="EL769"/>
      <c r="EM769"/>
      <c r="EN769"/>
      <c r="EO769"/>
      <c r="EP769"/>
      <c r="EQ769"/>
      <c r="ER769"/>
      <c r="ES769"/>
      <c r="ET769"/>
      <c r="EU769"/>
      <c r="EV769"/>
      <c r="EW769"/>
      <c r="EX769"/>
      <c r="EY769"/>
      <c r="EZ769"/>
      <c r="FA769"/>
      <c r="FB769"/>
      <c r="FC769"/>
      <c r="FD769"/>
      <c r="FE769"/>
      <c r="FF769"/>
      <c r="FG769"/>
      <c r="FH769"/>
      <c r="FK769"/>
      <c r="FL769"/>
      <c r="FM769"/>
      <c r="FN769"/>
      <c r="FO769"/>
      <c r="FP769"/>
      <c r="FQ769"/>
      <c r="FR769"/>
      <c r="FS769"/>
      <c r="FT769"/>
      <c r="FU769"/>
      <c r="FV769"/>
      <c r="FW769"/>
      <c r="FX769"/>
      <c r="FY769"/>
      <c r="FZ769"/>
      <c r="GA769"/>
      <c r="GB769"/>
      <c r="GC769"/>
      <c r="GD769"/>
    </row>
    <row r="770" spans="1:186" x14ac:dyDescent="0.15">
      <c r="A770" s="455">
        <v>22.093</v>
      </c>
      <c r="B770" s="455"/>
      <c r="C770">
        <v>1</v>
      </c>
      <c r="D770"/>
      <c r="E770"/>
      <c r="F770"/>
      <c r="G770"/>
      <c r="H770"/>
      <c r="I770"/>
      <c r="J770" s="558"/>
      <c r="K770"/>
      <c r="AG770"/>
      <c r="AH770"/>
      <c r="AJ770"/>
      <c r="AK770"/>
      <c r="AL770"/>
      <c r="AM770"/>
      <c r="AO770"/>
      <c r="AP770"/>
      <c r="AQ770"/>
      <c r="AR770"/>
      <c r="AS770"/>
      <c r="AT770"/>
      <c r="AU770"/>
      <c r="AV770"/>
      <c r="AW770"/>
      <c r="AX770"/>
      <c r="AY770"/>
      <c r="AZ770"/>
      <c r="BA770"/>
      <c r="BB770"/>
      <c r="BC770"/>
      <c r="BD770"/>
      <c r="BE770"/>
      <c r="BF770"/>
      <c r="BH770"/>
      <c r="BI770"/>
      <c r="BJ770"/>
      <c r="BK770"/>
      <c r="BL770"/>
      <c r="BM770"/>
      <c r="BN770"/>
      <c r="BP770"/>
      <c r="BQ770"/>
      <c r="BR770"/>
      <c r="BS770"/>
      <c r="BT770"/>
      <c r="BU770"/>
      <c r="BV770"/>
      <c r="BW770"/>
      <c r="BZ770"/>
      <c r="CA770"/>
      <c r="CB770"/>
      <c r="CC770"/>
      <c r="CD770"/>
      <c r="CF770"/>
      <c r="CG770"/>
      <c r="CH770"/>
      <c r="CI770"/>
      <c r="CJ770"/>
      <c r="CK770"/>
      <c r="CL770"/>
      <c r="CM770"/>
      <c r="CN770"/>
      <c r="CO770"/>
      <c r="CP770"/>
      <c r="CQ770"/>
      <c r="CR770"/>
      <c r="CS770"/>
      <c r="CT770"/>
      <c r="CU770"/>
      <c r="CV770"/>
      <c r="CW770"/>
      <c r="CX770"/>
      <c r="CY770"/>
      <c r="CZ770"/>
      <c r="DA770"/>
      <c r="DB770"/>
      <c r="DC770"/>
      <c r="DD770"/>
      <c r="DE770"/>
      <c r="DG770"/>
      <c r="DH770"/>
      <c r="DI770"/>
      <c r="DJ770"/>
      <c r="DK770"/>
      <c r="DL770"/>
      <c r="DM770"/>
      <c r="DN770"/>
      <c r="DO770"/>
      <c r="DP770"/>
      <c r="DQ770"/>
      <c r="DR770"/>
      <c r="DS770"/>
      <c r="DT770"/>
      <c r="DU770"/>
      <c r="DV770"/>
      <c r="DW770"/>
      <c r="DZ770"/>
      <c r="EA770"/>
      <c r="EB770"/>
      <c r="EC770"/>
      <c r="ED770"/>
      <c r="EE770"/>
      <c r="EF770"/>
      <c r="EG770"/>
      <c r="EJ770"/>
      <c r="EK770"/>
      <c r="EL770"/>
      <c r="EM770"/>
      <c r="EN770"/>
      <c r="EO770"/>
      <c r="EP770"/>
      <c r="EQ770"/>
      <c r="ER770"/>
      <c r="ES770"/>
      <c r="ET770"/>
      <c r="EU770"/>
      <c r="EV770"/>
      <c r="EW770"/>
      <c r="EX770"/>
      <c r="EY770"/>
      <c r="EZ770"/>
      <c r="FA770"/>
      <c r="FB770"/>
      <c r="FC770"/>
      <c r="FD770"/>
      <c r="FE770"/>
      <c r="FF770"/>
      <c r="FG770"/>
      <c r="FH770"/>
      <c r="FK770"/>
      <c r="FL770"/>
      <c r="FM770"/>
      <c r="FN770"/>
      <c r="FO770"/>
      <c r="FP770"/>
      <c r="FQ770"/>
      <c r="FR770"/>
      <c r="FS770"/>
      <c r="FT770"/>
      <c r="FU770"/>
      <c r="FV770"/>
      <c r="FW770"/>
      <c r="FX770"/>
      <c r="FY770"/>
      <c r="FZ770"/>
      <c r="GA770"/>
      <c r="GB770"/>
      <c r="GC770"/>
      <c r="GD770"/>
    </row>
    <row r="771" spans="1:186" x14ac:dyDescent="0.15">
      <c r="A771" s="455">
        <v>3.214</v>
      </c>
      <c r="B771" s="455"/>
      <c r="C771">
        <v>1</v>
      </c>
      <c r="D771"/>
      <c r="E771"/>
      <c r="F771"/>
      <c r="G771"/>
      <c r="H771"/>
      <c r="I771"/>
      <c r="J771" s="558"/>
      <c r="K771"/>
      <c r="AG771"/>
      <c r="AH771"/>
      <c r="AJ771"/>
      <c r="AK771"/>
      <c r="AL771"/>
      <c r="AM771"/>
      <c r="AO771"/>
      <c r="AP771"/>
      <c r="AQ771"/>
      <c r="AR771"/>
      <c r="AS771"/>
      <c r="AT771"/>
      <c r="AU771"/>
      <c r="AV771"/>
      <c r="AW771"/>
      <c r="AX771"/>
      <c r="AY771"/>
      <c r="AZ771"/>
      <c r="BA771"/>
      <c r="BB771"/>
      <c r="BC771"/>
      <c r="BD771"/>
      <c r="BE771"/>
      <c r="BF771"/>
      <c r="BH771"/>
      <c r="BI771"/>
      <c r="BJ771"/>
      <c r="BK771"/>
      <c r="BL771"/>
      <c r="BM771"/>
      <c r="BN771"/>
      <c r="BP771"/>
      <c r="BQ771"/>
      <c r="BR771"/>
      <c r="BS771"/>
      <c r="BT771"/>
      <c r="BU771"/>
      <c r="BV771"/>
      <c r="BW771"/>
      <c r="BZ771"/>
      <c r="CA771"/>
      <c r="CB771"/>
      <c r="CC771"/>
      <c r="CD771"/>
      <c r="CF771"/>
      <c r="CG771"/>
      <c r="CH771"/>
      <c r="CI771"/>
      <c r="CJ771"/>
      <c r="CK771"/>
      <c r="CL771"/>
      <c r="CM771"/>
      <c r="CN771"/>
      <c r="CO771"/>
      <c r="CP771"/>
      <c r="CQ771"/>
      <c r="CR771"/>
      <c r="CS771"/>
      <c r="CT771"/>
      <c r="CU771"/>
      <c r="CV771"/>
      <c r="CW771"/>
      <c r="CX771"/>
      <c r="CY771"/>
      <c r="CZ771"/>
      <c r="DA771"/>
      <c r="DB771"/>
      <c r="DC771"/>
      <c r="DD771"/>
      <c r="DE771"/>
      <c r="DG771"/>
      <c r="DH771"/>
      <c r="DI771"/>
      <c r="DJ771"/>
      <c r="DK771"/>
      <c r="DL771"/>
      <c r="DM771"/>
      <c r="DN771"/>
      <c r="DO771"/>
      <c r="DP771"/>
      <c r="DQ771"/>
      <c r="DR771"/>
      <c r="DS771"/>
      <c r="DT771"/>
      <c r="DU771"/>
      <c r="DV771"/>
      <c r="DW771"/>
      <c r="DZ771"/>
      <c r="EA771"/>
      <c r="EB771"/>
      <c r="EC771"/>
      <c r="ED771"/>
      <c r="EE771"/>
      <c r="EF771"/>
      <c r="EG771"/>
      <c r="EJ771"/>
      <c r="EK771"/>
      <c r="EL771"/>
      <c r="EM771"/>
      <c r="EN771"/>
      <c r="EO771"/>
      <c r="EP771"/>
      <c r="EQ771"/>
      <c r="ER771"/>
      <c r="ES771"/>
      <c r="ET771"/>
      <c r="EU771"/>
      <c r="EV771"/>
      <c r="EW771"/>
      <c r="EX771"/>
      <c r="EY771"/>
      <c r="EZ771"/>
      <c r="FA771"/>
      <c r="FB771"/>
      <c r="FC771"/>
      <c r="FD771"/>
      <c r="FE771"/>
      <c r="FF771"/>
      <c r="FG771"/>
      <c r="FH771"/>
      <c r="FK771"/>
      <c r="FL771"/>
      <c r="FM771"/>
      <c r="FN771"/>
      <c r="FO771"/>
      <c r="FP771"/>
      <c r="FQ771"/>
      <c r="FR771"/>
      <c r="FS771"/>
      <c r="FT771"/>
      <c r="FU771"/>
      <c r="FV771"/>
      <c r="FW771"/>
      <c r="FX771"/>
      <c r="FY771"/>
      <c r="FZ771"/>
      <c r="GA771"/>
      <c r="GB771"/>
      <c r="GC771"/>
      <c r="GD771"/>
    </row>
    <row r="772" spans="1:186" x14ac:dyDescent="0.15">
      <c r="A772" s="455">
        <v>7.18</v>
      </c>
      <c r="B772" s="455"/>
      <c r="C772"/>
      <c r="D772"/>
      <c r="E772">
        <v>1</v>
      </c>
      <c r="F772"/>
      <c r="G772"/>
      <c r="H772"/>
      <c r="I772"/>
      <c r="J772" s="558"/>
      <c r="K772"/>
      <c r="AG772"/>
      <c r="AH772"/>
      <c r="AJ772"/>
      <c r="AK772"/>
      <c r="AL772"/>
      <c r="AM772"/>
      <c r="AO772"/>
      <c r="AP772"/>
      <c r="AQ772"/>
      <c r="AR772"/>
      <c r="AS772"/>
      <c r="AT772"/>
      <c r="AU772"/>
      <c r="AV772"/>
      <c r="AW772"/>
      <c r="AX772"/>
      <c r="AY772"/>
      <c r="AZ772"/>
      <c r="BA772"/>
      <c r="BB772"/>
      <c r="BC772"/>
      <c r="BD772"/>
      <c r="BE772"/>
      <c r="BF772"/>
      <c r="BH772"/>
      <c r="BI772"/>
      <c r="BJ772"/>
      <c r="BK772"/>
      <c r="BL772"/>
      <c r="BM772"/>
      <c r="BN772"/>
      <c r="BP772"/>
      <c r="BQ772"/>
      <c r="BR772"/>
      <c r="BS772"/>
      <c r="BT772"/>
      <c r="BU772"/>
      <c r="BV772"/>
      <c r="BW772"/>
      <c r="BZ772"/>
      <c r="CA772"/>
      <c r="CB772"/>
      <c r="CC772"/>
      <c r="CD772"/>
      <c r="CF772"/>
      <c r="CG772"/>
      <c r="CH772"/>
      <c r="CI772"/>
      <c r="CJ772"/>
      <c r="CK772"/>
      <c r="CL772"/>
      <c r="CM772"/>
      <c r="CN772"/>
      <c r="CO772"/>
      <c r="CP772"/>
      <c r="CQ772"/>
      <c r="CR772"/>
      <c r="CS772"/>
      <c r="CT772"/>
      <c r="CU772"/>
      <c r="CV772"/>
      <c r="CW772"/>
      <c r="CX772"/>
      <c r="CY772"/>
      <c r="CZ772"/>
      <c r="DA772"/>
      <c r="DB772"/>
      <c r="DC772"/>
      <c r="DD772"/>
      <c r="DE772"/>
      <c r="DG772"/>
      <c r="DH772"/>
      <c r="DI772"/>
      <c r="DJ772"/>
      <c r="DK772"/>
      <c r="DL772"/>
      <c r="DM772"/>
      <c r="DN772"/>
      <c r="DO772"/>
      <c r="DP772"/>
      <c r="DQ772"/>
      <c r="DR772"/>
      <c r="DS772"/>
      <c r="DT772"/>
      <c r="DU772"/>
      <c r="DV772"/>
      <c r="DW772"/>
      <c r="DZ772"/>
      <c r="EA772"/>
      <c r="EB772"/>
      <c r="EC772"/>
      <c r="ED772"/>
      <c r="EE772"/>
      <c r="EF772"/>
      <c r="EG772"/>
      <c r="EJ772"/>
      <c r="EK772"/>
      <c r="EL772"/>
      <c r="EM772"/>
      <c r="EN772"/>
      <c r="EO772"/>
      <c r="EP772"/>
      <c r="EQ772"/>
      <c r="ER772"/>
      <c r="ES772"/>
      <c r="ET772"/>
      <c r="EU772"/>
      <c r="EV772"/>
      <c r="EW772"/>
      <c r="EX772"/>
      <c r="EY772"/>
      <c r="EZ772"/>
      <c r="FA772"/>
      <c r="FB772"/>
      <c r="FC772"/>
      <c r="FD772"/>
      <c r="FE772"/>
      <c r="FF772"/>
      <c r="FG772"/>
      <c r="FH772"/>
      <c r="FK772"/>
      <c r="FL772"/>
      <c r="FM772"/>
      <c r="FN772"/>
      <c r="FO772"/>
      <c r="FP772"/>
      <c r="FQ772"/>
      <c r="FR772"/>
      <c r="FS772"/>
      <c r="FT772"/>
      <c r="FU772"/>
      <c r="FV772"/>
      <c r="FW772"/>
      <c r="FX772"/>
      <c r="FY772"/>
      <c r="FZ772"/>
      <c r="GA772"/>
      <c r="GB772"/>
      <c r="GC772"/>
      <c r="GD772"/>
    </row>
    <row r="773" spans="1:186" x14ac:dyDescent="0.15">
      <c r="A773" s="455">
        <v>9.1010000000000009</v>
      </c>
      <c r="B773" s="455"/>
      <c r="C773"/>
      <c r="D773"/>
      <c r="E773">
        <v>1</v>
      </c>
      <c r="F773"/>
      <c r="G773"/>
      <c r="H773"/>
      <c r="I773"/>
      <c r="J773" s="558"/>
      <c r="K773"/>
      <c r="AG773"/>
      <c r="AH773"/>
      <c r="AJ773"/>
      <c r="AK773"/>
      <c r="AL773"/>
      <c r="AM773"/>
      <c r="AO773"/>
      <c r="AP773"/>
      <c r="AQ773"/>
      <c r="AR773"/>
      <c r="AS773"/>
      <c r="AT773"/>
      <c r="AU773"/>
      <c r="AV773"/>
      <c r="AW773"/>
      <c r="AX773"/>
      <c r="AY773"/>
      <c r="AZ773"/>
      <c r="BA773"/>
      <c r="BB773"/>
      <c r="BC773"/>
      <c r="BD773"/>
      <c r="BE773"/>
      <c r="BF773"/>
      <c r="BH773"/>
      <c r="BI773"/>
      <c r="BJ773"/>
      <c r="BK773"/>
      <c r="BL773"/>
      <c r="BM773"/>
      <c r="BN773"/>
      <c r="BP773"/>
      <c r="BQ773"/>
      <c r="BR773"/>
      <c r="BS773"/>
      <c r="BT773"/>
      <c r="BU773"/>
      <c r="BV773"/>
      <c r="BW773"/>
      <c r="BZ773"/>
      <c r="CA773"/>
      <c r="CB773"/>
      <c r="CC773"/>
      <c r="CD773"/>
      <c r="CF773"/>
      <c r="CG773"/>
      <c r="CH773"/>
      <c r="CI773"/>
      <c r="CJ773"/>
      <c r="CK773"/>
      <c r="CL773"/>
      <c r="CM773"/>
      <c r="CN773"/>
      <c r="CO773"/>
      <c r="CP773"/>
      <c r="CQ773"/>
      <c r="CR773"/>
      <c r="CS773"/>
      <c r="CT773"/>
      <c r="CU773"/>
      <c r="CV773"/>
      <c r="CW773"/>
      <c r="CX773"/>
      <c r="CY773"/>
      <c r="CZ773"/>
      <c r="DA773"/>
      <c r="DB773"/>
      <c r="DC773"/>
      <c r="DD773"/>
      <c r="DE773"/>
      <c r="DG773"/>
      <c r="DH773"/>
      <c r="DI773"/>
      <c r="DJ773"/>
      <c r="DK773"/>
      <c r="DL773"/>
      <c r="DM773"/>
      <c r="DN773"/>
      <c r="DO773"/>
      <c r="DP773"/>
      <c r="DQ773"/>
      <c r="DR773"/>
      <c r="DS773"/>
      <c r="DT773"/>
      <c r="DU773"/>
      <c r="DV773"/>
      <c r="DW773"/>
      <c r="DZ773"/>
      <c r="EA773"/>
      <c r="EB773"/>
      <c r="EC773"/>
      <c r="ED773"/>
      <c r="EE773"/>
      <c r="EF773"/>
      <c r="EG773"/>
      <c r="EJ773"/>
      <c r="EK773"/>
      <c r="EL773"/>
      <c r="EM773"/>
      <c r="EN773"/>
      <c r="EO773"/>
      <c r="EP773"/>
      <c r="EQ773"/>
      <c r="ER773"/>
      <c r="ES773"/>
      <c r="ET773"/>
      <c r="EU773"/>
      <c r="EV773"/>
      <c r="EW773"/>
      <c r="EX773"/>
      <c r="EY773"/>
      <c r="EZ773"/>
      <c r="FA773"/>
      <c r="FB773"/>
      <c r="FC773"/>
      <c r="FD773"/>
      <c r="FE773"/>
      <c r="FF773"/>
      <c r="FG773"/>
      <c r="FH773"/>
      <c r="FK773"/>
      <c r="FL773"/>
      <c r="FM773"/>
      <c r="FN773"/>
      <c r="FO773"/>
      <c r="FP773"/>
      <c r="FQ773"/>
      <c r="FR773"/>
      <c r="FS773"/>
      <c r="FT773"/>
      <c r="FU773"/>
      <c r="FV773"/>
      <c r="FW773"/>
      <c r="FX773"/>
      <c r="FY773"/>
      <c r="FZ773"/>
      <c r="GA773"/>
      <c r="GB773"/>
      <c r="GC773"/>
      <c r="GD773"/>
    </row>
    <row r="774" spans="1:186" x14ac:dyDescent="0.15">
      <c r="A774" s="455">
        <v>0.83199999999999996</v>
      </c>
      <c r="B774" s="455">
        <v>1</v>
      </c>
      <c r="C774"/>
      <c r="D774"/>
      <c r="E774"/>
      <c r="F774"/>
      <c r="G774"/>
      <c r="H774"/>
      <c r="I774"/>
      <c r="J774" s="558"/>
      <c r="K774"/>
      <c r="AG774"/>
      <c r="AH774"/>
      <c r="AJ774"/>
      <c r="AK774"/>
      <c r="AL774"/>
      <c r="AM774"/>
      <c r="AO774"/>
      <c r="AP774"/>
      <c r="AQ774"/>
      <c r="AR774"/>
      <c r="AS774"/>
      <c r="AT774"/>
      <c r="AU774"/>
      <c r="AV774"/>
      <c r="AW774"/>
      <c r="AX774"/>
      <c r="AY774"/>
      <c r="AZ774"/>
      <c r="BA774"/>
      <c r="BB774"/>
      <c r="BC774"/>
      <c r="BD774"/>
      <c r="BE774"/>
      <c r="BF774"/>
      <c r="BH774"/>
      <c r="BI774"/>
      <c r="BJ774"/>
      <c r="BK774"/>
      <c r="BL774"/>
      <c r="BM774"/>
      <c r="BN774"/>
      <c r="BP774"/>
      <c r="BQ774"/>
      <c r="BR774"/>
      <c r="BS774"/>
      <c r="BT774"/>
      <c r="BU774"/>
      <c r="BV774"/>
      <c r="BW774"/>
      <c r="BZ774"/>
      <c r="CA774"/>
      <c r="CB774"/>
      <c r="CC774"/>
      <c r="CD774"/>
      <c r="CF774"/>
      <c r="CG774"/>
      <c r="CH774"/>
      <c r="CI774"/>
      <c r="CJ774"/>
      <c r="CK774"/>
      <c r="CL774"/>
      <c r="CM774"/>
      <c r="CN774"/>
      <c r="CO774"/>
      <c r="CP774"/>
      <c r="CQ774"/>
      <c r="CR774"/>
      <c r="CS774"/>
      <c r="CT774"/>
      <c r="CU774"/>
      <c r="CV774"/>
      <c r="CW774"/>
      <c r="CX774"/>
      <c r="CY774"/>
      <c r="CZ774"/>
      <c r="DA774"/>
      <c r="DB774"/>
      <c r="DC774"/>
      <c r="DD774"/>
      <c r="DE774"/>
      <c r="DG774"/>
      <c r="DH774"/>
      <c r="DI774"/>
      <c r="DJ774"/>
      <c r="DK774"/>
      <c r="DL774"/>
      <c r="DM774"/>
      <c r="DN774"/>
      <c r="DO774"/>
      <c r="DP774"/>
      <c r="DQ774"/>
      <c r="DR774"/>
      <c r="DS774"/>
      <c r="DT774"/>
      <c r="DU774"/>
      <c r="DV774"/>
      <c r="DW774"/>
      <c r="DZ774"/>
      <c r="EA774"/>
      <c r="EB774"/>
      <c r="EC774"/>
      <c r="ED774"/>
      <c r="EE774"/>
      <c r="EF774"/>
      <c r="EG774"/>
      <c r="EJ774"/>
      <c r="EK774"/>
      <c r="EL774"/>
      <c r="EM774"/>
      <c r="EN774"/>
      <c r="EO774"/>
      <c r="EP774"/>
      <c r="EQ774"/>
      <c r="ER774"/>
      <c r="ES774"/>
      <c r="ET774"/>
      <c r="EU774"/>
      <c r="EV774"/>
      <c r="EW774"/>
      <c r="EX774"/>
      <c r="EY774"/>
      <c r="EZ774"/>
      <c r="FA774"/>
      <c r="FB774"/>
      <c r="FC774"/>
      <c r="FD774"/>
      <c r="FE774"/>
      <c r="FF774"/>
      <c r="FG774"/>
      <c r="FH774"/>
      <c r="FK774"/>
      <c r="FL774"/>
      <c r="FM774"/>
      <c r="FN774"/>
      <c r="FO774"/>
      <c r="FP774"/>
      <c r="FQ774"/>
      <c r="FR774"/>
      <c r="FS774"/>
      <c r="FT774"/>
      <c r="FU774"/>
      <c r="FV774"/>
      <c r="FW774"/>
      <c r="FX774"/>
      <c r="FY774"/>
      <c r="FZ774"/>
      <c r="GA774"/>
      <c r="GB774"/>
      <c r="GC774"/>
      <c r="GD774"/>
    </row>
    <row r="775" spans="1:186" x14ac:dyDescent="0.15">
      <c r="A775" s="455">
        <v>4.8230000000000004</v>
      </c>
      <c r="B775" s="455"/>
      <c r="C775"/>
      <c r="D775"/>
      <c r="E775"/>
      <c r="F775">
        <v>1</v>
      </c>
      <c r="G775"/>
      <c r="H775"/>
      <c r="I775"/>
      <c r="J775" s="558"/>
      <c r="K775"/>
      <c r="AG775"/>
      <c r="AH775"/>
      <c r="AJ775"/>
      <c r="AK775"/>
      <c r="AL775"/>
      <c r="AM775"/>
      <c r="AO775"/>
      <c r="AP775"/>
      <c r="AQ775"/>
      <c r="AR775"/>
      <c r="AS775"/>
      <c r="AT775"/>
      <c r="AU775"/>
      <c r="AV775"/>
      <c r="AW775"/>
      <c r="AX775"/>
      <c r="AY775"/>
      <c r="AZ775"/>
      <c r="BA775"/>
      <c r="BB775"/>
      <c r="BC775"/>
      <c r="BD775"/>
      <c r="BE775"/>
      <c r="BF775"/>
      <c r="BH775"/>
      <c r="BI775"/>
      <c r="BJ775"/>
      <c r="BK775"/>
      <c r="BL775"/>
      <c r="BM775"/>
      <c r="BN775"/>
      <c r="BP775"/>
      <c r="BQ775"/>
      <c r="BR775"/>
      <c r="BS775"/>
      <c r="BT775"/>
      <c r="BU775"/>
      <c r="BV775"/>
      <c r="BW775"/>
      <c r="BZ775"/>
      <c r="CA775"/>
      <c r="CB775"/>
      <c r="CC775"/>
      <c r="CD775"/>
      <c r="CF775"/>
      <c r="CG775"/>
      <c r="CH775"/>
      <c r="CI775"/>
      <c r="CJ775"/>
      <c r="CK775"/>
      <c r="CL775"/>
      <c r="CM775"/>
      <c r="CN775"/>
      <c r="CO775"/>
      <c r="CP775"/>
      <c r="CQ775"/>
      <c r="CR775"/>
      <c r="CS775"/>
      <c r="CT775"/>
      <c r="CU775"/>
      <c r="CV775"/>
      <c r="CW775"/>
      <c r="CX775"/>
      <c r="CY775"/>
      <c r="CZ775"/>
      <c r="DA775"/>
      <c r="DB775"/>
      <c r="DC775"/>
      <c r="DD775"/>
      <c r="DE775"/>
      <c r="DG775"/>
      <c r="DH775"/>
      <c r="DI775"/>
      <c r="DJ775"/>
      <c r="DK775"/>
      <c r="DL775"/>
      <c r="DM775"/>
      <c r="DN775"/>
      <c r="DO775"/>
      <c r="DP775"/>
      <c r="DQ775"/>
      <c r="DR775"/>
      <c r="DS775"/>
      <c r="DT775"/>
      <c r="DU775"/>
      <c r="DV775"/>
      <c r="DW775"/>
      <c r="DZ775"/>
      <c r="EA775"/>
      <c r="EB775"/>
      <c r="EC775"/>
      <c r="ED775"/>
      <c r="EE775"/>
      <c r="EF775"/>
      <c r="EG775"/>
      <c r="EJ775"/>
      <c r="EK775"/>
      <c r="EL775"/>
      <c r="EM775"/>
      <c r="EN775"/>
      <c r="EO775"/>
      <c r="EP775"/>
      <c r="EQ775"/>
      <c r="ER775"/>
      <c r="ES775"/>
      <c r="ET775"/>
      <c r="EU775"/>
      <c r="EV775"/>
      <c r="EW775"/>
      <c r="EX775"/>
      <c r="EY775"/>
      <c r="EZ775"/>
      <c r="FA775"/>
      <c r="FB775"/>
      <c r="FC775"/>
      <c r="FD775"/>
      <c r="FE775"/>
      <c r="FF775"/>
      <c r="FG775"/>
      <c r="FH775"/>
      <c r="FK775"/>
      <c r="FL775"/>
      <c r="FM775"/>
      <c r="FN775"/>
      <c r="FO775"/>
      <c r="FP775"/>
      <c r="FQ775"/>
      <c r="FR775"/>
      <c r="FS775"/>
      <c r="FT775"/>
      <c r="FU775"/>
      <c r="FV775"/>
      <c r="FW775"/>
      <c r="FX775"/>
      <c r="FY775"/>
      <c r="FZ775"/>
      <c r="GA775"/>
      <c r="GB775"/>
      <c r="GC775"/>
      <c r="GD775"/>
    </row>
    <row r="776" spans="1:186" x14ac:dyDescent="0.15">
      <c r="A776" s="455">
        <v>0.92200000000000004</v>
      </c>
      <c r="B776" s="455"/>
      <c r="C776"/>
      <c r="D776"/>
      <c r="E776"/>
      <c r="F776"/>
      <c r="G776">
        <v>1</v>
      </c>
      <c r="H776"/>
      <c r="I776"/>
      <c r="J776" s="558"/>
      <c r="K776"/>
      <c r="AG776"/>
      <c r="AH776"/>
      <c r="AJ776"/>
      <c r="AK776"/>
      <c r="AL776"/>
      <c r="AM776"/>
      <c r="AO776"/>
      <c r="AP776"/>
      <c r="AQ776"/>
      <c r="AR776"/>
      <c r="AS776"/>
      <c r="AT776"/>
      <c r="AU776"/>
      <c r="AV776"/>
      <c r="AW776"/>
      <c r="AX776"/>
      <c r="AY776"/>
      <c r="AZ776"/>
      <c r="BA776"/>
      <c r="BB776"/>
      <c r="BC776"/>
      <c r="BD776"/>
      <c r="BE776"/>
      <c r="BF776"/>
      <c r="BH776"/>
      <c r="BI776"/>
      <c r="BJ776"/>
      <c r="BK776"/>
      <c r="BL776"/>
      <c r="BM776"/>
      <c r="BN776"/>
      <c r="BP776"/>
      <c r="BQ776"/>
      <c r="BR776"/>
      <c r="BS776"/>
      <c r="BT776"/>
      <c r="BU776"/>
      <c r="BV776"/>
      <c r="BW776"/>
      <c r="BZ776"/>
      <c r="CA776"/>
      <c r="CB776"/>
      <c r="CC776"/>
      <c r="CD776"/>
      <c r="CF776"/>
      <c r="CG776"/>
      <c r="CH776"/>
      <c r="CI776"/>
      <c r="CJ776"/>
      <c r="CK776"/>
      <c r="CL776"/>
      <c r="CM776"/>
      <c r="CN776"/>
      <c r="CO776"/>
      <c r="CP776"/>
      <c r="CQ776"/>
      <c r="CR776"/>
      <c r="CS776"/>
      <c r="CT776"/>
      <c r="CU776"/>
      <c r="CV776"/>
      <c r="CW776"/>
      <c r="CX776"/>
      <c r="CY776"/>
      <c r="CZ776"/>
      <c r="DA776"/>
      <c r="DB776"/>
      <c r="DC776"/>
      <c r="DD776"/>
      <c r="DE776"/>
      <c r="DG776"/>
      <c r="DH776"/>
      <c r="DI776"/>
      <c r="DJ776"/>
      <c r="DK776"/>
      <c r="DL776"/>
      <c r="DM776"/>
      <c r="DN776"/>
      <c r="DO776"/>
      <c r="DP776"/>
      <c r="DQ776"/>
      <c r="DR776"/>
      <c r="DS776"/>
      <c r="DT776"/>
      <c r="DU776"/>
      <c r="DV776"/>
      <c r="DW776"/>
      <c r="DZ776"/>
      <c r="EA776"/>
      <c r="EB776"/>
      <c r="EC776"/>
      <c r="ED776"/>
      <c r="EE776"/>
      <c r="EF776"/>
      <c r="EG776"/>
      <c r="EJ776"/>
      <c r="EK776"/>
      <c r="EL776"/>
      <c r="EM776"/>
      <c r="EN776"/>
      <c r="EO776"/>
      <c r="EP776"/>
      <c r="EQ776"/>
      <c r="ER776"/>
      <c r="ES776"/>
      <c r="ET776"/>
      <c r="EU776"/>
      <c r="EV776"/>
      <c r="EW776"/>
      <c r="EX776"/>
      <c r="EY776"/>
      <c r="EZ776"/>
      <c r="FA776"/>
      <c r="FB776"/>
      <c r="FC776"/>
      <c r="FD776"/>
      <c r="FE776"/>
      <c r="FF776"/>
      <c r="FG776"/>
      <c r="FH776"/>
      <c r="FK776"/>
      <c r="FL776"/>
      <c r="FM776"/>
      <c r="FN776"/>
      <c r="FO776"/>
      <c r="FP776"/>
      <c r="FQ776"/>
      <c r="FR776"/>
      <c r="FS776"/>
      <c r="FT776"/>
      <c r="FU776"/>
      <c r="FV776"/>
      <c r="FW776"/>
      <c r="FX776"/>
      <c r="FY776"/>
      <c r="FZ776"/>
      <c r="GA776"/>
      <c r="GB776"/>
      <c r="GC776"/>
      <c r="GD776"/>
    </row>
    <row r="777" spans="1:186" x14ac:dyDescent="0.15">
      <c r="A777" s="455">
        <v>3.3570000000000002</v>
      </c>
      <c r="B777" s="455"/>
      <c r="C777">
        <v>1</v>
      </c>
      <c r="D777"/>
      <c r="E777"/>
      <c r="F777"/>
      <c r="G777"/>
      <c r="H777"/>
      <c r="I777"/>
      <c r="J777" s="558"/>
      <c r="K777"/>
      <c r="AG777"/>
      <c r="AH777"/>
      <c r="AJ777"/>
      <c r="AK777"/>
      <c r="AL777"/>
      <c r="AM777"/>
      <c r="AO777"/>
      <c r="AP777"/>
      <c r="AQ777"/>
      <c r="AR777"/>
      <c r="AS777"/>
      <c r="AT777"/>
      <c r="AU777"/>
      <c r="AV777"/>
      <c r="AW777"/>
      <c r="AX777"/>
      <c r="AY777"/>
      <c r="AZ777"/>
      <c r="BA777"/>
      <c r="BB777"/>
      <c r="BC777"/>
      <c r="BD777"/>
      <c r="BE777"/>
      <c r="BF777"/>
      <c r="BH777"/>
      <c r="BI777"/>
      <c r="BJ777"/>
      <c r="BK777"/>
      <c r="BL777"/>
      <c r="BM777"/>
      <c r="BN777"/>
      <c r="BP777"/>
      <c r="BQ777"/>
      <c r="BR777"/>
      <c r="BS777"/>
      <c r="BT777"/>
      <c r="BU777"/>
      <c r="BV777"/>
      <c r="BW777"/>
      <c r="BZ777"/>
      <c r="CA777"/>
      <c r="CB777"/>
      <c r="CC777"/>
      <c r="CD777"/>
      <c r="CF777"/>
      <c r="CG777"/>
      <c r="CH777"/>
      <c r="CI777"/>
      <c r="CJ777"/>
      <c r="CK777"/>
      <c r="CL777"/>
      <c r="CM777"/>
      <c r="CN777"/>
      <c r="CO777"/>
      <c r="CP777"/>
      <c r="CQ777"/>
      <c r="CR777"/>
      <c r="CS777"/>
      <c r="CT777"/>
      <c r="CU777"/>
      <c r="CV777"/>
      <c r="CW777"/>
      <c r="CX777"/>
      <c r="CY777"/>
      <c r="CZ777"/>
      <c r="DA777"/>
      <c r="DB777"/>
      <c r="DC777"/>
      <c r="DD777"/>
      <c r="DE777"/>
      <c r="DG777"/>
      <c r="DH777"/>
      <c r="DI777"/>
      <c r="DJ777"/>
      <c r="DK777"/>
      <c r="DL777"/>
      <c r="DM777"/>
      <c r="DN777"/>
      <c r="DO777"/>
      <c r="DP777"/>
      <c r="DQ777"/>
      <c r="DR777"/>
      <c r="DS777"/>
      <c r="DT777"/>
      <c r="DU777"/>
      <c r="DV777"/>
      <c r="DW777"/>
      <c r="DZ777"/>
      <c r="EA777"/>
      <c r="EB777"/>
      <c r="EC777"/>
      <c r="ED777"/>
      <c r="EE777"/>
      <c r="EF777"/>
      <c r="EG777"/>
      <c r="EJ777"/>
      <c r="EK777"/>
      <c r="EL777"/>
      <c r="EM777"/>
      <c r="EN777"/>
      <c r="EO777"/>
      <c r="EP777"/>
      <c r="EQ777"/>
      <c r="ER777"/>
      <c r="ES777"/>
      <c r="ET777"/>
      <c r="EU777"/>
      <c r="EV777"/>
      <c r="EW777"/>
      <c r="EX777"/>
      <c r="EY777"/>
      <c r="EZ777"/>
      <c r="FA777"/>
      <c r="FB777"/>
      <c r="FC777"/>
      <c r="FD777"/>
      <c r="FE777"/>
      <c r="FF777"/>
      <c r="FG777"/>
      <c r="FH777"/>
      <c r="FK777"/>
      <c r="FL777"/>
      <c r="FM777"/>
      <c r="FN777"/>
      <c r="FO777"/>
      <c r="FP777"/>
      <c r="FQ777"/>
      <c r="FR777"/>
      <c r="FS777"/>
      <c r="FT777"/>
      <c r="FU777"/>
      <c r="FV777"/>
      <c r="FW777"/>
      <c r="FX777"/>
      <c r="FY777"/>
      <c r="FZ777"/>
      <c r="GA777"/>
      <c r="GB777"/>
      <c r="GC777"/>
      <c r="GD777"/>
    </row>
    <row r="778" spans="1:186" x14ac:dyDescent="0.15">
      <c r="A778" s="455">
        <v>4.2720000000000002</v>
      </c>
      <c r="B778" s="455"/>
      <c r="C778"/>
      <c r="D778"/>
      <c r="E778"/>
      <c r="F778">
        <v>1</v>
      </c>
      <c r="G778"/>
      <c r="H778"/>
      <c r="I778"/>
      <c r="J778" s="558"/>
      <c r="K778"/>
      <c r="AG778"/>
      <c r="AH778"/>
      <c r="AJ778"/>
      <c r="AK778"/>
      <c r="AL778"/>
      <c r="AM778"/>
      <c r="AO778"/>
      <c r="AP778"/>
      <c r="AQ778"/>
      <c r="AR778"/>
      <c r="AS778"/>
      <c r="AT778"/>
      <c r="AU778"/>
      <c r="AV778"/>
      <c r="AW778"/>
      <c r="AX778"/>
      <c r="AY778"/>
      <c r="AZ778"/>
      <c r="BA778"/>
      <c r="BB778"/>
      <c r="BC778"/>
      <c r="BD778"/>
      <c r="BE778"/>
      <c r="BF778"/>
      <c r="BH778"/>
      <c r="BI778"/>
      <c r="BJ778"/>
      <c r="BK778"/>
      <c r="BL778"/>
      <c r="BM778"/>
      <c r="BN778"/>
      <c r="BP778"/>
      <c r="BQ778"/>
      <c r="BR778"/>
      <c r="BS778"/>
      <c r="BT778"/>
      <c r="BU778"/>
      <c r="BV778"/>
      <c r="BW778"/>
      <c r="BZ778"/>
      <c r="CA778"/>
      <c r="CB778"/>
      <c r="CC778"/>
      <c r="CD778"/>
      <c r="CF778"/>
      <c r="CG778"/>
      <c r="CH778"/>
      <c r="CI778"/>
      <c r="CJ778"/>
      <c r="CK778"/>
      <c r="CL778"/>
      <c r="CM778"/>
      <c r="CN778"/>
      <c r="CO778"/>
      <c r="CP778"/>
      <c r="CQ778"/>
      <c r="CR778"/>
      <c r="CS778"/>
      <c r="CT778"/>
      <c r="CU778"/>
      <c r="CV778"/>
      <c r="CW778"/>
      <c r="CX778"/>
      <c r="CY778"/>
      <c r="CZ778"/>
      <c r="DA778"/>
      <c r="DB778"/>
      <c r="DC778"/>
      <c r="DD778"/>
      <c r="DE778"/>
      <c r="DG778"/>
      <c r="DH778"/>
      <c r="DI778"/>
      <c r="DJ778"/>
      <c r="DK778"/>
      <c r="DL778"/>
      <c r="DM778"/>
      <c r="DN778"/>
      <c r="DO778"/>
      <c r="DP778"/>
      <c r="DQ778"/>
      <c r="DR778"/>
      <c r="DS778"/>
      <c r="DT778"/>
      <c r="DU778"/>
      <c r="DV778"/>
      <c r="DW778"/>
      <c r="DZ778"/>
      <c r="EA778"/>
      <c r="EB778"/>
      <c r="EC778"/>
      <c r="ED778"/>
      <c r="EE778"/>
      <c r="EF778"/>
      <c r="EG778"/>
      <c r="EJ778"/>
      <c r="EK778"/>
      <c r="EL778"/>
      <c r="EM778"/>
      <c r="EN778"/>
      <c r="EO778"/>
      <c r="EP778"/>
      <c r="EQ778"/>
      <c r="ER778"/>
      <c r="ES778"/>
      <c r="ET778"/>
      <c r="EU778"/>
      <c r="EV778"/>
      <c r="EW778"/>
      <c r="EX778"/>
      <c r="EY778"/>
      <c r="EZ778"/>
      <c r="FA778"/>
      <c r="FB778"/>
      <c r="FC778"/>
      <c r="FD778"/>
      <c r="FE778"/>
      <c r="FF778"/>
      <c r="FG778"/>
      <c r="FH778"/>
      <c r="FK778"/>
      <c r="FL778"/>
      <c r="FM778"/>
      <c r="FN778"/>
      <c r="FO778"/>
      <c r="FP778"/>
      <c r="FQ778"/>
      <c r="FR778"/>
      <c r="FS778"/>
      <c r="FT778"/>
      <c r="FU778"/>
      <c r="FV778"/>
      <c r="FW778"/>
      <c r="FX778"/>
      <c r="FY778"/>
      <c r="FZ778"/>
      <c r="GA778"/>
      <c r="GB778"/>
      <c r="GC778"/>
      <c r="GD778"/>
    </row>
    <row r="779" spans="1:186" x14ac:dyDescent="0.15">
      <c r="A779" s="455">
        <v>22.010999999999999</v>
      </c>
      <c r="B779" s="455"/>
      <c r="C779">
        <v>1</v>
      </c>
      <c r="D779"/>
      <c r="E779"/>
      <c r="F779"/>
      <c r="G779"/>
      <c r="H779"/>
      <c r="I779"/>
      <c r="J779" s="558"/>
      <c r="K779"/>
      <c r="AG779"/>
      <c r="AH779"/>
      <c r="AJ779"/>
      <c r="AK779"/>
      <c r="AL779"/>
      <c r="AM779"/>
      <c r="AO779"/>
      <c r="AP779"/>
      <c r="AQ779"/>
      <c r="AR779"/>
      <c r="AS779"/>
      <c r="AT779"/>
      <c r="AU779"/>
      <c r="AV779"/>
      <c r="AW779"/>
      <c r="AX779"/>
      <c r="AY779"/>
      <c r="AZ779"/>
      <c r="BA779"/>
      <c r="BB779"/>
      <c r="BC779"/>
      <c r="BD779"/>
      <c r="BE779"/>
      <c r="BF779"/>
      <c r="BH779"/>
      <c r="BI779"/>
      <c r="BJ779"/>
      <c r="BK779"/>
      <c r="BL779"/>
      <c r="BM779"/>
      <c r="BN779"/>
      <c r="BP779"/>
      <c r="BQ779"/>
      <c r="BR779"/>
      <c r="BS779"/>
      <c r="BT779"/>
      <c r="BU779"/>
      <c r="BV779"/>
      <c r="BW779"/>
      <c r="BZ779"/>
      <c r="CA779"/>
      <c r="CB779"/>
      <c r="CC779"/>
      <c r="CD779"/>
      <c r="CF779"/>
      <c r="CG779"/>
      <c r="CH779"/>
      <c r="CI779"/>
      <c r="CJ779"/>
      <c r="CK779"/>
      <c r="CL779"/>
      <c r="CM779"/>
      <c r="CN779"/>
      <c r="CO779"/>
      <c r="CP779"/>
      <c r="CQ779"/>
      <c r="CR779"/>
      <c r="CS779"/>
      <c r="CT779"/>
      <c r="CU779"/>
      <c r="CV779"/>
      <c r="CW779"/>
      <c r="CX779"/>
      <c r="CY779"/>
      <c r="CZ779"/>
      <c r="DA779"/>
      <c r="DB779"/>
      <c r="DC779"/>
      <c r="DD779"/>
      <c r="DE779"/>
      <c r="DG779"/>
      <c r="DH779"/>
      <c r="DI779"/>
      <c r="DJ779"/>
      <c r="DK779"/>
      <c r="DL779"/>
      <c r="DM779"/>
      <c r="DN779"/>
      <c r="DO779"/>
      <c r="DP779"/>
      <c r="DQ779"/>
      <c r="DR779"/>
      <c r="DS779"/>
      <c r="DT779"/>
      <c r="DU779"/>
      <c r="DV779"/>
      <c r="DW779"/>
      <c r="DZ779"/>
      <c r="EA779"/>
      <c r="EB779"/>
      <c r="EC779"/>
      <c r="ED779"/>
      <c r="EE779"/>
      <c r="EF779"/>
      <c r="EG779"/>
      <c r="EJ779"/>
      <c r="EK779"/>
      <c r="EL779"/>
      <c r="EM779"/>
      <c r="EN779"/>
      <c r="EO779"/>
      <c r="EP779"/>
      <c r="EQ779"/>
      <c r="ER779"/>
      <c r="ES779"/>
      <c r="ET779"/>
      <c r="EU779"/>
      <c r="EV779"/>
      <c r="EW779"/>
      <c r="EX779"/>
      <c r="EY779"/>
      <c r="EZ779"/>
      <c r="FA779"/>
      <c r="FB779"/>
      <c r="FC779"/>
      <c r="FD779"/>
      <c r="FE779"/>
      <c r="FF779"/>
      <c r="FG779"/>
      <c r="FH779"/>
      <c r="FK779"/>
      <c r="FL779"/>
      <c r="FM779"/>
      <c r="FN779"/>
      <c r="FO779"/>
      <c r="FP779"/>
      <c r="FQ779"/>
      <c r="FR779"/>
      <c r="FS779"/>
      <c r="FT779"/>
      <c r="FU779"/>
      <c r="FV779"/>
      <c r="FW779"/>
      <c r="FX779"/>
      <c r="FY779"/>
      <c r="FZ779"/>
      <c r="GA779"/>
      <c r="GB779"/>
      <c r="GC779"/>
      <c r="GD779"/>
    </row>
    <row r="780" spans="1:186" x14ac:dyDescent="0.15">
      <c r="A780" s="455">
        <v>12.353999999999999</v>
      </c>
      <c r="B780" s="455"/>
      <c r="C780"/>
      <c r="D780"/>
      <c r="E780"/>
      <c r="F780"/>
      <c r="G780"/>
      <c r="H780"/>
      <c r="I780">
        <v>1</v>
      </c>
      <c r="J780" s="558"/>
      <c r="K780"/>
      <c r="AG780"/>
      <c r="AH780"/>
      <c r="AJ780"/>
      <c r="AK780"/>
      <c r="AL780"/>
      <c r="AM780"/>
      <c r="AO780"/>
      <c r="AP780"/>
      <c r="AQ780"/>
      <c r="AR780"/>
      <c r="AS780"/>
      <c r="AT780"/>
      <c r="AU780"/>
      <c r="AV780"/>
      <c r="AW780"/>
      <c r="AX780"/>
      <c r="AY780"/>
      <c r="AZ780"/>
      <c r="BA780"/>
      <c r="BB780"/>
      <c r="BC780"/>
      <c r="BD780"/>
      <c r="BE780"/>
      <c r="BF780"/>
      <c r="BH780"/>
      <c r="BI780"/>
      <c r="BJ780"/>
      <c r="BK780"/>
      <c r="BL780"/>
      <c r="BM780"/>
      <c r="BN780"/>
      <c r="BP780"/>
      <c r="BQ780"/>
      <c r="BR780"/>
      <c r="BS780"/>
      <c r="BT780"/>
      <c r="BU780"/>
      <c r="BV780"/>
      <c r="BW780"/>
      <c r="BZ780"/>
      <c r="CA780"/>
      <c r="CB780"/>
      <c r="CC780"/>
      <c r="CD780"/>
      <c r="CF780"/>
      <c r="CG780"/>
      <c r="CH780"/>
      <c r="CI780"/>
      <c r="CJ780"/>
      <c r="CK780"/>
      <c r="CL780"/>
      <c r="CM780"/>
      <c r="CN780"/>
      <c r="CO780"/>
      <c r="CP780"/>
      <c r="CQ780"/>
      <c r="CR780"/>
      <c r="CS780"/>
      <c r="CT780"/>
      <c r="CU780"/>
      <c r="CV780"/>
      <c r="CW780"/>
      <c r="CX780"/>
      <c r="CY780"/>
      <c r="CZ780"/>
      <c r="DA780"/>
      <c r="DB780"/>
      <c r="DC780"/>
      <c r="DD780"/>
      <c r="DE780"/>
      <c r="DG780"/>
      <c r="DH780"/>
      <c r="DI780"/>
      <c r="DJ780"/>
      <c r="DK780"/>
      <c r="DL780"/>
      <c r="DM780"/>
      <c r="DN780"/>
      <c r="DO780"/>
      <c r="DP780"/>
      <c r="DQ780"/>
      <c r="DR780"/>
      <c r="DS780"/>
      <c r="DT780"/>
      <c r="DU780"/>
      <c r="DV780"/>
      <c r="DW780"/>
      <c r="DZ780"/>
      <c r="EA780"/>
      <c r="EB780"/>
      <c r="EC780"/>
      <c r="ED780"/>
      <c r="EE780"/>
      <c r="EF780"/>
      <c r="EG780"/>
      <c r="EJ780"/>
      <c r="EK780"/>
      <c r="EL780"/>
      <c r="EM780"/>
      <c r="EN780"/>
      <c r="EO780"/>
      <c r="EP780"/>
      <c r="EQ780"/>
      <c r="ER780"/>
      <c r="ES780"/>
      <c r="ET780"/>
      <c r="EU780"/>
      <c r="EV780"/>
      <c r="EW780"/>
      <c r="EX780"/>
      <c r="EY780"/>
      <c r="EZ780"/>
      <c r="FA780"/>
      <c r="FB780"/>
      <c r="FC780"/>
      <c r="FD780"/>
      <c r="FE780"/>
      <c r="FF780"/>
      <c r="FG780"/>
      <c r="FH780"/>
      <c r="FK780"/>
      <c r="FL780"/>
      <c r="FM780"/>
      <c r="FN780"/>
      <c r="FO780"/>
      <c r="FP780"/>
      <c r="FQ780"/>
      <c r="FR780"/>
      <c r="FS780"/>
      <c r="FT780"/>
      <c r="FU780"/>
      <c r="FV780"/>
      <c r="FW780"/>
      <c r="FX780"/>
      <c r="FY780"/>
      <c r="FZ780"/>
      <c r="GA780"/>
      <c r="GB780"/>
      <c r="GC780"/>
      <c r="GD780"/>
    </row>
    <row r="781" spans="1:186" x14ac:dyDescent="0.15">
      <c r="A781" s="455">
        <v>3.1059999999999999</v>
      </c>
      <c r="B781" s="455"/>
      <c r="C781"/>
      <c r="D781"/>
      <c r="E781"/>
      <c r="F781"/>
      <c r="G781"/>
      <c r="H781">
        <v>1</v>
      </c>
      <c r="I781"/>
      <c r="J781" s="558"/>
      <c r="K781"/>
      <c r="FK781"/>
      <c r="FL781"/>
      <c r="FM781"/>
      <c r="FN781"/>
      <c r="FO781"/>
      <c r="FP781"/>
      <c r="FQ781"/>
      <c r="FR781"/>
      <c r="FS781"/>
      <c r="FT781"/>
      <c r="FU781"/>
      <c r="FV781"/>
      <c r="FW781"/>
      <c r="FX781"/>
      <c r="FY781"/>
      <c r="FZ781"/>
      <c r="GA781"/>
      <c r="GB781"/>
      <c r="GC781"/>
      <c r="GD781"/>
    </row>
    <row r="782" spans="1:186" x14ac:dyDescent="0.15">
      <c r="A782" s="455">
        <v>3.347</v>
      </c>
      <c r="B782" s="455">
        <v>1</v>
      </c>
      <c r="C782"/>
      <c r="D782"/>
      <c r="E782"/>
      <c r="F782"/>
      <c r="G782"/>
      <c r="H782"/>
      <c r="I782"/>
      <c r="J782" s="558"/>
      <c r="K782"/>
      <c r="FK782"/>
      <c r="FL782"/>
      <c r="FM782"/>
      <c r="FN782"/>
      <c r="FO782"/>
      <c r="FP782"/>
      <c r="FQ782"/>
      <c r="FR782"/>
      <c r="FS782"/>
      <c r="FT782"/>
      <c r="FU782"/>
      <c r="FV782"/>
      <c r="FW782"/>
      <c r="FX782"/>
      <c r="FY782"/>
      <c r="FZ782"/>
      <c r="GA782"/>
      <c r="GB782"/>
      <c r="GC782"/>
      <c r="GD782"/>
    </row>
    <row r="783" spans="1:186" x14ac:dyDescent="0.15">
      <c r="A783" s="455">
        <v>1.2</v>
      </c>
      <c r="B783" s="455"/>
      <c r="C783">
        <v>1</v>
      </c>
      <c r="D783"/>
      <c r="E783"/>
      <c r="F783"/>
      <c r="G783"/>
      <c r="H783"/>
      <c r="I783"/>
      <c r="J783" s="558"/>
      <c r="K783"/>
      <c r="FK783"/>
      <c r="FL783"/>
      <c r="FM783"/>
      <c r="FN783"/>
      <c r="FO783"/>
      <c r="FP783"/>
      <c r="FQ783"/>
      <c r="FR783"/>
      <c r="FS783"/>
      <c r="FT783"/>
      <c r="FU783"/>
      <c r="FV783"/>
      <c r="FW783"/>
      <c r="FX783"/>
      <c r="FY783"/>
      <c r="FZ783"/>
      <c r="GA783"/>
      <c r="GB783"/>
      <c r="GC783"/>
      <c r="GD783"/>
    </row>
    <row r="784" spans="1:186" x14ac:dyDescent="0.15">
      <c r="A784" s="455">
        <v>9.9700000000000006</v>
      </c>
      <c r="B784" s="455">
        <v>1</v>
      </c>
      <c r="C784"/>
      <c r="D784"/>
      <c r="E784"/>
      <c r="F784"/>
      <c r="G784"/>
      <c r="H784"/>
      <c r="I784"/>
      <c r="J784" s="558"/>
      <c r="K784"/>
      <c r="FK784"/>
      <c r="FL784"/>
      <c r="FM784"/>
      <c r="FN784"/>
      <c r="FO784"/>
      <c r="FP784"/>
      <c r="FQ784"/>
      <c r="FR784"/>
      <c r="FS784"/>
      <c r="FT784"/>
      <c r="FU784"/>
      <c r="FV784"/>
      <c r="FW784"/>
      <c r="FX784"/>
      <c r="FY784"/>
      <c r="FZ784"/>
      <c r="GA784"/>
      <c r="GB784"/>
      <c r="GC784"/>
      <c r="GD784"/>
    </row>
    <row r="785" spans="1:186" x14ac:dyDescent="0.15">
      <c r="A785" s="455">
        <v>24.6</v>
      </c>
      <c r="B785" s="455"/>
      <c r="C785"/>
      <c r="D785">
        <v>1</v>
      </c>
      <c r="E785"/>
      <c r="F785"/>
      <c r="G785"/>
      <c r="H785"/>
      <c r="I785"/>
      <c r="J785" s="558"/>
      <c r="K785"/>
      <c r="FK785"/>
      <c r="FL785"/>
      <c r="FM785"/>
      <c r="FN785"/>
      <c r="FO785"/>
      <c r="FP785"/>
      <c r="FQ785"/>
      <c r="FR785"/>
      <c r="FS785"/>
      <c r="FT785"/>
      <c r="FU785"/>
      <c r="FV785"/>
      <c r="FW785"/>
      <c r="FX785"/>
      <c r="FY785"/>
      <c r="FZ785"/>
      <c r="GA785"/>
      <c r="GB785"/>
      <c r="GC785"/>
      <c r="GD785"/>
    </row>
    <row r="786" spans="1:186" x14ac:dyDescent="0.15">
      <c r="A786" s="455">
        <v>15.5</v>
      </c>
      <c r="B786" s="455"/>
      <c r="C786"/>
      <c r="D786"/>
      <c r="E786"/>
      <c r="F786"/>
      <c r="G786">
        <v>1</v>
      </c>
      <c r="H786"/>
      <c r="I786"/>
      <c r="J786" s="558"/>
      <c r="K786"/>
      <c r="FK786"/>
      <c r="FL786"/>
      <c r="FM786"/>
      <c r="FN786"/>
      <c r="FO786"/>
      <c r="FP786"/>
      <c r="FQ786"/>
      <c r="FR786"/>
      <c r="FS786"/>
      <c r="FT786"/>
      <c r="FU786"/>
      <c r="FV786"/>
      <c r="FW786"/>
      <c r="FX786"/>
      <c r="FY786"/>
      <c r="FZ786"/>
      <c r="GA786"/>
      <c r="GB786"/>
      <c r="GC786"/>
      <c r="GD786"/>
    </row>
    <row r="787" spans="1:186" x14ac:dyDescent="0.15">
      <c r="A787" s="455">
        <v>10.108000000000001</v>
      </c>
      <c r="B787" s="455">
        <v>1</v>
      </c>
      <c r="C787"/>
      <c r="D787"/>
      <c r="E787"/>
      <c r="F787"/>
      <c r="G787"/>
      <c r="H787"/>
      <c r="I787"/>
      <c r="J787" s="558"/>
      <c r="K787"/>
      <c r="FK787"/>
      <c r="FL787"/>
      <c r="FM787"/>
      <c r="FN787"/>
      <c r="FO787"/>
      <c r="FP787"/>
      <c r="FQ787"/>
      <c r="FR787"/>
      <c r="FS787"/>
      <c r="FT787"/>
      <c r="FU787"/>
      <c r="FV787"/>
      <c r="FW787"/>
      <c r="FX787"/>
      <c r="FY787"/>
      <c r="FZ787"/>
      <c r="GA787"/>
      <c r="GB787"/>
      <c r="GC787"/>
      <c r="GD787"/>
    </row>
    <row r="788" spans="1:186" x14ac:dyDescent="0.15">
      <c r="A788" s="455">
        <v>14.87</v>
      </c>
      <c r="B788" s="455"/>
      <c r="C788"/>
      <c r="D788"/>
      <c r="E788"/>
      <c r="F788"/>
      <c r="G788">
        <v>1</v>
      </c>
      <c r="H788"/>
      <c r="I788"/>
      <c r="J788" s="558"/>
      <c r="K788"/>
      <c r="FK788"/>
      <c r="FL788"/>
      <c r="FM788"/>
      <c r="FN788"/>
      <c r="FO788"/>
      <c r="FP788"/>
      <c r="FQ788"/>
      <c r="FR788"/>
      <c r="FS788"/>
      <c r="FT788"/>
      <c r="FU788"/>
      <c r="FV788"/>
      <c r="FW788"/>
      <c r="FX788"/>
      <c r="FY788"/>
      <c r="FZ788"/>
      <c r="GA788"/>
      <c r="GB788"/>
      <c r="GC788"/>
      <c r="GD788"/>
    </row>
    <row r="789" spans="1:186" x14ac:dyDescent="0.15">
      <c r="A789" s="455">
        <v>3.7509999999999999</v>
      </c>
      <c r="B789" s="455"/>
      <c r="C789"/>
      <c r="D789"/>
      <c r="E789">
        <v>1</v>
      </c>
      <c r="F789"/>
      <c r="G789"/>
      <c r="H789"/>
      <c r="I789"/>
      <c r="J789" s="558"/>
      <c r="K789"/>
      <c r="FK789"/>
      <c r="FL789"/>
      <c r="FM789"/>
      <c r="FN789"/>
      <c r="FO789"/>
      <c r="FP789"/>
      <c r="FQ789"/>
      <c r="FR789"/>
      <c r="FS789"/>
      <c r="FT789"/>
      <c r="FU789"/>
      <c r="FV789"/>
      <c r="FW789"/>
      <c r="FX789"/>
      <c r="FY789"/>
      <c r="FZ789"/>
      <c r="GA789"/>
      <c r="GB789"/>
      <c r="GC789"/>
      <c r="GD789"/>
    </row>
    <row r="790" spans="1:186" x14ac:dyDescent="0.15">
      <c r="A790" s="455">
        <v>8.0559999999999992</v>
      </c>
      <c r="B790" s="455"/>
      <c r="C790"/>
      <c r="D790">
        <v>1</v>
      </c>
      <c r="E790"/>
      <c r="F790"/>
      <c r="G790"/>
      <c r="H790"/>
      <c r="I790"/>
      <c r="J790" s="558"/>
      <c r="K790"/>
      <c r="FK790"/>
      <c r="FL790"/>
      <c r="FM790"/>
      <c r="FN790"/>
      <c r="FO790"/>
      <c r="FP790"/>
      <c r="FQ790"/>
      <c r="FR790"/>
      <c r="FS790"/>
      <c r="FT790"/>
      <c r="FU790"/>
      <c r="FV790"/>
      <c r="FW790"/>
      <c r="FX790"/>
      <c r="FY790"/>
      <c r="FZ790"/>
      <c r="GA790"/>
      <c r="GB790"/>
      <c r="GC790"/>
      <c r="GD790"/>
    </row>
    <row r="791" spans="1:186" x14ac:dyDescent="0.15">
      <c r="A791" s="455">
        <v>9.8260000000000005</v>
      </c>
      <c r="B791" s="455"/>
      <c r="C791">
        <v>1</v>
      </c>
      <c r="D791"/>
      <c r="E791"/>
      <c r="F791"/>
      <c r="G791"/>
      <c r="H791"/>
      <c r="I791"/>
      <c r="J791" s="558"/>
      <c r="K791"/>
      <c r="FK791"/>
      <c r="FL791"/>
      <c r="FM791"/>
      <c r="FN791"/>
      <c r="FO791"/>
      <c r="FP791"/>
      <c r="FQ791"/>
      <c r="FR791"/>
      <c r="FS791"/>
      <c r="FT791"/>
      <c r="FU791"/>
      <c r="FV791"/>
      <c r="FW791"/>
      <c r="FX791"/>
      <c r="FY791"/>
      <c r="FZ791"/>
      <c r="GA791"/>
      <c r="GB791"/>
      <c r="GC791"/>
      <c r="GD791"/>
    </row>
    <row r="792" spans="1:186" x14ac:dyDescent="0.15">
      <c r="A792" s="455">
        <v>7.4180000000000001</v>
      </c>
      <c r="B792" s="455"/>
      <c r="C792"/>
      <c r="D792"/>
      <c r="E792"/>
      <c r="F792">
        <v>1</v>
      </c>
      <c r="G792"/>
      <c r="H792"/>
      <c r="I792"/>
      <c r="J792" s="558"/>
      <c r="K792"/>
      <c r="FK792"/>
      <c r="FL792"/>
      <c r="FM792"/>
      <c r="FN792"/>
      <c r="FO792"/>
      <c r="FP792"/>
      <c r="FQ792"/>
      <c r="FR792"/>
      <c r="FS792"/>
      <c r="FT792"/>
      <c r="FU792"/>
      <c r="FV792"/>
      <c r="FW792"/>
      <c r="FX792"/>
      <c r="FY792"/>
      <c r="FZ792"/>
      <c r="GA792"/>
      <c r="GB792"/>
      <c r="GC792"/>
      <c r="GD792"/>
    </row>
    <row r="793" spans="1:186" x14ac:dyDescent="0.15">
      <c r="A793" s="455">
        <v>12.493</v>
      </c>
      <c r="B793" s="455"/>
      <c r="C793"/>
      <c r="D793"/>
      <c r="E793">
        <v>1</v>
      </c>
      <c r="F793"/>
      <c r="G793"/>
      <c r="H793"/>
      <c r="I793"/>
      <c r="J793" s="558"/>
      <c r="K793"/>
      <c r="FK793"/>
      <c r="FL793"/>
      <c r="FM793"/>
      <c r="FN793"/>
      <c r="FO793"/>
      <c r="FP793"/>
      <c r="FQ793"/>
      <c r="FR793"/>
      <c r="FS793"/>
      <c r="FT793"/>
      <c r="FU793"/>
      <c r="FV793"/>
      <c r="FW793"/>
      <c r="FX793"/>
      <c r="FY793"/>
      <c r="FZ793"/>
      <c r="GA793"/>
      <c r="GB793"/>
      <c r="GC793"/>
      <c r="GD793"/>
    </row>
    <row r="794" spans="1:186" x14ac:dyDescent="0.15">
      <c r="A794" s="455">
        <v>6.2089999999999996</v>
      </c>
      <c r="B794" s="455">
        <v>1</v>
      </c>
      <c r="C794"/>
      <c r="D794"/>
      <c r="E794"/>
      <c r="F794"/>
      <c r="G794"/>
      <c r="H794"/>
      <c r="I794"/>
      <c r="J794" s="558"/>
      <c r="K794"/>
      <c r="FK794"/>
      <c r="FL794"/>
      <c r="FM794"/>
      <c r="FN794"/>
      <c r="FO794"/>
      <c r="FP794"/>
      <c r="FQ794"/>
      <c r="FR794"/>
      <c r="FS794"/>
      <c r="FT794"/>
      <c r="FU794"/>
      <c r="FV794"/>
      <c r="FW794"/>
      <c r="FX794"/>
      <c r="FY794"/>
      <c r="FZ794"/>
      <c r="GA794"/>
      <c r="GB794"/>
      <c r="GC794"/>
      <c r="GD794"/>
    </row>
    <row r="795" spans="1:186" x14ac:dyDescent="0.15">
      <c r="A795" s="455">
        <v>0.20200000000000001</v>
      </c>
      <c r="B795" s="455"/>
      <c r="C795">
        <v>1</v>
      </c>
      <c r="D795"/>
      <c r="E795"/>
      <c r="F795"/>
      <c r="G795"/>
      <c r="H795"/>
      <c r="I795"/>
      <c r="J795" s="558"/>
      <c r="K795"/>
      <c r="FK795"/>
      <c r="FL795"/>
      <c r="FM795"/>
      <c r="FN795"/>
      <c r="FO795"/>
      <c r="FP795"/>
      <c r="FQ795"/>
      <c r="FR795"/>
      <c r="FS795"/>
      <c r="FT795"/>
      <c r="FU795"/>
      <c r="FV795"/>
      <c r="FW795"/>
      <c r="FX795"/>
      <c r="FY795"/>
      <c r="FZ795"/>
      <c r="GA795"/>
      <c r="GB795"/>
      <c r="GC795"/>
      <c r="GD795"/>
    </row>
    <row r="796" spans="1:186" x14ac:dyDescent="0.15">
      <c r="A796" s="455">
        <v>10.792</v>
      </c>
      <c r="B796" s="455"/>
      <c r="C796"/>
      <c r="D796"/>
      <c r="E796">
        <v>1</v>
      </c>
      <c r="F796"/>
      <c r="G796"/>
      <c r="H796"/>
      <c r="I796"/>
      <c r="J796" s="558"/>
      <c r="K796"/>
      <c r="FK796"/>
      <c r="FL796"/>
      <c r="FM796"/>
      <c r="FN796"/>
      <c r="FO796"/>
      <c r="FP796"/>
      <c r="FQ796"/>
      <c r="FR796"/>
      <c r="FS796"/>
      <c r="FT796"/>
      <c r="FU796"/>
      <c r="FV796"/>
      <c r="FW796"/>
      <c r="FX796"/>
      <c r="FY796"/>
      <c r="FZ796"/>
      <c r="GA796"/>
      <c r="GB796"/>
      <c r="GC796"/>
      <c r="GD796"/>
    </row>
    <row r="797" spans="1:186" x14ac:dyDescent="0.15">
      <c r="A797" s="455">
        <v>0.5</v>
      </c>
      <c r="B797" s="455">
        <v>1</v>
      </c>
      <c r="C797"/>
      <c r="D797"/>
      <c r="E797"/>
      <c r="F797"/>
      <c r="G797"/>
      <c r="H797"/>
      <c r="I797"/>
      <c r="J797" s="558"/>
      <c r="K797"/>
      <c r="FK797"/>
      <c r="FL797"/>
      <c r="FM797"/>
      <c r="FN797"/>
      <c r="FO797"/>
      <c r="FP797"/>
      <c r="FQ797"/>
      <c r="FR797"/>
      <c r="FS797"/>
      <c r="FT797"/>
      <c r="FU797"/>
      <c r="FV797"/>
      <c r="FW797"/>
      <c r="FX797"/>
      <c r="FY797"/>
      <c r="FZ797"/>
      <c r="GA797"/>
      <c r="GB797"/>
      <c r="GC797"/>
      <c r="GD797"/>
    </row>
    <row r="798" spans="1:186" x14ac:dyDescent="0.15">
      <c r="A798" s="455">
        <v>16.946999999999999</v>
      </c>
      <c r="B798" s="455">
        <v>1</v>
      </c>
      <c r="C798"/>
      <c r="D798"/>
      <c r="E798"/>
      <c r="F798"/>
      <c r="G798"/>
      <c r="H798"/>
      <c r="I798"/>
      <c r="J798" s="558"/>
      <c r="K798"/>
      <c r="FK798"/>
      <c r="FL798"/>
      <c r="FM798"/>
      <c r="FN798"/>
      <c r="FO798"/>
      <c r="FP798"/>
      <c r="FQ798"/>
      <c r="FR798"/>
      <c r="FS798"/>
      <c r="FT798"/>
      <c r="FU798"/>
      <c r="FV798"/>
      <c r="FW798"/>
      <c r="FX798"/>
      <c r="FY798"/>
      <c r="FZ798"/>
      <c r="GA798"/>
      <c r="GB798"/>
      <c r="GC798"/>
      <c r="GD798"/>
    </row>
    <row r="799" spans="1:186" x14ac:dyDescent="0.15">
      <c r="A799" s="455">
        <v>18.8</v>
      </c>
      <c r="B799" s="455"/>
      <c r="C799"/>
      <c r="D799"/>
      <c r="E799"/>
      <c r="F799"/>
      <c r="G799"/>
      <c r="H799">
        <v>1</v>
      </c>
      <c r="I799"/>
      <c r="J799" s="558"/>
      <c r="K799"/>
      <c r="FK799"/>
      <c r="FL799"/>
      <c r="FM799"/>
      <c r="FN799"/>
      <c r="FO799"/>
      <c r="FP799"/>
      <c r="FQ799"/>
      <c r="FR799"/>
      <c r="FS799"/>
      <c r="FT799"/>
      <c r="FU799"/>
      <c r="FV799"/>
      <c r="FW799"/>
      <c r="FX799"/>
      <c r="FY799"/>
      <c r="FZ799"/>
      <c r="GA799"/>
      <c r="GB799"/>
      <c r="GC799"/>
      <c r="GD799"/>
    </row>
    <row r="800" spans="1:186" x14ac:dyDescent="0.15">
      <c r="A800" s="455">
        <v>0.92400000000000004</v>
      </c>
      <c r="B800" s="455"/>
      <c r="C800">
        <v>1</v>
      </c>
      <c r="D800"/>
      <c r="E800"/>
      <c r="F800"/>
      <c r="G800"/>
      <c r="H800"/>
      <c r="I800"/>
      <c r="J800" s="558"/>
      <c r="K800"/>
      <c r="FK800"/>
      <c r="FL800"/>
      <c r="FM800"/>
      <c r="FN800"/>
      <c r="FO800"/>
      <c r="FP800"/>
      <c r="FQ800"/>
      <c r="FR800"/>
      <c r="FS800"/>
      <c r="FT800"/>
      <c r="FU800"/>
      <c r="FV800"/>
      <c r="FW800"/>
      <c r="FX800"/>
      <c r="FY800"/>
      <c r="FZ800"/>
      <c r="GA800"/>
      <c r="GB800"/>
      <c r="GC800"/>
      <c r="GD800"/>
    </row>
    <row r="801" spans="1:186" x14ac:dyDescent="0.15">
      <c r="A801" s="455">
        <v>21.347999999999999</v>
      </c>
      <c r="B801" s="455">
        <v>1</v>
      </c>
      <c r="C801"/>
      <c r="D801"/>
      <c r="E801"/>
      <c r="F801"/>
      <c r="G801"/>
      <c r="H801"/>
      <c r="I801"/>
      <c r="J801" s="558"/>
      <c r="K801"/>
      <c r="FK801"/>
      <c r="FL801"/>
      <c r="FM801"/>
      <c r="FN801"/>
      <c r="FO801"/>
      <c r="FP801"/>
      <c r="FQ801"/>
      <c r="FR801"/>
      <c r="FS801"/>
      <c r="FT801"/>
      <c r="FU801"/>
      <c r="FV801"/>
      <c r="FW801"/>
      <c r="FX801"/>
      <c r="FY801"/>
      <c r="FZ801"/>
      <c r="GA801"/>
      <c r="GB801"/>
      <c r="GC801"/>
      <c r="GD801"/>
    </row>
    <row r="802" spans="1:186" x14ac:dyDescent="0.15">
      <c r="A802" s="455">
        <v>2.6840000000000002</v>
      </c>
      <c r="B802" s="455"/>
      <c r="C802"/>
      <c r="D802">
        <v>1</v>
      </c>
      <c r="E802"/>
      <c r="F802"/>
      <c r="G802"/>
      <c r="H802"/>
      <c r="I802"/>
      <c r="J802" s="558"/>
      <c r="K802"/>
      <c r="FK802"/>
      <c r="FL802"/>
      <c r="FM802"/>
      <c r="FN802"/>
      <c r="FO802"/>
      <c r="FP802"/>
      <c r="FQ802"/>
      <c r="FR802"/>
      <c r="FS802"/>
      <c r="FT802"/>
      <c r="FU802"/>
      <c r="FV802"/>
      <c r="FW802"/>
      <c r="FX802"/>
      <c r="FY802"/>
      <c r="FZ802"/>
      <c r="GA802"/>
      <c r="GB802"/>
      <c r="GC802"/>
      <c r="GD802"/>
    </row>
    <row r="803" spans="1:186" x14ac:dyDescent="0.15">
      <c r="A803" s="455">
        <v>16.8</v>
      </c>
      <c r="B803" s="455"/>
      <c r="C803"/>
      <c r="D803"/>
      <c r="E803"/>
      <c r="F803"/>
      <c r="G803">
        <v>1</v>
      </c>
      <c r="H803"/>
      <c r="I803"/>
      <c r="J803" s="558"/>
      <c r="K803"/>
      <c r="FK803"/>
      <c r="FL803"/>
      <c r="FM803"/>
      <c r="FN803"/>
      <c r="FO803"/>
      <c r="FP803"/>
      <c r="FQ803"/>
      <c r="FR803"/>
      <c r="FS803"/>
      <c r="FT803"/>
      <c r="FU803"/>
      <c r="FV803"/>
      <c r="FW803"/>
      <c r="FX803"/>
      <c r="FY803"/>
      <c r="FZ803"/>
      <c r="GA803"/>
      <c r="GB803"/>
      <c r="GC803"/>
      <c r="GD803"/>
    </row>
    <row r="804" spans="1:186" x14ac:dyDescent="0.15">
      <c r="A804" s="455">
        <v>1.7390000000000001</v>
      </c>
      <c r="B804" s="455"/>
      <c r="C804"/>
      <c r="D804"/>
      <c r="E804"/>
      <c r="F804"/>
      <c r="G804"/>
      <c r="H804"/>
      <c r="I804">
        <v>1</v>
      </c>
      <c r="J804" s="558"/>
      <c r="K804"/>
      <c r="FK804"/>
      <c r="FL804"/>
      <c r="FM804"/>
      <c r="FN804"/>
      <c r="FO804"/>
      <c r="FP804"/>
      <c r="FQ804"/>
      <c r="FR804"/>
      <c r="FS804"/>
      <c r="FT804"/>
      <c r="FU804"/>
      <c r="FV804"/>
      <c r="FW804"/>
      <c r="FX804"/>
      <c r="FY804"/>
      <c r="FZ804"/>
      <c r="GA804"/>
      <c r="GB804"/>
      <c r="GC804"/>
      <c r="GD804"/>
    </row>
    <row r="805" spans="1:186" x14ac:dyDescent="0.15">
      <c r="A805" s="455">
        <v>6.9489999999999998</v>
      </c>
      <c r="B805" s="455">
        <v>1</v>
      </c>
      <c r="C805"/>
      <c r="D805"/>
      <c r="E805"/>
      <c r="F805"/>
      <c r="G805"/>
      <c r="H805"/>
      <c r="I805"/>
      <c r="J805" s="558"/>
      <c r="K805"/>
      <c r="FK805"/>
      <c r="FL805"/>
      <c r="FM805"/>
      <c r="FN805"/>
      <c r="FO805"/>
      <c r="FP805"/>
      <c r="FQ805"/>
      <c r="FR805"/>
      <c r="FS805"/>
      <c r="FT805"/>
      <c r="FU805"/>
      <c r="FV805"/>
      <c r="FW805"/>
      <c r="FX805"/>
      <c r="FY805"/>
      <c r="FZ805"/>
      <c r="GA805"/>
      <c r="GB805"/>
      <c r="GC805"/>
      <c r="GD805"/>
    </row>
    <row r="806" spans="1:186" x14ac:dyDescent="0.15">
      <c r="A806" s="455">
        <v>3.2610000000000001</v>
      </c>
      <c r="B806" s="455"/>
      <c r="C806">
        <v>1</v>
      </c>
      <c r="D806"/>
      <c r="E806"/>
      <c r="F806"/>
      <c r="G806"/>
      <c r="H806"/>
      <c r="I806"/>
      <c r="J806" s="558"/>
      <c r="K806"/>
      <c r="FK806"/>
      <c r="FL806"/>
      <c r="FM806"/>
      <c r="FN806"/>
      <c r="FO806"/>
      <c r="FP806"/>
      <c r="FQ806"/>
      <c r="FR806"/>
      <c r="FS806"/>
      <c r="FT806"/>
      <c r="FU806"/>
      <c r="FV806"/>
      <c r="FW806"/>
      <c r="FX806"/>
      <c r="FY806"/>
      <c r="FZ806"/>
      <c r="GA806"/>
      <c r="GB806"/>
      <c r="GC806"/>
      <c r="GD806"/>
    </row>
    <row r="807" spans="1:186" x14ac:dyDescent="0.15">
      <c r="A807" s="455">
        <v>5.0750000000000002</v>
      </c>
      <c r="B807" s="455"/>
      <c r="C807"/>
      <c r="D807"/>
      <c r="E807"/>
      <c r="F807"/>
      <c r="G807">
        <v>1</v>
      </c>
      <c r="H807"/>
      <c r="I807"/>
      <c r="J807" s="558"/>
      <c r="K807"/>
      <c r="FK807"/>
      <c r="FL807"/>
      <c r="FM807"/>
      <c r="FN807"/>
      <c r="FO807"/>
      <c r="FP807"/>
      <c r="FQ807"/>
      <c r="FR807"/>
      <c r="FS807"/>
      <c r="FT807"/>
      <c r="FU807"/>
      <c r="FV807"/>
      <c r="FW807"/>
      <c r="FX807"/>
      <c r="FY807"/>
      <c r="FZ807"/>
      <c r="GA807"/>
      <c r="GB807"/>
      <c r="GC807"/>
      <c r="GD807"/>
    </row>
    <row r="808" spans="1:186" x14ac:dyDescent="0.15">
      <c r="A808" s="455">
        <v>0.65700000000000003</v>
      </c>
      <c r="B808" s="455"/>
      <c r="C808">
        <v>1</v>
      </c>
      <c r="D808"/>
      <c r="E808"/>
      <c r="F808"/>
      <c r="G808"/>
      <c r="H808"/>
      <c r="I808"/>
      <c r="J808" s="558"/>
      <c r="K808"/>
      <c r="FK808"/>
      <c r="FL808"/>
      <c r="FM808"/>
      <c r="FN808"/>
      <c r="FO808"/>
      <c r="FP808"/>
      <c r="FQ808"/>
      <c r="FR808"/>
      <c r="FS808"/>
      <c r="FT808"/>
      <c r="FU808"/>
      <c r="FV808"/>
      <c r="FW808"/>
      <c r="FX808"/>
      <c r="FY808"/>
      <c r="FZ808"/>
      <c r="GA808"/>
      <c r="GB808"/>
      <c r="GC808"/>
      <c r="GD808"/>
    </row>
    <row r="809" spans="1:186" x14ac:dyDescent="0.15">
      <c r="A809" s="455">
        <v>5.242</v>
      </c>
      <c r="B809" s="455"/>
      <c r="C809"/>
      <c r="D809"/>
      <c r="E809"/>
      <c r="F809"/>
      <c r="G809">
        <v>1</v>
      </c>
      <c r="H809"/>
      <c r="I809"/>
      <c r="J809" s="558"/>
      <c r="K809"/>
      <c r="FK809"/>
      <c r="FL809"/>
      <c r="FM809"/>
      <c r="FN809"/>
      <c r="FO809"/>
      <c r="FP809"/>
      <c r="FQ809"/>
      <c r="FR809"/>
      <c r="FS809"/>
      <c r="FT809"/>
      <c r="FU809"/>
      <c r="FV809"/>
      <c r="FW809"/>
      <c r="FX809"/>
      <c r="FY809"/>
      <c r="FZ809"/>
      <c r="GA809"/>
      <c r="GB809"/>
      <c r="GC809"/>
      <c r="GD809"/>
    </row>
    <row r="810" spans="1:186" x14ac:dyDescent="0.15">
      <c r="A810" s="455">
        <v>2.698</v>
      </c>
      <c r="B810" s="455"/>
      <c r="C810"/>
      <c r="D810"/>
      <c r="E810"/>
      <c r="F810">
        <v>1</v>
      </c>
      <c r="G810"/>
      <c r="H810"/>
      <c r="I810"/>
      <c r="J810" s="558"/>
      <c r="K810"/>
      <c r="FK810"/>
      <c r="FL810"/>
      <c r="FM810"/>
      <c r="FN810"/>
      <c r="FO810"/>
      <c r="FP810"/>
      <c r="FQ810"/>
      <c r="FR810"/>
      <c r="FS810"/>
      <c r="FT810"/>
      <c r="FU810"/>
      <c r="FV810"/>
      <c r="FW810"/>
      <c r="FX810"/>
      <c r="FY810"/>
      <c r="FZ810"/>
      <c r="GA810"/>
      <c r="GB810"/>
      <c r="GC810"/>
      <c r="GD810"/>
    </row>
    <row r="811" spans="1:186" x14ac:dyDescent="0.15">
      <c r="A811" s="455">
        <v>7.4459999999999997</v>
      </c>
      <c r="B811" s="455"/>
      <c r="C811"/>
      <c r="D811"/>
      <c r="E811"/>
      <c r="F811"/>
      <c r="G811"/>
      <c r="H811">
        <v>1</v>
      </c>
      <c r="I811"/>
      <c r="J811" s="558"/>
      <c r="K811"/>
      <c r="FK811"/>
      <c r="FL811"/>
      <c r="FM811"/>
      <c r="FN811"/>
      <c r="FO811"/>
      <c r="FP811"/>
      <c r="FQ811"/>
      <c r="FR811"/>
      <c r="FS811"/>
      <c r="FT811"/>
      <c r="FU811"/>
      <c r="FV811"/>
      <c r="FW811"/>
      <c r="FX811"/>
      <c r="FY811"/>
      <c r="FZ811"/>
      <c r="GA811"/>
      <c r="GB811"/>
      <c r="GC811"/>
      <c r="GD811"/>
    </row>
    <row r="812" spans="1:186" x14ac:dyDescent="0.15">
      <c r="A812" s="455">
        <v>17.276</v>
      </c>
      <c r="B812" s="455"/>
      <c r="C812"/>
      <c r="D812"/>
      <c r="E812"/>
      <c r="F812">
        <v>1</v>
      </c>
      <c r="G812"/>
      <c r="H812"/>
      <c r="I812"/>
      <c r="J812" s="558"/>
      <c r="K812"/>
      <c r="FK812"/>
      <c r="FL812"/>
      <c r="FM812"/>
      <c r="FN812"/>
      <c r="FO812"/>
      <c r="FP812"/>
      <c r="FQ812"/>
      <c r="FR812"/>
      <c r="FS812"/>
      <c r="FT812"/>
      <c r="FU812"/>
      <c r="FV812"/>
      <c r="FW812"/>
      <c r="FX812"/>
      <c r="FY812"/>
      <c r="FZ812"/>
      <c r="GA812"/>
      <c r="GB812"/>
      <c r="GC812"/>
      <c r="GD812"/>
    </row>
    <row r="813" spans="1:186" x14ac:dyDescent="0.15">
      <c r="A813" s="455">
        <v>9.9239999999999995</v>
      </c>
      <c r="B813" s="455"/>
      <c r="C813"/>
      <c r="D813"/>
      <c r="E813"/>
      <c r="F813"/>
      <c r="G813"/>
      <c r="H813">
        <v>1</v>
      </c>
      <c r="I813"/>
      <c r="J813" s="558"/>
      <c r="K813"/>
      <c r="FK813"/>
      <c r="FL813"/>
      <c r="FM813"/>
      <c r="FN813"/>
      <c r="FO813"/>
      <c r="FP813"/>
      <c r="FQ813"/>
      <c r="FR813"/>
      <c r="FS813"/>
      <c r="FT813"/>
      <c r="FU813"/>
      <c r="FV813"/>
      <c r="FW813"/>
      <c r="FX813"/>
      <c r="FY813"/>
      <c r="FZ813"/>
      <c r="GA813"/>
      <c r="GB813"/>
      <c r="GC813"/>
      <c r="GD813"/>
    </row>
    <row r="814" spans="1:186" x14ac:dyDescent="0.15">
      <c r="A814" s="455">
        <v>3.2909999999999999</v>
      </c>
      <c r="B814" s="455"/>
      <c r="C814"/>
      <c r="D814">
        <v>1</v>
      </c>
      <c r="E814"/>
      <c r="F814"/>
      <c r="G814"/>
      <c r="H814"/>
      <c r="I814"/>
      <c r="J814" s="558"/>
      <c r="K814"/>
      <c r="FK814"/>
      <c r="FL814"/>
      <c r="FM814"/>
      <c r="FN814"/>
      <c r="FO814"/>
      <c r="FP814"/>
      <c r="FQ814"/>
      <c r="FR814"/>
      <c r="FS814"/>
      <c r="FT814"/>
      <c r="FU814"/>
      <c r="FV814"/>
      <c r="FW814"/>
      <c r="FX814"/>
      <c r="FY814"/>
      <c r="FZ814"/>
      <c r="GA814"/>
      <c r="GB814"/>
      <c r="GC814"/>
      <c r="GD814"/>
    </row>
    <row r="815" spans="1:186" x14ac:dyDescent="0.15">
      <c r="A815" s="455">
        <v>0.754</v>
      </c>
      <c r="B815" s="455"/>
      <c r="C815"/>
      <c r="D815"/>
      <c r="E815"/>
      <c r="F815">
        <v>1</v>
      </c>
      <c r="G815"/>
      <c r="H815"/>
      <c r="I815"/>
      <c r="J815" s="558"/>
      <c r="K815"/>
      <c r="FK815"/>
      <c r="FL815"/>
      <c r="FM815"/>
      <c r="FN815"/>
      <c r="FO815"/>
      <c r="FP815"/>
      <c r="FQ815"/>
      <c r="FR815"/>
      <c r="FS815"/>
      <c r="FT815"/>
      <c r="FU815"/>
      <c r="FV815"/>
      <c r="FW815"/>
      <c r="FX815"/>
      <c r="FY815"/>
      <c r="FZ815"/>
      <c r="GA815"/>
      <c r="GB815"/>
      <c r="GC815"/>
      <c r="GD815"/>
    </row>
    <row r="816" spans="1:186" x14ac:dyDescent="0.15">
      <c r="A816" s="455">
        <v>6.3869999999999996</v>
      </c>
      <c r="B816" s="455">
        <v>1</v>
      </c>
      <c r="C816"/>
      <c r="D816"/>
      <c r="E816"/>
      <c r="F816"/>
      <c r="G816"/>
      <c r="H816"/>
      <c r="I816"/>
      <c r="J816" s="558"/>
      <c r="K816"/>
      <c r="FK816"/>
      <c r="FL816"/>
      <c r="FM816"/>
      <c r="FN816"/>
      <c r="FO816"/>
      <c r="FP816"/>
      <c r="FQ816"/>
      <c r="FR816"/>
      <c r="FS816"/>
      <c r="FT816"/>
      <c r="FU816"/>
      <c r="FV816"/>
      <c r="FW816"/>
      <c r="FX816"/>
      <c r="FY816"/>
      <c r="FZ816"/>
      <c r="GA816"/>
      <c r="GB816"/>
      <c r="GC816"/>
      <c r="GD816"/>
    </row>
    <row r="817" spans="1:186" x14ac:dyDescent="0.15">
      <c r="A817" s="455">
        <v>2.762</v>
      </c>
      <c r="B817" s="455"/>
      <c r="C817"/>
      <c r="D817"/>
      <c r="E817">
        <v>1</v>
      </c>
      <c r="F817"/>
      <c r="G817"/>
      <c r="H817"/>
      <c r="I817"/>
      <c r="J817" s="558"/>
      <c r="K817"/>
      <c r="FK817"/>
      <c r="FL817"/>
      <c r="FM817"/>
      <c r="FN817"/>
      <c r="FO817"/>
      <c r="FP817"/>
      <c r="FQ817"/>
      <c r="FR817"/>
      <c r="FS817"/>
      <c r="FT817"/>
      <c r="FU817"/>
      <c r="FV817"/>
      <c r="FW817"/>
      <c r="FX817"/>
      <c r="FY817"/>
      <c r="FZ817"/>
      <c r="GA817"/>
      <c r="GB817"/>
      <c r="GC817"/>
      <c r="GD817"/>
    </row>
    <row r="818" spans="1:186" x14ac:dyDescent="0.15">
      <c r="A818" s="455">
        <v>6.9809999999999999</v>
      </c>
      <c r="B818" s="455"/>
      <c r="C818"/>
      <c r="D818"/>
      <c r="E818"/>
      <c r="F818">
        <v>1</v>
      </c>
      <c r="G818"/>
      <c r="H818"/>
      <c r="I818"/>
      <c r="J818" s="558"/>
      <c r="K818"/>
      <c r="FK818"/>
      <c r="FL818"/>
      <c r="FM818"/>
      <c r="FN818"/>
      <c r="FO818"/>
      <c r="FP818"/>
      <c r="FQ818"/>
      <c r="FR818"/>
      <c r="FS818"/>
      <c r="FT818"/>
      <c r="FU818"/>
      <c r="FV818"/>
      <c r="FW818"/>
      <c r="FX818"/>
      <c r="FY818"/>
      <c r="FZ818"/>
      <c r="GA818"/>
      <c r="GB818"/>
      <c r="GC818"/>
      <c r="GD818"/>
    </row>
    <row r="819" spans="1:186" x14ac:dyDescent="0.15">
      <c r="A819" s="455">
        <v>10.88</v>
      </c>
      <c r="B819" s="455"/>
      <c r="C819"/>
      <c r="D819"/>
      <c r="E819"/>
      <c r="F819">
        <v>1</v>
      </c>
      <c r="G819"/>
      <c r="H819"/>
      <c r="I819"/>
      <c r="J819" s="558"/>
      <c r="K819"/>
      <c r="FK819"/>
      <c r="FL819"/>
      <c r="FM819"/>
      <c r="FN819"/>
      <c r="FO819"/>
      <c r="FP819"/>
      <c r="FQ819"/>
      <c r="FR819"/>
      <c r="FS819"/>
      <c r="FT819"/>
      <c r="FU819"/>
      <c r="FV819"/>
      <c r="FW819"/>
      <c r="FX819"/>
      <c r="FY819"/>
      <c r="FZ819"/>
      <c r="GA819"/>
      <c r="GB819"/>
      <c r="GC819"/>
      <c r="GD819"/>
    </row>
    <row r="820" spans="1:186" x14ac:dyDescent="0.15">
      <c r="A820" s="455">
        <v>17.399999999999999</v>
      </c>
      <c r="B820" s="455"/>
      <c r="C820"/>
      <c r="D820"/>
      <c r="E820"/>
      <c r="F820"/>
      <c r="G820"/>
      <c r="H820">
        <v>1</v>
      </c>
      <c r="I820"/>
      <c r="J820" s="558"/>
      <c r="K820"/>
      <c r="FK820"/>
      <c r="FL820"/>
      <c r="FM820"/>
      <c r="FN820"/>
      <c r="FO820"/>
      <c r="FP820"/>
      <c r="FQ820"/>
      <c r="FR820"/>
      <c r="FS820"/>
      <c r="FT820"/>
      <c r="FU820"/>
      <c r="FV820"/>
      <c r="FW820"/>
      <c r="FX820"/>
      <c r="FY820"/>
      <c r="FZ820"/>
      <c r="GA820"/>
      <c r="GB820"/>
      <c r="GC820"/>
      <c r="GD820"/>
    </row>
    <row r="821" spans="1:186" x14ac:dyDescent="0.15">
      <c r="A821" s="455">
        <v>0.99299999999999999</v>
      </c>
      <c r="B821" s="455"/>
      <c r="C821"/>
      <c r="D821"/>
      <c r="E821"/>
      <c r="F821"/>
      <c r="G821"/>
      <c r="H821">
        <v>1</v>
      </c>
      <c r="I821"/>
      <c r="J821" s="558"/>
      <c r="K821"/>
      <c r="FK821"/>
      <c r="FL821"/>
      <c r="FM821"/>
      <c r="FN821"/>
      <c r="FO821"/>
      <c r="FP821"/>
      <c r="FQ821"/>
      <c r="FR821"/>
      <c r="FS821"/>
      <c r="FT821"/>
      <c r="FU821"/>
      <c r="FV821"/>
      <c r="FW821"/>
      <c r="FX821"/>
      <c r="FY821"/>
      <c r="FZ821"/>
      <c r="GA821"/>
      <c r="GB821"/>
      <c r="GC821"/>
      <c r="GD821"/>
    </row>
    <row r="822" spans="1:186" x14ac:dyDescent="0.15">
      <c r="A822" s="455">
        <v>8.0180000000000007</v>
      </c>
      <c r="B822" s="455"/>
      <c r="C822">
        <v>1</v>
      </c>
      <c r="D822"/>
      <c r="E822"/>
      <c r="F822"/>
      <c r="G822"/>
      <c r="H822"/>
      <c r="I822"/>
      <c r="J822" s="558"/>
      <c r="K822"/>
      <c r="FK822"/>
      <c r="FL822"/>
      <c r="FM822"/>
      <c r="FN822"/>
      <c r="FO822"/>
      <c r="FP822"/>
      <c r="FQ822"/>
      <c r="FR822"/>
      <c r="FS822"/>
      <c r="FT822"/>
      <c r="FU822"/>
      <c r="FV822"/>
      <c r="FW822"/>
      <c r="FX822"/>
      <c r="FY822"/>
      <c r="FZ822"/>
      <c r="GA822"/>
      <c r="GB822"/>
      <c r="GC822"/>
      <c r="GD822"/>
    </row>
    <row r="823" spans="1:186" x14ac:dyDescent="0.15">
      <c r="A823" s="455">
        <v>9.98</v>
      </c>
      <c r="B823" s="455"/>
      <c r="C823">
        <v>1</v>
      </c>
      <c r="D823"/>
      <c r="E823"/>
      <c r="F823"/>
      <c r="G823"/>
      <c r="H823"/>
      <c r="I823"/>
      <c r="J823" s="558"/>
      <c r="K823"/>
      <c r="FK823"/>
      <c r="FL823"/>
      <c r="FM823"/>
      <c r="FN823"/>
      <c r="FO823"/>
      <c r="FP823"/>
      <c r="FQ823"/>
      <c r="FR823"/>
      <c r="FS823"/>
      <c r="FT823"/>
      <c r="FU823"/>
      <c r="FV823"/>
      <c r="FW823"/>
      <c r="FX823"/>
      <c r="FY823"/>
      <c r="FZ823"/>
      <c r="GA823"/>
      <c r="GB823"/>
      <c r="GC823"/>
      <c r="GD823"/>
    </row>
    <row r="824" spans="1:186" x14ac:dyDescent="0.15">
      <c r="A824" s="455">
        <v>2.367</v>
      </c>
      <c r="B824" s="455"/>
      <c r="C824"/>
      <c r="D824">
        <v>1</v>
      </c>
      <c r="E824"/>
      <c r="F824"/>
      <c r="G824"/>
      <c r="H824"/>
      <c r="I824"/>
      <c r="J824" s="558"/>
      <c r="K824"/>
      <c r="FK824"/>
      <c r="FL824"/>
      <c r="FM824"/>
      <c r="FN824"/>
      <c r="FO824"/>
      <c r="FP824"/>
      <c r="FQ824"/>
      <c r="FR824"/>
      <c r="FS824"/>
      <c r="FT824"/>
      <c r="FU824"/>
      <c r="FV824"/>
      <c r="FW824"/>
      <c r="FX824"/>
      <c r="FY824"/>
      <c r="FZ824"/>
      <c r="GA824"/>
      <c r="GB824"/>
      <c r="GC824"/>
      <c r="GD824"/>
    </row>
    <row r="825" spans="1:186" x14ac:dyDescent="0.15">
      <c r="A825" s="455">
        <v>8.1839999999999993</v>
      </c>
      <c r="B825" s="455">
        <v>1</v>
      </c>
      <c r="C825"/>
      <c r="D825"/>
      <c r="E825"/>
      <c r="F825"/>
      <c r="G825"/>
      <c r="H825"/>
      <c r="I825"/>
      <c r="J825" s="558"/>
      <c r="K825"/>
      <c r="FK825"/>
      <c r="FL825"/>
      <c r="FM825"/>
      <c r="FN825"/>
      <c r="FO825"/>
      <c r="FP825"/>
      <c r="FQ825"/>
      <c r="FR825"/>
      <c r="FS825"/>
      <c r="FT825"/>
      <c r="FU825"/>
      <c r="FV825"/>
      <c r="FW825"/>
      <c r="FX825"/>
      <c r="FY825"/>
      <c r="FZ825"/>
      <c r="GA825"/>
      <c r="GB825"/>
      <c r="GC825"/>
      <c r="GD825"/>
    </row>
    <row r="826" spans="1:186" x14ac:dyDescent="0.15">
      <c r="A826" s="455">
        <v>0.371</v>
      </c>
      <c r="B826" s="455"/>
      <c r="C826"/>
      <c r="D826"/>
      <c r="E826"/>
      <c r="F826">
        <v>1</v>
      </c>
      <c r="G826"/>
      <c r="H826"/>
      <c r="I826"/>
      <c r="J826" s="558"/>
      <c r="K826"/>
      <c r="FK826"/>
      <c r="FL826"/>
      <c r="FM826"/>
      <c r="FN826"/>
      <c r="FO826"/>
      <c r="FP826"/>
      <c r="FQ826"/>
      <c r="FR826"/>
      <c r="FS826"/>
      <c r="FT826"/>
      <c r="FU826"/>
      <c r="FV826"/>
      <c r="FW826"/>
      <c r="FX826"/>
      <c r="FY826"/>
      <c r="FZ826"/>
      <c r="GA826"/>
      <c r="GB826"/>
      <c r="GC826"/>
      <c r="GD826"/>
    </row>
    <row r="827" spans="1:186" x14ac:dyDescent="0.15">
      <c r="A827" s="455">
        <v>0.158</v>
      </c>
      <c r="B827" s="455"/>
      <c r="C827"/>
      <c r="D827"/>
      <c r="E827"/>
      <c r="F827">
        <v>1</v>
      </c>
      <c r="G827"/>
      <c r="H827"/>
      <c r="I827"/>
      <c r="J827" s="558"/>
      <c r="K827"/>
      <c r="FK827"/>
      <c r="FL827"/>
      <c r="FM827"/>
      <c r="FN827"/>
      <c r="FO827"/>
      <c r="FP827"/>
      <c r="FQ827"/>
      <c r="FR827"/>
      <c r="FS827"/>
      <c r="FT827"/>
      <c r="FU827"/>
      <c r="FV827"/>
      <c r="FW827"/>
      <c r="FX827"/>
      <c r="FY827"/>
      <c r="FZ827"/>
      <c r="GA827"/>
      <c r="GB827"/>
      <c r="GC827"/>
      <c r="GD827"/>
    </row>
    <row r="828" spans="1:186" x14ac:dyDescent="0.15">
      <c r="A828" s="455">
        <v>7.01</v>
      </c>
      <c r="B828" s="455"/>
      <c r="C828"/>
      <c r="D828">
        <v>1</v>
      </c>
      <c r="E828"/>
      <c r="F828"/>
      <c r="G828"/>
      <c r="H828"/>
      <c r="I828"/>
      <c r="J828" s="558"/>
      <c r="K828"/>
      <c r="FK828"/>
      <c r="FL828"/>
      <c r="FM828"/>
      <c r="FN828"/>
      <c r="FO828"/>
      <c r="FP828"/>
      <c r="FQ828"/>
      <c r="FR828"/>
      <c r="FS828"/>
      <c r="FT828"/>
      <c r="FU828"/>
      <c r="FV828"/>
      <c r="FW828"/>
      <c r="FX828"/>
      <c r="FY828"/>
      <c r="FZ828"/>
      <c r="GA828"/>
      <c r="GB828"/>
      <c r="GC828"/>
      <c r="GD828"/>
    </row>
    <row r="829" spans="1:186" x14ac:dyDescent="0.15">
      <c r="A829" s="455">
        <v>9.8580000000000005</v>
      </c>
      <c r="B829" s="455"/>
      <c r="C829"/>
      <c r="D829"/>
      <c r="E829"/>
      <c r="F829"/>
      <c r="G829">
        <v>1</v>
      </c>
      <c r="H829"/>
      <c r="I829"/>
      <c r="J829" s="558"/>
      <c r="K829"/>
      <c r="FK829"/>
      <c r="FL829"/>
      <c r="FM829"/>
      <c r="FN829"/>
      <c r="FO829"/>
      <c r="FP829"/>
      <c r="FQ829"/>
      <c r="FR829"/>
      <c r="FS829"/>
      <c r="FT829"/>
      <c r="FU829"/>
      <c r="FV829"/>
      <c r="FW829"/>
      <c r="FX829"/>
      <c r="FY829"/>
      <c r="FZ829"/>
      <c r="GA829"/>
      <c r="GB829"/>
      <c r="GC829"/>
      <c r="GD829"/>
    </row>
    <row r="830" spans="1:186" x14ac:dyDescent="0.15">
      <c r="A830" s="455">
        <v>10.648</v>
      </c>
      <c r="B830" s="455"/>
      <c r="C830"/>
      <c r="D830">
        <v>1</v>
      </c>
      <c r="E830"/>
      <c r="F830"/>
      <c r="G830"/>
      <c r="H830"/>
      <c r="I830"/>
      <c r="J830" s="558"/>
      <c r="K830"/>
      <c r="FK830"/>
      <c r="FL830"/>
      <c r="FM830"/>
      <c r="FN830"/>
      <c r="FO830"/>
      <c r="FP830"/>
      <c r="FQ830"/>
      <c r="FR830"/>
      <c r="FS830"/>
      <c r="FT830"/>
      <c r="FU830"/>
      <c r="FV830"/>
      <c r="FW830"/>
      <c r="FX830"/>
      <c r="FY830"/>
      <c r="FZ830"/>
      <c r="GA830"/>
      <c r="GB830"/>
      <c r="GC830"/>
      <c r="GD830"/>
    </row>
    <row r="831" spans="1:186" x14ac:dyDescent="0.15">
      <c r="A831" s="455">
        <v>3.786</v>
      </c>
      <c r="B831" s="455"/>
      <c r="C831"/>
      <c r="D831"/>
      <c r="E831">
        <v>1</v>
      </c>
      <c r="F831"/>
      <c r="G831"/>
      <c r="H831"/>
      <c r="I831"/>
      <c r="J831" s="558"/>
      <c r="K831"/>
      <c r="FK831"/>
      <c r="FL831"/>
      <c r="FM831"/>
      <c r="FN831"/>
      <c r="FO831"/>
      <c r="FP831"/>
      <c r="FQ831"/>
      <c r="FR831"/>
      <c r="FS831"/>
      <c r="FT831"/>
      <c r="FU831"/>
      <c r="FV831"/>
      <c r="FW831"/>
      <c r="FX831"/>
      <c r="FY831"/>
      <c r="FZ831"/>
      <c r="GA831"/>
      <c r="GB831"/>
      <c r="GC831"/>
      <c r="GD831"/>
    </row>
    <row r="832" spans="1:186" x14ac:dyDescent="0.15">
      <c r="A832" s="455">
        <v>0.70599999999999996</v>
      </c>
      <c r="B832" s="455">
        <v>1</v>
      </c>
      <c r="C832"/>
      <c r="D832"/>
      <c r="E832"/>
      <c r="F832"/>
      <c r="G832"/>
      <c r="H832"/>
      <c r="I832"/>
      <c r="J832" s="558"/>
      <c r="K832"/>
      <c r="FK832"/>
      <c r="FL832"/>
      <c r="FM832"/>
      <c r="FN832"/>
      <c r="FO832"/>
      <c r="FP832"/>
      <c r="FQ832"/>
      <c r="FR832"/>
      <c r="FS832"/>
      <c r="FT832"/>
      <c r="FU832"/>
      <c r="FV832"/>
      <c r="FW832"/>
      <c r="FX832"/>
      <c r="FY832"/>
      <c r="FZ832"/>
      <c r="GA832"/>
      <c r="GB832"/>
      <c r="GC832"/>
      <c r="GD832"/>
    </row>
    <row r="833" spans="1:186" x14ac:dyDescent="0.15">
      <c r="A833" s="455">
        <v>0.26600000000000001</v>
      </c>
      <c r="B833" s="455"/>
      <c r="C833">
        <v>1</v>
      </c>
      <c r="D833"/>
      <c r="E833"/>
      <c r="F833"/>
      <c r="G833"/>
      <c r="H833"/>
      <c r="I833"/>
      <c r="J833" s="558"/>
      <c r="K833"/>
      <c r="FK833"/>
      <c r="FL833"/>
      <c r="FM833"/>
      <c r="FN833"/>
      <c r="FO833"/>
      <c r="FP833"/>
      <c r="FQ833"/>
      <c r="FR833"/>
      <c r="FS833"/>
      <c r="FT833"/>
      <c r="FU833"/>
      <c r="FV833"/>
      <c r="FW833"/>
      <c r="FX833"/>
      <c r="FY833"/>
      <c r="FZ833"/>
      <c r="GA833"/>
      <c r="GB833"/>
      <c r="GC833"/>
      <c r="GD833"/>
    </row>
    <row r="834" spans="1:186" x14ac:dyDescent="0.15">
      <c r="A834" s="455">
        <v>5.6020000000000003</v>
      </c>
      <c r="B834" s="455"/>
      <c r="C834"/>
      <c r="D834"/>
      <c r="E834"/>
      <c r="F834"/>
      <c r="G834"/>
      <c r="H834"/>
      <c r="I834">
        <v>1</v>
      </c>
      <c r="J834" s="558"/>
      <c r="K834"/>
      <c r="FK834"/>
      <c r="FL834"/>
      <c r="FM834"/>
      <c r="FN834"/>
      <c r="FO834"/>
      <c r="FP834"/>
      <c r="FQ834"/>
      <c r="FR834"/>
      <c r="FS834"/>
      <c r="FT834"/>
      <c r="FU834"/>
      <c r="FV834"/>
      <c r="FW834"/>
      <c r="FX834"/>
      <c r="FY834"/>
      <c r="FZ834"/>
      <c r="GA834"/>
      <c r="GB834"/>
      <c r="GC834"/>
      <c r="GD834"/>
    </row>
    <row r="835" spans="1:186" x14ac:dyDescent="0.15">
      <c r="A835" s="455">
        <v>2E-3</v>
      </c>
      <c r="B835" s="455"/>
      <c r="C835"/>
      <c r="D835"/>
      <c r="E835"/>
      <c r="F835"/>
      <c r="G835">
        <v>1</v>
      </c>
      <c r="H835"/>
      <c r="I835"/>
      <c r="J835" s="558"/>
      <c r="K835"/>
      <c r="FK835"/>
      <c r="FL835"/>
      <c r="FM835"/>
      <c r="FN835"/>
      <c r="FO835"/>
      <c r="FP835"/>
      <c r="FQ835"/>
      <c r="FR835"/>
      <c r="FS835"/>
      <c r="FT835"/>
      <c r="FU835"/>
      <c r="FV835"/>
      <c r="FW835"/>
      <c r="FX835"/>
      <c r="FY835"/>
      <c r="FZ835"/>
      <c r="GA835"/>
      <c r="GB835"/>
      <c r="GC835"/>
      <c r="GD835"/>
    </row>
    <row r="836" spans="1:186" x14ac:dyDescent="0.15">
      <c r="A836" s="455">
        <v>8.5169999999999995</v>
      </c>
      <c r="B836" s="455"/>
      <c r="C836">
        <v>1</v>
      </c>
      <c r="D836"/>
      <c r="E836"/>
      <c r="F836"/>
      <c r="G836"/>
      <c r="H836"/>
      <c r="I836"/>
      <c r="J836" s="558"/>
      <c r="K836"/>
      <c r="FK836"/>
      <c r="FL836"/>
      <c r="FM836"/>
      <c r="FN836"/>
      <c r="FO836"/>
      <c r="FP836"/>
      <c r="FQ836"/>
      <c r="FR836"/>
      <c r="FS836"/>
      <c r="FT836"/>
      <c r="FU836"/>
      <c r="FV836"/>
      <c r="FW836"/>
      <c r="FX836"/>
      <c r="FY836"/>
      <c r="FZ836"/>
      <c r="GA836"/>
      <c r="GB836"/>
      <c r="GC836"/>
      <c r="GD836"/>
    </row>
    <row r="837" spans="1:186" x14ac:dyDescent="0.15">
      <c r="A837" s="455">
        <v>2.2949999999999999</v>
      </c>
      <c r="B837" s="455"/>
      <c r="C837"/>
      <c r="D837">
        <v>1</v>
      </c>
      <c r="E837"/>
      <c r="F837"/>
      <c r="G837"/>
      <c r="H837"/>
      <c r="I837"/>
      <c r="J837" s="558"/>
      <c r="K837"/>
      <c r="FK837"/>
      <c r="FL837"/>
      <c r="FM837"/>
      <c r="FN837"/>
      <c r="FO837"/>
      <c r="FP837"/>
      <c r="FQ837"/>
      <c r="FR837"/>
      <c r="FS837"/>
      <c r="FT837"/>
      <c r="FU837"/>
      <c r="FV837"/>
      <c r="FW837"/>
      <c r="FX837"/>
      <c r="FY837"/>
      <c r="FZ837"/>
      <c r="GA837"/>
      <c r="GB837"/>
      <c r="GC837"/>
      <c r="GD837"/>
    </row>
    <row r="838" spans="1:186" x14ac:dyDescent="0.15">
      <c r="A838" s="455">
        <v>1.361</v>
      </c>
      <c r="B838" s="455"/>
      <c r="C838"/>
      <c r="D838"/>
      <c r="E838"/>
      <c r="F838"/>
      <c r="G838">
        <v>1</v>
      </c>
      <c r="H838"/>
      <c r="I838"/>
      <c r="J838" s="558"/>
      <c r="K838"/>
      <c r="FK838"/>
      <c r="FL838"/>
      <c r="FM838"/>
      <c r="FN838"/>
      <c r="FO838"/>
      <c r="FP838"/>
      <c r="FQ838"/>
      <c r="FR838"/>
      <c r="FS838"/>
      <c r="FT838"/>
      <c r="FU838"/>
      <c r="FV838"/>
      <c r="FW838"/>
      <c r="FX838"/>
      <c r="FY838"/>
      <c r="FZ838"/>
      <c r="GA838"/>
      <c r="GB838"/>
      <c r="GC838"/>
      <c r="GD838"/>
    </row>
    <row r="839" spans="1:186" x14ac:dyDescent="0.15">
      <c r="A839" s="455">
        <v>2.1259999999999999</v>
      </c>
      <c r="B839" s="455"/>
      <c r="C839">
        <v>1</v>
      </c>
      <c r="D839"/>
      <c r="E839"/>
      <c r="F839"/>
      <c r="G839"/>
      <c r="H839"/>
      <c r="I839"/>
      <c r="J839" s="558"/>
      <c r="K839"/>
      <c r="FK839"/>
      <c r="FL839"/>
      <c r="FM839"/>
      <c r="FN839"/>
      <c r="FO839"/>
      <c r="FP839"/>
      <c r="FQ839"/>
      <c r="FR839"/>
      <c r="FS839"/>
      <c r="FT839"/>
      <c r="FU839"/>
      <c r="FV839"/>
      <c r="FW839"/>
      <c r="FX839"/>
      <c r="FY839"/>
      <c r="FZ839"/>
      <c r="GA839"/>
      <c r="GB839"/>
      <c r="GC839"/>
      <c r="GD839"/>
    </row>
    <row r="840" spans="1:186" x14ac:dyDescent="0.15">
      <c r="A840" s="455">
        <v>3.1760000000000002</v>
      </c>
      <c r="B840" s="455"/>
      <c r="C840"/>
      <c r="D840"/>
      <c r="E840">
        <v>1</v>
      </c>
      <c r="F840"/>
      <c r="G840"/>
      <c r="H840"/>
      <c r="I840"/>
      <c r="J840" s="558"/>
      <c r="K840"/>
      <c r="FK840"/>
      <c r="FL840"/>
      <c r="FM840"/>
      <c r="FN840"/>
      <c r="FO840"/>
      <c r="FP840"/>
      <c r="FQ840"/>
      <c r="FR840"/>
      <c r="FS840"/>
      <c r="FT840"/>
      <c r="FU840"/>
      <c r="FV840"/>
      <c r="FW840"/>
      <c r="FX840"/>
      <c r="FY840"/>
      <c r="FZ840"/>
      <c r="GA840"/>
      <c r="GB840"/>
      <c r="GC840"/>
      <c r="GD840"/>
    </row>
    <row r="841" spans="1:186" x14ac:dyDescent="0.15">
      <c r="A841" s="455">
        <v>7.7190000000000003</v>
      </c>
      <c r="B841" s="455"/>
      <c r="C841"/>
      <c r="D841"/>
      <c r="E841"/>
      <c r="F841"/>
      <c r="G841"/>
      <c r="H841"/>
      <c r="I841"/>
      <c r="J841" s="558">
        <v>1</v>
      </c>
      <c r="K841"/>
      <c r="FK841"/>
      <c r="FL841"/>
      <c r="FM841"/>
      <c r="FN841"/>
      <c r="FO841"/>
      <c r="FP841"/>
      <c r="FQ841"/>
      <c r="FR841"/>
      <c r="FS841"/>
      <c r="FT841"/>
      <c r="FU841"/>
      <c r="FV841"/>
      <c r="FW841"/>
      <c r="FX841"/>
      <c r="FY841"/>
      <c r="FZ841"/>
      <c r="GA841"/>
      <c r="GB841"/>
      <c r="GC841"/>
      <c r="GD841"/>
    </row>
    <row r="842" spans="1:186" x14ac:dyDescent="0.15">
      <c r="A842" s="455">
        <v>7.6820000000000004</v>
      </c>
      <c r="B842" s="455">
        <v>1</v>
      </c>
      <c r="C842"/>
      <c r="D842"/>
      <c r="E842"/>
      <c r="F842"/>
      <c r="G842"/>
      <c r="H842"/>
      <c r="I842"/>
      <c r="J842" s="558"/>
      <c r="K842"/>
      <c r="FK842"/>
      <c r="FL842"/>
      <c r="FM842"/>
      <c r="FN842"/>
      <c r="FO842"/>
      <c r="FP842"/>
      <c r="FQ842"/>
      <c r="FR842"/>
      <c r="FS842"/>
      <c r="FT842"/>
      <c r="FU842"/>
      <c r="FV842"/>
      <c r="FW842"/>
      <c r="FX842"/>
      <c r="FY842"/>
      <c r="FZ842"/>
      <c r="GA842"/>
      <c r="GB842"/>
      <c r="GC842"/>
      <c r="GD842"/>
    </row>
    <row r="843" spans="1:186" x14ac:dyDescent="0.15">
      <c r="A843" s="455">
        <v>8.702</v>
      </c>
      <c r="B843" s="455">
        <v>1</v>
      </c>
      <c r="C843"/>
      <c r="D843"/>
      <c r="E843"/>
      <c r="F843"/>
      <c r="G843"/>
      <c r="H843"/>
      <c r="I843"/>
      <c r="J843" s="558"/>
      <c r="K843"/>
      <c r="FK843"/>
      <c r="FL843"/>
      <c r="FM843"/>
      <c r="FN843"/>
      <c r="FO843"/>
      <c r="FP843"/>
      <c r="FQ843"/>
      <c r="FR843"/>
      <c r="FS843"/>
      <c r="FT843"/>
      <c r="FU843"/>
      <c r="FV843"/>
      <c r="FW843"/>
      <c r="FX843"/>
      <c r="FY843"/>
      <c r="FZ843"/>
      <c r="GA843"/>
      <c r="GB843"/>
      <c r="GC843"/>
      <c r="GD843"/>
    </row>
    <row r="844" spans="1:186" x14ac:dyDescent="0.15">
      <c r="A844" s="455">
        <v>0.56799999999999995</v>
      </c>
      <c r="B844" s="455">
        <v>1</v>
      </c>
      <c r="C844"/>
      <c r="D844"/>
      <c r="E844"/>
      <c r="F844"/>
      <c r="G844"/>
      <c r="H844"/>
      <c r="I844"/>
      <c r="J844" s="558"/>
      <c r="K844"/>
      <c r="FK844"/>
      <c r="FL844"/>
      <c r="FM844"/>
      <c r="FN844"/>
      <c r="FO844"/>
      <c r="FP844"/>
      <c r="FQ844"/>
      <c r="FR844"/>
      <c r="FS844"/>
      <c r="FT844"/>
      <c r="FU844"/>
      <c r="FV844"/>
      <c r="FW844"/>
      <c r="FX844"/>
      <c r="FY844"/>
      <c r="FZ844"/>
      <c r="GA844"/>
      <c r="GB844"/>
      <c r="GC844"/>
      <c r="GD844"/>
    </row>
    <row r="845" spans="1:186" x14ac:dyDescent="0.15">
      <c r="A845" s="455">
        <v>18.545000000000002</v>
      </c>
      <c r="B845" s="455"/>
      <c r="C845"/>
      <c r="D845">
        <v>1</v>
      </c>
      <c r="E845"/>
      <c r="F845"/>
      <c r="G845"/>
      <c r="H845"/>
      <c r="I845"/>
      <c r="J845" s="558"/>
      <c r="K845"/>
      <c r="FK845"/>
      <c r="FL845"/>
      <c r="FM845"/>
      <c r="FN845"/>
      <c r="FO845"/>
      <c r="FP845"/>
      <c r="FQ845"/>
      <c r="FR845"/>
      <c r="FS845"/>
      <c r="FT845"/>
      <c r="FU845"/>
      <c r="FV845"/>
      <c r="FW845"/>
      <c r="FX845"/>
      <c r="FY845"/>
      <c r="FZ845"/>
      <c r="GA845"/>
      <c r="GB845"/>
      <c r="GC845"/>
      <c r="GD845"/>
    </row>
    <row r="846" spans="1:186" x14ac:dyDescent="0.15">
      <c r="A846" s="455">
        <v>0.35199999999999998</v>
      </c>
      <c r="B846" s="455"/>
      <c r="C846"/>
      <c r="D846"/>
      <c r="E846"/>
      <c r="F846"/>
      <c r="G846"/>
      <c r="H846"/>
      <c r="I846"/>
      <c r="J846" s="558">
        <v>1</v>
      </c>
      <c r="K846"/>
      <c r="FK846"/>
      <c r="FL846"/>
      <c r="FM846"/>
      <c r="FN846"/>
      <c r="FO846"/>
      <c r="FP846"/>
      <c r="FQ846"/>
      <c r="FR846"/>
      <c r="FS846"/>
      <c r="FT846"/>
      <c r="FU846"/>
      <c r="FV846"/>
      <c r="FW846"/>
      <c r="FX846"/>
      <c r="FY846"/>
      <c r="FZ846"/>
      <c r="GA846"/>
      <c r="GB846"/>
      <c r="GC846"/>
      <c r="GD846"/>
    </row>
    <row r="847" spans="1:186" x14ac:dyDescent="0.15">
      <c r="A847" s="455">
        <v>0.35499999999999998</v>
      </c>
      <c r="B847" s="455"/>
      <c r="C847"/>
      <c r="D847">
        <v>1</v>
      </c>
      <c r="E847"/>
      <c r="F847"/>
      <c r="G847"/>
      <c r="H847"/>
      <c r="I847"/>
      <c r="J847" s="558"/>
      <c r="K847"/>
      <c r="FK847"/>
      <c r="FL847"/>
      <c r="FM847"/>
      <c r="FN847"/>
      <c r="FO847"/>
      <c r="FP847"/>
      <c r="FQ847"/>
      <c r="FR847"/>
      <c r="FS847"/>
      <c r="FT847"/>
      <c r="FU847"/>
      <c r="FV847"/>
      <c r="FW847"/>
      <c r="FX847"/>
      <c r="FY847"/>
      <c r="FZ847"/>
      <c r="GA847"/>
      <c r="GB847"/>
      <c r="GC847"/>
      <c r="GD847"/>
    </row>
    <row r="848" spans="1:186" x14ac:dyDescent="0.15">
      <c r="A848" s="455">
        <v>0.15</v>
      </c>
      <c r="B848" s="455"/>
      <c r="C848">
        <v>1</v>
      </c>
      <c r="D848"/>
      <c r="E848"/>
      <c r="F848"/>
      <c r="G848"/>
      <c r="H848"/>
      <c r="I848"/>
      <c r="J848" s="558"/>
      <c r="K848"/>
      <c r="FK848"/>
      <c r="FL848"/>
      <c r="FM848"/>
      <c r="FN848"/>
      <c r="FO848"/>
      <c r="FP848"/>
      <c r="FQ848"/>
      <c r="FR848"/>
      <c r="FS848"/>
      <c r="FT848"/>
      <c r="FU848"/>
      <c r="FV848"/>
      <c r="FW848"/>
      <c r="FX848"/>
      <c r="FY848"/>
      <c r="FZ848"/>
      <c r="GA848"/>
      <c r="GB848"/>
      <c r="GC848"/>
      <c r="GD848"/>
    </row>
    <row r="849" spans="1:186" x14ac:dyDescent="0.15">
      <c r="A849" s="455">
        <v>2.1720000000000002</v>
      </c>
      <c r="B849" s="455">
        <v>1</v>
      </c>
      <c r="C849"/>
      <c r="D849"/>
      <c r="E849"/>
      <c r="F849"/>
      <c r="G849"/>
      <c r="H849"/>
      <c r="I849"/>
      <c r="J849" s="558"/>
      <c r="K849"/>
      <c r="FK849"/>
      <c r="FL849"/>
      <c r="FM849"/>
      <c r="FN849"/>
      <c r="FO849"/>
      <c r="FP849"/>
      <c r="FQ849"/>
      <c r="FR849"/>
      <c r="FS849"/>
      <c r="FT849"/>
      <c r="FU849"/>
      <c r="FV849"/>
      <c r="FW849"/>
      <c r="FX849"/>
      <c r="FY849"/>
      <c r="FZ849"/>
      <c r="GA849"/>
      <c r="GB849"/>
      <c r="GC849"/>
      <c r="GD849"/>
    </row>
    <row r="850" spans="1:186" x14ac:dyDescent="0.15">
      <c r="A850" s="455">
        <v>5.3010000000000002</v>
      </c>
      <c r="B850" s="455"/>
      <c r="C850"/>
      <c r="D850">
        <v>1</v>
      </c>
      <c r="E850"/>
      <c r="F850"/>
      <c r="G850"/>
      <c r="H850"/>
      <c r="I850"/>
      <c r="J850" s="558"/>
      <c r="K850"/>
      <c r="FK850"/>
      <c r="FL850"/>
      <c r="FM850"/>
      <c r="FN850"/>
      <c r="FO850"/>
      <c r="FP850"/>
      <c r="FQ850"/>
      <c r="FR850"/>
      <c r="FS850"/>
      <c r="FT850"/>
      <c r="FU850"/>
      <c r="FV850"/>
      <c r="FW850"/>
      <c r="FX850"/>
      <c r="FY850"/>
      <c r="FZ850"/>
      <c r="GA850"/>
      <c r="GB850"/>
      <c r="GC850"/>
      <c r="GD850"/>
    </row>
    <row r="851" spans="1:186" x14ac:dyDescent="0.15">
      <c r="A851" s="455">
        <v>6.8719999999999999</v>
      </c>
      <c r="B851" s="455"/>
      <c r="C851"/>
      <c r="D851"/>
      <c r="E851">
        <v>1</v>
      </c>
      <c r="F851"/>
      <c r="G851"/>
      <c r="H851"/>
      <c r="I851"/>
      <c r="J851" s="558"/>
      <c r="K851"/>
      <c r="FK851"/>
      <c r="FL851"/>
      <c r="FM851"/>
      <c r="FN851"/>
      <c r="FO851"/>
      <c r="FP851"/>
      <c r="FQ851"/>
      <c r="FR851"/>
      <c r="FS851"/>
      <c r="FT851"/>
      <c r="FU851"/>
      <c r="FV851"/>
      <c r="FW851"/>
      <c r="FX851"/>
      <c r="FY851"/>
      <c r="FZ851"/>
      <c r="GA851"/>
      <c r="GB851"/>
      <c r="GC851"/>
      <c r="GD851"/>
    </row>
    <row r="852" spans="1:186" x14ac:dyDescent="0.15">
      <c r="A852" s="455">
        <v>1.296</v>
      </c>
      <c r="B852" s="455"/>
      <c r="C852">
        <v>1</v>
      </c>
      <c r="D852"/>
      <c r="E852"/>
      <c r="F852"/>
      <c r="G852"/>
      <c r="H852"/>
      <c r="I852"/>
      <c r="J852" s="558"/>
      <c r="K852"/>
      <c r="FK852"/>
      <c r="FL852"/>
      <c r="FM852"/>
      <c r="FN852"/>
      <c r="FO852"/>
      <c r="FP852"/>
      <c r="FQ852"/>
      <c r="FR852"/>
      <c r="FS852"/>
      <c r="FT852"/>
      <c r="FU852"/>
      <c r="FV852"/>
      <c r="FW852"/>
      <c r="FX852"/>
      <c r="FY852"/>
      <c r="FZ852"/>
      <c r="GA852"/>
      <c r="GB852"/>
      <c r="GC852"/>
      <c r="GD852"/>
    </row>
    <row r="853" spans="1:186" x14ac:dyDescent="0.15">
      <c r="A853" s="455">
        <v>3.9239999999999999</v>
      </c>
      <c r="B853" s="455"/>
      <c r="C853"/>
      <c r="D853">
        <v>1</v>
      </c>
      <c r="E853"/>
      <c r="F853"/>
      <c r="G853"/>
      <c r="H853"/>
      <c r="I853"/>
      <c r="J853" s="558"/>
      <c r="K853"/>
      <c r="FK853"/>
      <c r="FL853"/>
      <c r="FM853"/>
      <c r="FN853"/>
      <c r="FO853"/>
      <c r="FP853"/>
      <c r="FQ853"/>
      <c r="FR853"/>
      <c r="FS853"/>
      <c r="FT853"/>
      <c r="FU853"/>
      <c r="FV853"/>
      <c r="FW853"/>
      <c r="FX853"/>
      <c r="FY853"/>
      <c r="FZ853"/>
      <c r="GA853"/>
      <c r="GB853"/>
      <c r="GC853"/>
      <c r="GD853"/>
    </row>
    <row r="854" spans="1:186" x14ac:dyDescent="0.15">
      <c r="A854" s="455">
        <v>0.84699999999999998</v>
      </c>
      <c r="B854" s="455"/>
      <c r="C854">
        <v>1</v>
      </c>
      <c r="D854"/>
      <c r="E854"/>
      <c r="F854"/>
      <c r="G854"/>
      <c r="H854"/>
      <c r="I854"/>
      <c r="J854" s="558"/>
      <c r="K854"/>
      <c r="FK854"/>
      <c r="FL854"/>
      <c r="FM854"/>
      <c r="FN854"/>
      <c r="FO854"/>
      <c r="FP854"/>
      <c r="FQ854"/>
      <c r="FR854"/>
      <c r="FS854"/>
      <c r="FT854"/>
      <c r="FU854"/>
      <c r="FV854"/>
      <c r="FW854"/>
      <c r="FX854"/>
      <c r="FY854"/>
      <c r="FZ854"/>
      <c r="GA854"/>
      <c r="GB854"/>
      <c r="GC854"/>
      <c r="GD854"/>
    </row>
    <row r="855" spans="1:186" x14ac:dyDescent="0.15">
      <c r="A855" s="455">
        <v>18.212</v>
      </c>
      <c r="B855" s="455"/>
      <c r="C855"/>
      <c r="D855"/>
      <c r="E855"/>
      <c r="F855">
        <v>1</v>
      </c>
      <c r="G855"/>
      <c r="H855"/>
      <c r="I855"/>
      <c r="J855" s="558"/>
      <c r="K855"/>
      <c r="FK855"/>
      <c r="FL855"/>
      <c r="FM855"/>
      <c r="FN855"/>
      <c r="FO855"/>
      <c r="FP855"/>
      <c r="FQ855"/>
      <c r="FR855"/>
      <c r="FS855"/>
      <c r="FT855"/>
      <c r="FU855"/>
      <c r="FV855"/>
      <c r="FW855"/>
      <c r="FX855"/>
      <c r="FY855"/>
      <c r="FZ855"/>
      <c r="GA855"/>
      <c r="GB855"/>
      <c r="GC855"/>
      <c r="GD855"/>
    </row>
    <row r="856" spans="1:186" x14ac:dyDescent="0.15">
      <c r="A856" s="455">
        <v>1.8340000000000001</v>
      </c>
      <c r="B856" s="455"/>
      <c r="C856"/>
      <c r="D856">
        <v>1</v>
      </c>
      <c r="E856"/>
      <c r="F856"/>
      <c r="G856"/>
      <c r="H856"/>
      <c r="I856"/>
      <c r="J856" s="558"/>
      <c r="K856"/>
      <c r="FK856"/>
      <c r="FL856"/>
      <c r="FM856"/>
      <c r="FN856"/>
      <c r="FO856"/>
      <c r="FP856"/>
      <c r="FQ856"/>
      <c r="FR856"/>
      <c r="FS856"/>
      <c r="FT856"/>
      <c r="FU856"/>
      <c r="FV856"/>
      <c r="FW856"/>
      <c r="FX856"/>
      <c r="FY856"/>
      <c r="FZ856"/>
      <c r="GA856"/>
      <c r="GB856"/>
      <c r="GC856"/>
      <c r="GD856"/>
    </row>
    <row r="857" spans="1:186" x14ac:dyDescent="0.15">
      <c r="A857" s="455">
        <v>14.118</v>
      </c>
      <c r="B857" s="455">
        <v>1</v>
      </c>
      <c r="C857"/>
      <c r="D857"/>
      <c r="E857"/>
      <c r="F857"/>
      <c r="G857"/>
      <c r="H857"/>
      <c r="I857"/>
      <c r="J857" s="558"/>
      <c r="K857"/>
      <c r="FK857"/>
      <c r="FL857"/>
      <c r="FM857"/>
      <c r="FN857"/>
      <c r="FO857"/>
      <c r="FP857"/>
      <c r="FQ857"/>
      <c r="FR857"/>
      <c r="FS857"/>
      <c r="FT857"/>
      <c r="FU857"/>
      <c r="FV857"/>
      <c r="FW857"/>
      <c r="FX857"/>
      <c r="FY857"/>
      <c r="FZ857"/>
      <c r="GA857"/>
      <c r="GB857"/>
      <c r="GC857"/>
      <c r="GD857"/>
    </row>
    <row r="858" spans="1:186" x14ac:dyDescent="0.15">
      <c r="A858" s="451" t="s">
        <v>100</v>
      </c>
      <c r="B858" s="451">
        <v>40</v>
      </c>
      <c r="C858" s="565">
        <v>37</v>
      </c>
      <c r="D858" s="565">
        <v>29</v>
      </c>
      <c r="E858" s="565">
        <v>29</v>
      </c>
      <c r="F858" s="565">
        <v>16</v>
      </c>
      <c r="G858" s="565">
        <v>12</v>
      </c>
      <c r="H858" s="565">
        <v>10</v>
      </c>
      <c r="I858" s="565">
        <v>7</v>
      </c>
      <c r="J858" s="566">
        <v>6</v>
      </c>
      <c r="K858"/>
      <c r="FK858"/>
      <c r="FL858"/>
      <c r="FM858"/>
      <c r="FN858"/>
      <c r="FO858"/>
      <c r="FP858"/>
      <c r="FQ858"/>
      <c r="FR858"/>
      <c r="FS858"/>
      <c r="FT858"/>
      <c r="FU858"/>
      <c r="FV858"/>
      <c r="FW858"/>
      <c r="FX858"/>
      <c r="FY858"/>
      <c r="FZ858"/>
      <c r="GA858"/>
      <c r="GB858"/>
      <c r="GC858"/>
      <c r="GD858"/>
    </row>
    <row r="859" spans="1:186" x14ac:dyDescent="0.15">
      <c r="A859"/>
      <c r="B859"/>
      <c r="C859"/>
      <c r="D859"/>
      <c r="E859"/>
      <c r="F859"/>
      <c r="G859"/>
      <c r="H859"/>
      <c r="I859"/>
      <c r="J859"/>
      <c r="K859"/>
      <c r="FK859"/>
      <c r="FL859"/>
      <c r="FM859"/>
      <c r="FN859"/>
      <c r="FO859"/>
      <c r="FP859"/>
      <c r="FQ859"/>
      <c r="FR859"/>
      <c r="FS859"/>
      <c r="FT859"/>
      <c r="FU859"/>
      <c r="FV859"/>
      <c r="FW859"/>
      <c r="FX859"/>
      <c r="FY859"/>
      <c r="FZ859"/>
      <c r="GA859"/>
      <c r="GB859"/>
      <c r="GC859"/>
      <c r="GD859"/>
    </row>
    <row r="860" spans="1:186" x14ac:dyDescent="0.15">
      <c r="A860"/>
      <c r="B860"/>
      <c r="C860"/>
      <c r="D860"/>
      <c r="E860"/>
      <c r="F860"/>
      <c r="G860"/>
      <c r="H860"/>
      <c r="I860"/>
      <c r="J860"/>
      <c r="K860"/>
      <c r="FK860"/>
      <c r="FL860"/>
      <c r="FM860"/>
      <c r="FN860"/>
      <c r="FO860"/>
      <c r="FP860"/>
      <c r="FQ860"/>
      <c r="FR860"/>
      <c r="FS860"/>
      <c r="FT860"/>
      <c r="FU860"/>
      <c r="FV860"/>
      <c r="FW860"/>
      <c r="FX860"/>
      <c r="FY860"/>
      <c r="FZ860"/>
      <c r="GA860"/>
      <c r="GB860"/>
      <c r="GC860"/>
      <c r="GD860"/>
    </row>
    <row r="861" spans="1:186" x14ac:dyDescent="0.15">
      <c r="A861"/>
      <c r="B861"/>
      <c r="C861"/>
      <c r="D861"/>
      <c r="E861"/>
      <c r="F861"/>
      <c r="G861"/>
      <c r="H861"/>
      <c r="I861"/>
      <c r="J861"/>
      <c r="K861"/>
      <c r="FK861"/>
      <c r="FL861"/>
      <c r="FM861"/>
      <c r="FN861"/>
      <c r="FO861"/>
      <c r="FP861"/>
      <c r="FQ861"/>
      <c r="FR861"/>
      <c r="FS861"/>
      <c r="FT861"/>
      <c r="FU861"/>
      <c r="FV861"/>
      <c r="FW861"/>
      <c r="FX861"/>
      <c r="FY861"/>
      <c r="FZ861"/>
      <c r="GA861"/>
      <c r="GB861"/>
      <c r="GC861"/>
      <c r="GD861"/>
    </row>
    <row r="862" spans="1:186" x14ac:dyDescent="0.15">
      <c r="A862"/>
      <c r="B862"/>
      <c r="C862"/>
      <c r="D862"/>
      <c r="E862"/>
      <c r="F862"/>
      <c r="G862"/>
      <c r="H862"/>
      <c r="I862"/>
      <c r="J862"/>
      <c r="K862"/>
      <c r="FK862"/>
      <c r="FL862"/>
      <c r="FM862"/>
      <c r="FN862"/>
      <c r="FO862"/>
      <c r="FP862"/>
      <c r="FQ862"/>
      <c r="FR862"/>
      <c r="FS862"/>
      <c r="FT862"/>
      <c r="FU862"/>
      <c r="FV862"/>
      <c r="FW862"/>
      <c r="FX862"/>
      <c r="FY862"/>
      <c r="FZ862"/>
      <c r="GA862"/>
      <c r="GB862"/>
      <c r="GC862"/>
      <c r="GD862"/>
    </row>
    <row r="863" spans="1:186" x14ac:dyDescent="0.15">
      <c r="A863"/>
      <c r="B863"/>
      <c r="C863"/>
      <c r="D863"/>
      <c r="E863"/>
      <c r="F863"/>
      <c r="G863"/>
      <c r="H863"/>
      <c r="I863"/>
      <c r="J863"/>
      <c r="K863"/>
      <c r="FK863"/>
      <c r="FL863"/>
      <c r="FM863"/>
      <c r="FN863"/>
      <c r="FO863"/>
      <c r="FP863"/>
      <c r="FQ863"/>
      <c r="FR863"/>
      <c r="FS863"/>
      <c r="FT863"/>
      <c r="FU863"/>
      <c r="FV863"/>
      <c r="FW863"/>
      <c r="FX863"/>
      <c r="FY863"/>
      <c r="FZ863"/>
      <c r="GA863"/>
      <c r="GB863"/>
      <c r="GC863"/>
      <c r="GD863"/>
    </row>
    <row r="864" spans="1:186" x14ac:dyDescent="0.15">
      <c r="A864"/>
      <c r="B864"/>
      <c r="C864"/>
      <c r="D864"/>
      <c r="E864"/>
      <c r="F864"/>
      <c r="G864"/>
      <c r="H864"/>
      <c r="I864"/>
      <c r="J864"/>
      <c r="K864"/>
      <c r="FK864"/>
      <c r="FL864"/>
      <c r="FM864"/>
      <c r="FN864"/>
      <c r="FO864"/>
      <c r="FP864"/>
      <c r="FQ864"/>
      <c r="FR864"/>
      <c r="FS864"/>
      <c r="FT864"/>
      <c r="FU864"/>
      <c r="FV864"/>
      <c r="FW864"/>
      <c r="FX864"/>
      <c r="FY864"/>
      <c r="FZ864"/>
      <c r="GA864"/>
      <c r="GB864"/>
      <c r="GC864"/>
      <c r="GD864"/>
    </row>
    <row r="865" spans="1:186" x14ac:dyDescent="0.15">
      <c r="A865"/>
      <c r="B865"/>
      <c r="C865"/>
      <c r="D865"/>
      <c r="E865"/>
      <c r="F865"/>
      <c r="G865"/>
      <c r="H865"/>
      <c r="I865"/>
      <c r="J865"/>
      <c r="K865"/>
      <c r="FK865"/>
      <c r="FL865"/>
      <c r="FM865"/>
      <c r="FN865"/>
      <c r="FO865"/>
      <c r="FP865"/>
      <c r="FQ865"/>
      <c r="FR865"/>
      <c r="FS865"/>
      <c r="FT865"/>
      <c r="FU865"/>
      <c r="FV865"/>
      <c r="FW865"/>
      <c r="FX865"/>
      <c r="FY865"/>
      <c r="FZ865"/>
      <c r="GA865"/>
      <c r="GB865"/>
      <c r="GC865"/>
      <c r="GD865"/>
    </row>
    <row r="866" spans="1:186" x14ac:dyDescent="0.15">
      <c r="A866"/>
      <c r="B866"/>
      <c r="C866"/>
      <c r="D866"/>
      <c r="E866"/>
      <c r="F866"/>
      <c r="G866"/>
      <c r="H866"/>
      <c r="I866"/>
      <c r="J866"/>
      <c r="K866"/>
      <c r="FK866"/>
      <c r="FL866"/>
      <c r="FM866"/>
      <c r="FN866"/>
      <c r="FO866"/>
      <c r="FP866"/>
      <c r="FQ866"/>
      <c r="FR866"/>
      <c r="FS866"/>
      <c r="FT866"/>
      <c r="FU866"/>
      <c r="FV866"/>
      <c r="FW866"/>
      <c r="FX866"/>
      <c r="FY866"/>
      <c r="FZ866"/>
      <c r="GA866"/>
      <c r="GB866"/>
      <c r="GC866"/>
      <c r="GD866"/>
    </row>
    <row r="867" spans="1:186" x14ac:dyDescent="0.15">
      <c r="A867"/>
      <c r="B867"/>
      <c r="C867"/>
      <c r="D867"/>
      <c r="E867"/>
      <c r="F867"/>
      <c r="G867"/>
      <c r="H867"/>
      <c r="I867"/>
      <c r="J867"/>
      <c r="K867"/>
      <c r="FK867"/>
      <c r="FL867"/>
      <c r="FM867"/>
      <c r="FN867"/>
      <c r="FO867"/>
      <c r="FP867"/>
      <c r="FQ867"/>
      <c r="FR867"/>
      <c r="FS867"/>
      <c r="FT867"/>
      <c r="FU867"/>
      <c r="FV867"/>
      <c r="FW867"/>
      <c r="FX867"/>
      <c r="FY867"/>
      <c r="FZ867"/>
      <c r="GA867"/>
      <c r="GB867"/>
      <c r="GC867"/>
      <c r="GD867"/>
    </row>
    <row r="868" spans="1:186" x14ac:dyDescent="0.15">
      <c r="A868"/>
      <c r="B868"/>
      <c r="C868"/>
      <c r="D868"/>
      <c r="E868"/>
      <c r="F868"/>
      <c r="G868"/>
      <c r="H868"/>
      <c r="I868"/>
      <c r="J868"/>
      <c r="K868"/>
      <c r="FK868"/>
      <c r="FL868"/>
      <c r="FM868"/>
      <c r="FN868"/>
      <c r="FO868"/>
      <c r="FP868"/>
      <c r="FQ868"/>
      <c r="FR868"/>
      <c r="FS868"/>
      <c r="FT868"/>
      <c r="FU868"/>
      <c r="FV868"/>
      <c r="FW868"/>
      <c r="FX868"/>
      <c r="FY868"/>
      <c r="FZ868"/>
      <c r="GA868"/>
      <c r="GB868"/>
      <c r="GC868"/>
      <c r="GD868"/>
    </row>
    <row r="869" spans="1:186" x14ac:dyDescent="0.15">
      <c r="A869"/>
      <c r="B869"/>
      <c r="C869"/>
      <c r="D869"/>
      <c r="E869"/>
      <c r="F869"/>
      <c r="G869"/>
      <c r="H869"/>
      <c r="I869"/>
      <c r="J869"/>
      <c r="K869"/>
      <c r="FK869"/>
      <c r="FL869"/>
      <c r="FM869"/>
      <c r="FN869"/>
      <c r="FO869"/>
      <c r="FP869"/>
      <c r="FQ869"/>
      <c r="FR869"/>
      <c r="FS869"/>
      <c r="FT869"/>
      <c r="FU869"/>
      <c r="FV869"/>
      <c r="FW869"/>
      <c r="FX869"/>
      <c r="FY869"/>
      <c r="FZ869"/>
      <c r="GA869"/>
      <c r="GB869"/>
      <c r="GC869"/>
      <c r="GD869"/>
    </row>
    <row r="870" spans="1:186" x14ac:dyDescent="0.15">
      <c r="A870"/>
      <c r="B870"/>
      <c r="C870"/>
      <c r="D870"/>
      <c r="E870"/>
      <c r="F870"/>
      <c r="G870"/>
      <c r="H870"/>
      <c r="I870"/>
      <c r="J870"/>
      <c r="K870"/>
      <c r="FK870"/>
      <c r="FL870"/>
      <c r="FM870"/>
      <c r="FN870"/>
      <c r="FO870"/>
      <c r="FP870"/>
      <c r="FQ870"/>
      <c r="FR870"/>
      <c r="FS870"/>
      <c r="FT870"/>
      <c r="FU870"/>
      <c r="FV870"/>
      <c r="FW870"/>
      <c r="FX870"/>
      <c r="FY870"/>
      <c r="FZ870"/>
      <c r="GA870"/>
      <c r="GB870"/>
      <c r="GC870"/>
      <c r="GD870"/>
    </row>
    <row r="871" spans="1:186" x14ac:dyDescent="0.15">
      <c r="A871"/>
      <c r="B871"/>
      <c r="C871"/>
      <c r="D871"/>
      <c r="E871"/>
      <c r="F871"/>
      <c r="G871"/>
      <c r="H871"/>
      <c r="I871"/>
      <c r="J871"/>
      <c r="K871"/>
      <c r="FK871"/>
      <c r="FL871"/>
      <c r="FM871"/>
      <c r="FN871"/>
      <c r="FO871"/>
      <c r="FP871"/>
      <c r="FQ871"/>
      <c r="FR871"/>
      <c r="FS871"/>
      <c r="FT871"/>
      <c r="FU871"/>
      <c r="FV871"/>
      <c r="FW871"/>
      <c r="FX871"/>
      <c r="FY871"/>
      <c r="FZ871"/>
      <c r="GA871"/>
      <c r="GB871"/>
      <c r="GC871"/>
      <c r="GD871"/>
    </row>
    <row r="872" spans="1:186" x14ac:dyDescent="0.15">
      <c r="A872"/>
      <c r="B872"/>
      <c r="C872"/>
      <c r="D872"/>
      <c r="E872"/>
      <c r="F872"/>
      <c r="G872"/>
      <c r="H872"/>
      <c r="I872"/>
      <c r="J872"/>
      <c r="K872"/>
      <c r="FK872"/>
      <c r="FL872"/>
      <c r="FM872"/>
      <c r="FN872"/>
      <c r="FO872"/>
      <c r="FP872"/>
      <c r="FQ872"/>
      <c r="FR872"/>
      <c r="FS872"/>
      <c r="FT872"/>
      <c r="FU872"/>
      <c r="FV872"/>
      <c r="FW872"/>
      <c r="FX872"/>
      <c r="FY872"/>
      <c r="FZ872"/>
      <c r="GA872"/>
      <c r="GB872"/>
      <c r="GC872"/>
      <c r="GD872"/>
    </row>
    <row r="873" spans="1:186" x14ac:dyDescent="0.15">
      <c r="A873"/>
      <c r="B873"/>
      <c r="C873"/>
      <c r="D873"/>
      <c r="E873"/>
      <c r="F873"/>
      <c r="G873"/>
      <c r="H873"/>
      <c r="I873"/>
      <c r="J873"/>
      <c r="K873"/>
      <c r="FK873"/>
      <c r="FL873"/>
      <c r="FM873"/>
      <c r="FN873"/>
      <c r="FO873"/>
      <c r="FP873"/>
      <c r="FQ873"/>
      <c r="FR873"/>
      <c r="FS873"/>
      <c r="FT873"/>
      <c r="FU873"/>
      <c r="FV873"/>
      <c r="FW873"/>
      <c r="FX873"/>
      <c r="FY873"/>
      <c r="FZ873"/>
      <c r="GA873"/>
      <c r="GB873"/>
      <c r="GC873"/>
      <c r="GD873"/>
    </row>
    <row r="874" spans="1:186" x14ac:dyDescent="0.15">
      <c r="A874"/>
      <c r="B874"/>
      <c r="C874"/>
      <c r="D874"/>
      <c r="E874"/>
      <c r="F874"/>
      <c r="G874"/>
      <c r="H874"/>
      <c r="I874"/>
      <c r="J874"/>
      <c r="K874"/>
      <c r="FK874"/>
      <c r="FL874"/>
      <c r="FM874"/>
      <c r="FN874"/>
      <c r="FO874"/>
      <c r="FP874"/>
      <c r="FQ874"/>
      <c r="FR874"/>
      <c r="FS874"/>
      <c r="FT874"/>
      <c r="FU874"/>
      <c r="FV874"/>
      <c r="FW874"/>
      <c r="FX874"/>
      <c r="FY874"/>
      <c r="FZ874"/>
      <c r="GA874"/>
      <c r="GB874"/>
      <c r="GC874"/>
      <c r="GD874"/>
    </row>
    <row r="875" spans="1:186" x14ac:dyDescent="0.15">
      <c r="A875"/>
      <c r="B875"/>
      <c r="C875"/>
      <c r="D875"/>
      <c r="E875"/>
      <c r="F875"/>
      <c r="G875"/>
      <c r="H875"/>
      <c r="I875"/>
      <c r="J875"/>
      <c r="K875"/>
      <c r="FK875"/>
      <c r="FL875"/>
      <c r="FM875"/>
      <c r="FN875"/>
      <c r="FO875"/>
      <c r="FP875"/>
      <c r="FQ875"/>
      <c r="FR875"/>
      <c r="FS875"/>
      <c r="FT875"/>
      <c r="FU875"/>
      <c r="FV875"/>
      <c r="FW875"/>
      <c r="FX875"/>
      <c r="FY875"/>
      <c r="FZ875"/>
      <c r="GA875"/>
      <c r="GB875"/>
      <c r="GC875"/>
      <c r="GD875"/>
    </row>
    <row r="876" spans="1:186" x14ac:dyDescent="0.15">
      <c r="A876"/>
      <c r="B876"/>
      <c r="C876"/>
      <c r="D876"/>
      <c r="E876"/>
      <c r="F876"/>
      <c r="G876"/>
      <c r="H876"/>
      <c r="I876"/>
      <c r="J876"/>
      <c r="K876"/>
      <c r="FK876"/>
      <c r="FL876"/>
      <c r="FM876"/>
      <c r="FN876"/>
      <c r="FO876"/>
      <c r="FP876"/>
      <c r="FQ876"/>
      <c r="FR876"/>
      <c r="FS876"/>
      <c r="FT876"/>
      <c r="FU876"/>
      <c r="FV876"/>
      <c r="FW876"/>
      <c r="FX876"/>
      <c r="FY876"/>
      <c r="FZ876"/>
      <c r="GA876"/>
      <c r="GB876"/>
      <c r="GC876"/>
      <c r="GD876"/>
    </row>
    <row r="877" spans="1:186" x14ac:dyDescent="0.15">
      <c r="A877"/>
      <c r="B877"/>
      <c r="C877"/>
      <c r="D877"/>
      <c r="E877"/>
      <c r="F877"/>
      <c r="G877"/>
      <c r="H877"/>
      <c r="I877"/>
      <c r="J877"/>
      <c r="K877"/>
      <c r="FK877"/>
      <c r="FL877"/>
      <c r="FM877"/>
      <c r="FN877"/>
      <c r="FO877"/>
      <c r="FP877"/>
      <c r="FQ877"/>
      <c r="FR877"/>
      <c r="FS877"/>
      <c r="FT877"/>
      <c r="FU877"/>
      <c r="FV877"/>
      <c r="FW877"/>
      <c r="FX877"/>
      <c r="FY877"/>
      <c r="FZ877"/>
      <c r="GA877"/>
      <c r="GB877"/>
      <c r="GC877"/>
      <c r="GD877"/>
    </row>
    <row r="878" spans="1:186" x14ac:dyDescent="0.15">
      <c r="A878"/>
      <c r="B878"/>
      <c r="C878"/>
      <c r="D878"/>
      <c r="E878"/>
      <c r="F878"/>
      <c r="G878"/>
      <c r="H878"/>
      <c r="I878"/>
      <c r="J878"/>
      <c r="K878"/>
      <c r="FK878"/>
      <c r="FL878"/>
      <c r="FM878"/>
      <c r="FN878"/>
      <c r="FO878"/>
      <c r="FP878"/>
      <c r="FQ878"/>
      <c r="FR878"/>
      <c r="FS878"/>
      <c r="FT878"/>
      <c r="FU878"/>
      <c r="FV878"/>
      <c r="FW878"/>
      <c r="FX878"/>
      <c r="FY878"/>
      <c r="FZ878"/>
      <c r="GA878"/>
      <c r="GB878"/>
      <c r="GC878"/>
      <c r="GD878"/>
    </row>
    <row r="879" spans="1:186" x14ac:dyDescent="0.15">
      <c r="A879"/>
      <c r="B879"/>
      <c r="C879"/>
      <c r="D879"/>
      <c r="E879"/>
      <c r="F879"/>
      <c r="G879"/>
      <c r="H879"/>
      <c r="I879"/>
      <c r="J879"/>
      <c r="K879"/>
      <c r="FK879"/>
      <c r="FL879"/>
      <c r="FM879"/>
      <c r="FN879"/>
      <c r="FO879"/>
      <c r="FP879"/>
      <c r="FQ879"/>
      <c r="FR879"/>
      <c r="FS879"/>
      <c r="FT879"/>
      <c r="FU879"/>
      <c r="FV879"/>
      <c r="FW879"/>
      <c r="FX879"/>
      <c r="FY879"/>
      <c r="FZ879"/>
      <c r="GA879"/>
      <c r="GB879"/>
      <c r="GC879"/>
      <c r="GD879"/>
    </row>
    <row r="880" spans="1:186" x14ac:dyDescent="0.15">
      <c r="A880"/>
      <c r="B880"/>
      <c r="C880"/>
      <c r="D880"/>
      <c r="E880"/>
      <c r="F880"/>
      <c r="G880"/>
      <c r="H880"/>
      <c r="I880"/>
      <c r="J880"/>
      <c r="K880"/>
      <c r="FK880"/>
      <c r="FL880"/>
      <c r="FM880"/>
      <c r="FN880"/>
      <c r="FO880"/>
      <c r="FP880"/>
      <c r="FQ880"/>
      <c r="FR880"/>
      <c r="FS880"/>
      <c r="FT880"/>
      <c r="FU880"/>
      <c r="FV880"/>
      <c r="FW880"/>
      <c r="FX880"/>
      <c r="FY880"/>
      <c r="FZ880"/>
      <c r="GA880"/>
      <c r="GB880"/>
      <c r="GC880"/>
      <c r="GD880"/>
    </row>
    <row r="881" spans="1:186" x14ac:dyDescent="0.15">
      <c r="A881"/>
      <c r="B881"/>
      <c r="C881"/>
      <c r="D881"/>
      <c r="E881"/>
      <c r="F881"/>
      <c r="G881"/>
      <c r="H881"/>
      <c r="I881"/>
      <c r="J881"/>
      <c r="K881"/>
      <c r="FK881"/>
      <c r="FL881"/>
      <c r="FM881"/>
      <c r="FN881"/>
      <c r="FO881"/>
      <c r="FP881"/>
      <c r="FQ881"/>
      <c r="FR881"/>
      <c r="FS881"/>
      <c r="FT881"/>
      <c r="FU881"/>
      <c r="FV881"/>
      <c r="FW881"/>
      <c r="FX881"/>
      <c r="FY881"/>
      <c r="FZ881"/>
      <c r="GA881"/>
      <c r="GB881"/>
      <c r="GC881"/>
      <c r="GD881"/>
    </row>
    <row r="882" spans="1:186" x14ac:dyDescent="0.15">
      <c r="A882"/>
      <c r="B882"/>
      <c r="C882"/>
      <c r="D882"/>
      <c r="E882"/>
      <c r="F882"/>
      <c r="G882"/>
      <c r="H882"/>
      <c r="I882"/>
      <c r="J882"/>
      <c r="FK882"/>
      <c r="FL882"/>
      <c r="FM882"/>
      <c r="FN882"/>
      <c r="FO882"/>
      <c r="FP882"/>
      <c r="FQ882"/>
      <c r="FR882"/>
      <c r="FS882"/>
      <c r="FT882"/>
      <c r="FU882"/>
      <c r="FV882"/>
      <c r="FW882"/>
      <c r="FX882"/>
      <c r="FY882"/>
      <c r="FZ882"/>
      <c r="GA882"/>
      <c r="GB882"/>
      <c r="GC882"/>
      <c r="GD882"/>
    </row>
    <row r="883" spans="1:186" x14ac:dyDescent="0.15">
      <c r="A883"/>
      <c r="B883"/>
      <c r="C883"/>
      <c r="D883"/>
      <c r="E883"/>
      <c r="F883"/>
      <c r="G883"/>
      <c r="H883"/>
      <c r="I883"/>
      <c r="J883"/>
      <c r="FK883"/>
      <c r="FL883"/>
      <c r="FM883"/>
      <c r="FN883"/>
      <c r="FO883"/>
      <c r="FP883"/>
      <c r="FQ883"/>
      <c r="FR883"/>
      <c r="FS883"/>
      <c r="FT883"/>
      <c r="FU883"/>
      <c r="FV883"/>
      <c r="FW883"/>
      <c r="FX883"/>
      <c r="FY883"/>
      <c r="FZ883"/>
      <c r="GA883"/>
      <c r="GB883"/>
      <c r="GC883"/>
      <c r="GD883"/>
    </row>
    <row r="884" spans="1:186" x14ac:dyDescent="0.15">
      <c r="A884"/>
      <c r="B884"/>
      <c r="C884"/>
      <c r="D884"/>
      <c r="E884"/>
      <c r="F884"/>
      <c r="G884"/>
      <c r="H884"/>
      <c r="I884"/>
      <c r="J884"/>
      <c r="FK884"/>
      <c r="FL884"/>
      <c r="FM884"/>
      <c r="FN884"/>
      <c r="FO884"/>
      <c r="FP884"/>
      <c r="FQ884"/>
      <c r="FR884"/>
      <c r="FS884"/>
      <c r="FT884"/>
      <c r="FU884"/>
      <c r="FV884"/>
      <c r="FW884"/>
      <c r="FX884"/>
      <c r="FY884"/>
      <c r="FZ884"/>
      <c r="GA884"/>
      <c r="GB884"/>
      <c r="GC884"/>
      <c r="GD884"/>
    </row>
    <row r="885" spans="1:186" x14ac:dyDescent="0.15">
      <c r="A885"/>
      <c r="B885"/>
      <c r="C885"/>
      <c r="D885"/>
      <c r="E885"/>
      <c r="F885"/>
      <c r="G885"/>
      <c r="H885"/>
      <c r="I885"/>
      <c r="J885"/>
      <c r="FK885"/>
      <c r="FL885"/>
      <c r="FM885"/>
      <c r="FN885"/>
      <c r="FO885"/>
      <c r="FP885"/>
      <c r="FQ885"/>
      <c r="FR885"/>
      <c r="FS885"/>
      <c r="FT885"/>
      <c r="FU885"/>
      <c r="FV885"/>
      <c r="FW885"/>
      <c r="FX885"/>
      <c r="FY885"/>
      <c r="FZ885"/>
      <c r="GA885"/>
      <c r="GB885"/>
      <c r="GC885"/>
      <c r="GD885"/>
    </row>
    <row r="886" spans="1:186" x14ac:dyDescent="0.15">
      <c r="A886"/>
      <c r="B886"/>
      <c r="C886"/>
      <c r="D886"/>
      <c r="E886"/>
      <c r="F886"/>
      <c r="G886"/>
      <c r="H886"/>
      <c r="I886"/>
      <c r="J886"/>
      <c r="FK886"/>
      <c r="FL886"/>
      <c r="FM886"/>
      <c r="FN886"/>
      <c r="FO886"/>
      <c r="FP886"/>
      <c r="FQ886"/>
      <c r="FR886"/>
      <c r="FS886"/>
      <c r="FT886"/>
      <c r="FU886"/>
      <c r="FV886"/>
      <c r="FW886"/>
      <c r="FX886"/>
      <c r="FY886"/>
      <c r="FZ886"/>
      <c r="GA886"/>
      <c r="GB886"/>
      <c r="GC886"/>
      <c r="GD886"/>
    </row>
    <row r="887" spans="1:186" x14ac:dyDescent="0.15">
      <c r="A887"/>
      <c r="B887"/>
      <c r="C887"/>
      <c r="D887"/>
      <c r="E887"/>
      <c r="F887"/>
      <c r="G887"/>
      <c r="H887"/>
      <c r="I887"/>
      <c r="J887"/>
      <c r="FK887"/>
      <c r="FL887"/>
      <c r="FM887"/>
      <c r="FN887"/>
      <c r="FO887"/>
      <c r="FP887"/>
      <c r="FQ887"/>
      <c r="FR887"/>
      <c r="FS887"/>
      <c r="FT887"/>
      <c r="FU887"/>
      <c r="FV887"/>
      <c r="FW887"/>
      <c r="FX887"/>
      <c r="FY887"/>
      <c r="FZ887"/>
      <c r="GA887"/>
      <c r="GB887"/>
      <c r="GC887"/>
      <c r="GD887"/>
    </row>
    <row r="888" spans="1:186" x14ac:dyDescent="0.15">
      <c r="A888"/>
      <c r="B888"/>
      <c r="C888"/>
      <c r="D888"/>
      <c r="E888"/>
      <c r="F888"/>
      <c r="G888"/>
      <c r="H888"/>
      <c r="I888"/>
      <c r="J888"/>
      <c r="FK888"/>
      <c r="FL888"/>
      <c r="FM888"/>
      <c r="FN888"/>
      <c r="FO888"/>
      <c r="FP888"/>
      <c r="FQ888"/>
      <c r="FR888"/>
      <c r="FS888"/>
      <c r="FT888"/>
      <c r="FU888"/>
      <c r="FV888"/>
      <c r="FW888"/>
      <c r="FX888"/>
      <c r="FY888"/>
      <c r="FZ888"/>
      <c r="GA888"/>
      <c r="GB888"/>
      <c r="GC888"/>
      <c r="GD888"/>
    </row>
    <row r="889" spans="1:186" x14ac:dyDescent="0.15">
      <c r="A889"/>
      <c r="B889"/>
      <c r="C889"/>
      <c r="D889"/>
      <c r="E889"/>
      <c r="F889"/>
      <c r="G889"/>
      <c r="H889"/>
      <c r="I889"/>
      <c r="J889"/>
      <c r="FK889"/>
      <c r="FL889"/>
      <c r="FM889"/>
      <c r="FN889"/>
      <c r="FO889"/>
      <c r="FP889"/>
      <c r="FQ889"/>
      <c r="FR889"/>
      <c r="FS889"/>
      <c r="FT889"/>
      <c r="FU889"/>
      <c r="FV889"/>
      <c r="FW889"/>
      <c r="FX889"/>
      <c r="FY889"/>
      <c r="FZ889"/>
      <c r="GA889"/>
      <c r="GB889"/>
      <c r="GC889"/>
      <c r="GD889"/>
    </row>
    <row r="890" spans="1:186" x14ac:dyDescent="0.15">
      <c r="A890"/>
      <c r="B890"/>
      <c r="C890"/>
      <c r="D890"/>
      <c r="E890"/>
      <c r="F890"/>
      <c r="G890"/>
      <c r="H890"/>
      <c r="I890"/>
      <c r="J890"/>
      <c r="FK890"/>
      <c r="FL890"/>
      <c r="FM890"/>
      <c r="FN890"/>
      <c r="FO890"/>
      <c r="FP890"/>
      <c r="FQ890"/>
      <c r="FR890"/>
      <c r="FS890"/>
      <c r="FT890"/>
      <c r="FU890"/>
      <c r="FV890"/>
      <c r="FW890"/>
      <c r="FX890"/>
      <c r="FY890"/>
      <c r="FZ890"/>
      <c r="GA890"/>
      <c r="GB890"/>
      <c r="GC890"/>
      <c r="GD890"/>
    </row>
    <row r="891" spans="1:186" x14ac:dyDescent="0.15">
      <c r="A891"/>
      <c r="B891"/>
      <c r="C891"/>
      <c r="D891"/>
      <c r="E891"/>
      <c r="F891"/>
      <c r="G891"/>
      <c r="H891"/>
      <c r="I891"/>
      <c r="J891"/>
      <c r="FK891"/>
      <c r="FL891"/>
      <c r="FM891"/>
      <c r="FN891"/>
      <c r="FO891"/>
      <c r="FP891"/>
      <c r="FQ891"/>
      <c r="FR891"/>
      <c r="FS891"/>
      <c r="FT891"/>
      <c r="FU891"/>
      <c r="FV891"/>
      <c r="FW891"/>
      <c r="FX891"/>
      <c r="FY891"/>
      <c r="FZ891"/>
      <c r="GA891"/>
      <c r="GB891"/>
      <c r="GC891"/>
      <c r="GD891"/>
    </row>
    <row r="892" spans="1:186" x14ac:dyDescent="0.15">
      <c r="A892"/>
      <c r="B892"/>
      <c r="C892"/>
      <c r="D892"/>
      <c r="E892"/>
      <c r="F892"/>
      <c r="G892"/>
      <c r="H892"/>
      <c r="I892"/>
      <c r="J892"/>
      <c r="FK892"/>
      <c r="FL892"/>
      <c r="FM892"/>
      <c r="FN892"/>
      <c r="FO892"/>
      <c r="FP892"/>
      <c r="FQ892"/>
      <c r="FR892"/>
      <c r="FS892"/>
      <c r="FT892"/>
      <c r="FU892"/>
      <c r="FV892"/>
      <c r="FW892"/>
      <c r="FX892"/>
      <c r="FY892"/>
      <c r="FZ892"/>
      <c r="GA892"/>
      <c r="GB892"/>
      <c r="GC892"/>
      <c r="GD892"/>
    </row>
    <row r="893" spans="1:186" x14ac:dyDescent="0.15">
      <c r="A893"/>
      <c r="B893"/>
      <c r="C893"/>
      <c r="D893"/>
      <c r="E893"/>
      <c r="F893"/>
      <c r="G893"/>
      <c r="H893"/>
      <c r="I893"/>
      <c r="J893"/>
      <c r="FK893"/>
      <c r="FL893"/>
      <c r="FM893"/>
      <c r="FN893"/>
      <c r="FO893"/>
      <c r="FP893"/>
      <c r="FQ893"/>
      <c r="FR893"/>
      <c r="FS893"/>
      <c r="FT893"/>
      <c r="FU893"/>
      <c r="FV893"/>
      <c r="FW893"/>
      <c r="FX893"/>
      <c r="FY893"/>
      <c r="FZ893"/>
      <c r="GA893"/>
      <c r="GB893"/>
      <c r="GC893"/>
      <c r="GD893"/>
    </row>
    <row r="894" spans="1:186" x14ac:dyDescent="0.15">
      <c r="A894"/>
      <c r="B894"/>
      <c r="C894"/>
      <c r="D894"/>
      <c r="E894"/>
      <c r="F894"/>
      <c r="G894"/>
      <c r="H894"/>
      <c r="I894"/>
      <c r="J894"/>
      <c r="FK894"/>
      <c r="FL894"/>
      <c r="FM894"/>
      <c r="FN894"/>
      <c r="FO894"/>
      <c r="FP894"/>
      <c r="FQ894"/>
      <c r="FR894"/>
      <c r="FS894"/>
      <c r="FT894"/>
      <c r="FU894"/>
      <c r="FV894"/>
      <c r="FW894"/>
      <c r="FX894"/>
      <c r="FY894"/>
      <c r="FZ894"/>
      <c r="GA894"/>
      <c r="GB894"/>
      <c r="GC894"/>
      <c r="GD894"/>
    </row>
    <row r="895" spans="1:186" x14ac:dyDescent="0.15">
      <c r="A895"/>
      <c r="B895"/>
      <c r="C895"/>
      <c r="D895"/>
      <c r="E895"/>
      <c r="F895"/>
      <c r="G895"/>
      <c r="H895"/>
      <c r="I895"/>
      <c r="J895"/>
      <c r="FK895"/>
      <c r="FL895"/>
      <c r="FM895"/>
      <c r="FN895"/>
      <c r="FO895"/>
      <c r="FP895"/>
      <c r="FQ895"/>
      <c r="FR895"/>
      <c r="FS895"/>
      <c r="FT895"/>
      <c r="FU895"/>
      <c r="FV895"/>
      <c r="FW895"/>
      <c r="FX895"/>
      <c r="FY895"/>
      <c r="FZ895"/>
      <c r="GA895"/>
      <c r="GB895"/>
      <c r="GC895"/>
      <c r="GD895"/>
    </row>
    <row r="896" spans="1:186" x14ac:dyDescent="0.15">
      <c r="A896"/>
      <c r="B896"/>
      <c r="C896"/>
      <c r="D896"/>
      <c r="E896"/>
      <c r="F896"/>
      <c r="G896"/>
      <c r="H896"/>
      <c r="I896"/>
      <c r="J896"/>
      <c r="FK896"/>
      <c r="FL896"/>
      <c r="FM896"/>
      <c r="FN896"/>
      <c r="FO896"/>
      <c r="FP896"/>
      <c r="FQ896"/>
      <c r="FR896"/>
      <c r="FS896"/>
      <c r="FT896"/>
      <c r="FU896"/>
      <c r="FV896"/>
      <c r="FW896"/>
      <c r="FX896"/>
      <c r="FY896"/>
      <c r="FZ896"/>
      <c r="GA896"/>
      <c r="GB896"/>
      <c r="GC896"/>
      <c r="GD896"/>
    </row>
    <row r="897" spans="1:186" x14ac:dyDescent="0.15">
      <c r="A897"/>
      <c r="B897"/>
      <c r="C897"/>
      <c r="D897"/>
      <c r="E897"/>
      <c r="F897"/>
      <c r="G897"/>
      <c r="H897"/>
      <c r="I897"/>
      <c r="J897"/>
      <c r="FK897"/>
      <c r="FL897"/>
      <c r="FM897"/>
      <c r="FN897"/>
      <c r="FO897"/>
      <c r="FP897"/>
      <c r="FQ897"/>
      <c r="FR897"/>
      <c r="FS897"/>
      <c r="FT897"/>
      <c r="FU897"/>
      <c r="FV897"/>
      <c r="FW897"/>
      <c r="FX897"/>
      <c r="FY897"/>
      <c r="FZ897"/>
      <c r="GA897"/>
      <c r="GB897"/>
      <c r="GC897"/>
      <c r="GD897"/>
    </row>
    <row r="898" spans="1:186" x14ac:dyDescent="0.15">
      <c r="A898"/>
      <c r="B898"/>
      <c r="C898"/>
      <c r="D898"/>
      <c r="E898"/>
      <c r="F898"/>
      <c r="G898"/>
      <c r="H898"/>
      <c r="I898"/>
      <c r="J898"/>
      <c r="FK898"/>
      <c r="FL898"/>
      <c r="FM898"/>
      <c r="FN898"/>
      <c r="FO898"/>
      <c r="FP898"/>
      <c r="FQ898"/>
      <c r="FR898"/>
      <c r="FS898"/>
      <c r="FT898"/>
      <c r="FU898"/>
      <c r="FV898"/>
      <c r="FW898"/>
      <c r="FX898"/>
      <c r="FY898"/>
      <c r="FZ898"/>
      <c r="GA898"/>
      <c r="GB898"/>
      <c r="GC898"/>
      <c r="GD898"/>
    </row>
    <row r="899" spans="1:186" x14ac:dyDescent="0.15">
      <c r="A899"/>
      <c r="B899"/>
      <c r="C899"/>
      <c r="D899"/>
      <c r="E899"/>
      <c r="F899"/>
      <c r="G899"/>
      <c r="H899"/>
      <c r="I899"/>
      <c r="J899"/>
      <c r="FK899"/>
      <c r="FL899"/>
      <c r="FM899"/>
      <c r="FN899"/>
      <c r="FO899"/>
      <c r="FP899"/>
      <c r="FQ899"/>
      <c r="FR899"/>
      <c r="FS899"/>
      <c r="FT899"/>
      <c r="FU899"/>
      <c r="FV899"/>
      <c r="FW899"/>
      <c r="FX899"/>
      <c r="FY899"/>
      <c r="FZ899"/>
      <c r="GA899"/>
      <c r="GB899"/>
      <c r="GC899"/>
      <c r="GD899"/>
    </row>
    <row r="900" spans="1:186" x14ac:dyDescent="0.15">
      <c r="A900"/>
      <c r="B900"/>
      <c r="C900"/>
      <c r="D900"/>
      <c r="E900"/>
      <c r="F900"/>
      <c r="G900"/>
      <c r="H900"/>
      <c r="I900"/>
      <c r="J900"/>
      <c r="FK900"/>
      <c r="FL900"/>
      <c r="FM900"/>
      <c r="FN900"/>
      <c r="FO900"/>
      <c r="FP900"/>
      <c r="FQ900"/>
      <c r="FR900"/>
      <c r="FS900"/>
      <c r="FT900"/>
      <c r="FU900"/>
      <c r="FV900"/>
      <c r="FW900"/>
      <c r="FX900"/>
      <c r="FY900"/>
      <c r="FZ900"/>
      <c r="GA900"/>
      <c r="GB900"/>
      <c r="GC900"/>
      <c r="GD900"/>
    </row>
    <row r="901" spans="1:186" x14ac:dyDescent="0.15">
      <c r="A901"/>
      <c r="B901"/>
      <c r="C901"/>
      <c r="D901"/>
      <c r="E901"/>
      <c r="F901"/>
      <c r="G901"/>
      <c r="H901"/>
      <c r="I901"/>
      <c r="J901"/>
      <c r="FK901"/>
      <c r="FL901"/>
      <c r="FM901"/>
      <c r="FN901"/>
      <c r="FO901"/>
      <c r="FP901"/>
      <c r="FQ901"/>
      <c r="FR901"/>
      <c r="FS901"/>
      <c r="FT901"/>
      <c r="FU901"/>
      <c r="FV901"/>
      <c r="FW901"/>
      <c r="FX901"/>
      <c r="FY901"/>
      <c r="FZ901"/>
      <c r="GA901"/>
      <c r="GB901"/>
      <c r="GC901"/>
      <c r="GD901"/>
    </row>
    <row r="902" spans="1:186" x14ac:dyDescent="0.15">
      <c r="A902"/>
      <c r="B902"/>
      <c r="C902"/>
      <c r="D902"/>
      <c r="E902"/>
      <c r="F902"/>
      <c r="G902"/>
      <c r="H902"/>
      <c r="I902"/>
      <c r="J902"/>
      <c r="FK902"/>
      <c r="FL902"/>
      <c r="FM902"/>
      <c r="FN902"/>
      <c r="FO902"/>
      <c r="FP902"/>
      <c r="FQ902"/>
      <c r="FR902"/>
      <c r="FS902"/>
      <c r="FT902"/>
      <c r="FU902"/>
      <c r="FV902"/>
      <c r="FW902"/>
      <c r="FX902"/>
      <c r="FY902"/>
      <c r="FZ902"/>
      <c r="GA902"/>
      <c r="GB902"/>
      <c r="GC902"/>
      <c r="GD902"/>
    </row>
    <row r="903" spans="1:186" x14ac:dyDescent="0.15">
      <c r="A903"/>
      <c r="B903"/>
      <c r="C903"/>
      <c r="D903"/>
      <c r="E903"/>
      <c r="F903"/>
      <c r="G903"/>
      <c r="H903"/>
      <c r="I903"/>
      <c r="J903"/>
      <c r="FK903"/>
      <c r="FL903"/>
      <c r="FM903"/>
      <c r="FN903"/>
      <c r="FO903"/>
      <c r="FP903"/>
      <c r="FQ903"/>
      <c r="FR903"/>
      <c r="FS903"/>
      <c r="FT903"/>
      <c r="FU903"/>
      <c r="FV903"/>
      <c r="FW903"/>
      <c r="FX903"/>
      <c r="FY903"/>
      <c r="FZ903"/>
      <c r="GA903"/>
      <c r="GB903"/>
      <c r="GC903"/>
      <c r="GD903"/>
    </row>
    <row r="904" spans="1:186" x14ac:dyDescent="0.15">
      <c r="A904"/>
      <c r="B904"/>
      <c r="C904"/>
      <c r="D904"/>
      <c r="E904"/>
      <c r="F904"/>
      <c r="G904"/>
      <c r="H904"/>
      <c r="I904"/>
      <c r="J904"/>
      <c r="FK904"/>
      <c r="FL904"/>
      <c r="FM904"/>
      <c r="FN904"/>
      <c r="FO904"/>
      <c r="FP904"/>
      <c r="FQ904"/>
      <c r="FR904"/>
      <c r="FS904"/>
      <c r="FT904"/>
      <c r="FU904"/>
      <c r="FV904"/>
      <c r="FW904"/>
      <c r="FX904"/>
      <c r="FY904"/>
      <c r="FZ904"/>
      <c r="GA904"/>
      <c r="GB904"/>
      <c r="GC904"/>
      <c r="GD904"/>
    </row>
    <row r="905" spans="1:186" x14ac:dyDescent="0.15">
      <c r="A905"/>
      <c r="B905"/>
      <c r="C905"/>
      <c r="D905"/>
      <c r="E905"/>
      <c r="F905"/>
      <c r="G905"/>
      <c r="H905"/>
      <c r="I905"/>
      <c r="J905"/>
      <c r="FK905"/>
      <c r="FL905"/>
      <c r="FM905"/>
      <c r="FN905"/>
      <c r="FO905"/>
      <c r="FP905"/>
      <c r="FQ905"/>
      <c r="FR905"/>
      <c r="FS905"/>
      <c r="FT905"/>
      <c r="FU905"/>
      <c r="FV905"/>
      <c r="FW905"/>
      <c r="FX905"/>
      <c r="FY905"/>
      <c r="FZ905"/>
      <c r="GA905"/>
      <c r="GB905"/>
      <c r="GC905"/>
      <c r="GD905"/>
    </row>
    <row r="906" spans="1:186" x14ac:dyDescent="0.15">
      <c r="A906"/>
      <c r="B906"/>
      <c r="C906"/>
      <c r="D906"/>
      <c r="E906"/>
      <c r="F906"/>
      <c r="G906"/>
      <c r="H906"/>
      <c r="I906"/>
      <c r="J906"/>
      <c r="FK906"/>
      <c r="FL906"/>
      <c r="FM906"/>
      <c r="FN906"/>
      <c r="FO906"/>
      <c r="FP906"/>
      <c r="FQ906"/>
      <c r="FR906"/>
      <c r="FS906"/>
      <c r="FT906"/>
      <c r="FU906"/>
      <c r="FV906"/>
      <c r="FW906"/>
      <c r="FX906"/>
      <c r="FY906"/>
      <c r="FZ906"/>
      <c r="GA906"/>
      <c r="GB906"/>
      <c r="GC906"/>
      <c r="GD906"/>
    </row>
    <row r="907" spans="1:186" x14ac:dyDescent="0.15">
      <c r="A907"/>
      <c r="B907"/>
      <c r="C907"/>
      <c r="D907"/>
      <c r="E907"/>
      <c r="F907"/>
      <c r="G907"/>
      <c r="H907"/>
      <c r="I907"/>
      <c r="J907"/>
      <c r="FK907"/>
      <c r="FL907"/>
      <c r="FM907"/>
      <c r="FN907"/>
      <c r="FO907"/>
      <c r="FP907"/>
      <c r="FQ907"/>
      <c r="FR907"/>
      <c r="FS907"/>
      <c r="FT907"/>
      <c r="FU907"/>
      <c r="FV907"/>
      <c r="FW907"/>
      <c r="FX907"/>
      <c r="FY907"/>
      <c r="FZ907"/>
      <c r="GA907"/>
      <c r="GB907"/>
      <c r="GC907"/>
      <c r="GD907"/>
    </row>
    <row r="908" spans="1:186" x14ac:dyDescent="0.15">
      <c r="A908"/>
      <c r="B908"/>
      <c r="C908"/>
      <c r="D908"/>
      <c r="E908"/>
      <c r="F908"/>
      <c r="G908"/>
      <c r="H908"/>
      <c r="I908"/>
      <c r="J908"/>
      <c r="FK908"/>
      <c r="FL908"/>
      <c r="FM908"/>
      <c r="FN908"/>
      <c r="FO908"/>
      <c r="FP908"/>
      <c r="FQ908"/>
      <c r="FR908"/>
      <c r="FS908"/>
      <c r="FT908"/>
      <c r="FU908"/>
      <c r="FV908"/>
      <c r="FW908"/>
      <c r="FX908"/>
      <c r="FY908"/>
      <c r="FZ908"/>
      <c r="GA908"/>
      <c r="GB908"/>
      <c r="GC908"/>
      <c r="GD908"/>
    </row>
    <row r="909" spans="1:186" x14ac:dyDescent="0.15">
      <c r="A909"/>
      <c r="B909"/>
      <c r="C909"/>
      <c r="D909"/>
      <c r="E909"/>
      <c r="F909"/>
      <c r="G909"/>
      <c r="H909"/>
      <c r="I909"/>
      <c r="J909"/>
      <c r="FK909"/>
      <c r="FL909"/>
      <c r="FM909"/>
      <c r="FN909"/>
      <c r="FO909"/>
      <c r="FP909"/>
      <c r="FQ909"/>
      <c r="FR909"/>
      <c r="FS909"/>
      <c r="FT909"/>
      <c r="FU909"/>
      <c r="FV909"/>
      <c r="FW909"/>
      <c r="FX909"/>
      <c r="FY909"/>
      <c r="FZ909"/>
      <c r="GA909"/>
      <c r="GB909"/>
      <c r="GC909"/>
      <c r="GD909"/>
    </row>
    <row r="910" spans="1:186" x14ac:dyDescent="0.15">
      <c r="A910"/>
      <c r="B910"/>
      <c r="C910"/>
      <c r="D910"/>
      <c r="E910"/>
      <c r="F910"/>
      <c r="G910"/>
      <c r="H910"/>
      <c r="I910"/>
      <c r="J910"/>
      <c r="FK910"/>
      <c r="FL910"/>
      <c r="FM910"/>
      <c r="FN910"/>
      <c r="FO910"/>
      <c r="FP910"/>
      <c r="FQ910"/>
      <c r="FR910"/>
      <c r="FS910"/>
      <c r="FT910"/>
      <c r="FU910"/>
      <c r="FV910"/>
      <c r="FW910"/>
      <c r="FX910"/>
      <c r="FY910"/>
      <c r="FZ910"/>
      <c r="GA910"/>
      <c r="GB910"/>
      <c r="GC910"/>
      <c r="GD910"/>
    </row>
    <row r="911" spans="1:186" x14ac:dyDescent="0.15">
      <c r="A911"/>
      <c r="B911"/>
      <c r="C911"/>
      <c r="D911"/>
      <c r="E911"/>
      <c r="F911"/>
      <c r="G911"/>
      <c r="H911"/>
      <c r="I911"/>
      <c r="J911"/>
      <c r="FK911"/>
      <c r="FL911"/>
      <c r="FM911"/>
      <c r="FN911"/>
      <c r="FO911"/>
      <c r="FP911"/>
      <c r="FQ911"/>
      <c r="FR911"/>
      <c r="FS911"/>
      <c r="FT911"/>
      <c r="FU911"/>
      <c r="FV911"/>
      <c r="FW911"/>
      <c r="FX911"/>
      <c r="FY911"/>
      <c r="FZ911"/>
      <c r="GA911"/>
      <c r="GB911"/>
      <c r="GC911"/>
      <c r="GD911"/>
    </row>
    <row r="912" spans="1:186" x14ac:dyDescent="0.15">
      <c r="A912"/>
      <c r="B912"/>
      <c r="C912"/>
      <c r="D912"/>
      <c r="E912"/>
      <c r="F912"/>
      <c r="G912"/>
      <c r="H912"/>
      <c r="I912"/>
      <c r="J912"/>
      <c r="FK912"/>
      <c r="FL912"/>
      <c r="FM912"/>
      <c r="FN912"/>
      <c r="FO912"/>
      <c r="FP912"/>
      <c r="FQ912"/>
      <c r="FR912"/>
      <c r="FS912"/>
      <c r="FT912"/>
      <c r="FU912"/>
      <c r="FV912"/>
      <c r="FW912"/>
      <c r="FX912"/>
      <c r="FY912"/>
      <c r="FZ912"/>
      <c r="GA912"/>
      <c r="GB912"/>
      <c r="GC912"/>
      <c r="GD912"/>
    </row>
    <row r="913" spans="1:186" x14ac:dyDescent="0.15">
      <c r="A913"/>
      <c r="B913"/>
      <c r="C913"/>
      <c r="D913"/>
      <c r="E913"/>
      <c r="F913"/>
      <c r="G913"/>
      <c r="H913"/>
      <c r="I913"/>
      <c r="J913"/>
      <c r="FK913"/>
      <c r="FL913"/>
      <c r="FM913"/>
      <c r="FN913"/>
      <c r="FO913"/>
      <c r="FP913"/>
      <c r="FQ913"/>
      <c r="FR913"/>
      <c r="FS913"/>
      <c r="FT913"/>
      <c r="FU913"/>
      <c r="FV913"/>
      <c r="FW913"/>
      <c r="FX913"/>
      <c r="FY913"/>
      <c r="FZ913"/>
      <c r="GA913"/>
      <c r="GB913"/>
      <c r="GC913"/>
      <c r="GD913"/>
    </row>
    <row r="914" spans="1:186" x14ac:dyDescent="0.15">
      <c r="A914"/>
      <c r="B914"/>
      <c r="C914"/>
      <c r="D914"/>
      <c r="E914"/>
      <c r="F914"/>
      <c r="G914"/>
      <c r="H914"/>
      <c r="I914"/>
      <c r="J914"/>
      <c r="FK914"/>
      <c r="FL914"/>
      <c r="FM914"/>
      <c r="FN914"/>
      <c r="FO914"/>
      <c r="FP914"/>
      <c r="FQ914"/>
      <c r="FR914"/>
      <c r="FS914"/>
      <c r="FT914"/>
      <c r="FU914"/>
      <c r="FV914"/>
      <c r="FW914"/>
      <c r="FX914"/>
      <c r="FY914"/>
      <c r="FZ914"/>
      <c r="GA914"/>
      <c r="GB914"/>
      <c r="GC914"/>
      <c r="GD914"/>
    </row>
    <row r="915" spans="1:186" x14ac:dyDescent="0.15">
      <c r="A915"/>
      <c r="B915"/>
      <c r="C915"/>
      <c r="D915"/>
      <c r="E915"/>
      <c r="F915"/>
      <c r="G915"/>
      <c r="H915"/>
      <c r="I915"/>
      <c r="J915"/>
      <c r="FK915"/>
      <c r="FL915"/>
      <c r="FM915"/>
      <c r="FN915"/>
      <c r="FO915"/>
      <c r="FP915"/>
      <c r="FQ915"/>
      <c r="FR915"/>
      <c r="FS915"/>
      <c r="FT915"/>
      <c r="FU915"/>
      <c r="FV915"/>
      <c r="FW915"/>
      <c r="FX915"/>
      <c r="FY915"/>
      <c r="FZ915"/>
      <c r="GA915"/>
      <c r="GB915"/>
      <c r="GC915"/>
      <c r="GD915"/>
    </row>
    <row r="916" spans="1:186" x14ac:dyDescent="0.15">
      <c r="A916"/>
      <c r="B916"/>
      <c r="C916"/>
      <c r="D916"/>
      <c r="E916"/>
      <c r="F916"/>
      <c r="G916"/>
      <c r="H916"/>
      <c r="I916"/>
      <c r="J916"/>
      <c r="FK916"/>
      <c r="FL916"/>
      <c r="FM916"/>
      <c r="FN916"/>
      <c r="FO916"/>
      <c r="FP916"/>
      <c r="FQ916"/>
      <c r="FR916"/>
      <c r="FS916"/>
      <c r="FT916"/>
      <c r="FU916"/>
      <c r="FV916"/>
      <c r="FW916"/>
      <c r="FX916"/>
      <c r="FY916"/>
      <c r="FZ916"/>
      <c r="GA916"/>
      <c r="GB916"/>
      <c r="GC916"/>
      <c r="GD916"/>
    </row>
    <row r="917" spans="1:186" x14ac:dyDescent="0.15">
      <c r="A917"/>
      <c r="B917"/>
      <c r="C917"/>
      <c r="D917"/>
      <c r="E917"/>
      <c r="F917"/>
      <c r="G917"/>
      <c r="H917"/>
      <c r="I917"/>
      <c r="J917"/>
      <c r="FK917"/>
      <c r="FL917"/>
      <c r="FM917"/>
      <c r="FN917"/>
      <c r="FO917"/>
      <c r="FP917"/>
      <c r="FQ917"/>
      <c r="FR917"/>
      <c r="FS917"/>
      <c r="FT917"/>
      <c r="FU917"/>
      <c r="FV917"/>
      <c r="FW917"/>
      <c r="FX917"/>
      <c r="FY917"/>
      <c r="FZ917"/>
      <c r="GA917"/>
      <c r="GB917"/>
      <c r="GC917"/>
      <c r="GD917"/>
    </row>
    <row r="918" spans="1:186" x14ac:dyDescent="0.15">
      <c r="A918"/>
      <c r="B918"/>
      <c r="C918"/>
      <c r="D918"/>
      <c r="E918"/>
      <c r="F918"/>
      <c r="G918"/>
      <c r="H918"/>
      <c r="I918"/>
      <c r="J918"/>
      <c r="FK918"/>
      <c r="FL918"/>
      <c r="FM918"/>
      <c r="FN918"/>
      <c r="FO918"/>
      <c r="FP918"/>
      <c r="FQ918"/>
      <c r="FR918"/>
      <c r="FS918"/>
      <c r="FT918"/>
      <c r="FU918"/>
      <c r="FV918"/>
      <c r="FW918"/>
      <c r="FX918"/>
      <c r="FY918"/>
      <c r="FZ918"/>
      <c r="GA918"/>
      <c r="GB918"/>
      <c r="GC918"/>
      <c r="GD918"/>
    </row>
    <row r="919" spans="1:186" x14ac:dyDescent="0.15">
      <c r="A919"/>
      <c r="B919"/>
      <c r="C919"/>
      <c r="D919"/>
      <c r="E919"/>
      <c r="F919"/>
      <c r="G919"/>
      <c r="H919"/>
      <c r="I919"/>
      <c r="J919"/>
      <c r="FK919"/>
      <c r="FL919"/>
      <c r="FM919"/>
      <c r="FN919"/>
      <c r="FO919"/>
      <c r="FP919"/>
      <c r="FQ919"/>
      <c r="FR919"/>
      <c r="FS919"/>
      <c r="FT919"/>
      <c r="FU919"/>
      <c r="FV919"/>
      <c r="FW919"/>
      <c r="FX919"/>
      <c r="FY919"/>
      <c r="FZ919"/>
      <c r="GA919"/>
      <c r="GB919"/>
      <c r="GC919"/>
      <c r="GD919"/>
    </row>
    <row r="920" spans="1:186" x14ac:dyDescent="0.15">
      <c r="A920"/>
      <c r="B920"/>
      <c r="C920"/>
      <c r="D920"/>
      <c r="E920"/>
      <c r="F920"/>
      <c r="G920"/>
      <c r="H920"/>
      <c r="I920"/>
      <c r="J920"/>
      <c r="FK920"/>
      <c r="FL920"/>
      <c r="FM920"/>
      <c r="FN920"/>
      <c r="FO920"/>
      <c r="FP920"/>
      <c r="FQ920"/>
      <c r="FR920"/>
      <c r="FS920"/>
      <c r="FT920"/>
      <c r="FU920"/>
      <c r="FV920"/>
      <c r="FW920"/>
      <c r="FX920"/>
      <c r="FY920"/>
      <c r="FZ920"/>
      <c r="GA920"/>
      <c r="GB920"/>
      <c r="GC920"/>
      <c r="GD920"/>
    </row>
    <row r="921" spans="1:186" x14ac:dyDescent="0.15">
      <c r="A921"/>
      <c r="B921"/>
      <c r="C921"/>
      <c r="D921"/>
      <c r="E921"/>
      <c r="F921"/>
      <c r="G921"/>
      <c r="H921"/>
      <c r="I921"/>
      <c r="J921"/>
      <c r="FK921"/>
      <c r="FL921"/>
      <c r="FM921"/>
      <c r="FN921"/>
      <c r="FO921"/>
      <c r="FP921"/>
      <c r="FQ921"/>
      <c r="FR921"/>
      <c r="FS921"/>
      <c r="FT921"/>
      <c r="FU921"/>
      <c r="FV921"/>
      <c r="FW921"/>
      <c r="FX921"/>
      <c r="FY921"/>
      <c r="FZ921"/>
      <c r="GA921"/>
      <c r="GB921"/>
      <c r="GC921"/>
      <c r="GD921"/>
    </row>
    <row r="922" spans="1:186" x14ac:dyDescent="0.15">
      <c r="A922"/>
      <c r="B922"/>
      <c r="C922"/>
      <c r="D922"/>
      <c r="E922"/>
      <c r="F922"/>
      <c r="G922"/>
      <c r="H922"/>
      <c r="I922"/>
      <c r="J922"/>
      <c r="FK922"/>
      <c r="FL922"/>
      <c r="FM922"/>
      <c r="FN922"/>
      <c r="FO922"/>
      <c r="FP922"/>
      <c r="FQ922"/>
      <c r="FR922"/>
      <c r="FS922"/>
      <c r="FT922"/>
      <c r="FU922"/>
      <c r="FV922"/>
      <c r="FW922"/>
      <c r="FX922"/>
      <c r="FY922"/>
      <c r="FZ922"/>
      <c r="GA922"/>
      <c r="GB922"/>
      <c r="GC922"/>
      <c r="GD922"/>
    </row>
    <row r="923" spans="1:186" x14ac:dyDescent="0.15">
      <c r="A923"/>
      <c r="B923"/>
      <c r="C923"/>
      <c r="D923"/>
      <c r="E923"/>
      <c r="F923"/>
      <c r="G923"/>
      <c r="H923"/>
      <c r="I923"/>
      <c r="J923"/>
      <c r="FK923"/>
      <c r="FL923"/>
      <c r="FM923"/>
      <c r="FN923"/>
      <c r="FO923"/>
      <c r="FP923"/>
      <c r="FQ923"/>
      <c r="FR923"/>
      <c r="FS923"/>
      <c r="FT923"/>
      <c r="FU923"/>
      <c r="FV923"/>
      <c r="FW923"/>
      <c r="FX923"/>
      <c r="FY923"/>
      <c r="FZ923"/>
      <c r="GA923"/>
      <c r="GB923"/>
      <c r="GC923"/>
      <c r="GD923"/>
    </row>
    <row r="924" spans="1:186" x14ac:dyDescent="0.15">
      <c r="A924"/>
      <c r="B924"/>
      <c r="C924"/>
      <c r="D924"/>
      <c r="E924"/>
      <c r="F924"/>
      <c r="G924"/>
      <c r="H924"/>
      <c r="I924"/>
      <c r="J924"/>
      <c r="FK924"/>
      <c r="FL924"/>
      <c r="FM924"/>
      <c r="FN924"/>
      <c r="FO924"/>
      <c r="FP924"/>
      <c r="FQ924"/>
      <c r="FR924"/>
      <c r="FS924"/>
      <c r="FT924"/>
      <c r="FU924"/>
      <c r="FV924"/>
      <c r="FW924"/>
      <c r="FX924"/>
      <c r="FY924"/>
      <c r="FZ924"/>
      <c r="GA924"/>
      <c r="GB924"/>
      <c r="GC924"/>
      <c r="GD924"/>
    </row>
    <row r="925" spans="1:186" x14ac:dyDescent="0.15">
      <c r="A925"/>
      <c r="B925"/>
      <c r="C925"/>
      <c r="D925"/>
      <c r="E925"/>
      <c r="F925"/>
      <c r="G925"/>
      <c r="H925"/>
      <c r="I925"/>
      <c r="J925"/>
      <c r="FK925"/>
      <c r="FL925"/>
      <c r="FM925"/>
      <c r="FN925"/>
      <c r="FO925"/>
      <c r="FP925"/>
      <c r="FQ925"/>
      <c r="FR925"/>
      <c r="FS925"/>
      <c r="FT925"/>
      <c r="FU925"/>
      <c r="FV925"/>
      <c r="FW925"/>
      <c r="FX925"/>
      <c r="FY925"/>
      <c r="FZ925"/>
      <c r="GA925"/>
      <c r="GB925"/>
      <c r="GC925"/>
      <c r="GD925"/>
    </row>
    <row r="926" spans="1:186" x14ac:dyDescent="0.15">
      <c r="A926"/>
      <c r="B926"/>
      <c r="C926"/>
      <c r="D926"/>
      <c r="E926"/>
      <c r="F926"/>
      <c r="G926"/>
      <c r="H926"/>
      <c r="I926"/>
      <c r="J926"/>
      <c r="FK926"/>
      <c r="FL926"/>
      <c r="FM926"/>
      <c r="FN926"/>
      <c r="FO926"/>
      <c r="FP926"/>
      <c r="FQ926"/>
      <c r="FR926"/>
      <c r="FS926"/>
      <c r="FT926"/>
      <c r="FU926"/>
      <c r="FV926"/>
      <c r="FW926"/>
      <c r="FX926"/>
      <c r="FY926"/>
      <c r="FZ926"/>
      <c r="GA926"/>
      <c r="GB926"/>
      <c r="GC926"/>
      <c r="GD926"/>
    </row>
    <row r="927" spans="1:186" x14ac:dyDescent="0.15">
      <c r="A927"/>
      <c r="B927"/>
      <c r="C927"/>
      <c r="D927"/>
      <c r="E927"/>
      <c r="F927"/>
      <c r="G927"/>
      <c r="H927"/>
      <c r="I927"/>
      <c r="J927"/>
      <c r="FK927"/>
      <c r="FL927"/>
      <c r="FM927"/>
      <c r="FN927"/>
      <c r="FO927"/>
      <c r="FP927"/>
      <c r="FQ927"/>
      <c r="FR927"/>
      <c r="FS927"/>
      <c r="FT927"/>
      <c r="FU927"/>
      <c r="FV927"/>
      <c r="FW927"/>
      <c r="FX927"/>
      <c r="FY927"/>
      <c r="FZ927"/>
      <c r="GA927"/>
      <c r="GB927"/>
      <c r="GC927"/>
      <c r="GD927"/>
    </row>
    <row r="928" spans="1:186" x14ac:dyDescent="0.15">
      <c r="A928"/>
      <c r="B928"/>
      <c r="C928"/>
      <c r="D928"/>
      <c r="E928"/>
      <c r="F928"/>
      <c r="G928"/>
      <c r="H928"/>
      <c r="I928"/>
      <c r="J928"/>
      <c r="FK928"/>
      <c r="FL928"/>
      <c r="FM928"/>
      <c r="FN928"/>
      <c r="FO928"/>
      <c r="FP928"/>
      <c r="FQ928"/>
      <c r="FR928"/>
      <c r="FS928"/>
      <c r="FT928"/>
      <c r="FU928"/>
      <c r="FV928"/>
      <c r="FW928"/>
      <c r="FX928"/>
      <c r="FY928"/>
      <c r="FZ928"/>
      <c r="GA928"/>
      <c r="GB928"/>
      <c r="GC928"/>
      <c r="GD928"/>
    </row>
    <row r="929" spans="1:186" x14ac:dyDescent="0.15">
      <c r="A929"/>
      <c r="B929"/>
      <c r="C929"/>
      <c r="D929"/>
      <c r="E929"/>
      <c r="F929"/>
      <c r="G929"/>
      <c r="H929"/>
      <c r="I929"/>
      <c r="J929"/>
      <c r="FK929"/>
      <c r="FL929"/>
      <c r="FM929"/>
      <c r="FN929"/>
      <c r="FO929"/>
      <c r="FP929"/>
      <c r="FQ929"/>
      <c r="FR929"/>
      <c r="FS929"/>
      <c r="FT929"/>
      <c r="FU929"/>
      <c r="FV929"/>
      <c r="FW929"/>
      <c r="FX929"/>
      <c r="FY929"/>
      <c r="FZ929"/>
      <c r="GA929"/>
      <c r="GB929"/>
      <c r="GC929"/>
      <c r="GD929"/>
    </row>
    <row r="930" spans="1:186" x14ac:dyDescent="0.15">
      <c r="A930"/>
      <c r="B930"/>
      <c r="C930"/>
      <c r="D930"/>
      <c r="E930"/>
      <c r="F930"/>
      <c r="G930"/>
      <c r="H930"/>
      <c r="I930"/>
      <c r="J930"/>
      <c r="FK930"/>
      <c r="FL930"/>
      <c r="FM930"/>
      <c r="FN930"/>
      <c r="FO930"/>
      <c r="FP930"/>
      <c r="FQ930"/>
      <c r="FR930"/>
      <c r="FS930"/>
      <c r="FT930"/>
      <c r="FU930"/>
      <c r="FV930"/>
      <c r="FW930"/>
      <c r="FX930"/>
      <c r="FY930"/>
      <c r="FZ930"/>
      <c r="GA930"/>
      <c r="GB930"/>
      <c r="GC930"/>
      <c r="GD930"/>
    </row>
    <row r="931" spans="1:186" x14ac:dyDescent="0.15">
      <c r="A931"/>
      <c r="B931"/>
      <c r="C931"/>
      <c r="D931"/>
      <c r="E931"/>
      <c r="F931"/>
      <c r="G931"/>
      <c r="H931"/>
      <c r="I931"/>
      <c r="J931"/>
      <c r="FK931"/>
      <c r="FL931"/>
      <c r="FM931"/>
      <c r="FN931"/>
      <c r="FO931"/>
      <c r="FP931"/>
      <c r="FQ931"/>
      <c r="FR931"/>
      <c r="FS931"/>
      <c r="FT931"/>
      <c r="FU931"/>
      <c r="FV931"/>
      <c r="FW931"/>
      <c r="FX931"/>
      <c r="FY931"/>
      <c r="FZ931"/>
      <c r="GA931"/>
      <c r="GB931"/>
      <c r="GC931"/>
      <c r="GD931"/>
    </row>
    <row r="932" spans="1:186" x14ac:dyDescent="0.15">
      <c r="A932"/>
      <c r="B932"/>
      <c r="C932"/>
      <c r="D932"/>
      <c r="E932"/>
      <c r="F932"/>
      <c r="G932"/>
      <c r="H932"/>
      <c r="I932"/>
      <c r="J932"/>
      <c r="FK932"/>
      <c r="FL932"/>
      <c r="FM932"/>
      <c r="FN932"/>
      <c r="FO932"/>
      <c r="FP932"/>
      <c r="FQ932"/>
      <c r="FR932"/>
      <c r="FS932"/>
      <c r="FT932"/>
      <c r="FU932"/>
      <c r="FV932"/>
      <c r="FW932"/>
      <c r="FX932"/>
      <c r="FY932"/>
      <c r="FZ932"/>
      <c r="GA932"/>
      <c r="GB932"/>
      <c r="GC932"/>
      <c r="GD932"/>
    </row>
    <row r="933" spans="1:186" x14ac:dyDescent="0.15">
      <c r="A933"/>
      <c r="B933"/>
      <c r="C933"/>
      <c r="D933"/>
      <c r="E933"/>
      <c r="F933"/>
      <c r="G933"/>
      <c r="H933"/>
      <c r="I933"/>
      <c r="J933"/>
      <c r="FK933"/>
      <c r="FL933"/>
      <c r="FM933"/>
      <c r="FN933"/>
      <c r="FO933"/>
      <c r="FP933"/>
      <c r="FQ933"/>
      <c r="FR933"/>
      <c r="FS933"/>
      <c r="FT933"/>
      <c r="FU933"/>
      <c r="FV933"/>
      <c r="FW933"/>
      <c r="FX933"/>
      <c r="FY933"/>
      <c r="FZ933"/>
      <c r="GA933"/>
      <c r="GB933"/>
      <c r="GC933"/>
      <c r="GD933"/>
    </row>
    <row r="934" spans="1:186" x14ac:dyDescent="0.15">
      <c r="A934"/>
      <c r="B934"/>
      <c r="C934"/>
      <c r="D934"/>
      <c r="E934"/>
      <c r="F934"/>
      <c r="G934"/>
      <c r="H934"/>
      <c r="I934"/>
      <c r="J934"/>
      <c r="FK934"/>
      <c r="FL934"/>
      <c r="FM934"/>
      <c r="FN934"/>
      <c r="FO934"/>
      <c r="FP934"/>
      <c r="FQ934"/>
      <c r="FR934"/>
      <c r="FS934"/>
      <c r="FT934"/>
      <c r="FU934"/>
      <c r="FV934"/>
      <c r="FW934"/>
      <c r="FX934"/>
      <c r="FY934"/>
      <c r="FZ934"/>
      <c r="GA934"/>
      <c r="GB934"/>
      <c r="GC934"/>
      <c r="GD934"/>
    </row>
    <row r="935" spans="1:186" x14ac:dyDescent="0.15">
      <c r="A935"/>
      <c r="B935"/>
      <c r="C935"/>
      <c r="D935"/>
      <c r="E935"/>
      <c r="F935"/>
      <c r="G935"/>
      <c r="H935"/>
      <c r="I935"/>
      <c r="J935"/>
      <c r="FK935"/>
      <c r="FL935"/>
      <c r="FM935"/>
      <c r="FN935"/>
      <c r="FO935"/>
      <c r="FP935"/>
      <c r="FQ935"/>
      <c r="FR935"/>
      <c r="FS935"/>
      <c r="FT935"/>
      <c r="FU935"/>
      <c r="FV935"/>
      <c r="FW935"/>
      <c r="FX935"/>
      <c r="FY935"/>
      <c r="FZ935"/>
      <c r="GA935"/>
      <c r="GB935"/>
      <c r="GC935"/>
      <c r="GD935"/>
    </row>
    <row r="936" spans="1:186" x14ac:dyDescent="0.15">
      <c r="A936"/>
      <c r="B936"/>
      <c r="C936"/>
      <c r="D936"/>
      <c r="E936"/>
      <c r="F936"/>
      <c r="G936"/>
      <c r="H936"/>
      <c r="I936"/>
      <c r="J936"/>
      <c r="FK936"/>
      <c r="FL936"/>
      <c r="FM936"/>
      <c r="FN936"/>
      <c r="FO936"/>
      <c r="FP936"/>
      <c r="FQ936"/>
      <c r="FR936"/>
      <c r="FS936"/>
      <c r="FT936"/>
      <c r="FU936"/>
      <c r="FV936"/>
      <c r="FW936"/>
      <c r="FX936"/>
      <c r="FY936"/>
      <c r="FZ936"/>
      <c r="GA936"/>
      <c r="GB936"/>
      <c r="GC936"/>
      <c r="GD936"/>
    </row>
    <row r="937" spans="1:186" x14ac:dyDescent="0.15">
      <c r="A937"/>
      <c r="B937"/>
      <c r="C937"/>
      <c r="D937"/>
      <c r="E937"/>
      <c r="F937"/>
      <c r="G937"/>
      <c r="H937"/>
      <c r="I937"/>
      <c r="J937"/>
      <c r="FK937"/>
      <c r="FL937"/>
      <c r="FM937"/>
      <c r="FN937"/>
      <c r="FO937"/>
      <c r="FP937"/>
      <c r="FQ937"/>
      <c r="FR937"/>
      <c r="FS937"/>
      <c r="FT937"/>
      <c r="FU937"/>
      <c r="FV937"/>
      <c r="FW937"/>
      <c r="FX937"/>
      <c r="FY937"/>
      <c r="FZ937"/>
      <c r="GA937"/>
      <c r="GB937"/>
      <c r="GC937"/>
      <c r="GD937"/>
    </row>
    <row r="938" spans="1:186" x14ac:dyDescent="0.15">
      <c r="A938"/>
      <c r="B938"/>
      <c r="C938"/>
      <c r="D938"/>
      <c r="E938"/>
      <c r="F938"/>
      <c r="G938"/>
      <c r="H938"/>
      <c r="I938"/>
      <c r="J938"/>
      <c r="FK938"/>
      <c r="FL938"/>
      <c r="FM938"/>
      <c r="FN938"/>
      <c r="FO938"/>
      <c r="FP938"/>
      <c r="FQ938"/>
      <c r="FR938"/>
      <c r="FS938"/>
      <c r="FT938"/>
      <c r="FU938"/>
      <c r="FV938"/>
      <c r="FW938"/>
      <c r="FX938"/>
      <c r="FY938"/>
      <c r="FZ938"/>
      <c r="GA938"/>
      <c r="GB938"/>
      <c r="GC938"/>
      <c r="GD938"/>
    </row>
    <row r="939" spans="1:186" x14ac:dyDescent="0.15">
      <c r="A939"/>
      <c r="B939"/>
      <c r="C939"/>
      <c r="D939"/>
      <c r="E939"/>
      <c r="F939"/>
      <c r="G939"/>
      <c r="H939"/>
      <c r="I939"/>
      <c r="J939"/>
      <c r="FK939"/>
      <c r="FL939"/>
      <c r="FM939"/>
      <c r="FN939"/>
      <c r="FO939"/>
      <c r="FP939"/>
      <c r="FQ939"/>
      <c r="FR939"/>
      <c r="FS939"/>
      <c r="FT939"/>
      <c r="FU939"/>
      <c r="FV939"/>
      <c r="FW939"/>
      <c r="FX939"/>
      <c r="FY939"/>
      <c r="FZ939"/>
      <c r="GA939"/>
      <c r="GB939"/>
      <c r="GC939"/>
      <c r="GD939"/>
    </row>
    <row r="940" spans="1:186" x14ac:dyDescent="0.15">
      <c r="A940"/>
      <c r="B940"/>
      <c r="C940"/>
      <c r="D940"/>
      <c r="E940"/>
      <c r="F940"/>
      <c r="G940"/>
      <c r="H940"/>
      <c r="I940"/>
      <c r="J940"/>
      <c r="FK940"/>
      <c r="FL940"/>
      <c r="FM940"/>
      <c r="FN940"/>
      <c r="FO940"/>
      <c r="FP940"/>
      <c r="FQ940"/>
      <c r="FR940"/>
      <c r="FS940"/>
      <c r="FT940"/>
      <c r="FU940"/>
      <c r="FV940"/>
      <c r="FW940"/>
      <c r="FX940"/>
      <c r="FY940"/>
      <c r="FZ940"/>
      <c r="GA940"/>
      <c r="GB940"/>
      <c r="GC940"/>
      <c r="GD940"/>
    </row>
    <row r="941" spans="1:186" x14ac:dyDescent="0.15">
      <c r="A941"/>
      <c r="B941"/>
      <c r="C941"/>
      <c r="D941"/>
      <c r="E941"/>
      <c r="F941"/>
      <c r="G941"/>
      <c r="H941"/>
      <c r="I941"/>
      <c r="J941"/>
      <c r="FK941"/>
      <c r="FL941"/>
      <c r="FM941"/>
      <c r="FN941"/>
      <c r="FO941"/>
      <c r="FP941"/>
      <c r="FQ941"/>
      <c r="FR941"/>
      <c r="FS941"/>
      <c r="FT941"/>
      <c r="FU941"/>
      <c r="FV941"/>
      <c r="FW941"/>
      <c r="FX941"/>
      <c r="FY941"/>
      <c r="FZ941"/>
      <c r="GA941"/>
      <c r="GB941"/>
      <c r="GC941"/>
      <c r="GD941"/>
    </row>
    <row r="942" spans="1:186" x14ac:dyDescent="0.15">
      <c r="A942"/>
      <c r="B942"/>
      <c r="C942"/>
      <c r="D942"/>
      <c r="E942"/>
      <c r="F942"/>
      <c r="G942"/>
      <c r="H942"/>
      <c r="I942"/>
      <c r="J942"/>
      <c r="FK942"/>
      <c r="FL942"/>
      <c r="FM942"/>
      <c r="FN942"/>
      <c r="FO942"/>
      <c r="FP942"/>
      <c r="FQ942"/>
      <c r="FR942"/>
      <c r="FS942"/>
      <c r="FT942"/>
      <c r="FU942"/>
      <c r="FV942"/>
      <c r="FW942"/>
      <c r="FX942"/>
      <c r="FY942"/>
      <c r="FZ942"/>
      <c r="GA942"/>
      <c r="GB942"/>
      <c r="GC942"/>
      <c r="GD942"/>
    </row>
    <row r="943" spans="1:186" x14ac:dyDescent="0.15">
      <c r="A943"/>
      <c r="B943"/>
      <c r="C943"/>
      <c r="D943"/>
      <c r="E943"/>
      <c r="F943"/>
      <c r="G943"/>
      <c r="H943"/>
      <c r="I943"/>
      <c r="J943"/>
      <c r="FK943"/>
      <c r="FL943"/>
      <c r="FM943"/>
      <c r="FN943"/>
      <c r="FO943"/>
      <c r="FP943"/>
      <c r="FQ943"/>
      <c r="FR943"/>
      <c r="FS943"/>
      <c r="FT943"/>
      <c r="FU943"/>
      <c r="FV943"/>
      <c r="FW943"/>
      <c r="FX943"/>
      <c r="FY943"/>
      <c r="FZ943"/>
      <c r="GA943"/>
      <c r="GB943"/>
      <c r="GC943"/>
      <c r="GD943"/>
    </row>
    <row r="944" spans="1:186" x14ac:dyDescent="0.15">
      <c r="A944"/>
      <c r="B944"/>
      <c r="C944"/>
      <c r="D944"/>
      <c r="E944"/>
      <c r="F944"/>
      <c r="G944"/>
      <c r="H944"/>
      <c r="I944"/>
      <c r="J944"/>
      <c r="FK944"/>
      <c r="FL944"/>
      <c r="FM944"/>
      <c r="FN944"/>
      <c r="FO944"/>
      <c r="FP944"/>
      <c r="FQ944"/>
      <c r="FR944"/>
      <c r="FS944"/>
      <c r="FT944"/>
      <c r="FU944"/>
      <c r="FV944"/>
      <c r="FW944"/>
      <c r="FX944"/>
      <c r="FY944"/>
      <c r="FZ944"/>
      <c r="GA944"/>
      <c r="GB944"/>
      <c r="GC944"/>
      <c r="GD944"/>
    </row>
    <row r="945" spans="1:186" x14ac:dyDescent="0.15">
      <c r="A945"/>
      <c r="B945"/>
      <c r="C945"/>
      <c r="D945"/>
      <c r="E945"/>
      <c r="F945"/>
      <c r="G945"/>
      <c r="H945"/>
      <c r="I945"/>
      <c r="J945"/>
      <c r="FK945"/>
      <c r="FL945"/>
      <c r="FM945"/>
      <c r="FN945"/>
      <c r="FO945"/>
      <c r="FP945"/>
      <c r="FQ945"/>
      <c r="FR945"/>
      <c r="FS945"/>
      <c r="FT945"/>
      <c r="FU945"/>
      <c r="FV945"/>
      <c r="FW945"/>
      <c r="FX945"/>
      <c r="FY945"/>
      <c r="FZ945"/>
      <c r="GA945"/>
      <c r="GB945"/>
      <c r="GC945"/>
      <c r="GD945"/>
    </row>
    <row r="946" spans="1:186" x14ac:dyDescent="0.15">
      <c r="A946"/>
      <c r="B946"/>
      <c r="C946"/>
      <c r="D946"/>
      <c r="E946"/>
      <c r="F946"/>
      <c r="G946"/>
      <c r="H946"/>
      <c r="I946"/>
      <c r="J946"/>
      <c r="FK946"/>
      <c r="FL946"/>
      <c r="FM946"/>
      <c r="FN946"/>
      <c r="FO946"/>
      <c r="FP946"/>
      <c r="FQ946"/>
      <c r="FR946"/>
      <c r="FS946"/>
      <c r="FT946"/>
      <c r="FU946"/>
      <c r="FV946"/>
      <c r="FW946"/>
      <c r="FX946"/>
      <c r="FY946"/>
      <c r="FZ946"/>
      <c r="GA946"/>
      <c r="GB946"/>
      <c r="GC946"/>
      <c r="GD946"/>
    </row>
    <row r="947" spans="1:186" x14ac:dyDescent="0.15">
      <c r="A947"/>
      <c r="B947"/>
      <c r="C947"/>
      <c r="D947"/>
      <c r="E947"/>
      <c r="F947"/>
      <c r="G947"/>
      <c r="H947"/>
      <c r="I947"/>
      <c r="J947"/>
      <c r="FK947"/>
      <c r="FL947"/>
      <c r="FM947"/>
      <c r="FN947"/>
      <c r="FO947"/>
      <c r="FP947"/>
      <c r="FQ947"/>
      <c r="FR947"/>
      <c r="FS947"/>
      <c r="FT947"/>
      <c r="FU947"/>
      <c r="FV947"/>
      <c r="FW947"/>
      <c r="FX947"/>
      <c r="FY947"/>
      <c r="FZ947"/>
      <c r="GA947"/>
      <c r="GB947"/>
      <c r="GC947"/>
      <c r="GD947"/>
    </row>
    <row r="948" spans="1:186" x14ac:dyDescent="0.15">
      <c r="A948"/>
      <c r="B948"/>
      <c r="C948"/>
      <c r="D948"/>
      <c r="E948"/>
      <c r="F948"/>
      <c r="G948"/>
      <c r="H948"/>
      <c r="I948"/>
      <c r="J948"/>
      <c r="FK948"/>
      <c r="FL948"/>
      <c r="FM948"/>
      <c r="FN948"/>
      <c r="FO948"/>
      <c r="FP948"/>
      <c r="FQ948"/>
      <c r="FR948"/>
      <c r="FS948"/>
      <c r="FT948"/>
      <c r="FU948"/>
      <c r="FV948"/>
      <c r="FW948"/>
      <c r="FX948"/>
      <c r="FY948"/>
      <c r="FZ948"/>
      <c r="GA948"/>
      <c r="GB948"/>
      <c r="GC948"/>
      <c r="GD948"/>
    </row>
    <row r="949" spans="1:186" x14ac:dyDescent="0.15">
      <c r="A949"/>
      <c r="B949"/>
      <c r="C949"/>
      <c r="D949"/>
      <c r="E949"/>
      <c r="F949"/>
      <c r="G949"/>
      <c r="H949"/>
      <c r="I949"/>
      <c r="J949"/>
      <c r="FK949"/>
      <c r="FL949"/>
      <c r="FM949"/>
      <c r="FN949"/>
      <c r="FO949"/>
      <c r="FP949"/>
      <c r="FQ949"/>
      <c r="FR949"/>
      <c r="FS949"/>
      <c r="FT949"/>
      <c r="FU949"/>
      <c r="FV949"/>
      <c r="FW949"/>
      <c r="FX949"/>
      <c r="FY949"/>
      <c r="FZ949"/>
      <c r="GA949"/>
      <c r="GB949"/>
      <c r="GC949"/>
      <c r="GD949"/>
    </row>
    <row r="950" spans="1:186" x14ac:dyDescent="0.15">
      <c r="A950"/>
      <c r="B950"/>
      <c r="C950"/>
      <c r="D950"/>
      <c r="E950"/>
      <c r="F950"/>
      <c r="G950"/>
      <c r="H950"/>
      <c r="I950"/>
      <c r="J950"/>
      <c r="FK950"/>
      <c r="FL950"/>
      <c r="FM950"/>
      <c r="FN950"/>
      <c r="FO950"/>
      <c r="FP950"/>
      <c r="FQ950"/>
      <c r="FR950"/>
      <c r="FS950"/>
      <c r="FT950"/>
      <c r="FU950"/>
      <c r="FV950"/>
      <c r="FW950"/>
      <c r="FX950"/>
      <c r="FY950"/>
      <c r="FZ950"/>
      <c r="GA950"/>
      <c r="GB950"/>
      <c r="GC950"/>
      <c r="GD950"/>
    </row>
    <row r="951" spans="1:186" x14ac:dyDescent="0.15">
      <c r="A951"/>
      <c r="B951"/>
      <c r="C951"/>
      <c r="D951"/>
      <c r="E951"/>
      <c r="F951"/>
      <c r="G951"/>
      <c r="H951"/>
      <c r="I951"/>
      <c r="J951"/>
      <c r="FK951"/>
      <c r="FL951"/>
      <c r="FM951"/>
      <c r="FN951"/>
      <c r="FO951"/>
      <c r="FP951"/>
      <c r="FQ951"/>
      <c r="FR951"/>
      <c r="FS951"/>
      <c r="FT951"/>
      <c r="FU951"/>
      <c r="FV951"/>
      <c r="FW951"/>
      <c r="FX951"/>
      <c r="FY951"/>
      <c r="FZ951"/>
      <c r="GA951"/>
      <c r="GB951"/>
      <c r="GC951"/>
      <c r="GD951"/>
    </row>
    <row r="952" spans="1:186" x14ac:dyDescent="0.15">
      <c r="A952"/>
      <c r="B952"/>
      <c r="C952"/>
      <c r="D952"/>
      <c r="E952"/>
      <c r="F952"/>
      <c r="G952"/>
      <c r="H952"/>
      <c r="I952"/>
      <c r="J952"/>
      <c r="FK952"/>
      <c r="FL952"/>
      <c r="FM952"/>
      <c r="FN952"/>
      <c r="FO952"/>
      <c r="FP952"/>
      <c r="FQ952"/>
      <c r="FR952"/>
      <c r="FS952"/>
      <c r="FT952"/>
      <c r="FU952"/>
      <c r="FV952"/>
      <c r="FW952"/>
      <c r="FX952"/>
      <c r="FY952"/>
      <c r="FZ952"/>
      <c r="GA952"/>
      <c r="GB952"/>
      <c r="GC952"/>
      <c r="GD952"/>
    </row>
    <row r="953" spans="1:186" x14ac:dyDescent="0.15">
      <c r="A953"/>
      <c r="B953"/>
      <c r="C953"/>
      <c r="D953"/>
      <c r="E953"/>
      <c r="F953"/>
      <c r="G953"/>
      <c r="H953"/>
      <c r="I953"/>
      <c r="J953"/>
      <c r="FK953"/>
      <c r="FL953"/>
      <c r="FM953"/>
      <c r="FN953"/>
      <c r="FO953"/>
      <c r="FP953"/>
      <c r="FQ953"/>
      <c r="FR953"/>
      <c r="FS953"/>
      <c r="FT953"/>
      <c r="FU953"/>
      <c r="FV953"/>
      <c r="FW953"/>
      <c r="FX953"/>
      <c r="FY953"/>
      <c r="FZ953"/>
      <c r="GA953"/>
      <c r="GB953"/>
      <c r="GC953"/>
      <c r="GD953"/>
    </row>
    <row r="954" spans="1:186" x14ac:dyDescent="0.15">
      <c r="A954"/>
      <c r="B954"/>
      <c r="C954"/>
      <c r="D954"/>
      <c r="E954"/>
      <c r="F954"/>
      <c r="G954"/>
      <c r="H954"/>
      <c r="I954"/>
      <c r="J954"/>
      <c r="FK954"/>
      <c r="FL954"/>
      <c r="FM954"/>
      <c r="FN954"/>
      <c r="FO954"/>
      <c r="FP954"/>
      <c r="FQ954"/>
      <c r="FR954"/>
      <c r="FS954"/>
      <c r="FT954"/>
      <c r="FU954"/>
      <c r="FV954"/>
      <c r="FW954"/>
      <c r="FX954"/>
      <c r="FY954"/>
      <c r="FZ954"/>
      <c r="GA954"/>
      <c r="GB954"/>
      <c r="GC954"/>
      <c r="GD954"/>
    </row>
    <row r="955" spans="1:186" x14ac:dyDescent="0.15">
      <c r="A955"/>
      <c r="B955"/>
      <c r="C955"/>
      <c r="D955"/>
      <c r="E955"/>
      <c r="F955"/>
      <c r="G955"/>
      <c r="H955"/>
      <c r="I955"/>
      <c r="J955"/>
      <c r="FK955"/>
      <c r="FL955"/>
      <c r="FM955"/>
      <c r="FN955"/>
      <c r="FO955"/>
      <c r="FP955"/>
      <c r="FQ955"/>
      <c r="FR955"/>
      <c r="FS955"/>
      <c r="FT955"/>
      <c r="FU955"/>
      <c r="FV955"/>
      <c r="FW955"/>
      <c r="FX955"/>
      <c r="FY955"/>
      <c r="FZ955"/>
      <c r="GA955"/>
      <c r="GB955"/>
      <c r="GC955"/>
      <c r="GD955"/>
    </row>
    <row r="956" spans="1:186" x14ac:dyDescent="0.15">
      <c r="A956"/>
      <c r="B956"/>
      <c r="C956"/>
      <c r="D956"/>
      <c r="E956"/>
      <c r="F956"/>
      <c r="G956"/>
      <c r="H956"/>
      <c r="I956"/>
      <c r="J956"/>
      <c r="FK956"/>
      <c r="FL956"/>
      <c r="FM956"/>
      <c r="FN956"/>
      <c r="FO956"/>
      <c r="FP956"/>
      <c r="FQ956"/>
      <c r="FR956"/>
      <c r="FS956"/>
      <c r="FT956"/>
      <c r="FU956"/>
      <c r="FV956"/>
      <c r="FW956"/>
      <c r="FX956"/>
      <c r="FY956"/>
      <c r="FZ956"/>
      <c r="GA956"/>
      <c r="GB956"/>
      <c r="GC956"/>
      <c r="GD956"/>
    </row>
    <row r="957" spans="1:186" x14ac:dyDescent="0.15">
      <c r="A957"/>
      <c r="B957"/>
      <c r="C957"/>
      <c r="D957"/>
      <c r="E957"/>
      <c r="F957"/>
      <c r="G957"/>
      <c r="H957"/>
      <c r="I957"/>
      <c r="J957"/>
      <c r="FK957"/>
      <c r="FL957"/>
      <c r="FM957"/>
      <c r="FN957"/>
      <c r="FO957"/>
      <c r="FP957"/>
      <c r="FQ957"/>
      <c r="FR957"/>
      <c r="FS957"/>
      <c r="FT957"/>
      <c r="FU957"/>
      <c r="FV957"/>
      <c r="FW957"/>
      <c r="FX957"/>
      <c r="FY957"/>
      <c r="FZ957"/>
      <c r="GA957"/>
      <c r="GB957"/>
      <c r="GC957"/>
      <c r="GD957"/>
    </row>
    <row r="958" spans="1:186" x14ac:dyDescent="0.15">
      <c r="A958"/>
      <c r="B958"/>
      <c r="C958"/>
      <c r="D958"/>
      <c r="E958"/>
      <c r="F958"/>
      <c r="G958"/>
      <c r="H958"/>
      <c r="I958"/>
      <c r="J958"/>
      <c r="FK958"/>
      <c r="FL958"/>
      <c r="FM958"/>
      <c r="FN958"/>
      <c r="FO958"/>
      <c r="FP958"/>
      <c r="FQ958"/>
      <c r="FR958"/>
      <c r="FS958"/>
      <c r="FT958"/>
      <c r="FU958"/>
      <c r="FV958"/>
      <c r="FW958"/>
      <c r="FX958"/>
      <c r="FY958"/>
      <c r="FZ958"/>
      <c r="GA958"/>
      <c r="GB958"/>
      <c r="GC958"/>
      <c r="GD958"/>
    </row>
    <row r="959" spans="1:186" x14ac:dyDescent="0.15">
      <c r="A959"/>
      <c r="B959"/>
      <c r="C959"/>
      <c r="D959"/>
      <c r="E959"/>
      <c r="F959"/>
      <c r="G959"/>
      <c r="H959"/>
      <c r="I959"/>
      <c r="J959"/>
      <c r="FK959"/>
      <c r="FL959"/>
      <c r="FM959"/>
      <c r="FN959"/>
      <c r="FO959"/>
      <c r="FP959"/>
      <c r="FQ959"/>
      <c r="FR959"/>
      <c r="FS959"/>
      <c r="FT959"/>
      <c r="FU959"/>
      <c r="FV959"/>
      <c r="FW959"/>
      <c r="FX959"/>
      <c r="FY959"/>
      <c r="FZ959"/>
      <c r="GA959"/>
      <c r="GB959"/>
      <c r="GC959"/>
      <c r="GD959"/>
    </row>
    <row r="960" spans="1:186" x14ac:dyDescent="0.15">
      <c r="A960"/>
      <c r="B960"/>
      <c r="C960"/>
      <c r="D960"/>
      <c r="E960"/>
      <c r="F960"/>
      <c r="G960"/>
      <c r="H960"/>
      <c r="I960"/>
      <c r="J960"/>
      <c r="FK960"/>
      <c r="FL960"/>
      <c r="FM960"/>
      <c r="FN960"/>
      <c r="FO960"/>
      <c r="FP960"/>
      <c r="FQ960"/>
      <c r="FR960"/>
      <c r="FS960"/>
      <c r="FT960"/>
      <c r="FU960"/>
      <c r="FV960"/>
      <c r="FW960"/>
      <c r="FX960"/>
      <c r="FY960"/>
      <c r="FZ960"/>
      <c r="GA960"/>
      <c r="GB960"/>
      <c r="GC960"/>
      <c r="GD960"/>
    </row>
    <row r="961" spans="1:186" x14ac:dyDescent="0.15">
      <c r="A961"/>
      <c r="B961"/>
      <c r="C961"/>
      <c r="D961"/>
      <c r="E961"/>
      <c r="F961"/>
      <c r="G961"/>
      <c r="H961"/>
      <c r="I961"/>
      <c r="J961"/>
      <c r="FK961"/>
      <c r="FL961"/>
      <c r="FM961"/>
      <c r="FN961"/>
      <c r="FO961"/>
      <c r="FP961"/>
      <c r="FQ961"/>
      <c r="FR961"/>
      <c r="FS961"/>
      <c r="FT961"/>
      <c r="FU961"/>
      <c r="FV961"/>
      <c r="FW961"/>
      <c r="FX961"/>
      <c r="FY961"/>
      <c r="FZ961"/>
      <c r="GA961"/>
      <c r="GB961"/>
      <c r="GC961"/>
      <c r="GD961"/>
    </row>
    <row r="962" spans="1:186" x14ac:dyDescent="0.15">
      <c r="A962"/>
      <c r="B962"/>
      <c r="C962"/>
      <c r="D962"/>
      <c r="E962"/>
      <c r="F962"/>
      <c r="G962"/>
      <c r="H962"/>
      <c r="I962"/>
      <c r="J962"/>
      <c r="FK962"/>
      <c r="FL962"/>
      <c r="FM962"/>
      <c r="FN962"/>
      <c r="FO962"/>
      <c r="FP962"/>
      <c r="FQ962"/>
      <c r="FR962"/>
      <c r="FS962"/>
      <c r="FT962"/>
      <c r="FU962"/>
      <c r="FV962"/>
      <c r="FW962"/>
      <c r="FX962"/>
      <c r="FY962"/>
      <c r="FZ962"/>
      <c r="GA962"/>
      <c r="GB962"/>
      <c r="GC962"/>
      <c r="GD962"/>
    </row>
    <row r="963" spans="1:186" x14ac:dyDescent="0.15">
      <c r="A963"/>
      <c r="B963"/>
      <c r="C963"/>
      <c r="D963"/>
      <c r="E963"/>
      <c r="F963"/>
      <c r="G963"/>
      <c r="H963"/>
      <c r="I963"/>
      <c r="J963"/>
      <c r="FK963"/>
      <c r="FL963"/>
      <c r="FM963"/>
      <c r="FN963"/>
      <c r="FO963"/>
      <c r="FP963"/>
      <c r="FQ963"/>
      <c r="FR963"/>
      <c r="FS963"/>
      <c r="FT963"/>
      <c r="FU963"/>
      <c r="FV963"/>
      <c r="FW963"/>
      <c r="FX963"/>
      <c r="FY963"/>
      <c r="FZ963"/>
      <c r="GA963"/>
      <c r="GB963"/>
      <c r="GC963"/>
      <c r="GD963"/>
    </row>
    <row r="964" spans="1:186" x14ac:dyDescent="0.15">
      <c r="A964"/>
      <c r="B964"/>
      <c r="C964"/>
      <c r="D964"/>
      <c r="E964"/>
      <c r="F964"/>
      <c r="G964"/>
      <c r="H964"/>
      <c r="I964"/>
      <c r="J964"/>
      <c r="FK964"/>
      <c r="FL964"/>
      <c r="FM964"/>
      <c r="FN964"/>
      <c r="FO964"/>
      <c r="FP964"/>
      <c r="FQ964"/>
      <c r="FR964"/>
      <c r="FS964"/>
      <c r="FT964"/>
      <c r="FU964"/>
      <c r="FV964"/>
      <c r="FW964"/>
      <c r="FX964"/>
      <c r="FY964"/>
      <c r="FZ964"/>
      <c r="GA964"/>
      <c r="GB964"/>
      <c r="GC964"/>
      <c r="GD964"/>
    </row>
    <row r="965" spans="1:186" x14ac:dyDescent="0.15">
      <c r="A965"/>
      <c r="B965"/>
      <c r="C965"/>
      <c r="D965"/>
      <c r="E965"/>
      <c r="F965"/>
      <c r="G965"/>
      <c r="H965"/>
      <c r="I965"/>
      <c r="J965"/>
      <c r="FK965"/>
      <c r="FL965"/>
      <c r="FM965"/>
      <c r="FN965"/>
      <c r="FO965"/>
      <c r="FP965"/>
      <c r="FQ965"/>
      <c r="FR965"/>
      <c r="FS965"/>
      <c r="FT965"/>
      <c r="FU965"/>
      <c r="FV965"/>
      <c r="FW965"/>
      <c r="FX965"/>
      <c r="FY965"/>
      <c r="FZ965"/>
      <c r="GA965"/>
      <c r="GB965"/>
      <c r="GC965"/>
      <c r="GD965"/>
    </row>
    <row r="966" spans="1:186" x14ac:dyDescent="0.15">
      <c r="A966"/>
      <c r="B966"/>
      <c r="C966"/>
      <c r="D966"/>
      <c r="E966"/>
      <c r="F966"/>
      <c r="G966"/>
      <c r="H966"/>
      <c r="I966"/>
      <c r="J966"/>
      <c r="FK966"/>
      <c r="FL966"/>
      <c r="FM966"/>
      <c r="FN966"/>
      <c r="FO966"/>
      <c r="FP966"/>
      <c r="FQ966"/>
      <c r="FR966"/>
      <c r="FS966"/>
      <c r="FT966"/>
      <c r="FU966"/>
      <c r="FV966"/>
      <c r="FW966"/>
      <c r="FX966"/>
      <c r="FY966"/>
      <c r="FZ966"/>
      <c r="GA966"/>
      <c r="GB966"/>
      <c r="GC966"/>
      <c r="GD966"/>
    </row>
    <row r="967" spans="1:186" x14ac:dyDescent="0.15">
      <c r="A967"/>
      <c r="B967"/>
      <c r="C967"/>
      <c r="D967"/>
      <c r="E967"/>
      <c r="F967"/>
      <c r="G967"/>
      <c r="H967"/>
      <c r="I967"/>
      <c r="J967"/>
      <c r="FK967"/>
      <c r="FL967"/>
      <c r="FM967"/>
      <c r="FN967"/>
      <c r="FO967"/>
      <c r="FP967"/>
      <c r="FQ967"/>
      <c r="FR967"/>
      <c r="FS967"/>
      <c r="FT967"/>
      <c r="FU967"/>
      <c r="FV967"/>
      <c r="FW967"/>
      <c r="FX967"/>
      <c r="FY967"/>
      <c r="FZ967"/>
      <c r="GA967"/>
      <c r="GB967"/>
      <c r="GC967"/>
      <c r="GD967"/>
    </row>
    <row r="968" spans="1:186" x14ac:dyDescent="0.15">
      <c r="A968"/>
      <c r="B968"/>
      <c r="C968"/>
      <c r="D968"/>
      <c r="E968"/>
      <c r="F968"/>
      <c r="G968"/>
      <c r="H968"/>
      <c r="I968"/>
      <c r="J968"/>
      <c r="FK968"/>
      <c r="FL968"/>
      <c r="FM968"/>
      <c r="FN968"/>
      <c r="FO968"/>
      <c r="FP968"/>
      <c r="FQ968"/>
      <c r="FR968"/>
      <c r="FS968"/>
      <c r="FT968"/>
      <c r="FU968"/>
      <c r="FV968"/>
      <c r="FW968"/>
      <c r="FX968"/>
      <c r="FY968"/>
      <c r="FZ968"/>
      <c r="GA968"/>
      <c r="GB968"/>
      <c r="GC968"/>
      <c r="GD968"/>
    </row>
    <row r="969" spans="1:186" x14ac:dyDescent="0.15">
      <c r="A969"/>
      <c r="B969"/>
      <c r="C969"/>
      <c r="D969"/>
      <c r="E969"/>
      <c r="F969"/>
      <c r="G969"/>
      <c r="H969"/>
      <c r="I969"/>
      <c r="J969"/>
      <c r="FK969"/>
      <c r="FL969"/>
      <c r="FM969"/>
      <c r="FN969"/>
      <c r="FO969"/>
      <c r="FP969"/>
      <c r="FQ969"/>
      <c r="FR969"/>
      <c r="FS969"/>
      <c r="FT969"/>
      <c r="FU969"/>
      <c r="FV969"/>
      <c r="FW969"/>
      <c r="FX969"/>
      <c r="FY969"/>
      <c r="FZ969"/>
      <c r="GA969"/>
      <c r="GB969"/>
      <c r="GC969"/>
      <c r="GD969"/>
    </row>
    <row r="970" spans="1:186" x14ac:dyDescent="0.15">
      <c r="A970"/>
      <c r="B970"/>
      <c r="C970"/>
      <c r="D970"/>
      <c r="E970"/>
      <c r="F970"/>
      <c r="G970"/>
      <c r="H970"/>
      <c r="I970"/>
      <c r="J970"/>
      <c r="FK970"/>
      <c r="FL970"/>
      <c r="FM970"/>
      <c r="FN970"/>
      <c r="FO970"/>
      <c r="FP970"/>
      <c r="FQ970"/>
      <c r="FR970"/>
      <c r="FS970"/>
      <c r="FT970"/>
      <c r="FU970"/>
      <c r="FV970"/>
      <c r="FW970"/>
      <c r="FX970"/>
      <c r="FY970"/>
      <c r="FZ970"/>
      <c r="GA970"/>
      <c r="GB970"/>
      <c r="GC970"/>
      <c r="GD970"/>
    </row>
    <row r="971" spans="1:186" x14ac:dyDescent="0.15">
      <c r="A971"/>
      <c r="B971"/>
      <c r="C971"/>
      <c r="D971"/>
      <c r="E971"/>
      <c r="F971"/>
      <c r="G971"/>
      <c r="H971"/>
      <c r="I971"/>
      <c r="J971"/>
      <c r="FK971"/>
      <c r="FL971"/>
      <c r="FM971"/>
      <c r="FN971"/>
      <c r="FO971"/>
      <c r="FP971"/>
      <c r="FQ971"/>
      <c r="FR971"/>
      <c r="FS971"/>
      <c r="FT971"/>
      <c r="FU971"/>
      <c r="FV971"/>
      <c r="FW971"/>
      <c r="FX971"/>
      <c r="FY971"/>
      <c r="FZ971"/>
      <c r="GA971"/>
      <c r="GB971"/>
      <c r="GC971"/>
      <c r="GD971"/>
    </row>
    <row r="972" spans="1:186" x14ac:dyDescent="0.15">
      <c r="A972"/>
      <c r="B972"/>
      <c r="C972"/>
      <c r="D972"/>
      <c r="E972"/>
      <c r="F972"/>
      <c r="G972"/>
      <c r="H972"/>
      <c r="I972"/>
      <c r="J972"/>
      <c r="FK972"/>
      <c r="FL972"/>
      <c r="FM972"/>
      <c r="FN972"/>
      <c r="FO972"/>
      <c r="FP972"/>
      <c r="FQ972"/>
      <c r="FR972"/>
      <c r="FS972"/>
      <c r="FT972"/>
      <c r="FU972"/>
      <c r="FV972"/>
      <c r="FW972"/>
      <c r="FX972"/>
      <c r="FY972"/>
      <c r="FZ972"/>
      <c r="GA972"/>
      <c r="GB972"/>
      <c r="GC972"/>
      <c r="GD972"/>
    </row>
    <row r="973" spans="1:186" x14ac:dyDescent="0.15">
      <c r="A973"/>
      <c r="B973"/>
      <c r="C973"/>
      <c r="D973"/>
      <c r="E973"/>
      <c r="F973"/>
      <c r="G973"/>
      <c r="H973"/>
      <c r="I973"/>
      <c r="J973"/>
      <c r="FK973"/>
      <c r="FL973"/>
      <c r="FM973"/>
      <c r="FN973"/>
      <c r="FO973"/>
      <c r="FP973"/>
      <c r="FQ973"/>
      <c r="FR973"/>
      <c r="FS973"/>
      <c r="FT973"/>
      <c r="FU973"/>
      <c r="FV973"/>
      <c r="FW973"/>
      <c r="FX973"/>
      <c r="FY973"/>
      <c r="FZ973"/>
      <c r="GA973"/>
      <c r="GB973"/>
      <c r="GC973"/>
      <c r="GD973"/>
    </row>
    <row r="974" spans="1:186" x14ac:dyDescent="0.15">
      <c r="A974"/>
      <c r="B974"/>
      <c r="C974"/>
      <c r="D974"/>
      <c r="E974"/>
      <c r="F974"/>
      <c r="G974"/>
      <c r="H974"/>
      <c r="I974"/>
      <c r="J974"/>
      <c r="FK974"/>
      <c r="FL974"/>
      <c r="FM974"/>
      <c r="FN974"/>
      <c r="FO974"/>
      <c r="FP974"/>
      <c r="FQ974"/>
      <c r="FR974"/>
      <c r="FS974"/>
      <c r="FT974"/>
      <c r="FU974"/>
      <c r="FV974"/>
      <c r="FW974"/>
      <c r="FX974"/>
      <c r="FY974"/>
      <c r="FZ974"/>
      <c r="GA974"/>
      <c r="GB974"/>
      <c r="GC974"/>
      <c r="GD974"/>
    </row>
    <row r="975" spans="1:186" x14ac:dyDescent="0.15">
      <c r="A975"/>
      <c r="B975"/>
      <c r="C975"/>
      <c r="D975"/>
      <c r="E975"/>
      <c r="F975"/>
      <c r="G975"/>
      <c r="H975"/>
      <c r="I975"/>
      <c r="J975"/>
      <c r="FK975"/>
      <c r="FL975"/>
      <c r="FM975"/>
      <c r="FN975"/>
      <c r="FO975"/>
      <c r="FP975"/>
      <c r="FQ975"/>
      <c r="FR975"/>
      <c r="FS975"/>
      <c r="FT975"/>
      <c r="FU975"/>
      <c r="FV975"/>
      <c r="FW975"/>
      <c r="FX975"/>
      <c r="FY975"/>
      <c r="FZ975"/>
      <c r="GA975"/>
      <c r="GB975"/>
      <c r="GC975"/>
      <c r="GD975"/>
    </row>
    <row r="976" spans="1:186" x14ac:dyDescent="0.15">
      <c r="A976"/>
      <c r="B976"/>
      <c r="C976"/>
      <c r="D976"/>
      <c r="E976"/>
      <c r="F976"/>
      <c r="G976"/>
      <c r="H976"/>
      <c r="I976"/>
      <c r="J976"/>
      <c r="FK976"/>
      <c r="FL976"/>
      <c r="FM976"/>
      <c r="FN976"/>
      <c r="FO976"/>
      <c r="FP976"/>
      <c r="FQ976"/>
      <c r="FR976"/>
      <c r="FS976"/>
      <c r="FT976"/>
      <c r="FU976"/>
      <c r="FV976"/>
      <c r="FW976"/>
      <c r="FX976"/>
      <c r="FY976"/>
      <c r="FZ976"/>
      <c r="GA976"/>
      <c r="GB976"/>
      <c r="GC976"/>
    </row>
    <row r="977" spans="1:185" x14ac:dyDescent="0.15">
      <c r="A977"/>
      <c r="B977"/>
      <c r="C977"/>
      <c r="D977"/>
      <c r="E977"/>
      <c r="F977"/>
      <c r="G977"/>
      <c r="H977"/>
      <c r="I977"/>
      <c r="J977"/>
      <c r="FK977"/>
      <c r="FL977"/>
      <c r="FM977"/>
      <c r="FN977"/>
      <c r="FO977"/>
      <c r="FP977"/>
      <c r="FQ977"/>
      <c r="FR977"/>
      <c r="FS977"/>
      <c r="FT977"/>
      <c r="FU977"/>
      <c r="FV977"/>
      <c r="FW977"/>
      <c r="FX977"/>
      <c r="FY977"/>
      <c r="FZ977"/>
      <c r="GA977"/>
      <c r="GB977"/>
      <c r="GC977"/>
    </row>
    <row r="978" spans="1:185" x14ac:dyDescent="0.15">
      <c r="A978"/>
      <c r="B978"/>
      <c r="C978"/>
      <c r="D978"/>
      <c r="E978"/>
      <c r="F978"/>
      <c r="G978"/>
      <c r="H978"/>
      <c r="I978"/>
      <c r="J978"/>
      <c r="FK978"/>
      <c r="FL978"/>
      <c r="FM978"/>
      <c r="FN978"/>
      <c r="FO978"/>
      <c r="FP978"/>
      <c r="FQ978"/>
      <c r="FR978"/>
      <c r="FS978"/>
      <c r="FT978"/>
      <c r="FU978"/>
      <c r="FV978"/>
      <c r="FW978"/>
      <c r="FX978"/>
      <c r="FY978"/>
      <c r="FZ978"/>
      <c r="GA978"/>
      <c r="GB978"/>
      <c r="GC978"/>
    </row>
    <row r="979" spans="1:185" x14ac:dyDescent="0.15">
      <c r="A979"/>
      <c r="B979"/>
      <c r="C979"/>
      <c r="D979"/>
      <c r="E979"/>
      <c r="F979"/>
      <c r="G979"/>
      <c r="H979"/>
      <c r="I979"/>
      <c r="J979"/>
      <c r="FK979"/>
      <c r="FL979"/>
      <c r="FM979"/>
      <c r="FN979"/>
      <c r="FO979"/>
      <c r="FP979"/>
      <c r="FQ979"/>
      <c r="FR979"/>
      <c r="FS979"/>
      <c r="FT979"/>
      <c r="FU979"/>
      <c r="FV979"/>
      <c r="FW979"/>
      <c r="FX979"/>
      <c r="FY979"/>
      <c r="FZ979"/>
      <c r="GA979"/>
      <c r="GB979"/>
      <c r="GC979"/>
    </row>
    <row r="980" spans="1:185" x14ac:dyDescent="0.15">
      <c r="A980"/>
      <c r="B980"/>
      <c r="C980"/>
      <c r="D980"/>
      <c r="E980"/>
      <c r="F980"/>
      <c r="G980"/>
      <c r="H980"/>
      <c r="I980"/>
      <c r="J980"/>
      <c r="FK980"/>
      <c r="FL980"/>
      <c r="FM980"/>
      <c r="FN980"/>
      <c r="FO980"/>
      <c r="FP980"/>
      <c r="FQ980"/>
      <c r="FR980"/>
      <c r="FS980"/>
      <c r="FT980"/>
      <c r="FU980"/>
      <c r="FV980"/>
      <c r="FW980"/>
      <c r="FX980"/>
      <c r="FY980"/>
      <c r="FZ980"/>
      <c r="GA980"/>
      <c r="GB980"/>
      <c r="GC980"/>
    </row>
    <row r="981" spans="1:185" x14ac:dyDescent="0.15">
      <c r="A981"/>
      <c r="B981"/>
      <c r="C981"/>
      <c r="D981"/>
      <c r="E981"/>
      <c r="F981"/>
      <c r="G981"/>
      <c r="H981"/>
      <c r="I981"/>
      <c r="J981"/>
      <c r="FK981"/>
      <c r="FL981"/>
      <c r="FM981"/>
      <c r="FN981"/>
      <c r="FO981"/>
      <c r="FP981"/>
      <c r="FQ981"/>
      <c r="FR981"/>
      <c r="FS981"/>
      <c r="FT981"/>
      <c r="FU981"/>
      <c r="FV981"/>
      <c r="FW981"/>
      <c r="FX981"/>
      <c r="FY981"/>
      <c r="FZ981"/>
      <c r="GA981"/>
      <c r="GB981"/>
      <c r="GC981"/>
    </row>
    <row r="982" spans="1:185" x14ac:dyDescent="0.15">
      <c r="A982"/>
      <c r="B982"/>
      <c r="C982"/>
      <c r="D982"/>
      <c r="E982"/>
      <c r="F982"/>
      <c r="G982"/>
      <c r="H982"/>
      <c r="I982"/>
      <c r="J982"/>
      <c r="FK982"/>
      <c r="FL982"/>
      <c r="FM982"/>
      <c r="FN982"/>
      <c r="FO982"/>
      <c r="FP982"/>
      <c r="FQ982"/>
      <c r="FR982"/>
      <c r="FS982"/>
      <c r="FT982"/>
      <c r="FU982"/>
      <c r="FV982"/>
      <c r="FW982"/>
      <c r="FX982"/>
      <c r="FY982"/>
      <c r="FZ982"/>
      <c r="GA982"/>
      <c r="GB982"/>
      <c r="GC982"/>
    </row>
    <row r="983" spans="1:185" x14ac:dyDescent="0.15">
      <c r="A983"/>
      <c r="B983"/>
      <c r="C983"/>
      <c r="D983"/>
      <c r="E983"/>
      <c r="F983"/>
      <c r="G983"/>
      <c r="H983"/>
      <c r="I983"/>
      <c r="J983"/>
      <c r="FK983"/>
      <c r="FL983"/>
      <c r="FM983"/>
      <c r="FN983"/>
      <c r="FO983"/>
      <c r="FP983"/>
      <c r="FQ983"/>
      <c r="FR983"/>
      <c r="FS983"/>
      <c r="FT983"/>
      <c r="FU983"/>
      <c r="FV983"/>
      <c r="FW983"/>
      <c r="FX983"/>
      <c r="FY983"/>
      <c r="FZ983"/>
      <c r="GA983"/>
      <c r="GB983"/>
      <c r="GC983"/>
    </row>
    <row r="984" spans="1:185" x14ac:dyDescent="0.15">
      <c r="A984"/>
      <c r="B984"/>
      <c r="C984"/>
      <c r="D984"/>
      <c r="E984"/>
      <c r="F984"/>
      <c r="G984"/>
      <c r="H984"/>
      <c r="I984"/>
      <c r="J984"/>
      <c r="FK984"/>
      <c r="FL984"/>
      <c r="FM984"/>
      <c r="FN984"/>
      <c r="FO984"/>
      <c r="FP984"/>
      <c r="FQ984"/>
      <c r="FR984"/>
      <c r="FS984"/>
      <c r="FT984"/>
      <c r="FU984"/>
      <c r="FV984"/>
      <c r="FW984"/>
      <c r="FX984"/>
      <c r="FY984"/>
      <c r="FZ984"/>
      <c r="GA984"/>
      <c r="GB984"/>
      <c r="GC984"/>
    </row>
    <row r="985" spans="1:185" x14ac:dyDescent="0.15">
      <c r="A985"/>
      <c r="B985"/>
      <c r="C985"/>
      <c r="D985"/>
      <c r="E985"/>
      <c r="F985"/>
      <c r="G985"/>
      <c r="H985"/>
      <c r="I985"/>
      <c r="J985"/>
      <c r="FK985"/>
      <c r="FL985"/>
      <c r="FM985"/>
      <c r="FN985"/>
      <c r="FO985"/>
      <c r="FP985"/>
      <c r="FQ985"/>
      <c r="FR985"/>
      <c r="FS985"/>
      <c r="FT985"/>
      <c r="FU985"/>
      <c r="FV985"/>
      <c r="FW985"/>
      <c r="FX985"/>
      <c r="FY985"/>
      <c r="FZ985"/>
      <c r="GA985"/>
      <c r="GB985"/>
      <c r="GC985"/>
    </row>
    <row r="986" spans="1:185" x14ac:dyDescent="0.15">
      <c r="A986"/>
      <c r="B986"/>
      <c r="C986"/>
      <c r="D986"/>
      <c r="E986"/>
      <c r="F986"/>
      <c r="G986"/>
      <c r="H986"/>
      <c r="I986"/>
      <c r="J986"/>
      <c r="FK986"/>
      <c r="FL986"/>
      <c r="FM986"/>
      <c r="FN986"/>
      <c r="FO986"/>
      <c r="FP986"/>
      <c r="FQ986"/>
      <c r="FR986"/>
      <c r="FS986"/>
      <c r="FT986"/>
      <c r="FU986"/>
      <c r="FV986"/>
      <c r="FW986"/>
      <c r="FX986"/>
      <c r="FY986"/>
      <c r="FZ986"/>
      <c r="GA986"/>
      <c r="GB986"/>
      <c r="GC986"/>
    </row>
    <row r="987" spans="1:185" x14ac:dyDescent="0.15">
      <c r="A987"/>
      <c r="B987"/>
      <c r="C987"/>
      <c r="D987"/>
      <c r="E987"/>
      <c r="F987"/>
      <c r="G987"/>
      <c r="H987"/>
      <c r="I987"/>
      <c r="J987"/>
      <c r="FK987"/>
      <c r="FL987"/>
      <c r="FM987"/>
      <c r="FN987"/>
      <c r="FO987"/>
      <c r="FP987"/>
      <c r="FQ987"/>
      <c r="FR987"/>
      <c r="FS987"/>
      <c r="FT987"/>
      <c r="FU987"/>
      <c r="FV987"/>
      <c r="FW987"/>
      <c r="FX987"/>
      <c r="FY987"/>
      <c r="FZ987"/>
      <c r="GA987"/>
      <c r="GB987"/>
      <c r="GC987"/>
    </row>
    <row r="988" spans="1:185" x14ac:dyDescent="0.15">
      <c r="A988"/>
      <c r="B988"/>
      <c r="C988"/>
      <c r="D988"/>
      <c r="E988"/>
      <c r="F988"/>
      <c r="G988"/>
      <c r="H988"/>
      <c r="I988"/>
      <c r="J988"/>
      <c r="FK988"/>
      <c r="FL988"/>
      <c r="FM988"/>
      <c r="FN988"/>
      <c r="FO988"/>
      <c r="FP988"/>
      <c r="FQ988"/>
      <c r="FR988"/>
      <c r="FS988"/>
      <c r="FT988"/>
      <c r="FU988"/>
      <c r="FV988"/>
      <c r="FW988"/>
      <c r="FX988"/>
      <c r="FY988"/>
      <c r="FZ988"/>
      <c r="GA988"/>
      <c r="GB988"/>
      <c r="GC988"/>
    </row>
    <row r="989" spans="1:185" x14ac:dyDescent="0.15">
      <c r="A989"/>
      <c r="B989"/>
      <c r="C989"/>
      <c r="D989"/>
      <c r="E989"/>
      <c r="F989"/>
      <c r="G989"/>
      <c r="H989"/>
      <c r="I989"/>
      <c r="J989"/>
      <c r="FK989"/>
      <c r="FL989"/>
      <c r="FM989"/>
      <c r="FN989"/>
      <c r="FO989"/>
      <c r="FP989"/>
      <c r="FQ989"/>
      <c r="FR989"/>
      <c r="FS989"/>
      <c r="FT989"/>
      <c r="FU989"/>
      <c r="FV989"/>
      <c r="FW989"/>
      <c r="FX989"/>
      <c r="FY989"/>
      <c r="FZ989"/>
      <c r="GA989"/>
      <c r="GB989"/>
      <c r="GC989"/>
    </row>
    <row r="990" spans="1:185" x14ac:dyDescent="0.15">
      <c r="A990"/>
      <c r="B990"/>
      <c r="C990"/>
      <c r="D990"/>
      <c r="E990"/>
      <c r="F990"/>
      <c r="G990"/>
      <c r="H990"/>
      <c r="I990"/>
      <c r="J990"/>
      <c r="FK990"/>
      <c r="FL990"/>
      <c r="FM990"/>
      <c r="FN990"/>
      <c r="FO990"/>
      <c r="FP990"/>
      <c r="FQ990"/>
      <c r="FR990"/>
      <c r="FS990"/>
      <c r="FT990"/>
      <c r="FU990"/>
      <c r="FV990"/>
      <c r="FW990"/>
      <c r="FX990"/>
      <c r="FY990"/>
      <c r="FZ990"/>
      <c r="GA990"/>
      <c r="GB990"/>
      <c r="GC990"/>
    </row>
    <row r="991" spans="1:185" x14ac:dyDescent="0.15">
      <c r="A991"/>
      <c r="B991"/>
      <c r="C991"/>
      <c r="D991"/>
      <c r="E991"/>
      <c r="F991"/>
      <c r="G991"/>
      <c r="H991"/>
      <c r="I991"/>
      <c r="J991"/>
      <c r="FK991"/>
      <c r="FL991"/>
      <c r="FM991"/>
      <c r="FN991"/>
      <c r="FO991"/>
      <c r="FP991"/>
      <c r="FQ991"/>
      <c r="FR991"/>
      <c r="FS991"/>
      <c r="FT991"/>
      <c r="FU991"/>
      <c r="FV991"/>
      <c r="FW991"/>
      <c r="FX991"/>
      <c r="FY991"/>
      <c r="FZ991"/>
      <c r="GA991"/>
      <c r="GB991"/>
      <c r="GC991"/>
    </row>
    <row r="992" spans="1:185" x14ac:dyDescent="0.15">
      <c r="A992"/>
      <c r="B992"/>
      <c r="C992"/>
      <c r="D992"/>
      <c r="E992"/>
      <c r="F992"/>
      <c r="G992"/>
      <c r="H992"/>
      <c r="I992"/>
      <c r="J992"/>
      <c r="FK992"/>
      <c r="FL992"/>
      <c r="FM992"/>
      <c r="FN992"/>
      <c r="FO992"/>
      <c r="FP992"/>
      <c r="FQ992"/>
      <c r="FR992"/>
      <c r="FS992"/>
      <c r="FT992"/>
      <c r="FU992"/>
      <c r="FV992"/>
      <c r="FW992"/>
      <c r="FX992"/>
      <c r="FY992"/>
      <c r="FZ992"/>
      <c r="GA992"/>
      <c r="GB992"/>
      <c r="GC992"/>
    </row>
    <row r="993" spans="1:185" x14ac:dyDescent="0.15">
      <c r="A993"/>
      <c r="B993"/>
      <c r="C993"/>
      <c r="D993"/>
      <c r="E993"/>
      <c r="F993"/>
      <c r="G993"/>
      <c r="H993"/>
      <c r="I993"/>
      <c r="J993"/>
      <c r="FK993"/>
      <c r="FL993"/>
      <c r="FM993"/>
      <c r="FN993"/>
      <c r="FO993"/>
      <c r="FP993"/>
      <c r="FQ993"/>
      <c r="FR993"/>
      <c r="FS993"/>
      <c r="FT993"/>
      <c r="FU993"/>
      <c r="FV993"/>
      <c r="FW993"/>
      <c r="FX993"/>
      <c r="FY993"/>
      <c r="FZ993"/>
      <c r="GA993"/>
      <c r="GB993"/>
      <c r="GC993"/>
    </row>
    <row r="994" spans="1:185" x14ac:dyDescent="0.15">
      <c r="A994"/>
      <c r="B994"/>
      <c r="C994"/>
      <c r="D994"/>
      <c r="E994"/>
      <c r="F994"/>
      <c r="G994"/>
      <c r="H994"/>
      <c r="I994"/>
      <c r="J994"/>
      <c r="FK994"/>
      <c r="FL994"/>
      <c r="FM994"/>
      <c r="FN994"/>
      <c r="FO994"/>
      <c r="FP994"/>
      <c r="FQ994"/>
      <c r="FR994"/>
      <c r="FS994"/>
      <c r="FT994"/>
      <c r="FU994"/>
      <c r="FV994"/>
      <c r="FW994"/>
      <c r="FX994"/>
      <c r="FY994"/>
      <c r="FZ994"/>
      <c r="GA994"/>
      <c r="GB994"/>
      <c r="GC994"/>
    </row>
    <row r="995" spans="1:185" x14ac:dyDescent="0.15">
      <c r="A995"/>
      <c r="B995"/>
      <c r="C995"/>
      <c r="D995"/>
      <c r="E995"/>
      <c r="F995"/>
      <c r="G995"/>
      <c r="H995"/>
      <c r="I995"/>
      <c r="J995"/>
      <c r="FK995"/>
      <c r="FL995"/>
      <c r="FM995"/>
      <c r="FN995"/>
      <c r="FO995"/>
      <c r="FP995"/>
      <c r="FQ995"/>
      <c r="FR995"/>
      <c r="FS995"/>
      <c r="FT995"/>
      <c r="FU995"/>
      <c r="FV995"/>
      <c r="FW995"/>
      <c r="FX995"/>
      <c r="FY995"/>
      <c r="FZ995"/>
      <c r="GA995"/>
      <c r="GB995"/>
      <c r="GC995"/>
    </row>
    <row r="996" spans="1:185" x14ac:dyDescent="0.15">
      <c r="A996"/>
      <c r="B996"/>
      <c r="C996"/>
      <c r="D996"/>
      <c r="E996"/>
      <c r="F996"/>
      <c r="G996"/>
      <c r="H996"/>
      <c r="I996"/>
      <c r="J996"/>
      <c r="FK996"/>
      <c r="FL996"/>
      <c r="FM996"/>
      <c r="FN996"/>
      <c r="FO996"/>
      <c r="FP996"/>
      <c r="FQ996"/>
      <c r="FR996"/>
      <c r="FS996"/>
      <c r="FT996"/>
      <c r="FU996"/>
      <c r="FV996"/>
      <c r="FW996"/>
      <c r="FX996"/>
      <c r="FY996"/>
      <c r="FZ996"/>
      <c r="GA996"/>
      <c r="GB996"/>
      <c r="GC996"/>
    </row>
    <row r="997" spans="1:185" x14ac:dyDescent="0.15">
      <c r="A997"/>
      <c r="B997"/>
      <c r="C997"/>
      <c r="D997"/>
      <c r="E997"/>
      <c r="F997"/>
      <c r="G997"/>
      <c r="H997"/>
      <c r="I997"/>
      <c r="J997"/>
      <c r="FK997"/>
      <c r="FL997"/>
      <c r="FM997"/>
      <c r="FN997"/>
      <c r="FO997"/>
      <c r="FP997"/>
      <c r="FQ997"/>
      <c r="FR997"/>
      <c r="FS997"/>
      <c r="FT997"/>
      <c r="FU997"/>
      <c r="FV997"/>
      <c r="FW997"/>
      <c r="FX997"/>
      <c r="FY997"/>
      <c r="FZ997"/>
      <c r="GA997"/>
      <c r="GB997"/>
      <c r="GC997"/>
    </row>
    <row r="998" spans="1:185" x14ac:dyDescent="0.15">
      <c r="A998"/>
      <c r="B998"/>
      <c r="C998"/>
      <c r="D998"/>
      <c r="E998"/>
      <c r="F998"/>
      <c r="G998"/>
      <c r="H998"/>
      <c r="I998"/>
      <c r="J998"/>
      <c r="FK998"/>
      <c r="FL998"/>
      <c r="FM998"/>
      <c r="FN998"/>
      <c r="FO998"/>
      <c r="FP998"/>
      <c r="FQ998"/>
      <c r="FR998"/>
      <c r="FS998"/>
      <c r="FT998"/>
      <c r="FU998"/>
      <c r="FV998"/>
      <c r="FW998"/>
      <c r="FX998"/>
      <c r="FY998"/>
      <c r="FZ998"/>
      <c r="GA998"/>
      <c r="GB998"/>
      <c r="GC998"/>
    </row>
    <row r="999" spans="1:185" x14ac:dyDescent="0.15">
      <c r="A999"/>
      <c r="B999"/>
      <c r="C999"/>
      <c r="D999"/>
      <c r="E999"/>
      <c r="F999"/>
      <c r="G999"/>
      <c r="H999"/>
      <c r="I999"/>
      <c r="J999"/>
      <c r="FK999"/>
      <c r="FL999"/>
      <c r="FM999"/>
      <c r="FN999"/>
      <c r="FO999"/>
      <c r="FP999"/>
      <c r="FQ999"/>
      <c r="FR999"/>
      <c r="FS999"/>
      <c r="FT999"/>
      <c r="FU999"/>
      <c r="FV999"/>
      <c r="FW999"/>
      <c r="FX999"/>
      <c r="FY999"/>
      <c r="FZ999"/>
      <c r="GA999"/>
      <c r="GB999"/>
      <c r="GC999"/>
    </row>
    <row r="1000" spans="1:185" x14ac:dyDescent="0.15">
      <c r="A1000"/>
      <c r="B1000"/>
      <c r="C1000"/>
      <c r="D1000"/>
      <c r="E1000"/>
      <c r="F1000"/>
      <c r="G1000"/>
      <c r="H1000"/>
      <c r="I1000"/>
      <c r="J1000"/>
      <c r="FK1000"/>
      <c r="FL1000"/>
      <c r="FM1000"/>
      <c r="FN1000"/>
      <c r="FO1000"/>
      <c r="FP1000"/>
      <c r="FQ1000"/>
      <c r="FR1000"/>
      <c r="FS1000"/>
      <c r="FT1000"/>
      <c r="FU1000"/>
      <c r="FV1000"/>
      <c r="FW1000"/>
      <c r="FX1000"/>
      <c r="FY1000"/>
      <c r="FZ1000"/>
      <c r="GA1000"/>
      <c r="GB1000"/>
      <c r="GC1000"/>
    </row>
    <row r="1001" spans="1:185" x14ac:dyDescent="0.15">
      <c r="A1001"/>
      <c r="B1001"/>
      <c r="C1001"/>
      <c r="D1001"/>
      <c r="E1001"/>
      <c r="F1001"/>
      <c r="G1001"/>
      <c r="H1001"/>
      <c r="I1001"/>
      <c r="J1001"/>
      <c r="FK1001"/>
      <c r="FL1001"/>
      <c r="FM1001"/>
      <c r="FN1001"/>
      <c r="FO1001"/>
      <c r="FP1001"/>
      <c r="FQ1001"/>
      <c r="FR1001"/>
      <c r="FS1001"/>
      <c r="FT1001"/>
      <c r="FU1001"/>
      <c r="FV1001"/>
      <c r="FW1001"/>
      <c r="FX1001"/>
      <c r="FY1001"/>
      <c r="FZ1001"/>
      <c r="GA1001"/>
      <c r="GB1001"/>
      <c r="GC1001"/>
    </row>
    <row r="1002" spans="1:185" x14ac:dyDescent="0.15">
      <c r="A1002"/>
      <c r="B1002"/>
      <c r="C1002"/>
      <c r="D1002"/>
      <c r="E1002"/>
      <c r="F1002"/>
      <c r="G1002"/>
      <c r="H1002"/>
      <c r="I1002"/>
      <c r="J1002"/>
      <c r="FK1002"/>
      <c r="FL1002"/>
      <c r="FM1002"/>
      <c r="FN1002"/>
      <c r="FO1002"/>
      <c r="FP1002"/>
      <c r="FQ1002"/>
      <c r="FR1002"/>
      <c r="FS1002"/>
      <c r="FT1002"/>
      <c r="FU1002"/>
      <c r="FV1002"/>
      <c r="FW1002"/>
      <c r="FX1002"/>
      <c r="FY1002"/>
      <c r="FZ1002"/>
      <c r="GA1002"/>
      <c r="GB1002"/>
      <c r="GC1002"/>
    </row>
    <row r="1003" spans="1:185" x14ac:dyDescent="0.15">
      <c r="A1003"/>
      <c r="B1003"/>
      <c r="C1003"/>
      <c r="D1003"/>
      <c r="E1003"/>
      <c r="F1003"/>
      <c r="G1003"/>
      <c r="H1003"/>
      <c r="I1003"/>
      <c r="J1003"/>
      <c r="FK1003"/>
      <c r="FL1003"/>
      <c r="FM1003"/>
      <c r="FN1003"/>
      <c r="FO1003"/>
      <c r="FP1003"/>
      <c r="FQ1003"/>
      <c r="FR1003"/>
      <c r="FS1003"/>
      <c r="FT1003"/>
      <c r="FU1003"/>
      <c r="FV1003"/>
      <c r="FW1003"/>
      <c r="FX1003"/>
      <c r="FY1003"/>
      <c r="FZ1003"/>
      <c r="GA1003"/>
      <c r="GB1003"/>
      <c r="GC1003"/>
    </row>
    <row r="1004" spans="1:185" x14ac:dyDescent="0.15">
      <c r="A1004"/>
      <c r="B1004"/>
      <c r="C1004"/>
      <c r="D1004"/>
      <c r="E1004"/>
      <c r="F1004"/>
      <c r="G1004"/>
      <c r="H1004"/>
      <c r="I1004"/>
      <c r="J1004"/>
      <c r="FK1004"/>
      <c r="FL1004"/>
      <c r="FM1004"/>
      <c r="FN1004"/>
      <c r="FO1004"/>
      <c r="FP1004"/>
      <c r="FQ1004"/>
      <c r="FR1004"/>
      <c r="FS1004"/>
      <c r="FT1004"/>
      <c r="FU1004"/>
      <c r="FV1004"/>
      <c r="FW1004"/>
      <c r="FX1004"/>
      <c r="FY1004"/>
      <c r="FZ1004"/>
      <c r="GA1004"/>
      <c r="GB1004"/>
      <c r="GC1004"/>
    </row>
    <row r="1005" spans="1:185" x14ac:dyDescent="0.15">
      <c r="A1005"/>
      <c r="B1005"/>
      <c r="C1005"/>
      <c r="D1005"/>
      <c r="E1005"/>
      <c r="F1005"/>
      <c r="G1005"/>
      <c r="H1005"/>
      <c r="I1005"/>
      <c r="J1005"/>
      <c r="FK1005"/>
      <c r="FL1005"/>
      <c r="FM1005"/>
      <c r="FN1005"/>
      <c r="FO1005"/>
      <c r="FP1005"/>
      <c r="FQ1005"/>
      <c r="FR1005"/>
      <c r="FS1005"/>
      <c r="FT1005"/>
      <c r="FU1005"/>
      <c r="FV1005"/>
      <c r="FW1005"/>
      <c r="FX1005"/>
      <c r="FY1005"/>
      <c r="FZ1005"/>
      <c r="GA1005"/>
      <c r="GB1005"/>
      <c r="GC1005"/>
    </row>
    <row r="1006" spans="1:185" x14ac:dyDescent="0.15">
      <c r="A1006"/>
      <c r="B1006"/>
      <c r="C1006"/>
      <c r="D1006"/>
      <c r="E1006"/>
      <c r="F1006"/>
      <c r="G1006"/>
      <c r="H1006"/>
      <c r="I1006"/>
      <c r="J1006"/>
      <c r="FK1006"/>
      <c r="FL1006"/>
      <c r="FM1006"/>
      <c r="FN1006"/>
      <c r="FO1006"/>
      <c r="FP1006"/>
      <c r="FQ1006"/>
      <c r="FR1006"/>
      <c r="FS1006"/>
      <c r="FT1006"/>
      <c r="FU1006"/>
      <c r="FV1006"/>
      <c r="FW1006"/>
      <c r="FX1006"/>
      <c r="FY1006"/>
      <c r="FZ1006"/>
      <c r="GA1006"/>
      <c r="GB1006"/>
      <c r="GC1006"/>
    </row>
    <row r="1007" spans="1:185" x14ac:dyDescent="0.15">
      <c r="A1007"/>
      <c r="B1007"/>
      <c r="C1007"/>
      <c r="D1007"/>
      <c r="E1007"/>
      <c r="F1007"/>
      <c r="G1007"/>
      <c r="H1007"/>
      <c r="I1007"/>
      <c r="J1007"/>
      <c r="FK1007"/>
      <c r="FL1007"/>
      <c r="FM1007"/>
      <c r="FN1007"/>
      <c r="FO1007"/>
      <c r="FP1007"/>
      <c r="FQ1007"/>
      <c r="FR1007"/>
      <c r="FS1007"/>
      <c r="FT1007"/>
      <c r="FU1007"/>
      <c r="FV1007"/>
      <c r="FW1007"/>
      <c r="FX1007"/>
      <c r="FY1007"/>
      <c r="FZ1007"/>
      <c r="GA1007"/>
      <c r="GB1007"/>
      <c r="GC1007"/>
    </row>
    <row r="1008" spans="1:185" x14ac:dyDescent="0.15">
      <c r="A1008"/>
      <c r="B1008"/>
      <c r="C1008"/>
      <c r="D1008"/>
      <c r="E1008"/>
      <c r="F1008"/>
      <c r="G1008"/>
      <c r="H1008"/>
      <c r="I1008"/>
      <c r="J1008"/>
      <c r="FK1008"/>
      <c r="FL1008"/>
      <c r="FM1008"/>
      <c r="FN1008"/>
      <c r="FO1008"/>
      <c r="FP1008"/>
      <c r="FQ1008"/>
      <c r="FR1008"/>
      <c r="FS1008"/>
      <c r="FT1008"/>
      <c r="FU1008"/>
      <c r="FV1008"/>
      <c r="FW1008"/>
      <c r="FX1008"/>
      <c r="FY1008"/>
      <c r="FZ1008"/>
      <c r="GA1008"/>
      <c r="GB1008"/>
      <c r="GC1008"/>
    </row>
    <row r="1009" spans="1:185" x14ac:dyDescent="0.15">
      <c r="A1009"/>
      <c r="B1009"/>
      <c r="C1009"/>
      <c r="D1009"/>
      <c r="E1009"/>
      <c r="F1009"/>
      <c r="G1009"/>
      <c r="H1009"/>
      <c r="I1009"/>
      <c r="J1009"/>
      <c r="FK1009"/>
      <c r="FL1009"/>
      <c r="FM1009"/>
      <c r="FN1009"/>
      <c r="FO1009"/>
      <c r="FP1009"/>
      <c r="FQ1009"/>
      <c r="FR1009"/>
      <c r="FS1009"/>
      <c r="FT1009"/>
      <c r="FU1009"/>
      <c r="FV1009"/>
      <c r="FW1009"/>
      <c r="FX1009"/>
      <c r="FY1009"/>
      <c r="FZ1009"/>
      <c r="GA1009"/>
      <c r="GB1009"/>
      <c r="GC1009"/>
    </row>
    <row r="1010" spans="1:185" x14ac:dyDescent="0.15">
      <c r="A1010"/>
      <c r="B1010"/>
      <c r="C1010"/>
      <c r="D1010"/>
      <c r="E1010"/>
      <c r="F1010"/>
      <c r="G1010"/>
      <c r="H1010"/>
      <c r="I1010"/>
      <c r="J1010"/>
      <c r="FK1010"/>
      <c r="FL1010"/>
      <c r="FM1010"/>
      <c r="FN1010"/>
      <c r="FO1010"/>
      <c r="FP1010"/>
      <c r="FQ1010"/>
      <c r="FR1010"/>
      <c r="FS1010"/>
      <c r="FT1010"/>
      <c r="FU1010"/>
      <c r="FV1010"/>
      <c r="FW1010"/>
      <c r="FX1010"/>
      <c r="FY1010"/>
      <c r="FZ1010"/>
      <c r="GA1010"/>
      <c r="GB1010"/>
      <c r="GC1010"/>
    </row>
    <row r="1011" spans="1:185" x14ac:dyDescent="0.15">
      <c r="A1011"/>
      <c r="B1011"/>
      <c r="C1011"/>
      <c r="D1011"/>
      <c r="E1011"/>
      <c r="F1011"/>
      <c r="G1011"/>
      <c r="H1011"/>
      <c r="I1011"/>
      <c r="J1011"/>
      <c r="FK1011"/>
      <c r="FL1011"/>
      <c r="FM1011"/>
      <c r="FN1011"/>
      <c r="FO1011"/>
      <c r="FP1011"/>
      <c r="FQ1011"/>
      <c r="FR1011"/>
      <c r="FS1011"/>
      <c r="FT1011"/>
      <c r="FU1011"/>
      <c r="FV1011"/>
      <c r="FW1011"/>
      <c r="FX1011"/>
      <c r="FY1011"/>
      <c r="FZ1011"/>
      <c r="GA1011"/>
      <c r="GB1011"/>
      <c r="GC1011"/>
    </row>
    <row r="1012" spans="1:185" x14ac:dyDescent="0.15">
      <c r="A1012"/>
      <c r="B1012"/>
      <c r="C1012"/>
      <c r="D1012"/>
      <c r="E1012"/>
      <c r="F1012"/>
      <c r="G1012"/>
      <c r="H1012"/>
      <c r="I1012"/>
      <c r="J1012"/>
      <c r="FK1012"/>
      <c r="FL1012"/>
      <c r="FM1012"/>
      <c r="FN1012"/>
      <c r="FO1012"/>
      <c r="FP1012"/>
      <c r="FQ1012"/>
      <c r="FR1012"/>
      <c r="FS1012"/>
      <c r="FT1012"/>
      <c r="FU1012"/>
      <c r="FV1012"/>
      <c r="FW1012"/>
      <c r="FX1012"/>
      <c r="FY1012"/>
      <c r="FZ1012"/>
      <c r="GA1012"/>
      <c r="GB1012"/>
      <c r="GC1012"/>
    </row>
    <row r="1013" spans="1:185" x14ac:dyDescent="0.15">
      <c r="A1013"/>
      <c r="B1013"/>
      <c r="C1013"/>
      <c r="D1013"/>
      <c r="E1013"/>
      <c r="F1013"/>
      <c r="G1013"/>
      <c r="H1013"/>
      <c r="I1013"/>
      <c r="J1013"/>
      <c r="FK1013"/>
      <c r="FL1013"/>
      <c r="FM1013"/>
      <c r="FN1013"/>
      <c r="FO1013"/>
      <c r="FP1013"/>
      <c r="FQ1013"/>
      <c r="FR1013"/>
      <c r="FS1013"/>
      <c r="FT1013"/>
      <c r="FU1013"/>
      <c r="FV1013"/>
      <c r="FW1013"/>
      <c r="FX1013"/>
      <c r="FY1013"/>
      <c r="FZ1013"/>
      <c r="GA1013"/>
      <c r="GB1013"/>
      <c r="GC1013"/>
    </row>
    <row r="1014" spans="1:185" x14ac:dyDescent="0.15">
      <c r="A1014"/>
      <c r="B1014"/>
      <c r="C1014"/>
      <c r="D1014"/>
      <c r="E1014"/>
      <c r="F1014"/>
      <c r="G1014"/>
      <c r="H1014"/>
      <c r="I1014"/>
      <c r="J1014"/>
      <c r="FK1014"/>
      <c r="FL1014"/>
      <c r="FM1014"/>
      <c r="FN1014"/>
      <c r="FO1014"/>
      <c r="FP1014"/>
      <c r="FQ1014"/>
      <c r="FR1014"/>
      <c r="FS1014"/>
      <c r="FT1014"/>
      <c r="FU1014"/>
      <c r="FV1014"/>
      <c r="FW1014"/>
      <c r="FX1014"/>
      <c r="FY1014"/>
      <c r="FZ1014"/>
      <c r="GA1014"/>
      <c r="GB1014"/>
      <c r="GC1014"/>
    </row>
    <row r="1015" spans="1:185" x14ac:dyDescent="0.15">
      <c r="A1015"/>
      <c r="B1015"/>
      <c r="C1015"/>
      <c r="D1015"/>
      <c r="E1015"/>
      <c r="F1015"/>
      <c r="G1015"/>
      <c r="H1015"/>
      <c r="I1015"/>
      <c r="J1015"/>
      <c r="FK1015"/>
      <c r="FL1015"/>
      <c r="FM1015"/>
      <c r="FN1015"/>
      <c r="FO1015"/>
      <c r="FP1015"/>
      <c r="FQ1015"/>
      <c r="FR1015"/>
      <c r="FS1015"/>
      <c r="FT1015"/>
      <c r="FU1015"/>
      <c r="FV1015"/>
      <c r="FW1015"/>
      <c r="FX1015"/>
      <c r="FY1015"/>
      <c r="FZ1015"/>
      <c r="GA1015"/>
      <c r="GB1015"/>
      <c r="GC1015"/>
    </row>
    <row r="1016" spans="1:185" x14ac:dyDescent="0.15">
      <c r="A1016"/>
      <c r="B1016"/>
      <c r="C1016"/>
      <c r="D1016"/>
      <c r="E1016"/>
      <c r="F1016"/>
      <c r="G1016"/>
      <c r="H1016"/>
      <c r="I1016"/>
      <c r="J1016"/>
      <c r="FK1016"/>
      <c r="FL1016"/>
      <c r="FM1016"/>
      <c r="FN1016"/>
      <c r="FO1016"/>
      <c r="FP1016"/>
      <c r="FQ1016"/>
      <c r="FR1016"/>
      <c r="FS1016"/>
      <c r="FT1016"/>
      <c r="FU1016"/>
      <c r="FV1016"/>
      <c r="FW1016"/>
      <c r="FX1016"/>
      <c r="FY1016"/>
      <c r="FZ1016"/>
      <c r="GA1016"/>
      <c r="GB1016"/>
      <c r="GC1016"/>
    </row>
    <row r="1017" spans="1:185" x14ac:dyDescent="0.15">
      <c r="A1017"/>
      <c r="B1017"/>
      <c r="C1017"/>
      <c r="D1017"/>
      <c r="E1017"/>
      <c r="F1017"/>
      <c r="G1017"/>
      <c r="H1017"/>
      <c r="I1017"/>
      <c r="J1017"/>
      <c r="FK1017"/>
      <c r="FL1017"/>
      <c r="FM1017"/>
      <c r="FN1017"/>
      <c r="FO1017"/>
      <c r="FP1017"/>
      <c r="FQ1017"/>
      <c r="FR1017"/>
      <c r="FS1017"/>
      <c r="FT1017"/>
      <c r="FU1017"/>
      <c r="FV1017"/>
      <c r="FW1017"/>
      <c r="FX1017"/>
      <c r="FY1017"/>
      <c r="FZ1017"/>
      <c r="GA1017"/>
      <c r="GB1017"/>
      <c r="GC1017"/>
    </row>
    <row r="1018" spans="1:185" x14ac:dyDescent="0.15">
      <c r="A1018"/>
      <c r="B1018"/>
      <c r="C1018"/>
      <c r="D1018"/>
      <c r="E1018"/>
      <c r="F1018"/>
      <c r="G1018"/>
      <c r="H1018"/>
      <c r="I1018"/>
      <c r="J1018"/>
      <c r="FK1018"/>
      <c r="FL1018"/>
      <c r="FM1018"/>
      <c r="FN1018"/>
      <c r="FO1018"/>
      <c r="FP1018"/>
      <c r="FQ1018"/>
      <c r="FR1018"/>
      <c r="FS1018"/>
      <c r="FT1018"/>
      <c r="FU1018"/>
      <c r="FV1018"/>
      <c r="FW1018"/>
      <c r="FX1018"/>
      <c r="FY1018"/>
      <c r="FZ1018"/>
      <c r="GA1018"/>
      <c r="GB1018"/>
      <c r="GC1018"/>
    </row>
    <row r="1019" spans="1:185" x14ac:dyDescent="0.15">
      <c r="A1019"/>
      <c r="B1019"/>
      <c r="C1019"/>
      <c r="D1019"/>
      <c r="E1019"/>
      <c r="F1019"/>
      <c r="G1019"/>
      <c r="H1019"/>
      <c r="I1019"/>
      <c r="J1019"/>
      <c r="FK1019"/>
      <c r="FL1019"/>
      <c r="FM1019"/>
      <c r="FN1019"/>
      <c r="FO1019"/>
      <c r="FP1019"/>
      <c r="FQ1019"/>
      <c r="FR1019"/>
      <c r="FS1019"/>
      <c r="FT1019"/>
      <c r="FU1019"/>
      <c r="FV1019"/>
      <c r="FW1019"/>
      <c r="FX1019"/>
      <c r="FY1019"/>
      <c r="FZ1019"/>
      <c r="GA1019"/>
      <c r="GB1019"/>
      <c r="GC1019"/>
    </row>
    <row r="1020" spans="1:185" x14ac:dyDescent="0.15">
      <c r="A1020"/>
      <c r="B1020"/>
      <c r="C1020"/>
      <c r="D1020"/>
      <c r="E1020"/>
      <c r="F1020"/>
      <c r="G1020"/>
      <c r="H1020"/>
      <c r="I1020"/>
      <c r="J1020"/>
      <c r="FK1020"/>
      <c r="FL1020"/>
      <c r="FM1020"/>
      <c r="FN1020"/>
      <c r="FO1020"/>
      <c r="FP1020"/>
      <c r="FQ1020"/>
      <c r="FR1020"/>
      <c r="FS1020"/>
      <c r="FT1020"/>
      <c r="FU1020"/>
      <c r="FV1020"/>
      <c r="FW1020"/>
      <c r="FX1020"/>
      <c r="FY1020"/>
      <c r="FZ1020"/>
      <c r="GA1020"/>
      <c r="GB1020"/>
      <c r="GC1020"/>
    </row>
    <row r="1021" spans="1:185" x14ac:dyDescent="0.15">
      <c r="A1021"/>
      <c r="B1021"/>
      <c r="C1021"/>
      <c r="D1021"/>
      <c r="E1021"/>
      <c r="F1021"/>
      <c r="G1021"/>
      <c r="H1021"/>
      <c r="I1021"/>
      <c r="J1021"/>
      <c r="FK1021"/>
      <c r="FL1021"/>
      <c r="FM1021"/>
      <c r="FN1021"/>
      <c r="FO1021"/>
      <c r="FP1021"/>
      <c r="FQ1021"/>
      <c r="FR1021"/>
      <c r="FS1021"/>
      <c r="FT1021"/>
      <c r="FU1021"/>
      <c r="FV1021"/>
      <c r="FW1021"/>
      <c r="FX1021"/>
      <c r="FY1021"/>
      <c r="FZ1021"/>
      <c r="GA1021"/>
      <c r="GB1021"/>
      <c r="GC1021"/>
    </row>
    <row r="1022" spans="1:185" x14ac:dyDescent="0.15">
      <c r="A1022"/>
      <c r="B1022"/>
      <c r="C1022"/>
      <c r="D1022"/>
      <c r="E1022"/>
      <c r="F1022"/>
      <c r="G1022"/>
      <c r="H1022"/>
      <c r="I1022"/>
      <c r="J1022"/>
      <c r="FK1022"/>
      <c r="FL1022"/>
      <c r="FM1022"/>
      <c r="FN1022"/>
      <c r="FO1022"/>
      <c r="FP1022"/>
      <c r="FQ1022"/>
      <c r="FR1022"/>
      <c r="FS1022"/>
      <c r="FT1022"/>
      <c r="FU1022"/>
      <c r="FV1022"/>
      <c r="FW1022"/>
      <c r="FX1022"/>
      <c r="FY1022"/>
      <c r="FZ1022"/>
      <c r="GA1022"/>
      <c r="GB1022"/>
      <c r="GC1022"/>
    </row>
    <row r="1023" spans="1:185" x14ac:dyDescent="0.15">
      <c r="A1023"/>
      <c r="B1023"/>
      <c r="C1023"/>
      <c r="D1023"/>
      <c r="E1023"/>
      <c r="F1023"/>
      <c r="G1023"/>
      <c r="H1023"/>
      <c r="I1023"/>
      <c r="J1023"/>
      <c r="FK1023"/>
      <c r="FL1023"/>
      <c r="FM1023"/>
      <c r="FN1023"/>
      <c r="FO1023"/>
      <c r="FP1023"/>
      <c r="FQ1023"/>
      <c r="FR1023"/>
      <c r="FS1023"/>
      <c r="FT1023"/>
      <c r="FU1023"/>
      <c r="FV1023"/>
      <c r="FW1023"/>
      <c r="FX1023"/>
      <c r="FY1023"/>
      <c r="FZ1023"/>
      <c r="GA1023"/>
      <c r="GB1023"/>
      <c r="GC1023"/>
    </row>
    <row r="1024" spans="1:185" x14ac:dyDescent="0.15">
      <c r="A1024"/>
      <c r="B1024"/>
      <c r="C1024"/>
      <c r="D1024"/>
      <c r="E1024"/>
      <c r="F1024"/>
      <c r="G1024"/>
      <c r="H1024"/>
      <c r="I1024"/>
      <c r="J1024"/>
      <c r="FK1024"/>
      <c r="FL1024"/>
      <c r="FM1024"/>
      <c r="FN1024"/>
      <c r="FO1024"/>
      <c r="FP1024"/>
      <c r="FQ1024"/>
      <c r="FR1024"/>
      <c r="FS1024"/>
      <c r="FT1024"/>
      <c r="FU1024"/>
      <c r="FV1024"/>
      <c r="FW1024"/>
      <c r="FX1024"/>
      <c r="FY1024"/>
      <c r="FZ1024"/>
      <c r="GA1024"/>
      <c r="GB1024"/>
      <c r="GC1024"/>
    </row>
    <row r="1025" spans="1:185" x14ac:dyDescent="0.15">
      <c r="A1025"/>
      <c r="B1025"/>
      <c r="C1025"/>
      <c r="D1025"/>
      <c r="E1025"/>
      <c r="F1025"/>
      <c r="G1025"/>
      <c r="H1025"/>
      <c r="I1025"/>
      <c r="J1025"/>
      <c r="FK1025"/>
      <c r="FL1025"/>
      <c r="FM1025"/>
      <c r="FN1025"/>
      <c r="FO1025"/>
      <c r="FP1025"/>
      <c r="FQ1025"/>
      <c r="FR1025"/>
      <c r="FS1025"/>
      <c r="FT1025"/>
      <c r="FU1025"/>
      <c r="FV1025"/>
      <c r="FW1025"/>
      <c r="FX1025"/>
      <c r="FY1025"/>
      <c r="FZ1025"/>
      <c r="GA1025"/>
      <c r="GB1025"/>
      <c r="GC1025"/>
    </row>
    <row r="1026" spans="1:185" x14ac:dyDescent="0.15">
      <c r="A1026"/>
      <c r="B1026"/>
      <c r="C1026"/>
      <c r="D1026"/>
      <c r="E1026"/>
      <c r="F1026"/>
      <c r="G1026"/>
      <c r="H1026"/>
      <c r="I1026"/>
      <c r="J1026"/>
      <c r="FK1026"/>
      <c r="FL1026"/>
      <c r="FM1026"/>
      <c r="FN1026"/>
      <c r="FO1026"/>
      <c r="FP1026"/>
      <c r="FQ1026"/>
      <c r="FR1026"/>
      <c r="FS1026"/>
      <c r="FT1026"/>
      <c r="FU1026"/>
      <c r="FV1026"/>
      <c r="FW1026"/>
      <c r="FX1026"/>
      <c r="FY1026"/>
      <c r="FZ1026"/>
      <c r="GA1026"/>
      <c r="GB1026"/>
      <c r="GC1026"/>
    </row>
    <row r="1027" spans="1:185" x14ac:dyDescent="0.15">
      <c r="A1027"/>
      <c r="B1027"/>
      <c r="C1027"/>
      <c r="D1027"/>
      <c r="E1027"/>
      <c r="F1027"/>
      <c r="G1027"/>
      <c r="H1027"/>
      <c r="I1027"/>
      <c r="J1027"/>
      <c r="FK1027"/>
      <c r="FL1027"/>
      <c r="FM1027"/>
      <c r="FN1027"/>
      <c r="FO1027"/>
      <c r="FP1027"/>
      <c r="FQ1027"/>
      <c r="FR1027"/>
      <c r="FS1027"/>
      <c r="FT1027"/>
      <c r="FU1027"/>
      <c r="FV1027"/>
      <c r="FW1027"/>
      <c r="FX1027"/>
      <c r="FY1027"/>
      <c r="FZ1027"/>
      <c r="GA1027"/>
      <c r="GB1027"/>
      <c r="GC1027"/>
    </row>
    <row r="1028" spans="1:185" x14ac:dyDescent="0.15">
      <c r="A1028"/>
      <c r="B1028"/>
      <c r="C1028"/>
      <c r="D1028"/>
      <c r="E1028"/>
      <c r="F1028"/>
      <c r="G1028"/>
      <c r="H1028"/>
      <c r="I1028"/>
      <c r="J1028"/>
      <c r="FK1028"/>
      <c r="FL1028"/>
      <c r="FM1028"/>
      <c r="FN1028"/>
      <c r="FO1028"/>
      <c r="FP1028"/>
      <c r="FQ1028"/>
      <c r="FR1028"/>
      <c r="FS1028"/>
      <c r="FT1028"/>
      <c r="FU1028"/>
      <c r="FV1028"/>
      <c r="FW1028"/>
      <c r="FX1028"/>
      <c r="FY1028"/>
      <c r="FZ1028"/>
      <c r="GA1028"/>
      <c r="GB1028"/>
      <c r="GC1028"/>
    </row>
    <row r="1029" spans="1:185" x14ac:dyDescent="0.15">
      <c r="A1029"/>
      <c r="B1029"/>
      <c r="C1029"/>
      <c r="D1029"/>
      <c r="E1029"/>
      <c r="F1029"/>
      <c r="G1029"/>
      <c r="H1029"/>
      <c r="I1029"/>
      <c r="J1029"/>
      <c r="FK1029"/>
      <c r="FL1029"/>
      <c r="FM1029"/>
      <c r="FN1029"/>
      <c r="FO1029"/>
      <c r="FP1029"/>
      <c r="FQ1029"/>
      <c r="FR1029"/>
      <c r="FS1029"/>
      <c r="FT1029"/>
      <c r="FU1029"/>
      <c r="FV1029"/>
      <c r="FW1029"/>
      <c r="FX1029"/>
      <c r="FY1029"/>
      <c r="FZ1029"/>
      <c r="GA1029"/>
      <c r="GB1029"/>
      <c r="GC1029"/>
    </row>
    <row r="1030" spans="1:185" x14ac:dyDescent="0.15">
      <c r="A1030"/>
      <c r="B1030"/>
      <c r="C1030"/>
      <c r="D1030"/>
      <c r="E1030"/>
      <c r="F1030"/>
      <c r="G1030"/>
      <c r="H1030"/>
      <c r="I1030"/>
      <c r="J1030"/>
      <c r="FK1030"/>
      <c r="FL1030"/>
      <c r="FM1030"/>
      <c r="FN1030"/>
      <c r="FO1030"/>
      <c r="FP1030"/>
      <c r="FQ1030"/>
      <c r="FR1030"/>
      <c r="FS1030"/>
      <c r="FT1030"/>
      <c r="FU1030"/>
      <c r="FV1030"/>
      <c r="FW1030"/>
      <c r="FX1030"/>
      <c r="FY1030"/>
      <c r="FZ1030"/>
      <c r="GA1030"/>
      <c r="GB1030"/>
      <c r="GC1030"/>
    </row>
    <row r="1031" spans="1:185" x14ac:dyDescent="0.15">
      <c r="A1031"/>
      <c r="B1031"/>
      <c r="C1031"/>
      <c r="D1031"/>
      <c r="E1031"/>
      <c r="F1031"/>
      <c r="G1031"/>
      <c r="H1031"/>
      <c r="I1031"/>
      <c r="J1031"/>
      <c r="FK1031"/>
      <c r="FL1031"/>
      <c r="FM1031"/>
      <c r="FN1031"/>
      <c r="FO1031"/>
      <c r="FP1031"/>
      <c r="FQ1031"/>
      <c r="FR1031"/>
      <c r="FS1031"/>
      <c r="FT1031"/>
      <c r="FU1031"/>
      <c r="FV1031"/>
      <c r="FW1031"/>
      <c r="FX1031"/>
      <c r="FY1031"/>
      <c r="FZ1031"/>
      <c r="GA1031"/>
      <c r="GB1031"/>
      <c r="GC1031"/>
    </row>
    <row r="1032" spans="1:185" x14ac:dyDescent="0.15">
      <c r="A1032"/>
      <c r="B1032"/>
      <c r="C1032"/>
      <c r="D1032"/>
      <c r="E1032"/>
      <c r="F1032"/>
      <c r="G1032"/>
      <c r="H1032"/>
      <c r="I1032"/>
      <c r="J1032"/>
      <c r="FK1032"/>
      <c r="FL1032"/>
      <c r="FM1032"/>
      <c r="FN1032"/>
      <c r="FO1032"/>
      <c r="FP1032"/>
      <c r="FQ1032"/>
      <c r="FR1032"/>
      <c r="FS1032"/>
      <c r="FT1032"/>
      <c r="FU1032"/>
      <c r="FV1032"/>
      <c r="FW1032"/>
      <c r="FX1032"/>
      <c r="FY1032"/>
      <c r="FZ1032"/>
      <c r="GA1032"/>
      <c r="GB1032"/>
      <c r="GC1032"/>
    </row>
    <row r="1033" spans="1:185" x14ac:dyDescent="0.15">
      <c r="A1033"/>
      <c r="B1033"/>
      <c r="C1033"/>
      <c r="D1033"/>
      <c r="E1033"/>
      <c r="F1033"/>
      <c r="G1033"/>
      <c r="H1033"/>
      <c r="I1033"/>
      <c r="J1033"/>
      <c r="FK1033"/>
      <c r="FL1033"/>
      <c r="FM1033"/>
      <c r="FN1033"/>
      <c r="FO1033"/>
      <c r="FP1033"/>
      <c r="FQ1033"/>
      <c r="FR1033"/>
      <c r="FS1033"/>
      <c r="FT1033"/>
      <c r="FU1033"/>
      <c r="FV1033"/>
      <c r="FW1033"/>
      <c r="FX1033"/>
      <c r="FY1033"/>
      <c r="FZ1033"/>
      <c r="GA1033"/>
      <c r="GB1033"/>
      <c r="GC1033"/>
    </row>
    <row r="1034" spans="1:185" x14ac:dyDescent="0.15">
      <c r="A1034"/>
      <c r="B1034"/>
      <c r="C1034"/>
      <c r="D1034"/>
      <c r="E1034"/>
      <c r="F1034"/>
      <c r="G1034"/>
      <c r="H1034"/>
      <c r="I1034"/>
      <c r="J1034"/>
      <c r="FK1034"/>
      <c r="FL1034"/>
      <c r="FM1034"/>
      <c r="FN1034"/>
      <c r="FO1034"/>
      <c r="FP1034"/>
      <c r="FQ1034"/>
      <c r="FR1034"/>
      <c r="FS1034"/>
      <c r="FT1034"/>
      <c r="FU1034"/>
      <c r="FV1034"/>
      <c r="FW1034"/>
      <c r="FX1034"/>
      <c r="FY1034"/>
      <c r="FZ1034"/>
      <c r="GA1034"/>
      <c r="GB1034"/>
      <c r="GC1034"/>
    </row>
    <row r="1035" spans="1:185" x14ac:dyDescent="0.15">
      <c r="A1035"/>
      <c r="B1035"/>
      <c r="C1035"/>
      <c r="D1035"/>
      <c r="E1035"/>
      <c r="F1035"/>
      <c r="G1035"/>
      <c r="H1035"/>
      <c r="I1035"/>
      <c r="J1035"/>
      <c r="FK1035"/>
      <c r="FL1035"/>
      <c r="FM1035"/>
      <c r="FN1035"/>
      <c r="FO1035"/>
      <c r="FP1035"/>
      <c r="FQ1035"/>
      <c r="FR1035"/>
      <c r="FS1035"/>
      <c r="FT1035"/>
      <c r="FU1035"/>
      <c r="FV1035"/>
      <c r="FW1035"/>
      <c r="FX1035"/>
      <c r="FY1035"/>
      <c r="FZ1035"/>
      <c r="GA1035"/>
      <c r="GB1035"/>
      <c r="GC1035"/>
    </row>
    <row r="1036" spans="1:185" x14ac:dyDescent="0.15">
      <c r="A1036"/>
      <c r="B1036"/>
      <c r="C1036"/>
      <c r="D1036"/>
      <c r="E1036"/>
      <c r="F1036"/>
      <c r="G1036"/>
      <c r="H1036"/>
      <c r="I1036"/>
      <c r="J1036"/>
      <c r="FK1036"/>
      <c r="FL1036"/>
      <c r="FM1036"/>
      <c r="FN1036"/>
      <c r="FO1036"/>
      <c r="FP1036"/>
      <c r="FQ1036"/>
      <c r="FR1036"/>
      <c r="FS1036"/>
      <c r="FT1036"/>
      <c r="FU1036"/>
      <c r="FV1036"/>
      <c r="FW1036"/>
      <c r="FX1036"/>
      <c r="FY1036"/>
      <c r="FZ1036"/>
      <c r="GA1036"/>
      <c r="GB1036"/>
      <c r="GC1036"/>
    </row>
    <row r="1037" spans="1:185" x14ac:dyDescent="0.15">
      <c r="A1037"/>
      <c r="B1037"/>
      <c r="C1037"/>
      <c r="D1037"/>
      <c r="E1037"/>
      <c r="F1037"/>
      <c r="G1037"/>
      <c r="H1037"/>
      <c r="I1037"/>
      <c r="J1037"/>
      <c r="FK1037"/>
      <c r="FL1037"/>
      <c r="FM1037"/>
      <c r="FN1037"/>
      <c r="FO1037"/>
      <c r="FP1037"/>
      <c r="FQ1037"/>
      <c r="FR1037"/>
      <c r="FS1037"/>
      <c r="FT1037"/>
      <c r="FU1037"/>
      <c r="FV1037"/>
      <c r="FW1037"/>
      <c r="FX1037"/>
      <c r="FY1037"/>
      <c r="FZ1037"/>
      <c r="GA1037"/>
      <c r="GB1037"/>
      <c r="GC1037"/>
    </row>
    <row r="1038" spans="1:185" x14ac:dyDescent="0.15">
      <c r="A1038"/>
      <c r="B1038"/>
      <c r="C1038"/>
      <c r="D1038"/>
      <c r="E1038"/>
      <c r="F1038"/>
      <c r="G1038"/>
      <c r="H1038"/>
      <c r="I1038"/>
      <c r="J1038"/>
      <c r="FK1038"/>
      <c r="FL1038"/>
      <c r="FM1038"/>
      <c r="FN1038"/>
      <c r="FO1038"/>
      <c r="FP1038"/>
      <c r="FQ1038"/>
      <c r="FR1038"/>
      <c r="FS1038"/>
      <c r="FT1038"/>
      <c r="FU1038"/>
      <c r="FV1038"/>
      <c r="FW1038"/>
      <c r="FX1038"/>
      <c r="FY1038"/>
      <c r="FZ1038"/>
      <c r="GA1038"/>
      <c r="GB1038"/>
      <c r="GC1038"/>
    </row>
    <row r="1039" spans="1:185" x14ac:dyDescent="0.15">
      <c r="A1039"/>
      <c r="B1039"/>
      <c r="C1039"/>
      <c r="D1039"/>
      <c r="E1039"/>
      <c r="F1039"/>
      <c r="G1039"/>
      <c r="H1039"/>
      <c r="I1039"/>
      <c r="J1039"/>
      <c r="FK1039"/>
      <c r="FL1039"/>
      <c r="FM1039"/>
      <c r="FN1039"/>
      <c r="FO1039"/>
      <c r="FP1039"/>
      <c r="FQ1039"/>
      <c r="FR1039"/>
      <c r="FS1039"/>
      <c r="FT1039"/>
      <c r="FU1039"/>
      <c r="FV1039"/>
      <c r="FW1039"/>
      <c r="FX1039"/>
      <c r="FY1039"/>
      <c r="FZ1039"/>
      <c r="GA1039"/>
      <c r="GB1039"/>
      <c r="GC1039"/>
    </row>
    <row r="1040" spans="1:185" x14ac:dyDescent="0.15">
      <c r="A1040"/>
      <c r="B1040"/>
      <c r="C1040"/>
      <c r="D1040"/>
      <c r="E1040"/>
      <c r="F1040"/>
      <c r="G1040"/>
      <c r="H1040"/>
      <c r="I1040"/>
      <c r="J1040"/>
      <c r="FK1040"/>
      <c r="FL1040"/>
      <c r="FM1040"/>
      <c r="FN1040"/>
      <c r="FO1040"/>
      <c r="FP1040"/>
      <c r="FQ1040"/>
      <c r="FR1040"/>
      <c r="FS1040"/>
      <c r="FT1040"/>
      <c r="FU1040"/>
      <c r="FV1040"/>
      <c r="FW1040"/>
      <c r="FX1040"/>
      <c r="FY1040"/>
      <c r="FZ1040"/>
      <c r="GA1040"/>
      <c r="GB1040"/>
      <c r="GC1040"/>
    </row>
    <row r="1041" spans="1:185" x14ac:dyDescent="0.15">
      <c r="A1041"/>
      <c r="B1041"/>
      <c r="C1041"/>
      <c r="D1041"/>
      <c r="E1041"/>
      <c r="F1041"/>
      <c r="G1041"/>
      <c r="H1041"/>
      <c r="I1041"/>
      <c r="J1041"/>
      <c r="FK1041"/>
      <c r="FL1041"/>
      <c r="FM1041"/>
      <c r="FN1041"/>
      <c r="FO1041"/>
      <c r="FP1041"/>
      <c r="FQ1041"/>
      <c r="FR1041"/>
      <c r="FS1041"/>
      <c r="FT1041"/>
      <c r="FU1041"/>
      <c r="FV1041"/>
      <c r="FW1041"/>
      <c r="FX1041"/>
      <c r="FY1041"/>
      <c r="FZ1041"/>
      <c r="GA1041"/>
      <c r="GB1041"/>
      <c r="GC1041"/>
    </row>
    <row r="1042" spans="1:185" x14ac:dyDescent="0.15">
      <c r="A1042"/>
      <c r="B1042"/>
      <c r="C1042"/>
      <c r="D1042"/>
      <c r="E1042"/>
      <c r="F1042"/>
      <c r="G1042"/>
      <c r="H1042"/>
      <c r="I1042"/>
      <c r="J1042"/>
      <c r="FK1042"/>
      <c r="FL1042"/>
      <c r="FM1042"/>
      <c r="FN1042"/>
      <c r="FO1042"/>
      <c r="FP1042"/>
      <c r="FQ1042"/>
      <c r="FR1042"/>
      <c r="FS1042"/>
      <c r="FT1042"/>
      <c r="FU1042"/>
      <c r="FV1042"/>
      <c r="FW1042"/>
      <c r="FX1042"/>
      <c r="FY1042"/>
      <c r="FZ1042"/>
      <c r="GA1042"/>
      <c r="GB1042"/>
      <c r="GC1042"/>
    </row>
    <row r="1043" spans="1:185" x14ac:dyDescent="0.15">
      <c r="A1043"/>
      <c r="B1043"/>
      <c r="C1043"/>
      <c r="D1043"/>
      <c r="E1043"/>
      <c r="F1043"/>
      <c r="G1043"/>
      <c r="H1043"/>
      <c r="I1043"/>
      <c r="J1043"/>
      <c r="FK1043"/>
      <c r="FL1043"/>
      <c r="FM1043"/>
      <c r="FN1043"/>
      <c r="FO1043"/>
      <c r="FP1043"/>
      <c r="FQ1043"/>
      <c r="FR1043"/>
      <c r="FS1043"/>
      <c r="FT1043"/>
      <c r="FU1043"/>
      <c r="FV1043"/>
      <c r="FW1043"/>
      <c r="FX1043"/>
      <c r="FY1043"/>
      <c r="FZ1043"/>
      <c r="GA1043"/>
      <c r="GB1043"/>
      <c r="GC1043"/>
    </row>
    <row r="1044" spans="1:185" x14ac:dyDescent="0.15">
      <c r="A1044"/>
      <c r="B1044"/>
      <c r="C1044"/>
      <c r="D1044"/>
      <c r="E1044"/>
      <c r="F1044"/>
      <c r="G1044"/>
      <c r="H1044"/>
      <c r="I1044"/>
      <c r="J1044"/>
      <c r="FK1044"/>
      <c r="FL1044"/>
      <c r="FM1044"/>
      <c r="FN1044"/>
      <c r="FO1044"/>
      <c r="FP1044"/>
      <c r="FQ1044"/>
      <c r="FR1044"/>
      <c r="FS1044"/>
      <c r="FT1044"/>
      <c r="FU1044"/>
      <c r="FV1044"/>
      <c r="FW1044"/>
      <c r="FX1044"/>
      <c r="FY1044"/>
      <c r="FZ1044"/>
      <c r="GA1044"/>
      <c r="GB1044"/>
      <c r="GC1044"/>
    </row>
    <row r="1045" spans="1:185" x14ac:dyDescent="0.15">
      <c r="A1045"/>
      <c r="B1045"/>
      <c r="C1045"/>
      <c r="D1045"/>
      <c r="E1045"/>
      <c r="F1045"/>
      <c r="G1045"/>
      <c r="H1045"/>
      <c r="I1045"/>
      <c r="J1045"/>
      <c r="FK1045"/>
      <c r="FL1045"/>
      <c r="FM1045"/>
      <c r="FN1045"/>
      <c r="FO1045"/>
      <c r="FP1045"/>
      <c r="FQ1045"/>
      <c r="FR1045"/>
      <c r="FS1045"/>
      <c r="FT1045"/>
      <c r="FU1045"/>
      <c r="FV1045"/>
      <c r="FW1045"/>
      <c r="FX1045"/>
      <c r="FY1045"/>
      <c r="FZ1045"/>
      <c r="GA1045"/>
      <c r="GB1045"/>
      <c r="GC1045"/>
    </row>
    <row r="1046" spans="1:185" x14ac:dyDescent="0.15">
      <c r="A1046"/>
      <c r="B1046"/>
      <c r="C1046"/>
      <c r="D1046"/>
      <c r="E1046"/>
      <c r="F1046"/>
      <c r="G1046"/>
      <c r="H1046"/>
      <c r="I1046"/>
      <c r="J1046"/>
      <c r="FK1046"/>
      <c r="FL1046"/>
      <c r="FM1046"/>
      <c r="FN1046"/>
      <c r="FO1046"/>
      <c r="FP1046"/>
      <c r="FQ1046"/>
      <c r="FR1046"/>
      <c r="FS1046"/>
      <c r="FT1046"/>
      <c r="FU1046"/>
      <c r="FV1046"/>
      <c r="FW1046"/>
      <c r="FX1046"/>
      <c r="FY1046"/>
      <c r="FZ1046"/>
      <c r="GA1046"/>
      <c r="GB1046"/>
      <c r="GC1046"/>
    </row>
    <row r="1047" spans="1:185" x14ac:dyDescent="0.15">
      <c r="A1047"/>
      <c r="B1047"/>
      <c r="C1047"/>
      <c r="D1047"/>
      <c r="E1047"/>
      <c r="F1047"/>
      <c r="G1047"/>
      <c r="H1047"/>
      <c r="I1047"/>
      <c r="J1047"/>
      <c r="FK1047"/>
      <c r="FL1047"/>
      <c r="FM1047"/>
      <c r="FN1047"/>
      <c r="FO1047"/>
      <c r="FP1047"/>
      <c r="FQ1047"/>
      <c r="FR1047"/>
      <c r="FS1047"/>
      <c r="FT1047"/>
      <c r="FU1047"/>
      <c r="FV1047"/>
      <c r="FW1047"/>
      <c r="FX1047"/>
      <c r="FY1047"/>
      <c r="FZ1047"/>
      <c r="GA1047"/>
      <c r="GB1047"/>
      <c r="GC1047"/>
    </row>
    <row r="1048" spans="1:185" x14ac:dyDescent="0.15">
      <c r="A1048"/>
      <c r="B1048"/>
      <c r="C1048"/>
      <c r="D1048"/>
      <c r="E1048"/>
      <c r="F1048"/>
      <c r="G1048"/>
      <c r="H1048"/>
      <c r="I1048"/>
      <c r="J1048"/>
      <c r="FK1048"/>
      <c r="FL1048"/>
      <c r="FM1048"/>
      <c r="FN1048"/>
      <c r="FO1048"/>
      <c r="FP1048"/>
      <c r="FQ1048"/>
      <c r="FR1048"/>
      <c r="FS1048"/>
      <c r="FT1048"/>
      <c r="FU1048"/>
      <c r="FV1048"/>
      <c r="FW1048"/>
      <c r="FX1048"/>
      <c r="FY1048"/>
      <c r="FZ1048"/>
      <c r="GA1048"/>
      <c r="GB1048"/>
      <c r="GC1048"/>
    </row>
    <row r="1049" spans="1:185" x14ac:dyDescent="0.15">
      <c r="A1049"/>
      <c r="B1049"/>
      <c r="C1049"/>
      <c r="D1049"/>
      <c r="E1049"/>
      <c r="F1049"/>
      <c r="G1049"/>
      <c r="H1049"/>
      <c r="I1049"/>
      <c r="J1049"/>
      <c r="FK1049"/>
      <c r="FL1049"/>
      <c r="FM1049"/>
      <c r="FN1049"/>
      <c r="FO1049"/>
      <c r="FP1049"/>
      <c r="FQ1049"/>
      <c r="FR1049"/>
      <c r="FS1049"/>
      <c r="FT1049"/>
      <c r="FU1049"/>
      <c r="FV1049"/>
      <c r="FW1049"/>
      <c r="FX1049"/>
      <c r="FY1049"/>
      <c r="FZ1049"/>
      <c r="GA1049"/>
      <c r="GB1049"/>
      <c r="GC1049"/>
    </row>
    <row r="1050" spans="1:185" x14ac:dyDescent="0.15">
      <c r="A1050"/>
      <c r="B1050"/>
      <c r="C1050"/>
      <c r="D1050"/>
      <c r="E1050"/>
      <c r="F1050"/>
      <c r="G1050"/>
      <c r="H1050"/>
      <c r="I1050"/>
      <c r="J1050"/>
      <c r="FK1050"/>
      <c r="FL1050"/>
      <c r="FM1050"/>
      <c r="FN1050"/>
      <c r="FO1050"/>
      <c r="FP1050"/>
      <c r="FQ1050"/>
      <c r="FR1050"/>
      <c r="FS1050"/>
      <c r="FT1050"/>
      <c r="FU1050"/>
      <c r="FV1050"/>
      <c r="FW1050"/>
      <c r="FX1050"/>
      <c r="FY1050"/>
      <c r="FZ1050"/>
      <c r="GA1050"/>
      <c r="GB1050"/>
      <c r="GC1050"/>
    </row>
    <row r="1051" spans="1:185" x14ac:dyDescent="0.15">
      <c r="A1051"/>
      <c r="B1051"/>
      <c r="C1051"/>
      <c r="D1051"/>
      <c r="E1051"/>
      <c r="F1051"/>
      <c r="G1051"/>
      <c r="H1051"/>
      <c r="I1051"/>
      <c r="J1051"/>
      <c r="FK1051"/>
      <c r="FL1051"/>
      <c r="FM1051"/>
      <c r="FN1051"/>
      <c r="FO1051"/>
      <c r="FP1051"/>
      <c r="FQ1051"/>
      <c r="FR1051"/>
      <c r="FS1051"/>
      <c r="FT1051"/>
      <c r="FU1051"/>
      <c r="FV1051"/>
      <c r="FW1051"/>
      <c r="FX1051"/>
      <c r="FY1051"/>
      <c r="FZ1051"/>
      <c r="GA1051"/>
      <c r="GB1051"/>
      <c r="GC1051"/>
    </row>
    <row r="1052" spans="1:185" x14ac:dyDescent="0.15">
      <c r="A1052"/>
      <c r="B1052"/>
      <c r="C1052"/>
      <c r="D1052"/>
      <c r="E1052"/>
      <c r="F1052"/>
      <c r="G1052"/>
      <c r="H1052"/>
      <c r="I1052"/>
      <c r="J1052"/>
      <c r="FK1052"/>
      <c r="FL1052"/>
      <c r="FM1052"/>
      <c r="FN1052"/>
      <c r="FO1052"/>
      <c r="FP1052"/>
      <c r="FQ1052"/>
      <c r="FR1052"/>
      <c r="FS1052"/>
      <c r="FT1052"/>
      <c r="FU1052"/>
      <c r="FV1052"/>
      <c r="FW1052"/>
      <c r="FX1052"/>
      <c r="FY1052"/>
      <c r="FZ1052"/>
      <c r="GA1052"/>
      <c r="GB1052"/>
      <c r="GC1052"/>
    </row>
    <row r="1053" spans="1:185" x14ac:dyDescent="0.15">
      <c r="A1053"/>
      <c r="B1053"/>
      <c r="C1053"/>
      <c r="D1053"/>
      <c r="E1053"/>
      <c r="F1053"/>
      <c r="G1053"/>
      <c r="H1053"/>
      <c r="I1053"/>
      <c r="J1053"/>
      <c r="FK1053"/>
      <c r="FL1053"/>
      <c r="FM1053"/>
      <c r="FN1053"/>
      <c r="FO1053"/>
      <c r="FP1053"/>
      <c r="FQ1053"/>
      <c r="FR1053"/>
      <c r="FS1053"/>
      <c r="FT1053"/>
      <c r="FU1053"/>
      <c r="FV1053"/>
      <c r="FW1053"/>
      <c r="FX1053"/>
      <c r="FY1053"/>
      <c r="FZ1053"/>
      <c r="GA1053"/>
      <c r="GB1053"/>
      <c r="GC1053"/>
    </row>
    <row r="1054" spans="1:185" x14ac:dyDescent="0.15">
      <c r="A1054"/>
      <c r="B1054"/>
      <c r="C1054"/>
      <c r="D1054"/>
      <c r="E1054"/>
      <c r="F1054"/>
      <c r="G1054"/>
      <c r="H1054"/>
      <c r="I1054"/>
      <c r="J1054"/>
      <c r="FK1054"/>
      <c r="FL1054"/>
      <c r="FM1054"/>
      <c r="FN1054"/>
      <c r="FO1054"/>
      <c r="FP1054"/>
      <c r="FQ1054"/>
      <c r="FR1054"/>
      <c r="FS1054"/>
      <c r="FT1054"/>
      <c r="FU1054"/>
      <c r="FV1054"/>
      <c r="FW1054"/>
      <c r="FX1054"/>
      <c r="FY1054"/>
      <c r="FZ1054"/>
      <c r="GA1054"/>
      <c r="GB1054"/>
      <c r="GC1054"/>
    </row>
    <row r="1055" spans="1:185" x14ac:dyDescent="0.15">
      <c r="A1055"/>
      <c r="B1055"/>
      <c r="C1055"/>
      <c r="D1055"/>
      <c r="E1055"/>
      <c r="F1055"/>
      <c r="G1055"/>
      <c r="H1055"/>
      <c r="I1055"/>
      <c r="J1055"/>
      <c r="FK1055"/>
      <c r="FL1055"/>
      <c r="FM1055"/>
      <c r="FN1055"/>
      <c r="FO1055"/>
      <c r="FP1055"/>
      <c r="FQ1055"/>
      <c r="FR1055"/>
      <c r="FS1055"/>
      <c r="FT1055"/>
      <c r="FU1055"/>
      <c r="FV1055"/>
      <c r="FW1055"/>
      <c r="FX1055"/>
      <c r="FY1055"/>
      <c r="FZ1055"/>
      <c r="GA1055"/>
      <c r="GB1055"/>
      <c r="GC1055"/>
    </row>
    <row r="1056" spans="1:185" x14ac:dyDescent="0.15">
      <c r="A1056"/>
      <c r="B1056"/>
      <c r="C1056"/>
      <c r="D1056"/>
      <c r="E1056"/>
      <c r="F1056"/>
      <c r="G1056"/>
      <c r="H1056"/>
      <c r="I1056"/>
      <c r="J1056"/>
      <c r="FK1056"/>
      <c r="FL1056"/>
      <c r="FM1056"/>
      <c r="FN1056"/>
      <c r="FO1056"/>
      <c r="FP1056"/>
      <c r="FQ1056"/>
      <c r="FR1056"/>
      <c r="FS1056"/>
      <c r="FT1056"/>
      <c r="FU1056"/>
      <c r="FV1056"/>
      <c r="FW1056"/>
      <c r="FX1056"/>
      <c r="FY1056"/>
      <c r="FZ1056"/>
      <c r="GA1056"/>
      <c r="GB1056"/>
      <c r="GC1056"/>
    </row>
    <row r="1057" spans="1:185" x14ac:dyDescent="0.15">
      <c r="A1057"/>
      <c r="B1057"/>
      <c r="C1057"/>
      <c r="D1057"/>
      <c r="E1057"/>
      <c r="F1057"/>
      <c r="G1057"/>
      <c r="H1057"/>
      <c r="I1057"/>
      <c r="J1057"/>
      <c r="FK1057"/>
      <c r="FL1057"/>
      <c r="FM1057"/>
      <c r="FN1057"/>
      <c r="FO1057"/>
      <c r="FP1057"/>
      <c r="FQ1057"/>
      <c r="FR1057"/>
      <c r="FS1057"/>
      <c r="FT1057"/>
      <c r="FU1057"/>
      <c r="FV1057"/>
      <c r="FW1057"/>
      <c r="FX1057"/>
      <c r="FY1057"/>
      <c r="FZ1057"/>
      <c r="GA1057"/>
      <c r="GB1057"/>
      <c r="GC1057"/>
    </row>
    <row r="1058" spans="1:185" x14ac:dyDescent="0.15">
      <c r="A1058"/>
      <c r="B1058"/>
      <c r="C1058"/>
      <c r="D1058"/>
      <c r="E1058"/>
      <c r="F1058"/>
      <c r="G1058"/>
      <c r="H1058"/>
      <c r="I1058"/>
      <c r="J1058"/>
      <c r="FK1058"/>
      <c r="FL1058"/>
      <c r="FM1058"/>
      <c r="FN1058"/>
      <c r="FO1058"/>
      <c r="FP1058"/>
      <c r="FQ1058"/>
      <c r="FR1058"/>
      <c r="FS1058"/>
      <c r="FT1058"/>
      <c r="FU1058"/>
      <c r="FV1058"/>
      <c r="FW1058"/>
      <c r="FX1058"/>
      <c r="FY1058"/>
      <c r="FZ1058"/>
      <c r="GA1058"/>
      <c r="GB1058"/>
      <c r="GC1058"/>
    </row>
    <row r="1059" spans="1:185" x14ac:dyDescent="0.15">
      <c r="A1059"/>
      <c r="B1059"/>
      <c r="C1059"/>
      <c r="D1059"/>
      <c r="E1059"/>
      <c r="F1059"/>
      <c r="G1059"/>
      <c r="H1059"/>
      <c r="I1059"/>
      <c r="J1059"/>
      <c r="FK1059"/>
      <c r="FL1059"/>
      <c r="FM1059"/>
      <c r="FN1059"/>
      <c r="FO1059"/>
      <c r="FP1059"/>
      <c r="FQ1059"/>
      <c r="FR1059"/>
      <c r="FS1059"/>
      <c r="FT1059"/>
      <c r="FU1059"/>
      <c r="FV1059"/>
      <c r="FW1059"/>
      <c r="FX1059"/>
      <c r="FY1059"/>
      <c r="FZ1059"/>
      <c r="GA1059"/>
      <c r="GB1059"/>
      <c r="GC1059"/>
    </row>
    <row r="1060" spans="1:185" x14ac:dyDescent="0.15">
      <c r="A1060"/>
      <c r="B1060"/>
      <c r="C1060"/>
      <c r="D1060"/>
      <c r="E1060"/>
      <c r="F1060"/>
      <c r="G1060"/>
      <c r="H1060"/>
      <c r="I1060"/>
      <c r="J1060"/>
      <c r="FK1060"/>
      <c r="FL1060"/>
      <c r="FM1060"/>
      <c r="FN1060"/>
      <c r="FO1060"/>
      <c r="FP1060"/>
      <c r="FQ1060"/>
      <c r="FR1060"/>
      <c r="FS1060"/>
      <c r="FT1060"/>
      <c r="FU1060"/>
      <c r="FV1060"/>
      <c r="FW1060"/>
      <c r="FX1060"/>
      <c r="FY1060"/>
      <c r="FZ1060"/>
      <c r="GA1060"/>
      <c r="GB1060"/>
      <c r="GC1060"/>
    </row>
    <row r="1061" spans="1:185" x14ac:dyDescent="0.15">
      <c r="A1061"/>
      <c r="B1061"/>
      <c r="C1061"/>
      <c r="D1061"/>
      <c r="E1061"/>
      <c r="F1061"/>
      <c r="G1061"/>
      <c r="H1061"/>
      <c r="I1061"/>
      <c r="J1061"/>
      <c r="FK1061"/>
      <c r="FL1061"/>
      <c r="FM1061"/>
      <c r="FN1061"/>
      <c r="FO1061"/>
      <c r="FP1061"/>
      <c r="FQ1061"/>
      <c r="FR1061"/>
      <c r="FS1061"/>
      <c r="FT1061"/>
      <c r="FU1061"/>
      <c r="FV1061"/>
      <c r="FW1061"/>
      <c r="FX1061"/>
      <c r="FY1061"/>
      <c r="FZ1061"/>
      <c r="GA1061"/>
      <c r="GB1061"/>
      <c r="GC1061"/>
    </row>
    <row r="1062" spans="1:185" x14ac:dyDescent="0.15">
      <c r="A1062"/>
      <c r="B1062"/>
      <c r="C1062"/>
      <c r="D1062"/>
      <c r="E1062"/>
      <c r="F1062"/>
      <c r="G1062"/>
      <c r="H1062"/>
      <c r="I1062"/>
      <c r="J1062"/>
      <c r="FK1062"/>
      <c r="FL1062"/>
      <c r="FM1062"/>
      <c r="FN1062"/>
      <c r="FO1062"/>
      <c r="FP1062"/>
      <c r="FQ1062"/>
      <c r="FR1062"/>
      <c r="FS1062"/>
      <c r="FT1062"/>
      <c r="FU1062"/>
      <c r="FV1062"/>
      <c r="FW1062"/>
      <c r="FX1062"/>
      <c r="FY1062"/>
      <c r="FZ1062"/>
      <c r="GA1062"/>
      <c r="GB1062"/>
      <c r="GC1062"/>
    </row>
    <row r="1063" spans="1:185" x14ac:dyDescent="0.15">
      <c r="A1063"/>
      <c r="B1063"/>
      <c r="C1063"/>
      <c r="D1063"/>
      <c r="E1063"/>
      <c r="F1063"/>
      <c r="G1063"/>
      <c r="H1063"/>
      <c r="I1063"/>
      <c r="J1063"/>
      <c r="FK1063"/>
      <c r="FL1063"/>
      <c r="FM1063"/>
      <c r="FN1063"/>
      <c r="FO1063"/>
      <c r="FP1063"/>
      <c r="FQ1063"/>
      <c r="FR1063"/>
      <c r="FS1063"/>
      <c r="FT1063"/>
      <c r="FU1063"/>
      <c r="FV1063"/>
      <c r="FW1063"/>
      <c r="FX1063"/>
      <c r="FY1063"/>
      <c r="FZ1063"/>
      <c r="GA1063"/>
      <c r="GB1063"/>
      <c r="GC1063"/>
    </row>
    <row r="1064" spans="1:185" x14ac:dyDescent="0.15">
      <c r="A1064"/>
      <c r="B1064"/>
      <c r="C1064"/>
      <c r="D1064"/>
      <c r="E1064"/>
      <c r="F1064"/>
      <c r="G1064"/>
      <c r="H1064"/>
      <c r="I1064"/>
      <c r="J1064"/>
      <c r="FK1064"/>
      <c r="FL1064"/>
      <c r="FM1064"/>
      <c r="FN1064"/>
      <c r="FO1064"/>
      <c r="FP1064"/>
      <c r="FQ1064"/>
      <c r="FR1064"/>
      <c r="FS1064"/>
      <c r="FT1064"/>
      <c r="FU1064"/>
      <c r="FV1064"/>
      <c r="FW1064"/>
      <c r="FX1064"/>
      <c r="FY1064"/>
      <c r="FZ1064"/>
      <c r="GA1064"/>
      <c r="GB1064"/>
      <c r="GC1064"/>
    </row>
    <row r="1065" spans="1:185" x14ac:dyDescent="0.15">
      <c r="A1065"/>
      <c r="B1065"/>
      <c r="C1065"/>
      <c r="D1065"/>
      <c r="E1065"/>
      <c r="F1065"/>
      <c r="G1065"/>
      <c r="H1065"/>
      <c r="I1065"/>
      <c r="J1065"/>
      <c r="FK1065"/>
      <c r="FL1065"/>
      <c r="FM1065"/>
      <c r="FN1065"/>
      <c r="FO1065"/>
      <c r="FP1065"/>
      <c r="FQ1065"/>
      <c r="FR1065"/>
      <c r="FS1065"/>
      <c r="FT1065"/>
      <c r="FU1065"/>
      <c r="FV1065"/>
      <c r="FW1065"/>
      <c r="FX1065"/>
      <c r="FY1065"/>
      <c r="FZ1065"/>
      <c r="GA1065"/>
      <c r="GB1065"/>
      <c r="GC1065"/>
    </row>
    <row r="1066" spans="1:185" x14ac:dyDescent="0.15">
      <c r="A1066"/>
      <c r="B1066"/>
      <c r="C1066"/>
      <c r="D1066"/>
      <c r="E1066"/>
      <c r="F1066"/>
      <c r="G1066"/>
      <c r="H1066"/>
      <c r="I1066"/>
      <c r="J1066"/>
      <c r="FK1066"/>
      <c r="FL1066"/>
      <c r="FM1066"/>
      <c r="FN1066"/>
      <c r="FO1066"/>
      <c r="FP1066"/>
      <c r="FQ1066"/>
      <c r="FR1066"/>
      <c r="FS1066"/>
      <c r="FT1066"/>
      <c r="FU1066"/>
      <c r="FV1066"/>
      <c r="FW1066"/>
      <c r="FX1066"/>
      <c r="FY1066"/>
      <c r="FZ1066"/>
      <c r="GA1066"/>
      <c r="GB1066"/>
      <c r="GC1066"/>
    </row>
    <row r="1067" spans="1:185" x14ac:dyDescent="0.15">
      <c r="A1067"/>
      <c r="B1067"/>
      <c r="C1067"/>
      <c r="D1067"/>
      <c r="E1067"/>
      <c r="F1067"/>
      <c r="G1067"/>
      <c r="H1067"/>
      <c r="I1067"/>
      <c r="J1067"/>
      <c r="FK1067"/>
      <c r="FL1067"/>
      <c r="FM1067"/>
      <c r="FN1067"/>
      <c r="FO1067"/>
      <c r="FP1067"/>
      <c r="FQ1067"/>
      <c r="FR1067"/>
      <c r="FS1067"/>
      <c r="FT1067"/>
      <c r="FU1067"/>
      <c r="FV1067"/>
      <c r="FW1067"/>
      <c r="FX1067"/>
      <c r="FY1067"/>
      <c r="FZ1067"/>
      <c r="GA1067"/>
      <c r="GB1067"/>
      <c r="GC1067"/>
    </row>
    <row r="1068" spans="1:185" x14ac:dyDescent="0.15">
      <c r="A1068"/>
      <c r="B1068"/>
      <c r="C1068"/>
      <c r="D1068"/>
      <c r="E1068"/>
      <c r="F1068"/>
      <c r="G1068"/>
      <c r="H1068"/>
      <c r="I1068"/>
      <c r="J1068"/>
      <c r="FK1068"/>
      <c r="FL1068"/>
      <c r="FM1068"/>
      <c r="FN1068"/>
      <c r="FO1068"/>
      <c r="FP1068"/>
      <c r="FQ1068"/>
      <c r="FR1068"/>
      <c r="FS1068"/>
      <c r="FT1068"/>
      <c r="FU1068"/>
      <c r="FV1068"/>
      <c r="FW1068"/>
      <c r="FX1068"/>
      <c r="FY1068"/>
      <c r="FZ1068"/>
      <c r="GA1068"/>
      <c r="GB1068"/>
      <c r="GC1068"/>
    </row>
    <row r="1069" spans="1:185" x14ac:dyDescent="0.15">
      <c r="A1069"/>
      <c r="B1069"/>
      <c r="C1069"/>
      <c r="D1069"/>
      <c r="E1069"/>
      <c r="F1069"/>
      <c r="G1069"/>
      <c r="H1069"/>
      <c r="I1069"/>
      <c r="J1069"/>
      <c r="FK1069"/>
      <c r="FL1069"/>
      <c r="FM1069"/>
      <c r="FN1069"/>
      <c r="FO1069"/>
      <c r="FP1069"/>
      <c r="FQ1069"/>
      <c r="FR1069"/>
      <c r="FS1069"/>
      <c r="FT1069"/>
      <c r="FU1069"/>
      <c r="FV1069"/>
      <c r="FW1069"/>
      <c r="FX1069"/>
      <c r="FY1069"/>
      <c r="FZ1069"/>
      <c r="GA1069"/>
      <c r="GB1069"/>
      <c r="GC1069"/>
    </row>
    <row r="1070" spans="1:185" x14ac:dyDescent="0.15">
      <c r="A1070"/>
      <c r="B1070"/>
      <c r="C1070"/>
      <c r="D1070"/>
      <c r="E1070"/>
      <c r="F1070"/>
      <c r="G1070"/>
      <c r="H1070"/>
      <c r="I1070"/>
      <c r="J1070"/>
      <c r="FK1070"/>
      <c r="FL1070"/>
      <c r="FM1070"/>
      <c r="FN1070"/>
      <c r="FO1070"/>
      <c r="FP1070"/>
      <c r="FQ1070"/>
      <c r="FR1070"/>
      <c r="FS1070"/>
      <c r="FT1070"/>
      <c r="FU1070"/>
      <c r="FV1070"/>
      <c r="FW1070"/>
      <c r="FX1070"/>
      <c r="FY1070"/>
      <c r="FZ1070"/>
      <c r="GA1070"/>
      <c r="GB1070"/>
      <c r="GC1070"/>
    </row>
    <row r="1071" spans="1:185" x14ac:dyDescent="0.15">
      <c r="A1071"/>
      <c r="B1071"/>
      <c r="C1071"/>
      <c r="D1071"/>
      <c r="E1071"/>
      <c r="F1071"/>
      <c r="G1071"/>
      <c r="H1071"/>
      <c r="I1071"/>
      <c r="J1071"/>
      <c r="FK1071"/>
      <c r="FL1071"/>
      <c r="FM1071"/>
      <c r="FN1071"/>
      <c r="FO1071"/>
      <c r="FP1071"/>
      <c r="FQ1071"/>
      <c r="FR1071"/>
      <c r="FS1071"/>
      <c r="FT1071"/>
      <c r="FU1071"/>
      <c r="FV1071"/>
      <c r="FW1071"/>
      <c r="FX1071"/>
      <c r="FY1071"/>
      <c r="FZ1071"/>
      <c r="GA1071"/>
      <c r="GB1071"/>
      <c r="GC1071"/>
    </row>
    <row r="1072" spans="1:185" x14ac:dyDescent="0.15">
      <c r="A1072"/>
      <c r="B1072"/>
      <c r="C1072"/>
      <c r="D1072"/>
      <c r="E1072"/>
      <c r="F1072"/>
      <c r="G1072"/>
      <c r="H1072"/>
      <c r="I1072"/>
      <c r="J1072"/>
      <c r="FK1072"/>
      <c r="FL1072"/>
      <c r="FM1072"/>
      <c r="FN1072"/>
      <c r="FO1072"/>
      <c r="FP1072"/>
      <c r="FQ1072"/>
      <c r="FR1072"/>
      <c r="FS1072"/>
      <c r="FT1072"/>
      <c r="FU1072"/>
      <c r="FV1072"/>
      <c r="FW1072"/>
      <c r="FX1072"/>
      <c r="FY1072"/>
      <c r="FZ1072"/>
      <c r="GA1072"/>
      <c r="GB1072"/>
      <c r="GC1072"/>
    </row>
    <row r="1073" spans="1:185" x14ac:dyDescent="0.15">
      <c r="A1073"/>
      <c r="B1073"/>
      <c r="C1073"/>
      <c r="D1073"/>
      <c r="E1073"/>
      <c r="F1073"/>
      <c r="G1073"/>
      <c r="H1073"/>
      <c r="I1073"/>
      <c r="J1073"/>
      <c r="FK1073"/>
      <c r="FL1073"/>
      <c r="FM1073"/>
      <c r="FN1073"/>
      <c r="FO1073"/>
      <c r="FP1073"/>
      <c r="FQ1073"/>
      <c r="FR1073"/>
      <c r="FS1073"/>
      <c r="FT1073"/>
      <c r="FU1073"/>
      <c r="FV1073"/>
      <c r="FW1073"/>
      <c r="FX1073"/>
      <c r="FY1073"/>
      <c r="FZ1073"/>
      <c r="GA1073"/>
      <c r="GB1073"/>
      <c r="GC1073"/>
    </row>
    <row r="1074" spans="1:185" x14ac:dyDescent="0.15">
      <c r="A1074"/>
      <c r="B1074"/>
      <c r="C1074"/>
      <c r="D1074"/>
      <c r="E1074"/>
      <c r="F1074"/>
      <c r="G1074"/>
      <c r="H1074"/>
      <c r="I1074"/>
      <c r="J1074"/>
      <c r="FK1074"/>
      <c r="FL1074"/>
      <c r="FM1074"/>
      <c r="FN1074"/>
      <c r="FO1074"/>
      <c r="FP1074"/>
      <c r="FQ1074"/>
      <c r="FR1074"/>
      <c r="FS1074"/>
      <c r="FT1074"/>
      <c r="FU1074"/>
      <c r="FV1074"/>
      <c r="FW1074"/>
      <c r="FX1074"/>
      <c r="FY1074"/>
      <c r="FZ1074"/>
      <c r="GA1074"/>
      <c r="GB1074"/>
      <c r="GC1074"/>
    </row>
    <row r="1075" spans="1:185" x14ac:dyDescent="0.15">
      <c r="A1075"/>
      <c r="B1075"/>
      <c r="C1075"/>
      <c r="D1075"/>
      <c r="E1075"/>
      <c r="F1075"/>
      <c r="G1075"/>
      <c r="H1075"/>
      <c r="I1075"/>
      <c r="J1075"/>
      <c r="FK1075"/>
      <c r="FL1075"/>
      <c r="FM1075"/>
      <c r="FN1075"/>
      <c r="FO1075"/>
      <c r="FP1075"/>
      <c r="FQ1075"/>
      <c r="FR1075"/>
      <c r="FS1075"/>
      <c r="FT1075"/>
      <c r="FU1075"/>
      <c r="FV1075"/>
      <c r="FW1075"/>
      <c r="FX1075"/>
      <c r="FY1075"/>
      <c r="FZ1075"/>
      <c r="GA1075"/>
      <c r="GB1075"/>
      <c r="GC1075"/>
    </row>
    <row r="1076" spans="1:185" x14ac:dyDescent="0.15">
      <c r="A1076"/>
      <c r="B1076"/>
      <c r="C1076"/>
      <c r="D1076"/>
      <c r="E1076"/>
      <c r="F1076"/>
      <c r="G1076"/>
      <c r="H1076"/>
      <c r="I1076"/>
      <c r="J1076"/>
      <c r="FK1076"/>
      <c r="FL1076"/>
      <c r="FM1076"/>
      <c r="FN1076"/>
      <c r="FO1076"/>
      <c r="FP1076"/>
      <c r="FQ1076"/>
      <c r="FR1076"/>
      <c r="FS1076"/>
      <c r="FT1076"/>
      <c r="FU1076"/>
      <c r="FV1076"/>
      <c r="FW1076"/>
      <c r="FX1076"/>
      <c r="FY1076"/>
      <c r="FZ1076"/>
      <c r="GA1076"/>
      <c r="GB1076"/>
      <c r="GC1076"/>
    </row>
    <row r="1077" spans="1:185" x14ac:dyDescent="0.15">
      <c r="A1077"/>
      <c r="B1077"/>
      <c r="C1077"/>
      <c r="D1077"/>
      <c r="E1077"/>
      <c r="F1077"/>
      <c r="G1077"/>
      <c r="H1077"/>
      <c r="I1077"/>
      <c r="J1077"/>
      <c r="FK1077"/>
      <c r="FL1077"/>
      <c r="FM1077"/>
      <c r="FN1077"/>
      <c r="FO1077"/>
      <c r="FP1077"/>
      <c r="FQ1077"/>
      <c r="FR1077"/>
      <c r="FS1077"/>
      <c r="FT1077"/>
      <c r="FU1077"/>
      <c r="FV1077"/>
      <c r="FW1077"/>
      <c r="FX1077"/>
      <c r="FY1077"/>
      <c r="FZ1077"/>
      <c r="GA1077"/>
      <c r="GB1077"/>
      <c r="GC1077"/>
    </row>
    <row r="1078" spans="1:185" x14ac:dyDescent="0.15">
      <c r="A1078"/>
      <c r="B1078"/>
      <c r="C1078"/>
      <c r="D1078"/>
      <c r="E1078"/>
      <c r="F1078"/>
      <c r="G1078"/>
      <c r="H1078"/>
      <c r="I1078"/>
      <c r="J1078"/>
      <c r="FK1078"/>
      <c r="FL1078"/>
      <c r="FM1078"/>
      <c r="FN1078"/>
      <c r="FO1078"/>
      <c r="FP1078"/>
      <c r="FQ1078"/>
      <c r="FR1078"/>
      <c r="FS1078"/>
      <c r="FT1078"/>
      <c r="FU1078"/>
      <c r="FV1078"/>
      <c r="FW1078"/>
      <c r="FX1078"/>
      <c r="FY1078"/>
      <c r="FZ1078"/>
      <c r="GA1078"/>
      <c r="GB1078"/>
      <c r="GC1078"/>
    </row>
    <row r="1079" spans="1:185" x14ac:dyDescent="0.15">
      <c r="A1079"/>
      <c r="B1079"/>
      <c r="C1079"/>
      <c r="D1079"/>
      <c r="E1079"/>
      <c r="F1079"/>
      <c r="G1079"/>
      <c r="H1079"/>
      <c r="I1079"/>
      <c r="J1079"/>
      <c r="FK1079"/>
      <c r="FL1079"/>
      <c r="FM1079"/>
      <c r="FN1079"/>
      <c r="FO1079"/>
      <c r="FP1079"/>
      <c r="FQ1079"/>
      <c r="FR1079"/>
      <c r="FS1079"/>
      <c r="FT1079"/>
      <c r="FU1079"/>
      <c r="FV1079"/>
      <c r="FW1079"/>
      <c r="FX1079"/>
      <c r="FY1079"/>
      <c r="FZ1079"/>
      <c r="GA1079"/>
      <c r="GB1079"/>
      <c r="GC1079"/>
    </row>
    <row r="1080" spans="1:185" x14ac:dyDescent="0.15">
      <c r="A1080"/>
      <c r="B1080"/>
      <c r="C1080"/>
      <c r="D1080"/>
      <c r="E1080"/>
      <c r="F1080"/>
      <c r="G1080"/>
      <c r="H1080"/>
      <c r="I1080"/>
      <c r="J1080"/>
      <c r="FK1080"/>
      <c r="FL1080"/>
      <c r="FM1080"/>
      <c r="FN1080"/>
      <c r="FO1080"/>
      <c r="FP1080"/>
      <c r="FQ1080"/>
      <c r="FR1080"/>
      <c r="FS1080"/>
      <c r="FT1080"/>
      <c r="FU1080"/>
      <c r="FV1080"/>
      <c r="FW1080"/>
      <c r="FX1080"/>
      <c r="FY1080"/>
      <c r="FZ1080"/>
      <c r="GA1080"/>
      <c r="GB1080"/>
      <c r="GC1080"/>
    </row>
    <row r="1081" spans="1:185" x14ac:dyDescent="0.15">
      <c r="A1081"/>
      <c r="B1081"/>
      <c r="C1081"/>
      <c r="D1081"/>
      <c r="E1081"/>
      <c r="F1081"/>
      <c r="G1081"/>
      <c r="H1081"/>
      <c r="I1081"/>
      <c r="J1081"/>
      <c r="FK1081"/>
      <c r="FL1081"/>
      <c r="FM1081"/>
      <c r="FN1081"/>
      <c r="FO1081"/>
      <c r="FP1081"/>
      <c r="FQ1081"/>
      <c r="FR1081"/>
      <c r="FS1081"/>
      <c r="FT1081"/>
      <c r="FU1081"/>
      <c r="FV1081"/>
      <c r="FW1081"/>
      <c r="FX1081"/>
      <c r="FY1081"/>
      <c r="FZ1081"/>
      <c r="GA1081"/>
      <c r="GB1081"/>
      <c r="GC1081"/>
    </row>
    <row r="1082" spans="1:185" x14ac:dyDescent="0.15">
      <c r="A1082"/>
      <c r="B1082"/>
      <c r="C1082"/>
      <c r="D1082"/>
      <c r="E1082"/>
      <c r="F1082"/>
      <c r="G1082"/>
      <c r="H1082"/>
      <c r="I1082"/>
      <c r="J1082"/>
      <c r="FK1082"/>
      <c r="FL1082"/>
      <c r="FM1082"/>
      <c r="FN1082"/>
      <c r="FO1082"/>
      <c r="FP1082"/>
      <c r="FQ1082"/>
      <c r="FR1082"/>
      <c r="FS1082"/>
      <c r="FT1082"/>
      <c r="FU1082"/>
      <c r="FV1082"/>
      <c r="FW1082"/>
      <c r="FX1082"/>
      <c r="FY1082"/>
      <c r="FZ1082"/>
      <c r="GA1082"/>
      <c r="GB1082"/>
      <c r="GC1082"/>
    </row>
    <row r="1083" spans="1:185" x14ac:dyDescent="0.15">
      <c r="A1083"/>
      <c r="B1083"/>
      <c r="C1083"/>
      <c r="D1083"/>
      <c r="E1083"/>
      <c r="F1083"/>
      <c r="G1083"/>
      <c r="H1083"/>
      <c r="I1083"/>
      <c r="J1083"/>
      <c r="FK1083"/>
      <c r="FL1083"/>
      <c r="FM1083"/>
      <c r="FN1083"/>
      <c r="FO1083"/>
      <c r="FP1083"/>
      <c r="FQ1083"/>
      <c r="FR1083"/>
      <c r="FS1083"/>
      <c r="FT1083"/>
      <c r="FU1083"/>
      <c r="FV1083"/>
      <c r="FW1083"/>
      <c r="FX1083"/>
      <c r="FY1083"/>
      <c r="FZ1083"/>
      <c r="GA1083"/>
      <c r="GB1083"/>
      <c r="GC1083"/>
    </row>
    <row r="1084" spans="1:185" x14ac:dyDescent="0.15">
      <c r="A1084"/>
      <c r="B1084"/>
      <c r="C1084"/>
      <c r="D1084"/>
      <c r="E1084"/>
      <c r="F1084"/>
      <c r="G1084"/>
      <c r="H1084"/>
      <c r="I1084"/>
      <c r="J1084"/>
      <c r="FK1084"/>
      <c r="FL1084"/>
      <c r="FM1084"/>
      <c r="FN1084"/>
      <c r="FO1084"/>
      <c r="FP1084"/>
      <c r="FQ1084"/>
      <c r="FR1084"/>
      <c r="FS1084"/>
      <c r="FT1084"/>
      <c r="FU1084"/>
      <c r="FV1084"/>
      <c r="FW1084"/>
      <c r="FX1084"/>
      <c r="FY1084"/>
      <c r="FZ1084"/>
      <c r="GA1084"/>
      <c r="GB1084"/>
      <c r="GC1084"/>
    </row>
    <row r="1085" spans="1:185" x14ac:dyDescent="0.15">
      <c r="A1085"/>
      <c r="B1085"/>
      <c r="C1085"/>
      <c r="D1085"/>
      <c r="E1085"/>
      <c r="F1085"/>
      <c r="G1085"/>
      <c r="H1085"/>
      <c r="I1085"/>
      <c r="J1085"/>
      <c r="FK1085"/>
      <c r="FL1085"/>
      <c r="FM1085"/>
      <c r="FN1085"/>
      <c r="FO1085"/>
      <c r="FP1085"/>
      <c r="FQ1085"/>
      <c r="FR1085"/>
      <c r="FS1085"/>
      <c r="FT1085"/>
      <c r="FU1085"/>
      <c r="FV1085"/>
      <c r="FW1085"/>
      <c r="FX1085"/>
      <c r="FY1085"/>
      <c r="FZ1085"/>
      <c r="GA1085"/>
      <c r="GB1085"/>
      <c r="GC1085"/>
    </row>
    <row r="1086" spans="1:185" x14ac:dyDescent="0.15">
      <c r="A1086"/>
      <c r="B1086"/>
      <c r="C1086"/>
      <c r="D1086"/>
      <c r="E1086"/>
      <c r="F1086"/>
      <c r="G1086"/>
      <c r="H1086"/>
      <c r="I1086"/>
      <c r="J1086"/>
      <c r="FK1086"/>
      <c r="FL1086"/>
      <c r="FM1086"/>
      <c r="FN1086"/>
      <c r="FO1086"/>
      <c r="FP1086"/>
      <c r="FQ1086"/>
      <c r="FR1086"/>
      <c r="FS1086"/>
      <c r="FT1086"/>
      <c r="FU1086"/>
      <c r="FV1086"/>
      <c r="FW1086"/>
      <c r="FX1086"/>
      <c r="FY1086"/>
      <c r="FZ1086"/>
      <c r="GA1086"/>
      <c r="GB1086"/>
      <c r="GC1086"/>
    </row>
    <row r="1087" spans="1:185" x14ac:dyDescent="0.15">
      <c r="A1087"/>
      <c r="B1087"/>
      <c r="C1087"/>
      <c r="D1087"/>
      <c r="E1087"/>
      <c r="F1087"/>
      <c r="G1087"/>
      <c r="H1087"/>
      <c r="I1087"/>
      <c r="J1087"/>
      <c r="FK1087"/>
      <c r="FL1087"/>
      <c r="FM1087"/>
      <c r="FN1087"/>
      <c r="FO1087"/>
      <c r="FP1087"/>
      <c r="FQ1087"/>
      <c r="FR1087"/>
      <c r="FS1087"/>
      <c r="FT1087"/>
      <c r="FU1087"/>
      <c r="FV1087"/>
      <c r="FW1087"/>
      <c r="FX1087"/>
      <c r="FY1087"/>
      <c r="FZ1087"/>
      <c r="GA1087"/>
      <c r="GB1087"/>
      <c r="GC1087"/>
    </row>
    <row r="1088" spans="1:185" x14ac:dyDescent="0.15">
      <c r="A1088"/>
      <c r="B1088"/>
      <c r="C1088"/>
      <c r="D1088"/>
      <c r="E1088"/>
      <c r="F1088"/>
      <c r="G1088"/>
      <c r="H1088"/>
      <c r="I1088"/>
      <c r="J1088"/>
      <c r="FK1088"/>
      <c r="FL1088"/>
      <c r="FM1088"/>
      <c r="FN1088"/>
      <c r="FO1088"/>
      <c r="FP1088"/>
      <c r="FQ1088"/>
      <c r="FR1088"/>
      <c r="FS1088"/>
      <c r="FT1088"/>
      <c r="FU1088"/>
      <c r="FV1088"/>
      <c r="FW1088"/>
      <c r="FX1088"/>
      <c r="FY1088"/>
      <c r="FZ1088"/>
      <c r="GA1088"/>
      <c r="GB1088"/>
      <c r="GC1088"/>
    </row>
    <row r="1089" spans="1:185" x14ac:dyDescent="0.15">
      <c r="A1089"/>
      <c r="B1089"/>
      <c r="C1089"/>
      <c r="D1089"/>
      <c r="E1089"/>
      <c r="F1089"/>
      <c r="G1089"/>
      <c r="H1089"/>
      <c r="I1089"/>
      <c r="J1089"/>
      <c r="FK1089"/>
      <c r="FL1089"/>
      <c r="FM1089"/>
      <c r="FN1089"/>
      <c r="FO1089"/>
      <c r="FP1089"/>
      <c r="FQ1089"/>
      <c r="FR1089"/>
      <c r="FS1089"/>
      <c r="FT1089"/>
      <c r="FU1089"/>
      <c r="FV1089"/>
      <c r="FW1089"/>
      <c r="FX1089"/>
      <c r="FY1089"/>
      <c r="FZ1089"/>
      <c r="GA1089"/>
      <c r="GB1089"/>
      <c r="GC1089"/>
    </row>
    <row r="1090" spans="1:185" x14ac:dyDescent="0.15">
      <c r="A1090"/>
      <c r="B1090"/>
      <c r="C1090"/>
      <c r="D1090"/>
      <c r="E1090"/>
      <c r="F1090"/>
      <c r="G1090"/>
      <c r="H1090"/>
      <c r="I1090"/>
      <c r="J1090"/>
      <c r="FK1090"/>
      <c r="FL1090"/>
      <c r="FM1090"/>
      <c r="FN1090"/>
      <c r="FO1090"/>
      <c r="FP1090"/>
      <c r="FQ1090"/>
      <c r="FR1090"/>
      <c r="FS1090"/>
      <c r="FT1090"/>
      <c r="FU1090"/>
      <c r="FV1090"/>
      <c r="FW1090"/>
      <c r="FX1090"/>
      <c r="FY1090"/>
      <c r="FZ1090"/>
      <c r="GA1090"/>
      <c r="GB1090"/>
      <c r="GC1090"/>
    </row>
    <row r="1091" spans="1:185" x14ac:dyDescent="0.15">
      <c r="A1091"/>
      <c r="B1091"/>
      <c r="C1091"/>
      <c r="D1091"/>
      <c r="E1091"/>
      <c r="F1091"/>
      <c r="G1091"/>
      <c r="H1091"/>
      <c r="I1091"/>
      <c r="J1091"/>
      <c r="FK1091"/>
      <c r="FL1091"/>
      <c r="FM1091"/>
      <c r="FN1091"/>
      <c r="FO1091"/>
      <c r="FP1091"/>
      <c r="FQ1091"/>
      <c r="FR1091"/>
      <c r="FS1091"/>
      <c r="FT1091"/>
      <c r="FU1091"/>
      <c r="FV1091"/>
      <c r="FW1091"/>
      <c r="FX1091"/>
      <c r="FY1091"/>
      <c r="FZ1091"/>
      <c r="GA1091"/>
      <c r="GB1091"/>
      <c r="GC1091"/>
    </row>
    <row r="1092" spans="1:185" x14ac:dyDescent="0.15">
      <c r="A1092"/>
      <c r="B1092"/>
      <c r="C1092"/>
      <c r="D1092"/>
      <c r="E1092"/>
      <c r="F1092"/>
      <c r="G1092"/>
      <c r="H1092"/>
      <c r="I1092"/>
      <c r="J1092"/>
      <c r="FK1092"/>
      <c r="FL1092"/>
      <c r="FM1092"/>
      <c r="FN1092"/>
      <c r="FO1092"/>
      <c r="FP1092"/>
      <c r="FQ1092"/>
      <c r="FR1092"/>
      <c r="FS1092"/>
      <c r="FT1092"/>
      <c r="FU1092"/>
      <c r="FV1092"/>
      <c r="FW1092"/>
      <c r="FX1092"/>
      <c r="FY1092"/>
      <c r="FZ1092"/>
      <c r="GA1092"/>
      <c r="GB1092"/>
      <c r="GC1092"/>
    </row>
    <row r="1093" spans="1:185" x14ac:dyDescent="0.15">
      <c r="A1093"/>
      <c r="B1093"/>
      <c r="C1093"/>
      <c r="D1093"/>
      <c r="E1093"/>
      <c r="F1093"/>
      <c r="G1093"/>
      <c r="H1093"/>
      <c r="I1093"/>
      <c r="J1093"/>
      <c r="FK1093"/>
      <c r="FL1093"/>
      <c r="FM1093"/>
      <c r="FN1093"/>
      <c r="FO1093"/>
      <c r="FP1093"/>
      <c r="FQ1093"/>
      <c r="FR1093"/>
      <c r="FS1093"/>
      <c r="FT1093"/>
      <c r="FU1093"/>
      <c r="FV1093"/>
      <c r="FW1093"/>
      <c r="FX1093"/>
      <c r="FY1093"/>
      <c r="FZ1093"/>
      <c r="GA1093"/>
      <c r="GB1093"/>
      <c r="GC1093"/>
    </row>
    <row r="1094" spans="1:185" x14ac:dyDescent="0.15">
      <c r="A1094"/>
      <c r="B1094"/>
      <c r="C1094"/>
      <c r="D1094"/>
      <c r="E1094"/>
      <c r="F1094"/>
      <c r="G1094"/>
      <c r="H1094"/>
      <c r="I1094"/>
      <c r="J1094"/>
      <c r="FK1094"/>
      <c r="FL1094"/>
      <c r="FM1094"/>
      <c r="FN1094"/>
      <c r="FO1094"/>
      <c r="FP1094"/>
      <c r="FQ1094"/>
      <c r="FR1094"/>
      <c r="FS1094"/>
      <c r="FT1094"/>
      <c r="FU1094"/>
      <c r="FV1094"/>
      <c r="FW1094"/>
      <c r="FX1094"/>
      <c r="FY1094"/>
      <c r="FZ1094"/>
      <c r="GA1094"/>
      <c r="GB1094"/>
      <c r="GC1094"/>
    </row>
    <row r="1095" spans="1:185" x14ac:dyDescent="0.15">
      <c r="A1095"/>
      <c r="B1095"/>
      <c r="C1095"/>
      <c r="D1095"/>
      <c r="E1095"/>
      <c r="F1095"/>
      <c r="G1095"/>
      <c r="H1095"/>
      <c r="I1095"/>
      <c r="J1095"/>
      <c r="FK1095"/>
      <c r="FL1095"/>
      <c r="FM1095"/>
      <c r="FN1095"/>
      <c r="FO1095"/>
      <c r="FP1095"/>
      <c r="FQ1095"/>
      <c r="FR1095"/>
      <c r="FS1095"/>
      <c r="FT1095"/>
      <c r="FU1095"/>
      <c r="FV1095"/>
      <c r="FW1095"/>
      <c r="FX1095"/>
      <c r="FY1095"/>
      <c r="FZ1095"/>
      <c r="GA1095"/>
      <c r="GB1095"/>
      <c r="GC1095"/>
    </row>
    <row r="1096" spans="1:185" x14ac:dyDescent="0.15">
      <c r="A1096"/>
      <c r="B1096"/>
      <c r="C1096"/>
      <c r="D1096"/>
      <c r="E1096"/>
      <c r="F1096"/>
      <c r="G1096"/>
      <c r="H1096"/>
      <c r="I1096"/>
      <c r="J1096"/>
      <c r="FK1096"/>
      <c r="FL1096"/>
      <c r="FM1096"/>
      <c r="FN1096"/>
      <c r="FO1096"/>
      <c r="FP1096"/>
      <c r="FQ1096"/>
      <c r="FR1096"/>
      <c r="FS1096"/>
      <c r="FT1096"/>
      <c r="FU1096"/>
      <c r="FV1096"/>
      <c r="FW1096"/>
      <c r="FX1096"/>
      <c r="FY1096"/>
      <c r="FZ1096"/>
      <c r="GA1096"/>
      <c r="GB1096"/>
      <c r="GC1096"/>
    </row>
    <row r="1097" spans="1:185" x14ac:dyDescent="0.15">
      <c r="A1097"/>
      <c r="B1097"/>
      <c r="C1097"/>
      <c r="D1097"/>
      <c r="E1097"/>
      <c r="F1097"/>
      <c r="G1097"/>
      <c r="H1097"/>
      <c r="I1097"/>
      <c r="J1097"/>
      <c r="FK1097"/>
      <c r="FL1097"/>
      <c r="FM1097"/>
      <c r="FN1097"/>
      <c r="FO1097"/>
      <c r="FP1097"/>
      <c r="FQ1097"/>
      <c r="FR1097"/>
      <c r="FS1097"/>
      <c r="FT1097"/>
      <c r="FU1097"/>
      <c r="FV1097"/>
      <c r="FW1097"/>
      <c r="FX1097"/>
      <c r="FY1097"/>
      <c r="FZ1097"/>
      <c r="GA1097"/>
      <c r="GB1097"/>
      <c r="GC1097"/>
    </row>
    <row r="1098" spans="1:185" x14ac:dyDescent="0.15">
      <c r="A1098"/>
      <c r="B1098"/>
      <c r="C1098"/>
      <c r="D1098"/>
      <c r="E1098"/>
      <c r="F1098"/>
      <c r="G1098"/>
      <c r="H1098"/>
      <c r="I1098"/>
      <c r="J1098"/>
      <c r="FK1098"/>
      <c r="FL1098"/>
      <c r="FM1098"/>
      <c r="FN1098"/>
      <c r="FO1098"/>
      <c r="FP1098"/>
      <c r="FQ1098"/>
      <c r="FR1098"/>
      <c r="FS1098"/>
      <c r="FT1098"/>
      <c r="FU1098"/>
      <c r="FV1098"/>
      <c r="FW1098"/>
      <c r="FX1098"/>
      <c r="FY1098"/>
      <c r="FZ1098"/>
      <c r="GA1098"/>
      <c r="GB1098"/>
      <c r="GC1098"/>
    </row>
    <row r="1099" spans="1:185" x14ac:dyDescent="0.15">
      <c r="A1099"/>
      <c r="B1099"/>
      <c r="C1099"/>
      <c r="D1099"/>
      <c r="E1099"/>
      <c r="F1099"/>
      <c r="G1099"/>
      <c r="H1099"/>
      <c r="I1099"/>
      <c r="J1099"/>
      <c r="FK1099"/>
      <c r="FL1099"/>
      <c r="FM1099"/>
      <c r="FN1099"/>
      <c r="FO1099"/>
      <c r="FP1099"/>
      <c r="FQ1099"/>
      <c r="FR1099"/>
      <c r="FS1099"/>
      <c r="FT1099"/>
      <c r="FU1099"/>
      <c r="FV1099"/>
      <c r="FW1099"/>
      <c r="FX1099"/>
      <c r="FY1099"/>
      <c r="FZ1099"/>
      <c r="GA1099"/>
      <c r="GB1099"/>
      <c r="GC1099"/>
    </row>
    <row r="1100" spans="1:185" x14ac:dyDescent="0.15">
      <c r="A1100"/>
      <c r="B1100"/>
      <c r="C1100"/>
      <c r="D1100"/>
      <c r="E1100"/>
      <c r="F1100"/>
      <c r="G1100"/>
      <c r="H1100"/>
      <c r="I1100"/>
      <c r="J1100"/>
      <c r="FK1100"/>
      <c r="FL1100"/>
      <c r="FM1100"/>
      <c r="FN1100"/>
      <c r="FO1100"/>
      <c r="FP1100"/>
      <c r="FQ1100"/>
      <c r="FR1100"/>
      <c r="FS1100"/>
      <c r="FT1100"/>
      <c r="FU1100"/>
      <c r="FV1100"/>
      <c r="FW1100"/>
      <c r="FX1100"/>
      <c r="FY1100"/>
      <c r="FZ1100"/>
      <c r="GA1100"/>
      <c r="GB1100"/>
      <c r="GC1100"/>
    </row>
    <row r="1101" spans="1:185" x14ac:dyDescent="0.15">
      <c r="A1101"/>
      <c r="B1101"/>
      <c r="C1101"/>
      <c r="D1101"/>
      <c r="E1101"/>
      <c r="F1101"/>
      <c r="G1101"/>
      <c r="H1101"/>
      <c r="I1101"/>
      <c r="J1101"/>
      <c r="FK1101"/>
      <c r="FL1101"/>
      <c r="FM1101"/>
      <c r="FN1101"/>
      <c r="FO1101"/>
      <c r="FP1101"/>
      <c r="FQ1101"/>
      <c r="FR1101"/>
      <c r="FS1101"/>
      <c r="FT1101"/>
      <c r="FU1101"/>
      <c r="FV1101"/>
      <c r="FW1101"/>
      <c r="FX1101"/>
      <c r="FY1101"/>
      <c r="FZ1101"/>
      <c r="GA1101"/>
      <c r="GB1101"/>
      <c r="GC1101"/>
    </row>
    <row r="1102" spans="1:185" x14ac:dyDescent="0.15">
      <c r="A1102"/>
      <c r="B1102"/>
      <c r="C1102"/>
      <c r="D1102"/>
      <c r="E1102"/>
      <c r="F1102"/>
      <c r="G1102"/>
      <c r="H1102"/>
      <c r="I1102"/>
      <c r="J1102"/>
      <c r="FK1102"/>
      <c r="FL1102"/>
      <c r="FM1102"/>
      <c r="FN1102"/>
      <c r="FO1102"/>
      <c r="FP1102"/>
      <c r="FQ1102"/>
      <c r="FR1102"/>
      <c r="FS1102"/>
      <c r="FT1102"/>
      <c r="FU1102"/>
      <c r="FV1102"/>
      <c r="FW1102"/>
      <c r="FX1102"/>
      <c r="FY1102"/>
      <c r="FZ1102"/>
      <c r="GA1102"/>
      <c r="GB1102"/>
      <c r="GC1102"/>
    </row>
    <row r="1103" spans="1:185" x14ac:dyDescent="0.15">
      <c r="A1103"/>
      <c r="B1103"/>
      <c r="C1103"/>
      <c r="D1103"/>
      <c r="E1103"/>
      <c r="F1103"/>
      <c r="G1103"/>
      <c r="H1103"/>
      <c r="I1103"/>
      <c r="J1103"/>
      <c r="FK1103"/>
      <c r="FL1103"/>
      <c r="FM1103"/>
      <c r="FN1103"/>
      <c r="FO1103"/>
      <c r="FP1103"/>
      <c r="FQ1103"/>
      <c r="FR1103"/>
      <c r="FS1103"/>
      <c r="FT1103"/>
      <c r="FU1103"/>
      <c r="FV1103"/>
      <c r="FW1103"/>
      <c r="FX1103"/>
      <c r="FY1103"/>
      <c r="FZ1103"/>
      <c r="GA1103"/>
      <c r="GB1103"/>
      <c r="GC1103"/>
    </row>
    <row r="1104" spans="1:185" x14ac:dyDescent="0.15">
      <c r="A1104"/>
      <c r="B1104"/>
      <c r="C1104"/>
      <c r="D1104"/>
      <c r="E1104"/>
      <c r="F1104"/>
      <c r="G1104"/>
      <c r="H1104"/>
      <c r="I1104"/>
      <c r="J1104"/>
      <c r="FK1104"/>
      <c r="FL1104"/>
      <c r="FM1104"/>
      <c r="FN1104"/>
      <c r="FO1104"/>
      <c r="FP1104"/>
      <c r="FQ1104"/>
      <c r="FR1104"/>
      <c r="FS1104"/>
      <c r="FT1104"/>
      <c r="FU1104"/>
      <c r="FV1104"/>
      <c r="FW1104"/>
      <c r="FX1104"/>
      <c r="FY1104"/>
      <c r="FZ1104"/>
      <c r="GA1104"/>
      <c r="GB1104"/>
      <c r="GC1104"/>
    </row>
    <row r="1105" spans="1:185" x14ac:dyDescent="0.15">
      <c r="A1105"/>
      <c r="B1105"/>
      <c r="C1105"/>
      <c r="D1105"/>
      <c r="E1105"/>
      <c r="F1105"/>
      <c r="G1105"/>
      <c r="H1105"/>
      <c r="I1105"/>
      <c r="J1105"/>
      <c r="FK1105"/>
      <c r="FL1105"/>
      <c r="FM1105"/>
      <c r="FN1105"/>
      <c r="FO1105"/>
      <c r="FP1105"/>
      <c r="FQ1105"/>
      <c r="FR1105"/>
      <c r="FS1105"/>
      <c r="FT1105"/>
      <c r="FU1105"/>
      <c r="FV1105"/>
      <c r="FW1105"/>
      <c r="FX1105"/>
      <c r="FY1105"/>
      <c r="FZ1105"/>
      <c r="GA1105"/>
      <c r="GB1105"/>
      <c r="GC1105"/>
    </row>
    <row r="1106" spans="1:185" x14ac:dyDescent="0.15">
      <c r="A1106"/>
      <c r="B1106"/>
      <c r="C1106"/>
      <c r="D1106"/>
      <c r="E1106"/>
      <c r="F1106"/>
      <c r="G1106"/>
      <c r="H1106"/>
      <c r="I1106"/>
      <c r="J1106"/>
      <c r="FK1106"/>
      <c r="FL1106"/>
      <c r="FM1106"/>
      <c r="FN1106"/>
      <c r="FO1106"/>
      <c r="FP1106"/>
      <c r="FQ1106"/>
      <c r="FR1106"/>
      <c r="FS1106"/>
      <c r="FT1106"/>
      <c r="FU1106"/>
      <c r="FV1106"/>
      <c r="FW1106"/>
      <c r="FX1106"/>
      <c r="FY1106"/>
      <c r="FZ1106"/>
      <c r="GA1106"/>
      <c r="GB1106"/>
      <c r="GC1106"/>
    </row>
    <row r="1107" spans="1:185" x14ac:dyDescent="0.15">
      <c r="A1107"/>
      <c r="B1107"/>
      <c r="C1107"/>
      <c r="D1107"/>
      <c r="E1107"/>
      <c r="F1107"/>
      <c r="G1107"/>
      <c r="H1107"/>
      <c r="I1107"/>
      <c r="J1107"/>
      <c r="FK1107"/>
      <c r="FL1107"/>
      <c r="FM1107"/>
      <c r="FN1107"/>
      <c r="FO1107"/>
      <c r="FP1107"/>
      <c r="FQ1107"/>
      <c r="FR1107"/>
      <c r="FS1107"/>
      <c r="FT1107"/>
      <c r="FU1107"/>
      <c r="FV1107"/>
      <c r="FW1107"/>
      <c r="FX1107"/>
      <c r="FY1107"/>
      <c r="FZ1107"/>
      <c r="GA1107"/>
      <c r="GB1107"/>
      <c r="GC1107"/>
    </row>
    <row r="1108" spans="1:185" x14ac:dyDescent="0.15">
      <c r="A1108"/>
      <c r="B1108"/>
      <c r="C1108"/>
      <c r="D1108"/>
      <c r="E1108"/>
      <c r="F1108"/>
      <c r="G1108"/>
      <c r="H1108"/>
      <c r="I1108"/>
      <c r="J1108"/>
      <c r="FK1108"/>
      <c r="FL1108"/>
      <c r="FM1108"/>
      <c r="FN1108"/>
      <c r="FO1108"/>
      <c r="FP1108"/>
      <c r="FQ1108"/>
      <c r="FR1108"/>
      <c r="FS1108"/>
      <c r="FT1108"/>
      <c r="FU1108"/>
      <c r="FV1108"/>
      <c r="FW1108"/>
      <c r="FX1108"/>
      <c r="FY1108"/>
      <c r="FZ1108"/>
      <c r="GA1108"/>
      <c r="GB1108"/>
      <c r="GC1108"/>
    </row>
    <row r="1109" spans="1:185" x14ac:dyDescent="0.15">
      <c r="A1109"/>
      <c r="B1109"/>
      <c r="C1109"/>
      <c r="D1109"/>
      <c r="E1109"/>
      <c r="F1109"/>
      <c r="G1109"/>
      <c r="H1109"/>
      <c r="I1109"/>
      <c r="J1109"/>
      <c r="FK1109"/>
      <c r="FL1109"/>
      <c r="FM1109"/>
      <c r="FN1109"/>
      <c r="FO1109"/>
      <c r="FP1109"/>
      <c r="FQ1109"/>
      <c r="FR1109"/>
      <c r="FS1109"/>
      <c r="FT1109"/>
      <c r="FU1109"/>
      <c r="FV1109"/>
      <c r="FW1109"/>
      <c r="FX1109"/>
      <c r="FY1109"/>
      <c r="FZ1109"/>
      <c r="GA1109"/>
      <c r="GB1109"/>
      <c r="GC1109"/>
    </row>
    <row r="1110" spans="1:185" x14ac:dyDescent="0.15">
      <c r="A1110"/>
      <c r="B1110"/>
      <c r="C1110"/>
      <c r="D1110"/>
      <c r="E1110"/>
      <c r="F1110"/>
      <c r="G1110"/>
      <c r="H1110"/>
      <c r="I1110"/>
      <c r="J1110"/>
      <c r="FK1110"/>
      <c r="FL1110"/>
      <c r="FM1110"/>
      <c r="FN1110"/>
      <c r="FO1110"/>
      <c r="FP1110"/>
      <c r="FQ1110"/>
      <c r="FR1110"/>
      <c r="FS1110"/>
      <c r="FT1110"/>
      <c r="FU1110"/>
      <c r="FV1110"/>
      <c r="FW1110"/>
      <c r="FX1110"/>
      <c r="FY1110"/>
      <c r="FZ1110"/>
      <c r="GA1110"/>
      <c r="GB1110"/>
      <c r="GC1110"/>
    </row>
    <row r="1111" spans="1:185" x14ac:dyDescent="0.15">
      <c r="A1111"/>
      <c r="B1111"/>
      <c r="C1111"/>
      <c r="D1111"/>
      <c r="E1111"/>
      <c r="F1111"/>
      <c r="G1111"/>
      <c r="H1111"/>
      <c r="I1111"/>
      <c r="J1111"/>
      <c r="FK1111"/>
      <c r="FL1111"/>
      <c r="FM1111"/>
      <c r="FN1111"/>
      <c r="FO1111"/>
      <c r="FP1111"/>
      <c r="FQ1111"/>
      <c r="FR1111"/>
      <c r="FS1111"/>
      <c r="FT1111"/>
      <c r="FU1111"/>
      <c r="FV1111"/>
      <c r="FW1111"/>
      <c r="FX1111"/>
      <c r="FY1111"/>
      <c r="FZ1111"/>
      <c r="GA1111"/>
      <c r="GB1111"/>
      <c r="GC1111"/>
    </row>
    <row r="1112" spans="1:185" x14ac:dyDescent="0.15">
      <c r="A1112"/>
      <c r="B1112"/>
      <c r="C1112"/>
      <c r="D1112"/>
      <c r="E1112"/>
      <c r="F1112"/>
      <c r="G1112"/>
      <c r="H1112"/>
      <c r="I1112"/>
      <c r="J1112"/>
      <c r="FK1112"/>
      <c r="FL1112"/>
      <c r="FM1112"/>
      <c r="FN1112"/>
      <c r="FO1112"/>
      <c r="FP1112"/>
      <c r="FQ1112"/>
      <c r="FR1112"/>
      <c r="FS1112"/>
      <c r="FT1112"/>
      <c r="FU1112"/>
      <c r="FV1112"/>
      <c r="FW1112"/>
      <c r="FX1112"/>
      <c r="FY1112"/>
      <c r="FZ1112"/>
      <c r="GA1112"/>
      <c r="GB1112"/>
      <c r="GC1112"/>
    </row>
    <row r="1113" spans="1:185" x14ac:dyDescent="0.15">
      <c r="A1113"/>
      <c r="B1113"/>
      <c r="C1113"/>
      <c r="D1113"/>
      <c r="E1113"/>
      <c r="F1113"/>
      <c r="G1113"/>
      <c r="H1113"/>
      <c r="I1113"/>
      <c r="J1113"/>
      <c r="FK1113"/>
      <c r="FL1113"/>
      <c r="FM1113"/>
      <c r="FN1113"/>
      <c r="FO1113"/>
      <c r="FP1113"/>
      <c r="FQ1113"/>
      <c r="FR1113"/>
      <c r="FS1113"/>
      <c r="FT1113"/>
      <c r="FU1113"/>
      <c r="FV1113"/>
      <c r="FW1113"/>
      <c r="FX1113"/>
      <c r="FY1113"/>
      <c r="FZ1113"/>
      <c r="GA1113"/>
      <c r="GB1113"/>
      <c r="GC1113"/>
    </row>
    <row r="1114" spans="1:185" x14ac:dyDescent="0.15">
      <c r="A1114"/>
      <c r="B1114"/>
      <c r="C1114"/>
      <c r="D1114"/>
      <c r="E1114"/>
      <c r="F1114"/>
      <c r="G1114"/>
      <c r="H1114"/>
      <c r="I1114"/>
      <c r="J1114"/>
      <c r="FK1114"/>
      <c r="FL1114"/>
      <c r="FM1114"/>
      <c r="FN1114"/>
      <c r="FO1114"/>
      <c r="FP1114"/>
      <c r="FQ1114"/>
      <c r="FR1114"/>
      <c r="FS1114"/>
      <c r="FT1114"/>
      <c r="FU1114"/>
      <c r="FV1114"/>
      <c r="FW1114"/>
      <c r="FX1114"/>
      <c r="FY1114"/>
      <c r="FZ1114"/>
      <c r="GA1114"/>
      <c r="GB1114"/>
      <c r="GC1114"/>
    </row>
    <row r="1115" spans="1:185" x14ac:dyDescent="0.15">
      <c r="A1115"/>
      <c r="B1115"/>
      <c r="C1115"/>
      <c r="D1115"/>
      <c r="E1115"/>
      <c r="F1115"/>
      <c r="G1115"/>
      <c r="H1115"/>
      <c r="I1115"/>
      <c r="J1115"/>
      <c r="FK1115"/>
      <c r="FL1115"/>
      <c r="FM1115"/>
      <c r="FN1115"/>
      <c r="FO1115"/>
      <c r="FP1115"/>
      <c r="FQ1115"/>
      <c r="FR1115"/>
      <c r="FS1115"/>
      <c r="FT1115"/>
      <c r="FU1115"/>
      <c r="FV1115"/>
      <c r="FW1115"/>
      <c r="FX1115"/>
      <c r="FY1115"/>
      <c r="FZ1115"/>
      <c r="GA1115"/>
      <c r="GB1115"/>
      <c r="GC1115"/>
    </row>
    <row r="1116" spans="1:185" x14ac:dyDescent="0.15">
      <c r="A1116"/>
      <c r="B1116"/>
      <c r="C1116"/>
      <c r="D1116"/>
      <c r="E1116"/>
      <c r="F1116"/>
      <c r="G1116"/>
      <c r="H1116"/>
      <c r="I1116"/>
      <c r="J1116"/>
      <c r="FK1116"/>
      <c r="FL1116"/>
      <c r="FM1116"/>
      <c r="FN1116"/>
      <c r="FO1116"/>
      <c r="FP1116"/>
      <c r="FQ1116"/>
      <c r="FR1116"/>
      <c r="FS1116"/>
      <c r="FT1116"/>
      <c r="FU1116"/>
      <c r="FV1116"/>
      <c r="FW1116"/>
      <c r="FX1116"/>
      <c r="FY1116"/>
      <c r="FZ1116"/>
      <c r="GA1116"/>
      <c r="GB1116"/>
      <c r="GC1116"/>
    </row>
    <row r="1117" spans="1:185" x14ac:dyDescent="0.15">
      <c r="A1117"/>
      <c r="B1117"/>
      <c r="C1117"/>
      <c r="D1117"/>
      <c r="E1117"/>
      <c r="F1117"/>
      <c r="G1117"/>
      <c r="H1117"/>
      <c r="I1117"/>
      <c r="J1117"/>
      <c r="FK1117"/>
      <c r="FL1117"/>
      <c r="FM1117"/>
      <c r="FN1117"/>
      <c r="FO1117"/>
      <c r="FP1117"/>
      <c r="FQ1117"/>
      <c r="FR1117"/>
      <c r="FS1117"/>
      <c r="FT1117"/>
      <c r="FU1117"/>
      <c r="FV1117"/>
      <c r="FW1117"/>
      <c r="FX1117"/>
      <c r="FY1117"/>
      <c r="FZ1117"/>
      <c r="GA1117"/>
      <c r="GB1117"/>
      <c r="GC1117"/>
    </row>
    <row r="1118" spans="1:185" x14ac:dyDescent="0.15">
      <c r="A1118"/>
      <c r="B1118"/>
      <c r="C1118"/>
      <c r="D1118"/>
      <c r="E1118"/>
      <c r="F1118"/>
      <c r="G1118"/>
      <c r="H1118"/>
      <c r="I1118"/>
      <c r="J1118"/>
      <c r="FK1118"/>
      <c r="FL1118"/>
      <c r="FM1118"/>
      <c r="FN1118"/>
      <c r="FO1118"/>
      <c r="FP1118"/>
      <c r="FQ1118"/>
      <c r="FR1118"/>
      <c r="FS1118"/>
      <c r="FT1118"/>
      <c r="FU1118"/>
      <c r="FV1118"/>
      <c r="FW1118"/>
      <c r="FX1118"/>
      <c r="FY1118"/>
      <c r="FZ1118"/>
      <c r="GA1118"/>
      <c r="GB1118"/>
      <c r="GC1118"/>
    </row>
    <row r="1119" spans="1:185" x14ac:dyDescent="0.15">
      <c r="A1119"/>
      <c r="B1119"/>
      <c r="C1119"/>
      <c r="D1119"/>
      <c r="E1119"/>
      <c r="F1119"/>
      <c r="G1119"/>
      <c r="H1119"/>
      <c r="I1119"/>
      <c r="J1119"/>
      <c r="FK1119"/>
      <c r="FL1119"/>
      <c r="FM1119"/>
      <c r="FN1119"/>
      <c r="FO1119"/>
      <c r="FP1119"/>
      <c r="FQ1119"/>
      <c r="FR1119"/>
      <c r="FS1119"/>
      <c r="FT1119"/>
      <c r="FU1119"/>
      <c r="FV1119"/>
      <c r="FW1119"/>
      <c r="FX1119"/>
      <c r="FY1119"/>
      <c r="FZ1119"/>
      <c r="GA1119"/>
      <c r="GB1119"/>
      <c r="GC1119"/>
    </row>
    <row r="1120" spans="1:185" x14ac:dyDescent="0.15">
      <c r="A1120"/>
      <c r="B1120"/>
      <c r="C1120"/>
      <c r="D1120"/>
      <c r="E1120"/>
      <c r="F1120"/>
      <c r="G1120"/>
      <c r="H1120"/>
      <c r="I1120"/>
      <c r="J1120"/>
      <c r="FK1120"/>
      <c r="FL1120"/>
      <c r="FM1120"/>
      <c r="FN1120"/>
      <c r="FO1120"/>
      <c r="FP1120"/>
      <c r="FQ1120"/>
      <c r="FR1120"/>
      <c r="FS1120"/>
      <c r="FT1120"/>
      <c r="FU1120"/>
      <c r="FV1120"/>
      <c r="FW1120"/>
      <c r="FX1120"/>
      <c r="FY1120"/>
      <c r="FZ1120"/>
      <c r="GA1120"/>
      <c r="GB1120"/>
      <c r="GC1120"/>
    </row>
    <row r="1121" spans="1:185" x14ac:dyDescent="0.15">
      <c r="A1121"/>
      <c r="B1121"/>
      <c r="C1121"/>
      <c r="D1121"/>
      <c r="E1121"/>
      <c r="F1121"/>
      <c r="G1121"/>
      <c r="H1121"/>
      <c r="I1121"/>
      <c r="J1121"/>
      <c r="FK1121"/>
      <c r="FL1121"/>
      <c r="FM1121"/>
      <c r="FN1121"/>
      <c r="FO1121"/>
      <c r="FP1121"/>
      <c r="FQ1121"/>
      <c r="FR1121"/>
      <c r="FS1121"/>
      <c r="FT1121"/>
      <c r="FU1121"/>
      <c r="FV1121"/>
      <c r="FW1121"/>
      <c r="FX1121"/>
      <c r="FY1121"/>
      <c r="FZ1121"/>
      <c r="GA1121"/>
      <c r="GB1121"/>
      <c r="GC1121"/>
    </row>
    <row r="1122" spans="1:185" x14ac:dyDescent="0.15">
      <c r="A1122"/>
      <c r="B1122"/>
      <c r="C1122"/>
      <c r="D1122"/>
      <c r="E1122"/>
      <c r="F1122"/>
      <c r="G1122"/>
      <c r="H1122"/>
      <c r="I1122"/>
      <c r="J1122"/>
      <c r="FK1122"/>
      <c r="FL1122"/>
      <c r="FM1122"/>
      <c r="FN1122"/>
      <c r="FO1122"/>
      <c r="FP1122"/>
      <c r="FQ1122"/>
      <c r="FR1122"/>
      <c r="FS1122"/>
      <c r="FT1122"/>
      <c r="FU1122"/>
      <c r="FV1122"/>
      <c r="FW1122"/>
      <c r="FX1122"/>
      <c r="FY1122"/>
      <c r="FZ1122"/>
      <c r="GA1122"/>
      <c r="GB1122"/>
      <c r="GC1122"/>
    </row>
    <row r="1123" spans="1:185" x14ac:dyDescent="0.15">
      <c r="A1123"/>
      <c r="B1123"/>
      <c r="C1123"/>
      <c r="D1123"/>
      <c r="E1123"/>
      <c r="F1123"/>
      <c r="G1123"/>
      <c r="H1123"/>
      <c r="I1123"/>
      <c r="J1123"/>
      <c r="FK1123"/>
      <c r="FL1123"/>
      <c r="FM1123"/>
      <c r="FN1123"/>
      <c r="FO1123"/>
      <c r="FP1123"/>
      <c r="FQ1123"/>
      <c r="FR1123"/>
      <c r="FS1123"/>
      <c r="FT1123"/>
      <c r="FU1123"/>
      <c r="FV1123"/>
      <c r="FW1123"/>
      <c r="FX1123"/>
      <c r="FY1123"/>
      <c r="FZ1123"/>
      <c r="GA1123"/>
      <c r="GB1123"/>
      <c r="GC1123"/>
    </row>
    <row r="1124" spans="1:185" x14ac:dyDescent="0.15">
      <c r="A1124"/>
      <c r="B1124"/>
      <c r="C1124"/>
      <c r="D1124"/>
      <c r="E1124"/>
      <c r="F1124"/>
      <c r="G1124"/>
      <c r="H1124"/>
      <c r="I1124"/>
      <c r="J1124"/>
      <c r="FK1124"/>
      <c r="FL1124"/>
      <c r="FM1124"/>
      <c r="FN1124"/>
      <c r="FO1124"/>
      <c r="FP1124"/>
      <c r="FQ1124"/>
      <c r="FR1124"/>
      <c r="FS1124"/>
      <c r="FT1124"/>
      <c r="FU1124"/>
      <c r="FV1124"/>
      <c r="FW1124"/>
      <c r="FX1124"/>
      <c r="FY1124"/>
      <c r="FZ1124"/>
      <c r="GA1124"/>
      <c r="GB1124"/>
      <c r="GC1124"/>
    </row>
    <row r="1125" spans="1:185" x14ac:dyDescent="0.15">
      <c r="A1125"/>
      <c r="B1125"/>
      <c r="C1125"/>
      <c r="D1125"/>
      <c r="E1125"/>
      <c r="F1125"/>
      <c r="G1125"/>
      <c r="H1125"/>
      <c r="I1125"/>
      <c r="J1125"/>
      <c r="FK1125"/>
      <c r="FL1125"/>
      <c r="FM1125"/>
      <c r="FN1125"/>
      <c r="FO1125"/>
      <c r="FP1125"/>
      <c r="FQ1125"/>
      <c r="FR1125"/>
      <c r="FS1125"/>
      <c r="FT1125"/>
      <c r="FU1125"/>
      <c r="FV1125"/>
      <c r="FW1125"/>
      <c r="FX1125"/>
      <c r="FY1125"/>
      <c r="FZ1125"/>
      <c r="GA1125"/>
      <c r="GB1125"/>
      <c r="GC1125"/>
    </row>
    <row r="1126" spans="1:185" x14ac:dyDescent="0.15">
      <c r="A1126"/>
      <c r="B1126"/>
      <c r="C1126"/>
      <c r="D1126"/>
      <c r="E1126"/>
      <c r="F1126"/>
      <c r="G1126"/>
      <c r="H1126"/>
      <c r="I1126"/>
      <c r="J1126"/>
      <c r="FK1126"/>
      <c r="FL1126"/>
      <c r="FM1126"/>
      <c r="FN1126"/>
      <c r="FO1126"/>
      <c r="FP1126"/>
      <c r="FQ1126"/>
      <c r="FR1126"/>
      <c r="FS1126"/>
      <c r="FT1126"/>
      <c r="FU1126"/>
      <c r="FV1126"/>
      <c r="FW1126"/>
      <c r="FX1126"/>
      <c r="FY1126"/>
      <c r="FZ1126"/>
      <c r="GA1126"/>
      <c r="GB1126"/>
      <c r="GC1126"/>
    </row>
    <row r="1127" spans="1:185" x14ac:dyDescent="0.15">
      <c r="A1127"/>
      <c r="B1127"/>
      <c r="C1127"/>
      <c r="D1127"/>
      <c r="E1127"/>
      <c r="F1127"/>
      <c r="G1127"/>
      <c r="H1127"/>
      <c r="I1127"/>
      <c r="J1127"/>
      <c r="FK1127"/>
      <c r="FL1127"/>
      <c r="FM1127"/>
      <c r="FN1127"/>
      <c r="FO1127"/>
      <c r="FP1127"/>
      <c r="FQ1127"/>
      <c r="FR1127"/>
      <c r="FS1127"/>
      <c r="FT1127"/>
      <c r="FU1127"/>
      <c r="FV1127"/>
      <c r="FW1127"/>
      <c r="FX1127"/>
      <c r="FY1127"/>
      <c r="FZ1127"/>
      <c r="GA1127"/>
      <c r="GB1127"/>
      <c r="GC1127"/>
    </row>
    <row r="1128" spans="1:185" x14ac:dyDescent="0.15">
      <c r="A1128"/>
      <c r="B1128"/>
      <c r="C1128"/>
      <c r="D1128"/>
      <c r="E1128"/>
      <c r="F1128"/>
      <c r="G1128"/>
      <c r="H1128"/>
      <c r="I1128"/>
      <c r="J1128"/>
      <c r="FK1128"/>
      <c r="FL1128"/>
      <c r="FM1128"/>
      <c r="FN1128"/>
      <c r="FO1128"/>
      <c r="FP1128"/>
      <c r="FQ1128"/>
      <c r="FR1128"/>
      <c r="FS1128"/>
      <c r="FT1128"/>
      <c r="FU1128"/>
      <c r="FV1128"/>
      <c r="FW1128"/>
      <c r="FX1128"/>
      <c r="FY1128"/>
      <c r="FZ1128"/>
      <c r="GA1128"/>
      <c r="GB1128"/>
      <c r="GC1128"/>
    </row>
    <row r="1129" spans="1:185" x14ac:dyDescent="0.15">
      <c r="A1129"/>
      <c r="B1129"/>
      <c r="C1129"/>
      <c r="D1129"/>
      <c r="E1129"/>
      <c r="F1129"/>
      <c r="G1129"/>
      <c r="H1129"/>
      <c r="I1129"/>
      <c r="J1129"/>
      <c r="FK1129"/>
      <c r="FL1129"/>
      <c r="FM1129"/>
      <c r="FN1129"/>
      <c r="FO1129"/>
      <c r="FP1129"/>
      <c r="FQ1129"/>
      <c r="FR1129"/>
      <c r="FS1129"/>
      <c r="FT1129"/>
      <c r="FU1129"/>
      <c r="FV1129"/>
      <c r="FW1129"/>
      <c r="FX1129"/>
      <c r="FY1129"/>
      <c r="FZ1129"/>
      <c r="GA1129"/>
      <c r="GB1129"/>
      <c r="GC1129"/>
    </row>
    <row r="1130" spans="1:185" x14ac:dyDescent="0.15">
      <c r="A1130"/>
      <c r="B1130"/>
      <c r="C1130"/>
      <c r="D1130"/>
      <c r="E1130"/>
      <c r="F1130"/>
      <c r="G1130"/>
      <c r="H1130"/>
      <c r="I1130"/>
      <c r="J1130"/>
      <c r="FK1130"/>
      <c r="FL1130"/>
      <c r="FM1130"/>
      <c r="FN1130"/>
      <c r="FO1130"/>
      <c r="FP1130"/>
      <c r="FQ1130"/>
      <c r="FR1130"/>
      <c r="FS1130"/>
      <c r="FT1130"/>
      <c r="FU1130"/>
      <c r="FV1130"/>
      <c r="FW1130"/>
      <c r="FX1130"/>
      <c r="FY1130"/>
      <c r="FZ1130"/>
      <c r="GA1130"/>
      <c r="GB1130"/>
      <c r="GC1130"/>
    </row>
    <row r="1131" spans="1:185" x14ac:dyDescent="0.15">
      <c r="A1131"/>
      <c r="B1131"/>
      <c r="C1131"/>
      <c r="D1131"/>
      <c r="E1131"/>
      <c r="F1131"/>
      <c r="G1131"/>
      <c r="H1131"/>
      <c r="I1131"/>
      <c r="J1131"/>
      <c r="FK1131"/>
      <c r="FL1131"/>
      <c r="FM1131"/>
      <c r="FN1131"/>
      <c r="FO1131"/>
      <c r="FP1131"/>
      <c r="FQ1131"/>
      <c r="FR1131"/>
      <c r="FS1131"/>
      <c r="FT1131"/>
      <c r="FU1131"/>
      <c r="FV1131"/>
      <c r="FW1131"/>
      <c r="FX1131"/>
      <c r="FY1131"/>
      <c r="FZ1131"/>
      <c r="GA1131"/>
      <c r="GB1131"/>
      <c r="GC1131"/>
    </row>
    <row r="1132" spans="1:185" x14ac:dyDescent="0.15">
      <c r="A1132"/>
      <c r="B1132"/>
      <c r="C1132"/>
      <c r="D1132"/>
      <c r="E1132"/>
      <c r="F1132"/>
      <c r="G1132"/>
      <c r="H1132"/>
      <c r="I1132"/>
      <c r="J1132"/>
      <c r="FK1132"/>
      <c r="FL1132"/>
      <c r="FM1132"/>
      <c r="FN1132"/>
      <c r="FO1132"/>
      <c r="FP1132"/>
      <c r="FQ1132"/>
      <c r="FR1132"/>
      <c r="FS1132"/>
      <c r="FT1132"/>
      <c r="FU1132"/>
      <c r="FV1132"/>
      <c r="FW1132"/>
      <c r="FX1132"/>
      <c r="FY1132"/>
      <c r="FZ1132"/>
      <c r="GA1132"/>
      <c r="GB1132"/>
      <c r="GC1132"/>
    </row>
    <row r="1133" spans="1:185" x14ac:dyDescent="0.15">
      <c r="A1133"/>
      <c r="B1133"/>
      <c r="C1133"/>
      <c r="D1133"/>
      <c r="E1133"/>
      <c r="F1133"/>
      <c r="G1133"/>
      <c r="H1133"/>
      <c r="I1133"/>
      <c r="J1133"/>
      <c r="FK1133"/>
      <c r="FL1133"/>
      <c r="FM1133"/>
      <c r="FN1133"/>
      <c r="FO1133"/>
      <c r="FP1133"/>
      <c r="FQ1133"/>
      <c r="FR1133"/>
      <c r="FS1133"/>
      <c r="FT1133"/>
      <c r="FU1133"/>
      <c r="FV1133"/>
      <c r="FW1133"/>
      <c r="FX1133"/>
      <c r="FY1133"/>
      <c r="FZ1133"/>
      <c r="GA1133"/>
      <c r="GB1133"/>
      <c r="GC1133"/>
    </row>
    <row r="1134" spans="1:185" x14ac:dyDescent="0.15">
      <c r="A1134"/>
      <c r="B1134"/>
      <c r="C1134"/>
      <c r="D1134"/>
      <c r="E1134"/>
      <c r="F1134"/>
      <c r="G1134"/>
      <c r="H1134"/>
      <c r="I1134"/>
      <c r="J1134"/>
      <c r="FK1134"/>
      <c r="FL1134"/>
      <c r="FM1134"/>
      <c r="FN1134"/>
      <c r="FO1134"/>
      <c r="FP1134"/>
      <c r="FQ1134"/>
      <c r="FR1134"/>
      <c r="FS1134"/>
      <c r="FT1134"/>
      <c r="FU1134"/>
      <c r="FV1134"/>
      <c r="FW1134"/>
      <c r="FX1134"/>
      <c r="FY1134"/>
      <c r="FZ1134"/>
      <c r="GA1134"/>
      <c r="GB1134"/>
      <c r="GC1134"/>
    </row>
    <row r="1135" spans="1:185" x14ac:dyDescent="0.15">
      <c r="A1135"/>
      <c r="B1135"/>
      <c r="C1135"/>
      <c r="D1135"/>
      <c r="E1135"/>
      <c r="F1135"/>
      <c r="G1135"/>
      <c r="H1135"/>
      <c r="I1135"/>
      <c r="J1135"/>
      <c r="FK1135"/>
      <c r="FL1135"/>
      <c r="FM1135"/>
      <c r="FN1135"/>
      <c r="FO1135"/>
      <c r="FP1135"/>
      <c r="FQ1135"/>
      <c r="FR1135"/>
      <c r="FS1135"/>
      <c r="FT1135"/>
      <c r="FU1135"/>
      <c r="FV1135"/>
      <c r="FW1135"/>
      <c r="FX1135"/>
      <c r="FY1135"/>
      <c r="FZ1135"/>
      <c r="GA1135"/>
      <c r="GB1135"/>
      <c r="GC1135"/>
    </row>
    <row r="1136" spans="1:185" x14ac:dyDescent="0.15">
      <c r="A1136"/>
      <c r="B1136"/>
      <c r="C1136"/>
      <c r="D1136"/>
      <c r="E1136"/>
      <c r="F1136"/>
      <c r="G1136"/>
      <c r="H1136"/>
      <c r="I1136"/>
      <c r="J1136"/>
      <c r="FK1136"/>
      <c r="FL1136"/>
      <c r="FM1136"/>
      <c r="FN1136"/>
      <c r="FO1136"/>
      <c r="FP1136"/>
      <c r="FQ1136"/>
      <c r="FR1136"/>
      <c r="FS1136"/>
      <c r="FT1136"/>
      <c r="FU1136"/>
      <c r="FV1136"/>
      <c r="FW1136"/>
      <c r="FX1136"/>
      <c r="FY1136"/>
      <c r="FZ1136"/>
      <c r="GA1136"/>
      <c r="GB1136"/>
      <c r="GC1136"/>
    </row>
    <row r="1137" spans="1:185" x14ac:dyDescent="0.15">
      <c r="A1137"/>
      <c r="B1137"/>
      <c r="C1137"/>
      <c r="D1137"/>
      <c r="E1137"/>
      <c r="F1137"/>
      <c r="G1137"/>
      <c r="H1137"/>
      <c r="I1137"/>
      <c r="J1137"/>
      <c r="FK1137"/>
      <c r="FL1137"/>
      <c r="FM1137"/>
      <c r="FN1137"/>
      <c r="FO1137"/>
      <c r="FP1137"/>
      <c r="FQ1137"/>
      <c r="FR1137"/>
      <c r="FS1137"/>
      <c r="FT1137"/>
      <c r="FU1137"/>
      <c r="FV1137"/>
      <c r="FW1137"/>
      <c r="FX1137"/>
      <c r="FY1137"/>
      <c r="FZ1137"/>
      <c r="GA1137"/>
      <c r="GB1137"/>
      <c r="GC1137"/>
    </row>
    <row r="1138" spans="1:185" x14ac:dyDescent="0.15">
      <c r="A1138"/>
      <c r="B1138"/>
      <c r="C1138"/>
      <c r="D1138"/>
      <c r="E1138"/>
      <c r="F1138"/>
      <c r="G1138"/>
      <c r="H1138"/>
      <c r="I1138"/>
      <c r="J1138"/>
      <c r="FK1138"/>
      <c r="FL1138"/>
      <c r="FM1138"/>
      <c r="FN1138"/>
      <c r="FO1138"/>
      <c r="FP1138"/>
      <c r="FQ1138"/>
      <c r="FR1138"/>
      <c r="FS1138"/>
      <c r="FT1138"/>
      <c r="FU1138"/>
      <c r="FV1138"/>
      <c r="FW1138"/>
      <c r="FX1138"/>
      <c r="FY1138"/>
      <c r="FZ1138"/>
      <c r="GA1138"/>
      <c r="GB1138"/>
      <c r="GC1138"/>
    </row>
    <row r="1139" spans="1:185" x14ac:dyDescent="0.15">
      <c r="A1139"/>
      <c r="B1139"/>
      <c r="C1139"/>
      <c r="D1139"/>
      <c r="E1139"/>
      <c r="F1139"/>
      <c r="G1139"/>
      <c r="H1139"/>
      <c r="I1139"/>
      <c r="J1139"/>
      <c r="FK1139"/>
      <c r="FL1139"/>
      <c r="FM1139"/>
      <c r="FN1139"/>
      <c r="FO1139"/>
      <c r="FP1139"/>
      <c r="FQ1139"/>
      <c r="FR1139"/>
      <c r="FS1139"/>
      <c r="FT1139"/>
      <c r="FU1139"/>
      <c r="FV1139"/>
      <c r="FW1139"/>
      <c r="FX1139"/>
      <c r="FY1139"/>
      <c r="FZ1139"/>
      <c r="GA1139"/>
      <c r="GB1139"/>
      <c r="GC1139"/>
    </row>
    <row r="1140" spans="1:185" x14ac:dyDescent="0.15">
      <c r="A1140"/>
      <c r="B1140"/>
      <c r="C1140"/>
      <c r="D1140"/>
      <c r="E1140"/>
      <c r="F1140"/>
      <c r="G1140"/>
      <c r="H1140"/>
      <c r="I1140"/>
      <c r="J1140"/>
      <c r="FK1140"/>
      <c r="FL1140"/>
      <c r="FM1140"/>
      <c r="FN1140"/>
      <c r="FO1140"/>
      <c r="FP1140"/>
      <c r="FQ1140"/>
      <c r="FR1140"/>
      <c r="FS1140"/>
      <c r="FT1140"/>
      <c r="FU1140"/>
      <c r="FV1140"/>
      <c r="FW1140"/>
      <c r="FX1140"/>
      <c r="FY1140"/>
      <c r="FZ1140"/>
      <c r="GA1140"/>
      <c r="GB1140"/>
      <c r="GC1140"/>
    </row>
    <row r="1141" spans="1:185" x14ac:dyDescent="0.15">
      <c r="A1141"/>
      <c r="B1141"/>
      <c r="C1141"/>
      <c r="D1141"/>
      <c r="E1141"/>
      <c r="F1141"/>
      <c r="G1141"/>
      <c r="H1141"/>
      <c r="I1141"/>
      <c r="J1141"/>
      <c r="FK1141"/>
      <c r="FL1141"/>
      <c r="FM1141"/>
      <c r="FN1141"/>
      <c r="FO1141"/>
      <c r="FP1141"/>
      <c r="FQ1141"/>
      <c r="FR1141"/>
      <c r="FS1141"/>
      <c r="FT1141"/>
      <c r="FU1141"/>
      <c r="FV1141"/>
      <c r="FW1141"/>
      <c r="FX1141"/>
      <c r="FY1141"/>
      <c r="FZ1141"/>
      <c r="GA1141"/>
      <c r="GB1141"/>
      <c r="GC1141"/>
    </row>
    <row r="1142" spans="1:185" x14ac:dyDescent="0.15">
      <c r="A1142"/>
      <c r="B1142"/>
      <c r="C1142"/>
      <c r="D1142"/>
      <c r="E1142"/>
      <c r="F1142"/>
      <c r="G1142"/>
      <c r="H1142"/>
      <c r="I1142"/>
      <c r="J1142"/>
      <c r="FK1142"/>
      <c r="FL1142"/>
      <c r="FM1142"/>
      <c r="FN1142"/>
      <c r="FO1142"/>
      <c r="FP1142"/>
      <c r="FQ1142"/>
      <c r="FR1142"/>
      <c r="FS1142"/>
      <c r="FT1142"/>
      <c r="FU1142"/>
      <c r="FV1142"/>
      <c r="FW1142"/>
      <c r="FX1142"/>
      <c r="FY1142"/>
      <c r="FZ1142"/>
      <c r="GA1142"/>
      <c r="GB1142"/>
      <c r="GC1142"/>
    </row>
    <row r="1143" spans="1:185" x14ac:dyDescent="0.15">
      <c r="A1143"/>
      <c r="B1143"/>
      <c r="C1143"/>
      <c r="D1143"/>
      <c r="E1143"/>
      <c r="F1143"/>
      <c r="G1143"/>
      <c r="H1143"/>
      <c r="I1143"/>
      <c r="J1143"/>
      <c r="FK1143"/>
      <c r="FL1143"/>
      <c r="FM1143"/>
      <c r="FN1143"/>
      <c r="FO1143"/>
      <c r="FP1143"/>
      <c r="FQ1143"/>
      <c r="FR1143"/>
      <c r="FS1143"/>
      <c r="FT1143"/>
      <c r="FU1143"/>
      <c r="FV1143"/>
      <c r="FW1143"/>
      <c r="FX1143"/>
      <c r="FY1143"/>
      <c r="FZ1143"/>
      <c r="GA1143"/>
      <c r="GB1143"/>
      <c r="GC1143"/>
    </row>
    <row r="1144" spans="1:185" x14ac:dyDescent="0.15">
      <c r="A1144"/>
      <c r="B1144"/>
      <c r="C1144"/>
      <c r="D1144"/>
      <c r="E1144"/>
      <c r="F1144"/>
      <c r="G1144"/>
      <c r="H1144"/>
      <c r="I1144"/>
      <c r="J1144"/>
      <c r="FK1144"/>
      <c r="FL1144"/>
      <c r="FM1144"/>
      <c r="FN1144"/>
      <c r="FO1144"/>
      <c r="FP1144"/>
      <c r="FQ1144"/>
      <c r="FR1144"/>
      <c r="FS1144"/>
      <c r="FT1144"/>
      <c r="FU1144"/>
      <c r="FV1144"/>
      <c r="FW1144"/>
      <c r="FX1144"/>
      <c r="FY1144"/>
      <c r="FZ1144"/>
      <c r="GA1144"/>
      <c r="GB1144"/>
      <c r="GC1144"/>
    </row>
    <row r="1145" spans="1:185" x14ac:dyDescent="0.15">
      <c r="A1145"/>
      <c r="B1145"/>
      <c r="C1145"/>
      <c r="D1145"/>
      <c r="E1145"/>
      <c r="F1145"/>
      <c r="G1145"/>
      <c r="H1145"/>
      <c r="I1145"/>
      <c r="J1145"/>
      <c r="FK1145"/>
      <c r="FL1145"/>
      <c r="FM1145"/>
      <c r="FN1145"/>
      <c r="FO1145"/>
      <c r="FP1145"/>
      <c r="FQ1145"/>
      <c r="FR1145"/>
      <c r="FS1145"/>
      <c r="FT1145"/>
      <c r="FU1145"/>
      <c r="FV1145"/>
      <c r="FW1145"/>
      <c r="FX1145"/>
      <c r="FY1145"/>
      <c r="FZ1145"/>
      <c r="GA1145"/>
      <c r="GB1145"/>
      <c r="GC1145"/>
    </row>
    <row r="1146" spans="1:185" x14ac:dyDescent="0.15">
      <c r="A1146"/>
      <c r="B1146"/>
      <c r="C1146"/>
      <c r="D1146"/>
      <c r="E1146"/>
      <c r="F1146"/>
      <c r="G1146"/>
      <c r="H1146"/>
      <c r="I1146"/>
      <c r="J1146"/>
      <c r="FK1146"/>
      <c r="FL1146"/>
      <c r="FM1146"/>
      <c r="FN1146"/>
      <c r="FO1146"/>
      <c r="FP1146"/>
      <c r="FQ1146"/>
      <c r="FR1146"/>
      <c r="FS1146"/>
      <c r="FT1146"/>
      <c r="FU1146"/>
      <c r="FV1146"/>
      <c r="FW1146"/>
      <c r="FX1146"/>
      <c r="FY1146"/>
      <c r="FZ1146"/>
      <c r="GA1146"/>
      <c r="GB1146"/>
      <c r="GC1146"/>
    </row>
    <row r="1147" spans="1:185" x14ac:dyDescent="0.15">
      <c r="A1147"/>
      <c r="B1147"/>
      <c r="C1147"/>
      <c r="D1147"/>
      <c r="E1147"/>
      <c r="F1147"/>
      <c r="G1147"/>
      <c r="H1147"/>
      <c r="I1147"/>
      <c r="J1147"/>
      <c r="FK1147"/>
      <c r="FL1147"/>
      <c r="FM1147"/>
      <c r="FN1147"/>
      <c r="FO1147"/>
      <c r="FP1147"/>
      <c r="FQ1147"/>
      <c r="FR1147"/>
      <c r="FS1147"/>
      <c r="FT1147"/>
      <c r="FU1147"/>
      <c r="FV1147"/>
      <c r="FW1147"/>
      <c r="FX1147"/>
      <c r="FY1147"/>
      <c r="FZ1147"/>
      <c r="GA1147"/>
      <c r="GB1147"/>
      <c r="GC1147"/>
    </row>
    <row r="1148" spans="1:185" x14ac:dyDescent="0.15">
      <c r="A1148"/>
      <c r="B1148"/>
      <c r="C1148"/>
      <c r="D1148"/>
      <c r="E1148"/>
      <c r="F1148"/>
      <c r="G1148"/>
      <c r="H1148"/>
      <c r="I1148"/>
      <c r="J1148"/>
      <c r="FK1148"/>
      <c r="FL1148"/>
      <c r="FM1148"/>
      <c r="FN1148"/>
      <c r="FO1148"/>
      <c r="FP1148"/>
      <c r="FQ1148"/>
      <c r="FR1148"/>
      <c r="FS1148"/>
      <c r="FT1148"/>
      <c r="FU1148"/>
      <c r="FV1148"/>
      <c r="FW1148"/>
      <c r="FX1148"/>
      <c r="FY1148"/>
      <c r="FZ1148"/>
      <c r="GA1148"/>
      <c r="GB1148"/>
      <c r="GC1148"/>
    </row>
    <row r="1149" spans="1:185" x14ac:dyDescent="0.15">
      <c r="A1149"/>
      <c r="B1149"/>
      <c r="C1149"/>
      <c r="D1149"/>
      <c r="E1149"/>
      <c r="F1149"/>
      <c r="G1149"/>
      <c r="H1149"/>
      <c r="I1149"/>
      <c r="J1149"/>
      <c r="FK1149"/>
      <c r="FL1149"/>
      <c r="FM1149"/>
      <c r="FN1149"/>
      <c r="FO1149"/>
      <c r="FP1149"/>
      <c r="FQ1149"/>
      <c r="FR1149"/>
      <c r="FS1149"/>
      <c r="FT1149"/>
      <c r="FU1149"/>
      <c r="FV1149"/>
      <c r="FW1149"/>
      <c r="FX1149"/>
      <c r="FY1149"/>
      <c r="FZ1149"/>
      <c r="GA1149"/>
      <c r="GB1149"/>
      <c r="GC1149"/>
    </row>
    <row r="1150" spans="1:185" x14ac:dyDescent="0.15">
      <c r="A1150"/>
      <c r="B1150"/>
      <c r="C1150"/>
      <c r="D1150"/>
      <c r="E1150"/>
      <c r="F1150"/>
      <c r="G1150"/>
      <c r="H1150"/>
      <c r="I1150"/>
      <c r="J1150"/>
      <c r="FK1150"/>
      <c r="FL1150"/>
      <c r="FM1150"/>
      <c r="FN1150"/>
      <c r="FO1150"/>
      <c r="FP1150"/>
      <c r="FQ1150"/>
      <c r="FR1150"/>
      <c r="FS1150"/>
      <c r="FT1150"/>
      <c r="FU1150"/>
      <c r="FV1150"/>
      <c r="FW1150"/>
      <c r="FX1150"/>
      <c r="FY1150"/>
      <c r="FZ1150"/>
      <c r="GA1150"/>
      <c r="GB1150"/>
      <c r="GC1150"/>
    </row>
    <row r="1151" spans="1:185" x14ac:dyDescent="0.15">
      <c r="A1151"/>
      <c r="B1151"/>
      <c r="C1151"/>
      <c r="D1151"/>
      <c r="E1151"/>
      <c r="F1151"/>
      <c r="G1151"/>
      <c r="H1151"/>
      <c r="I1151"/>
      <c r="J1151"/>
      <c r="FK1151"/>
      <c r="FL1151"/>
      <c r="FM1151"/>
      <c r="FN1151"/>
      <c r="FO1151"/>
      <c r="FP1151"/>
      <c r="FQ1151"/>
      <c r="FR1151"/>
      <c r="FS1151"/>
      <c r="FT1151"/>
      <c r="FU1151"/>
      <c r="FV1151"/>
      <c r="FW1151"/>
      <c r="FX1151"/>
      <c r="FY1151"/>
      <c r="FZ1151"/>
      <c r="GA1151"/>
      <c r="GB1151"/>
      <c r="GC1151"/>
    </row>
    <row r="1152" spans="1:185" x14ac:dyDescent="0.15">
      <c r="A1152"/>
      <c r="B1152"/>
      <c r="C1152"/>
      <c r="D1152"/>
      <c r="E1152"/>
      <c r="F1152"/>
      <c r="G1152"/>
      <c r="H1152"/>
      <c r="I1152"/>
      <c r="J1152"/>
      <c r="FK1152"/>
      <c r="FL1152"/>
      <c r="FM1152"/>
      <c r="FN1152"/>
      <c r="FO1152"/>
      <c r="FP1152"/>
      <c r="FQ1152"/>
      <c r="FR1152"/>
      <c r="FS1152"/>
      <c r="FT1152"/>
      <c r="FU1152"/>
      <c r="FV1152"/>
      <c r="FW1152"/>
      <c r="FX1152"/>
      <c r="FY1152"/>
      <c r="FZ1152"/>
      <c r="GA1152"/>
      <c r="GB1152"/>
      <c r="GC1152"/>
    </row>
    <row r="1153" spans="1:185" x14ac:dyDescent="0.15">
      <c r="A1153"/>
      <c r="B1153"/>
      <c r="C1153"/>
      <c r="D1153"/>
      <c r="E1153"/>
      <c r="F1153"/>
      <c r="G1153"/>
      <c r="H1153"/>
      <c r="I1153"/>
      <c r="J1153"/>
      <c r="FK1153"/>
      <c r="FL1153"/>
      <c r="FM1153"/>
      <c r="FN1153"/>
      <c r="FO1153"/>
      <c r="FP1153"/>
      <c r="FQ1153"/>
      <c r="FR1153"/>
      <c r="FS1153"/>
      <c r="FT1153"/>
      <c r="FU1153"/>
      <c r="FV1153"/>
      <c r="FW1153"/>
      <c r="FX1153"/>
      <c r="FY1153"/>
      <c r="FZ1153"/>
      <c r="GA1153"/>
      <c r="GB1153"/>
      <c r="GC1153"/>
    </row>
    <row r="1154" spans="1:185" x14ac:dyDescent="0.15">
      <c r="A1154"/>
      <c r="B1154"/>
      <c r="C1154"/>
      <c r="D1154"/>
      <c r="E1154"/>
      <c r="F1154"/>
      <c r="G1154"/>
      <c r="H1154"/>
      <c r="I1154"/>
      <c r="J1154"/>
      <c r="FK1154"/>
      <c r="FL1154"/>
      <c r="FM1154"/>
      <c r="FN1154"/>
      <c r="FO1154"/>
      <c r="FP1154"/>
      <c r="FQ1154"/>
      <c r="FR1154"/>
      <c r="FS1154"/>
      <c r="FT1154"/>
      <c r="FU1154"/>
      <c r="FV1154"/>
      <c r="FW1154"/>
      <c r="FX1154"/>
      <c r="FY1154"/>
      <c r="FZ1154"/>
      <c r="GA1154"/>
      <c r="GB1154"/>
      <c r="GC1154"/>
    </row>
    <row r="1155" spans="1:185" x14ac:dyDescent="0.15">
      <c r="A1155"/>
      <c r="B1155"/>
      <c r="C1155"/>
      <c r="D1155"/>
      <c r="E1155"/>
      <c r="F1155"/>
      <c r="G1155"/>
      <c r="H1155"/>
      <c r="I1155"/>
      <c r="J1155"/>
      <c r="FK1155"/>
      <c r="FL1155"/>
      <c r="FM1155"/>
      <c r="FN1155"/>
      <c r="FO1155"/>
      <c r="FP1155"/>
      <c r="FQ1155"/>
      <c r="FR1155"/>
      <c r="FS1155"/>
      <c r="FT1155"/>
      <c r="FU1155"/>
      <c r="FV1155"/>
      <c r="FW1155"/>
      <c r="FX1155"/>
      <c r="FY1155"/>
      <c r="FZ1155"/>
      <c r="GA1155"/>
      <c r="GB1155"/>
      <c r="GC1155"/>
    </row>
    <row r="1156" spans="1:185" x14ac:dyDescent="0.15">
      <c r="A1156"/>
      <c r="B1156"/>
      <c r="C1156"/>
      <c r="D1156"/>
      <c r="E1156"/>
      <c r="F1156"/>
      <c r="G1156"/>
      <c r="H1156"/>
      <c r="I1156"/>
      <c r="J1156"/>
      <c r="FK1156"/>
      <c r="FL1156"/>
      <c r="FM1156"/>
      <c r="FN1156"/>
      <c r="FO1156"/>
      <c r="FP1156"/>
      <c r="FQ1156"/>
      <c r="FR1156"/>
      <c r="FS1156"/>
      <c r="FT1156"/>
      <c r="FU1156"/>
      <c r="FV1156"/>
      <c r="FW1156"/>
      <c r="FX1156"/>
      <c r="FY1156"/>
      <c r="FZ1156"/>
      <c r="GA1156"/>
      <c r="GB1156"/>
      <c r="GC1156"/>
    </row>
    <row r="1157" spans="1:185" x14ac:dyDescent="0.15">
      <c r="A1157"/>
      <c r="B1157"/>
      <c r="C1157"/>
      <c r="D1157"/>
      <c r="E1157"/>
      <c r="F1157"/>
      <c r="G1157"/>
      <c r="H1157"/>
      <c r="I1157"/>
      <c r="J1157"/>
      <c r="FK1157"/>
      <c r="FL1157"/>
      <c r="FM1157"/>
      <c r="FN1157"/>
      <c r="FO1157"/>
      <c r="FP1157"/>
      <c r="FQ1157"/>
      <c r="FR1157"/>
      <c r="FS1157"/>
      <c r="FT1157"/>
      <c r="FU1157"/>
      <c r="FV1157"/>
      <c r="FW1157"/>
      <c r="FX1157"/>
      <c r="FY1157"/>
      <c r="FZ1157"/>
      <c r="GA1157"/>
      <c r="GB1157"/>
      <c r="GC1157"/>
    </row>
    <row r="1158" spans="1:185" x14ac:dyDescent="0.15">
      <c r="A1158"/>
      <c r="B1158"/>
      <c r="C1158"/>
      <c r="D1158"/>
      <c r="E1158"/>
      <c r="F1158"/>
      <c r="G1158"/>
      <c r="H1158"/>
      <c r="I1158"/>
      <c r="J1158"/>
      <c r="FK1158"/>
      <c r="FL1158"/>
      <c r="FM1158"/>
      <c r="FN1158"/>
      <c r="FO1158"/>
      <c r="FP1158"/>
      <c r="FQ1158"/>
      <c r="FR1158"/>
      <c r="FS1158"/>
      <c r="FT1158"/>
      <c r="FU1158"/>
      <c r="FV1158"/>
      <c r="FW1158"/>
      <c r="FX1158"/>
      <c r="FY1158"/>
      <c r="FZ1158"/>
      <c r="GA1158"/>
      <c r="GB1158"/>
      <c r="GC1158"/>
    </row>
    <row r="1159" spans="1:185" x14ac:dyDescent="0.15">
      <c r="A1159"/>
      <c r="B1159"/>
      <c r="C1159"/>
      <c r="D1159"/>
      <c r="E1159"/>
      <c r="F1159"/>
      <c r="G1159"/>
      <c r="H1159"/>
      <c r="I1159"/>
      <c r="J1159"/>
      <c r="FK1159"/>
      <c r="FL1159"/>
      <c r="FM1159"/>
      <c r="FN1159"/>
      <c r="FO1159"/>
      <c r="FP1159"/>
      <c r="FQ1159"/>
      <c r="FR1159"/>
      <c r="FS1159"/>
      <c r="FT1159"/>
      <c r="FU1159"/>
      <c r="FV1159"/>
      <c r="FW1159"/>
      <c r="FX1159"/>
      <c r="FY1159"/>
      <c r="FZ1159"/>
      <c r="GA1159"/>
      <c r="GB1159"/>
      <c r="GC1159"/>
    </row>
    <row r="1160" spans="1:185" x14ac:dyDescent="0.15">
      <c r="A1160"/>
      <c r="B1160"/>
      <c r="C1160"/>
      <c r="D1160"/>
      <c r="E1160"/>
      <c r="F1160"/>
      <c r="G1160"/>
      <c r="H1160"/>
      <c r="I1160"/>
      <c r="J1160"/>
      <c r="FK1160"/>
      <c r="FL1160"/>
      <c r="FM1160"/>
      <c r="FN1160"/>
      <c r="FO1160"/>
      <c r="FP1160"/>
      <c r="FQ1160"/>
      <c r="FR1160"/>
      <c r="FS1160"/>
      <c r="FT1160"/>
      <c r="FU1160"/>
      <c r="FV1160"/>
      <c r="FW1160"/>
      <c r="FX1160"/>
      <c r="FY1160"/>
      <c r="FZ1160"/>
      <c r="GA1160"/>
      <c r="GB1160"/>
      <c r="GC1160"/>
    </row>
    <row r="1161" spans="1:185" x14ac:dyDescent="0.15">
      <c r="A1161"/>
      <c r="B1161"/>
      <c r="C1161"/>
      <c r="D1161"/>
      <c r="E1161"/>
      <c r="F1161"/>
      <c r="G1161"/>
      <c r="H1161"/>
      <c r="I1161"/>
      <c r="J1161"/>
      <c r="FK1161"/>
      <c r="FL1161"/>
      <c r="FM1161"/>
      <c r="FN1161"/>
      <c r="FO1161"/>
      <c r="FP1161"/>
      <c r="FQ1161"/>
      <c r="FR1161"/>
      <c r="FS1161"/>
      <c r="FT1161"/>
      <c r="FU1161"/>
      <c r="FV1161"/>
      <c r="FW1161"/>
      <c r="FX1161"/>
      <c r="FY1161"/>
      <c r="FZ1161"/>
      <c r="GA1161"/>
      <c r="GB1161"/>
      <c r="GC1161"/>
    </row>
    <row r="1162" spans="1:185" x14ac:dyDescent="0.15">
      <c r="A1162"/>
      <c r="B1162"/>
      <c r="C1162"/>
      <c r="D1162"/>
      <c r="E1162"/>
      <c r="F1162"/>
      <c r="G1162"/>
      <c r="H1162"/>
      <c r="I1162"/>
      <c r="J1162"/>
      <c r="FK1162"/>
      <c r="FL1162"/>
      <c r="FM1162"/>
      <c r="FN1162"/>
      <c r="FO1162"/>
      <c r="FP1162"/>
      <c r="FQ1162"/>
      <c r="FR1162"/>
      <c r="FS1162"/>
      <c r="FT1162"/>
      <c r="FU1162"/>
      <c r="FV1162"/>
      <c r="FW1162"/>
      <c r="FX1162"/>
      <c r="FY1162"/>
      <c r="FZ1162"/>
      <c r="GA1162"/>
      <c r="GB1162"/>
      <c r="GC1162"/>
    </row>
    <row r="1163" spans="1:185" x14ac:dyDescent="0.15">
      <c r="A1163"/>
      <c r="B1163"/>
      <c r="C1163"/>
      <c r="D1163"/>
      <c r="E1163"/>
      <c r="F1163"/>
      <c r="G1163"/>
      <c r="H1163"/>
      <c r="I1163"/>
      <c r="J1163"/>
      <c r="FK1163"/>
      <c r="FL1163"/>
      <c r="FM1163"/>
      <c r="FN1163"/>
      <c r="FO1163"/>
      <c r="FP1163"/>
      <c r="FQ1163"/>
      <c r="FR1163"/>
      <c r="FS1163"/>
      <c r="FT1163"/>
      <c r="FU1163"/>
      <c r="FV1163"/>
      <c r="FW1163"/>
      <c r="FX1163"/>
      <c r="FY1163"/>
      <c r="FZ1163"/>
      <c r="GA1163"/>
      <c r="GB1163"/>
      <c r="GC1163"/>
    </row>
    <row r="1164" spans="1:185" x14ac:dyDescent="0.15">
      <c r="A1164"/>
      <c r="B1164"/>
      <c r="C1164"/>
      <c r="D1164"/>
      <c r="E1164"/>
      <c r="F1164"/>
      <c r="G1164"/>
      <c r="H1164"/>
      <c r="I1164"/>
      <c r="J1164"/>
      <c r="FK1164"/>
      <c r="FL1164"/>
      <c r="FM1164"/>
      <c r="FN1164"/>
      <c r="FO1164"/>
      <c r="FP1164"/>
      <c r="FQ1164"/>
      <c r="FR1164"/>
      <c r="FS1164"/>
      <c r="FT1164"/>
      <c r="FU1164"/>
      <c r="FV1164"/>
      <c r="FW1164"/>
      <c r="FX1164"/>
      <c r="FY1164"/>
      <c r="FZ1164"/>
      <c r="GA1164"/>
      <c r="GB1164"/>
      <c r="GC1164"/>
    </row>
    <row r="1165" spans="1:185" x14ac:dyDescent="0.15">
      <c r="A1165"/>
      <c r="B1165"/>
      <c r="C1165"/>
      <c r="D1165"/>
      <c r="E1165"/>
      <c r="F1165"/>
      <c r="G1165"/>
      <c r="H1165"/>
      <c r="I1165"/>
      <c r="J1165"/>
      <c r="FK1165"/>
      <c r="FL1165"/>
      <c r="FM1165"/>
      <c r="FN1165"/>
      <c r="FO1165"/>
      <c r="FP1165"/>
      <c r="FQ1165"/>
      <c r="FR1165"/>
      <c r="FS1165"/>
      <c r="FT1165"/>
      <c r="FU1165"/>
      <c r="FV1165"/>
      <c r="FW1165"/>
      <c r="FX1165"/>
      <c r="FY1165"/>
      <c r="FZ1165"/>
      <c r="GA1165"/>
      <c r="GB1165"/>
      <c r="GC1165"/>
    </row>
    <row r="1166" spans="1:185" x14ac:dyDescent="0.15">
      <c r="A1166"/>
      <c r="B1166"/>
      <c r="C1166"/>
      <c r="D1166"/>
      <c r="E1166"/>
      <c r="F1166"/>
      <c r="G1166"/>
      <c r="H1166"/>
      <c r="I1166"/>
      <c r="J1166"/>
      <c r="FK1166"/>
      <c r="FL1166"/>
      <c r="FM1166"/>
      <c r="FN1166"/>
      <c r="FO1166"/>
      <c r="FP1166"/>
      <c r="FQ1166"/>
      <c r="FR1166"/>
      <c r="FS1166"/>
      <c r="FT1166"/>
      <c r="FU1166"/>
      <c r="FV1166"/>
      <c r="FW1166"/>
      <c r="FX1166"/>
      <c r="FY1166"/>
      <c r="FZ1166"/>
      <c r="GA1166"/>
      <c r="GB1166"/>
      <c r="GC1166"/>
    </row>
    <row r="1167" spans="1:185" x14ac:dyDescent="0.15">
      <c r="A1167"/>
      <c r="B1167"/>
      <c r="C1167"/>
      <c r="D1167"/>
      <c r="E1167"/>
      <c r="F1167"/>
      <c r="G1167"/>
      <c r="H1167"/>
      <c r="I1167"/>
      <c r="J1167"/>
      <c r="FK1167"/>
      <c r="FL1167"/>
      <c r="FM1167"/>
      <c r="FN1167"/>
      <c r="FO1167"/>
      <c r="FP1167"/>
      <c r="FQ1167"/>
      <c r="FR1167"/>
      <c r="FS1167"/>
      <c r="FT1167"/>
      <c r="FU1167"/>
      <c r="FV1167"/>
      <c r="FW1167"/>
      <c r="FX1167"/>
      <c r="FY1167"/>
      <c r="FZ1167"/>
      <c r="GA1167"/>
      <c r="GB1167"/>
      <c r="GC1167"/>
    </row>
    <row r="1168" spans="1:185" x14ac:dyDescent="0.15">
      <c r="A1168"/>
      <c r="B1168"/>
      <c r="C1168"/>
      <c r="D1168"/>
      <c r="E1168"/>
      <c r="F1168"/>
      <c r="G1168"/>
      <c r="H1168"/>
      <c r="I1168"/>
      <c r="J1168"/>
      <c r="FK1168"/>
      <c r="FL1168"/>
      <c r="FM1168"/>
      <c r="FN1168"/>
      <c r="FO1168"/>
      <c r="FP1168"/>
      <c r="FQ1168"/>
      <c r="FR1168"/>
      <c r="FS1168"/>
      <c r="FT1168"/>
      <c r="FU1168"/>
      <c r="FV1168"/>
      <c r="FW1168"/>
      <c r="FX1168"/>
      <c r="FY1168"/>
      <c r="FZ1168"/>
      <c r="GA1168"/>
      <c r="GB1168"/>
      <c r="GC1168"/>
    </row>
    <row r="1169" spans="1:185" x14ac:dyDescent="0.15">
      <c r="A1169"/>
      <c r="B1169"/>
      <c r="C1169"/>
      <c r="D1169"/>
      <c r="E1169"/>
      <c r="F1169"/>
      <c r="G1169"/>
      <c r="H1169"/>
      <c r="I1169"/>
      <c r="J1169"/>
      <c r="FK1169"/>
      <c r="FL1169"/>
      <c r="FM1169"/>
      <c r="FN1169"/>
      <c r="FO1169"/>
      <c r="FP1169"/>
      <c r="FQ1169"/>
      <c r="FR1169"/>
      <c r="FS1169"/>
      <c r="FT1169"/>
      <c r="FU1169"/>
      <c r="FV1169"/>
      <c r="FW1169"/>
      <c r="FX1169"/>
      <c r="FY1169"/>
      <c r="FZ1169"/>
      <c r="GA1169"/>
      <c r="GB1169"/>
      <c r="GC1169"/>
    </row>
    <row r="1170" spans="1:185" x14ac:dyDescent="0.15">
      <c r="A1170"/>
      <c r="B1170"/>
      <c r="C1170"/>
      <c r="D1170"/>
      <c r="E1170"/>
      <c r="F1170"/>
      <c r="G1170"/>
      <c r="H1170"/>
      <c r="I1170"/>
      <c r="J1170"/>
      <c r="FK1170"/>
      <c r="FL1170"/>
      <c r="FM1170"/>
      <c r="FN1170"/>
      <c r="FO1170"/>
      <c r="FP1170"/>
      <c r="FQ1170"/>
      <c r="FR1170"/>
      <c r="FS1170"/>
      <c r="FT1170"/>
      <c r="FU1170"/>
      <c r="FV1170"/>
      <c r="FW1170"/>
      <c r="FX1170"/>
      <c r="FY1170"/>
      <c r="FZ1170"/>
      <c r="GA1170"/>
      <c r="GB1170"/>
      <c r="GC1170"/>
    </row>
    <row r="1171" spans="1:185" x14ac:dyDescent="0.15">
      <c r="A1171"/>
      <c r="B1171"/>
      <c r="C1171"/>
      <c r="D1171"/>
      <c r="E1171"/>
      <c r="F1171"/>
      <c r="G1171"/>
      <c r="H1171"/>
      <c r="I1171"/>
      <c r="J1171"/>
      <c r="FK1171"/>
      <c r="FL1171"/>
      <c r="FM1171"/>
      <c r="FN1171"/>
      <c r="FO1171"/>
      <c r="FP1171"/>
      <c r="FQ1171"/>
      <c r="FR1171"/>
      <c r="FS1171"/>
      <c r="FT1171"/>
      <c r="FU1171"/>
      <c r="FV1171"/>
      <c r="FW1171"/>
      <c r="FX1171"/>
      <c r="FY1171"/>
      <c r="FZ1171"/>
      <c r="GA1171"/>
      <c r="GB1171"/>
      <c r="GC1171"/>
    </row>
    <row r="1172" spans="1:185" x14ac:dyDescent="0.15">
      <c r="A1172"/>
      <c r="B1172"/>
      <c r="C1172"/>
      <c r="D1172"/>
      <c r="E1172"/>
      <c r="F1172"/>
      <c r="G1172"/>
      <c r="H1172"/>
      <c r="I1172"/>
      <c r="J1172"/>
      <c r="FK1172"/>
      <c r="FL1172"/>
      <c r="FM1172"/>
      <c r="FN1172"/>
      <c r="FO1172"/>
      <c r="FP1172"/>
      <c r="FQ1172"/>
      <c r="FR1172"/>
      <c r="FS1172"/>
      <c r="FT1172"/>
      <c r="FU1172"/>
      <c r="FV1172"/>
      <c r="FW1172"/>
      <c r="FX1172"/>
      <c r="FY1172"/>
      <c r="FZ1172"/>
      <c r="GA1172"/>
      <c r="GB1172"/>
      <c r="GC1172"/>
    </row>
    <row r="1173" spans="1:185" x14ac:dyDescent="0.15">
      <c r="A1173"/>
      <c r="B1173"/>
      <c r="C1173"/>
      <c r="D1173"/>
      <c r="E1173"/>
      <c r="F1173"/>
      <c r="G1173"/>
      <c r="H1173"/>
      <c r="I1173"/>
      <c r="J1173"/>
      <c r="FK1173"/>
      <c r="FL1173"/>
      <c r="FM1173"/>
      <c r="FN1173"/>
      <c r="FO1173"/>
      <c r="FP1173"/>
      <c r="FQ1173"/>
      <c r="FR1173"/>
      <c r="FS1173"/>
      <c r="FT1173"/>
      <c r="FU1173"/>
      <c r="FV1173"/>
      <c r="FW1173"/>
      <c r="FX1173"/>
      <c r="FY1173"/>
      <c r="FZ1173"/>
      <c r="GA1173"/>
      <c r="GB1173"/>
      <c r="GC1173"/>
    </row>
    <row r="1174" spans="1:185" x14ac:dyDescent="0.15">
      <c r="A1174"/>
      <c r="B1174"/>
      <c r="C1174"/>
      <c r="D1174"/>
      <c r="E1174"/>
      <c r="F1174"/>
      <c r="G1174"/>
      <c r="H1174"/>
      <c r="I1174"/>
      <c r="J1174"/>
      <c r="FK1174"/>
      <c r="FL1174"/>
      <c r="FM1174"/>
      <c r="FN1174"/>
      <c r="FO1174"/>
      <c r="FP1174"/>
      <c r="FQ1174"/>
      <c r="FR1174"/>
      <c r="FS1174"/>
      <c r="FT1174"/>
      <c r="FU1174"/>
      <c r="FV1174"/>
      <c r="FW1174"/>
      <c r="FX1174"/>
      <c r="FY1174"/>
      <c r="FZ1174"/>
      <c r="GA1174"/>
      <c r="GB1174"/>
      <c r="GC1174"/>
    </row>
    <row r="1175" spans="1:185" x14ac:dyDescent="0.15">
      <c r="A1175"/>
      <c r="B1175"/>
      <c r="C1175"/>
      <c r="D1175"/>
      <c r="E1175"/>
      <c r="F1175"/>
      <c r="G1175"/>
      <c r="H1175"/>
      <c r="I1175"/>
      <c r="J1175"/>
      <c r="FK1175"/>
      <c r="FL1175"/>
      <c r="FM1175"/>
      <c r="FN1175"/>
      <c r="FO1175"/>
      <c r="FP1175"/>
      <c r="FQ1175"/>
      <c r="FR1175"/>
      <c r="FS1175"/>
      <c r="FT1175"/>
      <c r="FU1175"/>
      <c r="FV1175"/>
      <c r="FW1175"/>
      <c r="FX1175"/>
      <c r="FY1175"/>
      <c r="FZ1175"/>
      <c r="GA1175"/>
      <c r="GB1175"/>
      <c r="GC1175"/>
    </row>
    <row r="1176" spans="1:185" x14ac:dyDescent="0.15">
      <c r="A1176"/>
      <c r="B1176"/>
      <c r="C1176"/>
      <c r="D1176"/>
      <c r="E1176"/>
      <c r="F1176"/>
      <c r="G1176"/>
      <c r="H1176"/>
      <c r="I1176"/>
      <c r="J1176"/>
      <c r="FK1176"/>
      <c r="FL1176"/>
      <c r="FM1176"/>
      <c r="FN1176"/>
      <c r="FO1176"/>
      <c r="FP1176"/>
      <c r="FQ1176"/>
      <c r="FR1176"/>
      <c r="FS1176"/>
      <c r="FT1176"/>
      <c r="FU1176"/>
      <c r="FV1176"/>
      <c r="FW1176"/>
      <c r="FX1176"/>
      <c r="FY1176"/>
      <c r="FZ1176"/>
      <c r="GA1176"/>
      <c r="GB1176"/>
      <c r="GC1176"/>
    </row>
    <row r="1177" spans="1:185" x14ac:dyDescent="0.15">
      <c r="A1177"/>
      <c r="B1177"/>
      <c r="C1177"/>
      <c r="D1177"/>
      <c r="E1177"/>
      <c r="F1177"/>
      <c r="G1177"/>
      <c r="H1177"/>
      <c r="I1177"/>
      <c r="J1177"/>
      <c r="FK1177"/>
      <c r="FL1177"/>
      <c r="FM1177"/>
      <c r="FN1177"/>
      <c r="FO1177"/>
      <c r="FP1177"/>
      <c r="FQ1177"/>
      <c r="FR1177"/>
      <c r="FS1177"/>
      <c r="FT1177"/>
      <c r="FU1177"/>
      <c r="FV1177"/>
      <c r="FW1177"/>
      <c r="FX1177"/>
      <c r="FY1177"/>
      <c r="FZ1177"/>
      <c r="GA1177"/>
      <c r="GB1177"/>
      <c r="GC1177"/>
    </row>
    <row r="1178" spans="1:185" x14ac:dyDescent="0.15">
      <c r="A1178"/>
      <c r="B1178"/>
      <c r="C1178"/>
      <c r="D1178"/>
      <c r="E1178"/>
      <c r="F1178"/>
      <c r="G1178"/>
      <c r="H1178"/>
      <c r="I1178"/>
      <c r="J1178"/>
      <c r="FK1178"/>
      <c r="FL1178"/>
      <c r="FM1178"/>
      <c r="FN1178"/>
      <c r="FO1178"/>
      <c r="FP1178"/>
      <c r="FQ1178"/>
      <c r="FR1178"/>
      <c r="FS1178"/>
      <c r="FT1178"/>
      <c r="FU1178"/>
      <c r="FV1178"/>
      <c r="FW1178"/>
      <c r="FX1178"/>
      <c r="FY1178"/>
      <c r="FZ1178"/>
      <c r="GA1178"/>
      <c r="GB1178"/>
      <c r="GC1178"/>
    </row>
    <row r="1179" spans="1:185" x14ac:dyDescent="0.15">
      <c r="A1179"/>
      <c r="B1179"/>
      <c r="C1179"/>
      <c r="D1179"/>
      <c r="E1179"/>
      <c r="F1179"/>
      <c r="G1179"/>
      <c r="H1179"/>
      <c r="I1179"/>
      <c r="J1179"/>
      <c r="FK1179"/>
      <c r="FL1179"/>
      <c r="FM1179"/>
      <c r="FN1179"/>
      <c r="FO1179"/>
      <c r="FP1179"/>
      <c r="FQ1179"/>
      <c r="FR1179"/>
      <c r="FS1179"/>
      <c r="FT1179"/>
      <c r="FU1179"/>
      <c r="FV1179"/>
      <c r="FW1179"/>
      <c r="FX1179"/>
      <c r="FY1179"/>
      <c r="FZ1179"/>
      <c r="GA1179"/>
      <c r="GB1179"/>
      <c r="GC1179"/>
    </row>
    <row r="1180" spans="1:185" x14ac:dyDescent="0.15">
      <c r="A1180"/>
      <c r="B1180"/>
      <c r="C1180"/>
      <c r="D1180"/>
      <c r="E1180"/>
      <c r="F1180"/>
      <c r="G1180"/>
      <c r="H1180"/>
      <c r="I1180"/>
      <c r="J1180"/>
      <c r="FK1180"/>
      <c r="FL1180"/>
      <c r="FM1180"/>
      <c r="FN1180"/>
      <c r="FO1180"/>
      <c r="FP1180"/>
      <c r="FQ1180"/>
      <c r="FR1180"/>
      <c r="FS1180"/>
      <c r="FT1180"/>
      <c r="FU1180"/>
      <c r="FV1180"/>
      <c r="FW1180"/>
      <c r="FX1180"/>
      <c r="FY1180"/>
      <c r="FZ1180"/>
      <c r="GA1180"/>
      <c r="GB1180"/>
      <c r="GC1180"/>
    </row>
    <row r="1181" spans="1:185" x14ac:dyDescent="0.15">
      <c r="A1181"/>
      <c r="B1181"/>
      <c r="C1181"/>
      <c r="D1181"/>
      <c r="E1181"/>
      <c r="F1181"/>
      <c r="G1181"/>
      <c r="H1181"/>
      <c r="I1181"/>
      <c r="J1181"/>
      <c r="FK1181"/>
      <c r="FL1181"/>
      <c r="FM1181"/>
      <c r="FN1181"/>
      <c r="FO1181"/>
      <c r="FP1181"/>
      <c r="FQ1181"/>
      <c r="FR1181"/>
      <c r="FS1181"/>
      <c r="FT1181"/>
      <c r="FU1181"/>
      <c r="FV1181"/>
      <c r="FW1181"/>
      <c r="FX1181"/>
      <c r="FY1181"/>
      <c r="FZ1181"/>
      <c r="GA1181"/>
      <c r="GB1181"/>
      <c r="GC1181"/>
    </row>
    <row r="1182" spans="1:185" x14ac:dyDescent="0.15">
      <c r="A1182"/>
      <c r="B1182"/>
      <c r="C1182"/>
      <c r="D1182"/>
      <c r="E1182"/>
      <c r="F1182"/>
      <c r="G1182"/>
      <c r="H1182"/>
      <c r="I1182"/>
      <c r="J1182"/>
      <c r="FK1182"/>
      <c r="FL1182"/>
      <c r="FM1182"/>
      <c r="FN1182"/>
      <c r="FO1182"/>
      <c r="FP1182"/>
      <c r="FQ1182"/>
      <c r="FR1182"/>
      <c r="FS1182"/>
      <c r="FT1182"/>
      <c r="FU1182"/>
      <c r="FV1182"/>
      <c r="FW1182"/>
      <c r="FX1182"/>
      <c r="FY1182"/>
      <c r="FZ1182"/>
      <c r="GA1182"/>
      <c r="GB1182"/>
      <c r="GC1182"/>
    </row>
    <row r="1183" spans="1:185" x14ac:dyDescent="0.15">
      <c r="A1183"/>
      <c r="B1183"/>
      <c r="C1183"/>
      <c r="D1183"/>
      <c r="E1183"/>
      <c r="F1183"/>
      <c r="G1183"/>
      <c r="H1183"/>
      <c r="I1183"/>
      <c r="J1183"/>
      <c r="FK1183"/>
      <c r="FL1183"/>
      <c r="FM1183"/>
      <c r="FN1183"/>
      <c r="FO1183"/>
      <c r="FP1183"/>
      <c r="FQ1183"/>
      <c r="FR1183"/>
      <c r="FS1183"/>
      <c r="FT1183"/>
      <c r="FU1183"/>
      <c r="FV1183"/>
      <c r="FW1183"/>
      <c r="FX1183"/>
      <c r="FY1183"/>
      <c r="FZ1183"/>
      <c r="GA1183"/>
      <c r="GB1183"/>
      <c r="GC1183"/>
    </row>
    <row r="1184" spans="1:185" x14ac:dyDescent="0.15">
      <c r="A1184"/>
      <c r="B1184"/>
      <c r="C1184"/>
      <c r="D1184"/>
      <c r="E1184"/>
      <c r="F1184"/>
      <c r="G1184"/>
      <c r="H1184"/>
      <c r="I1184"/>
      <c r="J1184"/>
      <c r="FK1184"/>
      <c r="FL1184"/>
      <c r="FM1184"/>
      <c r="FN1184"/>
      <c r="FO1184"/>
      <c r="FP1184"/>
      <c r="FQ1184"/>
      <c r="FR1184"/>
      <c r="FS1184"/>
      <c r="FT1184"/>
      <c r="FU1184"/>
      <c r="FV1184"/>
      <c r="FW1184"/>
      <c r="FX1184"/>
      <c r="FY1184"/>
      <c r="FZ1184"/>
      <c r="GA1184"/>
      <c r="GB1184"/>
      <c r="GC1184"/>
    </row>
    <row r="1185" spans="1:185" x14ac:dyDescent="0.15">
      <c r="A1185"/>
      <c r="B1185"/>
      <c r="C1185"/>
      <c r="D1185"/>
      <c r="E1185"/>
      <c r="F1185"/>
      <c r="G1185"/>
      <c r="H1185"/>
      <c r="I1185"/>
      <c r="J1185"/>
      <c r="FK1185"/>
      <c r="FL1185"/>
      <c r="FM1185"/>
      <c r="FN1185"/>
      <c r="FO1185"/>
      <c r="FP1185"/>
      <c r="FQ1185"/>
      <c r="FR1185"/>
      <c r="FS1185"/>
      <c r="FT1185"/>
      <c r="FU1185"/>
      <c r="FV1185"/>
      <c r="FW1185"/>
      <c r="FX1185"/>
      <c r="FY1185"/>
      <c r="FZ1185"/>
      <c r="GA1185"/>
      <c r="GB1185"/>
      <c r="GC1185"/>
    </row>
    <row r="1186" spans="1:185" x14ac:dyDescent="0.15">
      <c r="A1186"/>
      <c r="B1186"/>
      <c r="C1186"/>
      <c r="D1186"/>
      <c r="E1186"/>
      <c r="F1186"/>
      <c r="G1186"/>
      <c r="H1186"/>
      <c r="I1186"/>
      <c r="J1186"/>
      <c r="FK1186"/>
      <c r="FL1186"/>
      <c r="FM1186"/>
      <c r="FN1186"/>
      <c r="FO1186"/>
      <c r="FP1186"/>
      <c r="FQ1186"/>
      <c r="FR1186"/>
      <c r="FS1186"/>
      <c r="FT1186"/>
      <c r="FU1186"/>
      <c r="FV1186"/>
      <c r="FW1186"/>
      <c r="FX1186"/>
      <c r="FY1186"/>
      <c r="FZ1186"/>
      <c r="GA1186"/>
      <c r="GB1186"/>
      <c r="GC1186"/>
    </row>
    <row r="1187" spans="1:185" x14ac:dyDescent="0.15">
      <c r="A1187"/>
      <c r="B1187"/>
      <c r="C1187"/>
      <c r="D1187"/>
      <c r="E1187"/>
      <c r="F1187"/>
      <c r="G1187"/>
      <c r="H1187"/>
      <c r="I1187"/>
      <c r="J1187"/>
      <c r="FK1187"/>
      <c r="FL1187"/>
      <c r="FM1187"/>
      <c r="FN1187"/>
      <c r="FO1187"/>
      <c r="FP1187"/>
      <c r="FQ1187"/>
      <c r="FR1187"/>
      <c r="FS1187"/>
      <c r="FT1187"/>
      <c r="FU1187"/>
      <c r="FV1187"/>
      <c r="FW1187"/>
      <c r="FX1187"/>
      <c r="FY1187"/>
      <c r="FZ1187"/>
      <c r="GA1187"/>
      <c r="GB1187"/>
      <c r="GC1187"/>
    </row>
    <row r="1188" spans="1:185" x14ac:dyDescent="0.15">
      <c r="A1188"/>
      <c r="B1188"/>
      <c r="C1188"/>
      <c r="D1188"/>
      <c r="E1188"/>
      <c r="F1188"/>
      <c r="G1188"/>
      <c r="H1188"/>
      <c r="I1188"/>
      <c r="J1188"/>
      <c r="FK1188"/>
      <c r="FL1188"/>
      <c r="FM1188"/>
      <c r="FN1188"/>
      <c r="FO1188"/>
      <c r="FP1188"/>
      <c r="FQ1188"/>
      <c r="FR1188"/>
      <c r="FS1188"/>
      <c r="FT1188"/>
      <c r="FU1188"/>
      <c r="FV1188"/>
      <c r="FW1188"/>
      <c r="FX1188"/>
      <c r="FY1188"/>
      <c r="FZ1188"/>
      <c r="GA1188"/>
      <c r="GB1188"/>
      <c r="GC1188"/>
    </row>
    <row r="1189" spans="1:185" x14ac:dyDescent="0.15">
      <c r="A1189"/>
      <c r="B1189"/>
      <c r="C1189"/>
      <c r="D1189"/>
      <c r="E1189"/>
      <c r="F1189"/>
      <c r="G1189"/>
      <c r="H1189"/>
      <c r="I1189"/>
      <c r="J1189"/>
      <c r="FK1189"/>
      <c r="FL1189"/>
      <c r="FM1189"/>
      <c r="FN1189"/>
      <c r="FO1189"/>
      <c r="FP1189"/>
      <c r="FQ1189"/>
      <c r="FR1189"/>
      <c r="FS1189"/>
      <c r="FT1189"/>
      <c r="FU1189"/>
      <c r="FV1189"/>
      <c r="FW1189"/>
      <c r="FX1189"/>
      <c r="FY1189"/>
      <c r="FZ1189"/>
      <c r="GA1189"/>
      <c r="GB1189"/>
      <c r="GC1189"/>
    </row>
    <row r="1190" spans="1:185" x14ac:dyDescent="0.15">
      <c r="A1190"/>
      <c r="B1190"/>
      <c r="C1190"/>
      <c r="D1190"/>
      <c r="E1190"/>
      <c r="F1190"/>
      <c r="G1190"/>
      <c r="H1190"/>
      <c r="I1190"/>
      <c r="J1190"/>
      <c r="FK1190"/>
      <c r="FL1190"/>
      <c r="FM1190"/>
      <c r="FN1190"/>
      <c r="FO1190"/>
      <c r="FP1190"/>
      <c r="FQ1190"/>
      <c r="FR1190"/>
      <c r="FS1190"/>
      <c r="FT1190"/>
      <c r="FU1190"/>
      <c r="FV1190"/>
      <c r="FW1190"/>
      <c r="FX1190"/>
      <c r="FY1190"/>
      <c r="FZ1190"/>
      <c r="GA1190"/>
      <c r="GB1190"/>
      <c r="GC1190"/>
    </row>
    <row r="1191" spans="1:185" x14ac:dyDescent="0.15">
      <c r="A1191"/>
      <c r="B1191"/>
      <c r="C1191"/>
      <c r="D1191"/>
      <c r="E1191"/>
      <c r="F1191"/>
      <c r="G1191"/>
      <c r="H1191"/>
      <c r="I1191"/>
      <c r="J1191"/>
      <c r="FK1191"/>
      <c r="FL1191"/>
      <c r="FM1191"/>
      <c r="FN1191"/>
      <c r="FO1191"/>
      <c r="FP1191"/>
      <c r="FQ1191"/>
      <c r="FR1191"/>
      <c r="FS1191"/>
      <c r="FT1191"/>
      <c r="FU1191"/>
      <c r="FV1191"/>
      <c r="FW1191"/>
      <c r="FX1191"/>
      <c r="FY1191"/>
      <c r="FZ1191"/>
      <c r="GA1191"/>
      <c r="GB1191"/>
      <c r="GC1191"/>
    </row>
    <row r="1192" spans="1:185" x14ac:dyDescent="0.15">
      <c r="A1192"/>
      <c r="B1192"/>
      <c r="C1192"/>
      <c r="D1192"/>
      <c r="E1192"/>
      <c r="F1192"/>
      <c r="G1192"/>
      <c r="H1192"/>
      <c r="I1192"/>
      <c r="J1192"/>
      <c r="FK1192"/>
      <c r="FL1192"/>
      <c r="FM1192"/>
      <c r="FN1192"/>
      <c r="FO1192"/>
      <c r="FP1192"/>
      <c r="FQ1192"/>
      <c r="FR1192"/>
      <c r="FS1192"/>
      <c r="FT1192"/>
      <c r="FU1192"/>
      <c r="FV1192"/>
      <c r="FW1192"/>
      <c r="FX1192"/>
      <c r="FY1192"/>
      <c r="FZ1192"/>
      <c r="GA1192"/>
      <c r="GB1192"/>
      <c r="GC1192"/>
    </row>
    <row r="1193" spans="1:185" x14ac:dyDescent="0.15">
      <c r="A1193"/>
      <c r="B1193"/>
      <c r="C1193"/>
      <c r="D1193"/>
      <c r="E1193"/>
      <c r="F1193"/>
      <c r="G1193"/>
      <c r="H1193"/>
      <c r="I1193"/>
      <c r="J1193"/>
      <c r="FK1193"/>
      <c r="FL1193"/>
      <c r="FM1193"/>
      <c r="FN1193"/>
      <c r="FO1193"/>
      <c r="FP1193"/>
      <c r="FQ1193"/>
      <c r="FR1193"/>
      <c r="FS1193"/>
      <c r="FT1193"/>
      <c r="FU1193"/>
      <c r="FV1193"/>
      <c r="FW1193"/>
      <c r="FX1193"/>
      <c r="FY1193"/>
      <c r="FZ1193"/>
      <c r="GA1193"/>
      <c r="GB1193"/>
      <c r="GC1193"/>
    </row>
    <row r="1194" spans="1:185" x14ac:dyDescent="0.15">
      <c r="A1194"/>
      <c r="B1194"/>
      <c r="C1194"/>
      <c r="D1194"/>
      <c r="E1194"/>
      <c r="F1194"/>
      <c r="G1194"/>
      <c r="H1194"/>
      <c r="I1194"/>
      <c r="J1194"/>
      <c r="FK1194"/>
      <c r="FL1194"/>
      <c r="FM1194"/>
      <c r="FN1194"/>
      <c r="FO1194"/>
      <c r="FP1194"/>
      <c r="FQ1194"/>
      <c r="FR1194"/>
      <c r="FS1194"/>
      <c r="FT1194"/>
      <c r="FU1194"/>
      <c r="FV1194"/>
      <c r="FW1194"/>
      <c r="FX1194"/>
      <c r="FY1194"/>
      <c r="FZ1194"/>
      <c r="GA1194"/>
      <c r="GB1194"/>
      <c r="GC1194"/>
    </row>
    <row r="1195" spans="1:185" x14ac:dyDescent="0.15">
      <c r="A1195"/>
      <c r="B1195"/>
      <c r="C1195"/>
      <c r="D1195"/>
      <c r="E1195"/>
      <c r="F1195"/>
      <c r="G1195"/>
      <c r="H1195"/>
      <c r="I1195"/>
      <c r="J1195"/>
      <c r="FK1195"/>
      <c r="FL1195"/>
      <c r="FM1195"/>
      <c r="FN1195"/>
      <c r="FO1195"/>
      <c r="FP1195"/>
      <c r="FQ1195"/>
      <c r="FR1195"/>
      <c r="FS1195"/>
      <c r="FT1195"/>
      <c r="FU1195"/>
      <c r="FV1195"/>
      <c r="FW1195"/>
      <c r="FX1195"/>
      <c r="FY1195"/>
      <c r="FZ1195"/>
      <c r="GA1195"/>
      <c r="GB1195"/>
      <c r="GC1195"/>
    </row>
    <row r="1196" spans="1:185" x14ac:dyDescent="0.15">
      <c r="A1196"/>
      <c r="B1196"/>
      <c r="C1196"/>
      <c r="D1196"/>
      <c r="E1196"/>
      <c r="F1196"/>
      <c r="G1196"/>
      <c r="H1196"/>
      <c r="I1196"/>
      <c r="J1196"/>
      <c r="FK1196"/>
      <c r="FL1196"/>
      <c r="FM1196"/>
      <c r="FN1196"/>
      <c r="FO1196"/>
      <c r="FP1196"/>
      <c r="FQ1196"/>
      <c r="FR1196"/>
      <c r="FS1196"/>
      <c r="FT1196"/>
      <c r="FU1196"/>
      <c r="FV1196"/>
      <c r="FW1196"/>
      <c r="FX1196"/>
      <c r="FY1196"/>
      <c r="FZ1196"/>
      <c r="GA1196"/>
      <c r="GB1196"/>
      <c r="GC1196"/>
    </row>
    <row r="1197" spans="1:185" x14ac:dyDescent="0.15">
      <c r="A1197"/>
      <c r="B1197"/>
      <c r="C1197"/>
      <c r="D1197"/>
      <c r="E1197"/>
      <c r="F1197"/>
      <c r="G1197"/>
      <c r="H1197"/>
      <c r="I1197"/>
      <c r="J1197"/>
      <c r="FK1197"/>
      <c r="FL1197"/>
      <c r="FM1197"/>
      <c r="FN1197"/>
      <c r="FO1197"/>
      <c r="FP1197"/>
      <c r="FQ1197"/>
      <c r="FR1197"/>
      <c r="FS1197"/>
      <c r="FT1197"/>
      <c r="FU1197"/>
      <c r="FV1197"/>
      <c r="FW1197"/>
      <c r="FX1197"/>
      <c r="FY1197"/>
      <c r="FZ1197"/>
      <c r="GA1197"/>
      <c r="GB1197"/>
      <c r="GC1197"/>
    </row>
    <row r="1198" spans="1:185" x14ac:dyDescent="0.15">
      <c r="A1198"/>
      <c r="B1198"/>
      <c r="C1198"/>
      <c r="D1198"/>
      <c r="E1198"/>
      <c r="F1198"/>
      <c r="G1198"/>
      <c r="H1198"/>
      <c r="I1198"/>
      <c r="J1198"/>
      <c r="FK1198"/>
      <c r="FL1198"/>
      <c r="FM1198"/>
      <c r="FN1198"/>
      <c r="FO1198"/>
      <c r="FP1198"/>
      <c r="FQ1198"/>
      <c r="FR1198"/>
      <c r="FS1198"/>
      <c r="FT1198"/>
      <c r="FU1198"/>
      <c r="FV1198"/>
      <c r="FW1198"/>
      <c r="FX1198"/>
      <c r="FY1198"/>
      <c r="FZ1198"/>
      <c r="GA1198"/>
      <c r="GB1198"/>
      <c r="GC1198"/>
    </row>
    <row r="1199" spans="1:185" x14ac:dyDescent="0.15">
      <c r="A1199"/>
      <c r="B1199"/>
      <c r="C1199"/>
      <c r="D1199"/>
      <c r="E1199"/>
      <c r="F1199"/>
      <c r="G1199"/>
      <c r="H1199"/>
      <c r="I1199"/>
      <c r="J1199"/>
      <c r="FK1199"/>
      <c r="FL1199"/>
      <c r="FM1199"/>
      <c r="FN1199"/>
      <c r="FO1199"/>
      <c r="FP1199"/>
      <c r="FQ1199"/>
      <c r="FR1199"/>
      <c r="FS1199"/>
      <c r="FT1199"/>
      <c r="FU1199"/>
      <c r="FV1199"/>
      <c r="FW1199"/>
      <c r="FX1199"/>
      <c r="FY1199"/>
      <c r="FZ1199"/>
      <c r="GA1199"/>
      <c r="GB1199"/>
      <c r="GC1199"/>
    </row>
    <row r="1200" spans="1:185" x14ac:dyDescent="0.15">
      <c r="A1200"/>
      <c r="B1200"/>
      <c r="C1200"/>
      <c r="D1200"/>
      <c r="E1200"/>
      <c r="F1200"/>
      <c r="G1200"/>
      <c r="H1200"/>
      <c r="I1200"/>
      <c r="J1200"/>
      <c r="FK1200"/>
      <c r="FL1200"/>
      <c r="FM1200"/>
      <c r="FN1200"/>
      <c r="FO1200"/>
      <c r="FP1200"/>
      <c r="FQ1200"/>
      <c r="FR1200"/>
      <c r="FS1200"/>
      <c r="FT1200"/>
      <c r="FU1200"/>
      <c r="FV1200"/>
      <c r="FW1200"/>
      <c r="FX1200"/>
      <c r="FY1200"/>
      <c r="FZ1200"/>
      <c r="GA1200"/>
      <c r="GB1200"/>
      <c r="GC1200"/>
    </row>
    <row r="1201" spans="1:185" x14ac:dyDescent="0.15">
      <c r="A1201"/>
      <c r="B1201"/>
      <c r="C1201"/>
      <c r="D1201"/>
      <c r="E1201"/>
      <c r="F1201"/>
      <c r="G1201"/>
      <c r="H1201"/>
      <c r="I1201"/>
      <c r="J1201"/>
      <c r="FK1201"/>
      <c r="FL1201"/>
      <c r="FM1201"/>
      <c r="FN1201"/>
      <c r="FO1201"/>
      <c r="FP1201"/>
      <c r="FQ1201"/>
      <c r="FR1201"/>
      <c r="FS1201"/>
      <c r="FT1201"/>
      <c r="FU1201"/>
      <c r="FV1201"/>
      <c r="FW1201"/>
      <c r="FX1201"/>
      <c r="FY1201"/>
      <c r="FZ1201"/>
      <c r="GA1201"/>
      <c r="GB1201"/>
      <c r="GC1201"/>
    </row>
    <row r="1202" spans="1:185" x14ac:dyDescent="0.15">
      <c r="A1202"/>
      <c r="B1202"/>
      <c r="C1202"/>
      <c r="D1202"/>
      <c r="E1202"/>
      <c r="F1202"/>
      <c r="G1202"/>
      <c r="H1202"/>
      <c r="I1202"/>
      <c r="J1202"/>
      <c r="FK1202"/>
      <c r="FL1202"/>
      <c r="FM1202"/>
      <c r="FN1202"/>
      <c r="FO1202"/>
      <c r="FP1202"/>
      <c r="FQ1202"/>
      <c r="FR1202"/>
      <c r="FS1202"/>
      <c r="FT1202"/>
      <c r="FU1202"/>
      <c r="FV1202"/>
      <c r="FW1202"/>
      <c r="FX1202"/>
      <c r="FY1202"/>
      <c r="FZ1202"/>
      <c r="GA1202"/>
      <c r="GB1202"/>
      <c r="GC1202"/>
    </row>
    <row r="1203" spans="1:185" x14ac:dyDescent="0.15">
      <c r="A1203"/>
      <c r="B1203"/>
      <c r="C1203"/>
      <c r="D1203"/>
      <c r="E1203"/>
      <c r="F1203"/>
      <c r="G1203"/>
      <c r="H1203"/>
      <c r="I1203"/>
      <c r="J1203"/>
      <c r="FK1203"/>
      <c r="FL1203"/>
      <c r="FM1203"/>
      <c r="FN1203"/>
      <c r="FO1203"/>
      <c r="FP1203"/>
      <c r="FQ1203"/>
      <c r="FR1203"/>
      <c r="FS1203"/>
      <c r="FT1203"/>
      <c r="FU1203"/>
      <c r="FV1203"/>
      <c r="FW1203"/>
      <c r="FX1203"/>
      <c r="FY1203"/>
      <c r="FZ1203"/>
      <c r="GA1203"/>
      <c r="GB1203"/>
      <c r="GC1203"/>
    </row>
    <row r="1204" spans="1:185" x14ac:dyDescent="0.15">
      <c r="A1204"/>
      <c r="B1204"/>
      <c r="C1204"/>
      <c r="D1204"/>
      <c r="E1204"/>
      <c r="F1204"/>
      <c r="G1204"/>
      <c r="H1204"/>
      <c r="I1204"/>
      <c r="J1204"/>
      <c r="FK1204"/>
      <c r="FL1204"/>
      <c r="FM1204"/>
      <c r="FN1204"/>
      <c r="FO1204"/>
      <c r="FP1204"/>
      <c r="FQ1204"/>
      <c r="FR1204"/>
      <c r="FS1204"/>
      <c r="FT1204"/>
      <c r="FU1204"/>
      <c r="FV1204"/>
      <c r="FW1204"/>
      <c r="FX1204"/>
      <c r="FY1204"/>
      <c r="FZ1204"/>
      <c r="GA1204"/>
      <c r="GB1204"/>
      <c r="GC1204"/>
    </row>
    <row r="1205" spans="1:185" x14ac:dyDescent="0.15">
      <c r="A1205"/>
      <c r="B1205"/>
      <c r="C1205"/>
      <c r="D1205"/>
      <c r="E1205"/>
      <c r="F1205"/>
      <c r="G1205"/>
      <c r="H1205"/>
      <c r="I1205"/>
      <c r="J1205"/>
      <c r="FK1205"/>
      <c r="FL1205"/>
      <c r="FM1205"/>
      <c r="FN1205"/>
      <c r="FO1205"/>
      <c r="FP1205"/>
      <c r="FQ1205"/>
      <c r="FR1205"/>
      <c r="FS1205"/>
      <c r="FT1205"/>
      <c r="FU1205"/>
      <c r="FV1205"/>
      <c r="FW1205"/>
      <c r="FX1205"/>
      <c r="FY1205"/>
      <c r="FZ1205"/>
      <c r="GA1205"/>
      <c r="GB1205"/>
      <c r="GC1205"/>
    </row>
    <row r="1206" spans="1:185" x14ac:dyDescent="0.15">
      <c r="A1206"/>
      <c r="B1206"/>
      <c r="C1206"/>
      <c r="D1206"/>
      <c r="E1206"/>
      <c r="F1206"/>
      <c r="G1206"/>
      <c r="H1206"/>
      <c r="I1206"/>
      <c r="J1206"/>
      <c r="FK1206"/>
      <c r="FL1206"/>
      <c r="FM1206"/>
      <c r="FN1206"/>
      <c r="FO1206"/>
      <c r="FP1206"/>
      <c r="FQ1206"/>
      <c r="FR1206"/>
      <c r="FS1206"/>
      <c r="FT1206"/>
      <c r="FU1206"/>
      <c r="FV1206"/>
      <c r="FW1206"/>
      <c r="FX1206"/>
      <c r="FY1206"/>
      <c r="FZ1206"/>
      <c r="GA1206"/>
      <c r="GB1206"/>
      <c r="GC1206"/>
    </row>
    <row r="1207" spans="1:185" x14ac:dyDescent="0.15">
      <c r="A1207"/>
      <c r="B1207"/>
      <c r="C1207"/>
      <c r="D1207"/>
      <c r="E1207"/>
      <c r="F1207"/>
      <c r="G1207"/>
      <c r="H1207"/>
      <c r="I1207"/>
      <c r="J1207"/>
      <c r="FK1207"/>
      <c r="FL1207"/>
      <c r="FM1207"/>
      <c r="FN1207"/>
      <c r="FO1207"/>
      <c r="FP1207"/>
      <c r="FQ1207"/>
      <c r="FR1207"/>
      <c r="FS1207"/>
      <c r="FT1207"/>
      <c r="FU1207"/>
      <c r="FV1207"/>
      <c r="FW1207"/>
      <c r="FX1207"/>
      <c r="FY1207"/>
      <c r="FZ1207"/>
      <c r="GA1207"/>
      <c r="GB1207"/>
      <c r="GC1207"/>
    </row>
    <row r="1208" spans="1:185" x14ac:dyDescent="0.15">
      <c r="A1208"/>
      <c r="B1208"/>
      <c r="C1208"/>
      <c r="D1208"/>
      <c r="E1208"/>
      <c r="F1208"/>
      <c r="G1208"/>
      <c r="H1208"/>
      <c r="I1208"/>
      <c r="J1208"/>
      <c r="FK1208"/>
      <c r="FL1208"/>
      <c r="FM1208"/>
      <c r="FN1208"/>
      <c r="FO1208"/>
      <c r="FP1208"/>
      <c r="FQ1208"/>
      <c r="FR1208"/>
      <c r="FS1208"/>
      <c r="FT1208"/>
      <c r="FU1208"/>
      <c r="FV1208"/>
      <c r="FW1208"/>
      <c r="FX1208"/>
      <c r="FY1208"/>
      <c r="FZ1208"/>
      <c r="GA1208"/>
      <c r="GB1208"/>
      <c r="GC1208"/>
    </row>
    <row r="1209" spans="1:185" x14ac:dyDescent="0.15">
      <c r="A1209"/>
      <c r="B1209"/>
      <c r="C1209"/>
      <c r="D1209"/>
      <c r="E1209"/>
      <c r="F1209"/>
      <c r="G1209"/>
      <c r="H1209"/>
      <c r="I1209"/>
      <c r="J1209"/>
      <c r="FK1209"/>
      <c r="FL1209"/>
      <c r="FM1209"/>
      <c r="FN1209"/>
      <c r="FO1209"/>
      <c r="FP1209"/>
      <c r="FQ1209"/>
      <c r="FR1209"/>
      <c r="FS1209"/>
      <c r="FT1209"/>
      <c r="FU1209"/>
      <c r="FV1209"/>
      <c r="FW1209"/>
      <c r="FX1209"/>
      <c r="FY1209"/>
      <c r="FZ1209"/>
      <c r="GA1209"/>
      <c r="GB1209"/>
      <c r="GC1209"/>
    </row>
    <row r="1210" spans="1:185" x14ac:dyDescent="0.15">
      <c r="A1210"/>
      <c r="B1210"/>
      <c r="C1210"/>
      <c r="D1210"/>
      <c r="E1210"/>
      <c r="F1210"/>
      <c r="G1210"/>
      <c r="H1210"/>
      <c r="I1210"/>
      <c r="J1210"/>
      <c r="FK1210"/>
      <c r="FL1210"/>
      <c r="FM1210"/>
      <c r="FN1210"/>
      <c r="FO1210"/>
      <c r="FP1210"/>
      <c r="FQ1210"/>
      <c r="FR1210"/>
      <c r="FS1210"/>
      <c r="FT1210"/>
      <c r="FU1210"/>
      <c r="FV1210"/>
      <c r="FW1210"/>
      <c r="FX1210"/>
      <c r="FY1210"/>
      <c r="FZ1210"/>
      <c r="GA1210"/>
      <c r="GB1210"/>
      <c r="GC1210"/>
    </row>
    <row r="1211" spans="1:185" x14ac:dyDescent="0.15">
      <c r="A1211"/>
      <c r="B1211"/>
      <c r="C1211"/>
      <c r="D1211"/>
      <c r="E1211"/>
      <c r="F1211"/>
      <c r="G1211"/>
      <c r="H1211"/>
      <c r="I1211"/>
      <c r="J1211"/>
      <c r="FK1211"/>
      <c r="FL1211"/>
      <c r="FM1211"/>
      <c r="FN1211"/>
      <c r="FO1211"/>
      <c r="FP1211"/>
      <c r="FQ1211"/>
      <c r="FR1211"/>
      <c r="FS1211"/>
      <c r="FT1211"/>
      <c r="FU1211"/>
      <c r="FV1211"/>
      <c r="FW1211"/>
      <c r="FX1211"/>
      <c r="FY1211"/>
      <c r="FZ1211"/>
      <c r="GA1211"/>
      <c r="GB1211"/>
      <c r="GC1211"/>
    </row>
    <row r="1212" spans="1:185" x14ac:dyDescent="0.15">
      <c r="A1212"/>
      <c r="B1212"/>
      <c r="C1212"/>
      <c r="D1212"/>
      <c r="E1212"/>
      <c r="F1212"/>
      <c r="G1212"/>
      <c r="H1212"/>
      <c r="I1212"/>
      <c r="J1212"/>
      <c r="FK1212"/>
      <c r="FL1212"/>
      <c r="FM1212"/>
      <c r="FN1212"/>
      <c r="FO1212"/>
      <c r="FP1212"/>
      <c r="FQ1212"/>
      <c r="FR1212"/>
      <c r="FS1212"/>
      <c r="FT1212"/>
      <c r="FU1212"/>
      <c r="FV1212"/>
      <c r="FW1212"/>
      <c r="FX1212"/>
      <c r="FY1212"/>
      <c r="FZ1212"/>
      <c r="GA1212"/>
      <c r="GB1212"/>
      <c r="GC1212"/>
    </row>
    <row r="1213" spans="1:185" x14ac:dyDescent="0.15">
      <c r="A1213"/>
      <c r="B1213"/>
      <c r="C1213"/>
      <c r="D1213"/>
      <c r="E1213"/>
      <c r="F1213"/>
      <c r="G1213"/>
      <c r="H1213"/>
      <c r="I1213"/>
      <c r="J1213"/>
      <c r="FK1213"/>
      <c r="FL1213"/>
      <c r="FM1213"/>
      <c r="FN1213"/>
      <c r="FO1213"/>
      <c r="FP1213"/>
      <c r="FQ1213"/>
      <c r="FR1213"/>
      <c r="FS1213"/>
      <c r="FT1213"/>
      <c r="FU1213"/>
      <c r="FV1213"/>
      <c r="FW1213"/>
      <c r="FX1213"/>
      <c r="FY1213"/>
      <c r="FZ1213"/>
      <c r="GA1213"/>
      <c r="GB1213"/>
      <c r="GC1213"/>
    </row>
    <row r="1214" spans="1:185" x14ac:dyDescent="0.15">
      <c r="A1214"/>
      <c r="B1214"/>
      <c r="C1214"/>
      <c r="D1214"/>
      <c r="E1214"/>
      <c r="F1214"/>
      <c r="G1214"/>
      <c r="H1214"/>
      <c r="I1214"/>
      <c r="J1214"/>
      <c r="FK1214"/>
      <c r="FL1214"/>
      <c r="FM1214"/>
      <c r="FN1214"/>
      <c r="FO1214"/>
      <c r="FP1214"/>
      <c r="FQ1214"/>
      <c r="FR1214"/>
      <c r="FS1214"/>
      <c r="FT1214"/>
      <c r="FU1214"/>
      <c r="FV1214"/>
      <c r="FW1214"/>
      <c r="FX1214"/>
      <c r="FY1214"/>
      <c r="FZ1214"/>
      <c r="GA1214"/>
      <c r="GB1214"/>
      <c r="GC1214"/>
    </row>
    <row r="1215" spans="1:185" x14ac:dyDescent="0.15">
      <c r="A1215"/>
      <c r="B1215"/>
      <c r="C1215"/>
      <c r="D1215"/>
      <c r="E1215"/>
      <c r="F1215"/>
      <c r="G1215"/>
      <c r="H1215"/>
      <c r="I1215"/>
      <c r="J1215"/>
      <c r="FK1215"/>
      <c r="FL1215"/>
      <c r="FM1215"/>
      <c r="FN1215"/>
      <c r="FO1215"/>
      <c r="FP1215"/>
      <c r="FQ1215"/>
      <c r="FR1215"/>
      <c r="FS1215"/>
      <c r="FT1215"/>
      <c r="FU1215"/>
      <c r="FV1215"/>
      <c r="FW1215"/>
      <c r="FX1215"/>
      <c r="FY1215"/>
      <c r="FZ1215"/>
      <c r="GA1215"/>
      <c r="GB1215"/>
      <c r="GC1215"/>
    </row>
    <row r="1216" spans="1:185" x14ac:dyDescent="0.15">
      <c r="A1216"/>
      <c r="B1216"/>
      <c r="C1216"/>
      <c r="D1216"/>
      <c r="E1216"/>
      <c r="F1216"/>
      <c r="G1216"/>
      <c r="H1216"/>
      <c r="I1216"/>
      <c r="J1216"/>
      <c r="FK1216"/>
      <c r="FL1216"/>
      <c r="FM1216"/>
      <c r="FN1216"/>
      <c r="FO1216"/>
      <c r="FP1216"/>
      <c r="FQ1216"/>
      <c r="FR1216"/>
      <c r="FS1216"/>
      <c r="FT1216"/>
      <c r="FU1216"/>
      <c r="FV1216"/>
      <c r="FW1216"/>
      <c r="FX1216"/>
      <c r="FY1216"/>
      <c r="FZ1216"/>
      <c r="GA1216"/>
      <c r="GB1216"/>
      <c r="GC1216"/>
    </row>
    <row r="1217" spans="1:185" x14ac:dyDescent="0.15">
      <c r="A1217"/>
      <c r="B1217"/>
      <c r="C1217"/>
      <c r="D1217"/>
      <c r="E1217"/>
      <c r="F1217"/>
      <c r="G1217"/>
      <c r="H1217"/>
      <c r="I1217"/>
      <c r="J1217"/>
      <c r="FK1217"/>
      <c r="FL1217"/>
      <c r="FM1217"/>
      <c r="FN1217"/>
      <c r="FO1217"/>
      <c r="FP1217"/>
      <c r="FQ1217"/>
      <c r="FR1217"/>
      <c r="FS1217"/>
      <c r="FT1217"/>
      <c r="FU1217"/>
      <c r="FV1217"/>
      <c r="FW1217"/>
      <c r="FX1217"/>
      <c r="FY1217"/>
      <c r="FZ1217"/>
      <c r="GA1217"/>
      <c r="GB1217"/>
      <c r="GC1217"/>
    </row>
    <row r="1218" spans="1:185" x14ac:dyDescent="0.15">
      <c r="A1218"/>
      <c r="B1218"/>
      <c r="C1218"/>
      <c r="D1218"/>
      <c r="E1218"/>
      <c r="F1218"/>
      <c r="G1218"/>
      <c r="H1218"/>
      <c r="I1218"/>
      <c r="J1218"/>
      <c r="FK1218"/>
      <c r="FL1218"/>
      <c r="FM1218"/>
      <c r="FN1218"/>
      <c r="FO1218"/>
      <c r="FP1218"/>
      <c r="FQ1218"/>
      <c r="FR1218"/>
      <c r="FS1218"/>
      <c r="FT1218"/>
      <c r="FU1218"/>
      <c r="FV1218"/>
      <c r="FW1218"/>
      <c r="FX1218"/>
      <c r="FY1218"/>
      <c r="FZ1218"/>
      <c r="GA1218"/>
      <c r="GB1218"/>
      <c r="GC1218"/>
    </row>
    <row r="1219" spans="1:185" x14ac:dyDescent="0.15">
      <c r="A1219"/>
      <c r="B1219"/>
      <c r="C1219"/>
      <c r="D1219"/>
      <c r="E1219"/>
      <c r="F1219"/>
      <c r="G1219"/>
      <c r="H1219"/>
      <c r="I1219"/>
      <c r="J1219"/>
      <c r="FK1219"/>
      <c r="FL1219"/>
      <c r="FM1219"/>
      <c r="FN1219"/>
      <c r="FO1219"/>
      <c r="FP1219"/>
      <c r="FQ1219"/>
      <c r="FR1219"/>
      <c r="FS1219"/>
      <c r="FT1219"/>
      <c r="FU1219"/>
      <c r="FV1219"/>
      <c r="FW1219"/>
      <c r="FX1219"/>
      <c r="FY1219"/>
      <c r="FZ1219"/>
      <c r="GA1219"/>
      <c r="GB1219"/>
      <c r="GC1219"/>
    </row>
    <row r="1220" spans="1:185" x14ac:dyDescent="0.15">
      <c r="A1220"/>
      <c r="B1220"/>
      <c r="C1220"/>
      <c r="D1220"/>
      <c r="E1220"/>
      <c r="F1220"/>
      <c r="G1220"/>
      <c r="H1220"/>
      <c r="I1220"/>
      <c r="J1220"/>
      <c r="FK1220"/>
      <c r="FL1220"/>
      <c r="FM1220"/>
      <c r="FN1220"/>
      <c r="FO1220"/>
      <c r="FP1220"/>
      <c r="FQ1220"/>
      <c r="FR1220"/>
      <c r="FS1220"/>
      <c r="FT1220"/>
      <c r="FU1220"/>
      <c r="FV1220"/>
      <c r="FW1220"/>
      <c r="FX1220"/>
      <c r="FY1220"/>
      <c r="FZ1220"/>
      <c r="GA1220"/>
      <c r="GB1220"/>
      <c r="GC1220"/>
    </row>
    <row r="1221" spans="1:185" x14ac:dyDescent="0.15">
      <c r="A1221"/>
      <c r="B1221"/>
      <c r="C1221"/>
      <c r="D1221"/>
      <c r="E1221"/>
      <c r="F1221"/>
      <c r="G1221"/>
      <c r="H1221"/>
      <c r="I1221"/>
      <c r="J1221"/>
      <c r="FK1221"/>
      <c r="FL1221"/>
      <c r="FM1221"/>
      <c r="FN1221"/>
      <c r="FO1221"/>
      <c r="FP1221"/>
      <c r="FQ1221"/>
      <c r="FR1221"/>
      <c r="FS1221"/>
      <c r="FT1221"/>
      <c r="FU1221"/>
      <c r="FV1221"/>
      <c r="FW1221"/>
      <c r="FX1221"/>
      <c r="FY1221"/>
      <c r="FZ1221"/>
      <c r="GA1221"/>
      <c r="GB1221"/>
      <c r="GC1221"/>
    </row>
    <row r="1222" spans="1:185" x14ac:dyDescent="0.15">
      <c r="A1222"/>
      <c r="B1222"/>
      <c r="C1222"/>
      <c r="D1222"/>
      <c r="E1222"/>
      <c r="F1222"/>
      <c r="G1222"/>
      <c r="H1222"/>
      <c r="I1222"/>
      <c r="J1222"/>
      <c r="FK1222"/>
      <c r="FL1222"/>
      <c r="FM1222"/>
      <c r="FN1222"/>
      <c r="FO1222"/>
      <c r="FP1222"/>
      <c r="FQ1222"/>
      <c r="FR1222"/>
      <c r="FS1222"/>
      <c r="FT1222"/>
      <c r="FU1222"/>
      <c r="FV1222"/>
      <c r="FW1222"/>
      <c r="FX1222"/>
      <c r="FY1222"/>
      <c r="FZ1222"/>
      <c r="GA1222"/>
      <c r="GB1222"/>
      <c r="GC1222"/>
    </row>
    <row r="1223" spans="1:185" x14ac:dyDescent="0.15">
      <c r="A1223"/>
      <c r="B1223"/>
      <c r="C1223"/>
      <c r="D1223"/>
      <c r="E1223"/>
      <c r="F1223"/>
      <c r="G1223"/>
      <c r="H1223"/>
      <c r="I1223"/>
      <c r="J1223"/>
      <c r="FK1223"/>
      <c r="FL1223"/>
      <c r="FM1223"/>
      <c r="FN1223"/>
      <c r="FO1223"/>
      <c r="FP1223"/>
      <c r="FQ1223"/>
      <c r="FR1223"/>
      <c r="FS1223"/>
      <c r="FT1223"/>
      <c r="FU1223"/>
      <c r="FV1223"/>
      <c r="FW1223"/>
      <c r="FX1223"/>
      <c r="FY1223"/>
      <c r="FZ1223"/>
      <c r="GA1223"/>
      <c r="GB1223"/>
      <c r="GC1223"/>
    </row>
    <row r="1224" spans="1:185" x14ac:dyDescent="0.15">
      <c r="A1224"/>
      <c r="B1224"/>
      <c r="C1224"/>
      <c r="D1224"/>
      <c r="E1224"/>
      <c r="F1224"/>
      <c r="G1224"/>
      <c r="H1224"/>
      <c r="I1224"/>
      <c r="J1224"/>
      <c r="FK1224"/>
      <c r="FL1224"/>
      <c r="FM1224"/>
      <c r="FN1224"/>
      <c r="FO1224"/>
      <c r="FP1224"/>
      <c r="FQ1224"/>
      <c r="FR1224"/>
      <c r="FS1224"/>
      <c r="FT1224"/>
      <c r="FU1224"/>
      <c r="FV1224"/>
      <c r="FW1224"/>
      <c r="FX1224"/>
      <c r="FY1224"/>
      <c r="FZ1224"/>
      <c r="GA1224"/>
      <c r="GB1224"/>
      <c r="GC1224"/>
    </row>
    <row r="1225" spans="1:185" x14ac:dyDescent="0.15">
      <c r="A1225"/>
      <c r="B1225"/>
      <c r="C1225"/>
      <c r="D1225"/>
      <c r="E1225"/>
      <c r="F1225"/>
      <c r="G1225"/>
      <c r="H1225"/>
      <c r="I1225"/>
      <c r="J1225"/>
      <c r="FK1225"/>
      <c r="FL1225"/>
      <c r="FM1225"/>
      <c r="FN1225"/>
      <c r="FO1225"/>
      <c r="FP1225"/>
      <c r="FQ1225"/>
      <c r="FR1225"/>
      <c r="FS1225"/>
      <c r="FT1225"/>
      <c r="FU1225"/>
      <c r="FV1225"/>
      <c r="FW1225"/>
      <c r="FX1225"/>
      <c r="FY1225"/>
      <c r="FZ1225"/>
      <c r="GA1225"/>
      <c r="GB1225"/>
      <c r="GC1225"/>
    </row>
    <row r="1226" spans="1:185" x14ac:dyDescent="0.15">
      <c r="A1226"/>
      <c r="B1226"/>
      <c r="C1226"/>
      <c r="D1226"/>
      <c r="E1226"/>
      <c r="F1226"/>
      <c r="G1226"/>
      <c r="H1226"/>
      <c r="I1226"/>
      <c r="J1226"/>
      <c r="FK1226"/>
      <c r="FL1226"/>
      <c r="FM1226"/>
      <c r="FN1226"/>
      <c r="FO1226"/>
      <c r="FP1226"/>
      <c r="FQ1226"/>
      <c r="FR1226"/>
      <c r="FS1226"/>
      <c r="FT1226"/>
      <c r="FU1226"/>
      <c r="FV1226"/>
      <c r="FW1226"/>
      <c r="FX1226"/>
      <c r="FY1226"/>
      <c r="FZ1226"/>
      <c r="GA1226"/>
      <c r="GB1226"/>
      <c r="GC1226"/>
    </row>
    <row r="1227" spans="1:185" x14ac:dyDescent="0.15">
      <c r="A1227"/>
      <c r="B1227"/>
      <c r="C1227"/>
      <c r="D1227"/>
      <c r="E1227"/>
      <c r="F1227"/>
      <c r="G1227"/>
      <c r="H1227"/>
      <c r="I1227"/>
      <c r="J1227"/>
      <c r="FK1227"/>
      <c r="FL1227"/>
      <c r="FM1227"/>
      <c r="FN1227"/>
      <c r="FO1227"/>
      <c r="FP1227"/>
      <c r="FQ1227"/>
      <c r="FR1227"/>
      <c r="FS1227"/>
      <c r="FT1227"/>
      <c r="FU1227"/>
      <c r="FV1227"/>
      <c r="FW1227"/>
      <c r="FX1227"/>
      <c r="FY1227"/>
      <c r="FZ1227"/>
      <c r="GA1227"/>
      <c r="GB1227"/>
      <c r="GC1227"/>
    </row>
    <row r="1228" spans="1:185" x14ac:dyDescent="0.15">
      <c r="A1228"/>
      <c r="B1228"/>
      <c r="C1228"/>
      <c r="D1228"/>
      <c r="E1228"/>
      <c r="F1228"/>
      <c r="G1228"/>
      <c r="H1228"/>
      <c r="I1228"/>
      <c r="J1228"/>
      <c r="FK1228"/>
      <c r="FL1228"/>
      <c r="FM1228"/>
      <c r="FN1228"/>
      <c r="FO1228"/>
      <c r="FP1228"/>
      <c r="FQ1228"/>
      <c r="FR1228"/>
      <c r="FS1228"/>
      <c r="FT1228"/>
      <c r="FU1228"/>
      <c r="FV1228"/>
      <c r="FW1228"/>
      <c r="FX1228"/>
      <c r="FY1228"/>
      <c r="FZ1228"/>
      <c r="GA1228"/>
      <c r="GB1228"/>
      <c r="GC1228"/>
    </row>
    <row r="1229" spans="1:185" x14ac:dyDescent="0.15">
      <c r="A1229"/>
      <c r="B1229"/>
      <c r="C1229"/>
      <c r="D1229"/>
      <c r="E1229"/>
      <c r="F1229"/>
      <c r="G1229"/>
      <c r="H1229"/>
      <c r="I1229"/>
      <c r="J1229"/>
      <c r="FK1229"/>
      <c r="FL1229"/>
      <c r="FM1229"/>
      <c r="FN1229"/>
      <c r="FO1229"/>
      <c r="FP1229"/>
      <c r="FQ1229"/>
      <c r="FR1229"/>
      <c r="FS1229"/>
      <c r="FT1229"/>
      <c r="FU1229"/>
      <c r="FV1229"/>
      <c r="FW1229"/>
      <c r="FX1229"/>
      <c r="FY1229"/>
      <c r="FZ1229"/>
      <c r="GA1229"/>
      <c r="GB1229"/>
      <c r="GC1229"/>
    </row>
    <row r="1230" spans="1:185" x14ac:dyDescent="0.15">
      <c r="A1230"/>
      <c r="B1230"/>
      <c r="C1230"/>
      <c r="D1230"/>
      <c r="E1230"/>
      <c r="F1230"/>
      <c r="G1230"/>
      <c r="H1230"/>
      <c r="I1230"/>
      <c r="J1230"/>
      <c r="FK1230"/>
      <c r="FL1230"/>
      <c r="FM1230"/>
      <c r="FN1230"/>
      <c r="FO1230"/>
      <c r="FP1230"/>
      <c r="FQ1230"/>
      <c r="FR1230"/>
      <c r="FS1230"/>
      <c r="FT1230"/>
      <c r="FU1230"/>
      <c r="FV1230"/>
      <c r="FW1230"/>
      <c r="FX1230"/>
      <c r="FY1230"/>
      <c r="FZ1230"/>
      <c r="GA1230"/>
      <c r="GB1230"/>
      <c r="GC1230"/>
    </row>
    <row r="1231" spans="1:185" x14ac:dyDescent="0.15">
      <c r="A1231"/>
      <c r="B1231"/>
      <c r="C1231"/>
      <c r="D1231"/>
      <c r="E1231"/>
      <c r="F1231"/>
      <c r="G1231"/>
      <c r="H1231"/>
      <c r="I1231"/>
      <c r="J1231"/>
      <c r="FK1231"/>
      <c r="FL1231"/>
      <c r="FM1231"/>
      <c r="FN1231"/>
      <c r="FO1231"/>
      <c r="FP1231"/>
      <c r="FQ1231"/>
      <c r="FR1231"/>
      <c r="FS1231"/>
      <c r="FT1231"/>
      <c r="FU1231"/>
      <c r="FV1231"/>
      <c r="FW1231"/>
      <c r="FX1231"/>
      <c r="FY1231"/>
      <c r="FZ1231"/>
      <c r="GA1231"/>
      <c r="GB1231"/>
      <c r="GC1231"/>
    </row>
    <row r="1232" spans="1:185" x14ac:dyDescent="0.15">
      <c r="A1232"/>
      <c r="B1232"/>
      <c r="C1232"/>
      <c r="D1232"/>
      <c r="E1232"/>
      <c r="F1232"/>
      <c r="G1232"/>
      <c r="H1232"/>
      <c r="I1232"/>
      <c r="J1232"/>
      <c r="FK1232"/>
      <c r="FL1232"/>
      <c r="FM1232"/>
      <c r="FN1232"/>
      <c r="FO1232"/>
      <c r="FP1232"/>
      <c r="FQ1232"/>
      <c r="FR1232"/>
      <c r="FS1232"/>
      <c r="FT1232"/>
      <c r="FU1232"/>
      <c r="FV1232"/>
      <c r="FW1232"/>
      <c r="FX1232"/>
      <c r="FY1232"/>
      <c r="FZ1232"/>
      <c r="GA1232"/>
      <c r="GB1232"/>
      <c r="GC1232"/>
    </row>
    <row r="1233" spans="1:185" x14ac:dyDescent="0.15">
      <c r="A1233"/>
      <c r="B1233"/>
      <c r="C1233"/>
      <c r="D1233"/>
      <c r="E1233"/>
      <c r="F1233"/>
      <c r="G1233"/>
      <c r="H1233"/>
      <c r="I1233"/>
      <c r="J1233"/>
      <c r="FK1233"/>
      <c r="FL1233"/>
      <c r="FM1233"/>
      <c r="FN1233"/>
      <c r="FO1233"/>
      <c r="FP1233"/>
      <c r="FQ1233"/>
      <c r="FR1233"/>
      <c r="FS1233"/>
      <c r="FT1233"/>
      <c r="FU1233"/>
      <c r="FV1233"/>
      <c r="FW1233"/>
      <c r="FX1233"/>
      <c r="FY1233"/>
      <c r="FZ1233"/>
      <c r="GA1233"/>
      <c r="GB1233"/>
      <c r="GC1233"/>
    </row>
    <row r="1234" spans="1:185" x14ac:dyDescent="0.15">
      <c r="A1234"/>
      <c r="B1234"/>
      <c r="C1234"/>
      <c r="D1234"/>
      <c r="E1234"/>
      <c r="F1234"/>
      <c r="G1234"/>
      <c r="H1234"/>
      <c r="I1234"/>
      <c r="J1234"/>
      <c r="FK1234"/>
      <c r="FL1234"/>
      <c r="FM1234"/>
      <c r="FN1234"/>
      <c r="FO1234"/>
      <c r="FP1234"/>
      <c r="FQ1234"/>
      <c r="FR1234"/>
      <c r="FS1234"/>
      <c r="FT1234"/>
      <c r="FU1234"/>
      <c r="FV1234"/>
      <c r="FW1234"/>
      <c r="FX1234"/>
      <c r="FY1234"/>
      <c r="FZ1234"/>
      <c r="GA1234"/>
      <c r="GB1234"/>
      <c r="GC1234"/>
    </row>
    <row r="1235" spans="1:185" x14ac:dyDescent="0.15">
      <c r="A1235"/>
      <c r="B1235"/>
      <c r="C1235"/>
      <c r="D1235"/>
      <c r="E1235"/>
      <c r="F1235"/>
      <c r="G1235"/>
      <c r="H1235"/>
      <c r="I1235"/>
      <c r="J1235"/>
      <c r="FK1235"/>
      <c r="FL1235"/>
      <c r="FM1235"/>
      <c r="FN1235"/>
      <c r="FO1235"/>
      <c r="FP1235"/>
      <c r="FQ1235"/>
      <c r="FR1235"/>
      <c r="FS1235"/>
      <c r="FT1235"/>
      <c r="FU1235"/>
      <c r="FV1235"/>
      <c r="FW1235"/>
      <c r="FX1235"/>
      <c r="FY1235"/>
      <c r="FZ1235"/>
      <c r="GA1235"/>
      <c r="GB1235"/>
      <c r="GC1235"/>
    </row>
    <row r="1236" spans="1:185" x14ac:dyDescent="0.15">
      <c r="A1236"/>
      <c r="B1236"/>
      <c r="C1236"/>
      <c r="D1236"/>
      <c r="E1236"/>
      <c r="F1236"/>
      <c r="G1236"/>
      <c r="H1236"/>
      <c r="I1236"/>
      <c r="J1236"/>
      <c r="FK1236"/>
      <c r="FL1236"/>
      <c r="FM1236"/>
      <c r="FN1236"/>
      <c r="FO1236"/>
      <c r="FP1236"/>
      <c r="FQ1236"/>
      <c r="FR1236"/>
      <c r="FS1236"/>
      <c r="FT1236"/>
      <c r="FU1236"/>
      <c r="FV1236"/>
      <c r="FW1236"/>
      <c r="FX1236"/>
      <c r="FY1236"/>
      <c r="FZ1236"/>
      <c r="GA1236"/>
      <c r="GB1236"/>
      <c r="GC1236"/>
    </row>
    <row r="1237" spans="1:185" x14ac:dyDescent="0.15">
      <c r="A1237"/>
      <c r="B1237"/>
      <c r="C1237"/>
      <c r="D1237"/>
      <c r="E1237"/>
      <c r="F1237"/>
      <c r="G1237"/>
      <c r="H1237"/>
      <c r="I1237"/>
      <c r="J1237"/>
      <c r="FK1237"/>
      <c r="FL1237"/>
      <c r="FM1237"/>
      <c r="FN1237"/>
      <c r="FO1237"/>
      <c r="FP1237"/>
      <c r="FQ1237"/>
      <c r="FR1237"/>
      <c r="FS1237"/>
      <c r="FT1237"/>
      <c r="FU1237"/>
      <c r="FV1237"/>
      <c r="FW1237"/>
      <c r="FX1237"/>
      <c r="FY1237"/>
      <c r="FZ1237"/>
      <c r="GA1237"/>
      <c r="GB1237"/>
      <c r="GC1237"/>
    </row>
    <row r="1238" spans="1:185" x14ac:dyDescent="0.15">
      <c r="A1238"/>
      <c r="B1238"/>
      <c r="C1238"/>
      <c r="D1238"/>
      <c r="E1238"/>
      <c r="F1238"/>
      <c r="G1238"/>
      <c r="H1238"/>
      <c r="I1238"/>
      <c r="J1238"/>
      <c r="FK1238"/>
      <c r="FL1238"/>
      <c r="FM1238"/>
      <c r="FN1238"/>
      <c r="FO1238"/>
      <c r="FP1238"/>
      <c r="FQ1238"/>
      <c r="FR1238"/>
      <c r="FS1238"/>
      <c r="FT1238"/>
      <c r="FU1238"/>
      <c r="FV1238"/>
      <c r="FW1238"/>
      <c r="FX1238"/>
      <c r="FY1238"/>
      <c r="FZ1238"/>
      <c r="GA1238"/>
      <c r="GB1238"/>
      <c r="GC1238"/>
    </row>
    <row r="1239" spans="1:185" x14ac:dyDescent="0.15">
      <c r="A1239"/>
      <c r="B1239"/>
      <c r="C1239"/>
      <c r="D1239"/>
      <c r="E1239"/>
      <c r="F1239"/>
      <c r="G1239"/>
      <c r="H1239"/>
      <c r="I1239"/>
      <c r="J1239"/>
      <c r="FK1239"/>
      <c r="FL1239"/>
      <c r="FM1239"/>
      <c r="FN1239"/>
      <c r="FO1239"/>
      <c r="FP1239"/>
      <c r="FQ1239"/>
      <c r="FR1239"/>
      <c r="FS1239"/>
      <c r="FT1239"/>
      <c r="FU1239"/>
      <c r="FV1239"/>
      <c r="FW1239"/>
      <c r="FX1239"/>
      <c r="FY1239"/>
      <c r="FZ1239"/>
      <c r="GA1239"/>
      <c r="GB1239"/>
      <c r="GC1239"/>
    </row>
    <row r="1240" spans="1:185" x14ac:dyDescent="0.15">
      <c r="A1240"/>
      <c r="B1240"/>
      <c r="C1240"/>
      <c r="D1240"/>
      <c r="E1240"/>
      <c r="F1240"/>
      <c r="G1240"/>
      <c r="H1240"/>
      <c r="I1240"/>
      <c r="J1240"/>
      <c r="FK1240"/>
      <c r="FL1240"/>
      <c r="FM1240"/>
      <c r="FN1240"/>
      <c r="FO1240"/>
      <c r="FP1240"/>
      <c r="FQ1240"/>
      <c r="FR1240"/>
      <c r="FS1240"/>
      <c r="FT1240"/>
      <c r="FU1240"/>
      <c r="FV1240"/>
      <c r="FW1240"/>
      <c r="FX1240"/>
      <c r="FY1240"/>
      <c r="FZ1240"/>
      <c r="GA1240"/>
      <c r="GB1240"/>
      <c r="GC1240"/>
    </row>
    <row r="1241" spans="1:185" x14ac:dyDescent="0.15">
      <c r="A1241"/>
      <c r="B1241"/>
      <c r="C1241"/>
      <c r="D1241"/>
      <c r="E1241"/>
      <c r="F1241"/>
      <c r="G1241"/>
      <c r="H1241"/>
      <c r="I1241"/>
      <c r="J1241"/>
      <c r="FK1241"/>
      <c r="FL1241"/>
      <c r="FM1241"/>
      <c r="FN1241"/>
      <c r="FO1241"/>
      <c r="FP1241"/>
      <c r="FQ1241"/>
      <c r="FR1241"/>
      <c r="FS1241"/>
      <c r="FT1241"/>
      <c r="FU1241"/>
      <c r="FV1241"/>
      <c r="FW1241"/>
      <c r="FX1241"/>
      <c r="FY1241"/>
      <c r="FZ1241"/>
      <c r="GA1241"/>
      <c r="GB1241"/>
      <c r="GC1241"/>
    </row>
    <row r="1242" spans="1:185" x14ac:dyDescent="0.15">
      <c r="A1242"/>
      <c r="B1242"/>
      <c r="C1242"/>
      <c r="D1242"/>
      <c r="E1242"/>
      <c r="F1242"/>
      <c r="G1242"/>
      <c r="H1242"/>
      <c r="I1242"/>
      <c r="J1242"/>
      <c r="FK1242"/>
      <c r="FL1242"/>
      <c r="FM1242"/>
      <c r="FN1242"/>
      <c r="FO1242"/>
      <c r="FP1242"/>
      <c r="FQ1242"/>
      <c r="FR1242"/>
      <c r="FS1242"/>
      <c r="FT1242"/>
      <c r="FU1242"/>
      <c r="FV1242"/>
      <c r="FW1242"/>
      <c r="FX1242"/>
      <c r="FY1242"/>
      <c r="FZ1242"/>
      <c r="GA1242"/>
      <c r="GB1242"/>
      <c r="GC1242"/>
    </row>
    <row r="1243" spans="1:185" x14ac:dyDescent="0.15">
      <c r="A1243"/>
      <c r="B1243"/>
      <c r="C1243"/>
      <c r="D1243"/>
      <c r="E1243"/>
      <c r="F1243"/>
      <c r="G1243"/>
      <c r="H1243"/>
      <c r="I1243"/>
      <c r="J1243"/>
      <c r="FK1243"/>
      <c r="FL1243"/>
      <c r="FM1243"/>
      <c r="FN1243"/>
      <c r="FO1243"/>
      <c r="FP1243"/>
      <c r="FQ1243"/>
      <c r="FR1243"/>
      <c r="FS1243"/>
      <c r="FT1243"/>
      <c r="FU1243"/>
      <c r="FV1243"/>
      <c r="FW1243"/>
      <c r="FX1243"/>
      <c r="FY1243"/>
      <c r="FZ1243"/>
      <c r="GA1243"/>
      <c r="GB1243"/>
      <c r="GC1243"/>
    </row>
    <row r="1244" spans="1:185" x14ac:dyDescent="0.15">
      <c r="A1244"/>
      <c r="B1244"/>
      <c r="C1244"/>
      <c r="D1244"/>
      <c r="E1244"/>
      <c r="F1244"/>
      <c r="G1244"/>
      <c r="H1244"/>
      <c r="I1244"/>
      <c r="J1244"/>
      <c r="FK1244"/>
      <c r="FL1244"/>
      <c r="FM1244"/>
      <c r="FN1244"/>
      <c r="FO1244"/>
      <c r="FP1244"/>
      <c r="FQ1244"/>
      <c r="FR1244"/>
      <c r="FS1244"/>
      <c r="FT1244"/>
      <c r="FU1244"/>
      <c r="FV1244"/>
      <c r="FW1244"/>
      <c r="FX1244"/>
      <c r="FY1244"/>
      <c r="FZ1244"/>
      <c r="GA1244"/>
      <c r="GB1244"/>
      <c r="GC1244"/>
    </row>
    <row r="1245" spans="1:185" x14ac:dyDescent="0.15">
      <c r="A1245"/>
      <c r="B1245"/>
      <c r="C1245"/>
      <c r="D1245"/>
      <c r="E1245"/>
      <c r="F1245"/>
      <c r="G1245"/>
      <c r="H1245"/>
      <c r="I1245"/>
      <c r="J1245"/>
      <c r="FK1245"/>
      <c r="FL1245"/>
      <c r="FM1245"/>
      <c r="FN1245"/>
      <c r="FO1245"/>
      <c r="FP1245"/>
      <c r="FQ1245"/>
      <c r="FR1245"/>
      <c r="FS1245"/>
      <c r="FT1245"/>
      <c r="FU1245"/>
      <c r="FV1245"/>
      <c r="FW1245"/>
      <c r="FX1245"/>
      <c r="FY1245"/>
      <c r="FZ1245"/>
      <c r="GA1245"/>
      <c r="GB1245"/>
      <c r="GC1245"/>
    </row>
    <row r="1246" spans="1:185" x14ac:dyDescent="0.15">
      <c r="A1246"/>
      <c r="B1246"/>
      <c r="C1246"/>
      <c r="D1246"/>
      <c r="E1246"/>
      <c r="F1246"/>
      <c r="G1246"/>
      <c r="H1246"/>
      <c r="I1246"/>
      <c r="J1246"/>
      <c r="FK1246"/>
      <c r="FL1246"/>
      <c r="FM1246"/>
      <c r="FN1246"/>
      <c r="FO1246"/>
      <c r="FP1246"/>
      <c r="FQ1246"/>
      <c r="FR1246"/>
      <c r="FS1246"/>
      <c r="FT1246"/>
      <c r="FU1246"/>
      <c r="FV1246"/>
      <c r="FW1246"/>
      <c r="FX1246"/>
      <c r="FY1246"/>
      <c r="FZ1246"/>
      <c r="GA1246"/>
      <c r="GB1246"/>
      <c r="GC1246"/>
    </row>
    <row r="1247" spans="1:185" x14ac:dyDescent="0.15">
      <c r="A1247"/>
      <c r="B1247"/>
      <c r="C1247"/>
      <c r="D1247"/>
      <c r="E1247"/>
      <c r="F1247"/>
      <c r="G1247"/>
      <c r="H1247"/>
      <c r="I1247"/>
      <c r="J1247"/>
      <c r="FK1247"/>
      <c r="FL1247"/>
      <c r="FM1247"/>
      <c r="FN1247"/>
      <c r="FO1247"/>
      <c r="FP1247"/>
      <c r="FQ1247"/>
      <c r="FR1247"/>
      <c r="FS1247"/>
      <c r="FT1247"/>
      <c r="FU1247"/>
      <c r="FV1247"/>
      <c r="FW1247"/>
      <c r="FX1247"/>
      <c r="FY1247"/>
      <c r="FZ1247"/>
      <c r="GA1247"/>
      <c r="GB1247"/>
      <c r="GC1247"/>
    </row>
    <row r="1248" spans="1:185" x14ac:dyDescent="0.15">
      <c r="A1248"/>
      <c r="B1248"/>
      <c r="C1248"/>
      <c r="D1248"/>
      <c r="E1248"/>
      <c r="F1248"/>
      <c r="G1248"/>
      <c r="H1248"/>
      <c r="I1248"/>
      <c r="J1248"/>
      <c r="FK1248"/>
      <c r="FL1248"/>
      <c r="FM1248"/>
      <c r="FN1248"/>
      <c r="FO1248"/>
      <c r="FP1248"/>
      <c r="FQ1248"/>
      <c r="FR1248"/>
      <c r="FS1248"/>
      <c r="FT1248"/>
      <c r="FU1248"/>
      <c r="FV1248"/>
      <c r="FW1248"/>
      <c r="FX1248"/>
      <c r="FY1248"/>
      <c r="FZ1248"/>
      <c r="GA1248"/>
      <c r="GB1248"/>
      <c r="GC1248"/>
    </row>
    <row r="1249" spans="1:185" x14ac:dyDescent="0.15">
      <c r="A1249"/>
      <c r="B1249"/>
      <c r="C1249"/>
      <c r="D1249"/>
      <c r="E1249"/>
      <c r="F1249"/>
      <c r="G1249"/>
      <c r="H1249"/>
      <c r="I1249"/>
      <c r="J1249"/>
      <c r="FK1249"/>
      <c r="FL1249"/>
      <c r="FM1249"/>
      <c r="FN1249"/>
      <c r="FO1249"/>
      <c r="FP1249"/>
      <c r="FQ1249"/>
      <c r="FR1249"/>
      <c r="FS1249"/>
      <c r="FT1249"/>
      <c r="FU1249"/>
      <c r="FV1249"/>
      <c r="FW1249"/>
      <c r="FX1249"/>
      <c r="FY1249"/>
      <c r="FZ1249"/>
      <c r="GA1249"/>
      <c r="GB1249"/>
      <c r="GC1249"/>
    </row>
    <row r="1250" spans="1:185" x14ac:dyDescent="0.15">
      <c r="A1250"/>
      <c r="B1250"/>
      <c r="C1250"/>
      <c r="D1250"/>
      <c r="E1250"/>
      <c r="F1250"/>
      <c r="G1250"/>
      <c r="H1250"/>
      <c r="I1250"/>
      <c r="J1250"/>
      <c r="FK1250"/>
      <c r="FL1250"/>
      <c r="FM1250"/>
      <c r="FN1250"/>
      <c r="FO1250"/>
      <c r="FP1250"/>
      <c r="FQ1250"/>
      <c r="FR1250"/>
      <c r="FS1250"/>
      <c r="FT1250"/>
      <c r="FU1250"/>
      <c r="FV1250"/>
      <c r="FW1250"/>
      <c r="FX1250"/>
      <c r="FY1250"/>
      <c r="FZ1250"/>
      <c r="GA1250"/>
      <c r="GB1250"/>
      <c r="GC1250"/>
    </row>
    <row r="1251" spans="1:185" x14ac:dyDescent="0.15">
      <c r="A1251"/>
      <c r="B1251"/>
      <c r="C1251"/>
      <c r="D1251"/>
      <c r="E1251"/>
      <c r="F1251"/>
      <c r="G1251"/>
      <c r="H1251"/>
      <c r="I1251"/>
      <c r="J1251"/>
      <c r="FK1251"/>
      <c r="FL1251"/>
      <c r="FM1251"/>
      <c r="FN1251"/>
      <c r="FO1251"/>
      <c r="FP1251"/>
      <c r="FQ1251"/>
      <c r="FR1251"/>
      <c r="FS1251"/>
      <c r="FT1251"/>
      <c r="FU1251"/>
      <c r="FV1251"/>
      <c r="FW1251"/>
      <c r="FX1251"/>
      <c r="FY1251"/>
      <c r="FZ1251"/>
      <c r="GA1251"/>
      <c r="GB1251"/>
      <c r="GC1251"/>
    </row>
    <row r="1252" spans="1:185" x14ac:dyDescent="0.15">
      <c r="A1252"/>
      <c r="B1252"/>
      <c r="C1252"/>
      <c r="D1252"/>
      <c r="E1252"/>
      <c r="F1252"/>
      <c r="G1252"/>
      <c r="H1252"/>
      <c r="I1252"/>
      <c r="J1252"/>
      <c r="FK1252"/>
      <c r="FL1252"/>
      <c r="FM1252"/>
      <c r="FN1252"/>
      <c r="FO1252"/>
      <c r="FP1252"/>
      <c r="FQ1252"/>
      <c r="FR1252"/>
      <c r="FS1252"/>
      <c r="FT1252"/>
      <c r="FU1252"/>
      <c r="FV1252"/>
      <c r="FW1252"/>
      <c r="FX1252"/>
      <c r="FY1252"/>
      <c r="FZ1252"/>
      <c r="GA1252"/>
      <c r="GB1252"/>
      <c r="GC1252"/>
    </row>
    <row r="1253" spans="1:185" x14ac:dyDescent="0.15">
      <c r="A1253"/>
      <c r="B1253"/>
      <c r="C1253"/>
      <c r="D1253"/>
      <c r="E1253"/>
      <c r="F1253"/>
      <c r="G1253"/>
      <c r="H1253"/>
      <c r="I1253"/>
      <c r="J1253"/>
      <c r="FK1253"/>
      <c r="FL1253"/>
      <c r="FM1253"/>
      <c r="FN1253"/>
      <c r="FO1253"/>
      <c r="FP1253"/>
      <c r="FQ1253"/>
      <c r="FR1253"/>
      <c r="FS1253"/>
      <c r="FT1253"/>
      <c r="FU1253"/>
      <c r="FV1253"/>
      <c r="FW1253"/>
      <c r="FX1253"/>
      <c r="FY1253"/>
      <c r="FZ1253"/>
      <c r="GA1253"/>
      <c r="GB1253"/>
      <c r="GC1253"/>
    </row>
    <row r="1254" spans="1:185" x14ac:dyDescent="0.15">
      <c r="A1254"/>
      <c r="B1254"/>
      <c r="C1254"/>
      <c r="D1254"/>
      <c r="E1254"/>
      <c r="F1254"/>
      <c r="G1254"/>
      <c r="H1254"/>
      <c r="I1254"/>
      <c r="J1254"/>
      <c r="FK1254"/>
      <c r="FL1254"/>
      <c r="FM1254"/>
      <c r="FN1254"/>
      <c r="FO1254"/>
      <c r="FP1254"/>
      <c r="FQ1254"/>
      <c r="FR1254"/>
      <c r="FS1254"/>
      <c r="FT1254"/>
      <c r="FU1254"/>
      <c r="FV1254"/>
      <c r="FW1254"/>
      <c r="FX1254"/>
      <c r="FY1254"/>
      <c r="FZ1254"/>
      <c r="GA1254"/>
      <c r="GB1254"/>
      <c r="GC1254"/>
    </row>
    <row r="1255" spans="1:185" x14ac:dyDescent="0.15">
      <c r="A1255"/>
      <c r="B1255"/>
      <c r="C1255"/>
      <c r="D1255"/>
      <c r="E1255"/>
      <c r="F1255"/>
      <c r="G1255"/>
      <c r="H1255"/>
      <c r="I1255"/>
      <c r="J1255"/>
      <c r="FK1255"/>
      <c r="FL1255"/>
      <c r="FM1255"/>
      <c r="FN1255"/>
      <c r="FO1255"/>
      <c r="FP1255"/>
      <c r="FQ1255"/>
      <c r="FR1255"/>
      <c r="FS1255"/>
      <c r="FT1255"/>
      <c r="FU1255"/>
      <c r="FV1255"/>
      <c r="FW1255"/>
      <c r="FX1255"/>
      <c r="FY1255"/>
      <c r="FZ1255"/>
      <c r="GA1255"/>
      <c r="GB1255"/>
      <c r="GC1255"/>
    </row>
    <row r="1256" spans="1:185" x14ac:dyDescent="0.15">
      <c r="A1256"/>
      <c r="B1256"/>
      <c r="C1256"/>
      <c r="D1256"/>
      <c r="E1256"/>
      <c r="F1256"/>
      <c r="G1256"/>
      <c r="H1256"/>
      <c r="I1256"/>
      <c r="J1256"/>
      <c r="FK1256"/>
      <c r="FL1256"/>
      <c r="FM1256"/>
      <c r="FN1256"/>
      <c r="FO1256"/>
      <c r="FP1256"/>
      <c r="FQ1256"/>
      <c r="FR1256"/>
      <c r="FS1256"/>
      <c r="FT1256"/>
      <c r="FU1256"/>
      <c r="FV1256"/>
      <c r="FW1256"/>
      <c r="FX1256"/>
      <c r="FY1256"/>
      <c r="FZ1256"/>
      <c r="GA1256"/>
      <c r="GB1256"/>
      <c r="GC1256"/>
    </row>
    <row r="1257" spans="1:185" x14ac:dyDescent="0.15">
      <c r="A1257"/>
      <c r="B1257"/>
      <c r="C1257"/>
      <c r="D1257"/>
      <c r="E1257"/>
      <c r="F1257"/>
      <c r="G1257"/>
      <c r="H1257"/>
      <c r="I1257"/>
      <c r="J1257"/>
      <c r="FK1257"/>
      <c r="FL1257"/>
      <c r="FM1257"/>
      <c r="FN1257"/>
      <c r="FO1257"/>
      <c r="FP1257"/>
      <c r="FQ1257"/>
      <c r="FR1257"/>
      <c r="FS1257"/>
      <c r="FT1257"/>
      <c r="FU1257"/>
      <c r="FV1257"/>
      <c r="FW1257"/>
      <c r="FX1257"/>
      <c r="FY1257"/>
      <c r="FZ1257"/>
      <c r="GA1257"/>
      <c r="GB1257"/>
      <c r="GC1257"/>
    </row>
    <row r="1258" spans="1:185" x14ac:dyDescent="0.15">
      <c r="A1258"/>
      <c r="B1258"/>
      <c r="C1258"/>
      <c r="D1258"/>
      <c r="E1258"/>
      <c r="F1258"/>
      <c r="G1258"/>
      <c r="H1258"/>
      <c r="I1258"/>
      <c r="J1258"/>
      <c r="FK1258"/>
      <c r="FL1258"/>
      <c r="FM1258"/>
      <c r="FN1258"/>
      <c r="FO1258"/>
      <c r="FP1258"/>
      <c r="FQ1258"/>
      <c r="FR1258"/>
      <c r="FS1258"/>
      <c r="FT1258"/>
      <c r="FU1258"/>
      <c r="FV1258"/>
      <c r="FW1258"/>
      <c r="FX1258"/>
      <c r="FY1258"/>
      <c r="FZ1258"/>
      <c r="GA1258"/>
      <c r="GB1258"/>
      <c r="GC1258"/>
    </row>
    <row r="1259" spans="1:185" x14ac:dyDescent="0.15">
      <c r="A1259"/>
      <c r="B1259"/>
      <c r="C1259"/>
      <c r="D1259"/>
      <c r="E1259"/>
      <c r="F1259"/>
      <c r="G1259"/>
      <c r="H1259"/>
      <c r="I1259"/>
      <c r="J1259"/>
      <c r="FK1259"/>
      <c r="FL1259"/>
      <c r="FM1259"/>
      <c r="FN1259"/>
      <c r="FO1259"/>
      <c r="FP1259"/>
      <c r="FQ1259"/>
      <c r="FR1259"/>
      <c r="FS1259"/>
      <c r="FT1259"/>
      <c r="FU1259"/>
      <c r="FV1259"/>
      <c r="FW1259"/>
      <c r="FX1259"/>
      <c r="FY1259"/>
      <c r="FZ1259"/>
      <c r="GA1259"/>
      <c r="GB1259"/>
      <c r="GC1259"/>
    </row>
    <row r="1260" spans="1:185" x14ac:dyDescent="0.15">
      <c r="A1260"/>
      <c r="B1260"/>
      <c r="C1260"/>
      <c r="D1260"/>
      <c r="E1260"/>
      <c r="F1260"/>
      <c r="G1260"/>
      <c r="H1260"/>
      <c r="I1260"/>
      <c r="J1260"/>
      <c r="FK1260"/>
      <c r="FL1260"/>
      <c r="FM1260"/>
      <c r="FN1260"/>
      <c r="FO1260"/>
      <c r="FP1260"/>
      <c r="FQ1260"/>
      <c r="FR1260"/>
      <c r="FS1260"/>
      <c r="FT1260"/>
      <c r="FU1260"/>
      <c r="FV1260"/>
      <c r="FW1260"/>
      <c r="FX1260"/>
      <c r="FY1260"/>
      <c r="FZ1260"/>
      <c r="GA1260"/>
      <c r="GB1260"/>
      <c r="GC1260"/>
    </row>
    <row r="1261" spans="1:185" x14ac:dyDescent="0.15">
      <c r="A1261"/>
      <c r="B1261"/>
      <c r="C1261"/>
      <c r="D1261"/>
      <c r="E1261"/>
      <c r="F1261"/>
      <c r="G1261"/>
      <c r="H1261"/>
      <c r="I1261"/>
      <c r="J1261"/>
      <c r="FK1261"/>
      <c r="FL1261"/>
      <c r="FM1261"/>
      <c r="FN1261"/>
      <c r="FO1261"/>
      <c r="FP1261"/>
      <c r="FQ1261"/>
      <c r="FR1261"/>
      <c r="FS1261"/>
      <c r="FT1261"/>
      <c r="FU1261"/>
      <c r="FV1261"/>
      <c r="FW1261"/>
      <c r="FX1261"/>
      <c r="FY1261"/>
      <c r="FZ1261"/>
      <c r="GA1261"/>
      <c r="GB1261"/>
      <c r="GC1261"/>
    </row>
    <row r="1262" spans="1:185" x14ac:dyDescent="0.15">
      <c r="A1262"/>
      <c r="B1262"/>
      <c r="C1262"/>
      <c r="D1262"/>
      <c r="E1262"/>
      <c r="F1262"/>
      <c r="G1262"/>
      <c r="H1262"/>
      <c r="I1262"/>
      <c r="J1262"/>
      <c r="FK1262"/>
      <c r="FL1262"/>
      <c r="FM1262"/>
      <c r="FN1262"/>
      <c r="FO1262"/>
      <c r="FP1262"/>
      <c r="FQ1262"/>
      <c r="FR1262"/>
      <c r="FS1262"/>
      <c r="FT1262"/>
      <c r="FU1262"/>
      <c r="FV1262"/>
      <c r="FW1262"/>
      <c r="FX1262"/>
      <c r="FY1262"/>
      <c r="FZ1262"/>
      <c r="GA1262"/>
      <c r="GB1262"/>
      <c r="GC1262"/>
    </row>
    <row r="1263" spans="1:185" x14ac:dyDescent="0.15">
      <c r="A1263"/>
      <c r="B1263"/>
      <c r="C1263"/>
      <c r="D1263"/>
      <c r="E1263"/>
      <c r="F1263"/>
      <c r="G1263"/>
      <c r="H1263"/>
      <c r="I1263"/>
      <c r="J1263"/>
      <c r="FK1263"/>
      <c r="FL1263"/>
      <c r="FM1263"/>
      <c r="FN1263"/>
      <c r="FO1263"/>
      <c r="FP1263"/>
      <c r="FQ1263"/>
      <c r="FR1263"/>
      <c r="FS1263"/>
      <c r="FT1263"/>
      <c r="FU1263"/>
      <c r="FV1263"/>
      <c r="FW1263"/>
      <c r="FX1263"/>
      <c r="FY1263"/>
      <c r="FZ1263"/>
      <c r="GA1263"/>
      <c r="GB1263"/>
      <c r="GC1263"/>
    </row>
    <row r="1264" spans="1:185" x14ac:dyDescent="0.15">
      <c r="A1264"/>
      <c r="B1264"/>
      <c r="C1264"/>
      <c r="D1264"/>
      <c r="E1264"/>
      <c r="F1264"/>
      <c r="G1264"/>
      <c r="H1264"/>
      <c r="I1264"/>
      <c r="J1264"/>
      <c r="FK1264"/>
      <c r="FL1264"/>
      <c r="FM1264"/>
      <c r="FN1264"/>
      <c r="FO1264"/>
      <c r="FP1264"/>
      <c r="FQ1264"/>
      <c r="FR1264"/>
      <c r="FS1264"/>
      <c r="FT1264"/>
      <c r="FU1264"/>
      <c r="FV1264"/>
      <c r="FW1264"/>
      <c r="FX1264"/>
      <c r="FY1264"/>
      <c r="FZ1264"/>
      <c r="GA1264"/>
      <c r="GB1264"/>
      <c r="GC1264"/>
    </row>
    <row r="1265" spans="1:185" x14ac:dyDescent="0.15">
      <c r="A1265"/>
      <c r="B1265"/>
      <c r="C1265"/>
      <c r="D1265"/>
      <c r="E1265"/>
      <c r="F1265"/>
      <c r="G1265"/>
      <c r="H1265"/>
      <c r="I1265"/>
      <c r="J1265"/>
      <c r="FK1265"/>
      <c r="FL1265"/>
      <c r="FM1265"/>
      <c r="FN1265"/>
      <c r="FO1265"/>
      <c r="FP1265"/>
      <c r="FQ1265"/>
      <c r="FR1265"/>
      <c r="FS1265"/>
      <c r="FT1265"/>
      <c r="FU1265"/>
      <c r="FV1265"/>
      <c r="FW1265"/>
      <c r="FX1265"/>
      <c r="FY1265"/>
      <c r="FZ1265"/>
      <c r="GA1265"/>
      <c r="GB1265"/>
      <c r="GC1265"/>
    </row>
    <row r="1266" spans="1:185" x14ac:dyDescent="0.15">
      <c r="A1266"/>
      <c r="B1266"/>
      <c r="C1266"/>
      <c r="D1266"/>
      <c r="E1266"/>
      <c r="F1266"/>
      <c r="G1266"/>
      <c r="H1266"/>
      <c r="I1266"/>
      <c r="J1266"/>
      <c r="FK1266"/>
      <c r="FL1266"/>
      <c r="FM1266"/>
      <c r="FN1266"/>
      <c r="FO1266"/>
      <c r="FP1266"/>
      <c r="FQ1266"/>
      <c r="FR1266"/>
      <c r="FS1266"/>
      <c r="FT1266"/>
      <c r="FU1266"/>
      <c r="FV1266"/>
      <c r="FW1266"/>
      <c r="FX1266"/>
      <c r="FY1266"/>
      <c r="FZ1266"/>
      <c r="GA1266"/>
      <c r="GB1266"/>
      <c r="GC1266"/>
    </row>
    <row r="1267" spans="1:185" x14ac:dyDescent="0.15">
      <c r="A1267"/>
      <c r="B1267"/>
      <c r="C1267"/>
      <c r="D1267"/>
      <c r="E1267"/>
      <c r="F1267"/>
      <c r="G1267"/>
      <c r="H1267"/>
      <c r="I1267"/>
      <c r="J1267"/>
      <c r="FK1267"/>
      <c r="FL1267"/>
      <c r="FM1267"/>
      <c r="FN1267"/>
      <c r="FO1267"/>
      <c r="FP1267"/>
      <c r="FQ1267"/>
      <c r="FR1267"/>
      <c r="FS1267"/>
      <c r="FT1267"/>
      <c r="FU1267"/>
      <c r="FV1267"/>
      <c r="FW1267"/>
      <c r="FX1267"/>
      <c r="FY1267"/>
      <c r="FZ1267"/>
      <c r="GA1267"/>
      <c r="GB1267"/>
      <c r="GC1267"/>
    </row>
    <row r="1268" spans="1:185" x14ac:dyDescent="0.15">
      <c r="A1268"/>
      <c r="B1268"/>
      <c r="C1268"/>
      <c r="D1268"/>
      <c r="E1268"/>
      <c r="F1268"/>
      <c r="G1268"/>
      <c r="H1268"/>
      <c r="I1268"/>
      <c r="J1268"/>
      <c r="FK1268"/>
      <c r="FL1268"/>
      <c r="FM1268"/>
      <c r="FN1268"/>
      <c r="FO1268"/>
      <c r="FP1268"/>
      <c r="FQ1268"/>
      <c r="FR1268"/>
      <c r="FS1268"/>
      <c r="FT1268"/>
      <c r="FU1268"/>
      <c r="FV1268"/>
      <c r="FW1268"/>
      <c r="FX1268"/>
      <c r="FY1268"/>
      <c r="FZ1268"/>
      <c r="GA1268"/>
      <c r="GB1268"/>
      <c r="GC1268"/>
    </row>
    <row r="1269" spans="1:185" x14ac:dyDescent="0.15">
      <c r="A1269"/>
      <c r="B1269"/>
      <c r="C1269"/>
      <c r="D1269"/>
      <c r="E1269"/>
      <c r="F1269"/>
      <c r="G1269"/>
      <c r="H1269"/>
      <c r="I1269"/>
      <c r="J1269"/>
      <c r="FK1269"/>
      <c r="FL1269"/>
      <c r="FM1269"/>
      <c r="FN1269"/>
      <c r="FO1269"/>
      <c r="FP1269"/>
      <c r="FQ1269"/>
      <c r="FR1269"/>
      <c r="FS1269"/>
      <c r="FT1269"/>
      <c r="FU1269"/>
      <c r="FV1269"/>
      <c r="FW1269"/>
      <c r="FX1269"/>
      <c r="FY1269"/>
      <c r="FZ1269"/>
      <c r="GA1269"/>
      <c r="GB1269"/>
      <c r="GC1269"/>
    </row>
    <row r="1270" spans="1:185" x14ac:dyDescent="0.15">
      <c r="A1270"/>
      <c r="B1270"/>
      <c r="C1270"/>
      <c r="D1270"/>
      <c r="E1270"/>
      <c r="F1270"/>
      <c r="G1270"/>
      <c r="H1270"/>
      <c r="I1270"/>
      <c r="J1270"/>
      <c r="FK1270"/>
      <c r="FL1270"/>
      <c r="FM1270"/>
      <c r="FN1270"/>
      <c r="FO1270"/>
      <c r="FP1270"/>
      <c r="FQ1270"/>
      <c r="FR1270"/>
      <c r="FS1270"/>
      <c r="FT1270"/>
      <c r="FU1270"/>
      <c r="FV1270"/>
      <c r="FW1270"/>
      <c r="FX1270"/>
      <c r="FY1270"/>
      <c r="FZ1270"/>
      <c r="GA1270"/>
      <c r="GB1270"/>
      <c r="GC1270"/>
    </row>
    <row r="1271" spans="1:185" x14ac:dyDescent="0.15">
      <c r="A1271"/>
      <c r="B1271"/>
      <c r="C1271"/>
      <c r="D1271"/>
      <c r="E1271"/>
      <c r="F1271"/>
      <c r="G1271"/>
      <c r="H1271"/>
      <c r="I1271"/>
      <c r="J1271"/>
      <c r="FK1271"/>
      <c r="FL1271"/>
      <c r="FM1271"/>
      <c r="FN1271"/>
      <c r="FO1271"/>
      <c r="FP1271"/>
      <c r="FQ1271"/>
      <c r="FR1271"/>
      <c r="FS1271"/>
      <c r="FT1271"/>
      <c r="FU1271"/>
      <c r="FV1271"/>
      <c r="FW1271"/>
      <c r="FX1271"/>
      <c r="FY1271"/>
      <c r="FZ1271"/>
      <c r="GA1271"/>
      <c r="GB1271"/>
      <c r="GC1271"/>
    </row>
    <row r="1272" spans="1:185" x14ac:dyDescent="0.15">
      <c r="A1272"/>
      <c r="B1272"/>
      <c r="C1272"/>
      <c r="D1272"/>
      <c r="E1272"/>
      <c r="F1272"/>
      <c r="G1272"/>
      <c r="H1272"/>
      <c r="I1272"/>
      <c r="J1272"/>
      <c r="FK1272"/>
      <c r="FL1272"/>
      <c r="FM1272"/>
      <c r="FN1272"/>
      <c r="FO1272"/>
      <c r="FP1272"/>
      <c r="FQ1272"/>
      <c r="FR1272"/>
      <c r="FS1272"/>
      <c r="FT1272"/>
      <c r="FU1272"/>
      <c r="FV1272"/>
      <c r="FW1272"/>
      <c r="FX1272"/>
      <c r="FY1272"/>
      <c r="FZ1272"/>
      <c r="GA1272"/>
      <c r="GB1272"/>
      <c r="GC1272"/>
    </row>
    <row r="1273" spans="1:185" x14ac:dyDescent="0.15">
      <c r="A1273"/>
      <c r="B1273"/>
      <c r="C1273"/>
      <c r="D1273"/>
      <c r="E1273"/>
      <c r="F1273"/>
      <c r="G1273"/>
      <c r="H1273"/>
      <c r="I1273"/>
      <c r="J1273"/>
      <c r="FK1273"/>
      <c r="FL1273"/>
      <c r="FM1273"/>
      <c r="FN1273"/>
      <c r="FO1273"/>
      <c r="FP1273"/>
      <c r="FQ1273"/>
      <c r="FR1273"/>
      <c r="FS1273"/>
      <c r="FT1273"/>
      <c r="FU1273"/>
      <c r="FV1273"/>
      <c r="FW1273"/>
      <c r="FX1273"/>
      <c r="FY1273"/>
      <c r="FZ1273"/>
      <c r="GA1273"/>
      <c r="GB1273"/>
      <c r="GC1273"/>
    </row>
    <row r="1274" spans="1:185" x14ac:dyDescent="0.15">
      <c r="A1274"/>
      <c r="B1274"/>
      <c r="C1274"/>
      <c r="D1274"/>
      <c r="E1274"/>
      <c r="F1274"/>
      <c r="G1274"/>
      <c r="H1274"/>
      <c r="I1274"/>
      <c r="J1274"/>
      <c r="FK1274"/>
      <c r="FL1274"/>
      <c r="FM1274"/>
      <c r="FN1274"/>
      <c r="FO1274"/>
      <c r="FP1274"/>
      <c r="FQ1274"/>
      <c r="FR1274"/>
      <c r="FS1274"/>
      <c r="FT1274"/>
      <c r="FU1274"/>
      <c r="FV1274"/>
      <c r="FW1274"/>
      <c r="FX1274"/>
      <c r="FY1274"/>
      <c r="FZ1274"/>
      <c r="GA1274"/>
      <c r="GB1274"/>
      <c r="GC1274"/>
    </row>
    <row r="1275" spans="1:185" x14ac:dyDescent="0.15">
      <c r="A1275"/>
      <c r="B1275"/>
      <c r="C1275"/>
      <c r="D1275"/>
      <c r="E1275"/>
      <c r="F1275"/>
      <c r="G1275"/>
      <c r="H1275"/>
      <c r="I1275"/>
      <c r="J1275"/>
      <c r="FK1275"/>
      <c r="FL1275"/>
      <c r="FM1275"/>
      <c r="FN1275"/>
      <c r="FO1275"/>
      <c r="FP1275"/>
      <c r="FQ1275"/>
      <c r="FR1275"/>
      <c r="FS1275"/>
      <c r="FT1275"/>
      <c r="FU1275"/>
      <c r="FV1275"/>
      <c r="FW1275"/>
      <c r="FX1275"/>
      <c r="FY1275"/>
      <c r="FZ1275"/>
      <c r="GA1275"/>
      <c r="GB1275"/>
      <c r="GC1275"/>
    </row>
    <row r="1276" spans="1:185" x14ac:dyDescent="0.15">
      <c r="A1276"/>
      <c r="B1276"/>
      <c r="C1276"/>
      <c r="D1276"/>
      <c r="E1276"/>
      <c r="F1276"/>
      <c r="G1276"/>
      <c r="H1276"/>
      <c r="I1276"/>
      <c r="J1276"/>
      <c r="FK1276"/>
      <c r="FL1276"/>
      <c r="FM1276"/>
      <c r="FN1276"/>
      <c r="FO1276"/>
      <c r="FP1276"/>
      <c r="FQ1276"/>
      <c r="FR1276"/>
      <c r="FS1276"/>
      <c r="FT1276"/>
      <c r="FU1276"/>
      <c r="FV1276"/>
      <c r="FW1276"/>
      <c r="FX1276"/>
      <c r="FY1276"/>
      <c r="FZ1276"/>
      <c r="GA1276"/>
      <c r="GB1276"/>
      <c r="GC1276"/>
    </row>
    <row r="1277" spans="1:185" x14ac:dyDescent="0.15">
      <c r="A1277"/>
      <c r="B1277"/>
      <c r="C1277"/>
      <c r="D1277"/>
      <c r="E1277"/>
      <c r="F1277"/>
      <c r="G1277"/>
      <c r="H1277"/>
      <c r="I1277"/>
      <c r="J1277"/>
      <c r="FK1277"/>
      <c r="FL1277"/>
      <c r="FM1277"/>
      <c r="FN1277"/>
      <c r="FO1277"/>
      <c r="FP1277"/>
      <c r="FQ1277"/>
      <c r="FR1277"/>
      <c r="FS1277"/>
      <c r="FT1277"/>
      <c r="FU1277"/>
      <c r="FV1277"/>
      <c r="FW1277"/>
      <c r="FX1277"/>
      <c r="FY1277"/>
      <c r="FZ1277"/>
      <c r="GA1277"/>
      <c r="GB1277"/>
      <c r="GC1277"/>
    </row>
    <row r="1278" spans="1:185" x14ac:dyDescent="0.15">
      <c r="A1278"/>
      <c r="B1278"/>
      <c r="C1278"/>
      <c r="D1278"/>
      <c r="E1278"/>
      <c r="F1278"/>
      <c r="G1278"/>
      <c r="H1278"/>
      <c r="I1278"/>
      <c r="J1278"/>
      <c r="FK1278"/>
      <c r="FL1278"/>
      <c r="FM1278"/>
      <c r="FN1278"/>
      <c r="FO1278"/>
      <c r="FP1278"/>
      <c r="FQ1278"/>
      <c r="FR1278"/>
      <c r="FS1278"/>
      <c r="FT1278"/>
      <c r="FU1278"/>
      <c r="FV1278"/>
      <c r="FW1278"/>
      <c r="FX1278"/>
      <c r="FY1278"/>
      <c r="FZ1278"/>
      <c r="GA1278"/>
      <c r="GB1278"/>
      <c r="GC1278"/>
    </row>
    <row r="1279" spans="1:185" x14ac:dyDescent="0.15">
      <c r="A1279"/>
      <c r="B1279"/>
      <c r="C1279"/>
      <c r="D1279"/>
      <c r="E1279"/>
      <c r="F1279"/>
      <c r="G1279"/>
      <c r="H1279"/>
      <c r="I1279"/>
      <c r="J1279"/>
      <c r="FK1279"/>
      <c r="FL1279"/>
      <c r="FM1279"/>
      <c r="FN1279"/>
      <c r="FO1279"/>
      <c r="FP1279"/>
      <c r="FQ1279"/>
      <c r="FR1279"/>
      <c r="FS1279"/>
      <c r="FT1279"/>
      <c r="FU1279"/>
      <c r="FV1279"/>
      <c r="FW1279"/>
      <c r="FX1279"/>
      <c r="FY1279"/>
      <c r="FZ1279"/>
      <c r="GA1279"/>
      <c r="GB1279"/>
      <c r="GC1279"/>
    </row>
    <row r="1280" spans="1:185" x14ac:dyDescent="0.15">
      <c r="A1280"/>
      <c r="B1280"/>
      <c r="C1280"/>
      <c r="D1280"/>
      <c r="E1280"/>
      <c r="F1280"/>
      <c r="G1280"/>
      <c r="H1280"/>
      <c r="I1280"/>
      <c r="J1280"/>
      <c r="FK1280"/>
      <c r="FL1280"/>
      <c r="FM1280"/>
      <c r="FN1280"/>
      <c r="FO1280"/>
      <c r="FP1280"/>
      <c r="FQ1280"/>
      <c r="FR1280"/>
      <c r="FS1280"/>
      <c r="FT1280"/>
      <c r="FU1280"/>
      <c r="FV1280"/>
      <c r="FW1280"/>
      <c r="FX1280"/>
      <c r="FY1280"/>
      <c r="FZ1280"/>
      <c r="GA1280"/>
      <c r="GB1280"/>
      <c r="GC1280"/>
    </row>
    <row r="1281" spans="1:185" x14ac:dyDescent="0.15">
      <c r="A1281"/>
      <c r="B1281"/>
      <c r="C1281"/>
      <c r="D1281"/>
      <c r="E1281"/>
      <c r="F1281"/>
      <c r="G1281"/>
      <c r="H1281"/>
      <c r="I1281"/>
      <c r="J1281"/>
      <c r="FK1281"/>
      <c r="FL1281"/>
      <c r="FM1281"/>
      <c r="FN1281"/>
      <c r="FO1281"/>
      <c r="FP1281"/>
      <c r="FQ1281"/>
      <c r="FR1281"/>
      <c r="FS1281"/>
      <c r="FT1281"/>
      <c r="FU1281"/>
      <c r="FV1281"/>
      <c r="FW1281"/>
      <c r="FX1281"/>
      <c r="FY1281"/>
      <c r="FZ1281"/>
      <c r="GA1281"/>
      <c r="GB1281"/>
      <c r="GC1281"/>
    </row>
    <row r="1282" spans="1:185" x14ac:dyDescent="0.15">
      <c r="A1282"/>
      <c r="B1282"/>
      <c r="C1282"/>
      <c r="D1282"/>
      <c r="E1282"/>
      <c r="F1282"/>
      <c r="G1282"/>
      <c r="H1282"/>
      <c r="I1282"/>
      <c r="J1282"/>
      <c r="FK1282"/>
      <c r="FL1282"/>
      <c r="FM1282"/>
      <c r="FN1282"/>
      <c r="FO1282"/>
      <c r="FP1282"/>
      <c r="FQ1282"/>
      <c r="FR1282"/>
      <c r="FS1282"/>
      <c r="FT1282"/>
      <c r="FU1282"/>
      <c r="FV1282"/>
      <c r="FW1282"/>
      <c r="FX1282"/>
      <c r="FY1282"/>
      <c r="FZ1282"/>
      <c r="GA1282"/>
      <c r="GB1282"/>
      <c r="GC1282"/>
    </row>
    <row r="1283" spans="1:185" x14ac:dyDescent="0.15">
      <c r="A1283"/>
      <c r="B1283"/>
      <c r="C1283"/>
      <c r="D1283"/>
      <c r="E1283"/>
      <c r="F1283"/>
      <c r="G1283"/>
      <c r="H1283"/>
      <c r="I1283"/>
      <c r="J1283"/>
      <c r="FK1283"/>
      <c r="FL1283"/>
      <c r="FM1283"/>
      <c r="FN1283"/>
      <c r="FO1283"/>
      <c r="FP1283"/>
      <c r="FQ1283"/>
      <c r="FR1283"/>
      <c r="FS1283"/>
      <c r="FT1283"/>
      <c r="FU1283"/>
      <c r="FV1283"/>
      <c r="FW1283"/>
      <c r="FX1283"/>
      <c r="FY1283"/>
      <c r="FZ1283"/>
      <c r="GA1283"/>
      <c r="GB1283"/>
      <c r="GC1283"/>
    </row>
    <row r="1284" spans="1:185" x14ac:dyDescent="0.15">
      <c r="A1284"/>
      <c r="B1284"/>
      <c r="C1284"/>
      <c r="D1284"/>
      <c r="E1284"/>
      <c r="F1284"/>
      <c r="G1284"/>
      <c r="H1284"/>
      <c r="I1284"/>
      <c r="J1284"/>
      <c r="FK1284"/>
      <c r="FL1284"/>
      <c r="FM1284"/>
      <c r="FN1284"/>
      <c r="FO1284"/>
      <c r="FP1284"/>
      <c r="FQ1284"/>
      <c r="FR1284"/>
      <c r="FS1284"/>
      <c r="FT1284"/>
      <c r="FU1284"/>
      <c r="FV1284"/>
      <c r="FW1284"/>
      <c r="FX1284"/>
      <c r="FY1284"/>
      <c r="FZ1284"/>
      <c r="GA1284"/>
      <c r="GB1284"/>
      <c r="GC1284"/>
    </row>
    <row r="1285" spans="1:185" x14ac:dyDescent="0.15">
      <c r="A1285"/>
      <c r="B1285"/>
      <c r="C1285"/>
      <c r="D1285"/>
      <c r="E1285"/>
      <c r="F1285"/>
      <c r="G1285"/>
      <c r="H1285"/>
      <c r="I1285"/>
      <c r="J1285"/>
      <c r="FK1285"/>
      <c r="FL1285"/>
      <c r="FM1285"/>
      <c r="FN1285"/>
      <c r="FO1285"/>
      <c r="FP1285"/>
      <c r="FQ1285"/>
      <c r="FR1285"/>
      <c r="FS1285"/>
      <c r="FT1285"/>
      <c r="FU1285"/>
      <c r="FV1285"/>
      <c r="FW1285"/>
      <c r="FX1285"/>
      <c r="FY1285"/>
      <c r="FZ1285"/>
      <c r="GA1285"/>
      <c r="GB1285"/>
      <c r="GC1285"/>
    </row>
    <row r="1286" spans="1:185" x14ac:dyDescent="0.15">
      <c r="A1286"/>
      <c r="B1286"/>
      <c r="C1286"/>
      <c r="D1286"/>
      <c r="E1286"/>
      <c r="F1286"/>
      <c r="G1286"/>
      <c r="H1286"/>
      <c r="I1286"/>
      <c r="J1286"/>
      <c r="FK1286"/>
      <c r="FL1286"/>
      <c r="FM1286"/>
      <c r="FN1286"/>
      <c r="FO1286"/>
      <c r="FP1286"/>
      <c r="FQ1286"/>
      <c r="FR1286"/>
      <c r="FS1286"/>
      <c r="FT1286"/>
      <c r="FU1286"/>
      <c r="FV1286"/>
      <c r="FW1286"/>
      <c r="FX1286"/>
      <c r="FY1286"/>
      <c r="FZ1286"/>
      <c r="GA1286"/>
      <c r="GB1286"/>
      <c r="GC1286"/>
    </row>
    <row r="1287" spans="1:185" x14ac:dyDescent="0.15">
      <c r="A1287"/>
      <c r="B1287"/>
      <c r="C1287"/>
      <c r="D1287"/>
      <c r="E1287"/>
      <c r="F1287"/>
      <c r="G1287"/>
      <c r="H1287"/>
      <c r="I1287"/>
      <c r="J1287"/>
      <c r="FK1287"/>
      <c r="FL1287"/>
      <c r="FM1287"/>
      <c r="FN1287"/>
      <c r="FO1287"/>
      <c r="FP1287"/>
      <c r="FQ1287"/>
      <c r="FR1287"/>
      <c r="FS1287"/>
      <c r="FT1287"/>
      <c r="FU1287"/>
      <c r="FV1287"/>
      <c r="FW1287"/>
      <c r="FX1287"/>
      <c r="FY1287"/>
      <c r="FZ1287"/>
      <c r="GA1287"/>
      <c r="GB1287"/>
      <c r="GC1287"/>
    </row>
    <row r="1288" spans="1:185" x14ac:dyDescent="0.15">
      <c r="A1288"/>
      <c r="B1288"/>
      <c r="C1288"/>
      <c r="D1288"/>
      <c r="E1288"/>
      <c r="F1288"/>
      <c r="G1288"/>
      <c r="H1288"/>
      <c r="I1288"/>
      <c r="J1288"/>
      <c r="FK1288"/>
      <c r="FL1288"/>
      <c r="FM1288"/>
      <c r="FN1288"/>
      <c r="FO1288"/>
      <c r="FP1288"/>
      <c r="FQ1288"/>
      <c r="FR1288"/>
      <c r="FS1288"/>
      <c r="FT1288"/>
      <c r="FU1288"/>
      <c r="FV1288"/>
      <c r="FW1288"/>
      <c r="FX1288"/>
      <c r="FY1288"/>
      <c r="FZ1288"/>
      <c r="GA1288"/>
      <c r="GB1288"/>
      <c r="GC1288"/>
    </row>
    <row r="1289" spans="1:185" x14ac:dyDescent="0.15">
      <c r="A1289"/>
      <c r="B1289"/>
      <c r="C1289"/>
      <c r="D1289"/>
      <c r="E1289"/>
      <c r="F1289"/>
      <c r="G1289"/>
      <c r="H1289"/>
      <c r="I1289"/>
      <c r="J1289"/>
      <c r="FK1289"/>
      <c r="FL1289"/>
      <c r="FM1289"/>
      <c r="FN1289"/>
      <c r="FO1289"/>
      <c r="FP1289"/>
      <c r="FQ1289"/>
      <c r="FR1289"/>
      <c r="FS1289"/>
      <c r="FT1289"/>
      <c r="FU1289"/>
      <c r="FV1289"/>
      <c r="FW1289"/>
      <c r="FX1289"/>
      <c r="FY1289"/>
      <c r="FZ1289"/>
      <c r="GA1289"/>
      <c r="GB1289"/>
      <c r="GC1289"/>
    </row>
    <row r="1290" spans="1:185" x14ac:dyDescent="0.15">
      <c r="A1290"/>
      <c r="B1290"/>
      <c r="C1290"/>
      <c r="D1290"/>
      <c r="E1290"/>
      <c r="F1290"/>
      <c r="G1290"/>
      <c r="H1290"/>
      <c r="I1290"/>
      <c r="J1290"/>
      <c r="FK1290"/>
      <c r="FL1290"/>
      <c r="FM1290"/>
      <c r="FN1290"/>
      <c r="FO1290"/>
      <c r="FP1290"/>
      <c r="FQ1290"/>
      <c r="FR1290"/>
      <c r="FS1290"/>
      <c r="FT1290"/>
      <c r="FU1290"/>
      <c r="FV1290"/>
      <c r="FW1290"/>
      <c r="FX1290"/>
      <c r="FY1290"/>
      <c r="FZ1290"/>
      <c r="GA1290"/>
      <c r="GB1290"/>
      <c r="GC1290"/>
    </row>
    <row r="1291" spans="1:185" x14ac:dyDescent="0.15">
      <c r="A1291"/>
      <c r="B1291"/>
      <c r="C1291"/>
      <c r="D1291"/>
      <c r="E1291"/>
      <c r="F1291"/>
      <c r="G1291"/>
      <c r="H1291"/>
      <c r="I1291"/>
      <c r="J1291"/>
      <c r="FK1291"/>
      <c r="FL1291"/>
      <c r="FM1291"/>
      <c r="FN1291"/>
      <c r="FO1291"/>
      <c r="FP1291"/>
      <c r="FQ1291"/>
      <c r="FR1291"/>
      <c r="FS1291"/>
      <c r="FT1291"/>
      <c r="FU1291"/>
      <c r="FV1291"/>
      <c r="FW1291"/>
      <c r="FX1291"/>
      <c r="FY1291"/>
      <c r="FZ1291"/>
      <c r="GA1291"/>
      <c r="GB1291"/>
      <c r="GC1291"/>
    </row>
    <row r="1292" spans="1:185" x14ac:dyDescent="0.15">
      <c r="A1292"/>
      <c r="B1292"/>
      <c r="C1292"/>
      <c r="D1292"/>
      <c r="E1292"/>
      <c r="F1292"/>
      <c r="G1292"/>
      <c r="H1292"/>
      <c r="I1292"/>
      <c r="J1292"/>
      <c r="FK1292"/>
      <c r="FL1292"/>
      <c r="FM1292"/>
      <c r="FN1292"/>
      <c r="FO1292"/>
      <c r="FP1292"/>
      <c r="FQ1292"/>
      <c r="FR1292"/>
      <c r="FS1292"/>
      <c r="FT1292"/>
      <c r="FU1292"/>
      <c r="FV1292"/>
      <c r="FW1292"/>
      <c r="FX1292"/>
      <c r="FY1292"/>
      <c r="FZ1292"/>
      <c r="GA1292"/>
      <c r="GB1292"/>
      <c r="GC1292"/>
    </row>
    <row r="1293" spans="1:185" x14ac:dyDescent="0.15">
      <c r="A1293"/>
      <c r="B1293"/>
      <c r="C1293"/>
      <c r="D1293"/>
      <c r="E1293"/>
      <c r="F1293"/>
      <c r="G1293"/>
      <c r="H1293"/>
      <c r="I1293"/>
      <c r="J1293"/>
      <c r="FK1293"/>
      <c r="FL1293"/>
      <c r="FM1293"/>
      <c r="FN1293"/>
      <c r="FO1293"/>
      <c r="FP1293"/>
      <c r="FQ1293"/>
      <c r="FR1293"/>
      <c r="FS1293"/>
      <c r="FT1293"/>
      <c r="FU1293"/>
      <c r="FV1293"/>
      <c r="FW1293"/>
      <c r="FX1293"/>
      <c r="FY1293"/>
      <c r="FZ1293"/>
      <c r="GA1293"/>
      <c r="GB1293"/>
      <c r="GC1293"/>
    </row>
    <row r="1294" spans="1:185" x14ac:dyDescent="0.15">
      <c r="A1294"/>
      <c r="B1294"/>
      <c r="C1294"/>
      <c r="D1294"/>
      <c r="E1294"/>
      <c r="F1294"/>
      <c r="G1294"/>
      <c r="H1294"/>
      <c r="I1294"/>
      <c r="J1294"/>
      <c r="FK1294"/>
      <c r="FL1294"/>
      <c r="FM1294"/>
      <c r="FN1294"/>
      <c r="FO1294"/>
      <c r="FP1294"/>
      <c r="FQ1294"/>
      <c r="FR1294"/>
      <c r="FS1294"/>
      <c r="FT1294"/>
      <c r="FU1294"/>
      <c r="FV1294"/>
      <c r="FW1294"/>
      <c r="FX1294"/>
      <c r="FY1294"/>
      <c r="FZ1294"/>
      <c r="GA1294"/>
      <c r="GB1294"/>
      <c r="GC1294"/>
    </row>
    <row r="1295" spans="1:185" x14ac:dyDescent="0.15">
      <c r="A1295"/>
      <c r="B1295"/>
      <c r="C1295"/>
      <c r="D1295"/>
      <c r="E1295"/>
      <c r="F1295"/>
      <c r="G1295"/>
      <c r="H1295"/>
      <c r="I1295"/>
      <c r="J1295"/>
      <c r="FK1295"/>
      <c r="FL1295"/>
      <c r="FM1295"/>
      <c r="FN1295"/>
      <c r="FO1295"/>
      <c r="FP1295"/>
      <c r="FQ1295"/>
      <c r="FR1295"/>
      <c r="FS1295"/>
      <c r="FT1295"/>
      <c r="FU1295"/>
      <c r="FV1295"/>
      <c r="FW1295"/>
      <c r="FX1295"/>
      <c r="FY1295"/>
      <c r="FZ1295"/>
      <c r="GA1295"/>
      <c r="GB1295"/>
      <c r="GC1295"/>
    </row>
    <row r="1296" spans="1:185" x14ac:dyDescent="0.15">
      <c r="A1296"/>
      <c r="B1296"/>
      <c r="C1296"/>
      <c r="D1296"/>
      <c r="E1296"/>
      <c r="F1296"/>
      <c r="G1296"/>
      <c r="H1296"/>
      <c r="I1296"/>
      <c r="J1296"/>
      <c r="FK1296"/>
      <c r="FL1296"/>
      <c r="FM1296"/>
      <c r="FN1296"/>
      <c r="FO1296"/>
      <c r="FP1296"/>
      <c r="FQ1296"/>
      <c r="FR1296"/>
      <c r="FS1296"/>
      <c r="FT1296"/>
      <c r="FU1296"/>
      <c r="FV1296"/>
      <c r="FW1296"/>
      <c r="FX1296"/>
      <c r="FY1296"/>
      <c r="FZ1296"/>
      <c r="GA1296"/>
      <c r="GB1296"/>
      <c r="GC1296"/>
    </row>
    <row r="1297" spans="1:185" x14ac:dyDescent="0.15">
      <c r="A1297"/>
      <c r="B1297"/>
      <c r="C1297"/>
      <c r="D1297"/>
      <c r="E1297"/>
      <c r="F1297"/>
      <c r="G1297"/>
      <c r="H1297"/>
      <c r="I1297"/>
      <c r="J1297"/>
      <c r="FK1297"/>
      <c r="FL1297"/>
      <c r="FM1297"/>
      <c r="FN1297"/>
      <c r="FO1297"/>
      <c r="FP1297"/>
      <c r="FQ1297"/>
      <c r="FR1297"/>
      <c r="FS1297"/>
      <c r="FT1297"/>
      <c r="FU1297"/>
      <c r="FV1297"/>
      <c r="FW1297"/>
      <c r="FX1297"/>
      <c r="FY1297"/>
      <c r="FZ1297"/>
      <c r="GA1297"/>
      <c r="GB1297"/>
      <c r="GC1297"/>
    </row>
    <row r="1298" spans="1:185" x14ac:dyDescent="0.15">
      <c r="A1298"/>
      <c r="B1298"/>
      <c r="C1298"/>
      <c r="D1298"/>
      <c r="E1298"/>
      <c r="F1298"/>
      <c r="G1298"/>
      <c r="H1298"/>
      <c r="I1298"/>
      <c r="J1298"/>
      <c r="FK1298"/>
      <c r="FL1298"/>
      <c r="FM1298"/>
      <c r="FN1298"/>
      <c r="FO1298"/>
      <c r="FP1298"/>
      <c r="FQ1298"/>
      <c r="FR1298"/>
      <c r="FS1298"/>
      <c r="FT1298"/>
      <c r="FU1298"/>
      <c r="FV1298"/>
      <c r="FW1298"/>
      <c r="FX1298"/>
      <c r="FY1298"/>
      <c r="FZ1298"/>
      <c r="GA1298"/>
      <c r="GB1298"/>
      <c r="GC1298"/>
    </row>
    <row r="1299" spans="1:185" x14ac:dyDescent="0.15">
      <c r="A1299"/>
      <c r="B1299"/>
      <c r="C1299"/>
      <c r="D1299"/>
      <c r="E1299"/>
      <c r="F1299"/>
      <c r="G1299"/>
      <c r="H1299"/>
      <c r="I1299"/>
      <c r="J1299"/>
      <c r="FK1299"/>
      <c r="FL1299"/>
      <c r="FM1299"/>
      <c r="FN1299"/>
      <c r="FO1299"/>
      <c r="FP1299"/>
      <c r="FQ1299"/>
      <c r="FR1299"/>
      <c r="FS1299"/>
      <c r="FT1299"/>
      <c r="FU1299"/>
      <c r="FV1299"/>
      <c r="FW1299"/>
      <c r="FX1299"/>
      <c r="FY1299"/>
      <c r="FZ1299"/>
      <c r="GA1299"/>
      <c r="GB1299"/>
      <c r="GC1299"/>
    </row>
    <row r="1300" spans="1:185" x14ac:dyDescent="0.15">
      <c r="A1300"/>
      <c r="B1300"/>
      <c r="C1300"/>
      <c r="D1300"/>
      <c r="E1300"/>
      <c r="F1300"/>
      <c r="G1300"/>
      <c r="H1300"/>
      <c r="I1300"/>
      <c r="J1300"/>
      <c r="FK1300"/>
      <c r="FL1300"/>
      <c r="FM1300"/>
      <c r="FN1300"/>
      <c r="FO1300"/>
      <c r="FP1300"/>
      <c r="FQ1300"/>
      <c r="FR1300"/>
      <c r="FS1300"/>
      <c r="FT1300"/>
      <c r="FU1300"/>
      <c r="FV1300"/>
      <c r="FW1300"/>
      <c r="FX1300"/>
      <c r="FY1300"/>
      <c r="FZ1300"/>
      <c r="GA1300"/>
      <c r="GB1300"/>
      <c r="GC1300"/>
    </row>
    <row r="1301" spans="1:185" x14ac:dyDescent="0.15">
      <c r="A1301"/>
      <c r="B1301"/>
      <c r="C1301"/>
      <c r="D1301"/>
      <c r="E1301"/>
      <c r="F1301"/>
      <c r="G1301"/>
      <c r="H1301"/>
      <c r="I1301"/>
      <c r="J1301"/>
      <c r="FK1301"/>
      <c r="FL1301"/>
      <c r="FM1301"/>
      <c r="FN1301"/>
      <c r="FO1301"/>
      <c r="FP1301"/>
      <c r="FQ1301"/>
      <c r="FR1301"/>
      <c r="FS1301"/>
      <c r="FT1301"/>
      <c r="FU1301"/>
      <c r="FV1301"/>
      <c r="FW1301"/>
      <c r="FX1301"/>
      <c r="FY1301"/>
      <c r="FZ1301"/>
      <c r="GA1301"/>
      <c r="GB1301"/>
      <c r="GC1301"/>
    </row>
    <row r="1302" spans="1:185" x14ac:dyDescent="0.15">
      <c r="A1302"/>
      <c r="B1302"/>
      <c r="C1302"/>
      <c r="D1302"/>
      <c r="E1302"/>
      <c r="F1302"/>
      <c r="G1302"/>
      <c r="H1302"/>
      <c r="I1302"/>
      <c r="J1302"/>
      <c r="FK1302"/>
      <c r="FL1302"/>
      <c r="FM1302"/>
      <c r="FN1302"/>
      <c r="FO1302"/>
      <c r="FP1302"/>
      <c r="FQ1302"/>
      <c r="FR1302"/>
      <c r="FS1302"/>
      <c r="FT1302"/>
      <c r="FU1302"/>
      <c r="FV1302"/>
      <c r="FW1302"/>
      <c r="FX1302"/>
      <c r="FY1302"/>
      <c r="FZ1302"/>
      <c r="GA1302"/>
      <c r="GB1302"/>
      <c r="GC1302"/>
    </row>
    <row r="1303" spans="1:185" x14ac:dyDescent="0.15">
      <c r="A1303"/>
      <c r="B1303"/>
      <c r="C1303"/>
      <c r="D1303"/>
      <c r="E1303"/>
      <c r="F1303"/>
      <c r="G1303"/>
      <c r="H1303"/>
      <c r="I1303"/>
      <c r="J1303"/>
      <c r="FK1303"/>
      <c r="FL1303"/>
      <c r="FM1303"/>
      <c r="FN1303"/>
      <c r="FO1303"/>
      <c r="FP1303"/>
      <c r="FQ1303"/>
      <c r="FR1303"/>
      <c r="FS1303"/>
      <c r="FT1303"/>
      <c r="FU1303"/>
      <c r="FV1303"/>
      <c r="FW1303"/>
      <c r="FX1303"/>
      <c r="FY1303"/>
      <c r="FZ1303"/>
      <c r="GA1303"/>
      <c r="GB1303"/>
      <c r="GC1303"/>
    </row>
    <row r="1304" spans="1:185" x14ac:dyDescent="0.15">
      <c r="A1304"/>
      <c r="B1304"/>
      <c r="C1304"/>
      <c r="D1304"/>
      <c r="E1304"/>
      <c r="F1304"/>
      <c r="G1304"/>
      <c r="H1304"/>
      <c r="I1304"/>
      <c r="J1304"/>
      <c r="FK1304"/>
      <c r="FL1304"/>
      <c r="FM1304"/>
      <c r="FN1304"/>
      <c r="FO1304"/>
      <c r="FP1304"/>
      <c r="FQ1304"/>
      <c r="FR1304"/>
      <c r="FS1304"/>
      <c r="FT1304"/>
      <c r="FU1304"/>
      <c r="FV1304"/>
      <c r="FW1304"/>
      <c r="FX1304"/>
      <c r="FY1304"/>
      <c r="FZ1304"/>
      <c r="GA1304"/>
      <c r="GB1304"/>
      <c r="GC1304"/>
    </row>
    <row r="1305" spans="1:185" x14ac:dyDescent="0.15">
      <c r="A1305"/>
      <c r="B1305"/>
      <c r="C1305"/>
      <c r="D1305"/>
      <c r="E1305"/>
      <c r="F1305"/>
      <c r="G1305"/>
      <c r="H1305"/>
      <c r="I1305"/>
      <c r="J1305"/>
      <c r="FK1305"/>
      <c r="FL1305"/>
      <c r="FM1305"/>
      <c r="FN1305"/>
      <c r="FO1305"/>
      <c r="FP1305"/>
      <c r="FQ1305"/>
      <c r="FR1305"/>
      <c r="FS1305"/>
      <c r="FT1305"/>
      <c r="FU1305"/>
      <c r="FV1305"/>
      <c r="FW1305"/>
      <c r="FX1305"/>
      <c r="FY1305"/>
      <c r="FZ1305"/>
      <c r="GA1305"/>
      <c r="GB1305"/>
      <c r="GC1305"/>
    </row>
    <row r="1306" spans="1:185" x14ac:dyDescent="0.15">
      <c r="A1306"/>
      <c r="B1306"/>
      <c r="C1306"/>
      <c r="D1306"/>
      <c r="E1306"/>
      <c r="F1306"/>
      <c r="G1306"/>
      <c r="H1306"/>
      <c r="I1306"/>
      <c r="J1306"/>
      <c r="FK1306"/>
      <c r="FL1306"/>
      <c r="FM1306"/>
      <c r="FN1306"/>
      <c r="FO1306"/>
      <c r="FP1306"/>
      <c r="FQ1306"/>
      <c r="FR1306"/>
      <c r="FS1306"/>
      <c r="FT1306"/>
      <c r="FU1306"/>
      <c r="FV1306"/>
      <c r="FW1306"/>
      <c r="FX1306"/>
      <c r="FY1306"/>
      <c r="FZ1306"/>
      <c r="GA1306"/>
      <c r="GB1306"/>
      <c r="GC1306"/>
    </row>
    <row r="1307" spans="1:185" x14ac:dyDescent="0.15">
      <c r="A1307"/>
      <c r="B1307"/>
      <c r="C1307"/>
      <c r="D1307"/>
      <c r="E1307"/>
      <c r="F1307"/>
      <c r="G1307"/>
      <c r="H1307"/>
      <c r="I1307"/>
      <c r="J1307"/>
      <c r="FK1307"/>
      <c r="FL1307"/>
      <c r="FM1307"/>
      <c r="FN1307"/>
      <c r="FO1307"/>
      <c r="FP1307"/>
      <c r="FQ1307"/>
      <c r="FR1307"/>
      <c r="FS1307"/>
      <c r="FT1307"/>
      <c r="FU1307"/>
      <c r="FV1307"/>
      <c r="FW1307"/>
      <c r="FX1307"/>
      <c r="FY1307"/>
      <c r="FZ1307"/>
      <c r="GA1307"/>
      <c r="GB1307"/>
      <c r="GC1307"/>
    </row>
    <row r="1308" spans="1:185" x14ac:dyDescent="0.15">
      <c r="A1308"/>
      <c r="B1308"/>
      <c r="C1308"/>
      <c r="D1308"/>
      <c r="E1308"/>
      <c r="F1308"/>
      <c r="G1308"/>
      <c r="H1308"/>
      <c r="I1308"/>
      <c r="J1308"/>
      <c r="FK1308"/>
      <c r="FL1308"/>
      <c r="FM1308"/>
      <c r="FN1308"/>
      <c r="FO1308"/>
      <c r="FP1308"/>
      <c r="FQ1308"/>
      <c r="FR1308"/>
      <c r="FS1308"/>
      <c r="FT1308"/>
      <c r="FU1308"/>
      <c r="FV1308"/>
      <c r="FW1308"/>
      <c r="FX1308"/>
      <c r="FY1308"/>
      <c r="FZ1308"/>
      <c r="GA1308"/>
      <c r="GB1308"/>
      <c r="GC1308"/>
    </row>
    <row r="1309" spans="1:185" x14ac:dyDescent="0.15">
      <c r="A1309"/>
      <c r="B1309"/>
      <c r="C1309"/>
      <c r="D1309"/>
      <c r="E1309"/>
      <c r="F1309"/>
      <c r="G1309"/>
      <c r="H1309"/>
      <c r="I1309"/>
      <c r="J1309"/>
      <c r="FK1309"/>
      <c r="FL1309"/>
      <c r="FM1309"/>
      <c r="FN1309"/>
      <c r="FO1309"/>
      <c r="FP1309"/>
      <c r="FQ1309"/>
      <c r="FR1309"/>
      <c r="FS1309"/>
      <c r="FT1309"/>
      <c r="FU1309"/>
      <c r="FV1309"/>
      <c r="FW1309"/>
      <c r="FX1309"/>
      <c r="FY1309"/>
      <c r="FZ1309"/>
      <c r="GA1309"/>
      <c r="GB1309"/>
      <c r="GC1309"/>
    </row>
    <row r="1310" spans="1:185" x14ac:dyDescent="0.15">
      <c r="A1310"/>
      <c r="B1310"/>
      <c r="C1310"/>
      <c r="D1310"/>
      <c r="E1310"/>
      <c r="F1310"/>
      <c r="G1310"/>
      <c r="H1310"/>
      <c r="I1310"/>
      <c r="J1310"/>
      <c r="FK1310"/>
      <c r="FL1310"/>
      <c r="FM1310"/>
      <c r="FN1310"/>
      <c r="FO1310"/>
      <c r="FP1310"/>
      <c r="FQ1310"/>
      <c r="FR1310"/>
      <c r="FS1310"/>
      <c r="FT1310"/>
      <c r="FU1310"/>
      <c r="FV1310"/>
      <c r="FW1310"/>
      <c r="FX1310"/>
      <c r="FY1310"/>
      <c r="FZ1310"/>
      <c r="GA1310"/>
      <c r="GB1310"/>
      <c r="GC1310"/>
    </row>
    <row r="1311" spans="1:185" x14ac:dyDescent="0.15">
      <c r="A1311"/>
      <c r="B1311"/>
      <c r="C1311"/>
      <c r="D1311"/>
      <c r="E1311"/>
      <c r="F1311"/>
      <c r="G1311"/>
      <c r="H1311"/>
      <c r="I1311"/>
      <c r="J1311"/>
      <c r="FK1311"/>
      <c r="FL1311"/>
      <c r="FM1311"/>
      <c r="FN1311"/>
      <c r="FO1311"/>
      <c r="FP1311"/>
      <c r="FQ1311"/>
      <c r="FR1311"/>
      <c r="FS1311"/>
      <c r="FT1311"/>
      <c r="FU1311"/>
      <c r="FV1311"/>
      <c r="FW1311"/>
      <c r="FX1311"/>
      <c r="FY1311"/>
      <c r="FZ1311"/>
      <c r="GA1311"/>
      <c r="GB1311"/>
      <c r="GC1311"/>
    </row>
    <row r="1312" spans="1:185" x14ac:dyDescent="0.15">
      <c r="A1312"/>
      <c r="B1312"/>
      <c r="C1312"/>
      <c r="D1312"/>
      <c r="E1312"/>
      <c r="F1312"/>
      <c r="G1312"/>
      <c r="H1312"/>
      <c r="I1312"/>
      <c r="J1312"/>
      <c r="FK1312"/>
      <c r="FL1312"/>
      <c r="FM1312"/>
      <c r="FN1312"/>
      <c r="FO1312"/>
      <c r="FP1312"/>
      <c r="FQ1312"/>
      <c r="FR1312"/>
      <c r="FS1312"/>
      <c r="FT1312"/>
      <c r="FU1312"/>
      <c r="FV1312"/>
      <c r="FW1312"/>
      <c r="FX1312"/>
      <c r="FY1312"/>
      <c r="FZ1312"/>
      <c r="GA1312"/>
      <c r="GB1312"/>
      <c r="GC1312"/>
    </row>
    <row r="1313" spans="1:185" x14ac:dyDescent="0.15">
      <c r="A1313"/>
      <c r="B1313"/>
      <c r="C1313"/>
      <c r="D1313"/>
      <c r="E1313"/>
      <c r="F1313"/>
      <c r="G1313"/>
      <c r="H1313"/>
      <c r="I1313"/>
      <c r="J1313"/>
      <c r="FK1313"/>
      <c r="FL1313"/>
      <c r="FM1313"/>
      <c r="FN1313"/>
      <c r="FO1313"/>
      <c r="FP1313"/>
      <c r="FQ1313"/>
      <c r="FR1313"/>
      <c r="FS1313"/>
      <c r="FT1313"/>
      <c r="FU1313"/>
      <c r="FV1313"/>
      <c r="FW1313"/>
      <c r="FX1313"/>
      <c r="FY1313"/>
      <c r="FZ1313"/>
      <c r="GA1313"/>
      <c r="GB1313"/>
      <c r="GC1313"/>
    </row>
    <row r="1314" spans="1:185" x14ac:dyDescent="0.15">
      <c r="A1314"/>
      <c r="B1314"/>
      <c r="C1314"/>
      <c r="D1314"/>
      <c r="E1314"/>
      <c r="F1314"/>
      <c r="G1314"/>
      <c r="H1314"/>
      <c r="I1314"/>
      <c r="J1314"/>
      <c r="FK1314"/>
      <c r="FL1314"/>
      <c r="FM1314"/>
      <c r="FN1314"/>
      <c r="FO1314"/>
      <c r="FP1314"/>
      <c r="FQ1314"/>
      <c r="FR1314"/>
      <c r="FS1314"/>
      <c r="FT1314"/>
      <c r="FU1314"/>
      <c r="FV1314"/>
      <c r="FW1314"/>
      <c r="FX1314"/>
      <c r="FY1314"/>
      <c r="FZ1314"/>
      <c r="GA1314"/>
      <c r="GB1314"/>
      <c r="GC1314"/>
    </row>
    <row r="1315" spans="1:185" x14ac:dyDescent="0.15">
      <c r="A1315"/>
      <c r="B1315"/>
      <c r="C1315"/>
      <c r="D1315"/>
      <c r="E1315"/>
      <c r="F1315"/>
      <c r="G1315"/>
      <c r="H1315"/>
      <c r="I1315"/>
      <c r="J1315"/>
      <c r="FK1315"/>
      <c r="FL1315"/>
      <c r="FM1315"/>
      <c r="FN1315"/>
      <c r="FO1315"/>
      <c r="FP1315"/>
      <c r="FQ1315"/>
      <c r="FR1315"/>
      <c r="FS1315"/>
      <c r="FT1315"/>
      <c r="FU1315"/>
      <c r="FV1315"/>
      <c r="FW1315"/>
      <c r="FX1315"/>
      <c r="FY1315"/>
      <c r="FZ1315"/>
      <c r="GA1315"/>
      <c r="GB1315"/>
      <c r="GC1315"/>
    </row>
    <row r="1316" spans="1:185" x14ac:dyDescent="0.15">
      <c r="A1316"/>
      <c r="B1316"/>
      <c r="C1316"/>
      <c r="D1316"/>
      <c r="E1316"/>
      <c r="F1316"/>
      <c r="G1316"/>
      <c r="H1316"/>
      <c r="I1316"/>
      <c r="J1316"/>
      <c r="FK1316"/>
      <c r="FL1316"/>
      <c r="FM1316"/>
      <c r="FN1316"/>
      <c r="FO1316"/>
      <c r="FP1316"/>
      <c r="FQ1316"/>
      <c r="FR1316"/>
      <c r="FS1316"/>
      <c r="FT1316"/>
      <c r="FU1316"/>
      <c r="FV1316"/>
      <c r="FW1316"/>
      <c r="FX1316"/>
      <c r="FY1316"/>
      <c r="FZ1316"/>
      <c r="GA1316"/>
      <c r="GB1316"/>
      <c r="GC1316"/>
    </row>
    <row r="1317" spans="1:185" x14ac:dyDescent="0.15">
      <c r="A1317"/>
      <c r="B1317"/>
      <c r="C1317"/>
      <c r="D1317"/>
      <c r="E1317"/>
      <c r="F1317"/>
      <c r="G1317"/>
      <c r="H1317"/>
      <c r="I1317"/>
      <c r="J1317"/>
      <c r="FK1317"/>
      <c r="FL1317"/>
      <c r="FM1317"/>
      <c r="FN1317"/>
      <c r="FO1317"/>
      <c r="FP1317"/>
      <c r="FQ1317"/>
      <c r="FR1317"/>
      <c r="FS1317"/>
      <c r="FT1317"/>
      <c r="FU1317"/>
      <c r="FV1317"/>
      <c r="FW1317"/>
      <c r="FX1317"/>
      <c r="FY1317"/>
      <c r="FZ1317"/>
      <c r="GA1317"/>
      <c r="GB1317"/>
      <c r="GC1317"/>
    </row>
    <row r="1318" spans="1:185" x14ac:dyDescent="0.15">
      <c r="A1318"/>
      <c r="B1318"/>
      <c r="C1318"/>
      <c r="D1318"/>
      <c r="E1318"/>
      <c r="F1318"/>
      <c r="G1318"/>
      <c r="H1318"/>
      <c r="I1318"/>
      <c r="J1318"/>
      <c r="FK1318"/>
      <c r="FL1318"/>
      <c r="FM1318"/>
      <c r="FN1318"/>
      <c r="FO1318"/>
      <c r="FP1318"/>
      <c r="FQ1318"/>
      <c r="FR1318"/>
      <c r="FS1318"/>
      <c r="FT1318"/>
      <c r="FU1318"/>
      <c r="FV1318"/>
      <c r="FW1318"/>
      <c r="FX1318"/>
      <c r="FY1318"/>
      <c r="FZ1318"/>
      <c r="GA1318"/>
      <c r="GB1318"/>
      <c r="GC1318"/>
    </row>
    <row r="1319" spans="1:185" x14ac:dyDescent="0.15">
      <c r="A1319"/>
      <c r="B1319"/>
      <c r="C1319"/>
      <c r="D1319"/>
      <c r="E1319"/>
      <c r="F1319"/>
      <c r="G1319"/>
      <c r="H1319"/>
      <c r="I1319"/>
      <c r="J1319"/>
      <c r="FK1319"/>
      <c r="FL1319"/>
      <c r="FM1319"/>
      <c r="FN1319"/>
      <c r="FO1319"/>
      <c r="FP1319"/>
      <c r="FQ1319"/>
      <c r="FR1319"/>
      <c r="FS1319"/>
      <c r="FT1319"/>
      <c r="FU1319"/>
      <c r="FV1319"/>
      <c r="FW1319"/>
      <c r="FX1319"/>
      <c r="FY1319"/>
      <c r="FZ1319"/>
      <c r="GA1319"/>
      <c r="GB1319"/>
      <c r="GC1319"/>
    </row>
    <row r="1320" spans="1:185" x14ac:dyDescent="0.15">
      <c r="A1320"/>
      <c r="B1320"/>
      <c r="C1320"/>
      <c r="D1320"/>
      <c r="E1320"/>
      <c r="F1320"/>
      <c r="G1320"/>
      <c r="H1320"/>
      <c r="I1320"/>
      <c r="J1320"/>
      <c r="FK1320"/>
      <c r="FL1320"/>
      <c r="FM1320"/>
      <c r="FN1320"/>
      <c r="FO1320"/>
      <c r="FP1320"/>
      <c r="FQ1320"/>
      <c r="FR1320"/>
      <c r="FS1320"/>
      <c r="FT1320"/>
      <c r="FU1320"/>
      <c r="FV1320"/>
      <c r="FW1320"/>
      <c r="FX1320"/>
      <c r="FY1320"/>
      <c r="FZ1320"/>
      <c r="GA1320"/>
      <c r="GB1320"/>
      <c r="GC1320"/>
    </row>
    <row r="1321" spans="1:185" x14ac:dyDescent="0.15">
      <c r="A1321"/>
      <c r="B1321"/>
      <c r="C1321"/>
      <c r="D1321"/>
      <c r="E1321"/>
      <c r="F1321"/>
      <c r="G1321"/>
      <c r="H1321"/>
      <c r="I1321"/>
      <c r="J1321"/>
      <c r="FK1321"/>
      <c r="FL1321"/>
      <c r="FM1321"/>
      <c r="FN1321"/>
      <c r="FO1321"/>
      <c r="FP1321"/>
      <c r="FQ1321"/>
      <c r="FR1321"/>
      <c r="FS1321"/>
      <c r="FT1321"/>
      <c r="FU1321"/>
      <c r="FV1321"/>
      <c r="FW1321"/>
      <c r="FX1321"/>
      <c r="FY1321"/>
      <c r="FZ1321"/>
      <c r="GA1321"/>
      <c r="GB1321"/>
      <c r="GC1321"/>
    </row>
    <row r="1322" spans="1:185" x14ac:dyDescent="0.15">
      <c r="A1322"/>
      <c r="B1322"/>
      <c r="C1322"/>
      <c r="D1322"/>
      <c r="E1322"/>
      <c r="F1322"/>
      <c r="G1322"/>
      <c r="H1322"/>
      <c r="I1322"/>
      <c r="J1322"/>
      <c r="FK1322"/>
      <c r="FL1322"/>
      <c r="FM1322"/>
      <c r="FN1322"/>
      <c r="FO1322"/>
      <c r="FP1322"/>
      <c r="FQ1322"/>
      <c r="FR1322"/>
      <c r="FS1322"/>
      <c r="FT1322"/>
      <c r="FU1322"/>
      <c r="FV1322"/>
      <c r="FW1322"/>
      <c r="FX1322"/>
      <c r="FY1322"/>
      <c r="FZ1322"/>
      <c r="GA1322"/>
      <c r="GB1322"/>
      <c r="GC1322"/>
    </row>
    <row r="1323" spans="1:185" x14ac:dyDescent="0.15">
      <c r="A1323"/>
      <c r="B1323"/>
      <c r="C1323"/>
      <c r="D1323"/>
      <c r="E1323"/>
      <c r="F1323"/>
      <c r="G1323"/>
      <c r="H1323"/>
      <c r="I1323"/>
      <c r="J1323"/>
      <c r="FK1323"/>
      <c r="FL1323"/>
      <c r="FM1323"/>
      <c r="FN1323"/>
      <c r="FO1323"/>
      <c r="FP1323"/>
      <c r="FQ1323"/>
      <c r="FR1323"/>
      <c r="FS1323"/>
      <c r="FT1323"/>
      <c r="FU1323"/>
      <c r="FV1323"/>
      <c r="FW1323"/>
      <c r="FX1323"/>
      <c r="FY1323"/>
      <c r="FZ1323"/>
      <c r="GA1323"/>
      <c r="GB1323"/>
      <c r="GC1323"/>
    </row>
    <row r="1324" spans="1:185" x14ac:dyDescent="0.15">
      <c r="A1324"/>
      <c r="B1324"/>
      <c r="C1324"/>
      <c r="D1324"/>
      <c r="E1324"/>
      <c r="F1324"/>
      <c r="G1324"/>
      <c r="H1324"/>
      <c r="I1324"/>
      <c r="J1324"/>
      <c r="FK1324"/>
      <c r="FL1324"/>
      <c r="FM1324"/>
      <c r="FN1324"/>
      <c r="FO1324"/>
      <c r="FP1324"/>
      <c r="FQ1324"/>
      <c r="FR1324"/>
      <c r="FS1324"/>
      <c r="FT1324"/>
      <c r="FU1324"/>
      <c r="FV1324"/>
      <c r="FW1324"/>
      <c r="FX1324"/>
      <c r="FY1324"/>
      <c r="FZ1324"/>
      <c r="GA1324"/>
      <c r="GB1324"/>
      <c r="GC1324"/>
    </row>
    <row r="1325" spans="1:185" x14ac:dyDescent="0.15">
      <c r="A1325"/>
      <c r="B1325"/>
      <c r="C1325"/>
      <c r="D1325"/>
      <c r="E1325"/>
      <c r="F1325"/>
      <c r="G1325"/>
      <c r="H1325"/>
      <c r="I1325"/>
      <c r="J1325"/>
      <c r="FK1325"/>
      <c r="FL1325"/>
      <c r="FM1325"/>
      <c r="FN1325"/>
      <c r="FO1325"/>
      <c r="FP1325"/>
      <c r="FQ1325"/>
      <c r="FR1325"/>
      <c r="FS1325"/>
      <c r="FT1325"/>
      <c r="FU1325"/>
      <c r="FV1325"/>
      <c r="FW1325"/>
      <c r="FX1325"/>
      <c r="FY1325"/>
      <c r="FZ1325"/>
      <c r="GA1325"/>
      <c r="GB1325"/>
      <c r="GC1325"/>
    </row>
    <row r="1326" spans="1:185" x14ac:dyDescent="0.15">
      <c r="A1326"/>
      <c r="B1326"/>
      <c r="C1326"/>
      <c r="D1326"/>
      <c r="E1326"/>
      <c r="F1326"/>
      <c r="G1326"/>
      <c r="H1326"/>
      <c r="I1326"/>
      <c r="J1326"/>
      <c r="FK1326"/>
      <c r="FL1326"/>
      <c r="FM1326"/>
      <c r="FN1326"/>
      <c r="FO1326"/>
      <c r="FP1326"/>
      <c r="FQ1326"/>
      <c r="FR1326"/>
      <c r="FS1326"/>
      <c r="FT1326"/>
      <c r="FU1326"/>
      <c r="FV1326"/>
      <c r="FW1326"/>
      <c r="FX1326"/>
      <c r="FY1326"/>
      <c r="FZ1326"/>
      <c r="GA1326"/>
      <c r="GB1326"/>
      <c r="GC1326"/>
    </row>
    <row r="1327" spans="1:185" x14ac:dyDescent="0.15">
      <c r="A1327"/>
      <c r="B1327"/>
      <c r="C1327"/>
      <c r="D1327"/>
      <c r="E1327"/>
      <c r="F1327"/>
      <c r="G1327"/>
      <c r="H1327"/>
      <c r="I1327"/>
      <c r="J1327"/>
      <c r="FK1327"/>
      <c r="FL1327"/>
      <c r="FM1327"/>
      <c r="FN1327"/>
      <c r="FO1327"/>
      <c r="FP1327"/>
      <c r="FQ1327"/>
      <c r="FR1327"/>
      <c r="FS1327"/>
      <c r="FT1327"/>
      <c r="FU1327"/>
      <c r="FV1327"/>
      <c r="FW1327"/>
      <c r="FX1327"/>
      <c r="FY1327"/>
      <c r="FZ1327"/>
      <c r="GA1327"/>
      <c r="GB1327"/>
      <c r="GC1327"/>
    </row>
    <row r="1328" spans="1:185" x14ac:dyDescent="0.15">
      <c r="A1328"/>
      <c r="B1328"/>
      <c r="C1328"/>
      <c r="D1328"/>
      <c r="E1328"/>
      <c r="F1328"/>
      <c r="G1328"/>
      <c r="H1328"/>
      <c r="I1328"/>
      <c r="J1328"/>
      <c r="FK1328"/>
      <c r="FL1328"/>
      <c r="FM1328"/>
      <c r="FN1328"/>
      <c r="FO1328"/>
      <c r="FP1328"/>
      <c r="FQ1328"/>
      <c r="FR1328"/>
      <c r="FS1328"/>
      <c r="FT1328"/>
      <c r="FU1328"/>
      <c r="FV1328"/>
      <c r="FW1328"/>
      <c r="FX1328"/>
      <c r="FY1328"/>
      <c r="FZ1328"/>
      <c r="GA1328"/>
      <c r="GB1328"/>
      <c r="GC1328"/>
    </row>
    <row r="1329" spans="1:185" x14ac:dyDescent="0.15">
      <c r="A1329"/>
      <c r="B1329"/>
      <c r="C1329"/>
      <c r="D1329"/>
      <c r="E1329"/>
      <c r="F1329"/>
      <c r="G1329"/>
      <c r="H1329"/>
      <c r="I1329"/>
      <c r="J1329"/>
      <c r="FK1329"/>
      <c r="FL1329"/>
      <c r="FM1329"/>
      <c r="FN1329"/>
      <c r="FO1329"/>
      <c r="FP1329"/>
      <c r="FQ1329"/>
      <c r="FR1329"/>
      <c r="FS1329"/>
      <c r="FT1329"/>
      <c r="FU1329"/>
      <c r="FV1329"/>
      <c r="FW1329"/>
      <c r="FX1329"/>
      <c r="FY1329"/>
      <c r="FZ1329"/>
      <c r="GA1329"/>
      <c r="GB1329"/>
      <c r="GC1329"/>
    </row>
    <row r="1330" spans="1:185" x14ac:dyDescent="0.15">
      <c r="A1330"/>
      <c r="B1330"/>
      <c r="C1330"/>
      <c r="D1330"/>
      <c r="E1330"/>
      <c r="F1330"/>
      <c r="G1330"/>
      <c r="H1330"/>
      <c r="I1330"/>
      <c r="J1330"/>
      <c r="FK1330"/>
      <c r="FL1330"/>
      <c r="FM1330"/>
      <c r="FN1330"/>
      <c r="FO1330"/>
      <c r="FP1330"/>
      <c r="FQ1330"/>
      <c r="FR1330"/>
      <c r="FS1330"/>
      <c r="FT1330"/>
      <c r="FU1330"/>
      <c r="FV1330"/>
      <c r="FW1330"/>
      <c r="FX1330"/>
      <c r="FY1330"/>
      <c r="FZ1330"/>
      <c r="GA1330"/>
      <c r="GB1330"/>
      <c r="GC1330"/>
    </row>
    <row r="1331" spans="1:185" x14ac:dyDescent="0.15">
      <c r="A1331"/>
      <c r="B1331"/>
      <c r="C1331"/>
      <c r="D1331"/>
      <c r="E1331"/>
      <c r="F1331"/>
      <c r="G1331"/>
      <c r="H1331"/>
      <c r="I1331"/>
      <c r="J1331"/>
      <c r="FK1331"/>
      <c r="FL1331"/>
      <c r="FM1331"/>
      <c r="FN1331"/>
      <c r="FO1331"/>
      <c r="FP1331"/>
      <c r="FQ1331"/>
      <c r="FR1331"/>
      <c r="FS1331"/>
      <c r="FT1331"/>
      <c r="FU1331"/>
      <c r="FV1331"/>
      <c r="FW1331"/>
      <c r="FX1331"/>
      <c r="FY1331"/>
      <c r="FZ1331"/>
      <c r="GA1331"/>
      <c r="GB1331"/>
      <c r="GC1331"/>
    </row>
    <row r="1332" spans="1:185" x14ac:dyDescent="0.15">
      <c r="A1332"/>
      <c r="B1332"/>
      <c r="C1332"/>
      <c r="D1332"/>
      <c r="E1332"/>
      <c r="F1332"/>
      <c r="G1332"/>
      <c r="H1332"/>
      <c r="I1332"/>
      <c r="J1332"/>
      <c r="FK1332"/>
      <c r="FL1332"/>
      <c r="FM1332"/>
      <c r="FN1332"/>
      <c r="FO1332"/>
      <c r="FP1332"/>
      <c r="FQ1332"/>
      <c r="FR1332"/>
      <c r="FS1332"/>
      <c r="FT1332"/>
      <c r="FU1332"/>
      <c r="FV1332"/>
      <c r="FW1332"/>
      <c r="FX1332"/>
      <c r="FY1332"/>
      <c r="FZ1332"/>
      <c r="GA1332"/>
      <c r="GB1332"/>
      <c r="GC1332"/>
    </row>
    <row r="1333" spans="1:185" x14ac:dyDescent="0.15">
      <c r="A1333"/>
      <c r="B1333"/>
      <c r="C1333"/>
      <c r="D1333"/>
      <c r="E1333"/>
      <c r="F1333"/>
      <c r="G1333"/>
      <c r="H1333"/>
      <c r="I1333"/>
      <c r="J1333"/>
      <c r="FK1333"/>
      <c r="FL1333"/>
      <c r="FM1333"/>
      <c r="FN1333"/>
      <c r="FO1333"/>
      <c r="FP1333"/>
      <c r="FQ1333"/>
      <c r="FR1333"/>
      <c r="FS1333"/>
      <c r="FT1333"/>
      <c r="FU1333"/>
      <c r="FV1333"/>
      <c r="FW1333"/>
      <c r="FX1333"/>
      <c r="FY1333"/>
      <c r="FZ1333"/>
      <c r="GA1333"/>
      <c r="GB1333"/>
      <c r="GC1333"/>
    </row>
    <row r="1334" spans="1:185" x14ac:dyDescent="0.15">
      <c r="A1334"/>
      <c r="B1334"/>
      <c r="C1334"/>
      <c r="D1334"/>
      <c r="E1334"/>
      <c r="F1334"/>
      <c r="G1334"/>
      <c r="H1334"/>
      <c r="I1334"/>
      <c r="J1334"/>
      <c r="FK1334"/>
      <c r="FL1334"/>
      <c r="FM1334"/>
      <c r="FN1334"/>
      <c r="FO1334"/>
      <c r="FP1334"/>
      <c r="FQ1334"/>
      <c r="FR1334"/>
      <c r="FS1334"/>
      <c r="FT1334"/>
      <c r="FU1334"/>
      <c r="FV1334"/>
      <c r="FW1334"/>
      <c r="FX1334"/>
      <c r="FY1334"/>
      <c r="FZ1334"/>
      <c r="GA1334"/>
      <c r="GB1334"/>
      <c r="GC1334"/>
    </row>
    <row r="1335" spans="1:185" x14ac:dyDescent="0.15">
      <c r="A1335"/>
      <c r="B1335"/>
      <c r="C1335"/>
      <c r="D1335"/>
      <c r="E1335"/>
      <c r="F1335"/>
      <c r="G1335"/>
      <c r="H1335"/>
      <c r="I1335"/>
      <c r="J1335"/>
      <c r="FK1335"/>
      <c r="FL1335"/>
      <c r="FM1335"/>
      <c r="FN1335"/>
      <c r="FO1335"/>
      <c r="FP1335"/>
      <c r="FQ1335"/>
      <c r="FR1335"/>
      <c r="FS1335"/>
      <c r="FT1335"/>
      <c r="FU1335"/>
      <c r="FV1335"/>
      <c r="FW1335"/>
      <c r="FX1335"/>
      <c r="FY1335"/>
      <c r="FZ1335"/>
      <c r="GA1335"/>
      <c r="GB1335"/>
      <c r="GC1335"/>
    </row>
    <row r="1336" spans="1:185" x14ac:dyDescent="0.15">
      <c r="A1336"/>
      <c r="B1336"/>
      <c r="C1336"/>
      <c r="D1336"/>
      <c r="E1336"/>
      <c r="F1336"/>
      <c r="G1336"/>
      <c r="H1336"/>
      <c r="I1336"/>
      <c r="J1336"/>
      <c r="FK1336"/>
      <c r="FL1336"/>
      <c r="FM1336"/>
      <c r="FN1336"/>
      <c r="FO1336"/>
      <c r="FP1336"/>
      <c r="FQ1336"/>
      <c r="FR1336"/>
      <c r="FS1336"/>
      <c r="FT1336"/>
      <c r="FU1336"/>
      <c r="FV1336"/>
      <c r="FW1336"/>
      <c r="FX1336"/>
      <c r="FY1336"/>
      <c r="FZ1336"/>
      <c r="GA1336"/>
      <c r="GB1336"/>
      <c r="GC1336"/>
    </row>
    <row r="1337" spans="1:185" x14ac:dyDescent="0.15">
      <c r="A1337"/>
      <c r="B1337"/>
      <c r="C1337"/>
      <c r="D1337"/>
      <c r="E1337"/>
      <c r="F1337"/>
      <c r="G1337"/>
      <c r="H1337"/>
      <c r="I1337"/>
      <c r="J1337"/>
      <c r="FK1337"/>
      <c r="FL1337"/>
      <c r="FM1337"/>
      <c r="FN1337"/>
      <c r="FO1337"/>
      <c r="FP1337"/>
      <c r="FQ1337"/>
      <c r="FR1337"/>
      <c r="FS1337"/>
      <c r="FT1337"/>
      <c r="FU1337"/>
      <c r="FV1337"/>
      <c r="FW1337"/>
      <c r="FX1337"/>
      <c r="FY1337"/>
      <c r="FZ1337"/>
      <c r="GA1337"/>
      <c r="GB1337"/>
      <c r="GC1337"/>
    </row>
    <row r="1338" spans="1:185" x14ac:dyDescent="0.15">
      <c r="A1338"/>
      <c r="B1338"/>
      <c r="C1338"/>
      <c r="D1338"/>
      <c r="E1338"/>
      <c r="F1338"/>
      <c r="G1338"/>
      <c r="H1338"/>
      <c r="I1338"/>
      <c r="J1338"/>
      <c r="FK1338"/>
      <c r="FL1338"/>
      <c r="FM1338"/>
      <c r="FN1338"/>
      <c r="FO1338"/>
      <c r="FP1338"/>
      <c r="FQ1338"/>
      <c r="FR1338"/>
      <c r="FS1338"/>
      <c r="FT1338"/>
      <c r="FU1338"/>
      <c r="FV1338"/>
      <c r="FW1338"/>
      <c r="FX1338"/>
      <c r="FY1338"/>
      <c r="FZ1338"/>
      <c r="GA1338"/>
      <c r="GB1338"/>
      <c r="GC1338"/>
    </row>
    <row r="1339" spans="1:185" x14ac:dyDescent="0.15">
      <c r="A1339"/>
      <c r="B1339"/>
      <c r="C1339"/>
      <c r="D1339"/>
      <c r="E1339"/>
      <c r="F1339"/>
      <c r="G1339"/>
      <c r="H1339"/>
      <c r="I1339"/>
      <c r="J1339"/>
      <c r="FK1339"/>
      <c r="FL1339"/>
      <c r="FM1339"/>
      <c r="FN1339"/>
      <c r="FO1339"/>
      <c r="FP1339"/>
      <c r="FQ1339"/>
      <c r="FR1339"/>
      <c r="FS1339"/>
      <c r="FT1339"/>
      <c r="FU1339"/>
      <c r="FV1339"/>
      <c r="FW1339"/>
      <c r="FX1339"/>
      <c r="FY1339"/>
      <c r="FZ1339"/>
      <c r="GA1339"/>
      <c r="GB1339"/>
      <c r="GC1339"/>
    </row>
    <row r="1340" spans="1:185" x14ac:dyDescent="0.15">
      <c r="A1340"/>
      <c r="B1340"/>
      <c r="C1340"/>
      <c r="D1340"/>
      <c r="E1340"/>
      <c r="F1340"/>
      <c r="G1340"/>
      <c r="H1340"/>
      <c r="I1340"/>
      <c r="J1340"/>
      <c r="FK1340"/>
      <c r="FL1340"/>
      <c r="FM1340"/>
      <c r="FN1340"/>
      <c r="FO1340"/>
      <c r="FP1340"/>
      <c r="FQ1340"/>
      <c r="FR1340"/>
      <c r="FS1340"/>
      <c r="FT1340"/>
      <c r="FU1340"/>
      <c r="FV1340"/>
      <c r="FW1340"/>
      <c r="FX1340"/>
      <c r="FY1340"/>
      <c r="FZ1340"/>
      <c r="GA1340"/>
      <c r="GB1340"/>
      <c r="GC1340"/>
    </row>
    <row r="1341" spans="1:185" x14ac:dyDescent="0.15">
      <c r="A1341"/>
      <c r="B1341"/>
      <c r="C1341"/>
      <c r="D1341"/>
      <c r="E1341"/>
      <c r="F1341"/>
      <c r="G1341"/>
      <c r="H1341"/>
      <c r="I1341"/>
      <c r="J1341"/>
      <c r="FK1341"/>
      <c r="FL1341"/>
      <c r="FM1341"/>
      <c r="FN1341"/>
      <c r="FO1341"/>
      <c r="FP1341"/>
      <c r="FQ1341"/>
      <c r="FR1341"/>
      <c r="FS1341"/>
      <c r="FT1341"/>
      <c r="FU1341"/>
      <c r="FV1341"/>
      <c r="FW1341"/>
      <c r="FX1341"/>
      <c r="FY1341"/>
      <c r="FZ1341"/>
      <c r="GA1341"/>
      <c r="GB1341"/>
      <c r="GC1341"/>
    </row>
    <row r="1342" spans="1:185" x14ac:dyDescent="0.15">
      <c r="A1342"/>
      <c r="B1342"/>
      <c r="C1342"/>
      <c r="D1342"/>
      <c r="E1342"/>
      <c r="F1342"/>
      <c r="G1342"/>
      <c r="H1342"/>
      <c r="I1342"/>
      <c r="J1342"/>
      <c r="FK1342"/>
      <c r="FL1342"/>
      <c r="FM1342"/>
      <c r="FN1342"/>
      <c r="FO1342"/>
      <c r="FP1342"/>
      <c r="FQ1342"/>
      <c r="FR1342"/>
      <c r="FS1342"/>
      <c r="FT1342"/>
      <c r="FU1342"/>
      <c r="FV1342"/>
      <c r="FW1342"/>
      <c r="FX1342"/>
      <c r="FY1342"/>
      <c r="FZ1342"/>
      <c r="GA1342"/>
      <c r="GB1342"/>
      <c r="GC1342"/>
    </row>
    <row r="1343" spans="1:185" x14ac:dyDescent="0.15">
      <c r="A1343"/>
      <c r="B1343"/>
      <c r="C1343"/>
      <c r="D1343"/>
      <c r="E1343"/>
      <c r="F1343"/>
      <c r="G1343"/>
      <c r="H1343"/>
      <c r="I1343"/>
      <c r="J1343"/>
      <c r="FK1343"/>
      <c r="FL1343"/>
      <c r="FM1343"/>
      <c r="FN1343"/>
      <c r="FO1343"/>
      <c r="FP1343"/>
      <c r="FQ1343"/>
      <c r="FR1343"/>
      <c r="FS1343"/>
      <c r="FT1343"/>
      <c r="FU1343"/>
      <c r="FV1343"/>
      <c r="FW1343"/>
      <c r="FX1343"/>
      <c r="FY1343"/>
      <c r="FZ1343"/>
      <c r="GA1343"/>
      <c r="GB1343"/>
      <c r="GC1343"/>
    </row>
    <row r="1344" spans="1:185" x14ac:dyDescent="0.15">
      <c r="A1344"/>
      <c r="B1344"/>
      <c r="C1344"/>
      <c r="D1344"/>
      <c r="E1344"/>
      <c r="F1344"/>
      <c r="G1344"/>
      <c r="H1344"/>
      <c r="I1344"/>
      <c r="J1344"/>
      <c r="FK1344"/>
      <c r="FL1344"/>
      <c r="FM1344"/>
      <c r="FN1344"/>
      <c r="FO1344"/>
      <c r="FP1344"/>
      <c r="FQ1344"/>
      <c r="FR1344"/>
      <c r="FS1344"/>
      <c r="FT1344"/>
      <c r="FU1344"/>
      <c r="FV1344"/>
      <c r="FW1344"/>
      <c r="FX1344"/>
      <c r="FY1344"/>
      <c r="FZ1344"/>
      <c r="GA1344"/>
      <c r="GB1344"/>
      <c r="GC1344"/>
    </row>
    <row r="1345" spans="1:185" x14ac:dyDescent="0.15">
      <c r="A1345"/>
      <c r="B1345"/>
      <c r="C1345"/>
      <c r="D1345"/>
      <c r="E1345"/>
      <c r="F1345"/>
      <c r="G1345"/>
      <c r="H1345"/>
      <c r="I1345"/>
      <c r="J1345"/>
      <c r="FK1345"/>
      <c r="FL1345"/>
      <c r="FM1345"/>
      <c r="FN1345"/>
      <c r="FO1345"/>
      <c r="FP1345"/>
      <c r="FQ1345"/>
      <c r="FR1345"/>
      <c r="FS1345"/>
      <c r="FT1345"/>
      <c r="FU1345"/>
      <c r="FV1345"/>
      <c r="FW1345"/>
      <c r="FX1345"/>
      <c r="FY1345"/>
      <c r="FZ1345"/>
      <c r="GA1345"/>
      <c r="GB1345"/>
      <c r="GC1345"/>
    </row>
    <row r="1346" spans="1:185" x14ac:dyDescent="0.15">
      <c r="A1346"/>
      <c r="B1346"/>
      <c r="C1346"/>
      <c r="D1346"/>
      <c r="E1346"/>
      <c r="F1346"/>
      <c r="G1346"/>
      <c r="H1346"/>
      <c r="I1346"/>
      <c r="J1346"/>
      <c r="FK1346"/>
      <c r="FL1346"/>
      <c r="FM1346"/>
      <c r="FN1346"/>
      <c r="FO1346"/>
      <c r="FP1346"/>
      <c r="FQ1346"/>
      <c r="FR1346"/>
      <c r="FS1346"/>
      <c r="FT1346"/>
      <c r="FU1346"/>
      <c r="FV1346"/>
      <c r="FW1346"/>
      <c r="FX1346"/>
      <c r="FY1346"/>
      <c r="FZ1346"/>
      <c r="GA1346"/>
      <c r="GB1346"/>
      <c r="GC1346"/>
    </row>
    <row r="1347" spans="1:185" x14ac:dyDescent="0.15">
      <c r="A1347"/>
      <c r="B1347"/>
      <c r="C1347"/>
      <c r="D1347"/>
      <c r="E1347"/>
      <c r="F1347"/>
      <c r="G1347"/>
      <c r="H1347"/>
      <c r="I1347"/>
      <c r="J1347"/>
      <c r="FK1347"/>
      <c r="FL1347"/>
      <c r="FM1347"/>
      <c r="FN1347"/>
      <c r="FO1347"/>
      <c r="FP1347"/>
      <c r="FQ1347"/>
      <c r="FR1347"/>
      <c r="FS1347"/>
      <c r="FT1347"/>
      <c r="FU1347"/>
      <c r="FV1347"/>
      <c r="FW1347"/>
      <c r="FX1347"/>
      <c r="FY1347"/>
      <c r="FZ1347"/>
      <c r="GA1347"/>
      <c r="GB1347"/>
      <c r="GC1347"/>
    </row>
    <row r="1348" spans="1:185" x14ac:dyDescent="0.15">
      <c r="A1348"/>
      <c r="B1348"/>
      <c r="C1348"/>
      <c r="D1348"/>
      <c r="E1348"/>
      <c r="F1348"/>
      <c r="G1348"/>
      <c r="H1348"/>
      <c r="I1348"/>
      <c r="J1348"/>
      <c r="FK1348"/>
      <c r="FL1348"/>
      <c r="FM1348"/>
      <c r="FN1348"/>
      <c r="FO1348"/>
      <c r="FP1348"/>
      <c r="FQ1348"/>
      <c r="FR1348"/>
      <c r="FS1348"/>
      <c r="FT1348"/>
      <c r="FU1348"/>
      <c r="FV1348"/>
      <c r="FW1348"/>
      <c r="FX1348"/>
      <c r="FY1348"/>
      <c r="FZ1348"/>
      <c r="GA1348"/>
      <c r="GB1348"/>
      <c r="GC1348"/>
    </row>
    <row r="1349" spans="1:185" x14ac:dyDescent="0.15">
      <c r="A1349"/>
      <c r="B1349"/>
      <c r="C1349"/>
      <c r="D1349"/>
      <c r="E1349"/>
      <c r="F1349"/>
      <c r="G1349"/>
      <c r="H1349"/>
      <c r="I1349"/>
      <c r="J1349"/>
      <c r="FK1349"/>
      <c r="FL1349"/>
      <c r="FM1349"/>
      <c r="FN1349"/>
      <c r="FO1349"/>
      <c r="FP1349"/>
      <c r="FQ1349"/>
      <c r="FR1349"/>
      <c r="FS1349"/>
      <c r="FT1349"/>
      <c r="FU1349"/>
      <c r="FV1349"/>
      <c r="FW1349"/>
      <c r="FX1349"/>
      <c r="FY1349"/>
      <c r="FZ1349"/>
      <c r="GA1349"/>
      <c r="GB1349"/>
      <c r="GC1349"/>
    </row>
    <row r="1350" spans="1:185" x14ac:dyDescent="0.15">
      <c r="A1350"/>
      <c r="B1350"/>
      <c r="C1350"/>
      <c r="D1350"/>
      <c r="E1350"/>
      <c r="F1350"/>
      <c r="G1350"/>
      <c r="H1350"/>
      <c r="I1350"/>
      <c r="J1350"/>
      <c r="FK1350"/>
      <c r="FL1350"/>
      <c r="FM1350"/>
      <c r="FN1350"/>
      <c r="FO1350"/>
      <c r="FP1350"/>
      <c r="FQ1350"/>
      <c r="FR1350"/>
      <c r="FS1350"/>
      <c r="FT1350"/>
      <c r="FU1350"/>
      <c r="FV1350"/>
      <c r="FW1350"/>
      <c r="FX1350"/>
      <c r="FY1350"/>
      <c r="FZ1350"/>
      <c r="GA1350"/>
      <c r="GB1350"/>
      <c r="GC1350"/>
    </row>
    <row r="1351" spans="1:185" x14ac:dyDescent="0.15">
      <c r="A1351"/>
      <c r="B1351"/>
      <c r="C1351"/>
      <c r="D1351"/>
      <c r="E1351"/>
      <c r="F1351"/>
      <c r="G1351"/>
      <c r="H1351"/>
      <c r="I1351"/>
      <c r="J1351"/>
      <c r="FK1351"/>
      <c r="FL1351"/>
      <c r="FM1351"/>
      <c r="FN1351"/>
      <c r="FO1351"/>
      <c r="FP1351"/>
      <c r="FQ1351"/>
      <c r="FR1351"/>
      <c r="FS1351"/>
      <c r="FT1351"/>
      <c r="FU1351"/>
      <c r="FV1351"/>
      <c r="FW1351"/>
      <c r="FX1351"/>
      <c r="FY1351"/>
      <c r="FZ1351"/>
      <c r="GA1351"/>
      <c r="GB1351"/>
      <c r="GC1351"/>
    </row>
    <row r="1352" spans="1:185" x14ac:dyDescent="0.15">
      <c r="A1352"/>
      <c r="B1352"/>
      <c r="C1352"/>
      <c r="D1352"/>
      <c r="E1352"/>
      <c r="F1352"/>
      <c r="G1352"/>
      <c r="H1352"/>
      <c r="I1352"/>
      <c r="J1352"/>
      <c r="FK1352"/>
      <c r="FL1352"/>
      <c r="FM1352"/>
      <c r="FN1352"/>
      <c r="FO1352"/>
      <c r="FP1352"/>
      <c r="FQ1352"/>
      <c r="FR1352"/>
      <c r="FS1352"/>
      <c r="FT1352"/>
      <c r="FU1352"/>
      <c r="FV1352"/>
      <c r="FW1352"/>
      <c r="FX1352"/>
      <c r="FY1352"/>
      <c r="FZ1352"/>
      <c r="GA1352"/>
      <c r="GB1352"/>
      <c r="GC1352"/>
    </row>
    <row r="1353" spans="1:185" x14ac:dyDescent="0.15">
      <c r="A1353"/>
      <c r="B1353"/>
      <c r="C1353"/>
      <c r="D1353"/>
      <c r="E1353"/>
      <c r="F1353"/>
      <c r="G1353"/>
      <c r="H1353"/>
      <c r="I1353"/>
      <c r="J1353"/>
      <c r="FK1353"/>
      <c r="FL1353"/>
      <c r="FM1353"/>
      <c r="FN1353"/>
      <c r="FO1353"/>
      <c r="FP1353"/>
      <c r="FQ1353"/>
      <c r="FR1353"/>
      <c r="FS1353"/>
      <c r="FT1353"/>
      <c r="FU1353"/>
      <c r="FV1353"/>
      <c r="FW1353"/>
      <c r="FX1353"/>
      <c r="FY1353"/>
      <c r="FZ1353"/>
      <c r="GA1353"/>
      <c r="GB1353"/>
      <c r="GC1353"/>
    </row>
    <row r="1354" spans="1:185" x14ac:dyDescent="0.15">
      <c r="A1354"/>
      <c r="B1354"/>
      <c r="C1354"/>
      <c r="D1354"/>
      <c r="E1354"/>
      <c r="F1354"/>
      <c r="G1354"/>
      <c r="H1354"/>
      <c r="I1354"/>
      <c r="J1354"/>
      <c r="FK1354"/>
      <c r="FL1354"/>
      <c r="FM1354"/>
      <c r="FN1354"/>
      <c r="FO1354"/>
      <c r="FP1354"/>
      <c r="FQ1354"/>
      <c r="FR1354"/>
      <c r="FS1354"/>
      <c r="FT1354"/>
      <c r="FU1354"/>
      <c r="FV1354"/>
      <c r="FW1354"/>
      <c r="FX1354"/>
      <c r="FY1354"/>
      <c r="FZ1354"/>
      <c r="GA1354"/>
      <c r="GB1354"/>
      <c r="GC1354"/>
    </row>
    <row r="1355" spans="1:185" x14ac:dyDescent="0.15">
      <c r="A1355"/>
      <c r="B1355"/>
      <c r="C1355"/>
      <c r="D1355"/>
      <c r="E1355"/>
      <c r="F1355"/>
      <c r="G1355"/>
      <c r="H1355"/>
      <c r="I1355"/>
      <c r="J1355"/>
      <c r="FK1355"/>
      <c r="FL1355"/>
      <c r="FM1355"/>
      <c r="FN1355"/>
      <c r="FO1355"/>
      <c r="FP1355"/>
      <c r="FQ1355"/>
      <c r="FR1355"/>
      <c r="FS1355"/>
      <c r="FT1355"/>
      <c r="FU1355"/>
      <c r="FV1355"/>
      <c r="FW1355"/>
      <c r="FX1355"/>
      <c r="FY1355"/>
      <c r="FZ1355"/>
      <c r="GA1355"/>
      <c r="GB1355"/>
      <c r="GC1355"/>
    </row>
    <row r="1356" spans="1:185" x14ac:dyDescent="0.15">
      <c r="A1356"/>
      <c r="B1356"/>
      <c r="C1356"/>
      <c r="D1356"/>
      <c r="E1356"/>
      <c r="F1356"/>
      <c r="G1356"/>
      <c r="H1356"/>
      <c r="I1356"/>
      <c r="J1356"/>
      <c r="FK1356"/>
      <c r="FL1356"/>
      <c r="FM1356"/>
      <c r="FN1356"/>
      <c r="FO1356"/>
      <c r="FP1356"/>
      <c r="FQ1356"/>
      <c r="FR1356"/>
      <c r="FS1356"/>
      <c r="FT1356"/>
      <c r="FU1356"/>
      <c r="FV1356"/>
      <c r="FW1356"/>
      <c r="FX1356"/>
      <c r="FY1356"/>
      <c r="FZ1356"/>
      <c r="GA1356"/>
      <c r="GB1356"/>
      <c r="GC1356"/>
    </row>
    <row r="1357" spans="1:185" x14ac:dyDescent="0.15">
      <c r="A1357"/>
      <c r="B1357"/>
      <c r="C1357"/>
      <c r="D1357"/>
      <c r="E1357"/>
      <c r="F1357"/>
      <c r="G1357"/>
      <c r="H1357"/>
      <c r="I1357"/>
      <c r="J1357"/>
      <c r="FK1357"/>
      <c r="FL1357"/>
      <c r="FM1357"/>
      <c r="FN1357"/>
      <c r="FO1357"/>
      <c r="FP1357"/>
      <c r="FQ1357"/>
      <c r="FR1357"/>
      <c r="FS1357"/>
      <c r="FT1357"/>
      <c r="FU1357"/>
      <c r="FV1357"/>
      <c r="FW1357"/>
      <c r="FX1357"/>
      <c r="FY1357"/>
      <c r="FZ1357"/>
      <c r="GA1357"/>
      <c r="GB1357"/>
      <c r="GC1357"/>
    </row>
    <row r="1358" spans="1:185" x14ac:dyDescent="0.15">
      <c r="A1358"/>
      <c r="B1358"/>
      <c r="C1358"/>
      <c r="D1358"/>
      <c r="E1358"/>
      <c r="F1358"/>
      <c r="G1358"/>
      <c r="H1358"/>
      <c r="I1358"/>
      <c r="J1358"/>
      <c r="FK1358"/>
      <c r="FL1358"/>
      <c r="FM1358"/>
      <c r="FN1358"/>
      <c r="FO1358"/>
      <c r="FP1358"/>
      <c r="FQ1358"/>
      <c r="FR1358"/>
      <c r="FS1358"/>
      <c r="FT1358"/>
      <c r="FU1358"/>
      <c r="FV1358"/>
      <c r="FW1358"/>
      <c r="FX1358"/>
      <c r="FY1358"/>
      <c r="FZ1358"/>
      <c r="GA1358"/>
      <c r="GB1358"/>
      <c r="GC1358"/>
    </row>
    <row r="1359" spans="1:185" x14ac:dyDescent="0.15">
      <c r="A1359"/>
      <c r="B1359"/>
      <c r="C1359"/>
      <c r="D1359"/>
      <c r="E1359"/>
      <c r="F1359"/>
      <c r="G1359"/>
      <c r="H1359"/>
      <c r="I1359"/>
      <c r="J1359"/>
      <c r="FK1359"/>
      <c r="FL1359"/>
      <c r="FM1359"/>
      <c r="FN1359"/>
      <c r="FO1359"/>
      <c r="FP1359"/>
      <c r="FQ1359"/>
      <c r="FR1359"/>
      <c r="FS1359"/>
      <c r="FT1359"/>
      <c r="FU1359"/>
      <c r="FV1359"/>
      <c r="FW1359"/>
      <c r="FX1359"/>
      <c r="FY1359"/>
      <c r="FZ1359"/>
      <c r="GA1359"/>
      <c r="GB1359"/>
      <c r="GC1359"/>
    </row>
    <row r="1360" spans="1:185" x14ac:dyDescent="0.15">
      <c r="A1360"/>
      <c r="B1360"/>
      <c r="C1360"/>
      <c r="D1360"/>
      <c r="E1360"/>
      <c r="F1360"/>
      <c r="G1360"/>
      <c r="H1360"/>
      <c r="I1360"/>
      <c r="J1360"/>
      <c r="FK1360"/>
      <c r="FL1360"/>
      <c r="FM1360"/>
      <c r="FN1360"/>
      <c r="FO1360"/>
      <c r="FP1360"/>
      <c r="FQ1360"/>
      <c r="FR1360"/>
      <c r="FS1360"/>
      <c r="FT1360"/>
      <c r="FU1360"/>
      <c r="FV1360"/>
      <c r="FW1360"/>
      <c r="FX1360"/>
      <c r="FY1360"/>
      <c r="FZ1360"/>
      <c r="GA1360"/>
      <c r="GB1360"/>
      <c r="GC1360"/>
    </row>
    <row r="1361" spans="1:185" x14ac:dyDescent="0.15">
      <c r="A1361"/>
      <c r="B1361"/>
      <c r="C1361"/>
      <c r="D1361"/>
      <c r="E1361"/>
      <c r="F1361"/>
      <c r="G1361"/>
      <c r="H1361"/>
      <c r="I1361"/>
      <c r="J1361"/>
      <c r="FK1361"/>
      <c r="FL1361"/>
      <c r="FM1361"/>
      <c r="FN1361"/>
      <c r="FO1361"/>
      <c r="FP1361"/>
      <c r="FQ1361"/>
      <c r="FR1361"/>
      <c r="FS1361"/>
      <c r="FT1361"/>
      <c r="FU1361"/>
      <c r="FV1361"/>
      <c r="FW1361"/>
      <c r="FX1361"/>
      <c r="FY1361"/>
      <c r="FZ1361"/>
      <c r="GA1361"/>
      <c r="GB1361"/>
      <c r="GC1361"/>
    </row>
    <row r="1362" spans="1:185" x14ac:dyDescent="0.15">
      <c r="A1362"/>
      <c r="B1362"/>
      <c r="C1362"/>
      <c r="D1362"/>
      <c r="E1362"/>
      <c r="F1362"/>
      <c r="G1362"/>
      <c r="H1362"/>
      <c r="I1362"/>
      <c r="J1362"/>
      <c r="FK1362"/>
      <c r="FL1362"/>
      <c r="FM1362"/>
      <c r="FN1362"/>
      <c r="FO1362"/>
      <c r="FP1362"/>
      <c r="FQ1362"/>
      <c r="FR1362"/>
      <c r="FS1362"/>
      <c r="FT1362"/>
      <c r="FU1362"/>
      <c r="FV1362"/>
      <c r="FW1362"/>
      <c r="FX1362"/>
      <c r="FY1362"/>
      <c r="FZ1362"/>
      <c r="GA1362"/>
      <c r="GB1362"/>
      <c r="GC1362"/>
    </row>
    <row r="1363" spans="1:185" x14ac:dyDescent="0.15">
      <c r="A1363"/>
      <c r="B1363"/>
      <c r="C1363"/>
      <c r="D1363"/>
      <c r="E1363"/>
      <c r="F1363"/>
      <c r="G1363"/>
      <c r="H1363"/>
      <c r="I1363"/>
      <c r="J1363"/>
      <c r="FK1363"/>
      <c r="FL1363"/>
      <c r="FM1363"/>
      <c r="FN1363"/>
      <c r="FO1363"/>
      <c r="FP1363"/>
      <c r="FQ1363"/>
      <c r="FR1363"/>
      <c r="FS1363"/>
      <c r="FT1363"/>
      <c r="FU1363"/>
      <c r="FV1363"/>
      <c r="FW1363"/>
      <c r="FX1363"/>
      <c r="FY1363"/>
      <c r="FZ1363"/>
      <c r="GA1363"/>
      <c r="GB1363"/>
      <c r="GC1363"/>
    </row>
    <row r="1364" spans="1:185" x14ac:dyDescent="0.15">
      <c r="A1364"/>
      <c r="B1364"/>
      <c r="C1364"/>
      <c r="D1364"/>
      <c r="E1364"/>
      <c r="F1364"/>
      <c r="G1364"/>
      <c r="H1364"/>
      <c r="I1364"/>
      <c r="J1364"/>
      <c r="FK1364"/>
      <c r="FL1364"/>
      <c r="FM1364"/>
      <c r="FN1364"/>
      <c r="FO1364"/>
      <c r="FP1364"/>
      <c r="FQ1364"/>
      <c r="FR1364"/>
      <c r="FS1364"/>
      <c r="FT1364"/>
      <c r="FU1364"/>
      <c r="FV1364"/>
      <c r="FW1364"/>
      <c r="FX1364"/>
      <c r="FY1364"/>
      <c r="FZ1364"/>
      <c r="GA1364"/>
      <c r="GB1364"/>
      <c r="GC1364"/>
    </row>
    <row r="1365" spans="1:185" x14ac:dyDescent="0.15">
      <c r="A1365"/>
      <c r="B1365"/>
      <c r="C1365"/>
      <c r="D1365"/>
      <c r="E1365"/>
      <c r="F1365"/>
      <c r="G1365"/>
      <c r="H1365"/>
      <c r="I1365"/>
      <c r="J1365"/>
      <c r="FK1365"/>
      <c r="FL1365"/>
      <c r="FM1365"/>
      <c r="FN1365"/>
      <c r="FO1365"/>
      <c r="FP1365"/>
      <c r="FQ1365"/>
      <c r="FR1365"/>
      <c r="FS1365"/>
      <c r="FT1365"/>
      <c r="FU1365"/>
      <c r="FV1365"/>
      <c r="FW1365"/>
      <c r="FX1365"/>
      <c r="FY1365"/>
      <c r="FZ1365"/>
      <c r="GA1365"/>
      <c r="GB1365"/>
      <c r="GC1365"/>
    </row>
    <row r="1366" spans="1:185" x14ac:dyDescent="0.15">
      <c r="A1366"/>
      <c r="B1366"/>
      <c r="C1366"/>
      <c r="D1366"/>
      <c r="E1366"/>
      <c r="F1366"/>
      <c r="G1366"/>
      <c r="H1366"/>
      <c r="I1366"/>
      <c r="J1366"/>
      <c r="FK1366"/>
      <c r="FL1366"/>
      <c r="FM1366"/>
      <c r="FN1366"/>
      <c r="FO1366"/>
      <c r="FP1366"/>
      <c r="FQ1366"/>
      <c r="FR1366"/>
      <c r="FS1366"/>
      <c r="FT1366"/>
      <c r="FU1366"/>
      <c r="FV1366"/>
      <c r="FW1366"/>
      <c r="FX1366"/>
      <c r="FY1366"/>
      <c r="FZ1366"/>
      <c r="GA1366"/>
      <c r="GB1366"/>
      <c r="GC1366"/>
    </row>
    <row r="1367" spans="1:185" x14ac:dyDescent="0.15">
      <c r="A1367"/>
      <c r="B1367"/>
      <c r="C1367"/>
      <c r="D1367"/>
      <c r="E1367"/>
      <c r="F1367"/>
      <c r="G1367"/>
      <c r="H1367"/>
      <c r="I1367"/>
      <c r="J1367"/>
      <c r="FK1367"/>
      <c r="FL1367"/>
      <c r="FM1367"/>
      <c r="FN1367"/>
      <c r="FO1367"/>
      <c r="FP1367"/>
      <c r="FQ1367"/>
      <c r="FR1367"/>
      <c r="FS1367"/>
      <c r="FT1367"/>
      <c r="FU1367"/>
      <c r="FV1367"/>
      <c r="FW1367"/>
      <c r="FX1367"/>
      <c r="FY1367"/>
      <c r="FZ1367"/>
      <c r="GA1367"/>
      <c r="GB1367"/>
      <c r="GC1367"/>
    </row>
    <row r="1368" spans="1:185" x14ac:dyDescent="0.15">
      <c r="A1368"/>
      <c r="B1368"/>
      <c r="C1368"/>
      <c r="D1368"/>
      <c r="E1368"/>
      <c r="F1368"/>
      <c r="G1368"/>
      <c r="H1368"/>
      <c r="I1368"/>
      <c r="J1368"/>
      <c r="FK1368"/>
      <c r="FL1368"/>
      <c r="FM1368"/>
      <c r="FN1368"/>
      <c r="FO1368"/>
      <c r="FP1368"/>
      <c r="FQ1368"/>
      <c r="FR1368"/>
      <c r="FS1368"/>
      <c r="FT1368"/>
      <c r="FU1368"/>
      <c r="FV1368"/>
      <c r="FW1368"/>
      <c r="FX1368"/>
      <c r="FY1368"/>
      <c r="FZ1368"/>
      <c r="GA1368"/>
      <c r="GB1368"/>
      <c r="GC1368"/>
    </row>
    <row r="1369" spans="1:185" x14ac:dyDescent="0.15">
      <c r="A1369"/>
      <c r="B1369"/>
      <c r="C1369"/>
      <c r="D1369"/>
      <c r="E1369"/>
      <c r="F1369"/>
      <c r="G1369"/>
      <c r="H1369"/>
      <c r="I1369"/>
      <c r="J1369"/>
      <c r="FK1369"/>
      <c r="FL1369"/>
      <c r="FM1369"/>
      <c r="FN1369"/>
      <c r="FO1369"/>
      <c r="FP1369"/>
      <c r="FQ1369"/>
      <c r="FR1369"/>
      <c r="FS1369"/>
      <c r="FT1369"/>
      <c r="FU1369"/>
      <c r="FV1369"/>
      <c r="FW1369"/>
      <c r="FX1369"/>
      <c r="FY1369"/>
      <c r="FZ1369"/>
      <c r="GA1369"/>
      <c r="GB1369"/>
      <c r="GC1369"/>
    </row>
    <row r="1370" spans="1:185" x14ac:dyDescent="0.15">
      <c r="A1370"/>
      <c r="B1370"/>
      <c r="C1370"/>
      <c r="D1370"/>
      <c r="E1370"/>
      <c r="F1370"/>
      <c r="G1370"/>
      <c r="H1370"/>
      <c r="I1370"/>
      <c r="J1370"/>
      <c r="FK1370"/>
      <c r="FL1370"/>
      <c r="FM1370"/>
      <c r="FN1370"/>
      <c r="FO1370"/>
      <c r="FP1370"/>
      <c r="FQ1370"/>
      <c r="FR1370"/>
      <c r="FS1370"/>
      <c r="FT1370"/>
      <c r="FU1370"/>
      <c r="FV1370"/>
      <c r="FW1370"/>
      <c r="FX1370"/>
      <c r="FY1370"/>
      <c r="FZ1370"/>
      <c r="GA1370"/>
      <c r="GB1370"/>
      <c r="GC1370"/>
    </row>
    <row r="1371" spans="1:185" x14ac:dyDescent="0.15">
      <c r="A1371"/>
      <c r="B1371"/>
      <c r="C1371"/>
      <c r="D1371"/>
      <c r="E1371"/>
      <c r="F1371"/>
      <c r="G1371"/>
      <c r="H1371"/>
      <c r="I1371"/>
      <c r="J1371"/>
      <c r="FK1371"/>
      <c r="FL1371"/>
      <c r="FM1371"/>
      <c r="FN1371"/>
      <c r="FO1371"/>
      <c r="FP1371"/>
      <c r="FQ1371"/>
      <c r="FR1371"/>
      <c r="FS1371"/>
      <c r="FT1371"/>
      <c r="FU1371"/>
      <c r="FV1371"/>
      <c r="FW1371"/>
      <c r="FX1371"/>
      <c r="FY1371"/>
      <c r="FZ1371"/>
      <c r="GA1371"/>
      <c r="GB1371"/>
      <c r="GC1371"/>
    </row>
    <row r="1372" spans="1:185" x14ac:dyDescent="0.15">
      <c r="A1372"/>
      <c r="B1372"/>
      <c r="C1372"/>
      <c r="D1372"/>
      <c r="E1372"/>
      <c r="F1372"/>
      <c r="G1372"/>
      <c r="H1372"/>
      <c r="I1372"/>
      <c r="J1372"/>
      <c r="FK1372"/>
      <c r="FL1372"/>
      <c r="FM1372"/>
      <c r="FN1372"/>
      <c r="FO1372"/>
      <c r="FP1372"/>
      <c r="FQ1372"/>
      <c r="FR1372"/>
      <c r="FS1372"/>
      <c r="FT1372"/>
      <c r="FU1372"/>
      <c r="FV1372"/>
      <c r="FW1372"/>
      <c r="FX1372"/>
      <c r="FY1372"/>
      <c r="FZ1372"/>
      <c r="GA1372"/>
      <c r="GB1372"/>
      <c r="GC1372"/>
    </row>
    <row r="1373" spans="1:185" x14ac:dyDescent="0.15">
      <c r="A1373"/>
      <c r="B1373"/>
      <c r="C1373"/>
      <c r="D1373"/>
      <c r="E1373"/>
      <c r="F1373"/>
      <c r="G1373"/>
      <c r="H1373"/>
      <c r="I1373"/>
      <c r="J1373"/>
      <c r="FK1373"/>
      <c r="FL1373"/>
      <c r="FM1373"/>
      <c r="FN1373"/>
      <c r="FO1373"/>
      <c r="FP1373"/>
      <c r="FQ1373"/>
      <c r="FR1373"/>
      <c r="FS1373"/>
      <c r="FT1373"/>
      <c r="FU1373"/>
      <c r="FV1373"/>
      <c r="FW1373"/>
      <c r="FX1373"/>
      <c r="FY1373"/>
      <c r="FZ1373"/>
      <c r="GA1373"/>
      <c r="GB1373"/>
      <c r="GC1373"/>
    </row>
    <row r="1374" spans="1:185" x14ac:dyDescent="0.15">
      <c r="A1374"/>
      <c r="B1374"/>
      <c r="C1374"/>
      <c r="D1374"/>
      <c r="E1374"/>
      <c r="F1374"/>
      <c r="G1374"/>
      <c r="H1374"/>
      <c r="I1374"/>
      <c r="J1374"/>
      <c r="FK1374"/>
      <c r="FL1374"/>
      <c r="FM1374"/>
      <c r="FN1374"/>
      <c r="FO1374"/>
      <c r="FP1374"/>
      <c r="FQ1374"/>
      <c r="FR1374"/>
      <c r="FS1374"/>
      <c r="FT1374"/>
      <c r="FU1374"/>
      <c r="FV1374"/>
      <c r="FW1374"/>
      <c r="FX1374"/>
      <c r="FY1374"/>
      <c r="FZ1374"/>
      <c r="GA1374"/>
      <c r="GB1374"/>
      <c r="GC1374"/>
    </row>
    <row r="1375" spans="1:185" x14ac:dyDescent="0.15">
      <c r="A1375"/>
      <c r="B1375"/>
      <c r="C1375"/>
      <c r="D1375"/>
      <c r="E1375"/>
      <c r="F1375"/>
      <c r="G1375"/>
      <c r="H1375"/>
      <c r="I1375"/>
      <c r="J1375"/>
      <c r="FK1375"/>
      <c r="FL1375"/>
      <c r="FM1375"/>
      <c r="FN1375"/>
      <c r="FO1375"/>
      <c r="FP1375"/>
      <c r="FQ1375"/>
      <c r="FR1375"/>
      <c r="FS1375"/>
      <c r="FT1375"/>
      <c r="FU1375"/>
      <c r="FV1375"/>
      <c r="FW1375"/>
      <c r="FX1375"/>
      <c r="FY1375"/>
      <c r="FZ1375"/>
      <c r="GA1375"/>
      <c r="GB1375"/>
      <c r="GC1375"/>
    </row>
    <row r="1376" spans="1:185" x14ac:dyDescent="0.15">
      <c r="A1376"/>
      <c r="B1376"/>
      <c r="C1376"/>
      <c r="D1376"/>
      <c r="E1376"/>
      <c r="F1376"/>
      <c r="G1376"/>
      <c r="H1376"/>
      <c r="I1376"/>
      <c r="J1376"/>
      <c r="FK1376"/>
      <c r="FL1376"/>
      <c r="FM1376"/>
      <c r="FN1376"/>
      <c r="FO1376"/>
      <c r="FP1376"/>
      <c r="FQ1376"/>
      <c r="FR1376"/>
      <c r="FS1376"/>
      <c r="FT1376"/>
      <c r="FU1376"/>
      <c r="FV1376"/>
      <c r="FW1376"/>
      <c r="FX1376"/>
      <c r="FY1376"/>
      <c r="FZ1376"/>
      <c r="GA1376"/>
      <c r="GB1376"/>
      <c r="GC1376"/>
    </row>
    <row r="1377" spans="1:185" x14ac:dyDescent="0.15">
      <c r="A1377"/>
      <c r="B1377"/>
      <c r="C1377"/>
      <c r="D1377"/>
      <c r="E1377"/>
      <c r="F1377"/>
      <c r="G1377"/>
      <c r="H1377"/>
      <c r="I1377"/>
      <c r="J1377"/>
      <c r="FK1377"/>
      <c r="FL1377"/>
      <c r="FM1377"/>
      <c r="FN1377"/>
      <c r="FO1377"/>
      <c r="FP1377"/>
      <c r="FQ1377"/>
      <c r="FR1377"/>
      <c r="FS1377"/>
      <c r="FT1377"/>
      <c r="FU1377"/>
      <c r="FV1377"/>
      <c r="FW1377"/>
      <c r="FX1377"/>
      <c r="FY1377"/>
      <c r="FZ1377"/>
      <c r="GA1377"/>
      <c r="GB1377"/>
      <c r="GC1377"/>
    </row>
    <row r="1378" spans="1:185" x14ac:dyDescent="0.15">
      <c r="A1378"/>
      <c r="B1378"/>
      <c r="C1378"/>
      <c r="D1378"/>
      <c r="E1378"/>
      <c r="F1378"/>
      <c r="G1378"/>
      <c r="H1378"/>
      <c r="I1378"/>
      <c r="J1378"/>
      <c r="FK1378"/>
      <c r="FL1378"/>
      <c r="FM1378"/>
      <c r="FN1378"/>
      <c r="FO1378"/>
      <c r="FP1378"/>
      <c r="FQ1378"/>
      <c r="FR1378"/>
      <c r="FS1378"/>
      <c r="FT1378"/>
      <c r="FU1378"/>
      <c r="FV1378"/>
      <c r="FW1378"/>
      <c r="FX1378"/>
      <c r="FY1378"/>
      <c r="FZ1378"/>
      <c r="GA1378"/>
      <c r="GB1378"/>
      <c r="GC1378"/>
    </row>
    <row r="1379" spans="1:185" x14ac:dyDescent="0.15">
      <c r="A1379"/>
      <c r="B1379"/>
      <c r="C1379"/>
      <c r="D1379"/>
      <c r="E1379"/>
      <c r="F1379"/>
      <c r="G1379"/>
      <c r="H1379"/>
      <c r="I1379"/>
      <c r="J1379"/>
      <c r="FK1379"/>
      <c r="FL1379"/>
      <c r="FM1379"/>
      <c r="FN1379"/>
      <c r="FO1379"/>
      <c r="FP1379"/>
      <c r="FQ1379"/>
      <c r="FR1379"/>
      <c r="FS1379"/>
      <c r="FT1379"/>
      <c r="FU1379"/>
      <c r="FV1379"/>
      <c r="FW1379"/>
      <c r="FX1379"/>
      <c r="FY1379"/>
      <c r="FZ1379"/>
      <c r="GA1379"/>
      <c r="GB1379"/>
      <c r="GC1379"/>
    </row>
    <row r="1380" spans="1:185" x14ac:dyDescent="0.15">
      <c r="A1380"/>
      <c r="B1380"/>
      <c r="C1380"/>
      <c r="D1380"/>
      <c r="E1380"/>
      <c r="F1380"/>
      <c r="G1380"/>
      <c r="H1380"/>
      <c r="I1380"/>
      <c r="J1380"/>
      <c r="FK1380"/>
      <c r="FL1380"/>
      <c r="FM1380"/>
      <c r="FN1380"/>
      <c r="FO1380"/>
      <c r="FP1380"/>
      <c r="FQ1380"/>
      <c r="FR1380"/>
      <c r="FS1380"/>
      <c r="FT1380"/>
      <c r="FU1380"/>
      <c r="FV1380"/>
      <c r="FW1380"/>
      <c r="FX1380"/>
      <c r="FY1380"/>
      <c r="FZ1380"/>
      <c r="GA1380"/>
      <c r="GB1380"/>
      <c r="GC1380"/>
    </row>
    <row r="1381" spans="1:185" x14ac:dyDescent="0.15">
      <c r="A1381"/>
      <c r="B1381"/>
      <c r="C1381"/>
      <c r="D1381"/>
      <c r="E1381"/>
      <c r="F1381"/>
      <c r="G1381"/>
      <c r="H1381"/>
      <c r="I1381"/>
      <c r="J1381"/>
      <c r="FK1381"/>
      <c r="FL1381"/>
      <c r="FM1381"/>
      <c r="FN1381"/>
      <c r="FO1381"/>
      <c r="FP1381"/>
      <c r="FQ1381"/>
      <c r="FR1381"/>
      <c r="FS1381"/>
      <c r="FT1381"/>
      <c r="FU1381"/>
      <c r="FV1381"/>
      <c r="FW1381"/>
      <c r="FX1381"/>
      <c r="FY1381"/>
      <c r="FZ1381"/>
      <c r="GA1381"/>
      <c r="GB1381"/>
      <c r="GC1381"/>
    </row>
    <row r="1382" spans="1:185" x14ac:dyDescent="0.15">
      <c r="A1382"/>
      <c r="B1382"/>
      <c r="C1382"/>
      <c r="D1382"/>
      <c r="E1382"/>
      <c r="F1382"/>
      <c r="G1382"/>
      <c r="H1382"/>
      <c r="I1382"/>
      <c r="J1382"/>
      <c r="FK1382"/>
      <c r="FL1382"/>
      <c r="FM1382"/>
      <c r="FN1382"/>
      <c r="FO1382"/>
      <c r="FP1382"/>
      <c r="FQ1382"/>
      <c r="FR1382"/>
      <c r="FS1382"/>
      <c r="FT1382"/>
      <c r="FU1382"/>
      <c r="FV1382"/>
      <c r="FW1382"/>
      <c r="FX1382"/>
      <c r="FY1382"/>
      <c r="FZ1382"/>
      <c r="GA1382"/>
      <c r="GB1382"/>
      <c r="GC1382"/>
    </row>
    <row r="1383" spans="1:185" x14ac:dyDescent="0.15">
      <c r="A1383"/>
      <c r="B1383"/>
      <c r="C1383"/>
      <c r="D1383"/>
      <c r="E1383"/>
      <c r="F1383"/>
      <c r="G1383"/>
      <c r="H1383"/>
      <c r="I1383"/>
      <c r="J1383"/>
      <c r="FK1383"/>
      <c r="FL1383"/>
      <c r="FM1383"/>
      <c r="FN1383"/>
      <c r="FO1383"/>
      <c r="FP1383"/>
      <c r="FQ1383"/>
      <c r="FR1383"/>
      <c r="FS1383"/>
      <c r="FT1383"/>
      <c r="FU1383"/>
      <c r="FV1383"/>
      <c r="FW1383"/>
      <c r="FX1383"/>
      <c r="FY1383"/>
      <c r="FZ1383"/>
      <c r="GA1383"/>
      <c r="GB1383"/>
      <c r="GC1383"/>
    </row>
    <row r="1384" spans="1:185" x14ac:dyDescent="0.15">
      <c r="A1384"/>
      <c r="B1384"/>
      <c r="C1384"/>
      <c r="D1384"/>
      <c r="E1384"/>
      <c r="F1384"/>
      <c r="G1384"/>
      <c r="H1384"/>
      <c r="I1384"/>
      <c r="J1384"/>
      <c r="FK1384"/>
      <c r="FL1384"/>
      <c r="FM1384"/>
      <c r="FN1384"/>
      <c r="FO1384"/>
      <c r="FP1384"/>
      <c r="FQ1384"/>
      <c r="FR1384"/>
      <c r="FS1384"/>
      <c r="FT1384"/>
      <c r="FU1384"/>
      <c r="FV1384"/>
      <c r="FW1384"/>
      <c r="FX1384"/>
      <c r="FY1384"/>
      <c r="FZ1384"/>
      <c r="GA1384"/>
      <c r="GB1384"/>
      <c r="GC1384"/>
    </row>
    <row r="1385" spans="1:185" x14ac:dyDescent="0.15">
      <c r="A1385"/>
      <c r="B1385"/>
      <c r="C1385"/>
      <c r="D1385"/>
      <c r="E1385"/>
      <c r="F1385"/>
      <c r="G1385"/>
      <c r="H1385"/>
      <c r="I1385"/>
      <c r="J1385"/>
      <c r="FK1385"/>
      <c r="FL1385"/>
      <c r="FM1385"/>
      <c r="FN1385"/>
      <c r="FO1385"/>
      <c r="FP1385"/>
      <c r="FQ1385"/>
      <c r="FR1385"/>
      <c r="FS1385"/>
      <c r="FT1385"/>
      <c r="FU1385"/>
      <c r="FV1385"/>
      <c r="FW1385"/>
      <c r="FX1385"/>
      <c r="FY1385"/>
      <c r="FZ1385"/>
      <c r="GA1385"/>
      <c r="GB1385"/>
      <c r="GC1385"/>
    </row>
    <row r="1386" spans="1:185" x14ac:dyDescent="0.15">
      <c r="A1386"/>
      <c r="B1386"/>
      <c r="C1386"/>
      <c r="D1386"/>
      <c r="E1386"/>
      <c r="F1386"/>
      <c r="G1386"/>
      <c r="H1386"/>
      <c r="I1386"/>
      <c r="J1386"/>
      <c r="FK1386"/>
      <c r="FL1386"/>
      <c r="FM1386"/>
      <c r="FN1386"/>
      <c r="FO1386"/>
      <c r="FP1386"/>
      <c r="FQ1386"/>
      <c r="FR1386"/>
      <c r="FS1386"/>
      <c r="FT1386"/>
      <c r="FU1386"/>
      <c r="FV1386"/>
      <c r="FW1386"/>
      <c r="FX1386"/>
      <c r="FY1386"/>
      <c r="FZ1386"/>
      <c r="GA1386"/>
      <c r="GB1386"/>
      <c r="GC1386"/>
    </row>
    <row r="1387" spans="1:185" x14ac:dyDescent="0.15">
      <c r="A1387"/>
      <c r="B1387"/>
      <c r="C1387"/>
      <c r="D1387"/>
      <c r="E1387"/>
      <c r="F1387"/>
      <c r="G1387"/>
      <c r="H1387"/>
      <c r="I1387"/>
      <c r="J1387"/>
      <c r="FK1387"/>
      <c r="FL1387"/>
      <c r="FM1387"/>
      <c r="FN1387"/>
      <c r="FO1387"/>
      <c r="FP1387"/>
      <c r="FQ1387"/>
      <c r="FR1387"/>
      <c r="FS1387"/>
      <c r="FT1387"/>
      <c r="FU1387"/>
      <c r="FV1387"/>
      <c r="FW1387"/>
      <c r="FX1387"/>
      <c r="FY1387"/>
      <c r="FZ1387"/>
      <c r="GA1387"/>
      <c r="GB1387"/>
      <c r="GC1387"/>
    </row>
    <row r="1388" spans="1:185" x14ac:dyDescent="0.15">
      <c r="A1388"/>
      <c r="B1388"/>
      <c r="C1388"/>
      <c r="D1388"/>
      <c r="E1388"/>
      <c r="F1388"/>
      <c r="G1388"/>
      <c r="H1388"/>
      <c r="I1388"/>
      <c r="J1388"/>
      <c r="FK1388"/>
      <c r="FL1388"/>
      <c r="FM1388"/>
      <c r="FN1388"/>
      <c r="FO1388"/>
      <c r="FP1388"/>
      <c r="FQ1388"/>
      <c r="FR1388"/>
      <c r="FS1388"/>
      <c r="FT1388"/>
      <c r="FU1388"/>
      <c r="FV1388"/>
      <c r="FW1388"/>
      <c r="FX1388"/>
      <c r="FY1388"/>
      <c r="FZ1388"/>
      <c r="GA1388"/>
      <c r="GB1388"/>
      <c r="GC1388"/>
    </row>
    <row r="1389" spans="1:185" x14ac:dyDescent="0.15">
      <c r="A1389"/>
      <c r="B1389"/>
      <c r="C1389"/>
      <c r="D1389"/>
      <c r="E1389"/>
      <c r="F1389"/>
      <c r="G1389"/>
      <c r="H1389"/>
      <c r="I1389"/>
      <c r="J1389"/>
      <c r="FK1389"/>
      <c r="FL1389"/>
      <c r="FM1389"/>
      <c r="FN1389"/>
      <c r="FO1389"/>
      <c r="FP1389"/>
      <c r="FQ1389"/>
      <c r="FR1389"/>
      <c r="FS1389"/>
      <c r="FT1389"/>
      <c r="FU1389"/>
      <c r="FV1389"/>
      <c r="FW1389"/>
      <c r="FX1389"/>
      <c r="FY1389"/>
      <c r="FZ1389"/>
      <c r="GA1389"/>
      <c r="GB1389"/>
      <c r="GC1389"/>
    </row>
    <row r="1390" spans="1:185" x14ac:dyDescent="0.15">
      <c r="A1390"/>
      <c r="B1390"/>
      <c r="C1390"/>
      <c r="D1390"/>
      <c r="E1390"/>
      <c r="F1390"/>
      <c r="G1390"/>
      <c r="H1390"/>
      <c r="I1390"/>
      <c r="J1390"/>
      <c r="FK1390"/>
      <c r="FL1390"/>
      <c r="FM1390"/>
      <c r="FN1390"/>
      <c r="FO1390"/>
      <c r="FP1390"/>
      <c r="FQ1390"/>
      <c r="FR1390"/>
      <c r="FS1390"/>
      <c r="FT1390"/>
      <c r="FU1390"/>
      <c r="FV1390"/>
      <c r="FW1390"/>
      <c r="FX1390"/>
      <c r="FY1390"/>
      <c r="FZ1390"/>
      <c r="GA1390"/>
      <c r="GB1390"/>
      <c r="GC1390"/>
    </row>
    <row r="1391" spans="1:185" x14ac:dyDescent="0.15">
      <c r="A1391"/>
      <c r="B1391"/>
      <c r="C1391"/>
      <c r="D1391"/>
      <c r="E1391"/>
      <c r="F1391"/>
      <c r="G1391"/>
      <c r="H1391"/>
      <c r="I1391"/>
      <c r="J1391"/>
      <c r="FK1391"/>
      <c r="FL1391"/>
      <c r="FM1391"/>
      <c r="FN1391"/>
      <c r="FO1391"/>
      <c r="FP1391"/>
      <c r="FQ1391"/>
      <c r="FR1391"/>
      <c r="FS1391"/>
      <c r="FT1391"/>
      <c r="FU1391"/>
      <c r="FV1391"/>
      <c r="FW1391"/>
      <c r="FX1391"/>
      <c r="FY1391"/>
      <c r="FZ1391"/>
      <c r="GA1391"/>
      <c r="GB1391"/>
      <c r="GC1391"/>
    </row>
    <row r="1392" spans="1:185" x14ac:dyDescent="0.15">
      <c r="A1392"/>
      <c r="B1392"/>
      <c r="C1392"/>
      <c r="D1392"/>
      <c r="E1392"/>
      <c r="F1392"/>
      <c r="G1392"/>
      <c r="H1392"/>
      <c r="I1392"/>
      <c r="J1392"/>
      <c r="FK1392"/>
      <c r="FL1392"/>
      <c r="FM1392"/>
      <c r="FN1392"/>
      <c r="FO1392"/>
      <c r="FP1392"/>
      <c r="FQ1392"/>
      <c r="FR1392"/>
      <c r="FS1392"/>
      <c r="FT1392"/>
      <c r="FU1392"/>
      <c r="FV1392"/>
      <c r="FW1392"/>
      <c r="FX1392"/>
      <c r="FY1392"/>
      <c r="FZ1392"/>
      <c r="GA1392"/>
      <c r="GB1392"/>
      <c r="GC1392"/>
    </row>
    <row r="1393" spans="1:185" x14ac:dyDescent="0.15">
      <c r="A1393"/>
      <c r="B1393"/>
      <c r="C1393"/>
      <c r="D1393"/>
      <c r="E1393"/>
      <c r="F1393"/>
      <c r="G1393"/>
      <c r="H1393"/>
      <c r="I1393"/>
      <c r="J1393"/>
      <c r="FK1393"/>
      <c r="FL1393"/>
      <c r="FM1393"/>
      <c r="FN1393"/>
      <c r="FO1393"/>
      <c r="FP1393"/>
      <c r="FQ1393"/>
      <c r="FR1393"/>
      <c r="FS1393"/>
      <c r="FT1393"/>
      <c r="FU1393"/>
      <c r="FV1393"/>
      <c r="FW1393"/>
      <c r="FX1393"/>
      <c r="FY1393"/>
      <c r="FZ1393"/>
      <c r="GA1393"/>
      <c r="GB1393"/>
      <c r="GC1393"/>
    </row>
    <row r="1394" spans="1:185" x14ac:dyDescent="0.15">
      <c r="A1394"/>
      <c r="B1394"/>
      <c r="C1394"/>
      <c r="D1394"/>
      <c r="E1394"/>
      <c r="F1394"/>
      <c r="G1394"/>
      <c r="H1394"/>
      <c r="I1394"/>
      <c r="J1394"/>
      <c r="FK1394"/>
      <c r="FL1394"/>
      <c r="FM1394"/>
      <c r="FN1394"/>
      <c r="FO1394"/>
      <c r="FP1394"/>
      <c r="FQ1394"/>
      <c r="FR1394"/>
      <c r="FS1394"/>
      <c r="FT1394"/>
      <c r="FU1394"/>
      <c r="FV1394"/>
      <c r="FW1394"/>
      <c r="FX1394"/>
      <c r="FY1394"/>
      <c r="FZ1394"/>
      <c r="GA1394"/>
      <c r="GB1394"/>
      <c r="GC1394"/>
    </row>
    <row r="1395" spans="1:185" x14ac:dyDescent="0.15">
      <c r="A1395"/>
      <c r="B1395"/>
      <c r="C1395"/>
      <c r="D1395"/>
      <c r="E1395"/>
      <c r="F1395"/>
      <c r="G1395"/>
      <c r="H1395"/>
      <c r="I1395"/>
      <c r="J1395"/>
      <c r="FK1395"/>
      <c r="FL1395"/>
      <c r="FM1395"/>
      <c r="FN1395"/>
      <c r="FO1395"/>
      <c r="FP1395"/>
      <c r="FQ1395"/>
      <c r="FR1395"/>
      <c r="FS1395"/>
      <c r="FT1395"/>
      <c r="FU1395"/>
      <c r="FV1395"/>
      <c r="FW1395"/>
      <c r="FX1395"/>
      <c r="FY1395"/>
      <c r="FZ1395"/>
      <c r="GA1395"/>
      <c r="GB1395"/>
      <c r="GC1395"/>
    </row>
    <row r="1396" spans="1:185" x14ac:dyDescent="0.15">
      <c r="A1396"/>
      <c r="B1396"/>
      <c r="C1396"/>
      <c r="D1396"/>
      <c r="E1396"/>
      <c r="F1396"/>
      <c r="G1396"/>
      <c r="H1396"/>
      <c r="I1396"/>
      <c r="J1396"/>
      <c r="FK1396"/>
      <c r="FL1396"/>
      <c r="FM1396"/>
      <c r="FN1396"/>
      <c r="FO1396"/>
      <c r="FP1396"/>
      <c r="FQ1396"/>
      <c r="FR1396"/>
      <c r="FS1396"/>
      <c r="FT1396"/>
      <c r="FU1396"/>
      <c r="FV1396"/>
      <c r="FW1396"/>
      <c r="FX1396"/>
      <c r="FY1396"/>
      <c r="FZ1396"/>
      <c r="GA1396"/>
      <c r="GB1396"/>
      <c r="GC1396"/>
    </row>
    <row r="1397" spans="1:185" x14ac:dyDescent="0.15">
      <c r="A1397"/>
      <c r="B1397"/>
      <c r="C1397"/>
      <c r="D1397"/>
      <c r="E1397"/>
      <c r="F1397"/>
      <c r="G1397"/>
      <c r="H1397"/>
      <c r="I1397"/>
      <c r="J1397"/>
      <c r="FK1397"/>
      <c r="FL1397"/>
      <c r="FM1397"/>
      <c r="FN1397"/>
      <c r="FO1397"/>
      <c r="FP1397"/>
      <c r="FQ1397"/>
      <c r="FR1397"/>
      <c r="FS1397"/>
      <c r="FT1397"/>
      <c r="FU1397"/>
      <c r="FV1397"/>
      <c r="FW1397"/>
      <c r="FX1397"/>
      <c r="FY1397"/>
      <c r="FZ1397"/>
      <c r="GA1397"/>
      <c r="GB1397"/>
      <c r="GC1397"/>
    </row>
    <row r="1398" spans="1:185" x14ac:dyDescent="0.15">
      <c r="A1398"/>
      <c r="B1398"/>
      <c r="C1398"/>
      <c r="D1398"/>
      <c r="E1398"/>
      <c r="F1398"/>
      <c r="G1398"/>
      <c r="H1398"/>
      <c r="I1398"/>
      <c r="J1398"/>
      <c r="FK1398"/>
      <c r="FL1398"/>
      <c r="FM1398"/>
      <c r="FN1398"/>
      <c r="FO1398"/>
      <c r="FP1398"/>
      <c r="FQ1398"/>
      <c r="FR1398"/>
      <c r="FS1398"/>
      <c r="FT1398"/>
      <c r="FU1398"/>
      <c r="FV1398"/>
      <c r="FW1398"/>
      <c r="FX1398"/>
      <c r="FY1398"/>
      <c r="FZ1398"/>
      <c r="GA1398"/>
      <c r="GB1398"/>
      <c r="GC1398"/>
    </row>
    <row r="1399" spans="1:185" x14ac:dyDescent="0.15">
      <c r="A1399"/>
      <c r="B1399"/>
      <c r="C1399"/>
      <c r="D1399"/>
      <c r="E1399"/>
      <c r="F1399"/>
      <c r="G1399"/>
      <c r="H1399"/>
      <c r="I1399"/>
      <c r="J1399"/>
      <c r="FK1399"/>
      <c r="FL1399"/>
      <c r="FM1399"/>
      <c r="FN1399"/>
      <c r="FO1399"/>
      <c r="FP1399"/>
      <c r="FQ1399"/>
      <c r="FR1399"/>
      <c r="FS1399"/>
      <c r="FT1399"/>
      <c r="FU1399"/>
      <c r="FV1399"/>
      <c r="FW1399"/>
      <c r="FX1399"/>
      <c r="FY1399"/>
      <c r="FZ1399"/>
      <c r="GA1399"/>
      <c r="GB1399"/>
      <c r="GC1399"/>
    </row>
    <row r="1400" spans="1:185" x14ac:dyDescent="0.15">
      <c r="A1400"/>
      <c r="B1400"/>
      <c r="C1400"/>
      <c r="D1400"/>
      <c r="E1400"/>
      <c r="F1400"/>
      <c r="G1400"/>
      <c r="H1400"/>
      <c r="I1400"/>
      <c r="J1400"/>
      <c r="FK1400"/>
      <c r="FL1400"/>
      <c r="FM1400"/>
      <c r="FN1400"/>
      <c r="FO1400"/>
      <c r="FP1400"/>
      <c r="FQ1400"/>
      <c r="FR1400"/>
      <c r="FS1400"/>
      <c r="FT1400"/>
      <c r="FU1400"/>
      <c r="FV1400"/>
      <c r="FW1400"/>
      <c r="FX1400"/>
      <c r="FY1400"/>
      <c r="FZ1400"/>
      <c r="GA1400"/>
      <c r="GB1400"/>
      <c r="GC1400"/>
    </row>
    <row r="1401" spans="1:185" x14ac:dyDescent="0.15">
      <c r="A1401"/>
      <c r="B1401"/>
      <c r="C1401"/>
      <c r="D1401"/>
      <c r="E1401"/>
      <c r="F1401"/>
      <c r="G1401"/>
      <c r="H1401"/>
      <c r="I1401"/>
      <c r="J1401"/>
      <c r="FK1401"/>
      <c r="FL1401"/>
      <c r="FM1401"/>
      <c r="FN1401"/>
      <c r="FO1401"/>
      <c r="FP1401"/>
      <c r="FQ1401"/>
      <c r="FR1401"/>
      <c r="FS1401"/>
      <c r="FT1401"/>
      <c r="FU1401"/>
      <c r="FV1401"/>
      <c r="FW1401"/>
      <c r="FX1401"/>
      <c r="FY1401"/>
      <c r="FZ1401"/>
      <c r="GA1401"/>
      <c r="GB1401"/>
      <c r="GC1401"/>
    </row>
    <row r="1402" spans="1:185" x14ac:dyDescent="0.15">
      <c r="A1402"/>
      <c r="B1402"/>
      <c r="C1402"/>
      <c r="D1402"/>
      <c r="E1402"/>
      <c r="F1402"/>
      <c r="G1402"/>
      <c r="H1402"/>
      <c r="I1402"/>
      <c r="J1402"/>
      <c r="FK1402"/>
      <c r="FL1402"/>
      <c r="FM1402"/>
      <c r="FN1402"/>
      <c r="FO1402"/>
      <c r="FP1402"/>
      <c r="FQ1402"/>
      <c r="FR1402"/>
      <c r="FS1402"/>
      <c r="FT1402"/>
      <c r="FU1402"/>
      <c r="FV1402"/>
      <c r="FW1402"/>
      <c r="FX1402"/>
      <c r="FY1402"/>
      <c r="FZ1402"/>
      <c r="GA1402"/>
      <c r="GB1402"/>
      <c r="GC1402"/>
    </row>
    <row r="1403" spans="1:185" x14ac:dyDescent="0.15">
      <c r="A1403"/>
      <c r="B1403"/>
      <c r="C1403"/>
      <c r="D1403"/>
      <c r="E1403"/>
      <c r="F1403"/>
      <c r="G1403"/>
      <c r="H1403"/>
      <c r="I1403"/>
      <c r="J1403"/>
      <c r="FK1403"/>
      <c r="FL1403"/>
      <c r="FM1403"/>
      <c r="FN1403"/>
      <c r="FO1403"/>
      <c r="FP1403"/>
      <c r="FQ1403"/>
      <c r="FR1403"/>
      <c r="FS1403"/>
      <c r="FT1403"/>
      <c r="FU1403"/>
      <c r="FV1403"/>
      <c r="FW1403"/>
      <c r="FX1403"/>
      <c r="FY1403"/>
      <c r="FZ1403"/>
      <c r="GA1403"/>
      <c r="GB1403"/>
      <c r="GC1403"/>
    </row>
    <row r="1404" spans="1:185" x14ac:dyDescent="0.15">
      <c r="A1404"/>
      <c r="B1404"/>
      <c r="C1404"/>
      <c r="D1404"/>
      <c r="E1404"/>
      <c r="F1404"/>
      <c r="G1404"/>
      <c r="H1404"/>
      <c r="I1404"/>
      <c r="J1404"/>
      <c r="FK1404"/>
      <c r="FL1404"/>
      <c r="FM1404"/>
      <c r="FN1404"/>
      <c r="FO1404"/>
      <c r="FP1404"/>
      <c r="FQ1404"/>
      <c r="FR1404"/>
      <c r="FS1404"/>
      <c r="FT1404"/>
      <c r="FU1404"/>
      <c r="FV1404"/>
      <c r="FW1404"/>
      <c r="FX1404"/>
      <c r="FY1404"/>
      <c r="FZ1404"/>
      <c r="GA1404"/>
      <c r="GB1404"/>
      <c r="GC1404"/>
    </row>
    <row r="1405" spans="1:185" x14ac:dyDescent="0.15">
      <c r="A1405"/>
      <c r="B1405"/>
      <c r="C1405"/>
      <c r="D1405"/>
      <c r="E1405"/>
      <c r="F1405"/>
      <c r="G1405"/>
      <c r="H1405"/>
      <c r="I1405"/>
      <c r="J1405"/>
      <c r="FK1405"/>
      <c r="FL1405"/>
      <c r="FM1405"/>
      <c r="FN1405"/>
      <c r="FO1405"/>
      <c r="FP1405"/>
      <c r="FQ1405"/>
      <c r="FR1405"/>
      <c r="FS1405"/>
      <c r="FT1405"/>
      <c r="FU1405"/>
      <c r="FV1405"/>
      <c r="FW1405"/>
      <c r="FX1405"/>
      <c r="FY1405"/>
      <c r="FZ1405"/>
      <c r="GA1405"/>
      <c r="GB1405"/>
      <c r="GC1405"/>
    </row>
    <row r="1406" spans="1:185" x14ac:dyDescent="0.15">
      <c r="A1406"/>
      <c r="B1406"/>
      <c r="C1406"/>
      <c r="D1406"/>
      <c r="E1406"/>
      <c r="F1406"/>
      <c r="G1406"/>
      <c r="H1406"/>
      <c r="I1406"/>
      <c r="J1406"/>
      <c r="FK1406"/>
      <c r="FL1406"/>
      <c r="FM1406"/>
      <c r="FN1406"/>
      <c r="FO1406"/>
      <c r="FP1406"/>
      <c r="FQ1406"/>
      <c r="FR1406"/>
      <c r="FS1406"/>
      <c r="FT1406"/>
      <c r="FU1406"/>
      <c r="FV1406"/>
      <c r="FW1406"/>
      <c r="FX1406"/>
      <c r="FY1406"/>
      <c r="FZ1406"/>
      <c r="GA1406"/>
      <c r="GB1406"/>
      <c r="GC1406"/>
    </row>
    <row r="1407" spans="1:185" x14ac:dyDescent="0.15">
      <c r="A1407"/>
      <c r="B1407"/>
      <c r="C1407"/>
      <c r="D1407"/>
      <c r="E1407"/>
      <c r="F1407"/>
      <c r="G1407"/>
      <c r="H1407"/>
      <c r="I1407"/>
      <c r="J1407"/>
      <c r="FK1407"/>
      <c r="FL1407"/>
      <c r="FM1407"/>
      <c r="FN1407"/>
      <c r="FO1407"/>
      <c r="FP1407"/>
      <c r="FQ1407"/>
      <c r="FR1407"/>
      <c r="FS1407"/>
      <c r="FT1407"/>
      <c r="FU1407"/>
      <c r="FV1407"/>
      <c r="FW1407"/>
      <c r="FX1407"/>
      <c r="FY1407"/>
      <c r="FZ1407"/>
      <c r="GA1407"/>
      <c r="GB1407"/>
      <c r="GC1407"/>
    </row>
    <row r="1408" spans="1:185" x14ac:dyDescent="0.15">
      <c r="A1408"/>
      <c r="B1408"/>
      <c r="C1408"/>
      <c r="D1408"/>
      <c r="E1408"/>
      <c r="F1408"/>
      <c r="G1408"/>
      <c r="H1408"/>
      <c r="I1408"/>
      <c r="J1408"/>
      <c r="FK1408"/>
      <c r="FL1408"/>
      <c r="FM1408"/>
      <c r="FN1408"/>
      <c r="FO1408"/>
      <c r="FP1408"/>
      <c r="FQ1408"/>
      <c r="FR1408"/>
      <c r="FS1408"/>
      <c r="FT1408"/>
      <c r="FU1408"/>
      <c r="FV1408"/>
      <c r="FW1408"/>
      <c r="FX1408"/>
      <c r="FY1408"/>
      <c r="FZ1408"/>
      <c r="GA1408"/>
      <c r="GB1408"/>
      <c r="GC1408"/>
    </row>
    <row r="1409" spans="1:185" x14ac:dyDescent="0.15">
      <c r="A1409"/>
      <c r="B1409"/>
      <c r="C1409"/>
      <c r="D1409"/>
      <c r="E1409"/>
      <c r="F1409"/>
      <c r="G1409"/>
      <c r="H1409"/>
      <c r="I1409"/>
      <c r="J1409"/>
      <c r="FK1409"/>
      <c r="FL1409"/>
      <c r="FM1409"/>
      <c r="FN1409"/>
      <c r="FO1409"/>
      <c r="FP1409"/>
      <c r="FQ1409"/>
      <c r="FR1409"/>
      <c r="FS1409"/>
      <c r="FT1409"/>
      <c r="FU1409"/>
      <c r="FV1409"/>
      <c r="FW1409"/>
      <c r="FX1409"/>
      <c r="FY1409"/>
      <c r="FZ1409"/>
      <c r="GA1409"/>
      <c r="GB1409"/>
      <c r="GC1409"/>
    </row>
    <row r="1410" spans="1:185" x14ac:dyDescent="0.15">
      <c r="A1410"/>
      <c r="B1410"/>
      <c r="C1410"/>
      <c r="D1410"/>
      <c r="E1410"/>
      <c r="F1410"/>
      <c r="G1410"/>
      <c r="H1410"/>
      <c r="I1410"/>
      <c r="J1410"/>
      <c r="FK1410"/>
      <c r="FL1410"/>
      <c r="FM1410"/>
      <c r="FN1410"/>
      <c r="FO1410"/>
      <c r="FP1410"/>
      <c r="FQ1410"/>
      <c r="FR1410"/>
      <c r="FS1410"/>
      <c r="FT1410"/>
      <c r="FU1410"/>
      <c r="FV1410"/>
      <c r="FW1410"/>
      <c r="FX1410"/>
      <c r="FY1410"/>
      <c r="FZ1410"/>
      <c r="GA1410"/>
      <c r="GB1410"/>
      <c r="GC1410"/>
    </row>
    <row r="1411" spans="1:185" x14ac:dyDescent="0.15">
      <c r="A1411"/>
      <c r="B1411"/>
      <c r="C1411"/>
      <c r="D1411"/>
      <c r="E1411"/>
      <c r="F1411"/>
      <c r="G1411"/>
      <c r="H1411"/>
      <c r="I1411"/>
      <c r="J1411"/>
      <c r="FK1411"/>
      <c r="FL1411"/>
      <c r="FM1411"/>
      <c r="FN1411"/>
      <c r="FO1411"/>
      <c r="FP1411"/>
      <c r="FQ1411"/>
      <c r="FR1411"/>
      <c r="FS1411"/>
      <c r="FT1411"/>
      <c r="FU1411"/>
      <c r="FV1411"/>
      <c r="FW1411"/>
      <c r="FX1411"/>
      <c r="FY1411"/>
      <c r="FZ1411"/>
      <c r="GA1411"/>
      <c r="GB1411"/>
      <c r="GC1411"/>
    </row>
    <row r="1412" spans="1:185" x14ac:dyDescent="0.15">
      <c r="A1412"/>
      <c r="B1412"/>
      <c r="C1412"/>
      <c r="D1412"/>
      <c r="E1412"/>
      <c r="F1412"/>
      <c r="G1412"/>
      <c r="H1412"/>
      <c r="I1412"/>
      <c r="J1412"/>
      <c r="FK1412"/>
      <c r="FL1412"/>
      <c r="FM1412"/>
      <c r="FN1412"/>
      <c r="FO1412"/>
      <c r="FP1412"/>
      <c r="FQ1412"/>
      <c r="FR1412"/>
      <c r="FS1412"/>
      <c r="FT1412"/>
      <c r="FU1412"/>
      <c r="FV1412"/>
      <c r="FW1412"/>
      <c r="FX1412"/>
      <c r="FY1412"/>
      <c r="FZ1412"/>
      <c r="GA1412"/>
      <c r="GB1412"/>
      <c r="GC1412"/>
    </row>
    <row r="1413" spans="1:185" x14ac:dyDescent="0.15">
      <c r="A1413"/>
      <c r="B1413"/>
      <c r="C1413"/>
      <c r="D1413"/>
      <c r="E1413"/>
      <c r="F1413"/>
      <c r="G1413"/>
      <c r="H1413"/>
      <c r="I1413"/>
      <c r="J1413"/>
      <c r="FK1413"/>
      <c r="FL1413"/>
      <c r="FM1413"/>
      <c r="FN1413"/>
      <c r="FO1413"/>
      <c r="FP1413"/>
      <c r="FQ1413"/>
      <c r="FR1413"/>
      <c r="FS1413"/>
      <c r="FT1413"/>
      <c r="FU1413"/>
      <c r="FV1413"/>
      <c r="FW1413"/>
      <c r="FX1413"/>
      <c r="FY1413"/>
      <c r="FZ1413"/>
      <c r="GA1413"/>
      <c r="GB1413"/>
      <c r="GC1413"/>
    </row>
    <row r="1414" spans="1:185" x14ac:dyDescent="0.15">
      <c r="A1414"/>
      <c r="B1414"/>
      <c r="C1414"/>
      <c r="D1414"/>
      <c r="E1414"/>
      <c r="F1414"/>
      <c r="G1414"/>
      <c r="H1414"/>
      <c r="I1414"/>
      <c r="J1414"/>
      <c r="FK1414"/>
      <c r="FL1414"/>
      <c r="FM1414"/>
      <c r="FN1414"/>
      <c r="FO1414"/>
      <c r="FP1414"/>
      <c r="FQ1414"/>
      <c r="FR1414"/>
      <c r="FS1414"/>
      <c r="FT1414"/>
      <c r="FU1414"/>
      <c r="FV1414"/>
      <c r="FW1414"/>
      <c r="FX1414"/>
      <c r="FY1414"/>
      <c r="FZ1414"/>
      <c r="GA1414"/>
      <c r="GB1414"/>
      <c r="GC1414"/>
    </row>
    <row r="1415" spans="1:185" x14ac:dyDescent="0.15">
      <c r="A1415"/>
      <c r="B1415"/>
      <c r="C1415"/>
      <c r="D1415"/>
      <c r="E1415"/>
      <c r="F1415"/>
      <c r="G1415"/>
      <c r="H1415"/>
      <c r="I1415"/>
      <c r="J1415"/>
      <c r="FK1415"/>
      <c r="FL1415"/>
      <c r="FM1415"/>
      <c r="FN1415"/>
      <c r="FO1415"/>
      <c r="FP1415"/>
      <c r="FQ1415"/>
      <c r="FR1415"/>
      <c r="FS1415"/>
      <c r="FT1415"/>
      <c r="FU1415"/>
      <c r="FV1415"/>
      <c r="FW1415"/>
      <c r="FX1415"/>
      <c r="FY1415"/>
      <c r="FZ1415"/>
      <c r="GA1415"/>
      <c r="GB1415"/>
      <c r="GC1415"/>
    </row>
    <row r="1416" spans="1:185" x14ac:dyDescent="0.15">
      <c r="A1416"/>
      <c r="B1416"/>
      <c r="C1416"/>
      <c r="D1416"/>
      <c r="E1416"/>
      <c r="F1416"/>
      <c r="G1416"/>
      <c r="H1416"/>
      <c r="I1416"/>
      <c r="J1416"/>
      <c r="FK1416"/>
      <c r="FL1416"/>
      <c r="FM1416"/>
      <c r="FN1416"/>
      <c r="FO1416"/>
      <c r="FP1416"/>
      <c r="FQ1416"/>
      <c r="FR1416"/>
      <c r="FS1416"/>
      <c r="FT1416"/>
      <c r="FU1416"/>
      <c r="FV1416"/>
      <c r="FW1416"/>
      <c r="FX1416"/>
      <c r="FY1416"/>
      <c r="FZ1416"/>
      <c r="GA1416"/>
      <c r="GB1416"/>
      <c r="GC1416"/>
    </row>
    <row r="1417" spans="1:185" x14ac:dyDescent="0.15">
      <c r="A1417"/>
      <c r="B1417"/>
      <c r="C1417"/>
      <c r="D1417"/>
      <c r="E1417"/>
      <c r="F1417"/>
      <c r="G1417"/>
      <c r="H1417"/>
      <c r="I1417"/>
      <c r="J1417"/>
      <c r="FK1417"/>
      <c r="FL1417"/>
      <c r="FM1417"/>
      <c r="FN1417"/>
      <c r="FO1417"/>
      <c r="FP1417"/>
      <c r="FQ1417"/>
      <c r="FR1417"/>
      <c r="FS1417"/>
      <c r="FT1417"/>
      <c r="FU1417"/>
      <c r="FV1417"/>
      <c r="FW1417"/>
      <c r="FX1417"/>
      <c r="FY1417"/>
      <c r="FZ1417"/>
      <c r="GA1417"/>
      <c r="GB1417"/>
      <c r="GC1417"/>
    </row>
    <row r="1418" spans="1:185" x14ac:dyDescent="0.15">
      <c r="A1418"/>
      <c r="B1418"/>
      <c r="C1418"/>
      <c r="D1418"/>
      <c r="E1418"/>
      <c r="F1418"/>
      <c r="G1418"/>
      <c r="H1418"/>
      <c r="I1418"/>
      <c r="J1418"/>
      <c r="FK1418"/>
      <c r="FL1418"/>
      <c r="FM1418"/>
      <c r="FN1418"/>
      <c r="FO1418"/>
      <c r="FP1418"/>
      <c r="FQ1418"/>
      <c r="FR1418"/>
      <c r="FS1418"/>
      <c r="FT1418"/>
      <c r="FU1418"/>
      <c r="FV1418"/>
      <c r="FW1418"/>
      <c r="FX1418"/>
      <c r="FY1418"/>
      <c r="FZ1418"/>
      <c r="GA1418"/>
      <c r="GB1418"/>
      <c r="GC1418"/>
    </row>
    <row r="1419" spans="1:185" x14ac:dyDescent="0.15">
      <c r="A1419"/>
      <c r="B1419"/>
      <c r="C1419"/>
      <c r="D1419"/>
      <c r="E1419"/>
      <c r="F1419"/>
      <c r="G1419"/>
      <c r="H1419"/>
      <c r="I1419"/>
      <c r="J1419"/>
      <c r="FK1419"/>
      <c r="FL1419"/>
      <c r="FM1419"/>
      <c r="FN1419"/>
      <c r="FO1419"/>
      <c r="FP1419"/>
      <c r="FQ1419"/>
      <c r="FR1419"/>
      <c r="FS1419"/>
      <c r="FT1419"/>
      <c r="FU1419"/>
      <c r="FV1419"/>
      <c r="FW1419"/>
      <c r="FX1419"/>
      <c r="FY1419"/>
      <c r="FZ1419"/>
      <c r="GA1419"/>
      <c r="GB1419"/>
      <c r="GC1419"/>
    </row>
    <row r="1420" spans="1:185" x14ac:dyDescent="0.15">
      <c r="A1420"/>
      <c r="B1420"/>
      <c r="C1420"/>
      <c r="D1420"/>
      <c r="E1420"/>
      <c r="F1420"/>
      <c r="G1420"/>
      <c r="H1420"/>
      <c r="I1420"/>
      <c r="J1420"/>
      <c r="FK1420"/>
      <c r="FL1420"/>
      <c r="FM1420"/>
      <c r="FN1420"/>
      <c r="FO1420"/>
      <c r="FP1420"/>
      <c r="FQ1420"/>
      <c r="FR1420"/>
      <c r="FS1420"/>
      <c r="FT1420"/>
      <c r="FU1420"/>
      <c r="FV1420"/>
      <c r="FW1420"/>
      <c r="FX1420"/>
      <c r="FY1420"/>
      <c r="FZ1420"/>
      <c r="GA1420"/>
      <c r="GB1420"/>
      <c r="GC1420"/>
    </row>
    <row r="1421" spans="1:185" x14ac:dyDescent="0.15">
      <c r="A1421"/>
      <c r="B1421"/>
      <c r="C1421"/>
      <c r="D1421"/>
      <c r="E1421"/>
      <c r="F1421"/>
      <c r="G1421"/>
      <c r="H1421"/>
      <c r="I1421"/>
      <c r="J1421"/>
      <c r="FK1421"/>
      <c r="FL1421"/>
      <c r="FM1421"/>
      <c r="FN1421"/>
      <c r="FO1421"/>
      <c r="FP1421"/>
      <c r="FQ1421"/>
      <c r="FR1421"/>
      <c r="FS1421"/>
      <c r="FT1421"/>
      <c r="FU1421"/>
      <c r="FV1421"/>
      <c r="FW1421"/>
      <c r="FX1421"/>
      <c r="FY1421"/>
      <c r="FZ1421"/>
      <c r="GA1421"/>
      <c r="GB1421"/>
      <c r="GC1421"/>
    </row>
    <row r="1422" spans="1:185" x14ac:dyDescent="0.15">
      <c r="A1422"/>
      <c r="B1422"/>
      <c r="C1422"/>
      <c r="D1422"/>
      <c r="E1422"/>
      <c r="F1422"/>
      <c r="G1422"/>
      <c r="H1422"/>
      <c r="I1422"/>
      <c r="J1422"/>
      <c r="FK1422"/>
      <c r="FL1422"/>
      <c r="FM1422"/>
      <c r="FN1422"/>
      <c r="FO1422"/>
      <c r="FP1422"/>
      <c r="FQ1422"/>
      <c r="FR1422"/>
      <c r="FS1422"/>
      <c r="FT1422"/>
      <c r="FU1422"/>
      <c r="FV1422"/>
      <c r="FW1422"/>
      <c r="FX1422"/>
      <c r="FY1422"/>
      <c r="FZ1422"/>
      <c r="GA1422"/>
      <c r="GB1422"/>
      <c r="GC1422"/>
    </row>
    <row r="1423" spans="1:185" x14ac:dyDescent="0.15">
      <c r="A1423"/>
      <c r="B1423"/>
      <c r="C1423"/>
      <c r="D1423"/>
      <c r="E1423"/>
      <c r="F1423"/>
      <c r="G1423"/>
      <c r="H1423"/>
      <c r="I1423"/>
      <c r="J1423"/>
      <c r="FK1423"/>
      <c r="FL1423"/>
      <c r="FM1423"/>
      <c r="FN1423"/>
      <c r="FO1423"/>
      <c r="FP1423"/>
      <c r="FQ1423"/>
      <c r="FR1423"/>
      <c r="FS1423"/>
      <c r="FT1423"/>
      <c r="FU1423"/>
      <c r="FV1423"/>
      <c r="FW1423"/>
      <c r="FX1423"/>
      <c r="FY1423"/>
      <c r="FZ1423"/>
      <c r="GA1423"/>
      <c r="GB1423"/>
      <c r="GC1423"/>
    </row>
    <row r="1424" spans="1:185" x14ac:dyDescent="0.15">
      <c r="A1424"/>
      <c r="B1424"/>
      <c r="C1424"/>
      <c r="D1424"/>
      <c r="E1424"/>
      <c r="F1424"/>
      <c r="G1424"/>
      <c r="H1424"/>
      <c r="I1424"/>
      <c r="J1424"/>
      <c r="FK1424"/>
      <c r="FL1424"/>
      <c r="FM1424"/>
      <c r="FN1424"/>
      <c r="FO1424"/>
      <c r="FP1424"/>
      <c r="FQ1424"/>
      <c r="FR1424"/>
      <c r="FS1424"/>
      <c r="FT1424"/>
      <c r="FU1424"/>
      <c r="FV1424"/>
      <c r="FW1424"/>
      <c r="FX1424"/>
      <c r="FY1424"/>
      <c r="FZ1424"/>
      <c r="GA1424"/>
      <c r="GB1424"/>
      <c r="GC1424"/>
    </row>
    <row r="1425" spans="1:185" x14ac:dyDescent="0.15">
      <c r="A1425"/>
      <c r="B1425"/>
      <c r="C1425"/>
      <c r="D1425"/>
      <c r="E1425"/>
      <c r="F1425"/>
      <c r="G1425"/>
      <c r="H1425"/>
      <c r="I1425"/>
      <c r="J1425"/>
      <c r="FK1425"/>
      <c r="FL1425"/>
      <c r="FM1425"/>
      <c r="FN1425"/>
      <c r="FO1425"/>
      <c r="FP1425"/>
      <c r="FQ1425"/>
      <c r="FR1425"/>
      <c r="FS1425"/>
      <c r="FT1425"/>
      <c r="FU1425"/>
      <c r="FV1425"/>
      <c r="FW1425"/>
      <c r="FX1425"/>
      <c r="FY1425"/>
      <c r="FZ1425"/>
      <c r="GA1425"/>
      <c r="GB1425"/>
      <c r="GC1425"/>
    </row>
    <row r="1426" spans="1:185" x14ac:dyDescent="0.15">
      <c r="A1426"/>
      <c r="B1426"/>
      <c r="C1426"/>
      <c r="D1426"/>
      <c r="E1426"/>
      <c r="F1426"/>
      <c r="G1426"/>
      <c r="H1426"/>
      <c r="I1426"/>
      <c r="J1426"/>
      <c r="FK1426"/>
      <c r="FL1426"/>
      <c r="FM1426"/>
      <c r="FN1426"/>
      <c r="FO1426"/>
      <c r="FP1426"/>
      <c r="FQ1426"/>
      <c r="FR1426"/>
      <c r="FS1426"/>
      <c r="FT1426"/>
      <c r="FU1426"/>
      <c r="FV1426"/>
      <c r="FW1426"/>
      <c r="FX1426"/>
      <c r="FY1426"/>
      <c r="FZ1426"/>
      <c r="GA1426"/>
      <c r="GB1426"/>
      <c r="GC1426"/>
    </row>
    <row r="1427" spans="1:185" x14ac:dyDescent="0.15">
      <c r="A1427"/>
      <c r="B1427"/>
      <c r="C1427"/>
      <c r="D1427"/>
      <c r="E1427"/>
      <c r="F1427"/>
      <c r="G1427"/>
      <c r="H1427"/>
      <c r="I1427"/>
      <c r="J1427"/>
      <c r="FK1427"/>
      <c r="FL1427"/>
      <c r="FM1427"/>
      <c r="FN1427"/>
      <c r="FO1427"/>
      <c r="FP1427"/>
      <c r="FQ1427"/>
      <c r="FR1427"/>
      <c r="FS1427"/>
      <c r="FT1427"/>
      <c r="FU1427"/>
      <c r="FV1427"/>
      <c r="FW1427"/>
      <c r="FX1427"/>
      <c r="FY1427"/>
      <c r="FZ1427"/>
      <c r="GA1427"/>
      <c r="GB1427"/>
      <c r="GC1427"/>
    </row>
    <row r="1428" spans="1:185" x14ac:dyDescent="0.15">
      <c r="A1428"/>
      <c r="B1428"/>
      <c r="C1428"/>
      <c r="D1428"/>
      <c r="E1428"/>
      <c r="F1428"/>
      <c r="G1428"/>
      <c r="H1428"/>
      <c r="I1428"/>
      <c r="J1428"/>
      <c r="FK1428"/>
      <c r="FL1428"/>
      <c r="FM1428"/>
      <c r="FN1428"/>
      <c r="FO1428"/>
      <c r="FP1428"/>
      <c r="FQ1428"/>
      <c r="FR1428"/>
      <c r="FS1428"/>
      <c r="FT1428"/>
      <c r="FU1428"/>
      <c r="FV1428"/>
      <c r="FW1428"/>
      <c r="FX1428"/>
      <c r="FY1428"/>
      <c r="FZ1428"/>
      <c r="GA1428"/>
      <c r="GB1428"/>
      <c r="GC1428"/>
    </row>
    <row r="1429" spans="1:185" x14ac:dyDescent="0.15">
      <c r="A1429"/>
      <c r="B1429"/>
      <c r="C1429"/>
      <c r="D1429"/>
      <c r="E1429"/>
      <c r="F1429"/>
      <c r="G1429"/>
      <c r="H1429"/>
      <c r="I1429"/>
      <c r="J1429"/>
      <c r="FK1429"/>
      <c r="FL1429"/>
      <c r="FM1429"/>
      <c r="FN1429"/>
      <c r="FO1429"/>
      <c r="FP1429"/>
      <c r="FQ1429"/>
      <c r="FR1429"/>
      <c r="FS1429"/>
      <c r="FT1429"/>
      <c r="FU1429"/>
      <c r="FV1429"/>
      <c r="FW1429"/>
      <c r="FX1429"/>
      <c r="FY1429"/>
      <c r="FZ1429"/>
      <c r="GA1429"/>
      <c r="GB1429"/>
      <c r="GC1429"/>
    </row>
    <row r="1430" spans="1:185" x14ac:dyDescent="0.15">
      <c r="A1430"/>
      <c r="B1430"/>
      <c r="C1430"/>
      <c r="D1430"/>
      <c r="E1430"/>
      <c r="F1430"/>
      <c r="G1430"/>
      <c r="H1430"/>
      <c r="I1430"/>
      <c r="J1430"/>
      <c r="FK1430"/>
      <c r="FL1430"/>
      <c r="FM1430"/>
      <c r="FN1430"/>
      <c r="FO1430"/>
      <c r="FP1430"/>
      <c r="FQ1430"/>
      <c r="FR1430"/>
      <c r="FS1430"/>
      <c r="FT1430"/>
      <c r="FU1430"/>
      <c r="FV1430"/>
      <c r="FW1430"/>
      <c r="FX1430"/>
      <c r="FY1430"/>
      <c r="FZ1430"/>
      <c r="GA1430"/>
      <c r="GB1430"/>
      <c r="GC1430"/>
    </row>
    <row r="1431" spans="1:185" x14ac:dyDescent="0.15">
      <c r="A1431"/>
      <c r="B1431"/>
      <c r="C1431"/>
      <c r="D1431"/>
      <c r="E1431"/>
      <c r="F1431"/>
      <c r="G1431"/>
      <c r="H1431"/>
      <c r="I1431"/>
      <c r="J1431"/>
      <c r="FK1431"/>
      <c r="FL1431"/>
      <c r="FM1431"/>
      <c r="FN1431"/>
      <c r="FO1431"/>
      <c r="FP1431"/>
      <c r="FQ1431"/>
      <c r="FR1431"/>
      <c r="FS1431"/>
      <c r="FT1431"/>
      <c r="FU1431"/>
      <c r="FV1431"/>
      <c r="FW1431"/>
      <c r="FX1431"/>
      <c r="FY1431"/>
      <c r="FZ1431"/>
      <c r="GA1431"/>
      <c r="GB1431"/>
      <c r="GC1431"/>
    </row>
    <row r="1432" spans="1:185" x14ac:dyDescent="0.15">
      <c r="A1432"/>
      <c r="B1432"/>
      <c r="C1432"/>
      <c r="D1432"/>
      <c r="E1432"/>
      <c r="F1432"/>
      <c r="G1432"/>
      <c r="H1432"/>
      <c r="I1432"/>
      <c r="J1432"/>
      <c r="FK1432"/>
      <c r="FL1432"/>
      <c r="FM1432"/>
      <c r="FN1432"/>
      <c r="FO1432"/>
      <c r="FP1432"/>
      <c r="FQ1432"/>
      <c r="FR1432"/>
      <c r="FS1432"/>
      <c r="FT1432"/>
      <c r="FU1432"/>
      <c r="FV1432"/>
      <c r="FW1432"/>
      <c r="FX1432"/>
      <c r="FY1432"/>
      <c r="FZ1432"/>
      <c r="GA1432"/>
      <c r="GB1432"/>
      <c r="GC1432"/>
    </row>
    <row r="1433" spans="1:185" x14ac:dyDescent="0.15">
      <c r="A1433"/>
      <c r="B1433"/>
      <c r="C1433"/>
      <c r="D1433"/>
      <c r="E1433"/>
      <c r="F1433"/>
      <c r="G1433"/>
      <c r="H1433"/>
      <c r="I1433"/>
      <c r="J1433"/>
      <c r="FK1433"/>
      <c r="FL1433"/>
      <c r="FM1433"/>
      <c r="FN1433"/>
      <c r="FO1433"/>
      <c r="FP1433"/>
      <c r="FQ1433"/>
      <c r="FR1433"/>
      <c r="FS1433"/>
      <c r="FT1433"/>
      <c r="FU1433"/>
      <c r="FV1433"/>
      <c r="FW1433"/>
      <c r="FX1433"/>
      <c r="FY1433"/>
      <c r="FZ1433"/>
      <c r="GA1433"/>
      <c r="GB1433"/>
      <c r="GC1433"/>
    </row>
    <row r="1434" spans="1:185" x14ac:dyDescent="0.15">
      <c r="A1434"/>
      <c r="B1434"/>
      <c r="C1434"/>
      <c r="D1434"/>
      <c r="E1434"/>
      <c r="F1434"/>
      <c r="G1434"/>
      <c r="H1434"/>
      <c r="I1434"/>
      <c r="J1434"/>
      <c r="FK1434"/>
      <c r="FL1434"/>
      <c r="FM1434"/>
      <c r="FN1434"/>
      <c r="FO1434"/>
      <c r="FP1434"/>
      <c r="FQ1434"/>
      <c r="FR1434"/>
      <c r="FS1434"/>
      <c r="FT1434"/>
      <c r="FU1434"/>
      <c r="FV1434"/>
      <c r="FW1434"/>
      <c r="FX1434"/>
      <c r="FY1434"/>
      <c r="FZ1434"/>
      <c r="GA1434"/>
      <c r="GB1434"/>
      <c r="GC1434"/>
    </row>
    <row r="1435" spans="1:185" x14ac:dyDescent="0.15">
      <c r="A1435"/>
      <c r="B1435"/>
      <c r="C1435"/>
      <c r="D1435"/>
      <c r="E1435"/>
      <c r="F1435"/>
      <c r="G1435"/>
      <c r="H1435"/>
      <c r="I1435"/>
      <c r="J1435"/>
      <c r="FK1435"/>
      <c r="FL1435"/>
      <c r="FM1435"/>
      <c r="FN1435"/>
      <c r="FO1435"/>
      <c r="FP1435"/>
      <c r="FQ1435"/>
      <c r="FR1435"/>
      <c r="FS1435"/>
      <c r="FT1435"/>
      <c r="FU1435"/>
      <c r="FV1435"/>
      <c r="FW1435"/>
      <c r="FX1435"/>
      <c r="FY1435"/>
      <c r="FZ1435"/>
      <c r="GA1435"/>
      <c r="GB1435"/>
      <c r="GC1435"/>
    </row>
    <row r="1436" spans="1:185" x14ac:dyDescent="0.15">
      <c r="A1436"/>
      <c r="B1436"/>
      <c r="C1436"/>
      <c r="D1436"/>
      <c r="E1436"/>
      <c r="F1436"/>
      <c r="G1436"/>
      <c r="H1436"/>
      <c r="I1436"/>
      <c r="J1436"/>
      <c r="FK1436"/>
      <c r="FL1436"/>
      <c r="FM1436"/>
      <c r="FN1436"/>
      <c r="FO1436"/>
      <c r="FP1436"/>
      <c r="FQ1436"/>
      <c r="FR1436"/>
      <c r="FS1436"/>
      <c r="FT1436"/>
      <c r="FU1436"/>
      <c r="FV1436"/>
      <c r="FW1436"/>
      <c r="FX1436"/>
      <c r="FY1436"/>
      <c r="FZ1436"/>
      <c r="GA1436"/>
      <c r="GB1436"/>
      <c r="GC1436"/>
    </row>
    <row r="1437" spans="1:185" x14ac:dyDescent="0.15">
      <c r="A1437"/>
      <c r="B1437"/>
      <c r="C1437"/>
      <c r="D1437"/>
      <c r="E1437"/>
      <c r="F1437"/>
      <c r="G1437"/>
      <c r="H1437"/>
      <c r="I1437"/>
      <c r="J1437"/>
      <c r="FK1437"/>
      <c r="FL1437"/>
      <c r="FM1437"/>
      <c r="FN1437"/>
      <c r="FO1437"/>
      <c r="FP1437"/>
      <c r="FQ1437"/>
      <c r="FR1437"/>
      <c r="FS1437"/>
      <c r="FT1437"/>
      <c r="FU1437"/>
      <c r="FV1437"/>
      <c r="FW1437"/>
      <c r="FX1437"/>
      <c r="FY1437"/>
      <c r="FZ1437"/>
      <c r="GA1437"/>
      <c r="GB1437"/>
      <c r="GC1437"/>
    </row>
    <row r="1438" spans="1:185" x14ac:dyDescent="0.15">
      <c r="A1438"/>
      <c r="B1438"/>
      <c r="C1438"/>
      <c r="D1438"/>
      <c r="E1438"/>
      <c r="F1438"/>
      <c r="G1438"/>
      <c r="H1438"/>
      <c r="I1438"/>
      <c r="J1438"/>
      <c r="FK1438"/>
      <c r="FL1438"/>
      <c r="FM1438"/>
      <c r="FN1438"/>
      <c r="FO1438"/>
      <c r="FP1438"/>
      <c r="FQ1438"/>
      <c r="FR1438"/>
      <c r="FS1438"/>
      <c r="FT1438"/>
      <c r="FU1438"/>
      <c r="FV1438"/>
      <c r="FW1438"/>
      <c r="FX1438"/>
      <c r="FY1438"/>
      <c r="FZ1438"/>
      <c r="GA1438"/>
      <c r="GB1438"/>
      <c r="GC1438"/>
    </row>
    <row r="1439" spans="1:185" x14ac:dyDescent="0.15">
      <c r="A1439"/>
      <c r="B1439"/>
      <c r="C1439"/>
      <c r="D1439"/>
      <c r="E1439"/>
      <c r="F1439"/>
      <c r="G1439"/>
      <c r="H1439"/>
      <c r="I1439"/>
      <c r="J1439"/>
      <c r="FK1439"/>
      <c r="FL1439"/>
      <c r="FM1439"/>
      <c r="FN1439"/>
      <c r="FO1439"/>
      <c r="FP1439"/>
      <c r="FQ1439"/>
      <c r="FR1439"/>
      <c r="FS1439"/>
      <c r="FT1439"/>
      <c r="FU1439"/>
      <c r="FV1439"/>
      <c r="FW1439"/>
      <c r="FX1439"/>
      <c r="FY1439"/>
      <c r="FZ1439"/>
      <c r="GA1439"/>
      <c r="GB1439"/>
      <c r="GC1439"/>
    </row>
    <row r="1440" spans="1:185" x14ac:dyDescent="0.15">
      <c r="A1440"/>
      <c r="B1440"/>
      <c r="C1440"/>
      <c r="D1440"/>
      <c r="E1440"/>
      <c r="F1440"/>
      <c r="G1440"/>
      <c r="H1440"/>
      <c r="I1440"/>
      <c r="J1440"/>
      <c r="FK1440"/>
      <c r="FL1440"/>
      <c r="FM1440"/>
      <c r="FN1440"/>
      <c r="FO1440"/>
      <c r="FP1440"/>
      <c r="FQ1440"/>
      <c r="FR1440"/>
      <c r="FS1440"/>
      <c r="FT1440"/>
      <c r="FU1440"/>
      <c r="FV1440"/>
      <c r="FW1440"/>
      <c r="FX1440"/>
      <c r="FY1440"/>
      <c r="FZ1440"/>
      <c r="GA1440"/>
      <c r="GB1440"/>
      <c r="GC1440"/>
    </row>
    <row r="1441" spans="1:185" x14ac:dyDescent="0.15">
      <c r="A1441"/>
      <c r="B1441"/>
      <c r="C1441"/>
      <c r="D1441"/>
      <c r="E1441"/>
      <c r="F1441"/>
      <c r="G1441"/>
      <c r="H1441"/>
      <c r="I1441"/>
      <c r="J1441"/>
      <c r="FK1441"/>
      <c r="FL1441"/>
      <c r="FM1441"/>
      <c r="FN1441"/>
      <c r="FO1441"/>
      <c r="FP1441"/>
      <c r="FQ1441"/>
      <c r="FR1441"/>
      <c r="FS1441"/>
      <c r="FT1441"/>
      <c r="FU1441"/>
      <c r="FV1441"/>
      <c r="FW1441"/>
      <c r="FX1441"/>
      <c r="FY1441"/>
      <c r="FZ1441"/>
      <c r="GA1441"/>
      <c r="GB1441"/>
      <c r="GC1441"/>
    </row>
    <row r="1442" spans="1:185" x14ac:dyDescent="0.15">
      <c r="A1442"/>
      <c r="B1442"/>
      <c r="C1442"/>
      <c r="D1442"/>
      <c r="E1442"/>
      <c r="F1442"/>
      <c r="G1442"/>
      <c r="H1442"/>
      <c r="I1442"/>
      <c r="J1442"/>
      <c r="FK1442"/>
      <c r="FL1442"/>
      <c r="FM1442"/>
      <c r="FN1442"/>
      <c r="FO1442"/>
      <c r="FP1442"/>
      <c r="FQ1442"/>
      <c r="FR1442"/>
      <c r="FS1442"/>
      <c r="FT1442"/>
      <c r="FU1442"/>
      <c r="FV1442"/>
      <c r="FW1442"/>
      <c r="FX1442"/>
      <c r="FY1442"/>
      <c r="FZ1442"/>
      <c r="GA1442"/>
      <c r="GB1442"/>
      <c r="GC1442"/>
    </row>
    <row r="1443" spans="1:185" x14ac:dyDescent="0.15">
      <c r="A1443"/>
      <c r="B1443"/>
      <c r="C1443"/>
      <c r="D1443"/>
      <c r="E1443"/>
      <c r="F1443"/>
      <c r="G1443"/>
      <c r="H1443"/>
      <c r="I1443"/>
      <c r="J1443"/>
      <c r="FK1443"/>
      <c r="FL1443"/>
      <c r="FM1443"/>
      <c r="FN1443"/>
      <c r="FO1443"/>
      <c r="FP1443"/>
      <c r="FQ1443"/>
      <c r="FR1443"/>
      <c r="FS1443"/>
      <c r="FT1443"/>
      <c r="FU1443"/>
      <c r="FV1443"/>
      <c r="FW1443"/>
      <c r="FX1443"/>
      <c r="FY1443"/>
      <c r="FZ1443"/>
      <c r="GA1443"/>
      <c r="GB1443"/>
      <c r="GC1443"/>
    </row>
    <row r="1444" spans="1:185" x14ac:dyDescent="0.15">
      <c r="A1444"/>
      <c r="B1444"/>
      <c r="C1444"/>
      <c r="D1444"/>
      <c r="E1444"/>
      <c r="F1444"/>
      <c r="G1444"/>
      <c r="H1444"/>
      <c r="I1444"/>
      <c r="J1444"/>
      <c r="FK1444"/>
      <c r="FL1444"/>
      <c r="FM1444"/>
      <c r="FN1444"/>
      <c r="FO1444"/>
      <c r="FP1444"/>
      <c r="FQ1444"/>
      <c r="FR1444"/>
      <c r="FS1444"/>
      <c r="FT1444"/>
      <c r="FU1444"/>
      <c r="FV1444"/>
      <c r="FW1444"/>
      <c r="FX1444"/>
      <c r="FY1444"/>
      <c r="FZ1444"/>
      <c r="GA1444"/>
      <c r="GB1444"/>
      <c r="GC1444"/>
    </row>
    <row r="1445" spans="1:185" x14ac:dyDescent="0.15">
      <c r="A1445"/>
      <c r="B1445"/>
      <c r="C1445"/>
      <c r="D1445"/>
      <c r="E1445"/>
      <c r="F1445"/>
      <c r="G1445"/>
      <c r="H1445"/>
      <c r="I1445"/>
      <c r="J1445"/>
      <c r="FK1445"/>
      <c r="FL1445"/>
      <c r="FM1445"/>
      <c r="FN1445"/>
      <c r="FO1445"/>
      <c r="FP1445"/>
      <c r="FQ1445"/>
      <c r="FR1445"/>
      <c r="FS1445"/>
      <c r="FT1445"/>
      <c r="FU1445"/>
      <c r="FV1445"/>
      <c r="FW1445"/>
      <c r="FX1445"/>
      <c r="FY1445"/>
      <c r="FZ1445"/>
      <c r="GA1445"/>
      <c r="GB1445"/>
      <c r="GC1445"/>
    </row>
    <row r="1446" spans="1:185" x14ac:dyDescent="0.15">
      <c r="A1446"/>
      <c r="B1446"/>
      <c r="C1446"/>
      <c r="D1446"/>
      <c r="E1446"/>
      <c r="F1446"/>
      <c r="G1446"/>
      <c r="H1446"/>
      <c r="I1446"/>
      <c r="J1446"/>
      <c r="FK1446"/>
      <c r="FL1446"/>
      <c r="FM1446"/>
      <c r="FN1446"/>
      <c r="FO1446"/>
      <c r="FP1446"/>
      <c r="FQ1446"/>
      <c r="FR1446"/>
      <c r="FS1446"/>
      <c r="FT1446"/>
      <c r="FU1446"/>
      <c r="FV1446"/>
      <c r="FW1446"/>
      <c r="FX1446"/>
      <c r="FY1446"/>
      <c r="FZ1446"/>
      <c r="GA1446"/>
      <c r="GB1446"/>
      <c r="GC1446"/>
    </row>
    <row r="1447" spans="1:185" x14ac:dyDescent="0.15">
      <c r="A1447"/>
      <c r="B1447"/>
      <c r="C1447"/>
      <c r="D1447"/>
      <c r="E1447"/>
      <c r="F1447"/>
      <c r="G1447"/>
      <c r="H1447"/>
      <c r="I1447"/>
      <c r="J1447"/>
      <c r="FK1447"/>
      <c r="FL1447"/>
      <c r="FM1447"/>
      <c r="FN1447"/>
      <c r="FO1447"/>
      <c r="FP1447"/>
      <c r="FQ1447"/>
      <c r="FR1447"/>
      <c r="FS1447"/>
      <c r="FT1447"/>
      <c r="FU1447"/>
      <c r="FV1447"/>
      <c r="FW1447"/>
      <c r="FX1447"/>
      <c r="FY1447"/>
      <c r="FZ1447"/>
      <c r="GA1447"/>
      <c r="GB1447"/>
      <c r="GC1447"/>
    </row>
    <row r="1448" spans="1:185" x14ac:dyDescent="0.15">
      <c r="A1448"/>
      <c r="B1448"/>
      <c r="C1448"/>
      <c r="D1448"/>
      <c r="E1448"/>
      <c r="F1448"/>
      <c r="G1448"/>
      <c r="H1448"/>
      <c r="I1448"/>
      <c r="J1448"/>
      <c r="FK1448"/>
      <c r="FL1448"/>
      <c r="FM1448"/>
      <c r="FN1448"/>
      <c r="FO1448"/>
      <c r="FP1448"/>
      <c r="FQ1448"/>
      <c r="FR1448"/>
      <c r="FS1448"/>
      <c r="FT1448"/>
      <c r="FU1448"/>
      <c r="FV1448"/>
      <c r="FW1448"/>
      <c r="FX1448"/>
      <c r="FY1448"/>
      <c r="FZ1448"/>
      <c r="GA1448"/>
      <c r="GB1448"/>
      <c r="GC1448"/>
    </row>
    <row r="1449" spans="1:185" x14ac:dyDescent="0.15">
      <c r="A1449"/>
      <c r="B1449"/>
      <c r="C1449"/>
      <c r="D1449"/>
      <c r="E1449"/>
      <c r="F1449"/>
      <c r="G1449"/>
      <c r="H1449"/>
      <c r="I1449"/>
      <c r="J1449"/>
      <c r="FK1449"/>
      <c r="FL1449"/>
      <c r="FM1449"/>
      <c r="FN1449"/>
      <c r="FO1449"/>
      <c r="FP1449"/>
      <c r="FQ1449"/>
      <c r="FR1449"/>
      <c r="FS1449"/>
      <c r="FT1449"/>
      <c r="FU1449"/>
      <c r="FV1449"/>
      <c r="FW1449"/>
      <c r="FX1449"/>
      <c r="FY1449"/>
      <c r="FZ1449"/>
      <c r="GA1449"/>
      <c r="GB1449"/>
      <c r="GC1449"/>
    </row>
    <row r="1450" spans="1:185" x14ac:dyDescent="0.15">
      <c r="A1450"/>
      <c r="B1450"/>
      <c r="C1450"/>
      <c r="D1450"/>
      <c r="E1450"/>
      <c r="F1450"/>
      <c r="G1450"/>
      <c r="H1450"/>
      <c r="I1450"/>
      <c r="J1450"/>
      <c r="FK1450"/>
      <c r="FL1450"/>
      <c r="FM1450"/>
      <c r="FN1450"/>
      <c r="FO1450"/>
      <c r="FP1450"/>
      <c r="FQ1450"/>
      <c r="FR1450"/>
      <c r="FS1450"/>
      <c r="FT1450"/>
      <c r="FU1450"/>
      <c r="FV1450"/>
      <c r="FW1450"/>
      <c r="FX1450"/>
      <c r="FY1450"/>
      <c r="FZ1450"/>
      <c r="GA1450"/>
      <c r="GB1450"/>
      <c r="GC1450"/>
    </row>
    <row r="1451" spans="1:185" x14ac:dyDescent="0.15">
      <c r="A1451"/>
      <c r="B1451"/>
      <c r="C1451"/>
      <c r="D1451"/>
      <c r="E1451"/>
      <c r="F1451"/>
      <c r="G1451"/>
      <c r="H1451"/>
      <c r="I1451"/>
      <c r="J1451"/>
      <c r="FK1451"/>
      <c r="FL1451"/>
      <c r="FM1451"/>
      <c r="FN1451"/>
      <c r="FO1451"/>
      <c r="FP1451"/>
      <c r="FQ1451"/>
      <c r="FR1451"/>
      <c r="FS1451"/>
      <c r="FT1451"/>
      <c r="FU1451"/>
      <c r="FV1451"/>
      <c r="FW1451"/>
      <c r="FX1451"/>
      <c r="FY1451"/>
      <c r="FZ1451"/>
      <c r="GA1451"/>
      <c r="GB1451"/>
      <c r="GC1451"/>
    </row>
    <row r="1452" spans="1:185" x14ac:dyDescent="0.15">
      <c r="A1452"/>
      <c r="B1452"/>
      <c r="C1452"/>
      <c r="D1452"/>
      <c r="E1452"/>
      <c r="F1452"/>
      <c r="G1452"/>
      <c r="H1452"/>
      <c r="I1452"/>
      <c r="J1452"/>
      <c r="FK1452"/>
      <c r="FL1452"/>
      <c r="FM1452"/>
      <c r="FN1452"/>
      <c r="FO1452"/>
      <c r="FP1452"/>
      <c r="FQ1452"/>
      <c r="FR1452"/>
      <c r="FS1452"/>
      <c r="FT1452"/>
      <c r="FU1452"/>
      <c r="FV1452"/>
      <c r="FW1452"/>
      <c r="FX1452"/>
      <c r="FY1452"/>
      <c r="FZ1452"/>
      <c r="GA1452"/>
      <c r="GB1452"/>
      <c r="GC1452"/>
    </row>
    <row r="1453" spans="1:185" x14ac:dyDescent="0.15">
      <c r="A1453"/>
      <c r="B1453"/>
      <c r="C1453"/>
      <c r="D1453"/>
      <c r="E1453"/>
      <c r="F1453"/>
      <c r="G1453"/>
      <c r="H1453"/>
      <c r="I1453"/>
      <c r="J1453"/>
      <c r="FK1453"/>
      <c r="FL1453"/>
      <c r="FM1453"/>
      <c r="FN1453"/>
      <c r="FO1453"/>
      <c r="FP1453"/>
      <c r="FQ1453"/>
      <c r="FR1453"/>
      <c r="FS1453"/>
      <c r="FT1453"/>
      <c r="FU1453"/>
      <c r="FV1453"/>
      <c r="FW1453"/>
      <c r="FX1453"/>
      <c r="FY1453"/>
      <c r="FZ1453"/>
      <c r="GA1453"/>
      <c r="GB1453"/>
      <c r="GC1453"/>
    </row>
    <row r="1454" spans="1:185" x14ac:dyDescent="0.15">
      <c r="A1454"/>
      <c r="B1454"/>
      <c r="C1454"/>
      <c r="D1454"/>
      <c r="E1454"/>
      <c r="F1454"/>
      <c r="G1454"/>
      <c r="H1454"/>
      <c r="I1454"/>
      <c r="J1454"/>
      <c r="FK1454"/>
      <c r="FL1454"/>
      <c r="FM1454"/>
      <c r="FN1454"/>
      <c r="FO1454"/>
      <c r="FP1454"/>
      <c r="FQ1454"/>
      <c r="FR1454"/>
      <c r="FS1454"/>
      <c r="FT1454"/>
      <c r="FU1454"/>
      <c r="FV1454"/>
      <c r="FW1454"/>
      <c r="FX1454"/>
      <c r="FY1454"/>
      <c r="FZ1454"/>
      <c r="GA1454"/>
      <c r="GB1454"/>
      <c r="GC1454"/>
    </row>
    <row r="1455" spans="1:185" x14ac:dyDescent="0.15">
      <c r="A1455"/>
      <c r="B1455"/>
      <c r="C1455"/>
      <c r="D1455"/>
      <c r="E1455"/>
      <c r="F1455"/>
      <c r="G1455"/>
      <c r="H1455"/>
      <c r="I1455"/>
      <c r="J1455"/>
      <c r="FK1455"/>
      <c r="FL1455"/>
      <c r="FM1455"/>
      <c r="FN1455"/>
      <c r="FO1455"/>
      <c r="FP1455"/>
      <c r="FQ1455"/>
      <c r="FR1455"/>
      <c r="FS1455"/>
      <c r="FT1455"/>
      <c r="FU1455"/>
      <c r="FV1455"/>
      <c r="FW1455"/>
      <c r="FX1455"/>
      <c r="FY1455"/>
      <c r="FZ1455"/>
      <c r="GA1455"/>
      <c r="GB1455"/>
      <c r="GC1455"/>
    </row>
    <row r="1456" spans="1:185" x14ac:dyDescent="0.15">
      <c r="A1456"/>
      <c r="B1456"/>
      <c r="C1456"/>
      <c r="D1456"/>
      <c r="E1456"/>
      <c r="F1456"/>
      <c r="G1456"/>
      <c r="H1456"/>
      <c r="I1456"/>
      <c r="J1456"/>
      <c r="FK1456"/>
      <c r="FL1456"/>
      <c r="FM1456"/>
      <c r="FN1456"/>
      <c r="FO1456"/>
      <c r="FP1456"/>
      <c r="FQ1456"/>
      <c r="FR1456"/>
      <c r="FS1456"/>
      <c r="FT1456"/>
      <c r="FU1456"/>
      <c r="FV1456"/>
      <c r="FW1456"/>
      <c r="FX1456"/>
      <c r="FY1456"/>
      <c r="FZ1456"/>
      <c r="GA1456"/>
      <c r="GB1456"/>
      <c r="GC1456"/>
    </row>
    <row r="1457" spans="1:185" x14ac:dyDescent="0.15">
      <c r="A1457"/>
      <c r="B1457"/>
      <c r="C1457"/>
      <c r="D1457"/>
      <c r="E1457"/>
      <c r="F1457"/>
      <c r="G1457"/>
      <c r="H1457"/>
      <c r="I1457"/>
      <c r="J1457"/>
      <c r="FK1457"/>
      <c r="FL1457"/>
      <c r="FM1457"/>
      <c r="FN1457"/>
      <c r="FO1457"/>
      <c r="FP1457"/>
      <c r="FQ1457"/>
      <c r="FR1457"/>
      <c r="FS1457"/>
      <c r="FT1457"/>
      <c r="FU1457"/>
      <c r="FV1457"/>
      <c r="FW1457"/>
      <c r="FX1457"/>
      <c r="FY1457"/>
      <c r="FZ1457"/>
      <c r="GA1457"/>
      <c r="GB1457"/>
      <c r="GC1457"/>
    </row>
    <row r="1458" spans="1:185" x14ac:dyDescent="0.15">
      <c r="A1458"/>
      <c r="B1458"/>
      <c r="C1458"/>
      <c r="D1458"/>
      <c r="E1458"/>
      <c r="F1458"/>
      <c r="G1458"/>
      <c r="H1458"/>
      <c r="I1458"/>
      <c r="J1458"/>
      <c r="FK1458"/>
      <c r="FL1458"/>
      <c r="FM1458"/>
      <c r="FN1458"/>
      <c r="FO1458"/>
      <c r="FP1458"/>
      <c r="FQ1458"/>
      <c r="FR1458"/>
      <c r="FS1458"/>
      <c r="FT1458"/>
      <c r="FU1458"/>
      <c r="FV1458"/>
      <c r="FW1458"/>
      <c r="FX1458"/>
      <c r="FY1458"/>
      <c r="FZ1458"/>
      <c r="GA1458"/>
      <c r="GB1458"/>
      <c r="GC1458"/>
    </row>
    <row r="1459" spans="1:185" x14ac:dyDescent="0.15">
      <c r="A1459"/>
      <c r="B1459"/>
      <c r="C1459"/>
      <c r="D1459"/>
      <c r="E1459"/>
      <c r="F1459"/>
      <c r="G1459"/>
      <c r="H1459"/>
      <c r="I1459"/>
      <c r="J1459"/>
      <c r="FK1459"/>
      <c r="FL1459"/>
      <c r="FM1459"/>
      <c r="FN1459"/>
      <c r="FO1459"/>
      <c r="FP1459"/>
      <c r="FQ1459"/>
      <c r="FR1459"/>
      <c r="FS1459"/>
      <c r="FT1459"/>
      <c r="FU1459"/>
      <c r="FV1459"/>
      <c r="FW1459"/>
      <c r="FX1459"/>
      <c r="FY1459"/>
      <c r="FZ1459"/>
      <c r="GA1459"/>
      <c r="GB1459"/>
      <c r="GC1459"/>
    </row>
    <row r="1460" spans="1:185" x14ac:dyDescent="0.15">
      <c r="A1460"/>
      <c r="B1460"/>
      <c r="C1460"/>
      <c r="D1460"/>
      <c r="E1460"/>
      <c r="F1460"/>
      <c r="G1460"/>
      <c r="H1460"/>
      <c r="I1460"/>
      <c r="J1460"/>
      <c r="FK1460"/>
      <c r="FL1460"/>
      <c r="FM1460"/>
      <c r="FN1460"/>
      <c r="FO1460"/>
      <c r="FP1460"/>
      <c r="FQ1460"/>
      <c r="FR1460"/>
      <c r="FS1460"/>
      <c r="FT1460"/>
      <c r="FU1460"/>
      <c r="FV1460"/>
      <c r="FW1460"/>
      <c r="FX1460"/>
      <c r="FY1460"/>
      <c r="FZ1460"/>
      <c r="GA1460"/>
      <c r="GB1460"/>
      <c r="GC1460"/>
    </row>
    <row r="1461" spans="1:185" x14ac:dyDescent="0.15">
      <c r="A1461"/>
      <c r="B1461"/>
      <c r="C1461"/>
      <c r="D1461"/>
      <c r="E1461"/>
      <c r="F1461"/>
      <c r="G1461"/>
      <c r="H1461"/>
      <c r="I1461"/>
      <c r="J1461"/>
      <c r="FK1461"/>
      <c r="FL1461"/>
      <c r="FM1461"/>
      <c r="FN1461"/>
      <c r="FO1461"/>
      <c r="FP1461"/>
      <c r="FQ1461"/>
      <c r="FR1461"/>
      <c r="FS1461"/>
      <c r="FT1461"/>
      <c r="FU1461"/>
      <c r="FV1461"/>
      <c r="FW1461"/>
      <c r="FX1461"/>
      <c r="FY1461"/>
      <c r="FZ1461"/>
      <c r="GA1461"/>
      <c r="GB1461"/>
      <c r="GC1461"/>
    </row>
    <row r="1462" spans="1:185" x14ac:dyDescent="0.15">
      <c r="A1462"/>
      <c r="B1462"/>
      <c r="C1462"/>
      <c r="D1462"/>
      <c r="E1462"/>
      <c r="F1462"/>
      <c r="G1462"/>
      <c r="H1462"/>
      <c r="I1462"/>
      <c r="J1462"/>
      <c r="FK1462"/>
      <c r="FL1462"/>
      <c r="FM1462"/>
      <c r="FN1462"/>
      <c r="FO1462"/>
      <c r="FP1462"/>
      <c r="FQ1462"/>
      <c r="FR1462"/>
      <c r="FS1462"/>
      <c r="FT1462"/>
      <c r="FU1462"/>
      <c r="FV1462"/>
      <c r="FW1462"/>
      <c r="FX1462"/>
      <c r="FY1462"/>
      <c r="FZ1462"/>
      <c r="GA1462"/>
      <c r="GB1462"/>
      <c r="GC1462"/>
    </row>
    <row r="1463" spans="1:185" x14ac:dyDescent="0.15">
      <c r="A1463"/>
      <c r="B1463"/>
      <c r="C1463"/>
      <c r="D1463"/>
      <c r="E1463"/>
      <c r="F1463"/>
      <c r="G1463"/>
      <c r="H1463"/>
      <c r="I1463"/>
      <c r="J1463"/>
      <c r="FK1463"/>
      <c r="FL1463"/>
      <c r="FM1463"/>
      <c r="FN1463"/>
      <c r="FO1463"/>
      <c r="FP1463"/>
      <c r="FQ1463"/>
      <c r="FR1463"/>
      <c r="FS1463"/>
      <c r="FT1463"/>
      <c r="FU1463"/>
      <c r="FV1463"/>
      <c r="FW1463"/>
      <c r="FX1463"/>
      <c r="FY1463"/>
      <c r="FZ1463"/>
      <c r="GA1463"/>
      <c r="GB1463"/>
      <c r="GC1463"/>
    </row>
    <row r="1464" spans="1:185" x14ac:dyDescent="0.15">
      <c r="A1464"/>
      <c r="B1464"/>
      <c r="C1464"/>
      <c r="D1464"/>
      <c r="E1464"/>
      <c r="F1464"/>
      <c r="G1464"/>
      <c r="H1464"/>
      <c r="I1464"/>
      <c r="J1464"/>
      <c r="FK1464"/>
      <c r="FL1464"/>
      <c r="FM1464"/>
      <c r="FN1464"/>
      <c r="FO1464"/>
      <c r="FP1464"/>
      <c r="FQ1464"/>
      <c r="FR1464"/>
      <c r="FS1464"/>
      <c r="FT1464"/>
      <c r="FU1464"/>
      <c r="FV1464"/>
      <c r="FW1464"/>
      <c r="FX1464"/>
      <c r="FY1464"/>
      <c r="FZ1464"/>
      <c r="GA1464"/>
      <c r="GB1464"/>
      <c r="GC1464"/>
    </row>
    <row r="1465" spans="1:185" x14ac:dyDescent="0.15">
      <c r="A1465"/>
      <c r="B1465"/>
      <c r="C1465"/>
      <c r="D1465"/>
      <c r="E1465"/>
      <c r="F1465"/>
      <c r="G1465"/>
      <c r="H1465"/>
      <c r="I1465"/>
      <c r="J1465"/>
      <c r="FK1465"/>
      <c r="FL1465"/>
      <c r="FM1465"/>
      <c r="FN1465"/>
      <c r="FO1465"/>
      <c r="FP1465"/>
      <c r="FQ1465"/>
      <c r="FR1465"/>
      <c r="FS1465"/>
      <c r="FT1465"/>
      <c r="FU1465"/>
      <c r="FV1465"/>
      <c r="FW1465"/>
      <c r="FX1465"/>
      <c r="FY1465"/>
      <c r="FZ1465"/>
      <c r="GA1465"/>
      <c r="GB1465"/>
      <c r="GC1465"/>
    </row>
    <row r="1466" spans="1:185" x14ac:dyDescent="0.15">
      <c r="A1466"/>
      <c r="B1466"/>
      <c r="C1466"/>
      <c r="D1466"/>
      <c r="E1466"/>
      <c r="F1466"/>
      <c r="G1466"/>
      <c r="H1466"/>
      <c r="I1466"/>
      <c r="J1466"/>
      <c r="FK1466"/>
      <c r="FL1466"/>
      <c r="FM1466"/>
      <c r="FN1466"/>
      <c r="FO1466"/>
      <c r="FP1466"/>
      <c r="FQ1466"/>
      <c r="FR1466"/>
      <c r="FS1466"/>
      <c r="FT1466"/>
      <c r="FU1466"/>
      <c r="FV1466"/>
      <c r="FW1466"/>
      <c r="FX1466"/>
      <c r="FY1466"/>
      <c r="FZ1466"/>
      <c r="GA1466"/>
      <c r="GB1466"/>
      <c r="GC1466"/>
    </row>
    <row r="1467" spans="1:185" x14ac:dyDescent="0.15">
      <c r="A1467"/>
      <c r="B1467"/>
      <c r="C1467"/>
      <c r="D1467"/>
      <c r="E1467"/>
      <c r="F1467"/>
      <c r="G1467"/>
      <c r="H1467"/>
      <c r="I1467"/>
      <c r="J1467"/>
      <c r="FK1467"/>
      <c r="FL1467"/>
      <c r="FM1467"/>
      <c r="FN1467"/>
      <c r="FO1467"/>
      <c r="FP1467"/>
      <c r="FQ1467"/>
      <c r="FR1467"/>
      <c r="FS1467"/>
      <c r="FT1467"/>
      <c r="FU1467"/>
      <c r="FV1467"/>
      <c r="FW1467"/>
      <c r="FX1467"/>
      <c r="FY1467"/>
      <c r="FZ1467"/>
      <c r="GA1467"/>
      <c r="GB1467"/>
      <c r="GC1467"/>
    </row>
    <row r="1468" spans="1:185" x14ac:dyDescent="0.15">
      <c r="A1468"/>
      <c r="B1468"/>
      <c r="C1468"/>
      <c r="D1468"/>
      <c r="E1468"/>
      <c r="F1468"/>
      <c r="G1468"/>
      <c r="H1468"/>
      <c r="I1468"/>
      <c r="J1468"/>
      <c r="FK1468"/>
      <c r="FL1468"/>
      <c r="FM1468"/>
      <c r="FN1468"/>
      <c r="FO1468"/>
      <c r="FP1468"/>
      <c r="FQ1468"/>
      <c r="FR1468"/>
      <c r="FS1468"/>
      <c r="FT1468"/>
      <c r="FU1468"/>
      <c r="FV1468"/>
      <c r="FW1468"/>
      <c r="FX1468"/>
      <c r="FY1468"/>
      <c r="FZ1468"/>
      <c r="GA1468"/>
      <c r="GB1468"/>
      <c r="GC1468"/>
    </row>
    <row r="1469" spans="1:185" x14ac:dyDescent="0.15">
      <c r="FK1469"/>
      <c r="FL1469"/>
      <c r="FM1469"/>
      <c r="FN1469"/>
      <c r="FO1469"/>
      <c r="FP1469"/>
      <c r="FQ1469"/>
      <c r="FR1469"/>
      <c r="FS1469"/>
      <c r="FT1469"/>
      <c r="FU1469"/>
      <c r="FV1469"/>
      <c r="FW1469"/>
      <c r="FX1469"/>
      <c r="FY1469"/>
      <c r="FZ1469"/>
      <c r="GA1469"/>
      <c r="GB1469"/>
      <c r="GC1469"/>
    </row>
    <row r="1470" spans="1:185" x14ac:dyDescent="0.15">
      <c r="FK1470"/>
      <c r="FL1470"/>
      <c r="FM1470"/>
      <c r="FN1470"/>
      <c r="FO1470"/>
      <c r="FP1470"/>
      <c r="FQ1470"/>
      <c r="FR1470"/>
      <c r="FS1470"/>
      <c r="FT1470"/>
      <c r="FU1470"/>
      <c r="FV1470"/>
      <c r="FW1470"/>
      <c r="FX1470"/>
      <c r="FY1470"/>
      <c r="FZ1470"/>
      <c r="GA1470"/>
      <c r="GB1470"/>
      <c r="GC1470"/>
    </row>
    <row r="1471" spans="1:185" x14ac:dyDescent="0.15">
      <c r="FK1471"/>
      <c r="FL1471"/>
      <c r="FM1471"/>
      <c r="FN1471"/>
      <c r="FO1471"/>
      <c r="FP1471"/>
      <c r="FQ1471"/>
      <c r="FR1471"/>
      <c r="FS1471"/>
      <c r="FT1471"/>
      <c r="FU1471"/>
      <c r="FV1471"/>
      <c r="FW1471"/>
      <c r="FX1471"/>
      <c r="FY1471"/>
      <c r="FZ1471"/>
      <c r="GA1471"/>
      <c r="GB1471"/>
      <c r="GC1471"/>
    </row>
    <row r="1472" spans="1:185" x14ac:dyDescent="0.15">
      <c r="FK1472"/>
      <c r="FL1472"/>
      <c r="FM1472"/>
      <c r="FN1472"/>
      <c r="FO1472"/>
      <c r="FP1472"/>
      <c r="FQ1472"/>
      <c r="FR1472"/>
      <c r="FS1472"/>
      <c r="FT1472"/>
      <c r="FU1472"/>
      <c r="FV1472"/>
      <c r="FW1472"/>
      <c r="FX1472"/>
      <c r="FY1472"/>
      <c r="FZ1472"/>
      <c r="GA1472"/>
      <c r="GB1472"/>
      <c r="GC1472"/>
    </row>
    <row r="1473" spans="167:185" x14ac:dyDescent="0.15">
      <c r="FK1473"/>
      <c r="FL1473"/>
      <c r="FM1473"/>
      <c r="FN1473"/>
      <c r="FO1473"/>
      <c r="FP1473"/>
      <c r="FQ1473"/>
      <c r="FR1473"/>
      <c r="FS1473"/>
      <c r="FT1473"/>
      <c r="FU1473"/>
      <c r="FV1473"/>
      <c r="FW1473"/>
      <c r="FX1473"/>
      <c r="FY1473"/>
      <c r="FZ1473"/>
      <c r="GA1473"/>
      <c r="GB1473"/>
      <c r="GC1473"/>
    </row>
    <row r="1474" spans="167:185" x14ac:dyDescent="0.15">
      <c r="FK1474"/>
      <c r="FL1474"/>
      <c r="FM1474"/>
      <c r="FN1474"/>
      <c r="FO1474"/>
      <c r="FP1474"/>
      <c r="FQ1474"/>
      <c r="FR1474"/>
      <c r="FS1474"/>
      <c r="FT1474"/>
      <c r="FU1474"/>
      <c r="FV1474"/>
      <c r="FW1474"/>
      <c r="FX1474"/>
      <c r="FY1474"/>
      <c r="FZ1474"/>
      <c r="GA1474"/>
      <c r="GB1474"/>
      <c r="GC1474"/>
    </row>
    <row r="1475" spans="167:185" x14ac:dyDescent="0.15">
      <c r="FK1475"/>
      <c r="FL1475"/>
      <c r="FM1475"/>
      <c r="FN1475"/>
      <c r="FO1475"/>
      <c r="FP1475"/>
      <c r="FQ1475"/>
      <c r="FR1475"/>
      <c r="FS1475"/>
      <c r="FT1475"/>
      <c r="FU1475"/>
      <c r="FV1475"/>
      <c r="FW1475"/>
      <c r="FX1475"/>
      <c r="FY1475"/>
      <c r="FZ1475"/>
      <c r="GA1475"/>
      <c r="GB1475"/>
      <c r="GC1475"/>
    </row>
    <row r="1476" spans="167:185" x14ac:dyDescent="0.15">
      <c r="FK1476"/>
      <c r="FL1476"/>
      <c r="FM1476"/>
      <c r="FN1476"/>
      <c r="FO1476"/>
      <c r="FP1476"/>
      <c r="FQ1476"/>
      <c r="FR1476"/>
      <c r="FS1476"/>
      <c r="FT1476"/>
      <c r="FU1476"/>
      <c r="FV1476"/>
      <c r="FW1476"/>
      <c r="FX1476"/>
      <c r="FY1476"/>
      <c r="FZ1476"/>
      <c r="GA1476"/>
      <c r="GB1476"/>
      <c r="GC1476"/>
    </row>
    <row r="1477" spans="167:185" x14ac:dyDescent="0.15">
      <c r="FK1477"/>
      <c r="FL1477"/>
      <c r="FM1477"/>
      <c r="FN1477"/>
      <c r="FO1477"/>
      <c r="FP1477"/>
      <c r="FQ1477"/>
      <c r="FR1477"/>
      <c r="FS1477"/>
      <c r="FT1477"/>
      <c r="FU1477"/>
      <c r="FV1477"/>
      <c r="FW1477"/>
      <c r="FX1477"/>
      <c r="FY1477"/>
      <c r="FZ1477"/>
      <c r="GA1477"/>
      <c r="GB1477"/>
      <c r="GC1477"/>
    </row>
    <row r="1478" spans="167:185" x14ac:dyDescent="0.15">
      <c r="FK1478"/>
      <c r="FL1478"/>
      <c r="FM1478"/>
      <c r="FN1478"/>
      <c r="FO1478"/>
      <c r="FP1478"/>
      <c r="FQ1478"/>
      <c r="FR1478"/>
      <c r="FS1478"/>
      <c r="FT1478"/>
      <c r="FU1478"/>
      <c r="FV1478"/>
      <c r="FW1478"/>
      <c r="FX1478"/>
      <c r="FY1478"/>
      <c r="FZ1478"/>
      <c r="GA1478"/>
      <c r="GB1478"/>
      <c r="GC1478"/>
    </row>
    <row r="1479" spans="167:185" x14ac:dyDescent="0.15">
      <c r="FK1479"/>
      <c r="FL1479"/>
      <c r="FM1479"/>
      <c r="FN1479"/>
      <c r="FO1479"/>
      <c r="FP1479"/>
      <c r="FQ1479"/>
      <c r="FR1479"/>
      <c r="FS1479"/>
      <c r="FT1479"/>
      <c r="FU1479"/>
      <c r="FV1479"/>
      <c r="FW1479"/>
      <c r="FX1479"/>
      <c r="FY1479"/>
      <c r="FZ1479"/>
      <c r="GA1479"/>
      <c r="GB1479"/>
      <c r="GC1479"/>
    </row>
    <row r="1480" spans="167:185" x14ac:dyDescent="0.15">
      <c r="FK1480"/>
      <c r="FL1480"/>
      <c r="FM1480"/>
      <c r="FN1480"/>
      <c r="FO1480"/>
      <c r="FP1480"/>
      <c r="FQ1480"/>
      <c r="FR1480"/>
      <c r="FS1480"/>
      <c r="FT1480"/>
      <c r="FU1480"/>
      <c r="FV1480"/>
      <c r="FW1480"/>
      <c r="FX1480"/>
      <c r="FY1480"/>
      <c r="FZ1480"/>
      <c r="GA1480"/>
      <c r="GB1480"/>
      <c r="GC1480"/>
    </row>
    <row r="1481" spans="167:185" x14ac:dyDescent="0.15">
      <c r="FK1481"/>
      <c r="FL1481"/>
      <c r="FM1481"/>
      <c r="FN1481"/>
      <c r="FO1481"/>
      <c r="FP1481"/>
      <c r="FQ1481"/>
      <c r="FR1481"/>
      <c r="FS1481"/>
      <c r="FT1481"/>
      <c r="FU1481"/>
      <c r="FV1481"/>
      <c r="FW1481"/>
      <c r="FX1481"/>
      <c r="FY1481"/>
      <c r="FZ1481"/>
      <c r="GA1481"/>
      <c r="GB1481"/>
      <c r="GC1481"/>
    </row>
    <row r="1482" spans="167:185" x14ac:dyDescent="0.15">
      <c r="FK1482"/>
      <c r="FL1482"/>
      <c r="FM1482"/>
      <c r="FN1482"/>
      <c r="FO1482"/>
      <c r="FP1482"/>
      <c r="FQ1482"/>
      <c r="FR1482"/>
      <c r="FS1482"/>
      <c r="FT1482"/>
      <c r="FU1482"/>
      <c r="FV1482"/>
      <c r="FW1482"/>
      <c r="FX1482"/>
      <c r="FY1482"/>
      <c r="FZ1482"/>
      <c r="GA1482"/>
      <c r="GB1482"/>
      <c r="GC1482"/>
    </row>
    <row r="1483" spans="167:185" x14ac:dyDescent="0.15">
      <c r="FK1483"/>
      <c r="FL1483"/>
      <c r="FM1483"/>
      <c r="FN1483"/>
      <c r="FO1483"/>
      <c r="FP1483"/>
      <c r="FQ1483"/>
      <c r="FR1483"/>
      <c r="FS1483"/>
      <c r="FT1483"/>
      <c r="FU1483"/>
      <c r="FV1483"/>
      <c r="FW1483"/>
      <c r="FX1483"/>
      <c r="FY1483"/>
      <c r="FZ1483"/>
      <c r="GA1483"/>
      <c r="GB1483"/>
      <c r="GC1483"/>
    </row>
    <row r="1484" spans="167:185" x14ac:dyDescent="0.15">
      <c r="FK1484"/>
      <c r="FL1484"/>
      <c r="FM1484"/>
      <c r="FN1484"/>
      <c r="FO1484"/>
      <c r="FP1484"/>
      <c r="FQ1484"/>
      <c r="FR1484"/>
      <c r="FS1484"/>
      <c r="FT1484"/>
      <c r="FU1484"/>
      <c r="FV1484"/>
      <c r="FW1484"/>
      <c r="FX1484"/>
      <c r="FY1484"/>
      <c r="FZ1484"/>
      <c r="GA1484"/>
      <c r="GB1484"/>
      <c r="GC1484"/>
    </row>
    <row r="1485" spans="167:185" x14ac:dyDescent="0.15">
      <c r="FK1485"/>
      <c r="FL1485"/>
      <c r="FM1485"/>
      <c r="FN1485"/>
      <c r="FO1485"/>
      <c r="FP1485"/>
      <c r="FQ1485"/>
      <c r="FR1485"/>
      <c r="FS1485"/>
      <c r="FT1485"/>
      <c r="FU1485"/>
      <c r="FV1485"/>
      <c r="FW1485"/>
      <c r="FX1485"/>
      <c r="FY1485"/>
      <c r="FZ1485"/>
      <c r="GA1485"/>
      <c r="GB1485"/>
      <c r="GC1485"/>
    </row>
    <row r="1486" spans="167:185" x14ac:dyDescent="0.15">
      <c r="FK1486"/>
      <c r="FL1486"/>
      <c r="FM1486"/>
      <c r="FN1486"/>
      <c r="FO1486"/>
      <c r="FP1486"/>
      <c r="FQ1486"/>
      <c r="FR1486"/>
      <c r="FS1486"/>
      <c r="FT1486"/>
      <c r="FU1486"/>
      <c r="FV1486"/>
      <c r="FW1486"/>
      <c r="FX1486"/>
      <c r="FY1486"/>
      <c r="FZ1486"/>
      <c r="GA1486"/>
      <c r="GB1486"/>
      <c r="GC1486"/>
    </row>
    <row r="1487" spans="167:185" x14ac:dyDescent="0.15">
      <c r="FK1487"/>
      <c r="FL1487"/>
      <c r="FM1487"/>
      <c r="FN1487"/>
      <c r="FO1487"/>
      <c r="FP1487"/>
      <c r="FQ1487"/>
      <c r="FR1487"/>
      <c r="FS1487"/>
      <c r="FT1487"/>
      <c r="FU1487"/>
      <c r="FV1487"/>
      <c r="FW1487"/>
      <c r="FX1487"/>
      <c r="FY1487"/>
      <c r="FZ1487"/>
      <c r="GA1487"/>
      <c r="GB1487"/>
      <c r="GC1487"/>
    </row>
    <row r="1488" spans="167:185" x14ac:dyDescent="0.15">
      <c r="FK1488"/>
      <c r="FL1488"/>
      <c r="FM1488"/>
      <c r="FN1488"/>
      <c r="FO1488"/>
      <c r="FP1488"/>
      <c r="FQ1488"/>
      <c r="FR1488"/>
      <c r="FS1488"/>
      <c r="FT1488"/>
      <c r="FU1488"/>
      <c r="FV1488"/>
      <c r="FW1488"/>
      <c r="FX1488"/>
      <c r="FY1488"/>
      <c r="FZ1488"/>
      <c r="GA1488"/>
      <c r="GB1488"/>
      <c r="GC1488"/>
    </row>
    <row r="1489" spans="167:185" x14ac:dyDescent="0.15">
      <c r="FK1489"/>
      <c r="FL1489"/>
      <c r="FM1489"/>
      <c r="FN1489"/>
      <c r="FO1489"/>
      <c r="FP1489"/>
      <c r="FQ1489"/>
      <c r="FR1489"/>
      <c r="FS1489"/>
      <c r="FT1489"/>
      <c r="FU1489"/>
      <c r="FV1489"/>
      <c r="FW1489"/>
      <c r="FX1489"/>
      <c r="FY1489"/>
      <c r="FZ1489"/>
      <c r="GA1489"/>
      <c r="GB1489"/>
      <c r="GC1489"/>
    </row>
    <row r="1490" spans="167:185" x14ac:dyDescent="0.15">
      <c r="FK1490"/>
      <c r="FL1490"/>
      <c r="FM1490"/>
      <c r="FN1490"/>
      <c r="FO1490"/>
      <c r="FP1490"/>
      <c r="FQ1490"/>
      <c r="FR1490"/>
      <c r="FS1490"/>
      <c r="FT1490"/>
      <c r="FU1490"/>
      <c r="FV1490"/>
      <c r="FW1490"/>
      <c r="FX1490"/>
      <c r="FY1490"/>
      <c r="FZ1490"/>
      <c r="GA1490"/>
      <c r="GB1490"/>
      <c r="GC1490"/>
    </row>
    <row r="1491" spans="167:185" x14ac:dyDescent="0.15">
      <c r="FK1491"/>
      <c r="FL1491"/>
      <c r="FM1491"/>
      <c r="FN1491"/>
      <c r="FO1491"/>
      <c r="FP1491"/>
      <c r="FQ1491"/>
      <c r="FR1491"/>
      <c r="FS1491"/>
      <c r="FT1491"/>
      <c r="FU1491"/>
      <c r="FV1491"/>
      <c r="FW1491"/>
      <c r="FX1491"/>
      <c r="FY1491"/>
      <c r="FZ1491"/>
      <c r="GA1491"/>
      <c r="GB1491"/>
      <c r="GC1491"/>
    </row>
    <row r="1492" spans="167:185" x14ac:dyDescent="0.15">
      <c r="FK1492"/>
      <c r="FL1492"/>
      <c r="FM1492"/>
      <c r="FN1492"/>
      <c r="FO1492"/>
      <c r="FP1492"/>
      <c r="FQ1492"/>
      <c r="FR1492"/>
      <c r="FS1492"/>
      <c r="FT1492"/>
      <c r="FU1492"/>
      <c r="FV1492"/>
      <c r="FW1492"/>
      <c r="FX1492"/>
      <c r="FY1492"/>
      <c r="FZ1492"/>
      <c r="GA1492"/>
      <c r="GB1492"/>
      <c r="GC1492"/>
    </row>
    <row r="1493" spans="167:185" x14ac:dyDescent="0.15">
      <c r="FK1493"/>
      <c r="FL1493"/>
      <c r="FM1493"/>
      <c r="FN1493"/>
      <c r="FO1493"/>
      <c r="FP1493"/>
      <c r="FQ1493"/>
      <c r="FR1493"/>
      <c r="FS1493"/>
      <c r="FT1493"/>
      <c r="FU1493"/>
      <c r="FV1493"/>
      <c r="FW1493"/>
      <c r="FX1493"/>
      <c r="FY1493"/>
      <c r="FZ1493"/>
      <c r="GA1493"/>
      <c r="GB1493"/>
      <c r="GC1493"/>
    </row>
    <row r="1494" spans="167:185" x14ac:dyDescent="0.15">
      <c r="FK1494"/>
      <c r="FL1494"/>
      <c r="FM1494"/>
      <c r="FN1494"/>
      <c r="FO1494"/>
      <c r="FP1494"/>
      <c r="FQ1494"/>
      <c r="FR1494"/>
      <c r="FS1494"/>
      <c r="FT1494"/>
      <c r="FU1494"/>
      <c r="FV1494"/>
      <c r="FW1494"/>
      <c r="FX1494"/>
      <c r="FY1494"/>
      <c r="FZ1494"/>
      <c r="GA1494"/>
      <c r="GB1494"/>
      <c r="GC1494"/>
    </row>
    <row r="1495" spans="167:185" x14ac:dyDescent="0.15">
      <c r="FK1495"/>
      <c r="FL1495"/>
      <c r="FM1495"/>
      <c r="FN1495"/>
      <c r="FO1495"/>
      <c r="FP1495"/>
      <c r="FQ1495"/>
      <c r="FR1495"/>
      <c r="FS1495"/>
      <c r="FT1495"/>
      <c r="FU1495"/>
      <c r="FV1495"/>
      <c r="FW1495"/>
      <c r="FX1495"/>
      <c r="FY1495"/>
      <c r="FZ1495"/>
      <c r="GA1495"/>
      <c r="GB1495"/>
      <c r="GC1495"/>
    </row>
    <row r="1496" spans="167:185" x14ac:dyDescent="0.15">
      <c r="FK1496"/>
      <c r="FL1496"/>
      <c r="FM1496"/>
      <c r="FN1496"/>
      <c r="FO1496"/>
      <c r="FP1496"/>
      <c r="FQ1496"/>
      <c r="FR1496"/>
      <c r="FS1496"/>
      <c r="FT1496"/>
      <c r="FU1496"/>
      <c r="FV1496"/>
      <c r="FW1496"/>
      <c r="FX1496"/>
      <c r="FY1496"/>
      <c r="FZ1496"/>
      <c r="GA1496"/>
      <c r="GB1496"/>
      <c r="GC1496"/>
    </row>
    <row r="1497" spans="167:185" x14ac:dyDescent="0.15">
      <c r="FK1497"/>
      <c r="FL1497"/>
      <c r="FM1497"/>
      <c r="FN1497"/>
      <c r="FO1497"/>
      <c r="FP1497"/>
      <c r="FQ1497"/>
      <c r="FR1497"/>
      <c r="FS1497"/>
      <c r="FT1497"/>
      <c r="FU1497"/>
      <c r="FV1497"/>
      <c r="FW1497"/>
      <c r="FX1497"/>
      <c r="FY1497"/>
      <c r="FZ1497"/>
      <c r="GA1497"/>
      <c r="GB1497"/>
      <c r="GC1497"/>
    </row>
    <row r="1498" spans="167:185" x14ac:dyDescent="0.15">
      <c r="FK1498"/>
      <c r="FL1498"/>
      <c r="FM1498"/>
      <c r="FN1498"/>
      <c r="FO1498"/>
      <c r="FP1498"/>
      <c r="FQ1498"/>
      <c r="FR1498"/>
      <c r="FS1498"/>
      <c r="FT1498"/>
      <c r="FU1498"/>
      <c r="FV1498"/>
      <c r="FW1498"/>
      <c r="FX1498"/>
      <c r="FY1498"/>
      <c r="FZ1498"/>
      <c r="GA1498"/>
      <c r="GB1498"/>
      <c r="GC1498"/>
    </row>
    <row r="1499" spans="167:185" x14ac:dyDescent="0.15">
      <c r="FK1499"/>
      <c r="FL1499"/>
      <c r="FM1499"/>
      <c r="FN1499"/>
      <c r="FO1499"/>
      <c r="FP1499"/>
      <c r="FQ1499"/>
      <c r="FR1499"/>
      <c r="FS1499"/>
      <c r="FT1499"/>
      <c r="FU1499"/>
      <c r="FV1499"/>
      <c r="FW1499"/>
      <c r="FX1499"/>
      <c r="FY1499"/>
      <c r="FZ1499"/>
      <c r="GA1499"/>
      <c r="GB1499"/>
      <c r="GC1499"/>
    </row>
    <row r="1500" spans="167:185" x14ac:dyDescent="0.15">
      <c r="FK1500"/>
      <c r="FL1500"/>
      <c r="FM1500"/>
      <c r="FN1500"/>
      <c r="FO1500"/>
      <c r="FP1500"/>
      <c r="FQ1500"/>
      <c r="FR1500"/>
      <c r="FS1500"/>
      <c r="FT1500"/>
      <c r="FU1500"/>
      <c r="FV1500"/>
      <c r="FW1500"/>
      <c r="FX1500"/>
      <c r="FY1500"/>
      <c r="FZ1500"/>
      <c r="GA1500"/>
      <c r="GB1500"/>
      <c r="GC1500"/>
    </row>
    <row r="1501" spans="167:185" x14ac:dyDescent="0.15">
      <c r="FK1501"/>
      <c r="FL1501"/>
      <c r="FM1501"/>
      <c r="FN1501"/>
      <c r="FO1501"/>
      <c r="FP1501"/>
      <c r="FQ1501"/>
      <c r="FR1501"/>
      <c r="FS1501"/>
      <c r="FT1501"/>
      <c r="FU1501"/>
      <c r="FV1501"/>
      <c r="FW1501"/>
      <c r="FX1501"/>
      <c r="FY1501"/>
      <c r="FZ1501"/>
      <c r="GA1501"/>
      <c r="GB1501"/>
      <c r="GC1501"/>
    </row>
    <row r="1502" spans="167:185" x14ac:dyDescent="0.15">
      <c r="FK1502"/>
      <c r="FL1502"/>
      <c r="FM1502"/>
      <c r="FN1502"/>
      <c r="FO1502"/>
      <c r="FP1502"/>
      <c r="FQ1502"/>
      <c r="FR1502"/>
      <c r="FS1502"/>
      <c r="FT1502"/>
      <c r="FU1502"/>
      <c r="FV1502"/>
      <c r="FW1502"/>
      <c r="FX1502"/>
      <c r="FY1502"/>
      <c r="FZ1502"/>
      <c r="GA1502"/>
      <c r="GB1502"/>
      <c r="GC1502"/>
    </row>
    <row r="1503" spans="167:185" x14ac:dyDescent="0.15">
      <c r="FK1503"/>
      <c r="FL1503"/>
      <c r="FM1503"/>
      <c r="FN1503"/>
      <c r="FO1503"/>
      <c r="FP1503"/>
      <c r="FQ1503"/>
      <c r="FR1503"/>
      <c r="FS1503"/>
      <c r="FT1503"/>
      <c r="FU1503"/>
      <c r="FV1503"/>
      <c r="FW1503"/>
      <c r="FX1503"/>
      <c r="FY1503"/>
      <c r="FZ1503"/>
      <c r="GA1503"/>
      <c r="GB1503"/>
      <c r="GC1503"/>
    </row>
    <row r="1504" spans="167:185" x14ac:dyDescent="0.15">
      <c r="FK1504"/>
      <c r="FL1504"/>
      <c r="FM1504"/>
      <c r="FN1504"/>
      <c r="FO1504"/>
      <c r="FP1504"/>
      <c r="FQ1504"/>
      <c r="FR1504"/>
      <c r="FS1504"/>
      <c r="FT1504"/>
      <c r="FU1504"/>
      <c r="FV1504"/>
      <c r="FW1504"/>
      <c r="FX1504"/>
      <c r="FY1504"/>
      <c r="FZ1504"/>
      <c r="GA1504"/>
      <c r="GB1504"/>
      <c r="GC1504"/>
    </row>
    <row r="1505" spans="167:185" x14ac:dyDescent="0.15">
      <c r="FK1505"/>
      <c r="FL1505"/>
      <c r="FM1505"/>
      <c r="FN1505"/>
      <c r="FO1505"/>
      <c r="FP1505"/>
      <c r="FQ1505"/>
      <c r="FR1505"/>
      <c r="FS1505"/>
      <c r="FT1505"/>
      <c r="FU1505"/>
      <c r="FV1505"/>
      <c r="FW1505"/>
      <c r="FX1505"/>
      <c r="FY1505"/>
      <c r="FZ1505"/>
      <c r="GA1505"/>
      <c r="GB1505"/>
      <c r="GC1505"/>
    </row>
    <row r="1506" spans="167:185" x14ac:dyDescent="0.15">
      <c r="FK1506"/>
      <c r="FL1506"/>
      <c r="FM1506"/>
      <c r="FN1506"/>
      <c r="FO1506"/>
      <c r="FP1506"/>
      <c r="FQ1506"/>
      <c r="FR1506"/>
      <c r="FS1506"/>
      <c r="FT1506"/>
      <c r="FU1506"/>
      <c r="FV1506"/>
      <c r="FW1506"/>
      <c r="FX1506"/>
      <c r="FY1506"/>
      <c r="FZ1506"/>
      <c r="GA1506"/>
      <c r="GB1506"/>
      <c r="GC1506"/>
    </row>
    <row r="1507" spans="167:185" x14ac:dyDescent="0.15">
      <c r="FK1507"/>
      <c r="FL1507"/>
      <c r="FM1507"/>
      <c r="FN1507"/>
      <c r="FO1507"/>
      <c r="FP1507"/>
      <c r="FQ1507"/>
      <c r="FR1507"/>
      <c r="FS1507"/>
      <c r="FT1507"/>
      <c r="FU1507"/>
      <c r="FV1507"/>
      <c r="FW1507"/>
      <c r="FX1507"/>
      <c r="FY1507"/>
      <c r="FZ1507"/>
      <c r="GA1507"/>
      <c r="GB1507"/>
      <c r="GC1507"/>
    </row>
    <row r="1508" spans="167:185" x14ac:dyDescent="0.15">
      <c r="FK1508"/>
      <c r="FL1508"/>
      <c r="FM1508"/>
      <c r="FN1508"/>
      <c r="FO1508"/>
      <c r="FP1508"/>
      <c r="FQ1508"/>
      <c r="FR1508"/>
      <c r="FS1508"/>
      <c r="FT1508"/>
      <c r="FU1508"/>
      <c r="FV1508"/>
      <c r="FW1508"/>
      <c r="FX1508"/>
      <c r="FY1508"/>
      <c r="FZ1508"/>
      <c r="GA1508"/>
      <c r="GB1508"/>
      <c r="GC1508"/>
    </row>
    <row r="1509" spans="167:185" x14ac:dyDescent="0.15">
      <c r="FK1509"/>
      <c r="FL1509"/>
      <c r="FM1509"/>
      <c r="FN1509"/>
      <c r="FO1509"/>
      <c r="FP1509"/>
      <c r="FQ1509"/>
      <c r="FR1509"/>
      <c r="FS1509"/>
      <c r="FT1509"/>
      <c r="FU1509"/>
      <c r="FV1509"/>
      <c r="FW1509"/>
      <c r="FX1509"/>
      <c r="FY1509"/>
      <c r="FZ1509"/>
      <c r="GA1509"/>
      <c r="GB1509"/>
      <c r="GC1509"/>
    </row>
    <row r="1510" spans="167:185" x14ac:dyDescent="0.15">
      <c r="FK1510"/>
      <c r="FL1510"/>
      <c r="FM1510"/>
      <c r="FN1510"/>
      <c r="FO1510"/>
      <c r="FP1510"/>
      <c r="FQ1510"/>
      <c r="FR1510"/>
      <c r="FS1510"/>
      <c r="FT1510"/>
      <c r="FU1510"/>
      <c r="FV1510"/>
      <c r="FW1510"/>
      <c r="FX1510"/>
      <c r="FY1510"/>
      <c r="FZ1510"/>
      <c r="GA1510"/>
      <c r="GB1510"/>
      <c r="GC1510"/>
    </row>
    <row r="1511" spans="167:185" x14ac:dyDescent="0.15">
      <c r="FK1511"/>
      <c r="FL1511"/>
      <c r="FM1511"/>
      <c r="FN1511"/>
      <c r="FO1511"/>
      <c r="FP1511"/>
      <c r="FQ1511"/>
      <c r="FR1511"/>
      <c r="FS1511"/>
      <c r="FT1511"/>
      <c r="FU1511"/>
      <c r="FV1511"/>
      <c r="FW1511"/>
      <c r="FX1511"/>
      <c r="FY1511"/>
      <c r="FZ1511"/>
      <c r="GA1511"/>
      <c r="GB1511"/>
      <c r="GC1511"/>
    </row>
    <row r="1512" spans="167:185" x14ac:dyDescent="0.15">
      <c r="FK1512"/>
      <c r="FL1512"/>
      <c r="FM1512"/>
      <c r="FN1512"/>
      <c r="FO1512"/>
      <c r="FP1512"/>
      <c r="FQ1512"/>
      <c r="FR1512"/>
      <c r="FS1512"/>
      <c r="FT1512"/>
      <c r="FU1512"/>
      <c r="FV1512"/>
      <c r="FW1512"/>
      <c r="FX1512"/>
      <c r="FY1512"/>
      <c r="FZ1512"/>
      <c r="GA1512"/>
      <c r="GB1512"/>
      <c r="GC1512"/>
    </row>
    <row r="1513" spans="167:185" x14ac:dyDescent="0.15">
      <c r="FK1513"/>
      <c r="FL1513"/>
      <c r="FM1513"/>
      <c r="FN1513"/>
      <c r="FO1513"/>
      <c r="FP1513"/>
      <c r="FQ1513"/>
      <c r="FR1513"/>
      <c r="FS1513"/>
      <c r="FT1513"/>
      <c r="FU1513"/>
      <c r="FV1513"/>
      <c r="FW1513"/>
      <c r="FX1513"/>
      <c r="FY1513"/>
      <c r="FZ1513"/>
      <c r="GA1513"/>
      <c r="GB1513"/>
      <c r="GC1513"/>
    </row>
    <row r="1514" spans="167:185" x14ac:dyDescent="0.15">
      <c r="FK1514"/>
      <c r="FL1514"/>
      <c r="FM1514"/>
      <c r="FN1514"/>
      <c r="FO1514"/>
      <c r="FP1514"/>
      <c r="FQ1514"/>
      <c r="FR1514"/>
      <c r="FS1514"/>
      <c r="FT1514"/>
      <c r="FU1514"/>
      <c r="FV1514"/>
      <c r="FW1514"/>
      <c r="FX1514"/>
      <c r="FY1514"/>
      <c r="FZ1514"/>
      <c r="GA1514"/>
      <c r="GB1514"/>
      <c r="GC1514"/>
    </row>
    <row r="1515" spans="167:185" x14ac:dyDescent="0.15">
      <c r="FK1515"/>
      <c r="FL1515"/>
      <c r="FM1515"/>
      <c r="FN1515"/>
      <c r="FO1515"/>
      <c r="FP1515"/>
      <c r="FQ1515"/>
      <c r="FR1515"/>
      <c r="FS1515"/>
      <c r="FT1515"/>
      <c r="FU1515"/>
      <c r="FV1515"/>
      <c r="FW1515"/>
      <c r="FX1515"/>
      <c r="FY1515"/>
      <c r="FZ1515"/>
      <c r="GA1515"/>
      <c r="GB1515"/>
      <c r="GC1515"/>
    </row>
    <row r="1516" spans="167:185" x14ac:dyDescent="0.15">
      <c r="FK1516"/>
      <c r="FL1516"/>
      <c r="FM1516"/>
      <c r="FN1516"/>
      <c r="FO1516"/>
      <c r="FP1516"/>
      <c r="FQ1516"/>
      <c r="FR1516"/>
      <c r="FS1516"/>
      <c r="FT1516"/>
      <c r="FU1516"/>
      <c r="FV1516"/>
      <c r="FW1516"/>
      <c r="FX1516"/>
      <c r="FY1516"/>
      <c r="FZ1516"/>
      <c r="GA1516"/>
      <c r="GB1516"/>
      <c r="GC1516"/>
    </row>
    <row r="1517" spans="167:185" x14ac:dyDescent="0.15">
      <c r="FK1517"/>
      <c r="FL1517"/>
      <c r="FM1517"/>
      <c r="FN1517"/>
      <c r="FO1517"/>
      <c r="FP1517"/>
      <c r="FQ1517"/>
      <c r="FR1517"/>
      <c r="FS1517"/>
      <c r="FT1517"/>
      <c r="FU1517"/>
      <c r="FV1517"/>
      <c r="FW1517"/>
      <c r="FX1517"/>
      <c r="FY1517"/>
      <c r="FZ1517"/>
      <c r="GA1517"/>
      <c r="GB1517"/>
      <c r="GC1517"/>
    </row>
    <row r="1518" spans="167:185" x14ac:dyDescent="0.15">
      <c r="FK1518"/>
      <c r="FL1518"/>
      <c r="FM1518"/>
      <c r="FN1518"/>
      <c r="FO1518"/>
      <c r="FP1518"/>
      <c r="FQ1518"/>
      <c r="FR1518"/>
      <c r="FS1518"/>
      <c r="FT1518"/>
      <c r="FU1518"/>
      <c r="FV1518"/>
      <c r="FW1518"/>
      <c r="FX1518"/>
      <c r="FY1518"/>
      <c r="FZ1518"/>
      <c r="GA1518"/>
      <c r="GB1518"/>
      <c r="GC1518"/>
    </row>
    <row r="1519" spans="167:185" x14ac:dyDescent="0.15">
      <c r="FK1519"/>
      <c r="FL1519"/>
      <c r="FM1519"/>
      <c r="FN1519"/>
      <c r="FO1519"/>
      <c r="FP1519"/>
      <c r="FQ1519"/>
      <c r="FR1519"/>
      <c r="FS1519"/>
      <c r="FT1519"/>
      <c r="FU1519"/>
      <c r="FV1519"/>
      <c r="FW1519"/>
      <c r="FX1519"/>
      <c r="FY1519"/>
      <c r="FZ1519"/>
      <c r="GA1519"/>
      <c r="GB1519"/>
      <c r="GC1519"/>
    </row>
    <row r="1520" spans="167:185" x14ac:dyDescent="0.15">
      <c r="FK1520"/>
      <c r="FL1520"/>
      <c r="FM1520"/>
      <c r="FN1520"/>
      <c r="FO1520"/>
      <c r="FP1520"/>
      <c r="FQ1520"/>
      <c r="FR1520"/>
      <c r="FS1520"/>
      <c r="FT1520"/>
      <c r="FU1520"/>
      <c r="FV1520"/>
      <c r="FW1520"/>
      <c r="FX1520"/>
      <c r="FY1520"/>
      <c r="FZ1520"/>
      <c r="GA1520"/>
      <c r="GB1520"/>
      <c r="GC1520"/>
    </row>
    <row r="1521" spans="167:185" x14ac:dyDescent="0.15">
      <c r="FK1521"/>
      <c r="FL1521"/>
      <c r="FM1521"/>
      <c r="FN1521"/>
      <c r="FO1521"/>
      <c r="FP1521"/>
      <c r="FQ1521"/>
      <c r="FR1521"/>
      <c r="FS1521"/>
      <c r="FT1521"/>
      <c r="FU1521"/>
      <c r="FV1521"/>
      <c r="FW1521"/>
      <c r="FX1521"/>
      <c r="FY1521"/>
      <c r="FZ1521"/>
      <c r="GA1521"/>
      <c r="GB1521"/>
      <c r="GC1521"/>
    </row>
    <row r="1522" spans="167:185" x14ac:dyDescent="0.15">
      <c r="FK1522"/>
      <c r="FL1522"/>
      <c r="FM1522"/>
      <c r="FN1522"/>
      <c r="FO1522"/>
      <c r="FP1522"/>
      <c r="FQ1522"/>
      <c r="FR1522"/>
      <c r="FS1522"/>
      <c r="FT1522"/>
      <c r="FU1522"/>
      <c r="FV1522"/>
      <c r="FW1522"/>
      <c r="FX1522"/>
      <c r="FY1522"/>
      <c r="FZ1522"/>
      <c r="GA1522"/>
      <c r="GB1522"/>
      <c r="GC1522"/>
    </row>
    <row r="1523" spans="167:185" x14ac:dyDescent="0.15">
      <c r="FK1523"/>
      <c r="FL1523"/>
      <c r="FM1523"/>
      <c r="FN1523"/>
      <c r="FO1523"/>
      <c r="FP1523"/>
      <c r="FQ1523"/>
      <c r="FR1523"/>
      <c r="FS1523"/>
      <c r="FT1523"/>
      <c r="FU1523"/>
      <c r="FV1523"/>
      <c r="FW1523"/>
      <c r="FX1523"/>
      <c r="FY1523"/>
      <c r="FZ1523"/>
      <c r="GA1523"/>
      <c r="GB1523"/>
      <c r="GC1523"/>
    </row>
    <row r="1524" spans="167:185" x14ac:dyDescent="0.15">
      <c r="FK1524"/>
      <c r="FL1524"/>
      <c r="FM1524"/>
      <c r="FN1524"/>
      <c r="FO1524"/>
      <c r="FP1524"/>
      <c r="FQ1524"/>
      <c r="FR1524"/>
      <c r="FS1524"/>
      <c r="FT1524"/>
      <c r="FU1524"/>
      <c r="FV1524"/>
      <c r="FW1524"/>
      <c r="FX1524"/>
      <c r="FY1524"/>
      <c r="FZ1524"/>
      <c r="GA1524"/>
      <c r="GB1524"/>
      <c r="GC1524"/>
    </row>
    <row r="1525" spans="167:185" x14ac:dyDescent="0.15">
      <c r="FK1525"/>
      <c r="FL1525"/>
      <c r="FM1525"/>
      <c r="FN1525"/>
      <c r="FO1525"/>
      <c r="FP1525"/>
      <c r="FQ1525"/>
      <c r="FR1525"/>
      <c r="FS1525"/>
      <c r="FT1525"/>
      <c r="FU1525"/>
      <c r="FV1525"/>
      <c r="FW1525"/>
      <c r="FX1525"/>
      <c r="FY1525"/>
      <c r="FZ1525"/>
      <c r="GA1525"/>
      <c r="GB1525"/>
      <c r="GC1525"/>
    </row>
    <row r="1526" spans="167:185" x14ac:dyDescent="0.15">
      <c r="FK1526"/>
      <c r="FL1526"/>
      <c r="FM1526"/>
      <c r="FN1526"/>
      <c r="FO1526"/>
      <c r="FP1526"/>
      <c r="FQ1526"/>
      <c r="FR1526"/>
      <c r="FS1526"/>
      <c r="FT1526"/>
      <c r="FU1526"/>
      <c r="FV1526"/>
      <c r="FW1526"/>
      <c r="FX1526"/>
      <c r="FY1526"/>
      <c r="FZ1526"/>
      <c r="GA1526"/>
      <c r="GB1526"/>
      <c r="GC1526"/>
    </row>
    <row r="1527" spans="167:185" x14ac:dyDescent="0.15">
      <c r="FK1527"/>
      <c r="FL1527"/>
      <c r="FM1527"/>
      <c r="FN1527"/>
      <c r="FO1527"/>
      <c r="FP1527"/>
      <c r="FQ1527"/>
      <c r="FR1527"/>
      <c r="FS1527"/>
      <c r="FT1527"/>
      <c r="FU1527"/>
      <c r="FV1527"/>
      <c r="FW1527"/>
      <c r="FX1527"/>
      <c r="FY1527"/>
      <c r="FZ1527"/>
      <c r="GA1527"/>
      <c r="GB1527"/>
      <c r="GC1527"/>
    </row>
    <row r="1528" spans="167:185" x14ac:dyDescent="0.15">
      <c r="FK1528"/>
      <c r="FL1528"/>
      <c r="FM1528"/>
      <c r="FN1528"/>
      <c r="FO1528"/>
      <c r="FP1528"/>
      <c r="FQ1528"/>
      <c r="FR1528"/>
      <c r="FS1528"/>
      <c r="FT1528"/>
      <c r="FU1528"/>
      <c r="FV1528"/>
      <c r="FW1528"/>
      <c r="FX1528"/>
      <c r="FY1528"/>
      <c r="FZ1528"/>
      <c r="GA1528"/>
      <c r="GB1528"/>
      <c r="GC1528"/>
    </row>
    <row r="1529" spans="167:185" x14ac:dyDescent="0.15">
      <c r="FK1529"/>
      <c r="FL1529"/>
      <c r="FM1529"/>
      <c r="FN1529"/>
      <c r="FO1529"/>
      <c r="FP1529"/>
      <c r="FQ1529"/>
      <c r="FR1529"/>
      <c r="FS1529"/>
      <c r="FT1529"/>
      <c r="FU1529"/>
      <c r="FV1529"/>
      <c r="FW1529"/>
      <c r="FX1529"/>
      <c r="FY1529"/>
      <c r="FZ1529"/>
      <c r="GA1529"/>
      <c r="GB1529"/>
      <c r="GC1529"/>
    </row>
    <row r="1530" spans="167:185" x14ac:dyDescent="0.15">
      <c r="FK1530"/>
      <c r="FL1530"/>
      <c r="FM1530"/>
      <c r="FN1530"/>
      <c r="FO1530"/>
      <c r="FP1530"/>
      <c r="FQ1530"/>
      <c r="FR1530"/>
      <c r="FS1530"/>
      <c r="FT1530"/>
      <c r="FU1530"/>
      <c r="FV1530"/>
      <c r="FW1530"/>
      <c r="FX1530"/>
      <c r="FY1530"/>
      <c r="FZ1530"/>
      <c r="GA1530"/>
      <c r="GB1530"/>
      <c r="GC1530"/>
    </row>
    <row r="1531" spans="167:185" x14ac:dyDescent="0.15">
      <c r="FK1531"/>
      <c r="FL1531"/>
      <c r="FM1531"/>
      <c r="FN1531"/>
      <c r="FO1531"/>
      <c r="FP1531"/>
      <c r="FQ1531"/>
      <c r="FR1531"/>
      <c r="FS1531"/>
      <c r="FT1531"/>
      <c r="FU1531"/>
      <c r="FV1531"/>
      <c r="FW1531"/>
      <c r="FX1531"/>
      <c r="FY1531"/>
      <c r="FZ1531"/>
      <c r="GA1531"/>
      <c r="GB1531"/>
      <c r="GC1531"/>
    </row>
    <row r="1532" spans="167:185" x14ac:dyDescent="0.15">
      <c r="FK1532"/>
      <c r="FL1532"/>
      <c r="FM1532"/>
      <c r="FN1532"/>
      <c r="FO1532"/>
      <c r="FP1532"/>
      <c r="FQ1532"/>
      <c r="FR1532"/>
      <c r="FS1532"/>
      <c r="FT1532"/>
      <c r="FU1532"/>
      <c r="FV1532"/>
      <c r="FW1532"/>
      <c r="FX1532"/>
      <c r="FY1532"/>
      <c r="FZ1532"/>
      <c r="GA1532"/>
      <c r="GB1532"/>
      <c r="GC1532"/>
    </row>
    <row r="1533" spans="167:185" x14ac:dyDescent="0.15">
      <c r="FK1533"/>
      <c r="FL1533"/>
      <c r="FM1533"/>
      <c r="FN1533"/>
      <c r="FO1533"/>
      <c r="FP1533"/>
      <c r="FQ1533"/>
      <c r="FR1533"/>
      <c r="FS1533"/>
      <c r="FT1533"/>
      <c r="FU1533"/>
      <c r="FV1533"/>
      <c r="FW1533"/>
      <c r="FX1533"/>
      <c r="FY1533"/>
      <c r="FZ1533"/>
      <c r="GA1533"/>
      <c r="GB1533"/>
      <c r="GC1533"/>
    </row>
    <row r="1534" spans="167:185" x14ac:dyDescent="0.15">
      <c r="FK1534"/>
      <c r="FL1534"/>
      <c r="FM1534"/>
      <c r="FN1534"/>
      <c r="FO1534"/>
      <c r="FP1534"/>
      <c r="FQ1534"/>
      <c r="FR1534"/>
      <c r="FS1534"/>
      <c r="FT1534"/>
      <c r="FU1534"/>
      <c r="FV1534"/>
      <c r="FW1534"/>
      <c r="FX1534"/>
      <c r="FY1534"/>
      <c r="FZ1534"/>
      <c r="GA1534"/>
      <c r="GB1534"/>
      <c r="GC1534"/>
    </row>
    <row r="1535" spans="167:185" x14ac:dyDescent="0.15">
      <c r="FK1535"/>
      <c r="FL1535"/>
      <c r="FM1535"/>
      <c r="FN1535"/>
      <c r="FO1535"/>
      <c r="FP1535"/>
      <c r="FQ1535"/>
      <c r="FR1535"/>
      <c r="FS1535"/>
      <c r="FT1535"/>
      <c r="FU1535"/>
      <c r="FV1535"/>
      <c r="FW1535"/>
      <c r="FX1535"/>
      <c r="FY1535"/>
      <c r="FZ1535"/>
      <c r="GA1535"/>
      <c r="GB1535"/>
      <c r="GC1535"/>
    </row>
    <row r="1536" spans="167:185" x14ac:dyDescent="0.15">
      <c r="FK1536"/>
      <c r="FL1536"/>
      <c r="FM1536"/>
      <c r="FN1536"/>
      <c r="FO1536"/>
      <c r="FP1536"/>
      <c r="FQ1536"/>
      <c r="FR1536"/>
      <c r="FS1536"/>
      <c r="FT1536"/>
      <c r="FU1536"/>
      <c r="FV1536"/>
      <c r="FW1536"/>
      <c r="FX1536"/>
      <c r="FY1536"/>
      <c r="FZ1536"/>
      <c r="GA1536"/>
      <c r="GB1536"/>
      <c r="GC1536"/>
    </row>
    <row r="1537" spans="167:185" x14ac:dyDescent="0.15">
      <c r="FK1537"/>
      <c r="FL1537"/>
      <c r="FM1537"/>
      <c r="FN1537"/>
      <c r="FO1537"/>
      <c r="FP1537"/>
      <c r="FQ1537"/>
      <c r="FR1537"/>
      <c r="FS1537"/>
      <c r="FT1537"/>
      <c r="FU1537"/>
      <c r="FV1537"/>
      <c r="FW1537"/>
      <c r="FX1537"/>
      <c r="FY1537"/>
      <c r="FZ1537"/>
      <c r="GA1537"/>
      <c r="GB1537"/>
      <c r="GC1537"/>
    </row>
    <row r="1538" spans="167:185" x14ac:dyDescent="0.15">
      <c r="FK1538"/>
      <c r="FL1538"/>
      <c r="FM1538"/>
      <c r="FN1538"/>
      <c r="FO1538"/>
      <c r="FP1538"/>
      <c r="FQ1538"/>
      <c r="FR1538"/>
      <c r="FS1538"/>
      <c r="FT1538"/>
      <c r="FU1538"/>
      <c r="FV1538"/>
      <c r="FW1538"/>
      <c r="FX1538"/>
      <c r="FY1538"/>
      <c r="FZ1538"/>
      <c r="GA1538"/>
      <c r="GB1538"/>
      <c r="GC1538"/>
    </row>
    <row r="1539" spans="167:185" x14ac:dyDescent="0.15">
      <c r="FK1539"/>
      <c r="FL1539"/>
      <c r="FM1539"/>
      <c r="FN1539"/>
      <c r="FO1539"/>
      <c r="FP1539"/>
      <c r="FQ1539"/>
      <c r="FR1539"/>
      <c r="FS1539"/>
      <c r="FT1539"/>
      <c r="FU1539"/>
      <c r="FV1539"/>
      <c r="FW1539"/>
      <c r="FX1539"/>
      <c r="FY1539"/>
      <c r="FZ1539"/>
      <c r="GA1539"/>
      <c r="GB1539"/>
      <c r="GC1539"/>
    </row>
    <row r="1540" spans="167:185" x14ac:dyDescent="0.15">
      <c r="FK1540"/>
      <c r="FL1540"/>
      <c r="FM1540"/>
      <c r="FN1540"/>
      <c r="FO1540"/>
      <c r="FP1540"/>
      <c r="FQ1540"/>
      <c r="FR1540"/>
      <c r="FS1540"/>
      <c r="FT1540"/>
      <c r="FU1540"/>
      <c r="FV1540"/>
      <c r="FW1540"/>
      <c r="FX1540"/>
      <c r="FY1540"/>
      <c r="FZ1540"/>
      <c r="GA1540"/>
      <c r="GB1540"/>
      <c r="GC1540"/>
    </row>
    <row r="1541" spans="167:185" x14ac:dyDescent="0.15">
      <c r="FK1541"/>
      <c r="FL1541"/>
      <c r="FM1541"/>
      <c r="FN1541"/>
      <c r="FO1541"/>
      <c r="FP1541"/>
      <c r="FQ1541"/>
      <c r="FR1541"/>
      <c r="FS1541"/>
      <c r="FT1541"/>
      <c r="FU1541"/>
      <c r="FV1541"/>
      <c r="FW1541"/>
      <c r="FX1541"/>
      <c r="FY1541"/>
      <c r="FZ1541"/>
      <c r="GA1541"/>
      <c r="GB1541"/>
      <c r="GC1541"/>
    </row>
    <row r="1542" spans="167:185" x14ac:dyDescent="0.15">
      <c r="FK1542"/>
      <c r="FL1542"/>
      <c r="FM1542"/>
      <c r="FN1542"/>
      <c r="FO1542"/>
      <c r="FP1542"/>
      <c r="FQ1542"/>
      <c r="FR1542"/>
      <c r="FS1542"/>
      <c r="FT1542"/>
      <c r="FU1542"/>
      <c r="FV1542"/>
      <c r="FW1542"/>
      <c r="FX1542"/>
      <c r="FY1542"/>
      <c r="FZ1542"/>
      <c r="GA1542"/>
      <c r="GB1542"/>
      <c r="GC1542"/>
    </row>
    <row r="1543" spans="167:185" x14ac:dyDescent="0.15">
      <c r="FK1543"/>
      <c r="FL1543"/>
      <c r="FM1543"/>
      <c r="FN1543"/>
      <c r="FO1543"/>
      <c r="FP1543"/>
      <c r="FQ1543"/>
      <c r="FR1543"/>
      <c r="FS1543"/>
      <c r="FT1543"/>
      <c r="FU1543"/>
      <c r="FV1543"/>
      <c r="FW1543"/>
      <c r="FX1543"/>
      <c r="FY1543"/>
      <c r="FZ1543"/>
      <c r="GA1543"/>
      <c r="GB1543"/>
      <c r="GC1543"/>
    </row>
    <row r="1544" spans="167:185" x14ac:dyDescent="0.15">
      <c r="FK1544"/>
      <c r="FL1544"/>
      <c r="FM1544"/>
      <c r="FN1544"/>
      <c r="FO1544"/>
      <c r="FP1544"/>
      <c r="FQ1544"/>
      <c r="FR1544"/>
      <c r="FS1544"/>
      <c r="FT1544"/>
      <c r="FU1544"/>
      <c r="FV1544"/>
      <c r="FW1544"/>
      <c r="FX1544"/>
      <c r="FY1544"/>
      <c r="FZ1544"/>
      <c r="GA1544"/>
      <c r="GB1544"/>
      <c r="GC1544"/>
    </row>
    <row r="1545" spans="167:185" x14ac:dyDescent="0.15">
      <c r="FK1545"/>
      <c r="FL1545"/>
      <c r="FM1545"/>
      <c r="FN1545"/>
      <c r="FO1545"/>
      <c r="FP1545"/>
      <c r="FQ1545"/>
      <c r="FR1545"/>
      <c r="FS1545"/>
      <c r="FT1545"/>
      <c r="FU1545"/>
      <c r="FV1545"/>
      <c r="FW1545"/>
      <c r="FX1545"/>
      <c r="FY1545"/>
      <c r="FZ1545"/>
      <c r="GA1545"/>
      <c r="GB1545"/>
      <c r="GC1545"/>
    </row>
    <row r="1546" spans="167:185" x14ac:dyDescent="0.15">
      <c r="FK1546"/>
      <c r="FL1546"/>
      <c r="FM1546"/>
      <c r="FN1546"/>
      <c r="FO1546"/>
      <c r="FP1546"/>
      <c r="FQ1546"/>
      <c r="FR1546"/>
      <c r="FS1546"/>
      <c r="FT1546"/>
      <c r="FU1546"/>
      <c r="FV1546"/>
      <c r="FW1546"/>
      <c r="FX1546"/>
      <c r="FY1546"/>
      <c r="FZ1546"/>
      <c r="GA1546"/>
      <c r="GB1546"/>
      <c r="GC1546"/>
    </row>
    <row r="1547" spans="167:185" x14ac:dyDescent="0.15">
      <c r="FK1547"/>
      <c r="FL1547"/>
      <c r="FM1547"/>
      <c r="FN1547"/>
      <c r="FO1547"/>
      <c r="FP1547"/>
      <c r="FQ1547"/>
      <c r="FR1547"/>
      <c r="FS1547"/>
      <c r="FT1547"/>
      <c r="FU1547"/>
      <c r="FV1547"/>
      <c r="FW1547"/>
      <c r="FX1547"/>
      <c r="FY1547"/>
      <c r="FZ1547"/>
      <c r="GA1547"/>
      <c r="GB1547"/>
      <c r="GC1547"/>
    </row>
    <row r="1548" spans="167:185" x14ac:dyDescent="0.15">
      <c r="FK1548"/>
      <c r="FL1548"/>
      <c r="FM1548"/>
      <c r="FN1548"/>
      <c r="FO1548"/>
      <c r="FP1548"/>
      <c r="FQ1548"/>
      <c r="FR1548"/>
      <c r="FS1548"/>
      <c r="FT1548"/>
      <c r="FU1548"/>
      <c r="FV1548"/>
      <c r="FW1548"/>
      <c r="FX1548"/>
      <c r="FY1548"/>
      <c r="FZ1548"/>
      <c r="GA1548"/>
      <c r="GB1548"/>
      <c r="GC1548"/>
    </row>
    <row r="1549" spans="167:185" x14ac:dyDescent="0.15">
      <c r="FK1549"/>
      <c r="FL1549"/>
      <c r="FM1549"/>
      <c r="FN1549"/>
      <c r="FO1549"/>
      <c r="FP1549"/>
      <c r="FQ1549"/>
      <c r="FR1549"/>
      <c r="FS1549"/>
      <c r="FT1549"/>
      <c r="FU1549"/>
      <c r="FV1549"/>
      <c r="FW1549"/>
      <c r="FX1549"/>
      <c r="FY1549"/>
      <c r="FZ1549"/>
      <c r="GA1549"/>
      <c r="GB1549"/>
      <c r="GC1549"/>
    </row>
    <row r="1550" spans="167:185" x14ac:dyDescent="0.15">
      <c r="FK1550"/>
      <c r="FL1550"/>
      <c r="FM1550"/>
      <c r="FN1550"/>
      <c r="FO1550"/>
      <c r="FP1550"/>
      <c r="FQ1550"/>
      <c r="FR1550"/>
      <c r="FS1550"/>
      <c r="FT1550"/>
      <c r="FU1550"/>
      <c r="FV1550"/>
      <c r="FW1550"/>
      <c r="FX1550"/>
      <c r="FY1550"/>
      <c r="FZ1550"/>
      <c r="GA1550"/>
      <c r="GB1550"/>
      <c r="GC1550"/>
    </row>
    <row r="1551" spans="167:185" x14ac:dyDescent="0.15">
      <c r="FK1551"/>
      <c r="FL1551"/>
      <c r="FM1551"/>
      <c r="FN1551"/>
      <c r="FO1551"/>
      <c r="FP1551"/>
      <c r="FQ1551"/>
      <c r="FR1551"/>
      <c r="FS1551"/>
      <c r="FT1551"/>
      <c r="FU1551"/>
      <c r="FV1551"/>
      <c r="FW1551"/>
      <c r="FX1551"/>
      <c r="FY1551"/>
      <c r="FZ1551"/>
      <c r="GA1551"/>
      <c r="GB1551"/>
      <c r="GC1551"/>
    </row>
    <row r="1552" spans="167:185" x14ac:dyDescent="0.15">
      <c r="FK1552"/>
      <c r="FL1552"/>
      <c r="FM1552"/>
      <c r="FN1552"/>
      <c r="FO1552"/>
      <c r="FP1552"/>
      <c r="FQ1552"/>
      <c r="FR1552"/>
      <c r="FS1552"/>
      <c r="FT1552"/>
      <c r="FU1552"/>
      <c r="FV1552"/>
      <c r="FW1552"/>
      <c r="FX1552"/>
      <c r="FY1552"/>
      <c r="FZ1552"/>
      <c r="GA1552"/>
      <c r="GB1552"/>
      <c r="GC1552"/>
    </row>
    <row r="1553" spans="167:185" x14ac:dyDescent="0.15">
      <c r="FK1553"/>
      <c r="FL1553"/>
      <c r="FM1553"/>
      <c r="FN1553"/>
      <c r="FO1553"/>
      <c r="FP1553"/>
      <c r="FQ1553"/>
      <c r="FR1553"/>
      <c r="FS1553"/>
      <c r="FT1553"/>
      <c r="FU1553"/>
      <c r="FV1553"/>
      <c r="FW1553"/>
      <c r="FX1553"/>
      <c r="FY1553"/>
      <c r="FZ1553"/>
      <c r="GA1553"/>
      <c r="GB1553"/>
      <c r="GC1553"/>
    </row>
    <row r="1554" spans="167:185" x14ac:dyDescent="0.15">
      <c r="FK1554"/>
      <c r="FL1554"/>
      <c r="FM1554"/>
      <c r="FN1554"/>
      <c r="FO1554"/>
      <c r="FP1554"/>
      <c r="FQ1554"/>
      <c r="FR1554"/>
      <c r="FS1554"/>
      <c r="FT1554"/>
      <c r="FU1554"/>
      <c r="FV1554"/>
      <c r="FW1554"/>
      <c r="FX1554"/>
      <c r="FY1554"/>
      <c r="FZ1554"/>
      <c r="GA1554"/>
      <c r="GB1554"/>
      <c r="GC1554"/>
    </row>
    <row r="1555" spans="167:185" x14ac:dyDescent="0.15">
      <c r="FK1555"/>
      <c r="FL1555"/>
      <c r="FM1555"/>
      <c r="FN1555"/>
      <c r="FO1555"/>
      <c r="FP1555"/>
      <c r="FQ1555"/>
      <c r="FR1555"/>
      <c r="FS1555"/>
      <c r="FT1555"/>
      <c r="FU1555"/>
      <c r="FV1555"/>
      <c r="FW1555"/>
      <c r="FX1555"/>
      <c r="FY1555"/>
      <c r="FZ1555"/>
      <c r="GA1555"/>
      <c r="GB1555"/>
      <c r="GC1555"/>
    </row>
    <row r="1556" spans="167:185" x14ac:dyDescent="0.15">
      <c r="FK1556"/>
      <c r="FL1556"/>
      <c r="FM1556"/>
      <c r="FN1556"/>
      <c r="FO1556"/>
      <c r="FP1556"/>
      <c r="FQ1556"/>
      <c r="FR1556"/>
      <c r="FS1556"/>
      <c r="FT1556"/>
      <c r="FU1556"/>
      <c r="FV1556"/>
      <c r="FW1556"/>
      <c r="FX1556"/>
      <c r="FY1556"/>
      <c r="FZ1556"/>
      <c r="GA1556"/>
      <c r="GB1556"/>
      <c r="GC1556"/>
    </row>
    <row r="1557" spans="167:185" x14ac:dyDescent="0.15">
      <c r="FK1557"/>
      <c r="FL1557"/>
      <c r="FM1557"/>
      <c r="FN1557"/>
      <c r="FO1557"/>
      <c r="FP1557"/>
      <c r="FQ1557"/>
      <c r="FR1557"/>
      <c r="FS1557"/>
      <c r="FT1557"/>
      <c r="FU1557"/>
      <c r="FV1557"/>
      <c r="FW1557"/>
      <c r="FX1557"/>
      <c r="FY1557"/>
      <c r="FZ1557"/>
      <c r="GA1557"/>
      <c r="GB1557"/>
      <c r="GC1557"/>
    </row>
    <row r="1558" spans="167:185" x14ac:dyDescent="0.15">
      <c r="FK1558"/>
      <c r="FL1558"/>
      <c r="FM1558"/>
      <c r="FN1558"/>
      <c r="FO1558"/>
      <c r="FP1558"/>
      <c r="FQ1558"/>
      <c r="FR1558"/>
      <c r="FS1558"/>
      <c r="FT1558"/>
      <c r="FU1558"/>
      <c r="FV1558"/>
      <c r="FW1558"/>
      <c r="FX1558"/>
      <c r="FY1558"/>
      <c r="FZ1558"/>
      <c r="GA1558"/>
      <c r="GB1558"/>
      <c r="GC1558"/>
    </row>
    <row r="1559" spans="167:185" x14ac:dyDescent="0.15">
      <c r="FK1559"/>
      <c r="FL1559"/>
      <c r="FM1559"/>
      <c r="FN1559"/>
      <c r="FO1559"/>
      <c r="FP1559"/>
      <c r="FQ1559"/>
      <c r="FR1559"/>
      <c r="FS1559"/>
      <c r="FT1559"/>
      <c r="FU1559"/>
      <c r="FV1559"/>
      <c r="FW1559"/>
      <c r="FX1559"/>
      <c r="FY1559"/>
      <c r="FZ1559"/>
      <c r="GA1559"/>
      <c r="GB1559"/>
      <c r="GC1559"/>
    </row>
    <row r="1560" spans="167:185" x14ac:dyDescent="0.15">
      <c r="FK1560"/>
      <c r="FL1560"/>
      <c r="FM1560"/>
      <c r="FN1560"/>
      <c r="FO1560"/>
      <c r="FP1560"/>
      <c r="FQ1560"/>
      <c r="FR1560"/>
      <c r="FS1560"/>
      <c r="FT1560"/>
      <c r="FU1560"/>
      <c r="FV1560"/>
      <c r="FW1560"/>
      <c r="FX1560"/>
      <c r="FY1560"/>
      <c r="FZ1560"/>
      <c r="GA1560"/>
      <c r="GB1560"/>
      <c r="GC1560"/>
    </row>
    <row r="1561" spans="167:185" x14ac:dyDescent="0.15">
      <c r="FK1561"/>
      <c r="FL1561"/>
      <c r="FM1561"/>
      <c r="FN1561"/>
      <c r="FO1561"/>
      <c r="FP1561"/>
      <c r="FQ1561"/>
      <c r="FR1561"/>
      <c r="FS1561"/>
      <c r="FT1561"/>
      <c r="FU1561"/>
      <c r="FV1561"/>
      <c r="FW1561"/>
      <c r="FX1561"/>
      <c r="FY1561"/>
      <c r="FZ1561"/>
      <c r="GA1561"/>
      <c r="GB1561"/>
      <c r="GC1561"/>
    </row>
    <row r="1562" spans="167:185" x14ac:dyDescent="0.15">
      <c r="FK1562"/>
      <c r="FL1562"/>
      <c r="FM1562"/>
      <c r="FN1562"/>
      <c r="FO1562"/>
      <c r="FP1562"/>
      <c r="FQ1562"/>
      <c r="FR1562"/>
      <c r="FS1562"/>
      <c r="FT1562"/>
      <c r="FU1562"/>
      <c r="FV1562"/>
      <c r="FW1562"/>
      <c r="FX1562"/>
      <c r="FY1562"/>
      <c r="FZ1562"/>
      <c r="GA1562"/>
      <c r="GB1562"/>
      <c r="GC1562"/>
    </row>
    <row r="1563" spans="167:185" x14ac:dyDescent="0.15">
      <c r="FK1563"/>
      <c r="FL1563"/>
      <c r="FM1563"/>
      <c r="FN1563"/>
      <c r="FO1563"/>
      <c r="FP1563"/>
      <c r="FQ1563"/>
      <c r="FR1563"/>
      <c r="FS1563"/>
      <c r="FT1563"/>
      <c r="FU1563"/>
      <c r="FV1563"/>
      <c r="FW1563"/>
      <c r="FX1563"/>
      <c r="FY1563"/>
      <c r="FZ1563"/>
      <c r="GA1563"/>
      <c r="GB1563"/>
      <c r="GC1563"/>
    </row>
    <row r="1564" spans="167:185" x14ac:dyDescent="0.15">
      <c r="FK1564"/>
      <c r="FL1564"/>
      <c r="FM1564"/>
      <c r="FN1564"/>
      <c r="FO1564"/>
      <c r="FP1564"/>
      <c r="FQ1564"/>
      <c r="FR1564"/>
      <c r="FS1564"/>
      <c r="FT1564"/>
      <c r="FU1564"/>
      <c r="FV1564"/>
      <c r="FW1564"/>
      <c r="FX1564"/>
      <c r="FY1564"/>
      <c r="FZ1564"/>
      <c r="GA1564"/>
      <c r="GB1564"/>
      <c r="GC1564"/>
    </row>
    <row r="1565" spans="167:185" x14ac:dyDescent="0.15">
      <c r="FK1565"/>
      <c r="FL1565"/>
      <c r="FM1565"/>
      <c r="FN1565"/>
      <c r="FO1565"/>
      <c r="FP1565"/>
      <c r="FQ1565"/>
      <c r="FR1565"/>
      <c r="FS1565"/>
      <c r="FT1565"/>
      <c r="FU1565"/>
      <c r="FV1565"/>
      <c r="FW1565"/>
      <c r="FX1565"/>
      <c r="FY1565"/>
      <c r="FZ1565"/>
      <c r="GA1565"/>
      <c r="GB1565"/>
      <c r="GC1565"/>
    </row>
    <row r="1566" spans="167:185" x14ac:dyDescent="0.15">
      <c r="FK1566"/>
      <c r="FL1566"/>
      <c r="FM1566"/>
      <c r="FN1566"/>
      <c r="FO1566"/>
      <c r="FP1566"/>
      <c r="FQ1566"/>
      <c r="FR1566"/>
      <c r="FS1566"/>
      <c r="FT1566"/>
      <c r="FU1566"/>
      <c r="FV1566"/>
      <c r="FW1566"/>
      <c r="FX1566"/>
      <c r="FY1566"/>
      <c r="FZ1566"/>
      <c r="GA1566"/>
      <c r="GB1566"/>
      <c r="GC1566"/>
    </row>
    <row r="1567" spans="167:185" x14ac:dyDescent="0.15">
      <c r="FK1567"/>
      <c r="FL1567"/>
      <c r="FM1567"/>
      <c r="FN1567"/>
      <c r="FO1567"/>
      <c r="FP1567"/>
      <c r="FQ1567"/>
      <c r="FR1567"/>
      <c r="FS1567"/>
      <c r="FT1567"/>
      <c r="FU1567"/>
      <c r="FV1567"/>
      <c r="FW1567"/>
      <c r="FX1567"/>
      <c r="FY1567"/>
      <c r="FZ1567"/>
      <c r="GA1567"/>
      <c r="GB1567"/>
      <c r="GC1567"/>
    </row>
    <row r="1568" spans="167:185" x14ac:dyDescent="0.15">
      <c r="FK1568"/>
      <c r="FL1568"/>
      <c r="FM1568"/>
      <c r="FN1568"/>
      <c r="FO1568"/>
      <c r="FP1568"/>
      <c r="FQ1568"/>
      <c r="FR1568"/>
      <c r="FS1568"/>
      <c r="FT1568"/>
      <c r="FU1568"/>
      <c r="FV1568"/>
      <c r="FW1568"/>
      <c r="FX1568"/>
      <c r="FY1568"/>
      <c r="FZ1568"/>
      <c r="GA1568"/>
      <c r="GB1568"/>
      <c r="GC1568"/>
    </row>
    <row r="1569" spans="167:185" x14ac:dyDescent="0.15">
      <c r="FK1569"/>
      <c r="FL1569"/>
      <c r="FM1569"/>
      <c r="FN1569"/>
      <c r="FO1569"/>
      <c r="FP1569"/>
      <c r="FQ1569"/>
      <c r="FR1569"/>
      <c r="FS1569"/>
      <c r="FT1569"/>
      <c r="FU1569"/>
      <c r="FV1569"/>
      <c r="FW1569"/>
      <c r="FX1569"/>
      <c r="FY1569"/>
      <c r="FZ1569"/>
      <c r="GA1569"/>
      <c r="GB1569"/>
      <c r="GC1569"/>
    </row>
    <row r="1570" spans="167:185" x14ac:dyDescent="0.15">
      <c r="FK1570"/>
      <c r="FL1570"/>
      <c r="FM1570"/>
      <c r="FN1570"/>
      <c r="FO1570"/>
      <c r="FP1570"/>
      <c r="FQ1570"/>
      <c r="FR1570"/>
      <c r="FS1570"/>
      <c r="FT1570"/>
      <c r="FU1570"/>
      <c r="FV1570"/>
      <c r="FW1570"/>
      <c r="FX1570"/>
      <c r="FY1570"/>
      <c r="FZ1570"/>
      <c r="GA1570"/>
      <c r="GB1570"/>
      <c r="GC1570"/>
    </row>
    <row r="1571" spans="167:185" x14ac:dyDescent="0.15">
      <c r="FK1571"/>
      <c r="FL1571"/>
      <c r="FM1571"/>
      <c r="FN1571"/>
      <c r="FO1571"/>
      <c r="FP1571"/>
      <c r="FQ1571"/>
      <c r="FR1571"/>
      <c r="FS1571"/>
      <c r="FT1571"/>
      <c r="FU1571"/>
      <c r="FV1571"/>
      <c r="FW1571"/>
      <c r="FX1571"/>
      <c r="FY1571"/>
      <c r="FZ1571"/>
      <c r="GA1571"/>
      <c r="GB1571"/>
      <c r="GC1571"/>
    </row>
    <row r="1572" spans="167:185" x14ac:dyDescent="0.15">
      <c r="FK1572"/>
      <c r="FL1572"/>
      <c r="FM1572"/>
      <c r="FN1572"/>
      <c r="FO1572"/>
      <c r="FP1572"/>
      <c r="FQ1572"/>
      <c r="FR1572"/>
      <c r="FS1572"/>
      <c r="FT1572"/>
      <c r="FU1572"/>
      <c r="FV1572"/>
      <c r="FW1572"/>
      <c r="FX1572"/>
      <c r="FY1572"/>
      <c r="FZ1572"/>
      <c r="GA1572"/>
      <c r="GB1572"/>
      <c r="GC1572"/>
    </row>
    <row r="1573" spans="167:185" x14ac:dyDescent="0.15">
      <c r="FK1573"/>
      <c r="FL1573"/>
      <c r="FM1573"/>
      <c r="FN1573"/>
      <c r="FO1573"/>
      <c r="FP1573"/>
      <c r="FQ1573"/>
      <c r="FR1573"/>
      <c r="FS1573"/>
      <c r="FT1573"/>
      <c r="FU1573"/>
      <c r="FV1573"/>
      <c r="FW1573"/>
      <c r="FX1573"/>
      <c r="FY1573"/>
      <c r="FZ1573"/>
      <c r="GA1573"/>
      <c r="GB1573"/>
      <c r="GC1573"/>
    </row>
    <row r="1574" spans="167:185" x14ac:dyDescent="0.15">
      <c r="FK1574"/>
      <c r="FL1574"/>
      <c r="FM1574"/>
      <c r="FN1574"/>
      <c r="FO1574"/>
      <c r="FP1574"/>
      <c r="FQ1574"/>
      <c r="FR1574"/>
      <c r="FS1574"/>
      <c r="FT1574"/>
      <c r="FU1574"/>
      <c r="FV1574"/>
      <c r="FW1574"/>
      <c r="FX1574"/>
      <c r="FY1574"/>
      <c r="FZ1574"/>
      <c r="GA1574"/>
      <c r="GB1574"/>
      <c r="GC1574"/>
    </row>
    <row r="1575" spans="167:185" x14ac:dyDescent="0.15">
      <c r="FK1575"/>
      <c r="FL1575"/>
      <c r="FM1575"/>
      <c r="FN1575"/>
      <c r="FO1575"/>
      <c r="FP1575"/>
      <c r="FQ1575"/>
      <c r="FR1575"/>
      <c r="FS1575"/>
      <c r="FT1575"/>
      <c r="FU1575"/>
      <c r="FV1575"/>
      <c r="FW1575"/>
      <c r="FX1575"/>
      <c r="FY1575"/>
      <c r="FZ1575"/>
      <c r="GA1575"/>
      <c r="GB1575"/>
      <c r="GC1575"/>
    </row>
    <row r="1576" spans="167:185" x14ac:dyDescent="0.15">
      <c r="FK1576"/>
      <c r="FL1576"/>
      <c r="FM1576"/>
      <c r="FN1576"/>
      <c r="FO1576"/>
      <c r="FP1576"/>
      <c r="FQ1576"/>
      <c r="FR1576"/>
      <c r="FS1576"/>
      <c r="FT1576"/>
      <c r="FU1576"/>
      <c r="FV1576"/>
      <c r="FW1576"/>
      <c r="FX1576"/>
      <c r="FY1576"/>
      <c r="FZ1576"/>
      <c r="GA1576"/>
      <c r="GB1576"/>
      <c r="GC1576"/>
    </row>
    <row r="1577" spans="167:185" x14ac:dyDescent="0.15">
      <c r="FK1577"/>
      <c r="FL1577"/>
      <c r="FM1577"/>
      <c r="FN1577"/>
      <c r="FO1577"/>
      <c r="FP1577"/>
      <c r="FQ1577"/>
      <c r="FR1577"/>
      <c r="FS1577"/>
      <c r="FT1577"/>
      <c r="FU1577"/>
      <c r="FV1577"/>
      <c r="FW1577"/>
      <c r="FX1577"/>
      <c r="FY1577"/>
      <c r="FZ1577"/>
      <c r="GA1577"/>
      <c r="GB1577"/>
      <c r="GC1577"/>
    </row>
    <row r="1578" spans="167:185" x14ac:dyDescent="0.15">
      <c r="FK1578"/>
      <c r="FL1578"/>
      <c r="FM1578"/>
      <c r="FN1578"/>
      <c r="FO1578"/>
      <c r="FP1578"/>
      <c r="FQ1578"/>
      <c r="FR1578"/>
      <c r="FS1578"/>
      <c r="FT1578"/>
      <c r="FU1578"/>
      <c r="FV1578"/>
      <c r="FW1578"/>
      <c r="FX1578"/>
      <c r="FY1578"/>
      <c r="FZ1578"/>
      <c r="GA1578"/>
      <c r="GB1578"/>
      <c r="GC1578"/>
    </row>
    <row r="1579" spans="167:185" x14ac:dyDescent="0.15">
      <c r="FK1579"/>
      <c r="FL1579"/>
      <c r="FM1579"/>
      <c r="FN1579"/>
      <c r="FO1579"/>
      <c r="FP1579"/>
      <c r="FQ1579"/>
      <c r="FR1579"/>
      <c r="FS1579"/>
      <c r="FT1579"/>
      <c r="FU1579"/>
      <c r="FV1579"/>
      <c r="FW1579"/>
      <c r="FX1579"/>
      <c r="FY1579"/>
      <c r="FZ1579"/>
      <c r="GA1579"/>
      <c r="GB1579"/>
      <c r="GC1579"/>
    </row>
    <row r="1580" spans="167:185" x14ac:dyDescent="0.15">
      <c r="FK1580"/>
      <c r="FL1580"/>
      <c r="FM1580"/>
      <c r="FN1580"/>
      <c r="FO1580"/>
      <c r="FP1580"/>
      <c r="FQ1580"/>
      <c r="FR1580"/>
      <c r="FS1580"/>
      <c r="FT1580"/>
      <c r="FU1580"/>
      <c r="FV1580"/>
      <c r="FW1580"/>
      <c r="FX1580"/>
      <c r="FY1580"/>
      <c r="FZ1580"/>
      <c r="GA1580"/>
      <c r="GB1580"/>
      <c r="GC1580"/>
    </row>
    <row r="1581" spans="167:185" x14ac:dyDescent="0.15">
      <c r="FK1581"/>
      <c r="FL1581"/>
      <c r="FM1581"/>
      <c r="FN1581"/>
      <c r="FO1581"/>
      <c r="FP1581"/>
      <c r="FQ1581"/>
      <c r="FR1581"/>
      <c r="FS1581"/>
      <c r="FT1581"/>
      <c r="FU1581"/>
      <c r="FV1581"/>
      <c r="FW1581"/>
      <c r="FX1581"/>
      <c r="FY1581"/>
      <c r="FZ1581"/>
      <c r="GA1581"/>
      <c r="GB1581"/>
      <c r="GC1581"/>
    </row>
    <row r="1582" spans="167:185" x14ac:dyDescent="0.15">
      <c r="FK1582"/>
      <c r="FL1582"/>
      <c r="FM1582"/>
      <c r="FN1582"/>
      <c r="FO1582"/>
      <c r="FP1582"/>
      <c r="FQ1582"/>
      <c r="FR1582"/>
      <c r="FS1582"/>
      <c r="FT1582"/>
      <c r="FU1582"/>
      <c r="FV1582"/>
      <c r="FW1582"/>
      <c r="FX1582"/>
      <c r="FY1582"/>
      <c r="FZ1582"/>
      <c r="GA1582"/>
      <c r="GB1582"/>
      <c r="GC1582"/>
    </row>
    <row r="1583" spans="167:185" x14ac:dyDescent="0.15">
      <c r="FK1583"/>
      <c r="FL1583"/>
      <c r="FM1583"/>
      <c r="FN1583"/>
      <c r="FO1583"/>
      <c r="FP1583"/>
      <c r="FQ1583"/>
      <c r="FR1583"/>
      <c r="FS1583"/>
      <c r="FT1583"/>
      <c r="FU1583"/>
      <c r="FV1583"/>
      <c r="FW1583"/>
      <c r="FX1583"/>
      <c r="FY1583"/>
      <c r="FZ1583"/>
      <c r="GA1583"/>
      <c r="GB1583"/>
      <c r="GC1583"/>
    </row>
    <row r="1584" spans="167:185" x14ac:dyDescent="0.15">
      <c r="FK1584"/>
      <c r="FL1584"/>
      <c r="FM1584"/>
      <c r="FN1584"/>
      <c r="FO1584"/>
      <c r="FP1584"/>
      <c r="FQ1584"/>
      <c r="FR1584"/>
      <c r="FS1584"/>
      <c r="FT1584"/>
      <c r="FU1584"/>
      <c r="FV1584"/>
      <c r="FW1584"/>
      <c r="FX1584"/>
      <c r="FY1584"/>
      <c r="FZ1584"/>
      <c r="GA1584"/>
      <c r="GB1584"/>
      <c r="GC1584"/>
    </row>
    <row r="1585" spans="167:185" x14ac:dyDescent="0.15">
      <c r="FK1585"/>
      <c r="FL1585"/>
      <c r="FM1585"/>
      <c r="FN1585"/>
      <c r="FO1585"/>
      <c r="FP1585"/>
      <c r="FQ1585"/>
      <c r="FR1585"/>
      <c r="FS1585"/>
      <c r="FT1585"/>
      <c r="FU1585"/>
      <c r="FV1585"/>
      <c r="FW1585"/>
      <c r="FX1585"/>
      <c r="FY1585"/>
      <c r="FZ1585"/>
      <c r="GA1585"/>
      <c r="GB1585"/>
      <c r="GC1585"/>
    </row>
    <row r="1586" spans="167:185" x14ac:dyDescent="0.15">
      <c r="FK1586"/>
      <c r="FL1586"/>
      <c r="FM1586"/>
      <c r="FN1586"/>
      <c r="FO1586"/>
      <c r="FP1586"/>
      <c r="FQ1586"/>
      <c r="FR1586"/>
      <c r="FS1586"/>
      <c r="FT1586"/>
      <c r="FU1586"/>
      <c r="FV1586"/>
      <c r="FW1586"/>
      <c r="FX1586"/>
      <c r="FY1586"/>
      <c r="FZ1586"/>
      <c r="GA1586"/>
      <c r="GB1586"/>
      <c r="GC1586"/>
    </row>
    <row r="1587" spans="167:185" x14ac:dyDescent="0.15">
      <c r="FK1587"/>
      <c r="FL1587"/>
      <c r="FM1587"/>
      <c r="FN1587"/>
      <c r="FO1587"/>
      <c r="FP1587"/>
      <c r="FQ1587"/>
      <c r="FR1587"/>
      <c r="FS1587"/>
      <c r="FT1587"/>
      <c r="FU1587"/>
      <c r="FV1587"/>
      <c r="FW1587"/>
      <c r="FX1587"/>
      <c r="FY1587"/>
      <c r="FZ1587"/>
      <c r="GA1587"/>
      <c r="GB1587"/>
      <c r="GC1587"/>
    </row>
    <row r="1588" spans="167:185" x14ac:dyDescent="0.15">
      <c r="FK1588"/>
      <c r="FL1588"/>
      <c r="FM1588"/>
      <c r="FN1588"/>
      <c r="FO1588"/>
      <c r="FP1588"/>
      <c r="FQ1588"/>
      <c r="FR1588"/>
      <c r="FS1588"/>
      <c r="FT1588"/>
      <c r="FU1588"/>
      <c r="FV1588"/>
      <c r="FW1588"/>
      <c r="FX1588"/>
      <c r="FY1588"/>
      <c r="FZ1588"/>
      <c r="GA1588"/>
      <c r="GB1588"/>
      <c r="GC1588"/>
    </row>
    <row r="1589" spans="167:185" x14ac:dyDescent="0.15">
      <c r="FK1589"/>
      <c r="FL1589"/>
      <c r="FM1589"/>
      <c r="FN1589"/>
      <c r="FO1589"/>
      <c r="FP1589"/>
      <c r="FQ1589"/>
      <c r="FR1589"/>
      <c r="FS1589"/>
      <c r="FT1589"/>
      <c r="FU1589"/>
      <c r="FV1589"/>
      <c r="FW1589"/>
      <c r="FX1589"/>
      <c r="FY1589"/>
      <c r="FZ1589"/>
      <c r="GA1589"/>
      <c r="GB1589"/>
      <c r="GC1589"/>
    </row>
    <row r="1590" spans="167:185" x14ac:dyDescent="0.15">
      <c r="FK1590"/>
      <c r="FL1590"/>
      <c r="FM1590"/>
      <c r="FN1590"/>
      <c r="FO1590"/>
      <c r="FP1590"/>
      <c r="FQ1590"/>
      <c r="FR1590"/>
      <c r="FS1590"/>
      <c r="FT1590"/>
      <c r="FU1590"/>
      <c r="FV1590"/>
      <c r="FW1590"/>
      <c r="FX1590"/>
      <c r="FY1590"/>
      <c r="FZ1590"/>
      <c r="GA1590"/>
      <c r="GB1590"/>
      <c r="GC1590"/>
    </row>
    <row r="1591" spans="167:185" x14ac:dyDescent="0.15">
      <c r="FK1591"/>
      <c r="FL1591"/>
      <c r="FM1591"/>
      <c r="FN1591"/>
      <c r="FO1591"/>
      <c r="FP1591"/>
      <c r="FQ1591"/>
      <c r="FR1591"/>
      <c r="FS1591"/>
      <c r="FT1591"/>
      <c r="FU1591"/>
      <c r="FV1591"/>
      <c r="FW1591"/>
      <c r="FX1591"/>
      <c r="FY1591"/>
      <c r="FZ1591"/>
      <c r="GA1591"/>
      <c r="GB1591"/>
      <c r="GC1591"/>
    </row>
    <row r="1592" spans="167:185" x14ac:dyDescent="0.15">
      <c r="FK1592"/>
      <c r="FL1592"/>
      <c r="FM1592"/>
      <c r="FN1592"/>
      <c r="FO1592"/>
      <c r="FP1592"/>
      <c r="FQ1592"/>
      <c r="FR1592"/>
      <c r="FS1592"/>
      <c r="FT1592"/>
      <c r="FU1592"/>
      <c r="FV1592"/>
      <c r="FW1592"/>
      <c r="FX1592"/>
      <c r="FY1592"/>
      <c r="FZ1592"/>
      <c r="GA1592"/>
      <c r="GB1592"/>
      <c r="GC1592"/>
    </row>
    <row r="1593" spans="167:185" x14ac:dyDescent="0.15">
      <c r="FK1593"/>
      <c r="FL1593"/>
      <c r="FM1593"/>
      <c r="FN1593"/>
      <c r="FO1593"/>
      <c r="FP1593"/>
      <c r="FQ1593"/>
      <c r="FR1593"/>
      <c r="FS1593"/>
      <c r="FT1593"/>
      <c r="FU1593"/>
      <c r="FV1593"/>
      <c r="FW1593"/>
      <c r="FX1593"/>
      <c r="FY1593"/>
      <c r="FZ1593"/>
      <c r="GA1593"/>
      <c r="GB1593"/>
      <c r="GC1593"/>
    </row>
    <row r="1594" spans="167:185" x14ac:dyDescent="0.15">
      <c r="FK1594"/>
      <c r="FL1594"/>
      <c r="FM1594"/>
      <c r="FN1594"/>
      <c r="FO1594"/>
      <c r="FP1594"/>
      <c r="FQ1594"/>
      <c r="FR1594"/>
      <c r="FS1594"/>
      <c r="FT1594"/>
      <c r="FU1594"/>
      <c r="FV1594"/>
      <c r="FW1594"/>
      <c r="FX1594"/>
      <c r="FY1594"/>
      <c r="FZ1594"/>
      <c r="GA1594"/>
      <c r="GB1594"/>
      <c r="GC1594"/>
    </row>
    <row r="1595" spans="167:185" x14ac:dyDescent="0.15">
      <c r="FK1595"/>
      <c r="FL1595"/>
      <c r="FM1595"/>
      <c r="FN1595"/>
      <c r="FO1595"/>
      <c r="FP1595"/>
      <c r="FQ1595"/>
      <c r="FR1595"/>
      <c r="FS1595"/>
      <c r="FT1595"/>
      <c r="FU1595"/>
      <c r="FV1595"/>
      <c r="FW1595"/>
      <c r="FX1595"/>
      <c r="FY1595"/>
      <c r="FZ1595"/>
      <c r="GA1595"/>
      <c r="GB1595"/>
      <c r="GC1595"/>
    </row>
    <row r="1596" spans="167:185" x14ac:dyDescent="0.15">
      <c r="FK1596"/>
      <c r="FL1596"/>
      <c r="FM1596"/>
      <c r="FN1596"/>
      <c r="FO1596"/>
      <c r="FP1596"/>
      <c r="FQ1596"/>
      <c r="FR1596"/>
      <c r="FS1596"/>
      <c r="FT1596"/>
      <c r="FU1596"/>
      <c r="FV1596"/>
      <c r="FW1596"/>
      <c r="FX1596"/>
      <c r="FY1596"/>
      <c r="FZ1596"/>
      <c r="GA1596"/>
      <c r="GB1596"/>
      <c r="GC1596"/>
    </row>
    <row r="1597" spans="167:185" x14ac:dyDescent="0.15">
      <c r="FK1597"/>
      <c r="FL1597"/>
      <c r="FM1597"/>
      <c r="FN1597"/>
      <c r="FO1597"/>
      <c r="FP1597"/>
      <c r="FQ1597"/>
      <c r="FR1597"/>
      <c r="FS1597"/>
      <c r="FT1597"/>
      <c r="FU1597"/>
      <c r="FV1597"/>
      <c r="FW1597"/>
      <c r="FX1597"/>
      <c r="FY1597"/>
      <c r="FZ1597"/>
      <c r="GA1597"/>
      <c r="GB1597"/>
      <c r="GC1597"/>
    </row>
    <row r="1598" spans="167:185" x14ac:dyDescent="0.15">
      <c r="FK1598"/>
      <c r="FL1598"/>
      <c r="FM1598"/>
      <c r="FN1598"/>
      <c r="FO1598"/>
      <c r="FP1598"/>
      <c r="FQ1598"/>
      <c r="FR1598"/>
      <c r="FS1598"/>
      <c r="FT1598"/>
      <c r="FU1598"/>
      <c r="FV1598"/>
      <c r="FW1598"/>
      <c r="FX1598"/>
      <c r="FY1598"/>
      <c r="FZ1598"/>
      <c r="GA1598"/>
      <c r="GB1598"/>
      <c r="GC1598"/>
    </row>
    <row r="1599" spans="167:185" x14ac:dyDescent="0.15">
      <c r="FK1599"/>
      <c r="FL1599"/>
      <c r="FM1599"/>
      <c r="FN1599"/>
      <c r="FO1599"/>
      <c r="FP1599"/>
      <c r="FQ1599"/>
      <c r="FR1599"/>
      <c r="FS1599"/>
      <c r="FT1599"/>
      <c r="FU1599"/>
      <c r="FV1599"/>
      <c r="FW1599"/>
      <c r="FX1599"/>
      <c r="FY1599"/>
      <c r="FZ1599"/>
      <c r="GA1599"/>
      <c r="GB1599"/>
      <c r="GC1599"/>
    </row>
    <row r="1600" spans="167:185" x14ac:dyDescent="0.15">
      <c r="FK1600"/>
      <c r="FL1600"/>
      <c r="FM1600"/>
      <c r="FN1600"/>
      <c r="FO1600"/>
      <c r="FP1600"/>
      <c r="FQ1600"/>
      <c r="FR1600"/>
      <c r="FS1600"/>
      <c r="FT1600"/>
      <c r="FU1600"/>
      <c r="FV1600"/>
      <c r="FW1600"/>
      <c r="FX1600"/>
      <c r="FY1600"/>
      <c r="FZ1600"/>
      <c r="GA1600"/>
      <c r="GB1600"/>
      <c r="GC1600"/>
    </row>
    <row r="1601" spans="167:185" x14ac:dyDescent="0.15">
      <c r="FK1601"/>
      <c r="FL1601"/>
      <c r="FM1601"/>
      <c r="FN1601"/>
      <c r="FO1601"/>
      <c r="FP1601"/>
      <c r="FQ1601"/>
      <c r="FR1601"/>
      <c r="FS1601"/>
      <c r="FT1601"/>
      <c r="FU1601"/>
      <c r="FV1601"/>
      <c r="FW1601"/>
      <c r="FX1601"/>
      <c r="FY1601"/>
      <c r="FZ1601"/>
      <c r="GA1601"/>
      <c r="GB1601"/>
      <c r="GC1601"/>
    </row>
    <row r="1602" spans="167:185" x14ac:dyDescent="0.15">
      <c r="FK1602"/>
      <c r="FL1602"/>
      <c r="FM1602"/>
      <c r="FN1602"/>
      <c r="FO1602"/>
      <c r="FP1602"/>
      <c r="FQ1602"/>
      <c r="FR1602"/>
      <c r="FS1602"/>
      <c r="FT1602"/>
      <c r="FU1602"/>
      <c r="FV1602"/>
      <c r="FW1602"/>
      <c r="FX1602"/>
      <c r="FY1602"/>
      <c r="FZ1602"/>
      <c r="GA1602"/>
      <c r="GB1602"/>
      <c r="GC1602"/>
    </row>
    <row r="1603" spans="167:185" x14ac:dyDescent="0.15">
      <c r="FK1603"/>
      <c r="FL1603"/>
      <c r="FM1603"/>
      <c r="FN1603"/>
      <c r="FO1603"/>
      <c r="FP1603"/>
      <c r="FQ1603"/>
      <c r="FR1603"/>
      <c r="FS1603"/>
      <c r="FT1603"/>
      <c r="FU1603"/>
      <c r="FV1603"/>
      <c r="FW1603"/>
      <c r="FX1603"/>
      <c r="FY1603"/>
      <c r="FZ1603"/>
      <c r="GA1603"/>
      <c r="GB1603"/>
      <c r="GC1603"/>
    </row>
    <row r="1604" spans="167:185" x14ac:dyDescent="0.15">
      <c r="FK1604"/>
      <c r="FL1604"/>
      <c r="FM1604"/>
      <c r="FN1604"/>
      <c r="FO1604"/>
      <c r="FP1604"/>
      <c r="FQ1604"/>
      <c r="FR1604"/>
      <c r="FS1604"/>
      <c r="FT1604"/>
      <c r="FU1604"/>
      <c r="FV1604"/>
      <c r="FW1604"/>
      <c r="FX1604"/>
      <c r="FY1604"/>
      <c r="FZ1604"/>
      <c r="GA1604"/>
      <c r="GB1604"/>
      <c r="GC1604"/>
    </row>
    <row r="1605" spans="167:185" x14ac:dyDescent="0.15">
      <c r="FK1605"/>
      <c r="FL1605"/>
      <c r="FM1605"/>
      <c r="FN1605"/>
      <c r="FO1605"/>
      <c r="FP1605"/>
      <c r="FQ1605"/>
      <c r="FR1605"/>
      <c r="FS1605"/>
      <c r="FT1605"/>
      <c r="FU1605"/>
      <c r="FV1605"/>
      <c r="FW1605"/>
      <c r="FX1605"/>
      <c r="FY1605"/>
      <c r="FZ1605"/>
      <c r="GA1605"/>
      <c r="GB1605"/>
      <c r="GC1605"/>
    </row>
    <row r="1606" spans="167:185" x14ac:dyDescent="0.15">
      <c r="FK1606"/>
      <c r="FL1606"/>
      <c r="FM1606"/>
      <c r="FN1606"/>
      <c r="FO1606"/>
      <c r="FP1606"/>
      <c r="FQ1606"/>
      <c r="FR1606"/>
      <c r="FS1606"/>
      <c r="FT1606"/>
      <c r="FU1606"/>
      <c r="FV1606"/>
      <c r="FW1606"/>
      <c r="FX1606"/>
      <c r="FY1606"/>
      <c r="FZ1606"/>
      <c r="GA1606"/>
      <c r="GB1606"/>
      <c r="GC1606"/>
    </row>
    <row r="1607" spans="167:185" x14ac:dyDescent="0.15">
      <c r="FK1607"/>
      <c r="FL1607"/>
      <c r="FM1607"/>
      <c r="FN1607"/>
      <c r="FO1607"/>
      <c r="FP1607"/>
      <c r="FQ1607"/>
      <c r="FR1607"/>
      <c r="FS1607"/>
      <c r="FT1607"/>
      <c r="FU1607"/>
      <c r="FV1607"/>
      <c r="FW1607"/>
      <c r="FX1607"/>
      <c r="FY1607"/>
      <c r="FZ1607"/>
      <c r="GA1607"/>
      <c r="GB1607"/>
      <c r="GC1607"/>
    </row>
    <row r="1608" spans="167:185" x14ac:dyDescent="0.15">
      <c r="FK1608"/>
      <c r="FL1608"/>
      <c r="FM1608"/>
      <c r="FN1608"/>
      <c r="FO1608"/>
      <c r="FP1608"/>
      <c r="FQ1608"/>
      <c r="FR1608"/>
      <c r="FS1608"/>
      <c r="FT1608"/>
      <c r="FU1608"/>
      <c r="FV1608"/>
      <c r="FW1608"/>
      <c r="FX1608"/>
      <c r="FY1608"/>
      <c r="FZ1608"/>
      <c r="GA1608"/>
      <c r="GB1608"/>
      <c r="GC1608"/>
    </row>
    <row r="1609" spans="167:185" x14ac:dyDescent="0.15">
      <c r="FK1609"/>
      <c r="FL1609"/>
      <c r="FM1609"/>
      <c r="FN1609"/>
      <c r="FO1609"/>
      <c r="FP1609"/>
      <c r="FQ1609"/>
      <c r="FR1609"/>
      <c r="FS1609"/>
      <c r="FT1609"/>
      <c r="FU1609"/>
      <c r="FV1609"/>
      <c r="FW1609"/>
      <c r="FX1609"/>
      <c r="FY1609"/>
      <c r="FZ1609"/>
      <c r="GA1609"/>
      <c r="GB1609"/>
      <c r="GC1609"/>
    </row>
    <row r="1610" spans="167:185" x14ac:dyDescent="0.15">
      <c r="FK1610"/>
      <c r="FL1610"/>
      <c r="FM1610"/>
      <c r="FN1610"/>
      <c r="FO1610"/>
      <c r="FP1610"/>
      <c r="FQ1610"/>
      <c r="FR1610"/>
      <c r="FS1610"/>
      <c r="FT1610"/>
      <c r="FU1610"/>
      <c r="FV1610"/>
      <c r="FW1610"/>
      <c r="FX1610"/>
      <c r="FY1610"/>
      <c r="FZ1610"/>
      <c r="GA1610"/>
      <c r="GB1610"/>
      <c r="GC1610"/>
    </row>
    <row r="1611" spans="167:185" x14ac:dyDescent="0.15">
      <c r="FK1611"/>
      <c r="FL1611"/>
      <c r="FM1611"/>
      <c r="FN1611"/>
      <c r="FO1611"/>
      <c r="FP1611"/>
      <c r="FQ1611"/>
      <c r="FR1611"/>
      <c r="FS1611"/>
      <c r="FT1611"/>
      <c r="FU1611"/>
      <c r="FV1611"/>
      <c r="FW1611"/>
      <c r="FX1611"/>
      <c r="FY1611"/>
      <c r="FZ1611"/>
      <c r="GA1611"/>
      <c r="GB1611"/>
      <c r="GC1611"/>
    </row>
    <row r="1612" spans="167:185" x14ac:dyDescent="0.15">
      <c r="FK1612"/>
      <c r="FL1612"/>
      <c r="FM1612"/>
      <c r="FN1612"/>
      <c r="FO1612"/>
      <c r="FP1612"/>
      <c r="FQ1612"/>
      <c r="FR1612"/>
      <c r="FS1612"/>
      <c r="FT1612"/>
      <c r="FU1612"/>
      <c r="FV1612"/>
      <c r="FW1612"/>
      <c r="FX1612"/>
      <c r="FY1612"/>
      <c r="FZ1612"/>
      <c r="GA1612"/>
      <c r="GB1612"/>
      <c r="GC1612"/>
    </row>
    <row r="1613" spans="167:185" x14ac:dyDescent="0.15">
      <c r="FK1613"/>
      <c r="FL1613"/>
      <c r="FM1613"/>
      <c r="FN1613"/>
      <c r="FO1613"/>
      <c r="FP1613"/>
      <c r="FQ1613"/>
      <c r="FR1613"/>
      <c r="FS1613"/>
      <c r="FT1613"/>
      <c r="FU1613"/>
      <c r="FV1613"/>
      <c r="FW1613"/>
      <c r="FX1613"/>
      <c r="FY1613"/>
      <c r="FZ1613"/>
      <c r="GA1613"/>
      <c r="GB1613"/>
      <c r="GC1613"/>
    </row>
    <row r="1614" spans="167:185" x14ac:dyDescent="0.15">
      <c r="FK1614"/>
      <c r="FL1614"/>
      <c r="FM1614"/>
      <c r="FN1614"/>
      <c r="FO1614"/>
      <c r="FP1614"/>
      <c r="FQ1614"/>
      <c r="FR1614"/>
      <c r="FS1614"/>
      <c r="FT1614"/>
      <c r="FU1614"/>
      <c r="FV1614"/>
      <c r="FW1614"/>
      <c r="FX1614"/>
      <c r="FY1614"/>
      <c r="FZ1614"/>
      <c r="GA1614"/>
      <c r="GB1614"/>
      <c r="GC1614"/>
    </row>
    <row r="1615" spans="167:185" x14ac:dyDescent="0.15">
      <c r="FK1615"/>
      <c r="FL1615"/>
      <c r="FM1615"/>
      <c r="FN1615"/>
      <c r="FO1615"/>
      <c r="FP1615"/>
      <c r="FQ1615"/>
      <c r="FR1615"/>
      <c r="FS1615"/>
      <c r="FT1615"/>
      <c r="FU1615"/>
      <c r="FV1615"/>
      <c r="FW1615"/>
      <c r="FX1615"/>
      <c r="FY1615"/>
      <c r="FZ1615"/>
      <c r="GA1615"/>
      <c r="GB1615"/>
      <c r="GC1615"/>
    </row>
    <row r="1616" spans="167:185" x14ac:dyDescent="0.15">
      <c r="FK1616"/>
      <c r="FL1616"/>
      <c r="FM1616"/>
      <c r="FN1616"/>
      <c r="FO1616"/>
      <c r="FP1616"/>
      <c r="FQ1616"/>
      <c r="FR1616"/>
      <c r="FS1616"/>
      <c r="FT1616"/>
      <c r="FU1616"/>
      <c r="FV1616"/>
      <c r="FW1616"/>
      <c r="FX1616"/>
      <c r="FY1616"/>
      <c r="FZ1616"/>
      <c r="GA1616"/>
      <c r="GB1616"/>
      <c r="GC1616"/>
    </row>
    <row r="1617" spans="167:185" x14ac:dyDescent="0.15">
      <c r="FK1617"/>
      <c r="FL1617"/>
      <c r="FM1617"/>
      <c r="FN1617"/>
      <c r="FO1617"/>
      <c r="FP1617"/>
      <c r="FQ1617"/>
      <c r="FR1617"/>
      <c r="FS1617"/>
      <c r="FT1617"/>
      <c r="FU1617"/>
      <c r="FV1617"/>
      <c r="FW1617"/>
      <c r="FX1617"/>
      <c r="FY1617"/>
      <c r="FZ1617"/>
      <c r="GA1617"/>
      <c r="GB1617"/>
      <c r="GC1617"/>
    </row>
    <row r="1618" spans="167:185" x14ac:dyDescent="0.15">
      <c r="FK1618"/>
      <c r="FL1618"/>
      <c r="FM1618"/>
      <c r="FN1618"/>
      <c r="FO1618"/>
      <c r="FP1618"/>
      <c r="FQ1618"/>
      <c r="FR1618"/>
      <c r="FS1618"/>
      <c r="FT1618"/>
      <c r="FU1618"/>
      <c r="FV1618"/>
      <c r="FW1618"/>
      <c r="FX1618"/>
      <c r="FY1618"/>
      <c r="FZ1618"/>
      <c r="GA1618"/>
      <c r="GB1618"/>
      <c r="GC1618"/>
    </row>
    <row r="1619" spans="167:185" x14ac:dyDescent="0.15">
      <c r="FK1619"/>
      <c r="FL1619"/>
      <c r="FM1619"/>
      <c r="FN1619"/>
      <c r="FO1619"/>
      <c r="FP1619"/>
      <c r="FQ1619"/>
      <c r="FR1619"/>
      <c r="FS1619"/>
      <c r="FT1619"/>
      <c r="FU1619"/>
      <c r="FV1619"/>
      <c r="FW1619"/>
      <c r="FX1619"/>
      <c r="FY1619"/>
      <c r="FZ1619"/>
      <c r="GA1619"/>
      <c r="GB1619"/>
      <c r="GC1619"/>
    </row>
    <row r="1620" spans="167:185" x14ac:dyDescent="0.15">
      <c r="FK1620"/>
      <c r="FL1620"/>
      <c r="FM1620"/>
      <c r="FN1620"/>
      <c r="FO1620"/>
      <c r="FP1620"/>
      <c r="FQ1620"/>
      <c r="FR1620"/>
      <c r="FS1620"/>
      <c r="FT1620"/>
      <c r="FU1620"/>
      <c r="FV1620"/>
      <c r="FW1620"/>
      <c r="FX1620"/>
      <c r="FY1620"/>
      <c r="FZ1620"/>
      <c r="GA1620"/>
      <c r="GB1620"/>
      <c r="GC1620"/>
    </row>
    <row r="1621" spans="167:185" x14ac:dyDescent="0.15">
      <c r="FK1621"/>
      <c r="FL1621"/>
      <c r="FM1621"/>
      <c r="FN1621"/>
      <c r="FO1621"/>
      <c r="FP1621"/>
      <c r="FQ1621"/>
      <c r="FR1621"/>
      <c r="FS1621"/>
      <c r="FT1621"/>
      <c r="FU1621"/>
      <c r="FV1621"/>
      <c r="FW1621"/>
      <c r="FX1621"/>
      <c r="FY1621"/>
      <c r="FZ1621"/>
      <c r="GA1621"/>
      <c r="GB1621"/>
      <c r="GC1621"/>
    </row>
    <row r="1622" spans="167:185" x14ac:dyDescent="0.15">
      <c r="FK1622"/>
      <c r="FL1622"/>
      <c r="FM1622"/>
      <c r="FN1622"/>
      <c r="FO1622"/>
      <c r="FP1622"/>
      <c r="FQ1622"/>
      <c r="FR1622"/>
      <c r="FS1622"/>
      <c r="FT1622"/>
      <c r="FU1622"/>
      <c r="FV1622"/>
      <c r="FW1622"/>
      <c r="FX1622"/>
      <c r="FY1622"/>
      <c r="FZ1622"/>
      <c r="GA1622"/>
      <c r="GB1622"/>
      <c r="GC1622"/>
    </row>
    <row r="1623" spans="167:185" x14ac:dyDescent="0.15">
      <c r="FK1623"/>
      <c r="FL1623"/>
      <c r="FM1623"/>
      <c r="FN1623"/>
      <c r="FO1623"/>
      <c r="FP1623"/>
      <c r="FQ1623"/>
      <c r="FR1623"/>
      <c r="FS1623"/>
      <c r="FT1623"/>
      <c r="FU1623"/>
      <c r="FV1623"/>
      <c r="FW1623"/>
      <c r="FX1623"/>
      <c r="FY1623"/>
      <c r="FZ1623"/>
      <c r="GA1623"/>
      <c r="GB1623"/>
      <c r="GC1623"/>
    </row>
    <row r="1624" spans="167:185" x14ac:dyDescent="0.15">
      <c r="FK1624"/>
      <c r="FL1624"/>
      <c r="FM1624"/>
      <c r="FN1624"/>
      <c r="FO1624"/>
      <c r="FP1624"/>
      <c r="FQ1624"/>
      <c r="FR1624"/>
      <c r="FS1624"/>
      <c r="FT1624"/>
      <c r="FU1624"/>
      <c r="FV1624"/>
      <c r="FW1624"/>
      <c r="FX1624"/>
      <c r="FY1624"/>
      <c r="FZ1624"/>
      <c r="GA1624"/>
      <c r="GB1624"/>
      <c r="GC1624"/>
    </row>
    <row r="1625" spans="167:185" x14ac:dyDescent="0.15">
      <c r="FK1625"/>
      <c r="FL1625"/>
      <c r="FM1625"/>
      <c r="FN1625"/>
      <c r="FO1625"/>
      <c r="FP1625"/>
      <c r="FQ1625"/>
      <c r="FR1625"/>
      <c r="FS1625"/>
      <c r="FT1625"/>
      <c r="FU1625"/>
      <c r="FV1625"/>
      <c r="FW1625"/>
      <c r="FX1625"/>
      <c r="FY1625"/>
      <c r="FZ1625"/>
      <c r="GA1625"/>
      <c r="GB1625"/>
      <c r="GC1625"/>
    </row>
    <row r="1626" spans="167:185" x14ac:dyDescent="0.15">
      <c r="FK1626"/>
      <c r="FL1626"/>
      <c r="FM1626"/>
      <c r="FN1626"/>
      <c r="FO1626"/>
      <c r="FP1626"/>
      <c r="FQ1626"/>
      <c r="FR1626"/>
      <c r="FS1626"/>
      <c r="FT1626"/>
      <c r="FU1626"/>
      <c r="FV1626"/>
      <c r="FW1626"/>
      <c r="FX1626"/>
      <c r="FY1626"/>
      <c r="FZ1626"/>
      <c r="GA1626"/>
      <c r="GB1626"/>
      <c r="GC1626"/>
    </row>
    <row r="1627" spans="167:185" x14ac:dyDescent="0.15">
      <c r="FK1627"/>
      <c r="FL1627"/>
      <c r="FM1627"/>
      <c r="FN1627"/>
      <c r="FO1627"/>
      <c r="FP1627"/>
      <c r="FQ1627"/>
      <c r="FR1627"/>
      <c r="FS1627"/>
      <c r="FT1627"/>
      <c r="FU1627"/>
      <c r="FV1627"/>
      <c r="FW1627"/>
      <c r="FX1627"/>
      <c r="FY1627"/>
      <c r="FZ1627"/>
      <c r="GA1627"/>
      <c r="GB1627"/>
      <c r="GC1627"/>
    </row>
    <row r="1628" spans="167:185" x14ac:dyDescent="0.15">
      <c r="FK1628"/>
      <c r="FL1628"/>
      <c r="FM1628"/>
      <c r="FN1628"/>
      <c r="FO1628"/>
      <c r="FP1628"/>
      <c r="FQ1628"/>
      <c r="FR1628"/>
      <c r="FS1628"/>
      <c r="FT1628"/>
      <c r="FU1628"/>
      <c r="FV1628"/>
      <c r="FW1628"/>
      <c r="FX1628"/>
      <c r="FY1628"/>
      <c r="FZ1628"/>
      <c r="GA1628"/>
      <c r="GB1628"/>
      <c r="GC1628"/>
    </row>
    <row r="1629" spans="167:185" x14ac:dyDescent="0.15">
      <c r="FK1629"/>
      <c r="FL1629"/>
      <c r="FM1629"/>
      <c r="FN1629"/>
      <c r="FO1629"/>
      <c r="FP1629"/>
      <c r="FQ1629"/>
      <c r="FR1629"/>
      <c r="FS1629"/>
      <c r="FT1629"/>
      <c r="FU1629"/>
      <c r="FV1629"/>
      <c r="FW1629"/>
      <c r="FX1629"/>
      <c r="FY1629"/>
      <c r="FZ1629"/>
      <c r="GA1629"/>
      <c r="GB1629"/>
      <c r="GC1629"/>
    </row>
    <row r="1630" spans="167:185" x14ac:dyDescent="0.15">
      <c r="FK1630"/>
      <c r="FL1630"/>
      <c r="FM1630"/>
      <c r="FN1630"/>
      <c r="FO1630"/>
      <c r="FP1630"/>
      <c r="FQ1630"/>
      <c r="FR1630"/>
      <c r="FS1630"/>
      <c r="FT1630"/>
      <c r="FU1630"/>
      <c r="FV1630"/>
      <c r="FW1630"/>
      <c r="FX1630"/>
      <c r="FY1630"/>
      <c r="FZ1630"/>
      <c r="GA1630"/>
      <c r="GB1630"/>
      <c r="GC1630"/>
    </row>
    <row r="1631" spans="167:185" x14ac:dyDescent="0.15">
      <c r="FK1631"/>
      <c r="FL1631"/>
      <c r="FM1631"/>
      <c r="FN1631"/>
      <c r="FO1631"/>
      <c r="FP1631"/>
      <c r="FQ1631"/>
      <c r="FR1631"/>
      <c r="FS1631"/>
      <c r="FT1631"/>
      <c r="FU1631"/>
      <c r="FV1631"/>
      <c r="FW1631"/>
      <c r="FX1631"/>
      <c r="FY1631"/>
      <c r="FZ1631"/>
      <c r="GA1631"/>
      <c r="GB1631"/>
      <c r="GC1631"/>
    </row>
    <row r="1632" spans="167:185" x14ac:dyDescent="0.15">
      <c r="FK1632"/>
      <c r="FL1632"/>
      <c r="FM1632"/>
      <c r="FN1632"/>
      <c r="FO1632"/>
      <c r="FP1632"/>
      <c r="FQ1632"/>
      <c r="FR1632"/>
      <c r="FS1632"/>
      <c r="FT1632"/>
      <c r="FU1632"/>
      <c r="FV1632"/>
      <c r="FW1632"/>
      <c r="FX1632"/>
      <c r="FY1632"/>
      <c r="FZ1632"/>
      <c r="GA1632"/>
      <c r="GB1632"/>
      <c r="GC1632"/>
    </row>
    <row r="1633" spans="167:185" x14ac:dyDescent="0.15">
      <c r="FK1633"/>
      <c r="FL1633"/>
      <c r="FM1633"/>
      <c r="FN1633"/>
      <c r="FO1633"/>
      <c r="FP1633"/>
      <c r="FQ1633"/>
      <c r="FR1633"/>
      <c r="FS1633"/>
      <c r="FT1633"/>
      <c r="FU1633"/>
      <c r="FV1633"/>
      <c r="FW1633"/>
      <c r="FX1633"/>
      <c r="FY1633"/>
      <c r="FZ1633"/>
      <c r="GA1633"/>
      <c r="GB1633"/>
      <c r="GC1633"/>
    </row>
    <row r="1634" spans="167:185" x14ac:dyDescent="0.15">
      <c r="FK1634"/>
      <c r="FL1634"/>
      <c r="FM1634"/>
      <c r="FN1634"/>
      <c r="FO1634"/>
      <c r="FP1634"/>
      <c r="FQ1634"/>
      <c r="FR1634"/>
      <c r="FS1634"/>
      <c r="FT1634"/>
      <c r="FU1634"/>
      <c r="FV1634"/>
      <c r="FW1634"/>
      <c r="FX1634"/>
      <c r="FY1634"/>
      <c r="FZ1634"/>
      <c r="GA1634"/>
      <c r="GB1634"/>
      <c r="GC1634"/>
    </row>
    <row r="1635" spans="167:185" x14ac:dyDescent="0.15">
      <c r="FK1635"/>
      <c r="FL1635"/>
      <c r="FM1635"/>
      <c r="FN1635"/>
      <c r="FO1635"/>
      <c r="FP1635"/>
      <c r="FQ1635"/>
      <c r="FR1635"/>
      <c r="FS1635"/>
      <c r="FT1635"/>
      <c r="FU1635"/>
      <c r="FV1635"/>
      <c r="FW1635"/>
      <c r="FX1635"/>
      <c r="FY1635"/>
      <c r="FZ1635"/>
      <c r="GA1635"/>
      <c r="GB1635"/>
      <c r="GC1635"/>
    </row>
    <row r="1636" spans="167:185" x14ac:dyDescent="0.15">
      <c r="FK1636"/>
      <c r="FL1636"/>
      <c r="FM1636"/>
      <c r="FN1636"/>
      <c r="FO1636"/>
      <c r="FP1636"/>
      <c r="FQ1636"/>
      <c r="FR1636"/>
      <c r="FS1636"/>
      <c r="FT1636"/>
      <c r="FU1636"/>
      <c r="FV1636"/>
      <c r="FW1636"/>
      <c r="FX1636"/>
      <c r="FY1636"/>
      <c r="FZ1636"/>
      <c r="GA1636"/>
      <c r="GB1636"/>
      <c r="GC1636"/>
    </row>
    <row r="1637" spans="167:185" x14ac:dyDescent="0.15">
      <c r="FK1637"/>
      <c r="FL1637"/>
      <c r="FM1637"/>
      <c r="FN1637"/>
      <c r="FO1637"/>
      <c r="FP1637"/>
      <c r="FQ1637"/>
      <c r="FR1637"/>
      <c r="FS1637"/>
      <c r="FT1637"/>
      <c r="FU1637"/>
      <c r="FV1637"/>
      <c r="FW1637"/>
      <c r="FX1637"/>
      <c r="FY1637"/>
      <c r="FZ1637"/>
      <c r="GA1637"/>
      <c r="GB1637"/>
      <c r="GC1637"/>
    </row>
    <row r="1638" spans="167:185" x14ac:dyDescent="0.15">
      <c r="FK1638"/>
      <c r="FL1638"/>
      <c r="FM1638"/>
      <c r="FN1638"/>
      <c r="FO1638"/>
      <c r="FP1638"/>
      <c r="FQ1638"/>
      <c r="FR1638"/>
      <c r="FS1638"/>
      <c r="FT1638"/>
      <c r="FU1638"/>
      <c r="FV1638"/>
      <c r="FW1638"/>
      <c r="FX1638"/>
      <c r="FY1638"/>
      <c r="FZ1638"/>
      <c r="GA1638"/>
      <c r="GB1638"/>
      <c r="GC1638"/>
    </row>
    <row r="1639" spans="167:185" x14ac:dyDescent="0.15">
      <c r="FK1639"/>
      <c r="FL1639"/>
      <c r="FM1639"/>
      <c r="FN1639"/>
      <c r="FO1639"/>
      <c r="FP1639"/>
      <c r="FQ1639"/>
      <c r="FR1639"/>
      <c r="FS1639"/>
      <c r="FT1639"/>
      <c r="FU1639"/>
      <c r="FV1639"/>
      <c r="FW1639"/>
      <c r="FX1639"/>
      <c r="FY1639"/>
      <c r="FZ1639"/>
      <c r="GA1639"/>
      <c r="GB1639"/>
      <c r="GC1639"/>
    </row>
    <row r="1640" spans="167:185" x14ac:dyDescent="0.15">
      <c r="FK1640"/>
      <c r="FL1640"/>
      <c r="FM1640"/>
      <c r="FN1640"/>
      <c r="FO1640"/>
      <c r="FP1640"/>
      <c r="FQ1640"/>
      <c r="FR1640"/>
      <c r="FS1640"/>
      <c r="FT1640"/>
      <c r="FU1640"/>
      <c r="FV1640"/>
      <c r="FW1640"/>
      <c r="FX1640"/>
      <c r="FY1640"/>
      <c r="FZ1640"/>
      <c r="GA1640"/>
      <c r="GB1640"/>
      <c r="GC1640"/>
    </row>
    <row r="1641" spans="167:185" x14ac:dyDescent="0.15">
      <c r="FK1641"/>
      <c r="FL1641"/>
      <c r="FM1641"/>
      <c r="FN1641"/>
      <c r="FO1641"/>
      <c r="FP1641"/>
      <c r="FQ1641"/>
      <c r="FR1641"/>
      <c r="FS1641"/>
      <c r="FT1641"/>
      <c r="FU1641"/>
      <c r="FV1641"/>
      <c r="FW1641"/>
      <c r="FX1641"/>
      <c r="FY1641"/>
      <c r="FZ1641"/>
      <c r="GA1641"/>
      <c r="GB1641"/>
      <c r="GC1641"/>
    </row>
    <row r="1642" spans="167:185" x14ac:dyDescent="0.15">
      <c r="FK1642"/>
      <c r="FL1642"/>
      <c r="FM1642"/>
      <c r="FN1642"/>
      <c r="FO1642"/>
      <c r="FP1642"/>
      <c r="FQ1642"/>
      <c r="FR1642"/>
      <c r="FS1642"/>
      <c r="FT1642"/>
      <c r="FU1642"/>
      <c r="FV1642"/>
      <c r="FW1642"/>
      <c r="FX1642"/>
      <c r="FY1642"/>
      <c r="FZ1642"/>
      <c r="GA1642"/>
      <c r="GB1642"/>
      <c r="GC1642"/>
    </row>
    <row r="1643" spans="167:185" x14ac:dyDescent="0.15">
      <c r="FK1643"/>
      <c r="FL1643"/>
      <c r="FM1643"/>
      <c r="FN1643"/>
      <c r="FO1643"/>
      <c r="FP1643"/>
      <c r="FQ1643"/>
      <c r="FR1643"/>
      <c r="FS1643"/>
      <c r="FT1643"/>
      <c r="FU1643"/>
      <c r="FV1643"/>
      <c r="FW1643"/>
      <c r="FX1643"/>
      <c r="FY1643"/>
      <c r="FZ1643"/>
      <c r="GA1643"/>
      <c r="GB1643"/>
      <c r="GC1643"/>
    </row>
    <row r="1644" spans="167:185" x14ac:dyDescent="0.15">
      <c r="FK1644"/>
      <c r="FL1644"/>
      <c r="FM1644"/>
      <c r="FN1644"/>
      <c r="FO1644"/>
      <c r="FP1644"/>
      <c r="FQ1644"/>
      <c r="FR1644"/>
      <c r="FS1644"/>
      <c r="FT1644"/>
      <c r="FU1644"/>
      <c r="FV1644"/>
      <c r="FW1644"/>
      <c r="FX1644"/>
      <c r="FY1644"/>
      <c r="FZ1644"/>
      <c r="GA1644"/>
      <c r="GB1644"/>
      <c r="GC1644"/>
    </row>
    <row r="1645" spans="167:185" x14ac:dyDescent="0.15">
      <c r="FK1645"/>
      <c r="FL1645"/>
      <c r="FM1645"/>
      <c r="FN1645"/>
      <c r="FO1645"/>
      <c r="FP1645"/>
      <c r="FQ1645"/>
      <c r="FR1645"/>
      <c r="FS1645"/>
      <c r="FT1645"/>
      <c r="FU1645"/>
      <c r="FV1645"/>
      <c r="FW1645"/>
      <c r="FX1645"/>
      <c r="FY1645"/>
      <c r="FZ1645"/>
      <c r="GA1645"/>
      <c r="GB1645"/>
      <c r="GC1645"/>
    </row>
    <row r="1646" spans="167:185" x14ac:dyDescent="0.15">
      <c r="FK1646"/>
      <c r="FL1646"/>
      <c r="FM1646"/>
      <c r="FN1646"/>
      <c r="FO1646"/>
      <c r="FP1646"/>
      <c r="FQ1646"/>
      <c r="FR1646"/>
      <c r="FS1646"/>
      <c r="FT1646"/>
      <c r="FU1646"/>
      <c r="FV1646"/>
      <c r="FW1646"/>
      <c r="FX1646"/>
      <c r="FY1646"/>
      <c r="FZ1646"/>
      <c r="GA1646"/>
      <c r="GB1646"/>
      <c r="GC1646"/>
    </row>
    <row r="1647" spans="167:185" x14ac:dyDescent="0.15">
      <c r="FK1647"/>
      <c r="FL1647"/>
      <c r="FM1647"/>
      <c r="FN1647"/>
      <c r="FO1647"/>
      <c r="FP1647"/>
      <c r="FQ1647"/>
      <c r="FR1647"/>
      <c r="FS1647"/>
      <c r="FT1647"/>
      <c r="FU1647"/>
      <c r="FV1647"/>
      <c r="FW1647"/>
      <c r="FX1647"/>
      <c r="FY1647"/>
      <c r="FZ1647"/>
      <c r="GA1647"/>
      <c r="GB1647"/>
      <c r="GC1647"/>
    </row>
    <row r="1648" spans="167:185" x14ac:dyDescent="0.15">
      <c r="FK1648"/>
      <c r="FL1648"/>
      <c r="FM1648"/>
      <c r="FN1648"/>
      <c r="FO1648"/>
      <c r="FP1648"/>
      <c r="FQ1648"/>
      <c r="FR1648"/>
      <c r="FS1648"/>
      <c r="FT1648"/>
      <c r="FU1648"/>
      <c r="FV1648"/>
      <c r="FW1648"/>
      <c r="FX1648"/>
      <c r="FY1648"/>
      <c r="FZ1648"/>
      <c r="GA1648"/>
      <c r="GB1648"/>
      <c r="GC1648"/>
    </row>
    <row r="1649" spans="167:185" x14ac:dyDescent="0.15">
      <c r="FK1649"/>
      <c r="FL1649"/>
      <c r="FM1649"/>
      <c r="FN1649"/>
      <c r="FO1649"/>
      <c r="FP1649"/>
      <c r="FQ1649"/>
      <c r="FR1649"/>
      <c r="FS1649"/>
      <c r="FT1649"/>
      <c r="FU1649"/>
      <c r="FV1649"/>
      <c r="FW1649"/>
      <c r="FX1649"/>
      <c r="FY1649"/>
      <c r="FZ1649"/>
      <c r="GA1649"/>
      <c r="GB1649"/>
      <c r="GC1649"/>
    </row>
    <row r="1650" spans="167:185" x14ac:dyDescent="0.15">
      <c r="FK1650"/>
      <c r="FL1650"/>
      <c r="FM1650"/>
      <c r="FN1650"/>
      <c r="FO1650"/>
      <c r="FP1650"/>
      <c r="FQ1650"/>
      <c r="FR1650"/>
      <c r="FS1650"/>
      <c r="FT1650"/>
      <c r="FU1650"/>
      <c r="FV1650"/>
      <c r="FW1650"/>
      <c r="FX1650"/>
      <c r="FY1650"/>
      <c r="FZ1650"/>
      <c r="GA1650"/>
      <c r="GB1650"/>
      <c r="GC1650"/>
    </row>
    <row r="1651" spans="167:185" x14ac:dyDescent="0.15">
      <c r="FK1651"/>
      <c r="FL1651"/>
      <c r="FM1651"/>
      <c r="FN1651"/>
      <c r="FO1651"/>
      <c r="FP1651"/>
      <c r="FQ1651"/>
      <c r="FR1651"/>
      <c r="FS1651"/>
      <c r="FT1651"/>
      <c r="FU1651"/>
      <c r="FV1651"/>
      <c r="FW1651"/>
      <c r="FX1651"/>
      <c r="FY1651"/>
      <c r="FZ1651"/>
      <c r="GA1651"/>
      <c r="GB1651"/>
      <c r="GC1651"/>
    </row>
    <row r="1652" spans="167:185" x14ac:dyDescent="0.15">
      <c r="FK1652"/>
      <c r="FL1652"/>
      <c r="FM1652"/>
      <c r="FN1652"/>
      <c r="FO1652"/>
      <c r="FP1652"/>
      <c r="FQ1652"/>
      <c r="FR1652"/>
      <c r="FS1652"/>
      <c r="FT1652"/>
      <c r="FU1652"/>
      <c r="FV1652"/>
      <c r="FW1652"/>
      <c r="FX1652"/>
      <c r="FY1652"/>
      <c r="FZ1652"/>
      <c r="GA1652"/>
      <c r="GB1652"/>
      <c r="GC1652"/>
    </row>
    <row r="1653" spans="167:185" x14ac:dyDescent="0.15">
      <c r="FK1653"/>
      <c r="FL1653"/>
      <c r="FM1653"/>
      <c r="FN1653"/>
      <c r="FO1653"/>
      <c r="FP1653"/>
      <c r="FQ1653"/>
      <c r="FR1653"/>
      <c r="FS1653"/>
      <c r="FT1653"/>
      <c r="FU1653"/>
      <c r="FV1653"/>
      <c r="FW1653"/>
      <c r="FX1653"/>
      <c r="FY1653"/>
      <c r="FZ1653"/>
      <c r="GA1653"/>
      <c r="GB1653"/>
      <c r="GC1653"/>
    </row>
    <row r="1654" spans="167:185" x14ac:dyDescent="0.15">
      <c r="FK1654"/>
      <c r="FL1654"/>
      <c r="FM1654"/>
      <c r="FN1654"/>
      <c r="FO1654"/>
      <c r="FP1654"/>
      <c r="FQ1654"/>
      <c r="FR1654"/>
      <c r="FS1654"/>
      <c r="FT1654"/>
      <c r="FU1654"/>
      <c r="FV1654"/>
      <c r="FW1654"/>
      <c r="FX1654"/>
      <c r="FY1654"/>
      <c r="FZ1654"/>
      <c r="GA1654"/>
      <c r="GB1654"/>
      <c r="GC1654"/>
    </row>
    <row r="1655" spans="167:185" x14ac:dyDescent="0.15">
      <c r="FK1655"/>
      <c r="FL1655"/>
      <c r="FM1655"/>
      <c r="FN1655"/>
      <c r="FO1655"/>
      <c r="FP1655"/>
      <c r="FQ1655"/>
      <c r="FR1655"/>
      <c r="FS1655"/>
      <c r="FT1655"/>
      <c r="FU1655"/>
      <c r="FV1655"/>
      <c r="FW1655"/>
      <c r="FX1655"/>
      <c r="FY1655"/>
      <c r="FZ1655"/>
      <c r="GA1655"/>
      <c r="GB1655"/>
      <c r="GC1655"/>
    </row>
    <row r="1656" spans="167:185" x14ac:dyDescent="0.15">
      <c r="FK1656"/>
      <c r="FL1656"/>
      <c r="FM1656"/>
      <c r="FN1656"/>
      <c r="FO1656"/>
      <c r="FP1656"/>
      <c r="FQ1656"/>
      <c r="FR1656"/>
      <c r="FS1656"/>
      <c r="FT1656"/>
      <c r="FU1656"/>
      <c r="FV1656"/>
      <c r="FW1656"/>
      <c r="FX1656"/>
      <c r="FY1656"/>
      <c r="FZ1656"/>
      <c r="GA1656"/>
      <c r="GB1656"/>
      <c r="GC1656"/>
    </row>
    <row r="1657" spans="167:185" x14ac:dyDescent="0.15">
      <c r="FK1657"/>
      <c r="FL1657"/>
      <c r="FM1657"/>
      <c r="FN1657"/>
      <c r="FO1657"/>
      <c r="FP1657"/>
      <c r="FQ1657"/>
      <c r="FR1657"/>
      <c r="FS1657"/>
      <c r="FT1657"/>
      <c r="FU1657"/>
      <c r="FV1657"/>
      <c r="FW1657"/>
      <c r="FX1657"/>
      <c r="FY1657"/>
      <c r="FZ1657"/>
      <c r="GA1657"/>
      <c r="GB1657"/>
      <c r="GC1657"/>
    </row>
    <row r="1658" spans="167:185" x14ac:dyDescent="0.15">
      <c r="FK1658"/>
      <c r="FL1658"/>
      <c r="FM1658"/>
      <c r="FN1658"/>
      <c r="FO1658"/>
      <c r="FP1658"/>
      <c r="FQ1658"/>
      <c r="FR1658"/>
      <c r="FS1658"/>
      <c r="FT1658"/>
      <c r="FU1658"/>
      <c r="FV1658"/>
      <c r="FW1658"/>
      <c r="FX1658"/>
      <c r="FY1658"/>
      <c r="FZ1658"/>
      <c r="GA1658"/>
      <c r="GB1658"/>
      <c r="GC1658"/>
    </row>
    <row r="1659" spans="167:185" x14ac:dyDescent="0.15">
      <c r="FK1659"/>
      <c r="FL1659"/>
      <c r="FM1659"/>
      <c r="FN1659"/>
      <c r="FO1659"/>
      <c r="FP1659"/>
      <c r="FQ1659"/>
      <c r="FR1659"/>
      <c r="FS1659"/>
      <c r="FT1659"/>
      <c r="FU1659"/>
      <c r="FV1659"/>
      <c r="FW1659"/>
      <c r="FX1659"/>
      <c r="FY1659"/>
      <c r="FZ1659"/>
      <c r="GA1659"/>
      <c r="GB1659"/>
      <c r="GC1659"/>
    </row>
    <row r="1660" spans="167:185" x14ac:dyDescent="0.15">
      <c r="FK1660"/>
      <c r="FL1660"/>
      <c r="FM1660"/>
      <c r="FN1660"/>
      <c r="FO1660"/>
      <c r="FP1660"/>
      <c r="FQ1660"/>
      <c r="FR1660"/>
      <c r="FS1660"/>
      <c r="FT1660"/>
      <c r="FU1660"/>
      <c r="FV1660"/>
      <c r="FW1660"/>
      <c r="FX1660"/>
      <c r="FY1660"/>
      <c r="FZ1660"/>
      <c r="GA1660"/>
      <c r="GB1660"/>
      <c r="GC1660"/>
    </row>
    <row r="1661" spans="167:185" x14ac:dyDescent="0.15">
      <c r="FK1661"/>
      <c r="FL1661"/>
      <c r="FM1661"/>
      <c r="FN1661"/>
      <c r="FO1661"/>
      <c r="FP1661"/>
      <c r="FQ1661"/>
      <c r="FR1661"/>
      <c r="FS1661"/>
      <c r="FT1661"/>
      <c r="FU1661"/>
      <c r="FV1661"/>
      <c r="FW1661"/>
      <c r="FX1661"/>
      <c r="FY1661"/>
      <c r="FZ1661"/>
      <c r="GA1661"/>
      <c r="GB1661"/>
      <c r="GC1661"/>
    </row>
    <row r="1662" spans="167:185" x14ac:dyDescent="0.15">
      <c r="FK1662"/>
      <c r="FL1662"/>
      <c r="FM1662"/>
      <c r="FN1662"/>
      <c r="FO1662"/>
      <c r="FP1662"/>
      <c r="FQ1662"/>
      <c r="FR1662"/>
      <c r="FS1662"/>
      <c r="FT1662"/>
      <c r="FU1662"/>
      <c r="FV1662"/>
      <c r="FW1662"/>
      <c r="FX1662"/>
      <c r="FY1662"/>
      <c r="FZ1662"/>
      <c r="GA1662"/>
      <c r="GB1662"/>
      <c r="GC1662"/>
    </row>
    <row r="1663" spans="167:185" x14ac:dyDescent="0.15">
      <c r="FK1663"/>
      <c r="FL1663"/>
      <c r="FM1663"/>
      <c r="FN1663"/>
      <c r="FO1663"/>
      <c r="FP1663"/>
      <c r="FQ1663"/>
      <c r="FR1663"/>
      <c r="FS1663"/>
      <c r="FT1663"/>
      <c r="FU1663"/>
      <c r="FV1663"/>
      <c r="FW1663"/>
      <c r="FX1663"/>
      <c r="FY1663"/>
      <c r="FZ1663"/>
      <c r="GA1663"/>
      <c r="GB1663"/>
      <c r="GC1663"/>
    </row>
    <row r="1664" spans="167:185" x14ac:dyDescent="0.15">
      <c r="FK1664"/>
      <c r="FL1664"/>
      <c r="FM1664"/>
      <c r="FN1664"/>
      <c r="FO1664"/>
      <c r="FP1664"/>
      <c r="FQ1664"/>
      <c r="FR1664"/>
      <c r="FS1664"/>
      <c r="FT1664"/>
      <c r="FU1664"/>
      <c r="FV1664"/>
      <c r="FW1664"/>
      <c r="FX1664"/>
      <c r="FY1664"/>
      <c r="FZ1664"/>
      <c r="GA1664"/>
      <c r="GB1664"/>
      <c r="GC1664"/>
    </row>
    <row r="1665" spans="167:185" x14ac:dyDescent="0.15">
      <c r="FK1665"/>
      <c r="FL1665"/>
      <c r="FM1665"/>
      <c r="FN1665"/>
      <c r="FO1665"/>
      <c r="FP1665"/>
      <c r="FQ1665"/>
      <c r="FR1665"/>
      <c r="FS1665"/>
      <c r="FT1665"/>
      <c r="FU1665"/>
      <c r="FV1665"/>
      <c r="FW1665"/>
      <c r="FX1665"/>
      <c r="FY1665"/>
      <c r="FZ1665"/>
      <c r="GA1665"/>
      <c r="GB1665"/>
      <c r="GC1665"/>
    </row>
    <row r="1666" spans="167:185" x14ac:dyDescent="0.15">
      <c r="FK1666"/>
      <c r="FL1666"/>
      <c r="FM1666"/>
      <c r="FN1666"/>
      <c r="FO1666"/>
      <c r="FP1666"/>
      <c r="FQ1666"/>
      <c r="FR1666"/>
      <c r="FS1666"/>
      <c r="FT1666"/>
      <c r="FU1666"/>
      <c r="FV1666"/>
      <c r="FW1666"/>
      <c r="FX1666"/>
      <c r="FY1666"/>
      <c r="FZ1666"/>
      <c r="GA1666"/>
      <c r="GB1666"/>
      <c r="GC1666"/>
    </row>
    <row r="1667" spans="167:185" x14ac:dyDescent="0.15">
      <c r="FK1667"/>
      <c r="FL1667"/>
      <c r="FM1667"/>
      <c r="FN1667"/>
      <c r="FO1667"/>
      <c r="FP1667"/>
      <c r="FQ1667"/>
      <c r="FR1667"/>
      <c r="FS1667"/>
      <c r="FT1667"/>
      <c r="FU1667"/>
      <c r="FV1667"/>
      <c r="FW1667"/>
      <c r="FX1667"/>
      <c r="FY1667"/>
      <c r="FZ1667"/>
      <c r="GA1667"/>
      <c r="GB1667"/>
      <c r="GC1667"/>
    </row>
    <row r="1668" spans="167:185" x14ac:dyDescent="0.15">
      <c r="FK1668"/>
      <c r="FL1668"/>
      <c r="FM1668"/>
      <c r="FN1668"/>
      <c r="FO1668"/>
      <c r="FP1668"/>
      <c r="FQ1668"/>
      <c r="FR1668"/>
      <c r="FS1668"/>
      <c r="FT1668"/>
      <c r="FU1668"/>
      <c r="FV1668"/>
      <c r="FW1668"/>
      <c r="FX1668"/>
      <c r="FY1668"/>
      <c r="FZ1668"/>
      <c r="GA1668"/>
      <c r="GB1668"/>
      <c r="GC1668"/>
    </row>
    <row r="1669" spans="167:185" x14ac:dyDescent="0.15">
      <c r="FK1669"/>
      <c r="FL1669"/>
      <c r="FM1669"/>
      <c r="FN1669"/>
      <c r="FO1669"/>
      <c r="FP1669"/>
      <c r="FQ1669"/>
      <c r="FR1669"/>
      <c r="FS1669"/>
      <c r="FT1669"/>
      <c r="FU1669"/>
      <c r="FV1669"/>
      <c r="FW1669"/>
      <c r="FX1669"/>
      <c r="FY1669"/>
      <c r="FZ1669"/>
      <c r="GA1669"/>
      <c r="GB1669"/>
      <c r="GC1669"/>
    </row>
    <row r="1670" spans="167:185" x14ac:dyDescent="0.15">
      <c r="FK1670"/>
      <c r="FL1670"/>
      <c r="FM1670"/>
      <c r="FN1670"/>
      <c r="FO1670"/>
      <c r="FP1670"/>
      <c r="FQ1670"/>
      <c r="FR1670"/>
      <c r="FS1670"/>
      <c r="FT1670"/>
      <c r="FU1670"/>
      <c r="FV1670"/>
      <c r="FW1670"/>
      <c r="FX1670"/>
      <c r="FY1670"/>
      <c r="FZ1670"/>
      <c r="GA1670"/>
      <c r="GB1670"/>
      <c r="GC1670"/>
    </row>
    <row r="1671" spans="167:185" x14ac:dyDescent="0.15">
      <c r="FK1671"/>
      <c r="FL1671"/>
      <c r="FM1671"/>
      <c r="FN1671"/>
      <c r="FO1671"/>
      <c r="FP1671"/>
      <c r="FQ1671"/>
      <c r="FR1671"/>
      <c r="FS1671"/>
      <c r="FT1671"/>
      <c r="FU1671"/>
      <c r="FV1671"/>
      <c r="FW1671"/>
      <c r="FX1671"/>
      <c r="FY1671"/>
      <c r="FZ1671"/>
      <c r="GA1671"/>
      <c r="GB1671"/>
      <c r="GC1671"/>
    </row>
    <row r="1672" spans="167:185" x14ac:dyDescent="0.15">
      <c r="FK1672"/>
      <c r="FL1672"/>
      <c r="FM1672"/>
      <c r="FN1672"/>
      <c r="FO1672"/>
      <c r="FP1672"/>
      <c r="FQ1672"/>
      <c r="FR1672"/>
      <c r="FS1672"/>
      <c r="FT1672"/>
      <c r="FU1672"/>
      <c r="FV1672"/>
      <c r="FW1672"/>
      <c r="FX1672"/>
      <c r="FY1672"/>
      <c r="FZ1672"/>
      <c r="GA1672"/>
      <c r="GB1672"/>
      <c r="GC1672"/>
    </row>
    <row r="1673" spans="167:185" x14ac:dyDescent="0.15">
      <c r="FK1673"/>
      <c r="FL1673"/>
      <c r="FM1673"/>
      <c r="FN1673"/>
      <c r="FO1673"/>
      <c r="FP1673"/>
      <c r="FQ1673"/>
      <c r="FR1673"/>
      <c r="FS1673"/>
      <c r="FT1673"/>
      <c r="FU1673"/>
      <c r="FV1673"/>
      <c r="FW1673"/>
      <c r="FX1673"/>
      <c r="FY1673"/>
      <c r="FZ1673"/>
      <c r="GA1673"/>
      <c r="GB1673"/>
      <c r="GC1673"/>
    </row>
    <row r="1674" spans="167:185" x14ac:dyDescent="0.15">
      <c r="FK1674"/>
      <c r="FL1674"/>
      <c r="FM1674"/>
      <c r="FN1674"/>
      <c r="FO1674"/>
      <c r="FP1674"/>
      <c r="FQ1674"/>
      <c r="FR1674"/>
      <c r="FS1674"/>
      <c r="FT1674"/>
      <c r="FU1674"/>
      <c r="FV1674"/>
      <c r="FW1674"/>
      <c r="FX1674"/>
      <c r="FY1674"/>
      <c r="FZ1674"/>
      <c r="GA1674"/>
      <c r="GB1674"/>
      <c r="GC1674"/>
    </row>
    <row r="1675" spans="167:185" x14ac:dyDescent="0.15">
      <c r="FK1675"/>
      <c r="FL1675"/>
      <c r="FM1675"/>
      <c r="FN1675"/>
      <c r="FO1675"/>
      <c r="FP1675"/>
      <c r="FQ1675"/>
      <c r="FR1675"/>
      <c r="FS1675"/>
      <c r="FT1675"/>
      <c r="FU1675"/>
      <c r="FV1675"/>
      <c r="FW1675"/>
      <c r="FX1675"/>
      <c r="FY1675"/>
      <c r="FZ1675"/>
      <c r="GA1675"/>
      <c r="GB1675"/>
      <c r="GC1675"/>
    </row>
    <row r="1676" spans="167:185" x14ac:dyDescent="0.15">
      <c r="FK1676"/>
      <c r="FL1676"/>
      <c r="FM1676"/>
      <c r="FN1676"/>
      <c r="FO1676"/>
      <c r="FP1676"/>
      <c r="FQ1676"/>
      <c r="FR1676"/>
      <c r="FS1676"/>
      <c r="FT1676"/>
      <c r="FU1676"/>
      <c r="FV1676"/>
      <c r="FW1676"/>
      <c r="FX1676"/>
      <c r="FY1676"/>
      <c r="FZ1676"/>
      <c r="GA1676"/>
      <c r="GB1676"/>
      <c r="GC1676"/>
    </row>
    <row r="1677" spans="167:185" x14ac:dyDescent="0.15">
      <c r="FK1677"/>
      <c r="FL1677"/>
      <c r="FM1677"/>
      <c r="FN1677"/>
      <c r="FO1677"/>
      <c r="FP1677"/>
      <c r="FQ1677"/>
      <c r="FR1677"/>
      <c r="FS1677"/>
      <c r="FT1677"/>
      <c r="FU1677"/>
      <c r="FV1677"/>
      <c r="FW1677"/>
      <c r="FX1677"/>
      <c r="FY1677"/>
      <c r="FZ1677"/>
      <c r="GA1677"/>
      <c r="GB1677"/>
      <c r="GC1677"/>
    </row>
    <row r="1678" spans="167:185" x14ac:dyDescent="0.15">
      <c r="FK1678"/>
      <c r="FL1678"/>
      <c r="FM1678"/>
      <c r="FN1678"/>
      <c r="FO1678"/>
      <c r="FP1678"/>
      <c r="FQ1678"/>
      <c r="FR1678"/>
      <c r="FS1678"/>
      <c r="FT1678"/>
      <c r="FU1678"/>
      <c r="FV1678"/>
      <c r="FW1678"/>
      <c r="FX1678"/>
      <c r="FY1678"/>
      <c r="FZ1678"/>
      <c r="GA1678"/>
      <c r="GB1678"/>
      <c r="GC1678"/>
    </row>
    <row r="1679" spans="167:185" x14ac:dyDescent="0.15">
      <c r="FK1679"/>
      <c r="FL1679"/>
      <c r="FM1679"/>
      <c r="FN1679"/>
      <c r="FO1679"/>
      <c r="FP1679"/>
      <c r="FQ1679"/>
      <c r="FR1679"/>
      <c r="FS1679"/>
      <c r="FT1679"/>
      <c r="FU1679"/>
      <c r="FV1679"/>
      <c r="FW1679"/>
      <c r="FX1679"/>
      <c r="FY1679"/>
      <c r="FZ1679"/>
      <c r="GA1679"/>
      <c r="GB1679"/>
      <c r="GC1679"/>
    </row>
    <row r="1680" spans="167:185" x14ac:dyDescent="0.15">
      <c r="FK1680"/>
      <c r="FL1680"/>
      <c r="FM1680"/>
      <c r="FN1680"/>
      <c r="FO1680"/>
      <c r="FP1680"/>
      <c r="FQ1680"/>
      <c r="FR1680"/>
      <c r="FS1680"/>
      <c r="FT1680"/>
      <c r="FU1680"/>
      <c r="FV1680"/>
      <c r="FW1680"/>
      <c r="FX1680"/>
      <c r="FY1680"/>
      <c r="FZ1680"/>
      <c r="GA1680"/>
      <c r="GB1680"/>
      <c r="GC1680"/>
    </row>
    <row r="1681" spans="167:185" x14ac:dyDescent="0.15">
      <c r="FK1681"/>
      <c r="FL1681"/>
      <c r="FM1681"/>
      <c r="FN1681"/>
      <c r="FO1681"/>
      <c r="FP1681"/>
      <c r="FQ1681"/>
      <c r="FR1681"/>
      <c r="FS1681"/>
      <c r="FT1681"/>
      <c r="FU1681"/>
      <c r="FV1681"/>
      <c r="FW1681"/>
      <c r="FX1681"/>
      <c r="FY1681"/>
      <c r="FZ1681"/>
      <c r="GA1681"/>
      <c r="GB1681"/>
      <c r="GC1681"/>
    </row>
    <row r="1682" spans="167:185" x14ac:dyDescent="0.15">
      <c r="FK1682"/>
      <c r="FL1682"/>
      <c r="FM1682"/>
      <c r="FN1682"/>
      <c r="FO1682"/>
      <c r="FP1682"/>
      <c r="FQ1682"/>
      <c r="FR1682"/>
      <c r="FS1682"/>
      <c r="FT1682"/>
      <c r="FU1682"/>
      <c r="FV1682"/>
      <c r="FW1682"/>
      <c r="FX1682"/>
      <c r="FY1682"/>
      <c r="FZ1682"/>
      <c r="GA1682"/>
      <c r="GB1682"/>
      <c r="GC1682"/>
    </row>
    <row r="1683" spans="167:185" x14ac:dyDescent="0.15">
      <c r="FK1683"/>
      <c r="FL1683"/>
      <c r="FM1683"/>
      <c r="FN1683"/>
      <c r="FO1683"/>
      <c r="FP1683"/>
      <c r="FQ1683"/>
      <c r="FR1683"/>
      <c r="FS1683"/>
      <c r="FT1683"/>
      <c r="FU1683"/>
      <c r="FV1683"/>
      <c r="FW1683"/>
      <c r="FX1683"/>
      <c r="FY1683"/>
      <c r="FZ1683"/>
      <c r="GA1683"/>
      <c r="GB1683"/>
      <c r="GC1683"/>
    </row>
    <row r="1684" spans="167:185" x14ac:dyDescent="0.15">
      <c r="FK1684"/>
      <c r="FL1684"/>
      <c r="FM1684"/>
      <c r="FN1684"/>
      <c r="FO1684"/>
      <c r="FP1684"/>
      <c r="FQ1684"/>
      <c r="FR1684"/>
      <c r="FS1684"/>
      <c r="FT1684"/>
      <c r="FU1684"/>
      <c r="FV1684"/>
      <c r="FW1684"/>
      <c r="FX1684"/>
      <c r="FY1684"/>
      <c r="FZ1684"/>
      <c r="GA1684"/>
      <c r="GB1684"/>
      <c r="GC1684"/>
    </row>
    <row r="1685" spans="167:185" x14ac:dyDescent="0.15">
      <c r="FK1685"/>
      <c r="FL1685"/>
      <c r="FM1685"/>
      <c r="FN1685"/>
      <c r="FO1685"/>
      <c r="FP1685"/>
      <c r="FQ1685"/>
      <c r="FR1685"/>
      <c r="FS1685"/>
      <c r="FT1685"/>
      <c r="FU1685"/>
      <c r="FV1685"/>
      <c r="FW1685"/>
      <c r="FX1685"/>
      <c r="FY1685"/>
      <c r="FZ1685"/>
      <c r="GA1685"/>
      <c r="GB1685"/>
      <c r="GC1685"/>
    </row>
    <row r="1686" spans="167:185" x14ac:dyDescent="0.15">
      <c r="FK1686"/>
      <c r="FL1686"/>
      <c r="FM1686"/>
      <c r="FN1686"/>
      <c r="FO1686"/>
      <c r="FP1686"/>
      <c r="FQ1686"/>
      <c r="FR1686"/>
      <c r="FS1686"/>
      <c r="FT1686"/>
      <c r="FU1686"/>
      <c r="FV1686"/>
      <c r="FW1686"/>
      <c r="FX1686"/>
      <c r="FY1686"/>
      <c r="FZ1686"/>
      <c r="GA1686"/>
      <c r="GB1686"/>
      <c r="GC1686"/>
    </row>
    <row r="1687" spans="167:185" x14ac:dyDescent="0.15">
      <c r="FK1687"/>
      <c r="FL1687"/>
      <c r="FM1687"/>
      <c r="FN1687"/>
      <c r="FO1687"/>
      <c r="FP1687"/>
      <c r="FQ1687"/>
      <c r="FR1687"/>
      <c r="FS1687"/>
      <c r="FT1687"/>
      <c r="FU1687"/>
      <c r="FV1687"/>
      <c r="FW1687"/>
      <c r="FX1687"/>
      <c r="FY1687"/>
      <c r="FZ1687"/>
      <c r="GA1687"/>
      <c r="GB1687"/>
      <c r="GC1687"/>
    </row>
    <row r="1688" spans="167:185" x14ac:dyDescent="0.15">
      <c r="FK1688"/>
      <c r="FL1688"/>
      <c r="FM1688"/>
      <c r="FN1688"/>
      <c r="FO1688"/>
      <c r="FP1688"/>
      <c r="FQ1688"/>
      <c r="FR1688"/>
      <c r="FS1688"/>
      <c r="FT1688"/>
      <c r="FU1688"/>
      <c r="FV1688"/>
      <c r="FW1688"/>
      <c r="FX1688"/>
      <c r="FY1688"/>
      <c r="FZ1688"/>
      <c r="GA1688"/>
      <c r="GB1688"/>
      <c r="GC1688"/>
    </row>
    <row r="1689" spans="167:185" x14ac:dyDescent="0.15">
      <c r="FK1689"/>
      <c r="FL1689"/>
      <c r="FM1689"/>
      <c r="FN1689"/>
      <c r="FO1689"/>
      <c r="FP1689"/>
      <c r="FQ1689"/>
      <c r="FR1689"/>
      <c r="FS1689"/>
      <c r="FT1689"/>
      <c r="FU1689"/>
      <c r="FV1689"/>
      <c r="FW1689"/>
      <c r="FX1689"/>
      <c r="FY1689"/>
      <c r="FZ1689"/>
      <c r="GA1689"/>
      <c r="GB1689"/>
      <c r="GC1689"/>
    </row>
    <row r="1690" spans="167:185" x14ac:dyDescent="0.15">
      <c r="FK1690"/>
      <c r="FL1690"/>
      <c r="FM1690"/>
      <c r="FN1690"/>
      <c r="FO1690"/>
      <c r="FP1690"/>
      <c r="FQ1690"/>
      <c r="FR1690"/>
      <c r="FS1690"/>
      <c r="FT1690"/>
      <c r="FU1690"/>
      <c r="FV1690"/>
      <c r="FW1690"/>
      <c r="FX1690"/>
      <c r="FY1690"/>
      <c r="FZ1690"/>
      <c r="GA1690"/>
      <c r="GB1690"/>
      <c r="GC1690"/>
    </row>
    <row r="1691" spans="167:185" x14ac:dyDescent="0.15">
      <c r="FK1691"/>
      <c r="FL1691"/>
      <c r="FM1691"/>
      <c r="FN1691"/>
      <c r="FO1691"/>
      <c r="FP1691"/>
      <c r="FQ1691"/>
      <c r="FR1691"/>
      <c r="FS1691"/>
      <c r="FT1691"/>
      <c r="FU1691"/>
      <c r="FV1691"/>
      <c r="FW1691"/>
      <c r="FX1691"/>
      <c r="FY1691"/>
      <c r="FZ1691"/>
      <c r="GA1691"/>
      <c r="GB1691"/>
      <c r="GC1691"/>
    </row>
    <row r="1692" spans="167:185" x14ac:dyDescent="0.15">
      <c r="FK1692"/>
      <c r="FL1692"/>
      <c r="FM1692"/>
      <c r="FN1692"/>
      <c r="FO1692"/>
      <c r="FP1692"/>
      <c r="FQ1692"/>
      <c r="FR1692"/>
      <c r="FS1692"/>
      <c r="FT1692"/>
      <c r="FU1692"/>
      <c r="FV1692"/>
      <c r="FW1692"/>
      <c r="FX1692"/>
      <c r="FY1692"/>
      <c r="FZ1692"/>
      <c r="GA1692"/>
      <c r="GB1692"/>
      <c r="GC1692"/>
    </row>
    <row r="1693" spans="167:185" x14ac:dyDescent="0.15">
      <c r="FK1693"/>
      <c r="FL1693"/>
      <c r="FM1693"/>
      <c r="FN1693"/>
      <c r="FO1693"/>
      <c r="FP1693"/>
      <c r="FQ1693"/>
      <c r="FR1693"/>
      <c r="FS1693"/>
      <c r="FT1693"/>
      <c r="FU1693"/>
      <c r="FV1693"/>
      <c r="FW1693"/>
      <c r="FX1693"/>
      <c r="FY1693"/>
      <c r="FZ1693"/>
      <c r="GA1693"/>
      <c r="GB1693"/>
      <c r="GC1693"/>
    </row>
    <row r="1694" spans="167:185" x14ac:dyDescent="0.15">
      <c r="FK1694"/>
      <c r="FL1694"/>
      <c r="FM1694"/>
      <c r="FN1694"/>
      <c r="FO1694"/>
      <c r="FP1694"/>
      <c r="FQ1694"/>
      <c r="FR1694"/>
      <c r="FS1694"/>
      <c r="FT1694"/>
      <c r="FU1694"/>
      <c r="FV1694"/>
      <c r="FW1694"/>
      <c r="FX1694"/>
      <c r="FY1694"/>
      <c r="FZ1694"/>
      <c r="GA1694"/>
      <c r="GB1694"/>
      <c r="GC1694"/>
    </row>
    <row r="1695" spans="167:185" x14ac:dyDescent="0.15">
      <c r="FK1695"/>
      <c r="FL1695"/>
      <c r="FM1695"/>
      <c r="FN1695"/>
      <c r="FO1695"/>
      <c r="FP1695"/>
      <c r="FQ1695"/>
      <c r="FR1695"/>
      <c r="FS1695"/>
      <c r="FT1695"/>
      <c r="FU1695"/>
      <c r="FV1695"/>
      <c r="FW1695"/>
      <c r="FX1695"/>
      <c r="FY1695"/>
      <c r="FZ1695"/>
      <c r="GA1695"/>
      <c r="GB1695"/>
      <c r="GC1695"/>
    </row>
    <row r="1696" spans="167:185" x14ac:dyDescent="0.15">
      <c r="FK1696"/>
      <c r="FL1696"/>
      <c r="FM1696"/>
      <c r="FN1696"/>
      <c r="FO1696"/>
      <c r="FP1696"/>
      <c r="FQ1696"/>
      <c r="FR1696"/>
      <c r="FS1696"/>
      <c r="FT1696"/>
      <c r="FU1696"/>
      <c r="FV1696"/>
      <c r="FW1696"/>
      <c r="FX1696"/>
      <c r="FY1696"/>
      <c r="FZ1696"/>
      <c r="GA1696"/>
      <c r="GB1696"/>
      <c r="GC1696"/>
    </row>
    <row r="1697" spans="167:185" x14ac:dyDescent="0.15">
      <c r="FK1697"/>
      <c r="FL1697"/>
      <c r="FM1697"/>
      <c r="FN1697"/>
      <c r="FO1697"/>
      <c r="FP1697"/>
      <c r="FQ1697"/>
      <c r="FR1697"/>
      <c r="FS1697"/>
      <c r="FT1697"/>
      <c r="FU1697"/>
      <c r="FV1697"/>
      <c r="FW1697"/>
      <c r="FX1697"/>
      <c r="FY1697"/>
      <c r="FZ1697"/>
      <c r="GA1697"/>
      <c r="GB1697"/>
      <c r="GC1697"/>
    </row>
    <row r="1698" spans="167:185" x14ac:dyDescent="0.15">
      <c r="FK1698"/>
      <c r="FL1698"/>
      <c r="FM1698"/>
      <c r="FN1698"/>
      <c r="FO1698"/>
      <c r="FP1698"/>
      <c r="FQ1698"/>
      <c r="FR1698"/>
      <c r="FS1698"/>
      <c r="FT1698"/>
      <c r="FU1698"/>
      <c r="FV1698"/>
      <c r="FW1698"/>
      <c r="FX1698"/>
      <c r="FY1698"/>
      <c r="FZ1698"/>
      <c r="GA1698"/>
      <c r="GB1698"/>
      <c r="GC1698"/>
    </row>
    <row r="1699" spans="167:185" x14ac:dyDescent="0.15">
      <c r="FK1699"/>
      <c r="FL1699"/>
      <c r="FM1699"/>
      <c r="FN1699"/>
      <c r="FO1699"/>
      <c r="FP1699"/>
      <c r="FQ1699"/>
      <c r="FR1699"/>
      <c r="FS1699"/>
      <c r="FT1699"/>
      <c r="FU1699"/>
      <c r="FV1699"/>
      <c r="FW1699"/>
      <c r="FX1699"/>
      <c r="FY1699"/>
      <c r="FZ1699"/>
      <c r="GA1699"/>
      <c r="GB1699"/>
      <c r="GC1699"/>
    </row>
    <row r="1700" spans="167:185" x14ac:dyDescent="0.15">
      <c r="FK1700"/>
      <c r="FL1700"/>
      <c r="FM1700"/>
      <c r="FN1700"/>
      <c r="FO1700"/>
      <c r="FP1700"/>
      <c r="FQ1700"/>
      <c r="FR1700"/>
      <c r="FS1700"/>
      <c r="FT1700"/>
      <c r="FU1700"/>
      <c r="FV1700"/>
      <c r="FW1700"/>
      <c r="FX1700"/>
      <c r="FY1700"/>
      <c r="FZ1700"/>
      <c r="GA1700"/>
      <c r="GB1700"/>
      <c r="GC1700"/>
    </row>
    <row r="1701" spans="167:185" x14ac:dyDescent="0.15">
      <c r="FK1701"/>
      <c r="FL1701"/>
      <c r="FM1701"/>
      <c r="FN1701"/>
      <c r="FO1701"/>
      <c r="FP1701"/>
      <c r="FQ1701"/>
      <c r="FR1701"/>
      <c r="FS1701"/>
      <c r="FT1701"/>
      <c r="FU1701"/>
      <c r="FV1701"/>
      <c r="FW1701"/>
      <c r="FX1701"/>
      <c r="FY1701"/>
      <c r="FZ1701"/>
      <c r="GA1701"/>
      <c r="GB1701"/>
      <c r="GC1701"/>
    </row>
    <row r="1702" spans="167:185" x14ac:dyDescent="0.15">
      <c r="FK1702"/>
      <c r="FL1702"/>
      <c r="FM1702"/>
      <c r="FN1702"/>
      <c r="FO1702"/>
      <c r="FP1702"/>
      <c r="FQ1702"/>
      <c r="FR1702"/>
      <c r="FS1702"/>
      <c r="FT1702"/>
      <c r="FU1702"/>
      <c r="FV1702"/>
      <c r="FW1702"/>
      <c r="FX1702"/>
      <c r="FY1702"/>
      <c r="FZ1702"/>
      <c r="GA1702"/>
      <c r="GB1702"/>
      <c r="GC1702"/>
    </row>
    <row r="1703" spans="167:185" x14ac:dyDescent="0.15">
      <c r="FK1703"/>
      <c r="FL1703"/>
      <c r="FM1703"/>
      <c r="FN1703"/>
      <c r="FO1703"/>
      <c r="FP1703"/>
      <c r="FQ1703"/>
      <c r="FR1703"/>
      <c r="FS1703"/>
      <c r="FT1703"/>
      <c r="FU1703"/>
      <c r="FV1703"/>
      <c r="FW1703"/>
      <c r="FX1703"/>
      <c r="FY1703"/>
      <c r="FZ1703"/>
      <c r="GA1703"/>
      <c r="GB1703"/>
      <c r="GC1703"/>
    </row>
    <row r="1704" spans="167:185" x14ac:dyDescent="0.15">
      <c r="FK1704"/>
      <c r="FL1704"/>
      <c r="FM1704"/>
      <c r="FN1704"/>
      <c r="FO1704"/>
      <c r="FP1704"/>
      <c r="FQ1704"/>
      <c r="FR1704"/>
      <c r="FS1704"/>
      <c r="FT1704"/>
      <c r="FU1704"/>
      <c r="FV1704"/>
      <c r="FW1704"/>
      <c r="FX1704"/>
      <c r="FY1704"/>
      <c r="FZ1704"/>
      <c r="GA1704"/>
      <c r="GB1704"/>
      <c r="GC1704"/>
    </row>
    <row r="1705" spans="167:185" x14ac:dyDescent="0.15">
      <c r="FK1705"/>
      <c r="FL1705"/>
      <c r="FM1705"/>
      <c r="FN1705"/>
      <c r="FO1705"/>
      <c r="FP1705"/>
      <c r="FQ1705"/>
      <c r="FR1705"/>
      <c r="FS1705"/>
      <c r="FT1705"/>
      <c r="FU1705"/>
      <c r="FV1705"/>
      <c r="FW1705"/>
      <c r="FX1705"/>
      <c r="FY1705"/>
      <c r="FZ1705"/>
      <c r="GA1705"/>
      <c r="GB1705"/>
      <c r="GC1705"/>
    </row>
    <row r="1706" spans="167:185" x14ac:dyDescent="0.15">
      <c r="FK1706"/>
      <c r="FL1706"/>
      <c r="FM1706"/>
      <c r="FN1706"/>
      <c r="FO1706"/>
      <c r="FP1706"/>
      <c r="FQ1706"/>
      <c r="FR1706"/>
      <c r="FS1706"/>
      <c r="FT1706"/>
      <c r="FU1706"/>
      <c r="FV1706"/>
      <c r="FW1706"/>
      <c r="FX1706"/>
      <c r="FY1706"/>
      <c r="FZ1706"/>
      <c r="GA1706"/>
      <c r="GB1706"/>
      <c r="GC1706"/>
    </row>
    <row r="1707" spans="167:185" x14ac:dyDescent="0.15">
      <c r="FK1707"/>
      <c r="FL1707"/>
      <c r="FM1707"/>
      <c r="FN1707"/>
      <c r="FO1707"/>
      <c r="FP1707"/>
      <c r="FQ1707"/>
      <c r="FR1707"/>
      <c r="FS1707"/>
      <c r="FT1707"/>
      <c r="FU1707"/>
      <c r="FV1707"/>
      <c r="FW1707"/>
      <c r="FX1707"/>
      <c r="FY1707"/>
      <c r="FZ1707"/>
      <c r="GA1707"/>
      <c r="GB1707"/>
      <c r="GC1707"/>
    </row>
    <row r="1708" spans="167:185" x14ac:dyDescent="0.15">
      <c r="FK1708"/>
      <c r="FL1708"/>
      <c r="FM1708"/>
      <c r="FN1708"/>
      <c r="FO1708"/>
      <c r="FP1708"/>
      <c r="FQ1708"/>
      <c r="FR1708"/>
      <c r="FS1708"/>
      <c r="FT1708"/>
      <c r="FU1708"/>
      <c r="FV1708"/>
      <c r="FW1708"/>
      <c r="FX1708"/>
      <c r="FY1708"/>
      <c r="FZ1708"/>
      <c r="GA1708"/>
      <c r="GB1708"/>
      <c r="GC1708"/>
    </row>
    <row r="1709" spans="167:185" x14ac:dyDescent="0.15">
      <c r="FK1709"/>
      <c r="FL1709"/>
      <c r="FM1709"/>
      <c r="FN1709"/>
      <c r="FO1709"/>
      <c r="FP1709"/>
      <c r="FQ1709"/>
      <c r="FR1709"/>
      <c r="FS1709"/>
      <c r="FT1709"/>
      <c r="FU1709"/>
      <c r="FV1709"/>
      <c r="FW1709"/>
      <c r="FX1709"/>
      <c r="FY1709"/>
      <c r="FZ1709"/>
      <c r="GA1709"/>
      <c r="GB1709"/>
      <c r="GC1709"/>
    </row>
    <row r="1710" spans="167:185" x14ac:dyDescent="0.15">
      <c r="FK1710"/>
      <c r="FL1710"/>
      <c r="FM1710"/>
      <c r="FN1710"/>
      <c r="FO1710"/>
      <c r="FP1710"/>
      <c r="FQ1710"/>
      <c r="FR1710"/>
      <c r="FS1710"/>
      <c r="FT1710"/>
      <c r="FU1710"/>
      <c r="FV1710"/>
      <c r="FW1710"/>
      <c r="FX1710"/>
      <c r="FY1710"/>
      <c r="FZ1710"/>
      <c r="GA1710"/>
      <c r="GB1710"/>
      <c r="GC1710"/>
    </row>
    <row r="1711" spans="167:185" x14ac:dyDescent="0.15">
      <c r="FK1711"/>
      <c r="FL1711"/>
      <c r="FM1711"/>
      <c r="FN1711"/>
      <c r="FO1711"/>
      <c r="FP1711"/>
      <c r="FQ1711"/>
      <c r="FR1711"/>
      <c r="FS1711"/>
      <c r="FT1711"/>
      <c r="FU1711"/>
      <c r="FV1711"/>
      <c r="FW1711"/>
      <c r="FX1711"/>
      <c r="FY1711"/>
      <c r="FZ1711"/>
      <c r="GA1711"/>
      <c r="GB1711"/>
      <c r="GC1711"/>
    </row>
    <row r="1712" spans="167:185" x14ac:dyDescent="0.15">
      <c r="FK1712"/>
      <c r="FL1712"/>
      <c r="FM1712"/>
      <c r="FN1712"/>
      <c r="FO1712"/>
      <c r="FP1712"/>
      <c r="FQ1712"/>
      <c r="FR1712"/>
      <c r="FS1712"/>
      <c r="FT1712"/>
      <c r="FU1712"/>
      <c r="FV1712"/>
      <c r="FW1712"/>
      <c r="FX1712"/>
      <c r="FY1712"/>
      <c r="FZ1712"/>
      <c r="GA1712"/>
      <c r="GB1712"/>
      <c r="GC1712"/>
    </row>
    <row r="1713" spans="167:185" x14ac:dyDescent="0.15">
      <c r="FK1713"/>
      <c r="FL1713"/>
      <c r="FM1713"/>
      <c r="FN1713"/>
      <c r="FO1713"/>
      <c r="FP1713"/>
      <c r="FQ1713"/>
      <c r="FR1713"/>
      <c r="FS1713"/>
      <c r="FT1713"/>
      <c r="FU1713"/>
      <c r="FV1713"/>
      <c r="FW1713"/>
      <c r="FX1713"/>
      <c r="FY1713"/>
      <c r="FZ1713"/>
      <c r="GA1713"/>
      <c r="GB1713"/>
      <c r="GC1713"/>
    </row>
    <row r="1714" spans="167:185" x14ac:dyDescent="0.15">
      <c r="FK1714"/>
      <c r="FL1714"/>
      <c r="FM1714"/>
      <c r="FN1714"/>
      <c r="FO1714"/>
      <c r="FP1714"/>
      <c r="FQ1714"/>
      <c r="FR1714"/>
      <c r="FS1714"/>
      <c r="FT1714"/>
      <c r="FU1714"/>
      <c r="FV1714"/>
      <c r="FW1714"/>
      <c r="FX1714"/>
      <c r="FY1714"/>
      <c r="FZ1714"/>
      <c r="GA1714"/>
      <c r="GB1714"/>
      <c r="GC1714"/>
    </row>
    <row r="1715" spans="167:185" x14ac:dyDescent="0.15">
      <c r="FK1715"/>
      <c r="FL1715"/>
      <c r="FM1715"/>
      <c r="FN1715"/>
      <c r="FO1715"/>
      <c r="FP1715"/>
      <c r="FQ1715"/>
      <c r="FR1715"/>
      <c r="FS1715"/>
      <c r="FT1715"/>
      <c r="FU1715"/>
      <c r="FV1715"/>
      <c r="FW1715"/>
      <c r="FX1715"/>
      <c r="FY1715"/>
      <c r="FZ1715"/>
      <c r="GA1715"/>
      <c r="GB1715"/>
      <c r="GC1715"/>
    </row>
    <row r="1716" spans="167:185" x14ac:dyDescent="0.15">
      <c r="FK1716"/>
      <c r="FL1716"/>
      <c r="FM1716"/>
      <c r="FN1716"/>
      <c r="FO1716"/>
      <c r="FP1716"/>
      <c r="FQ1716"/>
      <c r="FR1716"/>
      <c r="FS1716"/>
      <c r="FT1716"/>
      <c r="FU1716"/>
      <c r="FV1716"/>
      <c r="FW1716"/>
      <c r="FX1716"/>
      <c r="FY1716"/>
      <c r="FZ1716"/>
      <c r="GA1716"/>
      <c r="GB1716"/>
      <c r="GC1716"/>
    </row>
    <row r="1717" spans="167:185" x14ac:dyDescent="0.15">
      <c r="FK1717"/>
      <c r="FL1717"/>
      <c r="FM1717"/>
      <c r="FN1717"/>
      <c r="FO1717"/>
      <c r="FP1717"/>
      <c r="FQ1717"/>
      <c r="FR1717"/>
      <c r="FS1717"/>
      <c r="FT1717"/>
      <c r="FU1717"/>
      <c r="FV1717"/>
      <c r="FW1717"/>
      <c r="FX1717"/>
      <c r="FY1717"/>
      <c r="FZ1717"/>
      <c r="GA1717"/>
      <c r="GB1717"/>
      <c r="GC1717"/>
    </row>
    <row r="1718" spans="167:185" x14ac:dyDescent="0.15">
      <c r="FK1718"/>
      <c r="FL1718"/>
      <c r="FM1718"/>
      <c r="FN1718"/>
      <c r="FO1718"/>
      <c r="FP1718"/>
      <c r="FQ1718"/>
      <c r="FR1718"/>
      <c r="FS1718"/>
      <c r="FT1718"/>
      <c r="FU1718"/>
      <c r="FV1718"/>
      <c r="FW1718"/>
      <c r="FX1718"/>
      <c r="FY1718"/>
      <c r="FZ1718"/>
      <c r="GA1718"/>
      <c r="GB1718"/>
      <c r="GC1718"/>
    </row>
    <row r="1719" spans="167:185" x14ac:dyDescent="0.15">
      <c r="FK1719"/>
      <c r="FL1719"/>
      <c r="FM1719"/>
      <c r="FN1719"/>
      <c r="FO1719"/>
      <c r="FP1719"/>
      <c r="FQ1719"/>
      <c r="FR1719"/>
      <c r="FS1719"/>
      <c r="FT1719"/>
      <c r="FU1719"/>
      <c r="FV1719"/>
      <c r="FW1719"/>
      <c r="FX1719"/>
      <c r="FY1719"/>
      <c r="FZ1719"/>
      <c r="GA1719"/>
      <c r="GB1719"/>
      <c r="GC1719"/>
    </row>
    <row r="1720" spans="167:185" x14ac:dyDescent="0.15">
      <c r="FK1720"/>
      <c r="FL1720"/>
      <c r="FM1720"/>
      <c r="FN1720"/>
      <c r="FO1720"/>
      <c r="FP1720"/>
      <c r="FQ1720"/>
      <c r="FR1720"/>
      <c r="FS1720"/>
      <c r="FT1720"/>
      <c r="FU1720"/>
      <c r="FV1720"/>
      <c r="FW1720"/>
      <c r="FX1720"/>
      <c r="FY1720"/>
      <c r="FZ1720"/>
      <c r="GA1720"/>
      <c r="GB1720"/>
      <c r="GC1720"/>
    </row>
    <row r="1721" spans="167:185" x14ac:dyDescent="0.15">
      <c r="FK1721"/>
      <c r="FL1721"/>
      <c r="FM1721"/>
      <c r="FN1721"/>
      <c r="FO1721"/>
      <c r="FP1721"/>
      <c r="FQ1721"/>
      <c r="FR1721"/>
      <c r="FS1721"/>
      <c r="FT1721"/>
      <c r="FU1721"/>
      <c r="FV1721"/>
      <c r="FW1721"/>
      <c r="FX1721"/>
      <c r="FY1721"/>
      <c r="FZ1721"/>
      <c r="GA1721"/>
      <c r="GB1721"/>
      <c r="GC1721"/>
    </row>
    <row r="1722" spans="167:185" x14ac:dyDescent="0.15">
      <c r="FK1722"/>
      <c r="FL1722"/>
      <c r="FM1722"/>
      <c r="FN1722"/>
      <c r="FO1722"/>
      <c r="FP1722"/>
      <c r="FQ1722"/>
      <c r="FR1722"/>
      <c r="FS1722"/>
      <c r="FT1722"/>
      <c r="FU1722"/>
      <c r="FV1722"/>
      <c r="FW1722"/>
      <c r="FX1722"/>
      <c r="FY1722"/>
      <c r="FZ1722"/>
      <c r="GA1722"/>
      <c r="GB1722"/>
      <c r="GC1722"/>
    </row>
    <row r="1723" spans="167:185" x14ac:dyDescent="0.15">
      <c r="FK1723"/>
      <c r="FL1723"/>
      <c r="FM1723"/>
      <c r="FN1723"/>
      <c r="FO1723"/>
      <c r="FP1723"/>
      <c r="FQ1723"/>
      <c r="FR1723"/>
      <c r="FS1723"/>
      <c r="FT1723"/>
      <c r="FU1723"/>
      <c r="FV1723"/>
      <c r="FW1723"/>
      <c r="FX1723"/>
      <c r="FY1723"/>
      <c r="FZ1723"/>
      <c r="GA1723"/>
      <c r="GB1723"/>
      <c r="GC1723"/>
    </row>
    <row r="1724" spans="167:185" x14ac:dyDescent="0.15">
      <c r="FK1724"/>
      <c r="FL1724"/>
      <c r="FM1724"/>
      <c r="FN1724"/>
      <c r="FO1724"/>
      <c r="FP1724"/>
      <c r="FQ1724"/>
      <c r="FR1724"/>
      <c r="FS1724"/>
      <c r="FT1724"/>
      <c r="FU1724"/>
      <c r="FV1724"/>
      <c r="FW1724"/>
      <c r="FX1724"/>
      <c r="FY1724"/>
      <c r="FZ1724"/>
      <c r="GA1724"/>
      <c r="GB1724"/>
      <c r="GC1724"/>
    </row>
    <row r="1725" spans="167:185" x14ac:dyDescent="0.15">
      <c r="FK1725"/>
      <c r="FL1725"/>
      <c r="FM1725"/>
      <c r="FN1725"/>
      <c r="FO1725"/>
      <c r="FP1725"/>
      <c r="FQ1725"/>
      <c r="FR1725"/>
      <c r="FS1725"/>
      <c r="FT1725"/>
      <c r="FU1725"/>
      <c r="FV1725"/>
      <c r="FW1725"/>
      <c r="FX1725"/>
      <c r="FY1725"/>
      <c r="FZ1725"/>
      <c r="GA1725"/>
      <c r="GB1725"/>
      <c r="GC1725"/>
    </row>
    <row r="1726" spans="167:185" x14ac:dyDescent="0.15">
      <c r="FK1726"/>
      <c r="FL1726"/>
      <c r="FM1726"/>
      <c r="FN1726"/>
      <c r="FO1726"/>
      <c r="FP1726"/>
      <c r="FQ1726"/>
      <c r="FR1726"/>
      <c r="FS1726"/>
      <c r="FT1726"/>
      <c r="FU1726"/>
      <c r="FV1726"/>
      <c r="FW1726"/>
      <c r="FX1726"/>
      <c r="FY1726"/>
      <c r="FZ1726"/>
      <c r="GA1726"/>
      <c r="GB1726"/>
      <c r="GC1726"/>
    </row>
    <row r="1727" spans="167:185" x14ac:dyDescent="0.15">
      <c r="FK1727"/>
      <c r="FL1727"/>
      <c r="FM1727"/>
      <c r="FN1727"/>
      <c r="FO1727"/>
      <c r="FP1727"/>
      <c r="FQ1727"/>
      <c r="FR1727"/>
      <c r="FS1727"/>
      <c r="FT1727"/>
      <c r="FU1727"/>
      <c r="FV1727"/>
      <c r="FW1727"/>
      <c r="FX1727"/>
      <c r="FY1727"/>
      <c r="FZ1727"/>
      <c r="GA1727"/>
      <c r="GB1727"/>
      <c r="GC1727"/>
    </row>
    <row r="1728" spans="167:185" x14ac:dyDescent="0.15">
      <c r="FK1728"/>
      <c r="FL1728"/>
      <c r="FM1728"/>
      <c r="FN1728"/>
      <c r="FO1728"/>
      <c r="FP1728"/>
      <c r="FQ1728"/>
      <c r="FR1728"/>
      <c r="FS1728"/>
      <c r="FT1728"/>
      <c r="FU1728"/>
      <c r="FV1728"/>
      <c r="FW1728"/>
      <c r="FX1728"/>
      <c r="FY1728"/>
      <c r="FZ1728"/>
      <c r="GA1728"/>
      <c r="GB1728"/>
      <c r="GC1728"/>
    </row>
    <row r="1729" spans="167:185" x14ac:dyDescent="0.15">
      <c r="FK1729"/>
      <c r="FL1729"/>
      <c r="FM1729"/>
      <c r="FN1729"/>
      <c r="FO1729"/>
      <c r="FP1729"/>
      <c r="FQ1729"/>
      <c r="FR1729"/>
      <c r="FS1729"/>
      <c r="FT1729"/>
      <c r="FU1729"/>
      <c r="FV1729"/>
      <c r="FW1729"/>
      <c r="FX1729"/>
      <c r="FY1729"/>
      <c r="FZ1729"/>
      <c r="GA1729"/>
      <c r="GB1729"/>
      <c r="GC1729"/>
    </row>
    <row r="1730" spans="167:185" x14ac:dyDescent="0.15">
      <c r="FK1730"/>
      <c r="FL1730"/>
      <c r="FM1730"/>
      <c r="FN1730"/>
      <c r="FO1730"/>
      <c r="FP1730"/>
      <c r="FQ1730"/>
      <c r="FR1730"/>
      <c r="FS1730"/>
      <c r="FT1730"/>
      <c r="FU1730"/>
      <c r="FV1730"/>
      <c r="FW1730"/>
      <c r="FX1730"/>
      <c r="FY1730"/>
      <c r="FZ1730"/>
      <c r="GA1730"/>
      <c r="GB1730"/>
      <c r="GC1730"/>
    </row>
    <row r="1731" spans="167:185" x14ac:dyDescent="0.15">
      <c r="FK1731"/>
      <c r="FL1731"/>
      <c r="FM1731"/>
      <c r="FN1731"/>
      <c r="FO1731"/>
      <c r="FP1731"/>
      <c r="FQ1731"/>
      <c r="FR1731"/>
      <c r="FS1731"/>
      <c r="FT1731"/>
      <c r="FU1731"/>
      <c r="FV1731"/>
      <c r="FW1731"/>
      <c r="FX1731"/>
      <c r="FY1731"/>
      <c r="FZ1731"/>
      <c r="GA1731"/>
      <c r="GB1731"/>
      <c r="GC1731"/>
    </row>
    <row r="1732" spans="167:185" x14ac:dyDescent="0.15">
      <c r="FK1732"/>
      <c r="FL1732"/>
      <c r="FM1732"/>
      <c r="FN1732"/>
      <c r="FO1732"/>
      <c r="FP1732"/>
      <c r="FQ1732"/>
      <c r="FR1732"/>
      <c r="FS1732"/>
      <c r="FT1732"/>
      <c r="FU1732"/>
      <c r="FV1732"/>
      <c r="FW1732"/>
      <c r="FX1732"/>
      <c r="FY1732"/>
      <c r="FZ1732"/>
      <c r="GA1732"/>
      <c r="GB1732"/>
      <c r="GC1732"/>
    </row>
    <row r="1733" spans="167:185" x14ac:dyDescent="0.15">
      <c r="FK1733"/>
      <c r="FL1733"/>
      <c r="FM1733"/>
      <c r="FN1733"/>
      <c r="FO1733"/>
      <c r="FP1733"/>
      <c r="FQ1733"/>
      <c r="FR1733"/>
      <c r="FS1733"/>
      <c r="FT1733"/>
      <c r="FU1733"/>
      <c r="FV1733"/>
      <c r="FW1733"/>
      <c r="FX1733"/>
      <c r="FY1733"/>
      <c r="FZ1733"/>
      <c r="GA1733"/>
      <c r="GB1733"/>
      <c r="GC1733"/>
    </row>
    <row r="1734" spans="167:185" x14ac:dyDescent="0.15">
      <c r="FK1734"/>
      <c r="FL1734"/>
      <c r="FM1734"/>
      <c r="FN1734"/>
      <c r="FO1734"/>
      <c r="FP1734"/>
      <c r="FQ1734"/>
      <c r="FR1734"/>
      <c r="FS1734"/>
      <c r="FT1734"/>
      <c r="FU1734"/>
      <c r="FV1734"/>
      <c r="FW1734"/>
      <c r="FX1734"/>
      <c r="FY1734"/>
      <c r="FZ1734"/>
      <c r="GA1734"/>
      <c r="GB1734"/>
      <c r="GC1734"/>
    </row>
    <row r="1735" spans="167:185" x14ac:dyDescent="0.15">
      <c r="FK1735"/>
      <c r="FL1735"/>
      <c r="FM1735"/>
      <c r="FN1735"/>
      <c r="FO1735"/>
      <c r="FP1735"/>
      <c r="FQ1735"/>
      <c r="FR1735"/>
      <c r="FS1735"/>
      <c r="FT1735"/>
      <c r="FU1735"/>
      <c r="FV1735"/>
      <c r="FW1735"/>
      <c r="FX1735"/>
      <c r="FY1735"/>
      <c r="FZ1735"/>
      <c r="GA1735"/>
      <c r="GB1735"/>
      <c r="GC1735"/>
    </row>
    <row r="1736" spans="167:185" x14ac:dyDescent="0.15">
      <c r="FK1736"/>
      <c r="FL1736"/>
      <c r="FM1736"/>
      <c r="FN1736"/>
      <c r="FO1736"/>
      <c r="FP1736"/>
      <c r="FQ1736"/>
      <c r="FR1736"/>
      <c r="FS1736"/>
      <c r="FT1736"/>
      <c r="FU1736"/>
      <c r="FV1736"/>
      <c r="FW1736"/>
      <c r="FX1736"/>
      <c r="FY1736"/>
      <c r="FZ1736"/>
      <c r="GA1736"/>
      <c r="GB1736"/>
      <c r="GC1736"/>
    </row>
    <row r="1737" spans="167:185" x14ac:dyDescent="0.15">
      <c r="FK1737"/>
      <c r="FL1737"/>
      <c r="FM1737"/>
      <c r="FN1737"/>
      <c r="FO1737"/>
      <c r="FP1737"/>
      <c r="FQ1737"/>
      <c r="FR1737"/>
      <c r="FS1737"/>
      <c r="FT1737"/>
      <c r="FU1737"/>
      <c r="FV1737"/>
      <c r="FW1737"/>
      <c r="FX1737"/>
      <c r="FY1737"/>
      <c r="FZ1737"/>
      <c r="GA1737"/>
      <c r="GB1737"/>
      <c r="GC1737"/>
    </row>
    <row r="1738" spans="167:185" x14ac:dyDescent="0.15">
      <c r="FK1738"/>
      <c r="FL1738"/>
      <c r="FM1738"/>
      <c r="FN1738"/>
      <c r="FO1738"/>
      <c r="FP1738"/>
      <c r="FQ1738"/>
      <c r="FR1738"/>
      <c r="FS1738"/>
      <c r="FT1738"/>
      <c r="FU1738"/>
      <c r="FV1738"/>
      <c r="FW1738"/>
      <c r="FX1738"/>
      <c r="FY1738"/>
      <c r="FZ1738"/>
      <c r="GA1738"/>
      <c r="GB1738"/>
      <c r="GC1738"/>
    </row>
    <row r="1739" spans="167:185" x14ac:dyDescent="0.15">
      <c r="FK1739"/>
      <c r="FL1739"/>
      <c r="FM1739"/>
      <c r="FN1739"/>
      <c r="FO1739"/>
      <c r="FP1739"/>
      <c r="FQ1739"/>
      <c r="FR1739"/>
      <c r="FS1739"/>
      <c r="FT1739"/>
      <c r="FU1739"/>
      <c r="FV1739"/>
      <c r="FW1739"/>
      <c r="FX1739"/>
      <c r="FY1739"/>
      <c r="FZ1739"/>
      <c r="GA1739"/>
      <c r="GB1739"/>
      <c r="GC1739"/>
    </row>
    <row r="1740" spans="167:185" x14ac:dyDescent="0.15">
      <c r="FK1740"/>
      <c r="FL1740"/>
      <c r="FM1740"/>
      <c r="FN1740"/>
      <c r="FO1740"/>
      <c r="FP1740"/>
      <c r="FQ1740"/>
      <c r="FR1740"/>
      <c r="FS1740"/>
      <c r="FT1740"/>
      <c r="FU1740"/>
      <c r="FV1740"/>
      <c r="FW1740"/>
      <c r="FX1740"/>
      <c r="FY1740"/>
      <c r="FZ1740"/>
      <c r="GA1740"/>
      <c r="GB1740"/>
      <c r="GC1740"/>
    </row>
    <row r="1741" spans="167:185" x14ac:dyDescent="0.15">
      <c r="FK1741"/>
      <c r="FL1741"/>
      <c r="FM1741"/>
      <c r="FN1741"/>
      <c r="FO1741"/>
      <c r="FP1741"/>
      <c r="FQ1741"/>
      <c r="FR1741"/>
      <c r="FS1741"/>
      <c r="FT1741"/>
      <c r="FU1741"/>
      <c r="FV1741"/>
      <c r="FW1741"/>
      <c r="FX1741"/>
      <c r="FY1741"/>
      <c r="FZ1741"/>
      <c r="GA1741"/>
      <c r="GB1741"/>
      <c r="GC1741"/>
    </row>
    <row r="1742" spans="167:185" x14ac:dyDescent="0.15">
      <c r="FK1742"/>
      <c r="FL1742"/>
      <c r="FM1742"/>
      <c r="FN1742"/>
      <c r="FO1742"/>
      <c r="FP1742"/>
      <c r="FQ1742"/>
      <c r="FR1742"/>
      <c r="FS1742"/>
      <c r="FT1742"/>
      <c r="FU1742"/>
      <c r="FV1742"/>
      <c r="FW1742"/>
      <c r="FX1742"/>
      <c r="FY1742"/>
      <c r="FZ1742"/>
      <c r="GA1742"/>
      <c r="GB1742"/>
      <c r="GC1742"/>
    </row>
    <row r="1743" spans="167:185" x14ac:dyDescent="0.15">
      <c r="FK1743"/>
      <c r="FL1743"/>
      <c r="FM1743"/>
      <c r="FN1743"/>
      <c r="FO1743"/>
      <c r="FP1743"/>
      <c r="FQ1743"/>
      <c r="FR1743"/>
      <c r="FS1743"/>
      <c r="FT1743"/>
      <c r="FU1743"/>
      <c r="FV1743"/>
      <c r="FW1743"/>
      <c r="FX1743"/>
      <c r="FY1743"/>
      <c r="FZ1743"/>
      <c r="GA1743"/>
      <c r="GB1743"/>
      <c r="GC1743"/>
    </row>
    <row r="1744" spans="167:185" x14ac:dyDescent="0.15">
      <c r="FK1744"/>
      <c r="FL1744"/>
      <c r="FM1744"/>
      <c r="FN1744"/>
      <c r="FO1744"/>
      <c r="FP1744"/>
      <c r="FQ1744"/>
      <c r="FR1744"/>
      <c r="FS1744"/>
      <c r="FT1744"/>
      <c r="FU1744"/>
      <c r="FV1744"/>
      <c r="FW1744"/>
      <c r="FX1744"/>
      <c r="FY1744"/>
      <c r="FZ1744"/>
      <c r="GA1744"/>
      <c r="GB1744"/>
      <c r="GC1744"/>
    </row>
    <row r="1745" spans="167:185" x14ac:dyDescent="0.15">
      <c r="FK1745"/>
      <c r="FL1745"/>
      <c r="FM1745"/>
      <c r="FN1745"/>
      <c r="FO1745"/>
      <c r="FP1745"/>
      <c r="FQ1745"/>
      <c r="FR1745"/>
      <c r="FS1745"/>
      <c r="FT1745"/>
      <c r="FU1745"/>
      <c r="FV1745"/>
      <c r="FW1745"/>
      <c r="FX1745"/>
      <c r="FY1745"/>
      <c r="FZ1745"/>
      <c r="GA1745"/>
      <c r="GB1745"/>
      <c r="GC1745"/>
    </row>
    <row r="1746" spans="167:185" x14ac:dyDescent="0.15">
      <c r="FK1746"/>
      <c r="FL1746"/>
      <c r="FM1746"/>
      <c r="FN1746"/>
      <c r="FO1746"/>
      <c r="FP1746"/>
      <c r="FQ1746"/>
      <c r="FR1746"/>
      <c r="FS1746"/>
      <c r="FT1746"/>
      <c r="FU1746"/>
      <c r="FV1746"/>
      <c r="FW1746"/>
      <c r="FX1746"/>
      <c r="FY1746"/>
      <c r="FZ1746"/>
      <c r="GA1746"/>
      <c r="GB1746"/>
      <c r="GC1746"/>
    </row>
    <row r="1747" spans="167:185" x14ac:dyDescent="0.15">
      <c r="FK1747"/>
      <c r="FL1747"/>
      <c r="FM1747"/>
      <c r="FN1747"/>
      <c r="FO1747"/>
      <c r="FP1747"/>
      <c r="FQ1747"/>
      <c r="FR1747"/>
      <c r="FS1747"/>
      <c r="FT1747"/>
      <c r="FU1747"/>
      <c r="FV1747"/>
      <c r="FW1747"/>
      <c r="FX1747"/>
      <c r="FY1747"/>
      <c r="FZ1747"/>
      <c r="GA1747"/>
      <c r="GB1747"/>
      <c r="GC1747"/>
    </row>
    <row r="1748" spans="167:185" x14ac:dyDescent="0.15">
      <c r="FK1748"/>
      <c r="FL1748"/>
      <c r="FM1748"/>
      <c r="FN1748"/>
      <c r="FO1748"/>
      <c r="FP1748"/>
      <c r="FQ1748"/>
      <c r="FR1748"/>
      <c r="FS1748"/>
      <c r="FT1748"/>
      <c r="FU1748"/>
      <c r="FV1748"/>
      <c r="FW1748"/>
      <c r="FX1748"/>
      <c r="FY1748"/>
      <c r="FZ1748"/>
      <c r="GA1748"/>
      <c r="GB1748"/>
      <c r="GC1748"/>
    </row>
    <row r="1749" spans="167:185" x14ac:dyDescent="0.15">
      <c r="FK1749"/>
      <c r="FL1749"/>
      <c r="FM1749"/>
      <c r="FN1749"/>
      <c r="FO1749"/>
      <c r="FP1749"/>
      <c r="FQ1749"/>
      <c r="FR1749"/>
      <c r="FS1749"/>
      <c r="FT1749"/>
      <c r="FU1749"/>
      <c r="FV1749"/>
      <c r="FW1749"/>
      <c r="FX1749"/>
      <c r="FY1749"/>
      <c r="FZ1749"/>
      <c r="GA1749"/>
      <c r="GB1749"/>
      <c r="GC1749"/>
    </row>
    <row r="1750" spans="167:185" x14ac:dyDescent="0.15">
      <c r="FK1750"/>
      <c r="FL1750"/>
      <c r="FM1750"/>
      <c r="FN1750"/>
      <c r="FO1750"/>
      <c r="FP1750"/>
      <c r="FQ1750"/>
      <c r="FR1750"/>
      <c r="FS1750"/>
      <c r="FT1750"/>
      <c r="FU1750"/>
      <c r="FV1750"/>
      <c r="FW1750"/>
      <c r="FX1750"/>
      <c r="FY1750"/>
      <c r="FZ1750"/>
      <c r="GA1750"/>
      <c r="GB1750"/>
      <c r="GC1750"/>
    </row>
    <row r="1751" spans="167:185" x14ac:dyDescent="0.15">
      <c r="FK1751"/>
      <c r="FL1751"/>
      <c r="FM1751"/>
      <c r="FN1751"/>
      <c r="FO1751"/>
      <c r="FP1751"/>
      <c r="FQ1751"/>
      <c r="FR1751"/>
      <c r="FS1751"/>
      <c r="FT1751"/>
      <c r="FU1751"/>
      <c r="FV1751"/>
      <c r="FW1751"/>
      <c r="FX1751"/>
      <c r="FY1751"/>
      <c r="FZ1751"/>
      <c r="GA1751"/>
      <c r="GB1751"/>
      <c r="GC1751"/>
    </row>
    <row r="1752" spans="167:185" x14ac:dyDescent="0.15">
      <c r="FK1752"/>
      <c r="FL1752"/>
      <c r="FM1752"/>
      <c r="FN1752"/>
      <c r="FO1752"/>
      <c r="FP1752"/>
      <c r="FQ1752"/>
      <c r="FR1752"/>
      <c r="FS1752"/>
      <c r="FT1752"/>
      <c r="FU1752"/>
      <c r="FV1752"/>
      <c r="FW1752"/>
      <c r="FX1752"/>
      <c r="FY1752"/>
      <c r="FZ1752"/>
      <c r="GA1752"/>
      <c r="GB1752"/>
      <c r="GC1752"/>
    </row>
    <row r="1753" spans="167:185" x14ac:dyDescent="0.15">
      <c r="FK1753"/>
      <c r="FL1753"/>
      <c r="FM1753"/>
      <c r="FN1753"/>
      <c r="FO1753"/>
      <c r="FP1753"/>
      <c r="FQ1753"/>
      <c r="FR1753"/>
      <c r="FS1753"/>
      <c r="FT1753"/>
      <c r="FU1753"/>
      <c r="FV1753"/>
      <c r="FW1753"/>
      <c r="FX1753"/>
      <c r="FY1753"/>
      <c r="FZ1753"/>
      <c r="GA1753"/>
      <c r="GB1753"/>
      <c r="GC1753"/>
    </row>
    <row r="1754" spans="167:185" x14ac:dyDescent="0.15">
      <c r="FK1754"/>
      <c r="FL1754"/>
      <c r="FM1754"/>
      <c r="FN1754"/>
      <c r="FO1754"/>
      <c r="FP1754"/>
      <c r="FQ1754"/>
      <c r="FR1754"/>
      <c r="FS1754"/>
      <c r="FT1754"/>
      <c r="FU1754"/>
      <c r="FV1754"/>
      <c r="FW1754"/>
      <c r="FX1754"/>
      <c r="FY1754"/>
      <c r="FZ1754"/>
      <c r="GA1754"/>
      <c r="GB1754"/>
      <c r="GC1754"/>
    </row>
    <row r="1755" spans="167:185" x14ac:dyDescent="0.15">
      <c r="FK1755"/>
      <c r="FL1755"/>
      <c r="FM1755"/>
      <c r="FN1755"/>
      <c r="FO1755"/>
      <c r="FP1755"/>
      <c r="FQ1755"/>
      <c r="FR1755"/>
      <c r="FS1755"/>
      <c r="FT1755"/>
      <c r="FU1755"/>
      <c r="FV1755"/>
      <c r="FW1755"/>
      <c r="FX1755"/>
      <c r="FY1755"/>
      <c r="FZ1755"/>
      <c r="GA1755"/>
      <c r="GB1755"/>
      <c r="GC1755"/>
    </row>
    <row r="1756" spans="167:185" x14ac:dyDescent="0.15">
      <c r="FK1756"/>
      <c r="FL1756"/>
      <c r="FM1756"/>
      <c r="FN1756"/>
      <c r="FO1756"/>
      <c r="FP1756"/>
      <c r="FQ1756"/>
      <c r="FR1756"/>
      <c r="FS1756"/>
      <c r="FT1756"/>
      <c r="FU1756"/>
      <c r="FV1756"/>
      <c r="FW1756"/>
      <c r="FX1756"/>
      <c r="FY1756"/>
      <c r="FZ1756"/>
      <c r="GA1756"/>
      <c r="GB1756"/>
      <c r="GC1756"/>
    </row>
    <row r="1757" spans="167:185" x14ac:dyDescent="0.15">
      <c r="FK1757"/>
      <c r="FL1757"/>
      <c r="FM1757"/>
      <c r="FN1757"/>
      <c r="FO1757"/>
      <c r="FP1757"/>
      <c r="FQ1757"/>
      <c r="FR1757"/>
      <c r="FS1757"/>
      <c r="FT1757"/>
      <c r="FU1757"/>
      <c r="FV1757"/>
      <c r="FW1757"/>
      <c r="FX1757"/>
      <c r="FY1757"/>
      <c r="FZ1757"/>
      <c r="GA1757"/>
      <c r="GB1757"/>
      <c r="GC1757"/>
    </row>
    <row r="1758" spans="167:185" x14ac:dyDescent="0.15">
      <c r="FK1758"/>
      <c r="FL1758"/>
      <c r="FM1758"/>
      <c r="FN1758"/>
      <c r="FO1758"/>
      <c r="FP1758"/>
      <c r="FQ1758"/>
      <c r="FR1758"/>
      <c r="FS1758"/>
      <c r="FT1758"/>
      <c r="FU1758"/>
      <c r="FV1758"/>
      <c r="FW1758"/>
      <c r="FX1758"/>
      <c r="FY1758"/>
      <c r="FZ1758"/>
      <c r="GA1758"/>
      <c r="GB1758"/>
      <c r="GC1758"/>
    </row>
    <row r="1759" spans="167:185" x14ac:dyDescent="0.15">
      <c r="FK1759"/>
      <c r="FL1759"/>
      <c r="FM1759"/>
      <c r="FN1759"/>
      <c r="FO1759"/>
      <c r="FP1759"/>
      <c r="FQ1759"/>
      <c r="FR1759"/>
      <c r="FS1759"/>
      <c r="FT1759"/>
      <c r="FU1759"/>
      <c r="FV1759"/>
      <c r="FW1759"/>
      <c r="FX1759"/>
      <c r="FY1759"/>
      <c r="FZ1759"/>
      <c r="GA1759"/>
      <c r="GB1759"/>
      <c r="GC1759"/>
    </row>
    <row r="1760" spans="167:185" x14ac:dyDescent="0.15">
      <c r="FK1760"/>
      <c r="FL1760"/>
      <c r="FM1760"/>
      <c r="FN1760"/>
      <c r="FO1760"/>
      <c r="FP1760"/>
      <c r="FQ1760"/>
      <c r="FR1760"/>
      <c r="FS1760"/>
      <c r="FT1760"/>
      <c r="FU1760"/>
      <c r="FV1760"/>
      <c r="FW1760"/>
      <c r="FX1760"/>
      <c r="FY1760"/>
      <c r="FZ1760"/>
      <c r="GA1760"/>
      <c r="GB1760"/>
      <c r="GC1760"/>
    </row>
    <row r="1761" spans="167:185" x14ac:dyDescent="0.15">
      <c r="FK1761"/>
      <c r="FL1761"/>
      <c r="FM1761"/>
      <c r="FN1761"/>
      <c r="FO1761"/>
      <c r="FP1761"/>
      <c r="FQ1761"/>
      <c r="FR1761"/>
      <c r="FS1761"/>
      <c r="FT1761"/>
      <c r="FU1761"/>
      <c r="FV1761"/>
      <c r="FW1761"/>
      <c r="FX1761"/>
      <c r="FY1761"/>
      <c r="FZ1761"/>
      <c r="GA1761"/>
      <c r="GB1761"/>
      <c r="GC1761"/>
    </row>
    <row r="1762" spans="167:185" x14ac:dyDescent="0.15">
      <c r="FK1762"/>
      <c r="FL1762"/>
      <c r="FM1762"/>
      <c r="FN1762"/>
      <c r="FO1762"/>
      <c r="FP1762"/>
      <c r="FQ1762"/>
      <c r="FR1762"/>
      <c r="FS1762"/>
      <c r="FT1762"/>
      <c r="FU1762"/>
      <c r="FV1762"/>
      <c r="FW1762"/>
      <c r="FX1762"/>
      <c r="FY1762"/>
      <c r="FZ1762"/>
      <c r="GA1762"/>
      <c r="GB1762"/>
      <c r="GC1762"/>
    </row>
    <row r="1763" spans="167:185" x14ac:dyDescent="0.15">
      <c r="FK1763"/>
      <c r="FL1763"/>
      <c r="FM1763"/>
      <c r="FN1763"/>
      <c r="FO1763"/>
      <c r="FP1763"/>
      <c r="FQ1763"/>
      <c r="FR1763"/>
      <c r="FS1763"/>
      <c r="FT1763"/>
      <c r="FU1763"/>
      <c r="FV1763"/>
      <c r="FW1763"/>
      <c r="FX1763"/>
      <c r="FY1763"/>
      <c r="FZ1763"/>
      <c r="GA1763"/>
      <c r="GB1763"/>
      <c r="GC1763"/>
    </row>
    <row r="1764" spans="167:185" x14ac:dyDescent="0.15">
      <c r="FK1764"/>
      <c r="FL1764"/>
      <c r="FM1764"/>
      <c r="FN1764"/>
      <c r="FO1764"/>
      <c r="FP1764"/>
      <c r="FQ1764"/>
      <c r="FR1764"/>
      <c r="FS1764"/>
      <c r="FT1764"/>
      <c r="FU1764"/>
      <c r="FV1764"/>
      <c r="FW1764"/>
      <c r="FX1764"/>
      <c r="FY1764"/>
      <c r="FZ1764"/>
      <c r="GA1764"/>
      <c r="GB1764"/>
      <c r="GC1764"/>
    </row>
    <row r="1765" spans="167:185" x14ac:dyDescent="0.15">
      <c r="FK1765"/>
      <c r="FL1765"/>
      <c r="FM1765"/>
      <c r="FN1765"/>
      <c r="FO1765"/>
      <c r="FP1765"/>
      <c r="FQ1765"/>
      <c r="FR1765"/>
      <c r="FS1765"/>
      <c r="FT1765"/>
      <c r="FU1765"/>
      <c r="FV1765"/>
      <c r="FW1765"/>
      <c r="FX1765"/>
      <c r="FY1765"/>
      <c r="FZ1765"/>
      <c r="GA1765"/>
      <c r="GB1765"/>
      <c r="GC1765"/>
    </row>
    <row r="1766" spans="167:185" x14ac:dyDescent="0.15">
      <c r="FK1766"/>
      <c r="FL1766"/>
      <c r="FM1766"/>
      <c r="FN1766"/>
      <c r="FO1766"/>
      <c r="FP1766"/>
      <c r="FQ1766"/>
      <c r="FR1766"/>
      <c r="FS1766"/>
      <c r="FT1766"/>
      <c r="FU1766"/>
      <c r="FV1766"/>
      <c r="FW1766"/>
      <c r="FX1766"/>
      <c r="FY1766"/>
      <c r="FZ1766"/>
      <c r="GA1766"/>
      <c r="GB1766"/>
      <c r="GC1766"/>
    </row>
    <row r="1767" spans="167:185" x14ac:dyDescent="0.15">
      <c r="FK1767"/>
      <c r="FL1767"/>
      <c r="FM1767"/>
      <c r="FN1767"/>
      <c r="FO1767"/>
      <c r="FP1767"/>
      <c r="FQ1767"/>
      <c r="FR1767"/>
      <c r="FS1767"/>
      <c r="FT1767"/>
      <c r="FU1767"/>
      <c r="FV1767"/>
      <c r="FW1767"/>
      <c r="FX1767"/>
      <c r="FY1767"/>
      <c r="FZ1767"/>
      <c r="GA1767"/>
      <c r="GB1767"/>
      <c r="GC1767"/>
    </row>
    <row r="1768" spans="167:185" x14ac:dyDescent="0.15">
      <c r="FK1768"/>
      <c r="FL1768"/>
      <c r="FM1768"/>
      <c r="FN1768"/>
      <c r="FO1768"/>
      <c r="FP1768"/>
      <c r="FQ1768"/>
      <c r="FR1768"/>
      <c r="FS1768"/>
      <c r="FT1768"/>
      <c r="FU1768"/>
      <c r="FV1768"/>
      <c r="FW1768"/>
      <c r="FX1768"/>
      <c r="FY1768"/>
      <c r="FZ1768"/>
      <c r="GA1768"/>
      <c r="GB1768"/>
      <c r="GC1768"/>
    </row>
    <row r="1769" spans="167:185" x14ac:dyDescent="0.15">
      <c r="FK1769"/>
      <c r="FL1769"/>
      <c r="FM1769"/>
      <c r="FN1769"/>
      <c r="FO1769"/>
      <c r="FP1769"/>
      <c r="FQ1769"/>
      <c r="FR1769"/>
      <c r="FS1769"/>
      <c r="FT1769"/>
      <c r="FU1769"/>
      <c r="FV1769"/>
      <c r="FW1769"/>
      <c r="FX1769"/>
      <c r="FY1769"/>
      <c r="FZ1769"/>
      <c r="GA1769"/>
      <c r="GB1769"/>
      <c r="GC1769"/>
    </row>
    <row r="1770" spans="167:185" x14ac:dyDescent="0.15">
      <c r="FK1770"/>
      <c r="FL1770"/>
      <c r="FM1770"/>
      <c r="FN1770"/>
      <c r="FO1770"/>
      <c r="FP1770"/>
      <c r="FQ1770"/>
      <c r="FR1770"/>
      <c r="FS1770"/>
      <c r="FT1770"/>
      <c r="FU1770"/>
      <c r="FV1770"/>
      <c r="FW1770"/>
      <c r="FX1770"/>
      <c r="FY1770"/>
      <c r="FZ1770"/>
      <c r="GA1770"/>
      <c r="GB1770"/>
      <c r="GC1770"/>
    </row>
    <row r="1771" spans="167:185" x14ac:dyDescent="0.15">
      <c r="FK1771"/>
      <c r="FL1771"/>
      <c r="FM1771"/>
      <c r="FN1771"/>
      <c r="FO1771"/>
      <c r="FP1771"/>
      <c r="FQ1771"/>
      <c r="FR1771"/>
      <c r="FS1771"/>
      <c r="FT1771"/>
      <c r="FU1771"/>
      <c r="FV1771"/>
      <c r="FW1771"/>
      <c r="FX1771"/>
      <c r="FY1771"/>
      <c r="FZ1771"/>
      <c r="GA1771"/>
      <c r="GB1771"/>
      <c r="GC1771"/>
    </row>
    <row r="1772" spans="167:185" x14ac:dyDescent="0.15">
      <c r="FK1772"/>
      <c r="FL1772"/>
      <c r="FM1772"/>
      <c r="FN1772"/>
      <c r="FO1772"/>
      <c r="FP1772"/>
      <c r="FQ1772"/>
      <c r="FR1772"/>
      <c r="FS1772"/>
      <c r="FT1772"/>
      <c r="FU1772"/>
      <c r="FV1772"/>
      <c r="FW1772"/>
      <c r="FX1772"/>
      <c r="FY1772"/>
      <c r="FZ1772"/>
      <c r="GA1772"/>
      <c r="GB1772"/>
      <c r="GC1772"/>
    </row>
    <row r="1773" spans="167:185" x14ac:dyDescent="0.15">
      <c r="FK1773"/>
      <c r="FL1773"/>
      <c r="FM1773"/>
      <c r="FN1773"/>
      <c r="FO1773"/>
      <c r="FP1773"/>
      <c r="FQ1773"/>
      <c r="FR1773"/>
      <c r="FS1773"/>
      <c r="FT1773"/>
      <c r="FU1773"/>
      <c r="FV1773"/>
      <c r="FW1773"/>
      <c r="FX1773"/>
      <c r="FY1773"/>
      <c r="FZ1773"/>
      <c r="GA1773"/>
      <c r="GB1773"/>
      <c r="GC1773"/>
    </row>
    <row r="1774" spans="167:185" x14ac:dyDescent="0.15">
      <c r="FK1774"/>
      <c r="FL1774"/>
      <c r="FM1774"/>
      <c r="FN1774"/>
      <c r="FO1774"/>
      <c r="FP1774"/>
      <c r="FQ1774"/>
      <c r="FR1774"/>
      <c r="FS1774"/>
      <c r="FT1774"/>
      <c r="FU1774"/>
      <c r="FV1774"/>
      <c r="FW1774"/>
      <c r="FX1774"/>
      <c r="FY1774"/>
      <c r="FZ1774"/>
      <c r="GA1774"/>
      <c r="GB1774"/>
      <c r="GC1774"/>
    </row>
    <row r="1775" spans="167:185" x14ac:dyDescent="0.15">
      <c r="FK1775"/>
      <c r="FL1775"/>
      <c r="FM1775"/>
      <c r="FN1775"/>
      <c r="FO1775"/>
      <c r="FP1775"/>
      <c r="FQ1775"/>
      <c r="FR1775"/>
      <c r="FS1775"/>
      <c r="FT1775"/>
      <c r="FU1775"/>
      <c r="FV1775"/>
      <c r="FW1775"/>
      <c r="FX1775"/>
      <c r="FY1775"/>
      <c r="FZ1775"/>
      <c r="GA1775"/>
      <c r="GB1775"/>
      <c r="GC1775"/>
    </row>
    <row r="1776" spans="167:185" x14ac:dyDescent="0.15">
      <c r="FK1776"/>
      <c r="FL1776"/>
      <c r="FM1776"/>
      <c r="FN1776"/>
      <c r="FO1776"/>
      <c r="FP1776"/>
      <c r="FQ1776"/>
      <c r="FR1776"/>
      <c r="FS1776"/>
      <c r="FT1776"/>
      <c r="FU1776"/>
      <c r="FV1776"/>
      <c r="FW1776"/>
      <c r="FX1776"/>
      <c r="FY1776"/>
      <c r="FZ1776"/>
      <c r="GA1776"/>
      <c r="GB1776"/>
      <c r="GC1776"/>
    </row>
    <row r="1777" spans="167:185" x14ac:dyDescent="0.15">
      <c r="FK1777"/>
      <c r="FL1777"/>
      <c r="FM1777"/>
      <c r="FN1777"/>
      <c r="FO1777"/>
      <c r="FP1777"/>
      <c r="FQ1777"/>
      <c r="FR1777"/>
      <c r="FS1777"/>
      <c r="FT1777"/>
      <c r="FU1777"/>
      <c r="FV1777"/>
      <c r="FW1777"/>
      <c r="FX1777"/>
      <c r="FY1777"/>
      <c r="FZ1777"/>
      <c r="GA1777"/>
      <c r="GB1777"/>
      <c r="GC1777"/>
    </row>
    <row r="1778" spans="167:185" x14ac:dyDescent="0.15">
      <c r="FK1778"/>
      <c r="FL1778"/>
      <c r="FM1778"/>
      <c r="FN1778"/>
      <c r="FO1778"/>
      <c r="FP1778"/>
      <c r="FQ1778"/>
      <c r="FR1778"/>
      <c r="FS1778"/>
      <c r="FT1778"/>
      <c r="FU1778"/>
      <c r="FV1778"/>
      <c r="FW1778"/>
      <c r="FX1778"/>
      <c r="FY1778"/>
      <c r="FZ1778"/>
      <c r="GA1778"/>
      <c r="GB1778"/>
      <c r="GC1778"/>
    </row>
    <row r="1779" spans="167:185" x14ac:dyDescent="0.15">
      <c r="FK1779"/>
      <c r="FL1779"/>
      <c r="FM1779"/>
      <c r="FN1779"/>
      <c r="FO1779"/>
      <c r="FP1779"/>
      <c r="FQ1779"/>
      <c r="FR1779"/>
      <c r="FS1779"/>
      <c r="FT1779"/>
      <c r="FU1779"/>
      <c r="FV1779"/>
      <c r="FW1779"/>
      <c r="FX1779"/>
      <c r="FY1779"/>
      <c r="FZ1779"/>
      <c r="GA1779"/>
      <c r="GB1779"/>
      <c r="GC1779"/>
    </row>
    <row r="1780" spans="167:185" x14ac:dyDescent="0.15">
      <c r="FK1780"/>
      <c r="FL1780"/>
      <c r="FM1780"/>
      <c r="FN1780"/>
      <c r="FO1780"/>
      <c r="FP1780"/>
      <c r="FQ1780"/>
      <c r="FR1780"/>
      <c r="FS1780"/>
      <c r="FT1780"/>
      <c r="FU1780"/>
      <c r="FV1780"/>
      <c r="FW1780"/>
      <c r="FX1780"/>
      <c r="FY1780"/>
      <c r="FZ1780"/>
      <c r="GA1780"/>
      <c r="GB1780"/>
      <c r="GC1780"/>
    </row>
    <row r="1781" spans="167:185" x14ac:dyDescent="0.15">
      <c r="FK1781"/>
      <c r="FL1781"/>
      <c r="FM1781"/>
      <c r="FN1781"/>
      <c r="FO1781"/>
      <c r="FP1781"/>
      <c r="FQ1781"/>
      <c r="FR1781"/>
      <c r="FS1781"/>
      <c r="FT1781"/>
      <c r="FU1781"/>
      <c r="FV1781"/>
      <c r="FW1781"/>
      <c r="FX1781"/>
      <c r="FY1781"/>
      <c r="FZ1781"/>
      <c r="GA1781"/>
      <c r="GB1781"/>
      <c r="GC1781"/>
    </row>
    <row r="1782" spans="167:185" x14ac:dyDescent="0.15">
      <c r="FK1782"/>
      <c r="FL1782"/>
      <c r="FM1782"/>
      <c r="FN1782"/>
      <c r="FO1782"/>
      <c r="FP1782"/>
      <c r="FQ1782"/>
      <c r="FR1782"/>
      <c r="FS1782"/>
      <c r="FT1782"/>
      <c r="FU1782"/>
      <c r="FV1782"/>
      <c r="FW1782"/>
      <c r="FX1782"/>
      <c r="FY1782"/>
      <c r="FZ1782"/>
      <c r="GA1782"/>
      <c r="GB1782"/>
      <c r="GC1782"/>
    </row>
    <row r="1783" spans="167:185" x14ac:dyDescent="0.15">
      <c r="FK1783"/>
      <c r="FL1783"/>
      <c r="FM1783"/>
      <c r="FN1783"/>
      <c r="FO1783"/>
      <c r="FP1783"/>
      <c r="FQ1783"/>
      <c r="FR1783"/>
      <c r="FS1783"/>
      <c r="FT1783"/>
      <c r="FU1783"/>
      <c r="FV1783"/>
      <c r="FW1783"/>
      <c r="FX1783"/>
      <c r="FY1783"/>
      <c r="FZ1783"/>
      <c r="GA1783"/>
      <c r="GB1783"/>
      <c r="GC1783"/>
    </row>
    <row r="1784" spans="167:185" x14ac:dyDescent="0.15">
      <c r="FK1784"/>
      <c r="FL1784"/>
      <c r="FM1784"/>
      <c r="FN1784"/>
      <c r="FO1784"/>
      <c r="FP1784"/>
      <c r="FQ1784"/>
      <c r="FR1784"/>
      <c r="FS1784"/>
      <c r="FT1784"/>
      <c r="FU1784"/>
      <c r="FV1784"/>
      <c r="FW1784"/>
      <c r="FX1784"/>
      <c r="FY1784"/>
      <c r="FZ1784"/>
      <c r="GA1784"/>
      <c r="GB1784"/>
      <c r="GC1784"/>
    </row>
    <row r="1785" spans="167:185" x14ac:dyDescent="0.15">
      <c r="FK1785"/>
      <c r="FL1785"/>
      <c r="FM1785"/>
      <c r="FN1785"/>
      <c r="FO1785"/>
      <c r="FP1785"/>
      <c r="FQ1785"/>
      <c r="FR1785"/>
      <c r="FS1785"/>
      <c r="FT1785"/>
      <c r="FU1785"/>
      <c r="FV1785"/>
      <c r="FW1785"/>
      <c r="FX1785"/>
      <c r="FY1785"/>
      <c r="FZ1785"/>
      <c r="GA1785"/>
      <c r="GB1785"/>
      <c r="GC1785"/>
    </row>
    <row r="1786" spans="167:185" x14ac:dyDescent="0.15">
      <c r="FK1786"/>
      <c r="FL1786"/>
      <c r="FM1786"/>
      <c r="FN1786"/>
      <c r="FO1786"/>
      <c r="FP1786"/>
      <c r="FQ1786"/>
      <c r="FR1786"/>
      <c r="FS1786"/>
      <c r="FT1786"/>
      <c r="FU1786"/>
      <c r="FV1786"/>
      <c r="FW1786"/>
      <c r="FX1786"/>
      <c r="FY1786"/>
      <c r="FZ1786"/>
      <c r="GA1786"/>
      <c r="GB1786"/>
      <c r="GC1786"/>
    </row>
    <row r="1787" spans="167:185" x14ac:dyDescent="0.15">
      <c r="FK1787"/>
      <c r="FL1787"/>
      <c r="FM1787"/>
      <c r="FN1787"/>
      <c r="FO1787"/>
      <c r="FP1787"/>
      <c r="FQ1787"/>
      <c r="FR1787"/>
      <c r="FS1787"/>
      <c r="FT1787"/>
      <c r="FU1787"/>
      <c r="FV1787"/>
      <c r="FW1787"/>
      <c r="FX1787"/>
      <c r="FY1787"/>
      <c r="FZ1787"/>
      <c r="GA1787"/>
      <c r="GB1787"/>
      <c r="GC1787"/>
    </row>
    <row r="1788" spans="167:185" x14ac:dyDescent="0.15">
      <c r="FK1788"/>
      <c r="FL1788"/>
      <c r="FM1788"/>
      <c r="FN1788"/>
      <c r="FO1788"/>
      <c r="FP1788"/>
      <c r="FQ1788"/>
      <c r="FR1788"/>
      <c r="FS1788"/>
      <c r="FT1788"/>
      <c r="FU1788"/>
      <c r="FV1788"/>
      <c r="FW1788"/>
      <c r="FX1788"/>
      <c r="FY1788"/>
      <c r="FZ1788"/>
      <c r="GA1788"/>
      <c r="GB1788"/>
      <c r="GC1788"/>
    </row>
    <row r="1789" spans="167:185" x14ac:dyDescent="0.15">
      <c r="FK1789"/>
      <c r="FL1789"/>
      <c r="FM1789"/>
      <c r="FN1789"/>
      <c r="FO1789"/>
      <c r="FP1789"/>
      <c r="FQ1789"/>
      <c r="FR1789"/>
      <c r="FS1789"/>
      <c r="FT1789"/>
      <c r="FU1789"/>
      <c r="FV1789"/>
      <c r="FW1789"/>
      <c r="FX1789"/>
      <c r="FY1789"/>
      <c r="FZ1789"/>
      <c r="GA1789"/>
      <c r="GB1789"/>
      <c r="GC1789"/>
    </row>
    <row r="1790" spans="167:185" x14ac:dyDescent="0.15">
      <c r="FK1790"/>
      <c r="FL1790"/>
      <c r="FM1790"/>
      <c r="FN1790"/>
      <c r="FO1790"/>
      <c r="FP1790"/>
      <c r="FQ1790"/>
      <c r="FR1790"/>
      <c r="FS1790"/>
      <c r="FT1790"/>
      <c r="FU1790"/>
      <c r="FV1790"/>
      <c r="FW1790"/>
      <c r="FX1790"/>
      <c r="FY1790"/>
      <c r="FZ1790"/>
      <c r="GA1790"/>
      <c r="GB1790"/>
      <c r="GC1790"/>
    </row>
    <row r="1791" spans="167:185" x14ac:dyDescent="0.15">
      <c r="FK1791"/>
      <c r="FL1791"/>
      <c r="FM1791"/>
      <c r="FN1791"/>
      <c r="FO1791"/>
      <c r="FP1791"/>
      <c r="FQ1791"/>
      <c r="FR1791"/>
      <c r="FS1791"/>
      <c r="FT1791"/>
      <c r="FU1791"/>
      <c r="FV1791"/>
      <c r="FW1791"/>
      <c r="FX1791"/>
      <c r="FY1791"/>
      <c r="FZ1791"/>
      <c r="GA1791"/>
      <c r="GB1791"/>
      <c r="GC1791"/>
    </row>
    <row r="1792" spans="167:185" x14ac:dyDescent="0.15">
      <c r="FK1792"/>
      <c r="FL1792"/>
      <c r="FM1792"/>
      <c r="FN1792"/>
      <c r="FO1792"/>
      <c r="FP1792"/>
      <c r="FQ1792"/>
      <c r="FR1792"/>
      <c r="FS1792"/>
      <c r="FT1792"/>
      <c r="FU1792"/>
      <c r="FV1792"/>
      <c r="FW1792"/>
      <c r="FX1792"/>
      <c r="FY1792"/>
      <c r="FZ1792"/>
      <c r="GA1792"/>
      <c r="GB1792"/>
      <c r="GC1792"/>
    </row>
    <row r="1793" spans="167:185" x14ac:dyDescent="0.15">
      <c r="FK1793"/>
      <c r="FL1793"/>
      <c r="FM1793"/>
      <c r="FN1793"/>
      <c r="FO1793"/>
      <c r="FP1793"/>
      <c r="FQ1793"/>
      <c r="FR1793"/>
      <c r="FS1793"/>
      <c r="FT1793"/>
      <c r="FU1793"/>
      <c r="FV1793"/>
      <c r="FW1793"/>
      <c r="FX1793"/>
      <c r="FY1793"/>
      <c r="FZ1793"/>
      <c r="GA1793"/>
      <c r="GB1793"/>
      <c r="GC1793"/>
    </row>
    <row r="1794" spans="167:185" x14ac:dyDescent="0.15">
      <c r="FK1794"/>
      <c r="FL1794"/>
      <c r="FM1794"/>
      <c r="FN1794"/>
      <c r="FO1794"/>
      <c r="FP1794"/>
      <c r="FQ1794"/>
      <c r="FR1794"/>
      <c r="FS1794"/>
      <c r="FT1794"/>
      <c r="FU1794"/>
      <c r="FV1794"/>
      <c r="FW1794"/>
      <c r="FX1794"/>
      <c r="FY1794"/>
      <c r="FZ1794"/>
      <c r="GA1794"/>
      <c r="GB1794"/>
      <c r="GC1794"/>
    </row>
    <row r="1795" spans="167:185" x14ac:dyDescent="0.15">
      <c r="FK1795"/>
      <c r="FL1795"/>
      <c r="FM1795"/>
      <c r="FN1795"/>
      <c r="FO1795"/>
      <c r="FP1795"/>
      <c r="FQ1795"/>
      <c r="FR1795"/>
      <c r="FS1795"/>
      <c r="FT1795"/>
      <c r="FU1795"/>
      <c r="FV1795"/>
      <c r="FW1795"/>
      <c r="FX1795"/>
      <c r="FY1795"/>
      <c r="FZ1795"/>
      <c r="GA1795"/>
      <c r="GB1795"/>
      <c r="GC1795"/>
    </row>
    <row r="1796" spans="167:185" x14ac:dyDescent="0.15">
      <c r="FK1796"/>
      <c r="FL1796"/>
      <c r="FM1796"/>
      <c r="FN1796"/>
      <c r="FO1796"/>
      <c r="FP1796"/>
      <c r="FQ1796"/>
      <c r="FR1796"/>
      <c r="FS1796"/>
      <c r="FT1796"/>
      <c r="FU1796"/>
      <c r="FV1796"/>
      <c r="FW1796"/>
      <c r="FX1796"/>
      <c r="FY1796"/>
      <c r="FZ1796"/>
      <c r="GA1796"/>
      <c r="GB1796"/>
      <c r="GC1796"/>
    </row>
    <row r="1797" spans="167:185" x14ac:dyDescent="0.15">
      <c r="FK1797"/>
      <c r="FL1797"/>
      <c r="FM1797"/>
      <c r="FN1797"/>
      <c r="FO1797"/>
      <c r="FP1797"/>
      <c r="FQ1797"/>
      <c r="FR1797"/>
      <c r="FS1797"/>
      <c r="FT1797"/>
      <c r="FU1797"/>
      <c r="FV1797"/>
      <c r="FW1797"/>
      <c r="FX1797"/>
      <c r="FY1797"/>
      <c r="FZ1797"/>
      <c r="GA1797"/>
      <c r="GB1797"/>
      <c r="GC1797"/>
    </row>
    <row r="1798" spans="167:185" x14ac:dyDescent="0.15">
      <c r="FK1798"/>
      <c r="FL1798"/>
      <c r="FM1798"/>
      <c r="FN1798"/>
      <c r="FO1798"/>
      <c r="FP1798"/>
      <c r="FQ1798"/>
      <c r="FR1798"/>
      <c r="FS1798"/>
      <c r="FT1798"/>
      <c r="FU1798"/>
      <c r="FV1798"/>
      <c r="FW1798"/>
      <c r="FX1798"/>
      <c r="FY1798"/>
      <c r="FZ1798"/>
      <c r="GA1798"/>
      <c r="GB1798"/>
      <c r="GC1798"/>
    </row>
    <row r="1799" spans="167:185" x14ac:dyDescent="0.15">
      <c r="FK1799"/>
      <c r="FL1799"/>
      <c r="FM1799"/>
      <c r="FN1799"/>
      <c r="FO1799"/>
      <c r="FP1799"/>
      <c r="FQ1799"/>
      <c r="FR1799"/>
      <c r="FS1799"/>
      <c r="FT1799"/>
      <c r="FU1799"/>
      <c r="FV1799"/>
      <c r="FW1799"/>
      <c r="FX1799"/>
      <c r="FY1799"/>
      <c r="FZ1799"/>
      <c r="GA1799"/>
      <c r="GB1799"/>
      <c r="GC1799"/>
    </row>
    <row r="1800" spans="167:185" x14ac:dyDescent="0.15">
      <c r="FK1800"/>
      <c r="FL1800"/>
      <c r="FM1800"/>
      <c r="FN1800"/>
      <c r="FO1800"/>
      <c r="FP1800"/>
      <c r="FQ1800"/>
      <c r="FR1800"/>
      <c r="FS1800"/>
      <c r="FT1800"/>
      <c r="FU1800"/>
      <c r="FV1800"/>
      <c r="FW1800"/>
      <c r="FX1800"/>
      <c r="FY1800"/>
      <c r="FZ1800"/>
      <c r="GA1800"/>
      <c r="GB1800"/>
      <c r="GC1800"/>
    </row>
    <row r="1801" spans="167:185" x14ac:dyDescent="0.15">
      <c r="FK1801"/>
      <c r="FL1801"/>
      <c r="FM1801"/>
      <c r="FN1801"/>
      <c r="FO1801"/>
      <c r="FP1801"/>
      <c r="FQ1801"/>
      <c r="FR1801"/>
      <c r="FS1801"/>
      <c r="FT1801"/>
      <c r="FU1801"/>
      <c r="FV1801"/>
      <c r="FW1801"/>
      <c r="FX1801"/>
      <c r="FY1801"/>
      <c r="FZ1801"/>
      <c r="GA1801"/>
      <c r="GB1801"/>
      <c r="GC1801"/>
    </row>
    <row r="1802" spans="167:185" x14ac:dyDescent="0.15">
      <c r="FK1802"/>
      <c r="FL1802"/>
      <c r="FM1802"/>
      <c r="FN1802"/>
      <c r="FO1802"/>
      <c r="FP1802"/>
      <c r="FQ1802"/>
      <c r="FR1802"/>
      <c r="FS1802"/>
      <c r="FT1802"/>
      <c r="FU1802"/>
      <c r="FV1802"/>
      <c r="FW1802"/>
      <c r="FX1802"/>
      <c r="FY1802"/>
      <c r="FZ1802"/>
      <c r="GA1802"/>
      <c r="GB1802"/>
      <c r="GC1802"/>
    </row>
    <row r="1803" spans="167:185" x14ac:dyDescent="0.15">
      <c r="FK1803"/>
      <c r="FL1803"/>
      <c r="FM1803"/>
      <c r="FN1803"/>
      <c r="FO1803"/>
      <c r="FP1803"/>
      <c r="FQ1803"/>
      <c r="FR1803"/>
      <c r="FS1803"/>
      <c r="FT1803"/>
      <c r="FU1803"/>
      <c r="FV1803"/>
      <c r="FW1803"/>
      <c r="FX1803"/>
      <c r="FY1803"/>
      <c r="FZ1803"/>
      <c r="GA1803"/>
      <c r="GB1803"/>
      <c r="GC1803"/>
    </row>
    <row r="1804" spans="167:185" x14ac:dyDescent="0.15">
      <c r="FK1804"/>
      <c r="FL1804"/>
      <c r="FM1804"/>
      <c r="FN1804"/>
      <c r="FO1804"/>
      <c r="FP1804"/>
      <c r="FQ1804"/>
      <c r="FR1804"/>
      <c r="FS1804"/>
      <c r="FT1804"/>
      <c r="FU1804"/>
      <c r="FV1804"/>
      <c r="FW1804"/>
      <c r="FX1804"/>
      <c r="FY1804"/>
      <c r="FZ1804"/>
      <c r="GA1804"/>
      <c r="GB1804"/>
      <c r="GC1804"/>
    </row>
    <row r="1805" spans="167:185" x14ac:dyDescent="0.15">
      <c r="FK1805"/>
      <c r="FL1805"/>
      <c r="FM1805"/>
      <c r="FN1805"/>
      <c r="FO1805"/>
      <c r="FP1805"/>
      <c r="FQ1805"/>
      <c r="FR1805"/>
      <c r="FS1805"/>
      <c r="FT1805"/>
      <c r="FU1805"/>
      <c r="FV1805"/>
      <c r="FW1805"/>
      <c r="FX1805"/>
      <c r="FY1805"/>
      <c r="FZ1805"/>
      <c r="GA1805"/>
      <c r="GB1805"/>
      <c r="GC1805"/>
    </row>
    <row r="1806" spans="167:185" x14ac:dyDescent="0.15">
      <c r="FK1806"/>
      <c r="FL1806"/>
      <c r="FM1806"/>
      <c r="FN1806"/>
      <c r="FO1806"/>
      <c r="FP1806"/>
      <c r="FQ1806"/>
      <c r="FR1806"/>
      <c r="FS1806"/>
      <c r="FT1806"/>
      <c r="FU1806"/>
      <c r="FV1806"/>
      <c r="FW1806"/>
      <c r="FX1806"/>
      <c r="FY1806"/>
      <c r="FZ1806"/>
      <c r="GA1806"/>
      <c r="GB1806"/>
      <c r="GC1806"/>
    </row>
    <row r="1807" spans="167:185" x14ac:dyDescent="0.15">
      <c r="FK1807"/>
      <c r="FL1807"/>
      <c r="FM1807"/>
      <c r="FN1807"/>
      <c r="FO1807"/>
      <c r="FP1807"/>
      <c r="FQ1807"/>
      <c r="FR1807"/>
      <c r="FS1807"/>
      <c r="FT1807"/>
      <c r="FU1807"/>
      <c r="FV1807"/>
      <c r="FW1807"/>
      <c r="FX1807"/>
      <c r="FY1807"/>
      <c r="FZ1807"/>
      <c r="GA1807"/>
      <c r="GB1807"/>
      <c r="GC1807"/>
    </row>
    <row r="1808" spans="167:185" x14ac:dyDescent="0.15">
      <c r="FK1808"/>
      <c r="FL1808"/>
      <c r="FM1808"/>
      <c r="FN1808"/>
      <c r="FO1808"/>
      <c r="FP1808"/>
      <c r="FQ1808"/>
      <c r="FR1808"/>
      <c r="FS1808"/>
      <c r="FT1808"/>
      <c r="FU1808"/>
      <c r="FV1808"/>
      <c r="FW1808"/>
      <c r="FX1808"/>
      <c r="FY1808"/>
      <c r="FZ1808"/>
      <c r="GA1808"/>
      <c r="GB1808"/>
      <c r="GC1808"/>
    </row>
    <row r="1809" spans="167:185" x14ac:dyDescent="0.15">
      <c r="FK1809"/>
      <c r="FL1809"/>
      <c r="FM1809"/>
      <c r="FN1809"/>
      <c r="FO1809"/>
      <c r="FP1809"/>
      <c r="FQ1809"/>
      <c r="FR1809"/>
      <c r="FS1809"/>
      <c r="FT1809"/>
      <c r="FU1809"/>
      <c r="FV1809"/>
      <c r="FW1809"/>
      <c r="FX1809"/>
      <c r="FY1809"/>
      <c r="FZ1809"/>
      <c r="GA1809"/>
      <c r="GB1809"/>
      <c r="GC1809"/>
    </row>
    <row r="1810" spans="167:185" x14ac:dyDescent="0.15">
      <c r="FK1810"/>
      <c r="FL1810"/>
      <c r="FM1810"/>
      <c r="FN1810"/>
      <c r="FO1810"/>
      <c r="FP1810"/>
      <c r="FQ1810"/>
      <c r="FR1810"/>
      <c r="FS1810"/>
      <c r="FT1810"/>
      <c r="FU1810"/>
      <c r="FV1810"/>
      <c r="FW1810"/>
      <c r="FX1810"/>
      <c r="FY1810"/>
      <c r="FZ1810"/>
      <c r="GA1810"/>
      <c r="GB1810"/>
      <c r="GC1810"/>
    </row>
    <row r="1811" spans="167:185" x14ac:dyDescent="0.15">
      <c r="FK1811"/>
      <c r="FL1811"/>
      <c r="FM1811"/>
      <c r="FN1811"/>
      <c r="FO1811"/>
      <c r="FP1811"/>
      <c r="FQ1811"/>
      <c r="FR1811"/>
      <c r="FS1811"/>
      <c r="FT1811"/>
      <c r="FU1811"/>
      <c r="FV1811"/>
      <c r="FW1811"/>
      <c r="FX1811"/>
      <c r="FY1811"/>
      <c r="FZ1811"/>
      <c r="GA1811"/>
      <c r="GB1811"/>
      <c r="GC1811"/>
    </row>
    <row r="1812" spans="167:185" x14ac:dyDescent="0.15">
      <c r="FK1812"/>
      <c r="FL1812"/>
      <c r="FM1812"/>
      <c r="FN1812"/>
      <c r="FO1812"/>
      <c r="FP1812"/>
      <c r="FQ1812"/>
      <c r="FR1812"/>
      <c r="FS1812"/>
      <c r="FT1812"/>
      <c r="FU1812"/>
      <c r="FV1812"/>
      <c r="FW1812"/>
      <c r="FX1812"/>
      <c r="FY1812"/>
      <c r="FZ1812"/>
      <c r="GA1812"/>
      <c r="GB1812"/>
      <c r="GC1812"/>
    </row>
    <row r="1813" spans="167:185" x14ac:dyDescent="0.15">
      <c r="FK1813"/>
      <c r="FL1813"/>
      <c r="FM1813"/>
      <c r="FN1813"/>
      <c r="FO1813"/>
      <c r="FP1813"/>
      <c r="FQ1813"/>
      <c r="FR1813"/>
      <c r="FS1813"/>
      <c r="FT1813"/>
      <c r="FU1813"/>
      <c r="FV1813"/>
      <c r="FW1813"/>
      <c r="FX1813"/>
      <c r="FY1813"/>
      <c r="FZ1813"/>
      <c r="GA1813"/>
      <c r="GB1813"/>
      <c r="GC1813"/>
    </row>
    <row r="1814" spans="167:185" x14ac:dyDescent="0.15">
      <c r="FK1814"/>
      <c r="FL1814"/>
      <c r="FM1814"/>
      <c r="FN1814"/>
      <c r="FO1814"/>
      <c r="FP1814"/>
      <c r="FQ1814"/>
      <c r="FR1814"/>
      <c r="FS1814"/>
      <c r="FT1814"/>
      <c r="FU1814"/>
      <c r="FV1814"/>
      <c r="FW1814"/>
      <c r="FX1814"/>
      <c r="FY1814"/>
      <c r="FZ1814"/>
      <c r="GA1814"/>
      <c r="GB1814"/>
      <c r="GC1814"/>
    </row>
    <row r="1815" spans="167:185" x14ac:dyDescent="0.15">
      <c r="FK1815"/>
      <c r="FL1815"/>
      <c r="FM1815"/>
      <c r="FN1815"/>
      <c r="FO1815"/>
      <c r="FP1815"/>
      <c r="FQ1815"/>
      <c r="FR1815"/>
      <c r="FS1815"/>
      <c r="FT1815"/>
      <c r="FU1815"/>
      <c r="FV1815"/>
      <c r="FW1815"/>
      <c r="FX1815"/>
      <c r="FY1815"/>
      <c r="FZ1815"/>
      <c r="GA1815"/>
      <c r="GB1815"/>
      <c r="GC1815"/>
    </row>
    <row r="1816" spans="167:185" x14ac:dyDescent="0.15">
      <c r="FK1816"/>
      <c r="FL1816"/>
      <c r="FM1816"/>
      <c r="FN1816"/>
      <c r="FO1816"/>
      <c r="FP1816"/>
      <c r="FQ1816"/>
      <c r="FR1816"/>
      <c r="FS1816"/>
      <c r="FT1816"/>
      <c r="FU1816"/>
      <c r="FV1816"/>
      <c r="FW1816"/>
      <c r="FX1816"/>
      <c r="FY1816"/>
      <c r="FZ1816"/>
      <c r="GA1816"/>
      <c r="GB1816"/>
      <c r="GC1816"/>
    </row>
    <row r="1817" spans="167:185" x14ac:dyDescent="0.15">
      <c r="FK1817"/>
      <c r="FL1817"/>
      <c r="FM1817"/>
      <c r="FN1817"/>
      <c r="FO1817"/>
      <c r="FP1817"/>
      <c r="FQ1817"/>
      <c r="FR1817"/>
      <c r="FS1817"/>
      <c r="FT1817"/>
      <c r="FU1817"/>
      <c r="FV1817"/>
      <c r="FW1817"/>
      <c r="FX1817"/>
      <c r="FY1817"/>
      <c r="FZ1817"/>
      <c r="GA1817"/>
      <c r="GB1817"/>
      <c r="GC1817"/>
    </row>
    <row r="1818" spans="167:185" x14ac:dyDescent="0.15">
      <c r="FK1818"/>
      <c r="FL1818"/>
      <c r="FM1818"/>
      <c r="FN1818"/>
      <c r="FO1818"/>
      <c r="FP1818"/>
      <c r="FQ1818"/>
      <c r="FR1818"/>
      <c r="FS1818"/>
      <c r="FT1818"/>
      <c r="FU1818"/>
      <c r="FV1818"/>
      <c r="FW1818"/>
      <c r="FX1818"/>
      <c r="FY1818"/>
      <c r="FZ1818"/>
      <c r="GA1818"/>
      <c r="GB1818"/>
      <c r="GC1818"/>
    </row>
    <row r="1819" spans="167:185" x14ac:dyDescent="0.15">
      <c r="FK1819"/>
      <c r="FL1819"/>
      <c r="FM1819"/>
      <c r="FN1819"/>
      <c r="FO1819"/>
      <c r="FP1819"/>
      <c r="FQ1819"/>
      <c r="FR1819"/>
      <c r="FS1819"/>
      <c r="FT1819"/>
      <c r="FU1819"/>
      <c r="FV1819"/>
      <c r="FW1819"/>
      <c r="FX1819"/>
      <c r="FY1819"/>
      <c r="FZ1819"/>
      <c r="GA1819"/>
      <c r="GB1819"/>
      <c r="GC1819"/>
    </row>
    <row r="1820" spans="167:185" x14ac:dyDescent="0.15">
      <c r="FK1820"/>
      <c r="FL1820"/>
      <c r="FM1820"/>
      <c r="FN1820"/>
      <c r="FO1820"/>
      <c r="FP1820"/>
      <c r="FQ1820"/>
      <c r="FR1820"/>
      <c r="FS1820"/>
      <c r="FT1820"/>
      <c r="FU1820"/>
      <c r="FV1820"/>
      <c r="FW1820"/>
      <c r="FX1820"/>
      <c r="FY1820"/>
      <c r="FZ1820"/>
      <c r="GA1820"/>
      <c r="GB1820"/>
      <c r="GC1820"/>
    </row>
    <row r="1821" spans="167:185" x14ac:dyDescent="0.15">
      <c r="FK1821"/>
      <c r="FL1821"/>
      <c r="FM1821"/>
      <c r="FN1821"/>
      <c r="FO1821"/>
      <c r="FP1821"/>
      <c r="FQ1821"/>
      <c r="FR1821"/>
      <c r="FS1821"/>
      <c r="FT1821"/>
      <c r="FU1821"/>
      <c r="FV1821"/>
      <c r="FW1821"/>
      <c r="FX1821"/>
      <c r="FY1821"/>
      <c r="FZ1821"/>
      <c r="GA1821"/>
      <c r="GB1821"/>
      <c r="GC1821"/>
    </row>
    <row r="1822" spans="167:185" x14ac:dyDescent="0.15">
      <c r="FK1822"/>
      <c r="FL1822"/>
      <c r="FM1822"/>
      <c r="FN1822"/>
      <c r="FO1822"/>
      <c r="FP1822"/>
      <c r="FQ1822"/>
      <c r="FR1822"/>
      <c r="FS1822"/>
      <c r="FT1822"/>
      <c r="FU1822"/>
      <c r="FV1822"/>
      <c r="FW1822"/>
      <c r="FX1822"/>
      <c r="FY1822"/>
      <c r="FZ1822"/>
      <c r="GA1822"/>
      <c r="GB1822"/>
      <c r="GC1822"/>
    </row>
    <row r="1823" spans="167:185" x14ac:dyDescent="0.15">
      <c r="FK1823"/>
      <c r="FL1823"/>
      <c r="FM1823"/>
      <c r="FN1823"/>
      <c r="FO1823"/>
      <c r="FP1823"/>
      <c r="FQ1823"/>
      <c r="FR1823"/>
      <c r="FS1823"/>
      <c r="FT1823"/>
      <c r="FU1823"/>
      <c r="FV1823"/>
      <c r="FW1823"/>
      <c r="FX1823"/>
      <c r="FY1823"/>
      <c r="FZ1823"/>
      <c r="GA1823"/>
      <c r="GB1823"/>
      <c r="GC1823"/>
    </row>
    <row r="1824" spans="167:185" x14ac:dyDescent="0.15">
      <c r="FK1824"/>
      <c r="FL1824"/>
      <c r="FM1824"/>
      <c r="FN1824"/>
      <c r="FO1824"/>
      <c r="FP1824"/>
      <c r="FQ1824"/>
      <c r="FR1824"/>
      <c r="FS1824"/>
      <c r="FT1824"/>
      <c r="FU1824"/>
      <c r="FV1824"/>
      <c r="FW1824"/>
      <c r="FX1824"/>
      <c r="FY1824"/>
      <c r="FZ1824"/>
      <c r="GA1824"/>
      <c r="GB1824"/>
      <c r="GC1824"/>
    </row>
    <row r="1825" spans="167:185" x14ac:dyDescent="0.15">
      <c r="FK1825"/>
      <c r="FL1825"/>
      <c r="FM1825"/>
      <c r="FN1825"/>
      <c r="FO1825"/>
      <c r="FP1825"/>
      <c r="FQ1825"/>
      <c r="FR1825"/>
      <c r="FS1825"/>
      <c r="FT1825"/>
      <c r="FU1825"/>
      <c r="FV1825"/>
      <c r="FW1825"/>
      <c r="FX1825"/>
      <c r="FY1825"/>
      <c r="FZ1825"/>
      <c r="GA1825"/>
      <c r="GB1825"/>
      <c r="GC1825"/>
    </row>
    <row r="1826" spans="167:185" x14ac:dyDescent="0.15">
      <c r="FK1826"/>
      <c r="FL1826"/>
      <c r="FM1826"/>
      <c r="FN1826"/>
      <c r="FO1826"/>
      <c r="FP1826"/>
      <c r="FQ1826"/>
      <c r="FR1826"/>
      <c r="FS1826"/>
      <c r="FT1826"/>
      <c r="FU1826"/>
      <c r="FV1826"/>
      <c r="FW1826"/>
      <c r="FX1826"/>
      <c r="FY1826"/>
      <c r="FZ1826"/>
      <c r="GA1826"/>
      <c r="GB1826"/>
      <c r="GC1826"/>
    </row>
    <row r="1827" spans="167:185" x14ac:dyDescent="0.15">
      <c r="FK1827"/>
      <c r="FL1827"/>
      <c r="FM1827"/>
      <c r="FN1827"/>
      <c r="FO1827"/>
      <c r="FP1827"/>
      <c r="FQ1827"/>
      <c r="FR1827"/>
      <c r="FS1827"/>
      <c r="FT1827"/>
      <c r="FU1827"/>
      <c r="FV1827"/>
      <c r="FW1827"/>
      <c r="FX1827"/>
      <c r="FY1827"/>
      <c r="FZ1827"/>
      <c r="GA1827"/>
      <c r="GB1827"/>
      <c r="GC1827"/>
    </row>
    <row r="1828" spans="167:185" x14ac:dyDescent="0.15">
      <c r="FK1828"/>
      <c r="FL1828"/>
      <c r="FM1828"/>
      <c r="FN1828"/>
      <c r="FO1828"/>
      <c r="FP1828"/>
      <c r="FQ1828"/>
      <c r="FR1828"/>
      <c r="FS1828"/>
      <c r="FT1828"/>
      <c r="FU1828"/>
      <c r="FV1828"/>
      <c r="FW1828"/>
      <c r="FX1828"/>
      <c r="FY1828"/>
      <c r="FZ1828"/>
      <c r="GA1828"/>
      <c r="GB1828"/>
      <c r="GC1828"/>
    </row>
    <row r="1829" spans="167:185" x14ac:dyDescent="0.15">
      <c r="FK1829"/>
      <c r="FL1829"/>
      <c r="FM1829"/>
      <c r="FN1829"/>
      <c r="FO1829"/>
      <c r="FP1829"/>
      <c r="FQ1829"/>
      <c r="FR1829"/>
      <c r="FS1829"/>
      <c r="FT1829"/>
      <c r="FU1829"/>
      <c r="FV1829"/>
      <c r="FW1829"/>
      <c r="FX1829"/>
      <c r="FY1829"/>
      <c r="FZ1829"/>
      <c r="GA1829"/>
      <c r="GB1829"/>
      <c r="GC1829"/>
    </row>
    <row r="1830" spans="167:185" x14ac:dyDescent="0.15">
      <c r="FK1830"/>
      <c r="FL1830"/>
      <c r="FM1830"/>
      <c r="FN1830"/>
      <c r="FO1830"/>
      <c r="FP1830"/>
      <c r="FQ1830"/>
      <c r="FR1830"/>
      <c r="FS1830"/>
      <c r="FT1830"/>
      <c r="FU1830"/>
      <c r="FV1830"/>
      <c r="FW1830"/>
      <c r="FX1830"/>
      <c r="FY1830"/>
      <c r="FZ1830"/>
      <c r="GA1830"/>
      <c r="GB1830"/>
      <c r="GC1830"/>
    </row>
    <row r="1831" spans="167:185" x14ac:dyDescent="0.15">
      <c r="FK1831"/>
      <c r="FL1831"/>
      <c r="FM1831"/>
      <c r="FN1831"/>
      <c r="FO1831"/>
      <c r="FP1831"/>
      <c r="FQ1831"/>
      <c r="FR1831"/>
      <c r="FS1831"/>
      <c r="FT1831"/>
      <c r="FU1831"/>
      <c r="FV1831"/>
      <c r="FW1831"/>
      <c r="FX1831"/>
      <c r="FY1831"/>
      <c r="FZ1831"/>
      <c r="GA1831"/>
      <c r="GB1831"/>
      <c r="GC1831"/>
    </row>
    <row r="1832" spans="167:185" x14ac:dyDescent="0.15">
      <c r="FK1832"/>
      <c r="FL1832"/>
      <c r="FM1832"/>
      <c r="FN1832"/>
      <c r="FO1832"/>
      <c r="FP1832"/>
      <c r="FQ1832"/>
      <c r="FR1832"/>
      <c r="FS1832"/>
      <c r="FT1832"/>
      <c r="FU1832"/>
      <c r="FV1832"/>
      <c r="FW1832"/>
      <c r="FX1832"/>
      <c r="FY1832"/>
      <c r="FZ1832"/>
      <c r="GA1832"/>
      <c r="GB1832"/>
      <c r="GC1832"/>
    </row>
    <row r="1833" spans="167:185" x14ac:dyDescent="0.15">
      <c r="FK1833"/>
      <c r="FL1833"/>
      <c r="FM1833"/>
      <c r="FN1833"/>
      <c r="FO1833"/>
      <c r="FP1833"/>
      <c r="FQ1833"/>
      <c r="FR1833"/>
      <c r="FS1833"/>
      <c r="FT1833"/>
      <c r="FU1833"/>
      <c r="FV1833"/>
      <c r="FW1833"/>
      <c r="FX1833"/>
      <c r="FY1833"/>
      <c r="FZ1833"/>
      <c r="GA1833"/>
      <c r="GB1833"/>
      <c r="GC1833"/>
    </row>
    <row r="1834" spans="167:185" x14ac:dyDescent="0.15">
      <c r="FK1834"/>
      <c r="FL1834"/>
      <c r="FM1834"/>
      <c r="FN1834"/>
      <c r="FO1834"/>
      <c r="FP1834"/>
      <c r="FQ1834"/>
      <c r="FR1834"/>
      <c r="FS1834"/>
      <c r="FT1834"/>
      <c r="FU1834"/>
      <c r="FV1834"/>
      <c r="FW1834"/>
      <c r="FX1834"/>
      <c r="FY1834"/>
      <c r="FZ1834"/>
      <c r="GA1834"/>
      <c r="GB1834"/>
      <c r="GC1834"/>
    </row>
    <row r="1835" spans="167:185" x14ac:dyDescent="0.15">
      <c r="FK1835"/>
      <c r="FL1835"/>
      <c r="FM1835"/>
      <c r="FN1835"/>
      <c r="FO1835"/>
      <c r="FP1835"/>
      <c r="FQ1835"/>
      <c r="FR1835"/>
      <c r="FS1835"/>
      <c r="FT1835"/>
      <c r="FU1835"/>
      <c r="FV1835"/>
      <c r="FW1835"/>
      <c r="FX1835"/>
      <c r="FY1835"/>
      <c r="FZ1835"/>
      <c r="GA1835"/>
      <c r="GB1835"/>
      <c r="GC1835"/>
    </row>
    <row r="1836" spans="167:185" x14ac:dyDescent="0.15">
      <c r="FK1836"/>
      <c r="FL1836"/>
      <c r="FM1836"/>
      <c r="FN1836"/>
      <c r="FO1836"/>
      <c r="FP1836"/>
      <c r="FQ1836"/>
      <c r="FR1836"/>
      <c r="FS1836"/>
      <c r="FT1836"/>
      <c r="FU1836"/>
      <c r="FV1836"/>
      <c r="FW1836"/>
      <c r="FX1836"/>
      <c r="FY1836"/>
      <c r="FZ1836"/>
      <c r="GA1836"/>
      <c r="GB1836"/>
      <c r="GC1836"/>
    </row>
    <row r="1837" spans="167:185" x14ac:dyDescent="0.15">
      <c r="FK1837"/>
      <c r="FL1837"/>
      <c r="FM1837"/>
      <c r="FN1837"/>
      <c r="FO1837"/>
      <c r="FP1837"/>
      <c r="FQ1837"/>
      <c r="FR1837"/>
      <c r="FS1837"/>
      <c r="FT1837"/>
      <c r="FU1837"/>
      <c r="FV1837"/>
      <c r="FW1837"/>
      <c r="FX1837"/>
      <c r="FY1837"/>
      <c r="FZ1837"/>
      <c r="GA1837"/>
      <c r="GB1837"/>
      <c r="GC1837"/>
    </row>
    <row r="1838" spans="167:185" x14ac:dyDescent="0.15">
      <c r="FK1838"/>
      <c r="FL1838"/>
      <c r="FM1838"/>
      <c r="FN1838"/>
      <c r="FO1838"/>
      <c r="FP1838"/>
      <c r="FQ1838"/>
      <c r="FR1838"/>
      <c r="FS1838"/>
      <c r="FT1838"/>
      <c r="FU1838"/>
      <c r="FV1838"/>
      <c r="FW1838"/>
      <c r="FX1838"/>
      <c r="FY1838"/>
      <c r="FZ1838"/>
      <c r="GA1838"/>
      <c r="GB1838"/>
      <c r="GC1838"/>
    </row>
    <row r="1839" spans="167:185" x14ac:dyDescent="0.15">
      <c r="FK1839"/>
      <c r="FL1839"/>
      <c r="FM1839"/>
      <c r="FN1839"/>
      <c r="FO1839"/>
      <c r="FP1839"/>
      <c r="FQ1839"/>
      <c r="FR1839"/>
      <c r="FS1839"/>
      <c r="FT1839"/>
      <c r="FU1839"/>
      <c r="FV1839"/>
      <c r="FW1839"/>
      <c r="FX1839"/>
      <c r="FY1839"/>
      <c r="FZ1839"/>
      <c r="GA1839"/>
      <c r="GB1839"/>
      <c r="GC1839"/>
    </row>
    <row r="1840" spans="167:185" x14ac:dyDescent="0.15">
      <c r="FK1840"/>
      <c r="FL1840"/>
      <c r="FM1840"/>
      <c r="FN1840"/>
      <c r="FO1840"/>
      <c r="FP1840"/>
      <c r="FQ1840"/>
      <c r="FR1840"/>
      <c r="FS1840"/>
      <c r="FT1840"/>
      <c r="FU1840"/>
      <c r="FV1840"/>
      <c r="FW1840"/>
      <c r="FX1840"/>
      <c r="FY1840"/>
      <c r="FZ1840"/>
      <c r="GA1840"/>
      <c r="GB1840"/>
      <c r="GC1840"/>
    </row>
    <row r="1841" spans="167:185" x14ac:dyDescent="0.15">
      <c r="FK1841"/>
      <c r="FL1841"/>
      <c r="FM1841"/>
      <c r="FN1841"/>
      <c r="FO1841"/>
      <c r="FP1841"/>
      <c r="FQ1841"/>
      <c r="FR1841"/>
      <c r="FS1841"/>
      <c r="FT1841"/>
      <c r="FU1841"/>
      <c r="FV1841"/>
      <c r="FW1841"/>
      <c r="FX1841"/>
      <c r="FY1841"/>
      <c r="FZ1841"/>
      <c r="GA1841"/>
      <c r="GB1841"/>
      <c r="GC1841"/>
    </row>
    <row r="1842" spans="167:185" x14ac:dyDescent="0.15">
      <c r="FK1842"/>
      <c r="FL1842"/>
      <c r="FM1842"/>
      <c r="FN1842"/>
      <c r="FO1842"/>
      <c r="FP1842"/>
      <c r="FQ1842"/>
      <c r="FR1842"/>
      <c r="FS1842"/>
      <c r="FT1842"/>
      <c r="FU1842"/>
      <c r="FV1842"/>
      <c r="FW1842"/>
      <c r="FX1842"/>
      <c r="FY1842"/>
      <c r="FZ1842"/>
      <c r="GA1842"/>
      <c r="GB1842"/>
      <c r="GC1842"/>
    </row>
    <row r="1843" spans="167:185" x14ac:dyDescent="0.15">
      <c r="FK1843"/>
      <c r="FL1843"/>
      <c r="FM1843"/>
      <c r="FN1843"/>
      <c r="FO1843"/>
      <c r="FP1843"/>
      <c r="FQ1843"/>
      <c r="FR1843"/>
      <c r="FS1843"/>
      <c r="FT1843"/>
      <c r="FU1843"/>
      <c r="FV1843"/>
      <c r="FW1843"/>
      <c r="FX1843"/>
      <c r="FY1843"/>
      <c r="FZ1843"/>
      <c r="GA1843"/>
      <c r="GB1843"/>
      <c r="GC1843"/>
    </row>
    <row r="1844" spans="167:185" x14ac:dyDescent="0.15">
      <c r="FK1844"/>
      <c r="FL1844"/>
      <c r="FM1844"/>
      <c r="FN1844"/>
      <c r="FO1844"/>
      <c r="FP1844"/>
      <c r="FQ1844"/>
      <c r="FR1844"/>
      <c r="FS1844"/>
      <c r="FT1844"/>
      <c r="FU1844"/>
      <c r="FV1844"/>
      <c r="FW1844"/>
      <c r="FX1844"/>
      <c r="FY1844"/>
      <c r="FZ1844"/>
      <c r="GA1844"/>
      <c r="GB1844"/>
      <c r="GC1844"/>
    </row>
    <row r="1845" spans="167:185" x14ac:dyDescent="0.15">
      <c r="FK1845"/>
      <c r="FL1845"/>
      <c r="FM1845"/>
      <c r="FN1845"/>
      <c r="FO1845"/>
      <c r="FP1845"/>
      <c r="FQ1845"/>
      <c r="FR1845"/>
      <c r="FS1845"/>
      <c r="FT1845"/>
      <c r="FU1845"/>
      <c r="FV1845"/>
      <c r="FW1845"/>
      <c r="FX1845"/>
      <c r="FY1845"/>
      <c r="FZ1845"/>
      <c r="GA1845"/>
      <c r="GB1845"/>
      <c r="GC1845"/>
    </row>
    <row r="1846" spans="167:185" x14ac:dyDescent="0.15">
      <c r="FK1846"/>
      <c r="FL1846"/>
      <c r="FM1846"/>
      <c r="FN1846"/>
      <c r="FO1846"/>
      <c r="FP1846"/>
      <c r="FQ1846"/>
      <c r="FR1846"/>
      <c r="FS1846"/>
      <c r="FT1846"/>
      <c r="FU1846"/>
      <c r="FV1846"/>
      <c r="FW1846"/>
      <c r="FX1846"/>
      <c r="FY1846"/>
      <c r="FZ1846"/>
      <c r="GA1846"/>
      <c r="GB1846"/>
      <c r="GC1846"/>
    </row>
    <row r="1847" spans="167:185" x14ac:dyDescent="0.15">
      <c r="FK1847"/>
      <c r="FL1847"/>
      <c r="FM1847"/>
      <c r="FN1847"/>
      <c r="FO1847"/>
      <c r="FP1847"/>
      <c r="FQ1847"/>
      <c r="FR1847"/>
      <c r="FS1847"/>
      <c r="FT1847"/>
      <c r="FU1847"/>
      <c r="FV1847"/>
      <c r="FW1847"/>
      <c r="FX1847"/>
      <c r="FY1847"/>
      <c r="FZ1847"/>
      <c r="GA1847"/>
      <c r="GB1847"/>
      <c r="GC1847"/>
    </row>
    <row r="1848" spans="167:185" x14ac:dyDescent="0.15">
      <c r="FK1848"/>
      <c r="FL1848"/>
      <c r="FM1848"/>
      <c r="FN1848"/>
      <c r="FO1848"/>
      <c r="FP1848"/>
      <c r="FQ1848"/>
      <c r="FR1848"/>
      <c r="FS1848"/>
      <c r="FT1848"/>
      <c r="FU1848"/>
      <c r="FV1848"/>
      <c r="FW1848"/>
      <c r="FX1848"/>
      <c r="FY1848"/>
      <c r="FZ1848"/>
      <c r="GA1848"/>
      <c r="GB1848"/>
      <c r="GC1848"/>
    </row>
    <row r="1849" spans="167:185" x14ac:dyDescent="0.15">
      <c r="FK1849"/>
      <c r="FL1849"/>
      <c r="FM1849"/>
      <c r="FN1849"/>
      <c r="FO1849"/>
      <c r="FP1849"/>
      <c r="FQ1849"/>
      <c r="FR1849"/>
      <c r="FS1849"/>
      <c r="FT1849"/>
      <c r="FU1849"/>
      <c r="FV1849"/>
      <c r="FW1849"/>
      <c r="FX1849"/>
      <c r="FY1849"/>
      <c r="FZ1849"/>
      <c r="GA1849"/>
      <c r="GB1849"/>
      <c r="GC1849"/>
    </row>
    <row r="1850" spans="167:185" x14ac:dyDescent="0.15">
      <c r="FK1850"/>
      <c r="FL1850"/>
      <c r="FM1850"/>
      <c r="FN1850"/>
      <c r="FO1850"/>
      <c r="FP1850"/>
      <c r="FQ1850"/>
      <c r="FR1850"/>
      <c r="FS1850"/>
      <c r="FT1850"/>
      <c r="FU1850"/>
      <c r="FV1850"/>
      <c r="FW1850"/>
      <c r="FX1850"/>
      <c r="FY1850"/>
      <c r="FZ1850"/>
      <c r="GA1850"/>
      <c r="GB1850"/>
      <c r="GC1850"/>
    </row>
    <row r="1851" spans="167:185" x14ac:dyDescent="0.15">
      <c r="FK1851"/>
      <c r="FL1851"/>
      <c r="FM1851"/>
      <c r="FN1851"/>
      <c r="FO1851"/>
      <c r="FP1851"/>
      <c r="FQ1851"/>
      <c r="FR1851"/>
      <c r="FS1851"/>
      <c r="FT1851"/>
      <c r="FU1851"/>
      <c r="FV1851"/>
      <c r="FW1851"/>
      <c r="FX1851"/>
      <c r="FY1851"/>
      <c r="FZ1851"/>
      <c r="GA1851"/>
      <c r="GB1851"/>
      <c r="GC1851"/>
    </row>
    <row r="1852" spans="167:185" x14ac:dyDescent="0.15">
      <c r="FK1852"/>
      <c r="FL1852"/>
      <c r="FM1852"/>
      <c r="FN1852"/>
      <c r="FO1852"/>
      <c r="FP1852"/>
      <c r="FQ1852"/>
      <c r="FR1852"/>
      <c r="FS1852"/>
      <c r="FT1852"/>
      <c r="FU1852"/>
      <c r="FV1852"/>
      <c r="FW1852"/>
      <c r="FX1852"/>
      <c r="FY1852"/>
      <c r="FZ1852"/>
      <c r="GA1852"/>
      <c r="GB1852"/>
      <c r="GC1852"/>
    </row>
    <row r="1853" spans="167:185" x14ac:dyDescent="0.15">
      <c r="FK1853"/>
      <c r="FL1853"/>
      <c r="FM1853"/>
      <c r="FN1853"/>
      <c r="FO1853"/>
      <c r="FP1853"/>
      <c r="FQ1853"/>
      <c r="FR1853"/>
      <c r="FS1853"/>
      <c r="FT1853"/>
      <c r="FU1853"/>
      <c r="FV1853"/>
      <c r="FW1853"/>
      <c r="FX1853"/>
      <c r="FY1853"/>
      <c r="FZ1853"/>
      <c r="GA1853"/>
      <c r="GB1853"/>
      <c r="GC1853"/>
    </row>
    <row r="1854" spans="167:185" x14ac:dyDescent="0.15">
      <c r="FK1854"/>
      <c r="FL1854"/>
      <c r="FM1854"/>
      <c r="FN1854"/>
      <c r="FO1854"/>
      <c r="FP1854"/>
      <c r="FQ1854"/>
      <c r="FR1854"/>
      <c r="FS1854"/>
      <c r="FT1854"/>
      <c r="FU1854"/>
      <c r="FV1854"/>
      <c r="FW1854"/>
      <c r="FX1854"/>
      <c r="FY1854"/>
      <c r="FZ1854"/>
      <c r="GA1854"/>
      <c r="GB1854"/>
      <c r="GC1854"/>
    </row>
    <row r="1855" spans="167:185" x14ac:dyDescent="0.15">
      <c r="FK1855"/>
      <c r="FL1855"/>
      <c r="FM1855"/>
      <c r="FN1855"/>
      <c r="FO1855"/>
      <c r="FP1855"/>
      <c r="FQ1855"/>
      <c r="FR1855"/>
      <c r="FS1855"/>
      <c r="FT1855"/>
      <c r="FU1855"/>
      <c r="FV1855"/>
      <c r="FW1855"/>
      <c r="FX1855"/>
      <c r="FY1855"/>
      <c r="FZ1855"/>
      <c r="GA1855"/>
      <c r="GB1855"/>
      <c r="GC1855"/>
    </row>
    <row r="1856" spans="167:185" x14ac:dyDescent="0.15">
      <c r="FK1856"/>
      <c r="FL1856"/>
      <c r="FM1856"/>
      <c r="FN1856"/>
      <c r="FO1856"/>
      <c r="FP1856"/>
      <c r="FQ1856"/>
      <c r="FR1856"/>
      <c r="FS1856"/>
      <c r="FT1856"/>
      <c r="FU1856"/>
      <c r="FV1856"/>
      <c r="FW1856"/>
      <c r="FX1856"/>
      <c r="FY1856"/>
      <c r="FZ1856"/>
      <c r="GA1856"/>
      <c r="GB1856"/>
      <c r="GC1856"/>
    </row>
    <row r="1857" spans="167:185" x14ac:dyDescent="0.15">
      <c r="FK1857"/>
      <c r="FL1857"/>
      <c r="FM1857"/>
      <c r="FN1857"/>
      <c r="FO1857"/>
      <c r="FP1857"/>
      <c r="FQ1857"/>
      <c r="FR1857"/>
      <c r="FS1857"/>
      <c r="FT1857"/>
      <c r="FU1857"/>
      <c r="FV1857"/>
      <c r="FW1857"/>
      <c r="FX1857"/>
      <c r="FY1857"/>
      <c r="FZ1857"/>
      <c r="GA1857"/>
      <c r="GB1857"/>
      <c r="GC1857"/>
    </row>
    <row r="1858" spans="167:185" x14ac:dyDescent="0.15">
      <c r="FK1858"/>
      <c r="FL1858"/>
      <c r="FM1858"/>
      <c r="FN1858"/>
      <c r="FO1858"/>
      <c r="FP1858"/>
      <c r="FQ1858"/>
      <c r="FR1858"/>
      <c r="FS1858"/>
      <c r="FT1858"/>
      <c r="FU1858"/>
      <c r="FV1858"/>
      <c r="FW1858"/>
      <c r="FX1858"/>
      <c r="FY1858"/>
      <c r="FZ1858"/>
      <c r="GA1858"/>
      <c r="GB1858"/>
      <c r="GC1858"/>
    </row>
    <row r="1859" spans="167:185" x14ac:dyDescent="0.15">
      <c r="FK1859"/>
      <c r="FL1859"/>
      <c r="FM1859"/>
      <c r="FN1859"/>
      <c r="FO1859"/>
      <c r="FP1859"/>
      <c r="FQ1859"/>
      <c r="FR1859"/>
      <c r="FS1859"/>
      <c r="FT1859"/>
      <c r="FU1859"/>
      <c r="FV1859"/>
      <c r="FW1859"/>
      <c r="FX1859"/>
      <c r="FY1859"/>
      <c r="FZ1859"/>
      <c r="GA1859"/>
      <c r="GB1859"/>
      <c r="GC1859"/>
    </row>
    <row r="1860" spans="167:185" x14ac:dyDescent="0.15">
      <c r="FK1860"/>
      <c r="FL1860"/>
      <c r="FM1860"/>
      <c r="FN1860"/>
      <c r="FO1860"/>
      <c r="FP1860"/>
      <c r="FQ1860"/>
      <c r="FR1860"/>
      <c r="FS1860"/>
      <c r="FT1860"/>
      <c r="FU1860"/>
      <c r="FV1860"/>
      <c r="FW1860"/>
      <c r="FX1860"/>
      <c r="FY1860"/>
      <c r="FZ1860"/>
      <c r="GA1860"/>
      <c r="GB1860"/>
      <c r="GC1860"/>
    </row>
    <row r="1861" spans="167:185" x14ac:dyDescent="0.15">
      <c r="FK1861"/>
      <c r="FL1861"/>
      <c r="FM1861"/>
      <c r="FN1861"/>
      <c r="FO1861"/>
      <c r="FP1861"/>
      <c r="FQ1861"/>
      <c r="FR1861"/>
      <c r="FS1861"/>
      <c r="FT1861"/>
      <c r="FU1861"/>
      <c r="FV1861"/>
      <c r="FW1861"/>
      <c r="FX1861"/>
      <c r="FY1861"/>
      <c r="FZ1861"/>
      <c r="GA1861"/>
      <c r="GB1861"/>
      <c r="GC1861"/>
    </row>
    <row r="1862" spans="167:185" x14ac:dyDescent="0.15">
      <c r="FK1862"/>
      <c r="FL1862"/>
      <c r="FM1862"/>
      <c r="FN1862"/>
      <c r="FO1862"/>
      <c r="FP1862"/>
      <c r="FQ1862"/>
      <c r="FR1862"/>
      <c r="FS1862"/>
      <c r="FT1862"/>
      <c r="FU1862"/>
      <c r="FV1862"/>
      <c r="FW1862"/>
      <c r="FX1862"/>
      <c r="FY1862"/>
      <c r="FZ1862"/>
      <c r="GA1862"/>
      <c r="GB1862"/>
      <c r="GC1862"/>
    </row>
    <row r="1863" spans="167:185" x14ac:dyDescent="0.15">
      <c r="FK1863"/>
      <c r="FL1863"/>
      <c r="FM1863"/>
      <c r="FN1863"/>
      <c r="FO1863"/>
      <c r="FP1863"/>
      <c r="FQ1863"/>
      <c r="FR1863"/>
      <c r="FS1863"/>
      <c r="FT1863"/>
      <c r="FU1863"/>
      <c r="FV1863"/>
      <c r="FW1863"/>
      <c r="FX1863"/>
      <c r="FY1863"/>
      <c r="FZ1863"/>
      <c r="GA1863"/>
      <c r="GB1863"/>
      <c r="GC1863"/>
    </row>
    <row r="1864" spans="167:185" x14ac:dyDescent="0.15">
      <c r="FK1864"/>
      <c r="FL1864"/>
      <c r="FM1864"/>
      <c r="FN1864"/>
      <c r="FO1864"/>
      <c r="FP1864"/>
      <c r="FQ1864"/>
      <c r="FR1864"/>
      <c r="FS1864"/>
      <c r="FT1864"/>
      <c r="FU1864"/>
      <c r="FV1864"/>
      <c r="FW1864"/>
      <c r="FX1864"/>
      <c r="FY1864"/>
      <c r="FZ1864"/>
      <c r="GA1864"/>
      <c r="GB1864"/>
      <c r="GC1864"/>
    </row>
    <row r="1865" spans="167:185" x14ac:dyDescent="0.15">
      <c r="FK1865"/>
      <c r="FL1865"/>
      <c r="FM1865"/>
      <c r="FN1865"/>
      <c r="FO1865"/>
      <c r="FP1865"/>
      <c r="FQ1865"/>
      <c r="FR1865"/>
      <c r="FS1865"/>
      <c r="FT1865"/>
      <c r="FU1865"/>
      <c r="FV1865"/>
      <c r="FW1865"/>
      <c r="FX1865"/>
      <c r="FY1865"/>
      <c r="FZ1865"/>
      <c r="GA1865"/>
      <c r="GB1865"/>
      <c r="GC1865"/>
    </row>
    <row r="1866" spans="167:185" x14ac:dyDescent="0.15">
      <c r="FK1866"/>
      <c r="FL1866"/>
      <c r="FM1866"/>
      <c r="FN1866"/>
      <c r="FO1866"/>
      <c r="FP1866"/>
      <c r="FQ1866"/>
      <c r="FR1866"/>
      <c r="FS1866"/>
      <c r="FT1866"/>
      <c r="FU1866"/>
      <c r="FV1866"/>
      <c r="FW1866"/>
      <c r="FX1866"/>
      <c r="FY1866"/>
      <c r="FZ1866"/>
      <c r="GA1866"/>
      <c r="GB1866"/>
      <c r="GC1866"/>
    </row>
    <row r="1867" spans="167:185" x14ac:dyDescent="0.15">
      <c r="FK1867"/>
      <c r="FL1867"/>
      <c r="FM1867"/>
      <c r="FN1867"/>
      <c r="FO1867"/>
      <c r="FP1867"/>
      <c r="FQ1867"/>
      <c r="FR1867"/>
      <c r="FS1867"/>
      <c r="FT1867"/>
      <c r="FU1867"/>
      <c r="FV1867"/>
      <c r="FW1867"/>
      <c r="FX1867"/>
      <c r="FY1867"/>
      <c r="FZ1867"/>
      <c r="GA1867"/>
      <c r="GB1867"/>
      <c r="GC1867"/>
    </row>
    <row r="1868" spans="167:185" x14ac:dyDescent="0.15">
      <c r="FK1868"/>
      <c r="FL1868"/>
      <c r="FM1868"/>
      <c r="FN1868"/>
      <c r="FO1868"/>
      <c r="FP1868"/>
      <c r="FQ1868"/>
      <c r="FR1868"/>
      <c r="FS1868"/>
      <c r="FT1868"/>
      <c r="FU1868"/>
      <c r="FV1868"/>
      <c r="FW1868"/>
      <c r="FX1868"/>
      <c r="FY1868"/>
      <c r="FZ1868"/>
      <c r="GA1868"/>
      <c r="GB1868"/>
      <c r="GC1868"/>
    </row>
    <row r="1869" spans="167:185" x14ac:dyDescent="0.15">
      <c r="FK1869"/>
      <c r="FL1869"/>
      <c r="FM1869"/>
      <c r="FN1869"/>
      <c r="FO1869"/>
      <c r="FP1869"/>
      <c r="FQ1869"/>
      <c r="FR1869"/>
      <c r="FS1869"/>
      <c r="FT1869"/>
      <c r="FU1869"/>
      <c r="FV1869"/>
      <c r="FW1869"/>
      <c r="FX1869"/>
      <c r="FY1869"/>
      <c r="FZ1869"/>
      <c r="GA1869"/>
      <c r="GB1869"/>
      <c r="GC1869"/>
    </row>
    <row r="1870" spans="167:185" x14ac:dyDescent="0.15">
      <c r="FK1870"/>
      <c r="FL1870"/>
      <c r="FM1870"/>
      <c r="FN1870"/>
      <c r="FO1870"/>
      <c r="FP1870"/>
      <c r="FQ1870"/>
      <c r="FR1870"/>
      <c r="FS1870"/>
      <c r="FT1870"/>
      <c r="FU1870"/>
      <c r="FV1870"/>
      <c r="FW1870"/>
      <c r="FX1870"/>
      <c r="FY1870"/>
      <c r="FZ1870"/>
      <c r="GA1870"/>
      <c r="GB1870"/>
      <c r="GC1870"/>
    </row>
    <row r="1871" spans="167:185" x14ac:dyDescent="0.15">
      <c r="FK1871"/>
      <c r="FL1871"/>
      <c r="FM1871"/>
      <c r="FN1871"/>
      <c r="FO1871"/>
      <c r="FP1871"/>
      <c r="FQ1871"/>
      <c r="FR1871"/>
      <c r="FS1871"/>
      <c r="FT1871"/>
      <c r="FU1871"/>
      <c r="FV1871"/>
      <c r="FW1871"/>
      <c r="FX1871"/>
      <c r="FY1871"/>
      <c r="FZ1871"/>
      <c r="GA1871"/>
      <c r="GB1871"/>
      <c r="GC1871"/>
    </row>
    <row r="1872" spans="167:185" x14ac:dyDescent="0.15">
      <c r="FK1872"/>
      <c r="FL1872"/>
      <c r="FM1872"/>
      <c r="FN1872"/>
      <c r="FO1872"/>
      <c r="FP1872"/>
      <c r="FQ1872"/>
      <c r="FR1872"/>
      <c r="FS1872"/>
      <c r="FT1872"/>
      <c r="FU1872"/>
      <c r="FV1872"/>
      <c r="FW1872"/>
      <c r="FX1872"/>
      <c r="FY1872"/>
      <c r="FZ1872"/>
      <c r="GA1872"/>
      <c r="GB1872"/>
      <c r="GC1872"/>
    </row>
    <row r="1873" spans="167:185" x14ac:dyDescent="0.15">
      <c r="FK1873"/>
      <c r="FL1873"/>
      <c r="FM1873"/>
      <c r="FN1873"/>
      <c r="FO1873"/>
      <c r="FP1873"/>
      <c r="FQ1873"/>
      <c r="FR1873"/>
      <c r="FS1873"/>
      <c r="FT1873"/>
      <c r="FU1873"/>
      <c r="FV1873"/>
      <c r="FW1873"/>
      <c r="FX1873"/>
      <c r="FY1873"/>
      <c r="FZ1873"/>
      <c r="GA1873"/>
      <c r="GB1873"/>
      <c r="GC1873"/>
    </row>
    <row r="1874" spans="167:185" x14ac:dyDescent="0.15">
      <c r="FK1874"/>
      <c r="FL1874"/>
      <c r="FM1874"/>
      <c r="FN1874"/>
      <c r="FO1874"/>
      <c r="FP1874"/>
      <c r="FQ1874"/>
      <c r="FR1874"/>
      <c r="FS1874"/>
      <c r="FT1874"/>
      <c r="FU1874"/>
      <c r="FV1874"/>
      <c r="FW1874"/>
      <c r="FX1874"/>
      <c r="FY1874"/>
      <c r="FZ1874"/>
      <c r="GA1874"/>
      <c r="GB1874"/>
      <c r="GC1874"/>
    </row>
    <row r="1875" spans="167:185" x14ac:dyDescent="0.15">
      <c r="FK1875"/>
      <c r="FL1875"/>
      <c r="FM1875"/>
      <c r="FN1875"/>
      <c r="FO1875"/>
      <c r="FP1875"/>
      <c r="FQ1875"/>
      <c r="FR1875"/>
      <c r="FS1875"/>
      <c r="FT1875"/>
      <c r="FU1875"/>
      <c r="FV1875"/>
      <c r="FW1875"/>
      <c r="FX1875"/>
      <c r="FY1875"/>
      <c r="FZ1875"/>
      <c r="GA1875"/>
      <c r="GB1875"/>
      <c r="GC1875"/>
    </row>
    <row r="1876" spans="167:185" x14ac:dyDescent="0.15">
      <c r="FK1876"/>
      <c r="FL1876"/>
      <c r="FM1876"/>
      <c r="FN1876"/>
      <c r="FO1876"/>
      <c r="FP1876"/>
      <c r="FQ1876"/>
      <c r="FR1876"/>
      <c r="FS1876"/>
      <c r="FT1876"/>
      <c r="FU1876"/>
      <c r="FV1876"/>
      <c r="FW1876"/>
      <c r="FX1876"/>
      <c r="FY1876"/>
      <c r="FZ1876"/>
      <c r="GA1876"/>
      <c r="GB1876"/>
      <c r="GC1876"/>
    </row>
    <row r="1877" spans="167:185" x14ac:dyDescent="0.15">
      <c r="FK1877"/>
      <c r="FL1877"/>
      <c r="FM1877"/>
      <c r="FN1877"/>
      <c r="FO1877"/>
      <c r="FP1877"/>
      <c r="FQ1877"/>
      <c r="FR1877"/>
      <c r="FS1877"/>
      <c r="FT1877"/>
      <c r="FU1877"/>
      <c r="FV1877"/>
      <c r="FW1877"/>
      <c r="FX1877"/>
      <c r="FY1877"/>
      <c r="FZ1877"/>
      <c r="GA1877"/>
      <c r="GB1877"/>
      <c r="GC1877"/>
    </row>
    <row r="1878" spans="167:185" x14ac:dyDescent="0.15">
      <c r="FK1878"/>
      <c r="FL1878"/>
      <c r="FM1878"/>
      <c r="FN1878"/>
      <c r="FO1878"/>
      <c r="FP1878"/>
      <c r="FQ1878"/>
      <c r="FR1878"/>
      <c r="FS1878"/>
      <c r="FT1878"/>
      <c r="FU1878"/>
      <c r="FV1878"/>
      <c r="FW1878"/>
      <c r="FX1878"/>
      <c r="FY1878"/>
      <c r="FZ1878"/>
      <c r="GA1878"/>
      <c r="GB1878"/>
      <c r="GC1878"/>
    </row>
    <row r="1879" spans="167:185" x14ac:dyDescent="0.15">
      <c r="FK1879"/>
      <c r="FL1879"/>
      <c r="FM1879"/>
      <c r="FN1879"/>
      <c r="FO1879"/>
      <c r="FP1879"/>
      <c r="FQ1879"/>
      <c r="FR1879"/>
      <c r="FS1879"/>
      <c r="FT1879"/>
      <c r="FU1879"/>
      <c r="FV1879"/>
      <c r="FW1879"/>
      <c r="FX1879"/>
      <c r="FY1879"/>
      <c r="FZ1879"/>
      <c r="GA1879"/>
      <c r="GB1879"/>
      <c r="GC1879"/>
    </row>
    <row r="1880" spans="167:185" x14ac:dyDescent="0.15">
      <c r="FK1880"/>
      <c r="FL1880"/>
      <c r="FM1880"/>
      <c r="FN1880"/>
      <c r="FO1880"/>
      <c r="FP1880"/>
      <c r="FQ1880"/>
      <c r="FR1880"/>
      <c r="FS1880"/>
      <c r="FT1880"/>
      <c r="FU1880"/>
      <c r="FV1880"/>
      <c r="FW1880"/>
      <c r="FX1880"/>
      <c r="FY1880"/>
      <c r="FZ1880"/>
      <c r="GA1880"/>
      <c r="GB1880"/>
      <c r="GC1880"/>
    </row>
    <row r="1881" spans="167:185" x14ac:dyDescent="0.15">
      <c r="FK1881"/>
      <c r="FL1881"/>
      <c r="FM1881"/>
      <c r="FN1881"/>
      <c r="FO1881"/>
      <c r="FP1881"/>
      <c r="FQ1881"/>
      <c r="FR1881"/>
      <c r="FS1881"/>
      <c r="FT1881"/>
      <c r="FU1881"/>
      <c r="FV1881"/>
      <c r="FW1881"/>
      <c r="FX1881"/>
      <c r="FY1881"/>
      <c r="FZ1881"/>
      <c r="GA1881"/>
      <c r="GB1881"/>
      <c r="GC1881"/>
    </row>
    <row r="1882" spans="167:185" x14ac:dyDescent="0.15">
      <c r="FK1882"/>
      <c r="FL1882"/>
      <c r="FM1882"/>
      <c r="FN1882"/>
      <c r="FO1882"/>
      <c r="FP1882"/>
      <c r="FQ1882"/>
      <c r="FR1882"/>
      <c r="FS1882"/>
      <c r="FT1882"/>
      <c r="FU1882"/>
      <c r="FV1882"/>
      <c r="FW1882"/>
      <c r="FX1882"/>
      <c r="FY1882"/>
      <c r="FZ1882"/>
      <c r="GA1882"/>
      <c r="GB1882"/>
      <c r="GC1882"/>
    </row>
    <row r="1883" spans="167:185" x14ac:dyDescent="0.15">
      <c r="FK1883"/>
      <c r="FL1883"/>
      <c r="FM1883"/>
      <c r="FN1883"/>
      <c r="FO1883"/>
      <c r="FP1883"/>
      <c r="FQ1883"/>
      <c r="FR1883"/>
      <c r="FS1883"/>
      <c r="FT1883"/>
      <c r="FU1883"/>
      <c r="FV1883"/>
      <c r="FW1883"/>
      <c r="FX1883"/>
      <c r="FY1883"/>
      <c r="FZ1883"/>
      <c r="GA1883"/>
      <c r="GB1883"/>
      <c r="GC1883"/>
    </row>
    <row r="1884" spans="167:185" x14ac:dyDescent="0.15">
      <c r="FK1884"/>
      <c r="FL1884"/>
      <c r="FM1884"/>
      <c r="FN1884"/>
      <c r="FO1884"/>
      <c r="FP1884"/>
      <c r="FQ1884"/>
      <c r="FR1884"/>
      <c r="FS1884"/>
      <c r="FT1884"/>
      <c r="FU1884"/>
      <c r="FV1884"/>
      <c r="FW1884"/>
      <c r="FX1884"/>
      <c r="FY1884"/>
      <c r="FZ1884"/>
      <c r="GA1884"/>
      <c r="GB1884"/>
      <c r="GC1884"/>
    </row>
    <row r="1885" spans="167:185" x14ac:dyDescent="0.15">
      <c r="FK1885"/>
      <c r="FL1885"/>
      <c r="FM1885"/>
      <c r="FN1885"/>
      <c r="FO1885"/>
      <c r="FP1885"/>
      <c r="FQ1885"/>
      <c r="FR1885"/>
      <c r="FS1885"/>
      <c r="FT1885"/>
      <c r="FU1885"/>
      <c r="FV1885"/>
      <c r="FW1885"/>
      <c r="FX1885"/>
      <c r="FY1885"/>
      <c r="FZ1885"/>
      <c r="GA1885"/>
      <c r="GB1885"/>
      <c r="GC1885"/>
    </row>
    <row r="1886" spans="167:185" x14ac:dyDescent="0.15">
      <c r="FK1886"/>
      <c r="FL1886"/>
      <c r="FM1886"/>
      <c r="FN1886"/>
      <c r="FO1886"/>
      <c r="FP1886"/>
      <c r="FQ1886"/>
      <c r="FR1886"/>
      <c r="FS1886"/>
      <c r="FT1886"/>
      <c r="FU1886"/>
      <c r="FV1886"/>
      <c r="FW1886"/>
      <c r="FX1886"/>
      <c r="FY1886"/>
      <c r="FZ1886"/>
      <c r="GA1886"/>
      <c r="GB1886"/>
      <c r="GC1886"/>
    </row>
    <row r="1887" spans="167:185" x14ac:dyDescent="0.15">
      <c r="FK1887"/>
      <c r="FL1887"/>
      <c r="FM1887"/>
      <c r="FN1887"/>
      <c r="FO1887"/>
      <c r="FP1887"/>
      <c r="FQ1887"/>
      <c r="FR1887"/>
      <c r="FS1887"/>
      <c r="FT1887"/>
      <c r="FU1887"/>
      <c r="FV1887"/>
      <c r="FW1887"/>
      <c r="FX1887"/>
      <c r="FY1887"/>
      <c r="FZ1887"/>
      <c r="GA1887"/>
      <c r="GB1887"/>
      <c r="GC1887"/>
    </row>
    <row r="1888" spans="167:185" x14ac:dyDescent="0.15">
      <c r="FK1888"/>
      <c r="FL1888"/>
      <c r="FM1888"/>
      <c r="FN1888"/>
      <c r="FO1888"/>
      <c r="FP1888"/>
      <c r="FQ1888"/>
      <c r="FR1888"/>
      <c r="FS1888"/>
      <c r="FT1888"/>
      <c r="FU1888"/>
      <c r="FV1888"/>
      <c r="FW1888"/>
      <c r="FX1888"/>
      <c r="FY1888"/>
      <c r="FZ1888"/>
      <c r="GA1888"/>
      <c r="GB1888"/>
      <c r="GC1888"/>
    </row>
    <row r="1889" spans="167:185" x14ac:dyDescent="0.15">
      <c r="FK1889"/>
      <c r="FL1889"/>
      <c r="FM1889"/>
      <c r="FN1889"/>
      <c r="FO1889"/>
      <c r="FP1889"/>
      <c r="FQ1889"/>
      <c r="FR1889"/>
      <c r="FS1889"/>
      <c r="FT1889"/>
      <c r="FU1889"/>
      <c r="FV1889"/>
      <c r="FW1889"/>
      <c r="FX1889"/>
      <c r="FY1889"/>
      <c r="FZ1889"/>
      <c r="GA1889"/>
      <c r="GB1889"/>
      <c r="GC1889"/>
    </row>
    <row r="1890" spans="167:185" x14ac:dyDescent="0.15">
      <c r="FK1890"/>
      <c r="FL1890"/>
      <c r="FM1890"/>
      <c r="FN1890"/>
      <c r="FO1890"/>
      <c r="FP1890"/>
      <c r="FQ1890"/>
      <c r="FR1890"/>
      <c r="FS1890"/>
      <c r="FT1890"/>
      <c r="FU1890"/>
      <c r="FV1890"/>
      <c r="FW1890"/>
      <c r="FX1890"/>
      <c r="FY1890"/>
      <c r="FZ1890"/>
      <c r="GA1890"/>
      <c r="GB1890"/>
      <c r="GC1890"/>
    </row>
    <row r="1891" spans="167:185" x14ac:dyDescent="0.15">
      <c r="FK1891"/>
      <c r="FL1891"/>
      <c r="FM1891"/>
      <c r="FN1891"/>
      <c r="FO1891"/>
      <c r="FP1891"/>
      <c r="FQ1891"/>
      <c r="FR1891"/>
      <c r="FS1891"/>
      <c r="FT1891"/>
      <c r="FU1891"/>
      <c r="FV1891"/>
      <c r="FW1891"/>
      <c r="FX1891"/>
      <c r="FY1891"/>
      <c r="FZ1891"/>
      <c r="GA1891"/>
      <c r="GB1891"/>
      <c r="GC1891"/>
    </row>
    <row r="1892" spans="167:185" x14ac:dyDescent="0.15">
      <c r="FK1892"/>
      <c r="FL1892"/>
      <c r="FM1892"/>
      <c r="FN1892"/>
      <c r="FO1892"/>
      <c r="FP1892"/>
      <c r="FQ1892"/>
      <c r="FR1892"/>
      <c r="FS1892"/>
      <c r="FT1892"/>
      <c r="FU1892"/>
      <c r="FV1892"/>
      <c r="FW1892"/>
      <c r="FX1892"/>
      <c r="FY1892"/>
      <c r="FZ1892"/>
      <c r="GA1892"/>
      <c r="GB1892"/>
      <c r="GC1892"/>
    </row>
    <row r="1893" spans="167:185" x14ac:dyDescent="0.15">
      <c r="FK1893"/>
      <c r="FL1893"/>
      <c r="FM1893"/>
      <c r="FN1893"/>
      <c r="FO1893"/>
      <c r="FP1893"/>
      <c r="FQ1893"/>
      <c r="FR1893"/>
      <c r="FS1893"/>
      <c r="FT1893"/>
      <c r="FU1893"/>
      <c r="FV1893"/>
      <c r="FW1893"/>
      <c r="FX1893"/>
      <c r="FY1893"/>
      <c r="FZ1893"/>
      <c r="GA1893"/>
      <c r="GB1893"/>
      <c r="GC1893"/>
    </row>
    <row r="1894" spans="167:185" x14ac:dyDescent="0.15">
      <c r="FK1894"/>
      <c r="FL1894"/>
      <c r="FM1894"/>
      <c r="FN1894"/>
      <c r="FO1894"/>
      <c r="FP1894"/>
      <c r="FQ1894"/>
      <c r="FR1894"/>
      <c r="FS1894"/>
      <c r="FT1894"/>
      <c r="FU1894"/>
      <c r="FV1894"/>
      <c r="FW1894"/>
      <c r="FX1894"/>
      <c r="FY1894"/>
      <c r="FZ1894"/>
      <c r="GA1894"/>
      <c r="GB1894"/>
      <c r="GC1894"/>
    </row>
    <row r="1895" spans="167:185" x14ac:dyDescent="0.15">
      <c r="FK1895"/>
      <c r="FL1895"/>
      <c r="FM1895"/>
      <c r="FN1895"/>
      <c r="FO1895"/>
      <c r="FP1895"/>
      <c r="FQ1895"/>
      <c r="FR1895"/>
      <c r="FS1895"/>
      <c r="FT1895"/>
      <c r="FU1895"/>
      <c r="FV1895"/>
      <c r="FW1895"/>
      <c r="FX1895"/>
      <c r="FY1895"/>
      <c r="FZ1895"/>
      <c r="GA1895"/>
      <c r="GB1895"/>
      <c r="GC1895"/>
    </row>
    <row r="1896" spans="167:185" x14ac:dyDescent="0.15">
      <c r="FK1896"/>
      <c r="FL1896"/>
      <c r="FM1896"/>
      <c r="FN1896"/>
      <c r="FO1896"/>
      <c r="FP1896"/>
      <c r="FQ1896"/>
      <c r="FR1896"/>
      <c r="FS1896"/>
      <c r="FT1896"/>
      <c r="FU1896"/>
      <c r="FV1896"/>
      <c r="FW1896"/>
      <c r="FX1896"/>
      <c r="FY1896"/>
      <c r="FZ1896"/>
      <c r="GA1896"/>
      <c r="GB1896"/>
      <c r="GC1896"/>
    </row>
    <row r="1897" spans="167:185" x14ac:dyDescent="0.15">
      <c r="FK1897"/>
      <c r="FL1897"/>
      <c r="FM1897"/>
      <c r="FN1897"/>
      <c r="FO1897"/>
      <c r="FP1897"/>
      <c r="FQ1897"/>
      <c r="FR1897"/>
      <c r="FS1897"/>
      <c r="FT1897"/>
      <c r="FU1897"/>
      <c r="FV1897"/>
      <c r="FW1897"/>
      <c r="FX1897"/>
      <c r="FY1897"/>
      <c r="FZ1897"/>
      <c r="GA1897"/>
      <c r="GB1897"/>
      <c r="GC1897"/>
    </row>
    <row r="1898" spans="167:185" x14ac:dyDescent="0.15">
      <c r="FK1898"/>
      <c r="FL1898"/>
      <c r="FM1898"/>
      <c r="FN1898"/>
      <c r="FO1898"/>
      <c r="FP1898"/>
      <c r="FQ1898"/>
      <c r="FR1898"/>
      <c r="FS1898"/>
      <c r="FT1898"/>
      <c r="FU1898"/>
      <c r="FV1898"/>
      <c r="FW1898"/>
      <c r="FX1898"/>
      <c r="FY1898"/>
      <c r="FZ1898"/>
      <c r="GA1898"/>
      <c r="GB1898"/>
      <c r="GC1898"/>
    </row>
    <row r="1899" spans="167:185" x14ac:dyDescent="0.15">
      <c r="FK1899"/>
      <c r="FL1899"/>
      <c r="FM1899"/>
      <c r="FN1899"/>
      <c r="FO1899"/>
      <c r="FP1899"/>
      <c r="FQ1899"/>
      <c r="FR1899"/>
      <c r="FS1899"/>
      <c r="FT1899"/>
      <c r="FU1899"/>
      <c r="FV1899"/>
      <c r="FW1899"/>
      <c r="FX1899"/>
      <c r="FY1899"/>
      <c r="FZ1899"/>
      <c r="GA1899"/>
      <c r="GB1899"/>
      <c r="GC1899"/>
    </row>
    <row r="1900" spans="167:185" x14ac:dyDescent="0.15">
      <c r="FK1900"/>
      <c r="FL1900"/>
      <c r="FM1900"/>
      <c r="FN1900"/>
      <c r="FO1900"/>
      <c r="FP1900"/>
      <c r="FQ1900"/>
      <c r="FR1900"/>
      <c r="FS1900"/>
      <c r="FT1900"/>
      <c r="FU1900"/>
      <c r="FV1900"/>
      <c r="FW1900"/>
      <c r="FX1900"/>
      <c r="FY1900"/>
      <c r="FZ1900"/>
      <c r="GA1900"/>
      <c r="GB1900"/>
      <c r="GC1900"/>
    </row>
    <row r="1901" spans="167:185" x14ac:dyDescent="0.15">
      <c r="FK1901"/>
      <c r="FL1901"/>
      <c r="FM1901"/>
      <c r="FN1901"/>
      <c r="FO1901"/>
      <c r="FP1901"/>
      <c r="FQ1901"/>
      <c r="FR1901"/>
      <c r="FS1901"/>
      <c r="FT1901"/>
      <c r="FU1901"/>
      <c r="FV1901"/>
      <c r="FW1901"/>
      <c r="FX1901"/>
      <c r="FY1901"/>
      <c r="FZ1901"/>
      <c r="GA1901"/>
      <c r="GB1901"/>
      <c r="GC1901"/>
    </row>
    <row r="1902" spans="167:185" x14ac:dyDescent="0.15">
      <c r="FK1902"/>
      <c r="FL1902"/>
      <c r="FM1902"/>
      <c r="FN1902"/>
      <c r="FO1902"/>
      <c r="FP1902"/>
      <c r="FQ1902"/>
      <c r="FR1902"/>
      <c r="FS1902"/>
      <c r="FT1902"/>
      <c r="FU1902"/>
      <c r="FV1902"/>
      <c r="FW1902"/>
      <c r="FX1902"/>
      <c r="FY1902"/>
      <c r="FZ1902"/>
      <c r="GA1902"/>
      <c r="GB1902"/>
      <c r="GC1902"/>
    </row>
    <row r="1903" spans="167:185" x14ac:dyDescent="0.15">
      <c r="FK1903"/>
      <c r="FL1903"/>
      <c r="FM1903"/>
      <c r="FN1903"/>
      <c r="FO1903"/>
      <c r="FP1903"/>
      <c r="FQ1903"/>
      <c r="FR1903"/>
      <c r="FS1903"/>
      <c r="FT1903"/>
      <c r="FU1903"/>
      <c r="FV1903"/>
      <c r="FW1903"/>
      <c r="FX1903"/>
      <c r="FY1903"/>
      <c r="FZ1903"/>
      <c r="GA1903"/>
      <c r="GB1903"/>
      <c r="GC1903"/>
    </row>
    <row r="1904" spans="167:185" x14ac:dyDescent="0.15">
      <c r="FK1904"/>
      <c r="FL1904"/>
      <c r="FM1904"/>
      <c r="FN1904"/>
      <c r="FO1904"/>
      <c r="FP1904"/>
      <c r="FQ1904"/>
      <c r="FR1904"/>
      <c r="FS1904"/>
      <c r="FT1904"/>
      <c r="FU1904"/>
      <c r="FV1904"/>
      <c r="FW1904"/>
      <c r="FX1904"/>
      <c r="FY1904"/>
      <c r="FZ1904"/>
      <c r="GA1904"/>
      <c r="GB1904"/>
      <c r="GC1904"/>
    </row>
    <row r="1905" spans="167:185" x14ac:dyDescent="0.15">
      <c r="FK1905"/>
      <c r="FL1905"/>
      <c r="FM1905"/>
      <c r="FN1905"/>
      <c r="FO1905"/>
      <c r="FP1905"/>
      <c r="FQ1905"/>
      <c r="FR1905"/>
      <c r="FS1905"/>
      <c r="FT1905"/>
      <c r="FU1905"/>
      <c r="FV1905"/>
      <c r="FW1905"/>
      <c r="FX1905"/>
      <c r="FY1905"/>
      <c r="FZ1905"/>
      <c r="GA1905"/>
      <c r="GB1905"/>
      <c r="GC1905"/>
    </row>
    <row r="1906" spans="167:185" x14ac:dyDescent="0.15">
      <c r="FK1906"/>
      <c r="FL1906"/>
      <c r="FM1906"/>
      <c r="FN1906"/>
      <c r="FO1906"/>
      <c r="FP1906"/>
      <c r="FQ1906"/>
      <c r="FR1906"/>
      <c r="FS1906"/>
      <c r="FT1906"/>
      <c r="FU1906"/>
      <c r="FV1906"/>
      <c r="FW1906"/>
      <c r="FX1906"/>
      <c r="FY1906"/>
      <c r="FZ1906"/>
      <c r="GA1906"/>
      <c r="GB1906"/>
      <c r="GC1906"/>
    </row>
    <row r="1907" spans="167:185" x14ac:dyDescent="0.15">
      <c r="FK1907"/>
      <c r="FL1907"/>
      <c r="FM1907"/>
      <c r="FN1907"/>
      <c r="FO1907"/>
      <c r="FP1907"/>
      <c r="FQ1907"/>
      <c r="FR1907"/>
      <c r="FS1907"/>
      <c r="FT1907"/>
      <c r="FU1907"/>
      <c r="FV1907"/>
      <c r="FW1907"/>
      <c r="FX1907"/>
      <c r="FY1907"/>
      <c r="FZ1907"/>
      <c r="GA1907"/>
      <c r="GB1907"/>
      <c r="GC1907"/>
    </row>
    <row r="1908" spans="167:185" x14ac:dyDescent="0.15">
      <c r="FK1908"/>
      <c r="FL1908"/>
      <c r="FM1908"/>
      <c r="FN1908"/>
      <c r="FO1908"/>
      <c r="FP1908"/>
      <c r="FQ1908"/>
      <c r="FR1908"/>
      <c r="FS1908"/>
      <c r="FT1908"/>
      <c r="FU1908"/>
      <c r="FV1908"/>
      <c r="FW1908"/>
      <c r="FX1908"/>
      <c r="FY1908"/>
      <c r="FZ1908"/>
      <c r="GA1908"/>
      <c r="GB1908"/>
      <c r="GC1908"/>
    </row>
    <row r="1909" spans="167:185" x14ac:dyDescent="0.15">
      <c r="FK1909"/>
      <c r="FL1909"/>
      <c r="FM1909"/>
      <c r="FN1909"/>
      <c r="FO1909"/>
      <c r="FP1909"/>
      <c r="FQ1909"/>
      <c r="FR1909"/>
      <c r="FS1909"/>
      <c r="FT1909"/>
      <c r="FU1909"/>
      <c r="FV1909"/>
      <c r="FW1909"/>
      <c r="FX1909"/>
      <c r="FY1909"/>
      <c r="FZ1909"/>
      <c r="GA1909"/>
      <c r="GB1909"/>
      <c r="GC1909"/>
    </row>
    <row r="1910" spans="167:185" x14ac:dyDescent="0.15">
      <c r="FK1910"/>
      <c r="FL1910"/>
      <c r="FM1910"/>
      <c r="FN1910"/>
      <c r="FO1910"/>
      <c r="FP1910"/>
      <c r="FQ1910"/>
      <c r="FR1910"/>
      <c r="FS1910"/>
      <c r="FT1910"/>
      <c r="FU1910"/>
      <c r="FV1910"/>
      <c r="FW1910"/>
      <c r="FX1910"/>
      <c r="FY1910"/>
      <c r="FZ1910"/>
      <c r="GA1910"/>
      <c r="GB1910"/>
      <c r="GC1910"/>
    </row>
    <row r="1911" spans="167:185" x14ac:dyDescent="0.15">
      <c r="FK1911"/>
      <c r="FL1911"/>
      <c r="FM1911"/>
      <c r="FN1911"/>
      <c r="FO1911"/>
      <c r="FP1911"/>
      <c r="FQ1911"/>
      <c r="FR1911"/>
      <c r="FS1911"/>
      <c r="FT1911"/>
      <c r="FU1911"/>
      <c r="FV1911"/>
      <c r="FW1911"/>
      <c r="FX1911"/>
      <c r="FY1911"/>
      <c r="FZ1911"/>
      <c r="GA1911"/>
      <c r="GB1911"/>
      <c r="GC1911"/>
    </row>
    <row r="1912" spans="167:185" x14ac:dyDescent="0.15">
      <c r="FK1912"/>
      <c r="FL1912"/>
      <c r="FM1912"/>
      <c r="FN1912"/>
      <c r="FO1912"/>
      <c r="FP1912"/>
      <c r="FQ1912"/>
      <c r="FR1912"/>
      <c r="FS1912"/>
      <c r="FT1912"/>
      <c r="FU1912"/>
      <c r="FV1912"/>
      <c r="FW1912"/>
      <c r="FX1912"/>
      <c r="FY1912"/>
      <c r="FZ1912"/>
      <c r="GA1912"/>
      <c r="GB1912"/>
      <c r="GC1912"/>
    </row>
    <row r="1913" spans="167:185" x14ac:dyDescent="0.15">
      <c r="FK1913"/>
      <c r="FL1913"/>
      <c r="FM1913"/>
      <c r="FN1913"/>
      <c r="FO1913"/>
      <c r="FP1913"/>
      <c r="FQ1913"/>
      <c r="FR1913"/>
      <c r="FS1913"/>
      <c r="FT1913"/>
      <c r="FU1913"/>
      <c r="FV1913"/>
      <c r="FW1913"/>
      <c r="FX1913"/>
      <c r="FY1913"/>
      <c r="FZ1913"/>
      <c r="GA1913"/>
      <c r="GB1913"/>
      <c r="GC1913"/>
    </row>
    <row r="1914" spans="167:185" x14ac:dyDescent="0.15">
      <c r="FK1914"/>
      <c r="FL1914"/>
      <c r="FM1914"/>
      <c r="FN1914"/>
      <c r="FO1914"/>
      <c r="FP1914"/>
      <c r="FQ1914"/>
      <c r="FR1914"/>
      <c r="FS1914"/>
      <c r="FT1914"/>
      <c r="FU1914"/>
      <c r="FV1914"/>
      <c r="FW1914"/>
      <c r="FX1914"/>
      <c r="FY1914"/>
      <c r="FZ1914"/>
      <c r="GA1914"/>
      <c r="GB1914"/>
      <c r="GC1914"/>
    </row>
    <row r="1915" spans="167:185" x14ac:dyDescent="0.15">
      <c r="FK1915"/>
      <c r="FL1915"/>
      <c r="FM1915"/>
      <c r="FN1915"/>
      <c r="FO1915"/>
      <c r="FP1915"/>
      <c r="FQ1915"/>
      <c r="FR1915"/>
      <c r="FS1915"/>
      <c r="FT1915"/>
      <c r="FU1915"/>
      <c r="FV1915"/>
      <c r="FW1915"/>
      <c r="FX1915"/>
      <c r="FY1915"/>
      <c r="FZ1915"/>
      <c r="GA1915"/>
      <c r="GB1915"/>
      <c r="GC1915"/>
    </row>
    <row r="1916" spans="167:185" x14ac:dyDescent="0.15">
      <c r="FK1916"/>
      <c r="FL1916"/>
      <c r="FM1916"/>
      <c r="FN1916"/>
      <c r="FO1916"/>
      <c r="FP1916"/>
      <c r="FQ1916"/>
      <c r="FR1916"/>
      <c r="FS1916"/>
      <c r="FT1916"/>
      <c r="FU1916"/>
      <c r="FV1916"/>
      <c r="FW1916"/>
      <c r="FX1916"/>
      <c r="FY1916"/>
      <c r="FZ1916"/>
      <c r="GA1916"/>
      <c r="GB1916"/>
      <c r="GC1916"/>
    </row>
    <row r="1917" spans="167:185" x14ac:dyDescent="0.15">
      <c r="FK1917"/>
      <c r="FL1917"/>
      <c r="FM1917"/>
      <c r="FN1917"/>
      <c r="FO1917"/>
      <c r="FP1917"/>
      <c r="FQ1917"/>
      <c r="FR1917"/>
      <c r="FS1917"/>
      <c r="FT1917"/>
      <c r="FU1917"/>
      <c r="FV1917"/>
      <c r="FW1917"/>
      <c r="FX1917"/>
      <c r="FY1917"/>
      <c r="FZ1917"/>
      <c r="GA1917"/>
      <c r="GB1917"/>
      <c r="GC1917"/>
    </row>
  </sheetData>
  <phoneticPr fontId="44" type="noConversion"/>
  <hyperlinks>
    <hyperlink ref="A25" display="Click to go to Histogram 1 data" xr:uid="{00000000-0004-0000-1500-000000000000}"/>
    <hyperlink ref="A26:A36" display="Click to go to Histogram 2 data" xr:uid="{00000000-0004-0000-1500-000001000000}"/>
    <hyperlink ref="A26" display="Click to go to Histogram 2 data" xr:uid="{00000000-0004-0000-1500-000002000000}"/>
    <hyperlink ref="A27" display="Click to go to Histogram 3 data" xr:uid="{00000000-0004-0000-1500-000003000000}"/>
    <hyperlink ref="A28" display="Click to go to Histogram 4 data" xr:uid="{00000000-0004-0000-1500-000004000000}"/>
    <hyperlink ref="A29" display="Click to go to Histogram 5 data" xr:uid="{00000000-0004-0000-1500-000005000000}"/>
    <hyperlink ref="A30" display="Click to go to Histogram 6 data" xr:uid="{00000000-0004-0000-1500-000006000000}"/>
    <hyperlink ref="A31" display="Click to go to Histogram 7 data" xr:uid="{00000000-0004-0000-1500-000007000000}"/>
    <hyperlink ref="A32" display="Click to go to Histogram 8 data" xr:uid="{00000000-0004-0000-1500-000008000000}"/>
    <hyperlink ref="A33" display="Click to go to Histogram 9 data" xr:uid="{00000000-0004-0000-1500-000009000000}"/>
    <hyperlink ref="A34" display="Click to go to Histogram 10 data" xr:uid="{00000000-0004-0000-1500-00000A000000}"/>
    <hyperlink ref="A35" display="Click to go to Histogram 11 data" xr:uid="{00000000-0004-0000-1500-00000B000000}"/>
    <hyperlink ref="A36" display="Click to go to Histogram 12 data" xr:uid="{00000000-0004-0000-1500-00000C000000}"/>
    <hyperlink ref="A82" display="Click to go to Histogram 1 data" xr:uid="{00000000-0004-0000-1500-00000D000000}"/>
    <hyperlink ref="A83:A93" display="Click to go to Histogram 2 data" xr:uid="{00000000-0004-0000-1500-00000E000000}"/>
    <hyperlink ref="A83" display="Click to go to Histogram 2 data" xr:uid="{00000000-0004-0000-1500-00000F000000}"/>
    <hyperlink ref="A84" display="Click to go to Histogram 3 data" xr:uid="{00000000-0004-0000-1500-000010000000}"/>
    <hyperlink ref="A85" display="Click to go to Histogram 4 data" xr:uid="{00000000-0004-0000-1500-000011000000}"/>
    <hyperlink ref="A86" display="Click to go to Histogram 5 data" xr:uid="{00000000-0004-0000-1500-000012000000}"/>
    <hyperlink ref="A87" display="Click to go to Histogram 6 data" xr:uid="{00000000-0004-0000-1500-000013000000}"/>
    <hyperlink ref="A88" display="Click to go to Histogram 7 data" xr:uid="{00000000-0004-0000-1500-000014000000}"/>
    <hyperlink ref="A89" display="Click to go to Histogram 8 data" xr:uid="{00000000-0004-0000-1500-000015000000}"/>
    <hyperlink ref="A90" display="Click to go to Histogram 9 data" xr:uid="{00000000-0004-0000-1500-000016000000}"/>
    <hyperlink ref="A91" display="Click to go to Histogram 10 data" xr:uid="{00000000-0004-0000-1500-000017000000}"/>
    <hyperlink ref="A92" display="Click to go to Histogram 11 data" xr:uid="{00000000-0004-0000-1500-000018000000}"/>
    <hyperlink ref="A93" display="Click to go to Histogram 12 data" xr:uid="{00000000-0004-0000-1500-000019000000}"/>
    <hyperlink ref="A139" display="Click to go to Histogram 1 data" xr:uid="{00000000-0004-0000-1500-00001A000000}"/>
    <hyperlink ref="A140:A150" display="Click to go to Histogram 2 data" xr:uid="{00000000-0004-0000-1500-00001B000000}"/>
    <hyperlink ref="A140" display="Click to go to Histogram 2 data" xr:uid="{00000000-0004-0000-1500-00001C000000}"/>
    <hyperlink ref="A141" display="Click to go to Histogram 3 data" xr:uid="{00000000-0004-0000-1500-00001D000000}"/>
    <hyperlink ref="A142" display="Click to go to Histogram 4 data" xr:uid="{00000000-0004-0000-1500-00001E000000}"/>
    <hyperlink ref="A143" display="Click to go to Histogram 5 data" xr:uid="{00000000-0004-0000-1500-00001F000000}"/>
    <hyperlink ref="A144" display="Click to go to Histogram 6 data" xr:uid="{00000000-0004-0000-1500-000020000000}"/>
    <hyperlink ref="A145" display="Click to go to Histogram 7 data" xr:uid="{00000000-0004-0000-1500-000021000000}"/>
    <hyperlink ref="A146" display="Click to go to Histogram 8 data" xr:uid="{00000000-0004-0000-1500-000022000000}"/>
    <hyperlink ref="A147" display="Click to go to Histogram 9 data" xr:uid="{00000000-0004-0000-1500-000023000000}"/>
    <hyperlink ref="A148" display="Click to go to Histogram 10 data" xr:uid="{00000000-0004-0000-1500-000024000000}"/>
    <hyperlink ref="A149" display="Click to go to Histogram 11 data" xr:uid="{00000000-0004-0000-1500-000025000000}"/>
    <hyperlink ref="A150" display="Click to go to Histogram 12 data" xr:uid="{00000000-0004-0000-1500-000026000000}"/>
    <hyperlink ref="A196" display="Click to go to Histogram 1 data" xr:uid="{00000000-0004-0000-1500-000027000000}"/>
    <hyperlink ref="A197:A207" display="Click to go to Histogram 2 data" xr:uid="{00000000-0004-0000-1500-000028000000}"/>
    <hyperlink ref="A197" display="Click to go to Histogram 2 data" xr:uid="{00000000-0004-0000-1500-000029000000}"/>
    <hyperlink ref="A198" display="Click to go to Histogram 3 data" xr:uid="{00000000-0004-0000-1500-00002A000000}"/>
    <hyperlink ref="A199" display="Click to go to Histogram 4 data" xr:uid="{00000000-0004-0000-1500-00002B000000}"/>
    <hyperlink ref="A200" display="Click to go to Histogram 5 data" xr:uid="{00000000-0004-0000-1500-00002C000000}"/>
    <hyperlink ref="A201" display="Click to go to Histogram 6 data" xr:uid="{00000000-0004-0000-1500-00002D000000}"/>
    <hyperlink ref="A202" display="Click to go to Histogram 7 data" xr:uid="{00000000-0004-0000-1500-00002E000000}"/>
    <hyperlink ref="A203" display="Click to go to Histogram 8 data" xr:uid="{00000000-0004-0000-1500-00002F000000}"/>
    <hyperlink ref="A204" display="Click to go to Histogram 9 data" xr:uid="{00000000-0004-0000-1500-000030000000}"/>
    <hyperlink ref="A205" display="Click to go to Histogram 10 data" xr:uid="{00000000-0004-0000-1500-000031000000}"/>
    <hyperlink ref="A206" display="Click to go to Histogram 11 data" xr:uid="{00000000-0004-0000-1500-000032000000}"/>
    <hyperlink ref="A207" display="Click to go to Histogram 12 data" xr:uid="{00000000-0004-0000-1500-000033000000}"/>
    <hyperlink ref="A253" display="Click to go to Histogram 1 data" xr:uid="{00000000-0004-0000-1500-000034000000}"/>
    <hyperlink ref="A254:A264" display="Click to go to Histogram 2 data" xr:uid="{00000000-0004-0000-1500-000035000000}"/>
    <hyperlink ref="A254" display="Click to go to Histogram 2 data" xr:uid="{00000000-0004-0000-1500-000036000000}"/>
    <hyperlink ref="A255" display="Click to go to Histogram 3 data" xr:uid="{00000000-0004-0000-1500-000037000000}"/>
    <hyperlink ref="A256" display="Click to go to Histogram 4 data" xr:uid="{00000000-0004-0000-1500-000038000000}"/>
    <hyperlink ref="A257" display="Click to go to Histogram 5 data" xr:uid="{00000000-0004-0000-1500-000039000000}"/>
    <hyperlink ref="A258" display="Click to go to Histogram 6 data" xr:uid="{00000000-0004-0000-1500-00003A000000}"/>
    <hyperlink ref="A259" display="Click to go to Histogram 7 data" xr:uid="{00000000-0004-0000-1500-00003B000000}"/>
    <hyperlink ref="A260" display="Click to go to Histogram 8 data" xr:uid="{00000000-0004-0000-1500-00003C000000}"/>
    <hyperlink ref="A261" display="Click to go to Histogram 9 data" xr:uid="{00000000-0004-0000-1500-00003D000000}"/>
    <hyperlink ref="A262" display="Click to go to Histogram 10 data" xr:uid="{00000000-0004-0000-1500-00003E000000}"/>
    <hyperlink ref="A263" display="Click to go to Histogram 11 data" xr:uid="{00000000-0004-0000-1500-00003F000000}"/>
    <hyperlink ref="A264" display="Click to go to Histogram 12 data" xr:uid="{00000000-0004-0000-1500-000040000000}"/>
    <hyperlink ref="A310" display="Click to go to Histogram 1 data" xr:uid="{00000000-0004-0000-1500-000041000000}"/>
    <hyperlink ref="A311:A321" display="Click to go to Histogram 2 data" xr:uid="{00000000-0004-0000-1500-000042000000}"/>
    <hyperlink ref="A311" display="Click to go to Histogram 2 data" xr:uid="{00000000-0004-0000-1500-000043000000}"/>
    <hyperlink ref="A312" display="Click to go to Histogram 3 data" xr:uid="{00000000-0004-0000-1500-000044000000}"/>
    <hyperlink ref="A313" display="Click to go to Histogram 4 data" xr:uid="{00000000-0004-0000-1500-000045000000}"/>
    <hyperlink ref="A314" display="Click to go to Histogram 5 data" xr:uid="{00000000-0004-0000-1500-000046000000}"/>
    <hyperlink ref="A315" display="Click to go to Histogram 6 data" xr:uid="{00000000-0004-0000-1500-000047000000}"/>
    <hyperlink ref="A316" display="Click to go to Histogram 7 data" xr:uid="{00000000-0004-0000-1500-000048000000}"/>
    <hyperlink ref="A317" display="Click to go to Histogram 8 data" xr:uid="{00000000-0004-0000-1500-000049000000}"/>
    <hyperlink ref="A318" display="Click to go to Histogram 9 data" xr:uid="{00000000-0004-0000-1500-00004A000000}"/>
    <hyperlink ref="A319" display="Click to go to Histogram 10 data" xr:uid="{00000000-0004-0000-1500-00004B000000}"/>
    <hyperlink ref="A320" display="Click to go to Histogram 11 data" xr:uid="{00000000-0004-0000-1500-00004C000000}"/>
    <hyperlink ref="A321" display="Click to go to Histogram 12 data" xr:uid="{00000000-0004-0000-1500-00004D000000}"/>
    <hyperlink ref="A367" display="Click to go to Histogram 1 data" xr:uid="{00000000-0004-0000-1500-00004E000000}"/>
    <hyperlink ref="A368:A378" display="Click to go to Histogram 2 data" xr:uid="{00000000-0004-0000-1500-00004F000000}"/>
    <hyperlink ref="A368" display="Click to go to Histogram 2 data" xr:uid="{00000000-0004-0000-1500-000050000000}"/>
    <hyperlink ref="A369" display="Click to go to Histogram 3 data" xr:uid="{00000000-0004-0000-1500-000051000000}"/>
    <hyperlink ref="A370" display="Click to go to Histogram 4 data" xr:uid="{00000000-0004-0000-1500-000052000000}"/>
    <hyperlink ref="A371" display="Click to go to Histogram 5 data" xr:uid="{00000000-0004-0000-1500-000053000000}"/>
    <hyperlink ref="A372" display="Click to go to Histogram 6 data" xr:uid="{00000000-0004-0000-1500-000054000000}"/>
    <hyperlink ref="A373" display="Click to go to Histogram 7 data" xr:uid="{00000000-0004-0000-1500-000055000000}"/>
    <hyperlink ref="A374" display="Click to go to Histogram 8 data" xr:uid="{00000000-0004-0000-1500-000056000000}"/>
    <hyperlink ref="A375" display="Click to go to Histogram 9 data" xr:uid="{00000000-0004-0000-1500-000057000000}"/>
    <hyperlink ref="A376" display="Click to go to Histogram 10 data" xr:uid="{00000000-0004-0000-1500-000058000000}"/>
    <hyperlink ref="A377" display="Click to go to Histogram 11 data" xr:uid="{00000000-0004-0000-1500-000059000000}"/>
    <hyperlink ref="A378" display="Click to go to Histogram 12 data" xr:uid="{00000000-0004-0000-1500-00005A000000}"/>
    <hyperlink ref="A424" display="Click to go to Histogram 1 data" xr:uid="{00000000-0004-0000-1500-00005B000000}"/>
    <hyperlink ref="A425:A435" display="Click to go to Histogram 2 data" xr:uid="{00000000-0004-0000-1500-00005C000000}"/>
    <hyperlink ref="A425" display="Click to go to Histogram 2 data" xr:uid="{00000000-0004-0000-1500-00005D000000}"/>
    <hyperlink ref="A426" display="Click to go to Histogram 3 data" xr:uid="{00000000-0004-0000-1500-00005E000000}"/>
    <hyperlink ref="A427" display="Click to go to Histogram 4 data" xr:uid="{00000000-0004-0000-1500-00005F000000}"/>
    <hyperlink ref="A428" display="Click to go to Histogram 5 data" xr:uid="{00000000-0004-0000-1500-000060000000}"/>
    <hyperlink ref="A429" display="Click to go to Histogram 6 data" xr:uid="{00000000-0004-0000-1500-000061000000}"/>
    <hyperlink ref="A430" display="Click to go to Histogram 7 data" xr:uid="{00000000-0004-0000-1500-000062000000}"/>
    <hyperlink ref="A431" display="Click to go to Histogram 8 data" xr:uid="{00000000-0004-0000-1500-000063000000}"/>
    <hyperlink ref="A432" display="Click to go to Histogram 9 data" xr:uid="{00000000-0004-0000-1500-000064000000}"/>
    <hyperlink ref="A433" display="Click to go to Histogram 10 data" xr:uid="{00000000-0004-0000-1500-000065000000}"/>
    <hyperlink ref="A434" display="Click to go to Histogram 11 data" xr:uid="{00000000-0004-0000-1500-000066000000}"/>
    <hyperlink ref="A435" display="Click to go to Histogram 12 data" xr:uid="{00000000-0004-0000-1500-000067000000}"/>
    <hyperlink ref="A482" display="Click to go to Histogram 1 data" xr:uid="{00000000-0004-0000-1500-000068000000}"/>
    <hyperlink ref="A483:A493" display="Click to go to Histogram 2 data" xr:uid="{00000000-0004-0000-1500-000069000000}"/>
    <hyperlink ref="A483" display="Click to go to Histogram 2 data" xr:uid="{00000000-0004-0000-1500-00006A000000}"/>
    <hyperlink ref="A484" display="Click to go to Histogram 3 data" xr:uid="{00000000-0004-0000-1500-00006B000000}"/>
    <hyperlink ref="A485" display="Click to go to Histogram 4 data" xr:uid="{00000000-0004-0000-1500-00006C000000}"/>
    <hyperlink ref="A486" display="Click to go to Histogram 5 data" xr:uid="{00000000-0004-0000-1500-00006D000000}"/>
    <hyperlink ref="A487" display="Click to go to Histogram 6 data" xr:uid="{00000000-0004-0000-1500-00006E000000}"/>
    <hyperlink ref="A488" display="Click to go to Histogram 7 data" xr:uid="{00000000-0004-0000-1500-00006F000000}"/>
    <hyperlink ref="A489" display="Click to go to Histogram 8 data" xr:uid="{00000000-0004-0000-1500-000070000000}"/>
    <hyperlink ref="A490" display="Click to go to Histogram 9 data" xr:uid="{00000000-0004-0000-1500-000071000000}"/>
    <hyperlink ref="A491" display="Click to go to Histogram 10 data" xr:uid="{00000000-0004-0000-1500-000072000000}"/>
    <hyperlink ref="A492" display="Click to go to Histogram 11 data" xr:uid="{00000000-0004-0000-1500-000073000000}"/>
    <hyperlink ref="A493" display="Click to go to Histogram 12 data" xr:uid="{00000000-0004-0000-1500-000074000000}"/>
    <hyperlink ref="A538" display="Click to go to Histogram 1 data" xr:uid="{00000000-0004-0000-1500-000075000000}"/>
    <hyperlink ref="A539:A549" display="Click to go to Histogram 2 data" xr:uid="{00000000-0004-0000-1500-000076000000}"/>
    <hyperlink ref="A539" display="Click to go to Histogram 2 data" xr:uid="{00000000-0004-0000-1500-000077000000}"/>
    <hyperlink ref="A540" display="Click to go to Histogram 3 data" xr:uid="{00000000-0004-0000-1500-000078000000}"/>
    <hyperlink ref="A541" display="Click to go to Histogram 4 data" xr:uid="{00000000-0004-0000-1500-000079000000}"/>
    <hyperlink ref="A542" display="Click to go to Histogram 5 data" xr:uid="{00000000-0004-0000-1500-00007A000000}"/>
    <hyperlink ref="A543" display="Click to go to Histogram 6 data" xr:uid="{00000000-0004-0000-1500-00007B000000}"/>
    <hyperlink ref="A544" display="Click to go to Histogram 7 data" xr:uid="{00000000-0004-0000-1500-00007C000000}"/>
    <hyperlink ref="A545" display="Click to go to Histogram 8 data" xr:uid="{00000000-0004-0000-1500-00007D000000}"/>
    <hyperlink ref="A546" display="Click to go to Histogram 9 data" xr:uid="{00000000-0004-0000-1500-00007E000000}"/>
    <hyperlink ref="A547" display="Click to go to Histogram 10 data" xr:uid="{00000000-0004-0000-1500-00007F000000}"/>
    <hyperlink ref="A548" display="Click to go to Histogram 11 data" xr:uid="{00000000-0004-0000-1500-000080000000}"/>
    <hyperlink ref="A549" display="Click to go to Histogram 12 data" xr:uid="{00000000-0004-0000-1500-000081000000}"/>
    <hyperlink ref="A596" display="Click to go to Histogram 1 data" xr:uid="{00000000-0004-0000-1500-000082000000}"/>
    <hyperlink ref="A597:A607" display="Click to go to Histogram 2 data" xr:uid="{00000000-0004-0000-1500-000083000000}"/>
    <hyperlink ref="A597" display="Click to go to Histogram 2 data" xr:uid="{00000000-0004-0000-1500-000084000000}"/>
    <hyperlink ref="A598" display="Click to go to Histogram 3 data" xr:uid="{00000000-0004-0000-1500-000085000000}"/>
    <hyperlink ref="A599" display="Click to go to Histogram 4 data" xr:uid="{00000000-0004-0000-1500-000086000000}"/>
    <hyperlink ref="A600" display="Click to go to Histogram 5 data" xr:uid="{00000000-0004-0000-1500-000087000000}"/>
    <hyperlink ref="A601" display="Click to go to Histogram 6 data" xr:uid="{00000000-0004-0000-1500-000088000000}"/>
    <hyperlink ref="A602" display="Click to go to Histogram 7 data" xr:uid="{00000000-0004-0000-1500-000089000000}"/>
    <hyperlink ref="A603" display="Click to go to Histogram 8 data" xr:uid="{00000000-0004-0000-1500-00008A000000}"/>
    <hyperlink ref="A604" display="Click to go to Histogram 9 data" xr:uid="{00000000-0004-0000-1500-00008B000000}"/>
    <hyperlink ref="A605" display="Click to go to Histogram 10 data" xr:uid="{00000000-0004-0000-1500-00008C000000}"/>
    <hyperlink ref="A606" display="Click to go to Histogram 11 data" xr:uid="{00000000-0004-0000-1500-00008D000000}"/>
    <hyperlink ref="A607" display="Click to go to Histogram 12 data" xr:uid="{00000000-0004-0000-1500-00008E000000}"/>
    <hyperlink ref="A652" display="Click to go to Histogram 1 data" xr:uid="{00000000-0004-0000-1500-00008F000000}"/>
    <hyperlink ref="A653:A663" display="Click to go to Histogram 2 data" xr:uid="{00000000-0004-0000-1500-000090000000}"/>
    <hyperlink ref="A653" display="Click to go to Histogram 2 data" xr:uid="{00000000-0004-0000-1500-000091000000}"/>
    <hyperlink ref="A654" display="Click to go to Histogram 3 data" xr:uid="{00000000-0004-0000-1500-000092000000}"/>
    <hyperlink ref="A655" display="Click to go to Histogram 4 data" xr:uid="{00000000-0004-0000-1500-000093000000}"/>
    <hyperlink ref="A656" display="Click to go to Histogram 5 data" xr:uid="{00000000-0004-0000-1500-000094000000}"/>
    <hyperlink ref="A657" display="Click to go to Histogram 6 data" xr:uid="{00000000-0004-0000-1500-000095000000}"/>
    <hyperlink ref="A658" display="Click to go to Histogram 7 data" xr:uid="{00000000-0004-0000-1500-000096000000}"/>
    <hyperlink ref="A659" display="Click to go to Histogram 8 data" xr:uid="{00000000-0004-0000-1500-000097000000}"/>
    <hyperlink ref="A660" display="Click to go to Histogram 9 data" xr:uid="{00000000-0004-0000-1500-000098000000}"/>
    <hyperlink ref="A661" display="Click to go to Histogram 10 data" xr:uid="{00000000-0004-0000-1500-000099000000}"/>
    <hyperlink ref="A662" display="Click to go to Histogram 11 data" xr:uid="{00000000-0004-0000-1500-00009A000000}"/>
    <hyperlink ref="A663" display="Click to go to Histogram 12 data" xr:uid="{00000000-0004-0000-1500-00009B000000}"/>
    <hyperlink ref="A689" display="Click for Histogram 12 Graph" xr:uid="{00000000-0004-0000-1500-00009C000000}"/>
    <hyperlink ref="AG1" display="Click for Histogram 1 Graph" xr:uid="{00000000-0004-0000-1500-00009D000000}"/>
    <hyperlink ref="AJ1" display="Click for Histogram 2 Graph" xr:uid="{00000000-0004-0000-1500-00009E000000}"/>
    <hyperlink ref="AO1" display="Click for Histogram 3 Graph" xr:uid="{00000000-0004-0000-1500-00009F000000}"/>
    <hyperlink ref="BH1" display="Click for Histogram 4 Graph" xr:uid="{00000000-0004-0000-1500-0000A0000000}"/>
    <hyperlink ref="BP1" display="Click for Histogram 5 Graph" xr:uid="{00000000-0004-0000-1500-0000A1000000}"/>
    <hyperlink ref="BZ1" display="Click for Histogram 6 Graph" xr:uid="{00000000-0004-0000-1500-0000A2000000}"/>
    <hyperlink ref="CF1" display="Click for Histogram 7 Graph" xr:uid="{00000000-0004-0000-1500-0000A3000000}"/>
    <hyperlink ref="DG1" display="Click for Histogram 8 Graph" xr:uid="{00000000-0004-0000-1500-0000A4000000}"/>
    <hyperlink ref="DZ1" display="Click for Histogram 9 Graph" xr:uid="{00000000-0004-0000-1500-0000A5000000}"/>
    <hyperlink ref="EJ1" display="Click for Histogram 10 Graph" xr:uid="{00000000-0004-0000-1500-0000A6000000}"/>
    <hyperlink ref="FK1" display="Click for Histogram 11 Graph" xr:uid="{00000000-0004-0000-1500-0000A7000000}"/>
  </hyperlinks>
  <printOptions horizontalCentered="1" verticalCentered="1"/>
  <pageMargins left="0.25" right="0.25" top="0.5" bottom="0.5" header="0" footer="0"/>
  <pageSetup scale="49" orientation="landscape" r:id="rId13"/>
  <headerFooter alignWithMargins="0"/>
  <rowBreaks count="12" manualBreakCount="12">
    <brk id="57" min="3" max="25" man="1"/>
    <brk id="114" min="3" max="25" man="1"/>
    <brk id="171" min="3" max="25" man="1"/>
    <brk id="228" min="3" max="25" man="1"/>
    <brk id="285" min="3" max="25" man="1"/>
    <brk id="342" min="3" max="25" man="1"/>
    <brk id="399" min="3" max="25" man="1"/>
    <brk id="456" min="3" max="25" man="1"/>
    <brk id="513" min="3" max="25" man="1"/>
    <brk id="570" min="3" max="25" man="1"/>
    <brk id="627" min="3" max="25" man="1"/>
    <brk id="684" min="3" max="38" man="1"/>
  </rowBreaks>
  <colBreaks count="1" manualBreakCount="1">
    <brk id="26" max="683" man="1"/>
  </colBreaks>
  <drawing r:id="rId1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indexed="11"/>
    <pageSetUpPr autoPageBreaks="0" fitToPage="1"/>
  </sheetPr>
  <dimension ref="A1:EN4901"/>
  <sheetViews>
    <sheetView showGridLines="0" zoomScale="70" zoomScaleNormal="70" workbookViewId="0"/>
  </sheetViews>
  <sheetFormatPr baseColWidth="10" defaultColWidth="9.1640625" defaultRowHeight="13" x14ac:dyDescent="0.15"/>
  <cols>
    <col min="1" max="1" width="2.5" style="7" customWidth="1"/>
    <col min="2" max="4" width="6" style="7" customWidth="1"/>
    <col min="5" max="5" width="6" style="8" customWidth="1"/>
    <col min="6" max="27" width="6" style="7" customWidth="1"/>
    <col min="28" max="28" width="6" style="8" customWidth="1"/>
    <col min="29" max="29" width="6" style="33" customWidth="1"/>
    <col min="30" max="30" width="6" style="32" customWidth="1"/>
    <col min="31" max="31" width="6" style="7" customWidth="1"/>
    <col min="32" max="32" width="6" style="8" customWidth="1"/>
    <col min="33" max="38" width="6" style="7" customWidth="1"/>
    <col min="39" max="40" width="6" style="8" customWidth="1"/>
    <col min="41" max="41" width="6" style="31" customWidth="1"/>
    <col min="42" max="46" width="6" style="8" customWidth="1"/>
    <col min="47" max="47" width="6" style="31" customWidth="1"/>
    <col min="48" max="62" width="6" style="7" customWidth="1"/>
    <col min="63" max="74" width="6" style="8" customWidth="1"/>
    <col min="75" max="76" width="6" style="7" customWidth="1"/>
    <col min="77" max="77" width="6" style="8" customWidth="1"/>
    <col min="78" max="78" width="6" style="7" customWidth="1"/>
    <col min="79" max="81" width="6" style="8" customWidth="1"/>
    <col min="82" max="89" width="6" style="7" customWidth="1"/>
    <col min="90" max="102" width="6" style="8" customWidth="1"/>
    <col min="103" max="122" width="6" style="7" customWidth="1"/>
    <col min="123" max="126" width="6" style="8" customWidth="1"/>
    <col min="127" max="144" width="6" style="7" customWidth="1"/>
    <col min="145" max="16384" width="9.1640625" style="7"/>
  </cols>
  <sheetData>
    <row r="1" spans="1:144" ht="14" thickTop="1" x14ac:dyDescent="0.15">
      <c r="A1" s="44"/>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43"/>
      <c r="AK1" s="37"/>
      <c r="AL1" s="34"/>
      <c r="AM1" s="34"/>
      <c r="AN1" s="34"/>
      <c r="AO1" s="34"/>
      <c r="AP1" s="34" t="str">
        <f>LEFT(AO1,1)</f>
        <v/>
      </c>
      <c r="AQ1" s="34" t="str">
        <f>RIGHT(AO1,1)</f>
        <v/>
      </c>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row>
    <row r="2" spans="1:144" x14ac:dyDescent="0.15">
      <c r="A2" s="37"/>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42"/>
      <c r="AK2" s="37"/>
      <c r="AL2" s="34"/>
      <c r="AM2" s="34"/>
      <c r="AN2" s="34"/>
      <c r="AO2" s="34"/>
      <c r="AP2" s="34" t="str">
        <f>LEFT(AO2,1)</f>
        <v/>
      </c>
      <c r="AQ2" s="34" t="str">
        <f>RIGHT(AO2,1)</f>
        <v/>
      </c>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row>
    <row r="3" spans="1:144" x14ac:dyDescent="0.15">
      <c r="A3" s="37"/>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42"/>
      <c r="AK3" s="37"/>
      <c r="AL3" s="34"/>
      <c r="AM3" s="34"/>
      <c r="AN3" s="34"/>
      <c r="AO3" s="34"/>
      <c r="AP3" s="34" t="str">
        <f>LEFT(AO3,2)</f>
        <v/>
      </c>
      <c r="AQ3" s="34" t="str">
        <f>RIGHT(AO3,2)</f>
        <v/>
      </c>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row>
    <row r="4" spans="1:144" x14ac:dyDescent="0.15">
      <c r="A4" s="37"/>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42"/>
      <c r="AK4" s="37"/>
      <c r="AL4" s="34"/>
      <c r="AM4" s="34"/>
      <c r="AN4" s="34"/>
      <c r="AO4" s="34"/>
      <c r="AP4" s="34" t="str">
        <f>LEFT(AO4,2)</f>
        <v/>
      </c>
      <c r="AQ4" s="34" t="str">
        <f>RIGHT(AO4,2)</f>
        <v/>
      </c>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row>
    <row r="5" spans="1:144" x14ac:dyDescent="0.15">
      <c r="A5" s="37"/>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42"/>
      <c r="AK5" s="37"/>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row>
    <row r="6" spans="1:144" x14ac:dyDescent="0.15">
      <c r="A6" s="37"/>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42"/>
      <c r="AK6" s="37"/>
      <c r="AL6" s="34"/>
      <c r="AM6" s="34"/>
      <c r="AN6" s="34"/>
      <c r="AO6" s="34"/>
      <c r="AP6" s="34" t="str">
        <f t="shared" ref="AP6:AP12" si="0">LEFT(AO6,1)</f>
        <v/>
      </c>
      <c r="AQ6" s="34" t="str">
        <f t="shared" ref="AQ6:AQ12" si="1">RIGHT(AO6,2)</f>
        <v/>
      </c>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row>
    <row r="7" spans="1:144" x14ac:dyDescent="0.15">
      <c r="A7" s="37"/>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42"/>
      <c r="AK7" s="37"/>
      <c r="AL7" s="34"/>
      <c r="AM7" s="34"/>
      <c r="AN7" s="34"/>
      <c r="AO7" s="34"/>
      <c r="AP7" s="34" t="str">
        <f t="shared" si="0"/>
        <v/>
      </c>
      <c r="AQ7" s="34" t="str">
        <f t="shared" si="1"/>
        <v/>
      </c>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row>
    <row r="8" spans="1:144" x14ac:dyDescent="0.15">
      <c r="A8" s="37"/>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42"/>
      <c r="AK8" s="37"/>
      <c r="AL8" s="34"/>
      <c r="AM8" s="34"/>
      <c r="AN8" s="34"/>
      <c r="AO8" s="34"/>
      <c r="AP8" s="34" t="str">
        <f t="shared" si="0"/>
        <v/>
      </c>
      <c r="AQ8" s="34" t="str">
        <f t="shared" si="1"/>
        <v/>
      </c>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row>
    <row r="9" spans="1:144" x14ac:dyDescent="0.15">
      <c r="A9" s="37"/>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42"/>
      <c r="AK9" s="37"/>
      <c r="AL9" s="34"/>
      <c r="AM9" s="34"/>
      <c r="AN9" s="34"/>
      <c r="AO9" s="34"/>
      <c r="AP9" s="34" t="str">
        <f t="shared" si="0"/>
        <v/>
      </c>
      <c r="AQ9" s="34" t="str">
        <f t="shared" si="1"/>
        <v/>
      </c>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row>
    <row r="10" spans="1:144" x14ac:dyDescent="0.15">
      <c r="A10" s="37"/>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42"/>
      <c r="AK10" s="37"/>
      <c r="AL10" s="34"/>
      <c r="AM10" s="34"/>
      <c r="AN10" s="34"/>
      <c r="AO10" s="34"/>
      <c r="AP10" s="34" t="str">
        <f t="shared" si="0"/>
        <v/>
      </c>
      <c r="AQ10" s="34" t="str">
        <f t="shared" si="1"/>
        <v/>
      </c>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row>
    <row r="11" spans="1:144" x14ac:dyDescent="0.15">
      <c r="A11" s="37"/>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42"/>
      <c r="AK11" s="37"/>
      <c r="AL11" s="34"/>
      <c r="AM11" s="34"/>
      <c r="AN11" s="34"/>
      <c r="AO11" s="34"/>
      <c r="AP11" s="34" t="str">
        <f t="shared" si="0"/>
        <v/>
      </c>
      <c r="AQ11" s="34" t="str">
        <f t="shared" si="1"/>
        <v/>
      </c>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row>
    <row r="12" spans="1:144" x14ac:dyDescent="0.15">
      <c r="A12" s="37"/>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42"/>
      <c r="AK12" s="37"/>
      <c r="AL12" s="34"/>
      <c r="AM12" s="34"/>
      <c r="AN12" s="34"/>
      <c r="AO12" s="34"/>
      <c r="AP12" s="34" t="str">
        <f t="shared" si="0"/>
        <v/>
      </c>
      <c r="AQ12" s="34" t="str">
        <f t="shared" si="1"/>
        <v/>
      </c>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row>
    <row r="13" spans="1:144" x14ac:dyDescent="0.15">
      <c r="A13" s="37"/>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42"/>
      <c r="AK13" s="37"/>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row>
    <row r="14" spans="1:144" x14ac:dyDescent="0.15">
      <c r="A14" s="37"/>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42"/>
      <c r="AK14" s="37"/>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row>
    <row r="15" spans="1:144" x14ac:dyDescent="0.15">
      <c r="A15" s="37"/>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42"/>
      <c r="AK15" s="37"/>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row>
    <row r="16" spans="1:144" x14ac:dyDescent="0.15">
      <c r="A16" s="37"/>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42"/>
      <c r="AK16" s="37"/>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row>
    <row r="17" spans="1:144" x14ac:dyDescent="0.15">
      <c r="A17" s="37"/>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5"/>
      <c r="AH17" s="34"/>
      <c r="AI17" s="34"/>
      <c r="AJ17" s="42"/>
      <c r="AK17" s="37"/>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5"/>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5"/>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5"/>
      <c r="EL17" s="34"/>
      <c r="EM17" s="34"/>
      <c r="EN17" s="34"/>
    </row>
    <row r="18" spans="1:144" x14ac:dyDescent="0.15">
      <c r="A18" s="37"/>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5"/>
      <c r="AH18" s="34"/>
      <c r="AI18" s="34"/>
      <c r="AJ18" s="42"/>
      <c r="AK18" s="37"/>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5"/>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5"/>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5"/>
      <c r="EL18" s="34"/>
      <c r="EM18" s="34"/>
      <c r="EN18" s="34"/>
    </row>
    <row r="19" spans="1:144" x14ac:dyDescent="0.15">
      <c r="A19" s="37"/>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5"/>
      <c r="AH19" s="34"/>
      <c r="AI19" s="34"/>
      <c r="AJ19" s="42"/>
      <c r="AK19" s="37"/>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5"/>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5"/>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5"/>
      <c r="EL19" s="34"/>
      <c r="EM19" s="34"/>
      <c r="EN19" s="34"/>
    </row>
    <row r="20" spans="1:144" x14ac:dyDescent="0.15">
      <c r="A20" s="37"/>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5"/>
      <c r="AH20" s="34"/>
      <c r="AI20" s="34"/>
      <c r="AJ20" s="42"/>
      <c r="AK20" s="37"/>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5"/>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5"/>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5"/>
      <c r="EL20" s="34"/>
      <c r="EM20" s="34"/>
      <c r="EN20" s="34"/>
    </row>
    <row r="21" spans="1:144" x14ac:dyDescent="0.15">
      <c r="A21" s="37"/>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5"/>
      <c r="AH21" s="34"/>
      <c r="AI21" s="34"/>
      <c r="AJ21" s="42"/>
      <c r="AK21" s="37"/>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5"/>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5"/>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5"/>
      <c r="EL21" s="34"/>
      <c r="EM21" s="34"/>
      <c r="EN21" s="34"/>
    </row>
    <row r="22" spans="1:144" x14ac:dyDescent="0.15">
      <c r="A22" s="37"/>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5"/>
      <c r="AH22" s="34"/>
      <c r="AI22" s="34"/>
      <c r="AJ22" s="42"/>
      <c r="AK22" s="37"/>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5"/>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5"/>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5"/>
      <c r="EL22" s="34"/>
      <c r="EM22" s="34"/>
      <c r="EN22" s="34"/>
    </row>
    <row r="23" spans="1:144" x14ac:dyDescent="0.15">
      <c r="A23" s="37"/>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5"/>
      <c r="AH23" s="34"/>
      <c r="AI23" s="34"/>
      <c r="AJ23" s="42"/>
      <c r="AK23" s="37"/>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5"/>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5"/>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5"/>
      <c r="EL23" s="34"/>
      <c r="EM23" s="34"/>
      <c r="EN23" s="34"/>
    </row>
    <row r="24" spans="1:144" x14ac:dyDescent="0.15">
      <c r="A24" s="37"/>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5"/>
      <c r="AH24" s="34"/>
      <c r="AI24" s="34"/>
      <c r="AJ24" s="42"/>
      <c r="AK24" s="37"/>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5"/>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5"/>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5"/>
      <c r="EL24" s="34"/>
      <c r="EM24" s="34"/>
      <c r="EN24" s="34"/>
    </row>
    <row r="25" spans="1:144" x14ac:dyDescent="0.15">
      <c r="A25" s="37"/>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5"/>
      <c r="AH25" s="34"/>
      <c r="AI25" s="34"/>
      <c r="AJ25" s="42"/>
      <c r="AK25" s="37"/>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5"/>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5"/>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5"/>
      <c r="EL25" s="34"/>
      <c r="EM25" s="34"/>
      <c r="EN25" s="34"/>
    </row>
    <row r="26" spans="1:144" x14ac:dyDescent="0.15">
      <c r="A26" s="37"/>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5"/>
      <c r="AH26" s="34"/>
      <c r="AI26" s="34"/>
      <c r="AJ26" s="42"/>
      <c r="AK26" s="37"/>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5"/>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5"/>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5"/>
      <c r="EL26" s="34"/>
      <c r="EM26" s="34"/>
      <c r="EN26" s="34"/>
    </row>
    <row r="27" spans="1:144" x14ac:dyDescent="0.15">
      <c r="A27" s="37"/>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5"/>
      <c r="AH27" s="34"/>
      <c r="AI27" s="34"/>
      <c r="AJ27" s="42"/>
      <c r="AK27" s="37"/>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5"/>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5"/>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5"/>
      <c r="EL27" s="34"/>
      <c r="EM27" s="34"/>
      <c r="EN27" s="34"/>
    </row>
    <row r="28" spans="1:144" x14ac:dyDescent="0.15">
      <c r="A28" s="37"/>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5"/>
      <c r="AH28" s="34"/>
      <c r="AI28" s="34"/>
      <c r="AJ28" s="42"/>
      <c r="AK28" s="37"/>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5"/>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5"/>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5"/>
      <c r="EL28" s="34"/>
      <c r="EM28" s="34"/>
      <c r="EN28" s="34"/>
    </row>
    <row r="29" spans="1:144" x14ac:dyDescent="0.15">
      <c r="A29" s="37"/>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5"/>
      <c r="AH29" s="34"/>
      <c r="AI29" s="34"/>
      <c r="AJ29" s="42"/>
      <c r="AK29" s="37"/>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5"/>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5"/>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5"/>
      <c r="EL29" s="34"/>
      <c r="EM29" s="34"/>
      <c r="EN29" s="34"/>
    </row>
    <row r="30" spans="1:144" x14ac:dyDescent="0.15">
      <c r="A30" s="37"/>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5"/>
      <c r="AH30" s="34"/>
      <c r="AI30" s="34"/>
      <c r="AJ30" s="42"/>
      <c r="AK30" s="37"/>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5"/>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5"/>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5"/>
      <c r="EL30" s="34"/>
      <c r="EM30" s="34"/>
      <c r="EN30" s="34"/>
    </row>
    <row r="31" spans="1:144" x14ac:dyDescent="0.15">
      <c r="A31" s="37"/>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5"/>
      <c r="AH31" s="34"/>
      <c r="AI31" s="34"/>
      <c r="AJ31" s="42"/>
      <c r="AK31" s="37"/>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5"/>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5"/>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5"/>
      <c r="EL31" s="34"/>
      <c r="EM31" s="34"/>
      <c r="EN31" s="34"/>
    </row>
    <row r="32" spans="1:144" x14ac:dyDescent="0.15">
      <c r="A32" s="37"/>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5"/>
      <c r="AH32" s="34"/>
      <c r="AI32" s="34"/>
      <c r="AJ32" s="42"/>
      <c r="AK32" s="37"/>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5"/>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5"/>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5"/>
      <c r="EL32" s="34"/>
      <c r="EM32" s="34"/>
      <c r="EN32" s="34"/>
    </row>
    <row r="33" spans="1:144" x14ac:dyDescent="0.15">
      <c r="A33" s="37"/>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5"/>
      <c r="AH33" s="34"/>
      <c r="AI33" s="34"/>
      <c r="AJ33" s="42"/>
      <c r="AK33" s="37"/>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5"/>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5"/>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5"/>
      <c r="EL33" s="34"/>
      <c r="EM33" s="34"/>
      <c r="EN33" s="34"/>
    </row>
    <row r="34" spans="1:144" x14ac:dyDescent="0.15">
      <c r="A34" s="37"/>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5"/>
      <c r="AH34" s="34"/>
      <c r="AI34" s="34"/>
      <c r="AJ34" s="42"/>
      <c r="AK34" s="37"/>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5"/>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5"/>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5"/>
      <c r="EL34" s="34"/>
      <c r="EM34" s="34"/>
      <c r="EN34" s="34"/>
    </row>
    <row r="35" spans="1:144" x14ac:dyDescent="0.15">
      <c r="A35" s="37"/>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5"/>
      <c r="AH35" s="34"/>
      <c r="AI35" s="34"/>
      <c r="AJ35" s="42"/>
      <c r="AK35" s="37"/>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5"/>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5"/>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5"/>
      <c r="EL35" s="34"/>
      <c r="EM35" s="34"/>
      <c r="EN35" s="34"/>
    </row>
    <row r="36" spans="1:144" x14ac:dyDescent="0.15">
      <c r="A36" s="37"/>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5"/>
      <c r="AH36" s="34"/>
      <c r="AI36" s="34"/>
      <c r="AJ36" s="42"/>
      <c r="AK36" s="37"/>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5"/>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5"/>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5"/>
      <c r="EL36" s="34"/>
      <c r="EM36" s="34"/>
      <c r="EN36" s="34"/>
    </row>
    <row r="37" spans="1:144" x14ac:dyDescent="0.15">
      <c r="A37" s="37"/>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5"/>
      <c r="AH37" s="34"/>
      <c r="AI37" s="34"/>
      <c r="AJ37" s="42"/>
      <c r="AK37" s="37"/>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5"/>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5"/>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5"/>
      <c r="EL37" s="34"/>
      <c r="EM37" s="34"/>
      <c r="EN37" s="34"/>
    </row>
    <row r="38" spans="1:144" x14ac:dyDescent="0.15">
      <c r="A38" s="37"/>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5"/>
      <c r="AH38" s="34"/>
      <c r="AI38" s="34"/>
      <c r="AJ38" s="42"/>
      <c r="AK38" s="37"/>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5"/>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5"/>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5"/>
      <c r="EL38" s="34"/>
      <c r="EM38" s="34"/>
      <c r="EN38" s="34"/>
    </row>
    <row r="39" spans="1:144" x14ac:dyDescent="0.15">
      <c r="A39" s="37"/>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5"/>
      <c r="AH39" s="34"/>
      <c r="AI39" s="34"/>
      <c r="AJ39" s="42"/>
      <c r="AK39" s="37"/>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5"/>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5"/>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5"/>
      <c r="EL39" s="34"/>
      <c r="EM39" s="34"/>
      <c r="EN39" s="34"/>
    </row>
    <row r="40" spans="1:144" x14ac:dyDescent="0.15">
      <c r="A40" s="37"/>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5"/>
      <c r="AH40" s="34"/>
      <c r="AI40" s="34"/>
      <c r="AJ40" s="42"/>
      <c r="AK40" s="37"/>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5"/>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5"/>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5"/>
      <c r="EL40" s="34"/>
      <c r="EM40" s="34"/>
      <c r="EN40" s="34"/>
    </row>
    <row r="41" spans="1:144" x14ac:dyDescent="0.15">
      <c r="A41" s="37"/>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5"/>
      <c r="AH41" s="34"/>
      <c r="AI41" s="34"/>
      <c r="AJ41" s="42"/>
      <c r="AK41" s="37"/>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5"/>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5"/>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5"/>
      <c r="EL41" s="34"/>
      <c r="EM41" s="34"/>
      <c r="EN41" s="34"/>
    </row>
    <row r="42" spans="1:144" x14ac:dyDescent="0.15">
      <c r="A42" s="37"/>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5"/>
      <c r="AH42" s="34"/>
      <c r="AI42" s="34"/>
      <c r="AJ42" s="42"/>
      <c r="AK42" s="37"/>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5"/>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5"/>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5"/>
      <c r="EL42" s="34"/>
      <c r="EM42" s="34"/>
      <c r="EN42" s="34"/>
    </row>
    <row r="43" spans="1:144" x14ac:dyDescent="0.15">
      <c r="A43" s="37"/>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5"/>
      <c r="AH43" s="34"/>
      <c r="AI43" s="34"/>
      <c r="AJ43" s="42"/>
      <c r="AK43" s="37"/>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5"/>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5"/>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5"/>
      <c r="EL43" s="34"/>
      <c r="EM43" s="34"/>
      <c r="EN43" s="34"/>
    </row>
    <row r="44" spans="1:144" x14ac:dyDescent="0.15">
      <c r="A44" s="37"/>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5"/>
      <c r="AH44" s="34"/>
      <c r="AI44" s="34"/>
      <c r="AJ44" s="42"/>
      <c r="AK44" s="37"/>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5"/>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5"/>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5"/>
      <c r="EL44" s="34"/>
      <c r="EM44" s="34"/>
      <c r="EN44" s="34"/>
    </row>
    <row r="45" spans="1:144" x14ac:dyDescent="0.15">
      <c r="A45" s="37"/>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5"/>
      <c r="AH45" s="34"/>
      <c r="AI45" s="34"/>
      <c r="AJ45" s="42"/>
      <c r="AK45" s="37"/>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5"/>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5"/>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5"/>
      <c r="EL45" s="34"/>
      <c r="EM45" s="34"/>
      <c r="EN45" s="34"/>
    </row>
    <row r="46" spans="1:144" x14ac:dyDescent="0.15">
      <c r="A46" s="37"/>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5"/>
      <c r="AH46" s="34"/>
      <c r="AI46" s="34"/>
      <c r="AJ46" s="42"/>
      <c r="AK46" s="37"/>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5"/>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5"/>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5"/>
      <c r="EL46" s="34"/>
      <c r="EM46" s="34"/>
      <c r="EN46" s="34"/>
    </row>
    <row r="47" spans="1:144" x14ac:dyDescent="0.15">
      <c r="A47" s="37"/>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5"/>
      <c r="AH47" s="34"/>
      <c r="AI47" s="34"/>
      <c r="AJ47" s="42"/>
      <c r="AK47" s="37"/>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5"/>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5"/>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5"/>
      <c r="EL47" s="34"/>
      <c r="EM47" s="34"/>
      <c r="EN47" s="34"/>
    </row>
    <row r="48" spans="1:144" x14ac:dyDescent="0.15">
      <c r="A48" s="37"/>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5"/>
      <c r="AH48" s="34"/>
      <c r="AI48" s="34"/>
      <c r="AJ48" s="42"/>
      <c r="AK48" s="37"/>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5"/>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5"/>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5"/>
      <c r="EL48" s="34"/>
      <c r="EM48" s="34"/>
      <c r="EN48" s="34"/>
    </row>
    <row r="49" spans="1:144" x14ac:dyDescent="0.15">
      <c r="A49" s="37"/>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5"/>
      <c r="AH49" s="34"/>
      <c r="AI49" s="34"/>
      <c r="AJ49" s="42"/>
      <c r="AK49" s="37"/>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5"/>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5"/>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5"/>
      <c r="EL49" s="34"/>
      <c r="EM49" s="34"/>
      <c r="EN49" s="34"/>
    </row>
    <row r="50" spans="1:144" x14ac:dyDescent="0.15">
      <c r="A50" s="37"/>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5"/>
      <c r="AH50" s="34"/>
      <c r="AI50" s="34"/>
      <c r="AJ50" s="42"/>
      <c r="AK50" s="37"/>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5"/>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5"/>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5"/>
      <c r="EL50" s="34"/>
      <c r="EM50" s="34"/>
      <c r="EN50" s="34"/>
    </row>
    <row r="51" spans="1:144" x14ac:dyDescent="0.15">
      <c r="A51" s="37"/>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5"/>
      <c r="AH51" s="34"/>
      <c r="AI51" s="34"/>
      <c r="AJ51" s="42"/>
      <c r="AK51" s="37"/>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5"/>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5"/>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5"/>
      <c r="EL51" s="34"/>
      <c r="EM51" s="34"/>
      <c r="EN51" s="34"/>
    </row>
    <row r="52" spans="1:144" x14ac:dyDescent="0.15">
      <c r="A52" s="37"/>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5"/>
      <c r="AH52" s="34"/>
      <c r="AI52" s="34"/>
      <c r="AJ52" s="42"/>
      <c r="AK52" s="37"/>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5"/>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5"/>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5"/>
      <c r="EL52" s="34"/>
      <c r="EM52" s="34"/>
      <c r="EN52" s="34"/>
    </row>
    <row r="53" spans="1:144" x14ac:dyDescent="0.15">
      <c r="A53" s="37"/>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5"/>
      <c r="AH53" s="34"/>
      <c r="AI53" s="34"/>
      <c r="AJ53" s="42"/>
      <c r="AK53" s="37"/>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5"/>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5"/>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5"/>
      <c r="EL53" s="34"/>
      <c r="EM53" s="34"/>
      <c r="EN53" s="34"/>
    </row>
    <row r="54" spans="1:144" x14ac:dyDescent="0.15">
      <c r="A54" s="37"/>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5"/>
      <c r="AH54" s="34"/>
      <c r="AI54" s="34"/>
      <c r="AJ54" s="42"/>
      <c r="AK54" s="37"/>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5"/>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5"/>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5"/>
      <c r="EL54" s="34"/>
      <c r="EM54" s="34"/>
      <c r="EN54" s="34"/>
    </row>
    <row r="55" spans="1:144" x14ac:dyDescent="0.15">
      <c r="A55" s="37"/>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5"/>
      <c r="AH55" s="34"/>
      <c r="AI55" s="34"/>
      <c r="AJ55" s="42"/>
      <c r="AK55" s="37"/>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5"/>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5"/>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5"/>
      <c r="EL55" s="34"/>
      <c r="EM55" s="34"/>
      <c r="EN55" s="34"/>
    </row>
    <row r="56" spans="1:144" x14ac:dyDescent="0.15">
      <c r="A56" s="37"/>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5"/>
      <c r="AH56" s="34"/>
      <c r="AI56" s="34"/>
      <c r="AJ56" s="42"/>
      <c r="AK56" s="37"/>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5"/>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5"/>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5"/>
      <c r="EL56" s="34"/>
      <c r="EM56" s="34"/>
      <c r="EN56" s="34"/>
    </row>
    <row r="57" spans="1:144" x14ac:dyDescent="0.15">
      <c r="A57" s="37"/>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5"/>
      <c r="AH57" s="34"/>
      <c r="AI57" s="34"/>
      <c r="AJ57" s="42"/>
      <c r="AK57" s="37"/>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5"/>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5"/>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5"/>
      <c r="EL57" s="34"/>
      <c r="EM57" s="34"/>
      <c r="EN57" s="34"/>
    </row>
    <row r="58" spans="1:144" x14ac:dyDescent="0.15">
      <c r="A58" s="37"/>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5"/>
      <c r="AH58" s="34"/>
      <c r="AI58" s="34"/>
      <c r="AJ58" s="42"/>
      <c r="AK58" s="37"/>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5"/>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5"/>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5"/>
      <c r="EL58" s="34"/>
      <c r="EM58" s="34"/>
      <c r="EN58" s="34"/>
    </row>
    <row r="59" spans="1:144" x14ac:dyDescent="0.15">
      <c r="A59" s="37"/>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5"/>
      <c r="AH59" s="34"/>
      <c r="AI59" s="34"/>
      <c r="AJ59" s="42"/>
      <c r="AK59" s="37"/>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5"/>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5"/>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5"/>
      <c r="EL59" s="34"/>
      <c r="EM59" s="34"/>
      <c r="EN59" s="34"/>
    </row>
    <row r="60" spans="1:144" x14ac:dyDescent="0.15">
      <c r="A60" s="37"/>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5"/>
      <c r="AH60" s="34"/>
      <c r="AI60" s="34"/>
      <c r="AJ60" s="42"/>
      <c r="AK60" s="37"/>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5"/>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5"/>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5"/>
      <c r="EL60" s="34"/>
      <c r="EM60" s="34"/>
      <c r="EN60" s="34"/>
    </row>
    <row r="61" spans="1:144" x14ac:dyDescent="0.15">
      <c r="A61" s="37"/>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5"/>
      <c r="AH61" s="34"/>
      <c r="AI61" s="34"/>
      <c r="AJ61" s="42"/>
      <c r="AK61" s="37"/>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5"/>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5"/>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5"/>
      <c r="EL61" s="34"/>
      <c r="EM61" s="34"/>
      <c r="EN61" s="34"/>
    </row>
    <row r="62" spans="1:144" ht="14" thickBot="1" x14ac:dyDescent="0.2">
      <c r="A62" s="41"/>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40"/>
      <c r="AH62" s="39"/>
      <c r="AI62" s="39"/>
      <c r="AJ62" s="38"/>
      <c r="AK62" s="37"/>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5"/>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5"/>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5"/>
      <c r="EL62" s="34"/>
      <c r="EM62" s="34"/>
      <c r="EN62" s="34"/>
    </row>
    <row r="63" spans="1:144" ht="14" thickTop="1" x14ac:dyDescent="0.1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M63" s="7"/>
      <c r="AN63" s="7"/>
      <c r="AO63" s="7"/>
      <c r="AP63" s="7"/>
      <c r="AQ63" s="7"/>
      <c r="AR63" s="7"/>
      <c r="AS63" s="7"/>
      <c r="AT63" s="7"/>
      <c r="AU63" s="7"/>
      <c r="BK63" s="7"/>
      <c r="BY63" s="7"/>
      <c r="CL63" s="7"/>
      <c r="CM63" s="7"/>
      <c r="CN63" s="7"/>
      <c r="CO63" s="7"/>
      <c r="CP63" s="7"/>
      <c r="CQ63" s="7"/>
      <c r="CR63" s="7"/>
      <c r="CS63" s="7"/>
      <c r="CT63" s="7"/>
      <c r="CU63" s="7"/>
      <c r="CV63" s="7"/>
      <c r="CW63" s="7"/>
      <c r="CX63" s="7"/>
      <c r="DS63" s="7"/>
      <c r="DT63" s="7"/>
      <c r="DV63" s="7"/>
    </row>
    <row r="64" spans="1:144" x14ac:dyDescent="0.1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M64" s="7"/>
      <c r="AN64" s="7"/>
      <c r="AO64" s="7"/>
      <c r="AP64" s="7"/>
      <c r="AQ64" s="7"/>
      <c r="AR64" s="7"/>
      <c r="AS64" s="7"/>
      <c r="AT64" s="7"/>
      <c r="AU64" s="7"/>
      <c r="BK64" s="7"/>
      <c r="BY64" s="7"/>
      <c r="CL64" s="7"/>
      <c r="CM64" s="7"/>
      <c r="CN64" s="7"/>
      <c r="CO64" s="7"/>
      <c r="CP64" s="7"/>
      <c r="CQ64" s="7"/>
      <c r="CR64" s="7"/>
      <c r="CS64" s="7"/>
      <c r="CT64" s="7"/>
      <c r="CU64" s="7"/>
      <c r="CV64" s="7"/>
      <c r="CW64" s="7"/>
      <c r="CX64" s="7"/>
      <c r="DS64" s="7"/>
      <c r="DT64" s="7"/>
      <c r="DV64" s="7"/>
    </row>
    <row r="65" spans="1:126" x14ac:dyDescent="0.1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M65" s="7"/>
      <c r="AN65" s="7"/>
      <c r="AO65" s="7"/>
      <c r="AP65" s="7"/>
      <c r="AQ65" s="7"/>
      <c r="AR65" s="7"/>
      <c r="AS65" s="7"/>
      <c r="AT65" s="7"/>
      <c r="AU65" s="7"/>
      <c r="BK65" s="7"/>
      <c r="BY65" s="7"/>
      <c r="CL65" s="7"/>
      <c r="CM65" s="7"/>
      <c r="CN65" s="7"/>
      <c r="CO65" s="7"/>
      <c r="CP65" s="7"/>
      <c r="CQ65" s="7"/>
      <c r="CR65" s="7"/>
      <c r="CS65" s="7"/>
      <c r="CT65" s="7"/>
      <c r="CU65" s="7"/>
      <c r="CV65" s="7"/>
      <c r="CW65" s="7"/>
      <c r="CX65" s="7"/>
      <c r="DS65" s="7"/>
      <c r="DT65" s="7"/>
      <c r="DV65" s="7"/>
    </row>
    <row r="66" spans="1:126" x14ac:dyDescent="0.1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M66" s="7"/>
      <c r="AN66" s="7"/>
      <c r="AO66" s="7"/>
      <c r="AP66" s="7"/>
      <c r="AQ66" s="7"/>
      <c r="AR66" s="7"/>
      <c r="AS66" s="7"/>
      <c r="AT66" s="7"/>
      <c r="AU66" s="7"/>
      <c r="BK66" s="7"/>
      <c r="BY66" s="7"/>
      <c r="CL66" s="7"/>
      <c r="CM66" s="7"/>
      <c r="CN66" s="7"/>
      <c r="CO66" s="7"/>
      <c r="CP66" s="7"/>
      <c r="CQ66" s="7"/>
      <c r="CR66" s="7"/>
      <c r="CS66" s="7"/>
      <c r="CT66" s="7"/>
      <c r="CU66" s="7"/>
      <c r="CV66" s="7"/>
      <c r="CW66" s="7"/>
      <c r="CX66" s="7"/>
      <c r="DS66" s="7"/>
      <c r="DT66" s="7"/>
      <c r="DV66" s="7"/>
    </row>
    <row r="67" spans="1:126" x14ac:dyDescent="0.1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M67" s="7"/>
      <c r="AN67" s="7"/>
      <c r="AO67" s="7"/>
      <c r="AP67" s="7"/>
      <c r="AQ67" s="7"/>
      <c r="AR67" s="7"/>
      <c r="AS67" s="7"/>
      <c r="AT67" s="7"/>
      <c r="AU67" s="7"/>
      <c r="BK67" s="7"/>
      <c r="BY67" s="7"/>
      <c r="CL67" s="7"/>
      <c r="CM67" s="7"/>
      <c r="CN67" s="7"/>
      <c r="CO67" s="7"/>
      <c r="CP67" s="7"/>
      <c r="CQ67" s="7"/>
      <c r="CR67" s="7"/>
      <c r="CS67" s="7"/>
      <c r="CT67" s="7"/>
      <c r="CU67" s="7"/>
      <c r="CV67" s="7"/>
      <c r="CW67" s="7"/>
      <c r="CX67" s="7"/>
      <c r="DS67" s="7"/>
      <c r="DT67" s="7"/>
      <c r="DV67" s="7"/>
    </row>
    <row r="68" spans="1:126" x14ac:dyDescent="0.1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M68" s="7"/>
      <c r="AN68" s="7"/>
      <c r="AO68" s="7"/>
      <c r="AP68" s="7"/>
      <c r="AQ68" s="7"/>
      <c r="AR68" s="7"/>
      <c r="AS68" s="7"/>
      <c r="AT68" s="7"/>
      <c r="AU68" s="7"/>
      <c r="BK68" s="7"/>
      <c r="BY68" s="7"/>
      <c r="CL68" s="7"/>
      <c r="CM68" s="7"/>
      <c r="CN68" s="7"/>
      <c r="CO68" s="7"/>
      <c r="CP68" s="7"/>
      <c r="CQ68" s="7"/>
      <c r="CR68" s="7"/>
      <c r="CS68" s="7"/>
      <c r="CT68" s="7"/>
      <c r="CU68" s="7"/>
      <c r="CV68" s="7"/>
      <c r="CW68" s="7"/>
      <c r="CX68" s="7"/>
      <c r="DS68" s="7"/>
      <c r="DT68" s="7"/>
      <c r="DV68" s="7"/>
    </row>
    <row r="69" spans="1:126" x14ac:dyDescent="0.1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M69" s="7"/>
      <c r="AN69" s="7"/>
      <c r="AO69" s="7"/>
      <c r="AP69" s="7"/>
      <c r="AQ69" s="7"/>
      <c r="AR69" s="7"/>
      <c r="AS69" s="7"/>
      <c r="AT69" s="7"/>
      <c r="AU69" s="7"/>
      <c r="BK69" s="7"/>
      <c r="BY69" s="7"/>
      <c r="CL69" s="7"/>
      <c r="CM69" s="7"/>
      <c r="CN69" s="7"/>
      <c r="CO69" s="7"/>
      <c r="CP69" s="7"/>
      <c r="CQ69" s="7"/>
      <c r="CR69" s="7"/>
      <c r="CS69" s="7"/>
      <c r="CT69" s="7"/>
      <c r="CU69" s="7"/>
      <c r="CV69" s="7"/>
      <c r="CW69" s="7"/>
      <c r="CX69" s="7"/>
      <c r="DS69" s="7"/>
      <c r="DT69" s="7"/>
      <c r="DV69" s="7"/>
    </row>
    <row r="70" spans="1:126" x14ac:dyDescent="0.1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M70" s="7"/>
      <c r="AN70" s="7"/>
      <c r="AO70" s="7"/>
      <c r="AP70" s="7"/>
      <c r="AQ70" s="7"/>
      <c r="AR70" s="7"/>
      <c r="AS70" s="7"/>
      <c r="AT70" s="7"/>
      <c r="AU70" s="7"/>
      <c r="BK70" s="7"/>
      <c r="BY70" s="7"/>
      <c r="CL70" s="7"/>
      <c r="CM70" s="7"/>
      <c r="CN70" s="7"/>
      <c r="CO70" s="7"/>
      <c r="CP70" s="7"/>
      <c r="CQ70" s="7"/>
      <c r="CR70" s="7"/>
      <c r="CS70" s="7"/>
      <c r="CT70" s="7"/>
      <c r="CU70" s="7"/>
      <c r="CV70" s="7"/>
      <c r="CW70" s="7"/>
      <c r="CX70" s="7"/>
      <c r="DS70" s="7"/>
      <c r="DT70" s="7"/>
      <c r="DV70" s="7"/>
    </row>
    <row r="71" spans="1:126" x14ac:dyDescent="0.1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M71" s="7"/>
      <c r="AN71" s="7"/>
      <c r="AO71" s="7"/>
      <c r="AP71" s="7"/>
      <c r="AQ71" s="7"/>
      <c r="AR71" s="7"/>
      <c r="AS71" s="7"/>
      <c r="AT71" s="7"/>
      <c r="AU71" s="7"/>
      <c r="BK71" s="7"/>
      <c r="BY71" s="7"/>
      <c r="CL71" s="7"/>
      <c r="CM71" s="7"/>
      <c r="CN71" s="7"/>
      <c r="CO71" s="7"/>
      <c r="CP71" s="7"/>
      <c r="CQ71" s="7"/>
      <c r="CR71" s="7"/>
      <c r="CS71" s="7"/>
      <c r="CT71" s="7"/>
      <c r="CU71" s="7"/>
      <c r="CV71" s="7"/>
      <c r="CW71" s="7"/>
      <c r="CX71" s="7"/>
      <c r="DS71" s="7"/>
      <c r="DT71" s="7"/>
      <c r="DV71" s="7"/>
    </row>
    <row r="72" spans="1:126" x14ac:dyDescent="0.1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M72" s="7"/>
      <c r="AN72" s="7"/>
      <c r="AO72" s="7"/>
      <c r="AP72" s="7"/>
      <c r="AQ72" s="7"/>
      <c r="AR72" s="7"/>
      <c r="AS72" s="7"/>
      <c r="AT72" s="7"/>
      <c r="AU72" s="7"/>
      <c r="BK72" s="7"/>
      <c r="BY72" s="7"/>
      <c r="CL72" s="7"/>
      <c r="CM72" s="7"/>
      <c r="CN72" s="7"/>
      <c r="CO72" s="7"/>
      <c r="CP72" s="7"/>
      <c r="CQ72" s="7"/>
      <c r="CR72" s="7"/>
      <c r="CS72" s="7"/>
      <c r="CT72" s="7"/>
      <c r="CU72" s="7"/>
      <c r="CV72" s="7"/>
      <c r="CW72" s="7"/>
      <c r="CX72" s="7"/>
      <c r="DS72" s="7"/>
      <c r="DT72" s="7"/>
      <c r="DV72" s="7"/>
    </row>
    <row r="73" spans="1:126" x14ac:dyDescent="0.1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M73" s="7"/>
      <c r="AN73" s="7"/>
      <c r="AO73" s="7"/>
      <c r="AP73" s="7"/>
      <c r="AQ73" s="7"/>
      <c r="AR73" s="7"/>
      <c r="AS73" s="7"/>
      <c r="AT73" s="7"/>
      <c r="AU73" s="7"/>
      <c r="BK73" s="7"/>
      <c r="BY73" s="7"/>
      <c r="CL73" s="7"/>
      <c r="CM73" s="7"/>
      <c r="CN73" s="7"/>
      <c r="CO73" s="7"/>
      <c r="CP73" s="7"/>
      <c r="CQ73" s="7"/>
      <c r="CR73" s="7"/>
      <c r="CS73" s="7"/>
      <c r="CT73" s="7"/>
      <c r="CU73" s="7"/>
      <c r="CV73" s="7"/>
      <c r="CW73" s="7"/>
      <c r="CX73" s="7"/>
      <c r="DS73" s="7"/>
      <c r="DT73" s="7"/>
      <c r="DV73" s="7"/>
    </row>
    <row r="74" spans="1:126" x14ac:dyDescent="0.1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row>
    <row r="75" spans="1:126" x14ac:dyDescent="0.1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row>
    <row r="76" spans="1:126" x14ac:dyDescent="0.1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row>
    <row r="77" spans="1:126" x14ac:dyDescent="0.1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row>
    <row r="78" spans="1:126" x14ac:dyDescent="0.1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row>
    <row r="79" spans="1:126" x14ac:dyDescent="0.1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5"/>
      <c r="AH79" s="34"/>
      <c r="AI79" s="34"/>
      <c r="AJ79" s="34"/>
    </row>
    <row r="80" spans="1:126" x14ac:dyDescent="0.1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5"/>
      <c r="AH80" s="34"/>
      <c r="AI80" s="34"/>
      <c r="AJ80" s="34"/>
    </row>
    <row r="81" spans="1:60" s="7" customFormat="1" ht="16"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5"/>
      <c r="AH81" s="34"/>
      <c r="AI81" s="34"/>
      <c r="AJ81" s="34"/>
      <c r="AM81" s="8"/>
      <c r="AN81" s="8"/>
      <c r="AO81" s="31"/>
      <c r="BF81" s="21" t="s">
        <v>229</v>
      </c>
      <c r="BG81" s="19"/>
      <c r="BH81" s="19"/>
    </row>
    <row r="82" spans="1:60" s="7" customFormat="1" ht="16"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5"/>
      <c r="AH82" s="34"/>
      <c r="AI82" s="34"/>
      <c r="AJ82" s="34"/>
      <c r="AM82" s="8"/>
      <c r="AN82" s="8"/>
      <c r="AO82" s="31"/>
      <c r="BF82" s="19" t="s">
        <v>9</v>
      </c>
      <c r="BG82" s="19" t="s">
        <v>239</v>
      </c>
      <c r="BH82" s="19" t="s">
        <v>259</v>
      </c>
    </row>
    <row r="83" spans="1:60" s="7" customFormat="1" ht="16"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5"/>
      <c r="AH83" s="34"/>
      <c r="AI83" s="34"/>
      <c r="AJ83" s="34"/>
      <c r="AM83" s="8"/>
      <c r="AN83" s="8"/>
      <c r="AO83" s="31"/>
      <c r="BF83" s="19" t="s">
        <v>231</v>
      </c>
      <c r="BG83" s="19" t="s">
        <v>240</v>
      </c>
      <c r="BH83" s="19" t="s">
        <v>260</v>
      </c>
    </row>
    <row r="84" spans="1:60" s="7" customFormat="1" ht="16"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5"/>
      <c r="AH84" s="34"/>
      <c r="AI84" s="34"/>
      <c r="AJ84" s="34"/>
      <c r="AM84" s="8"/>
      <c r="AN84" s="8"/>
      <c r="AO84" s="31"/>
      <c r="BF84" s="19" t="s">
        <v>12</v>
      </c>
      <c r="BG84" s="19" t="s">
        <v>241</v>
      </c>
      <c r="BH84" s="19" t="s">
        <v>261</v>
      </c>
    </row>
    <row r="85" spans="1:60" s="7" customFormat="1" ht="16"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5"/>
      <c r="AH85" s="34"/>
      <c r="AI85" s="34"/>
      <c r="AJ85" s="34"/>
      <c r="AM85" s="8"/>
      <c r="AN85" s="8"/>
      <c r="AO85" s="31"/>
      <c r="BF85" s="19" t="s">
        <v>232</v>
      </c>
      <c r="BG85" s="19" t="s">
        <v>242</v>
      </c>
      <c r="BH85" s="19" t="s">
        <v>262</v>
      </c>
    </row>
    <row r="86" spans="1:60" s="7" customFormat="1" ht="16"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5"/>
      <c r="AH86" s="34"/>
      <c r="AI86" s="34"/>
      <c r="AJ86" s="34"/>
      <c r="AM86" s="8"/>
      <c r="AN86" s="8"/>
      <c r="AO86" s="31"/>
      <c r="BF86" s="19" t="s">
        <v>233</v>
      </c>
      <c r="BG86" s="19" t="s">
        <v>243</v>
      </c>
      <c r="BH86" s="19" t="s">
        <v>264</v>
      </c>
    </row>
    <row r="87" spans="1:60" s="7" customFormat="1" ht="16"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5"/>
      <c r="AH87" s="34"/>
      <c r="AI87" s="34"/>
      <c r="AJ87" s="34"/>
      <c r="AM87" s="8"/>
      <c r="AN87" s="8"/>
      <c r="AO87" s="31"/>
      <c r="BF87" s="19" t="s">
        <v>13</v>
      </c>
      <c r="BG87" s="19" t="s">
        <v>244</v>
      </c>
      <c r="BH87" s="19" t="s">
        <v>263</v>
      </c>
    </row>
    <row r="88" spans="1:60" s="7" customFormat="1" ht="16"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5"/>
      <c r="AH88" s="34"/>
      <c r="AI88" s="34"/>
      <c r="AJ88" s="34"/>
      <c r="AM88" s="8"/>
      <c r="AN88" s="8"/>
      <c r="AO88" s="31"/>
      <c r="BF88" s="19" t="s">
        <v>234</v>
      </c>
      <c r="BG88" s="19" t="s">
        <v>245</v>
      </c>
      <c r="BH88" s="19" t="s">
        <v>265</v>
      </c>
    </row>
    <row r="89" spans="1:60" s="7" customFormat="1" ht="16"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5"/>
      <c r="AH89" s="34"/>
      <c r="AI89" s="34"/>
      <c r="AJ89" s="34"/>
      <c r="AM89" s="8"/>
      <c r="AN89" s="8"/>
      <c r="AO89" s="31"/>
      <c r="BF89" s="19" t="s">
        <v>235</v>
      </c>
      <c r="BG89" s="19" t="s">
        <v>246</v>
      </c>
      <c r="BH89" s="19" t="s">
        <v>266</v>
      </c>
    </row>
    <row r="90" spans="1:60" s="7" customFormat="1" ht="16"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5"/>
      <c r="AH90" s="34"/>
      <c r="AI90" s="34"/>
      <c r="AJ90" s="34"/>
      <c r="AM90" s="8"/>
      <c r="AN90" s="8"/>
      <c r="AO90" s="31"/>
      <c r="BF90" s="19" t="s">
        <v>17</v>
      </c>
      <c r="BG90" s="19" t="s">
        <v>258</v>
      </c>
      <c r="BH90" s="19" t="s">
        <v>312</v>
      </c>
    </row>
    <row r="91" spans="1:60" s="7" customFormat="1" ht="16"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5"/>
      <c r="AH91" s="34"/>
      <c r="AI91" s="34"/>
      <c r="AJ91" s="34"/>
      <c r="AM91" s="8"/>
      <c r="AN91" s="8"/>
      <c r="AO91" s="31"/>
      <c r="BF91" s="19" t="s">
        <v>236</v>
      </c>
      <c r="BG91" s="19"/>
      <c r="BH91" s="19"/>
    </row>
    <row r="92" spans="1:60" s="7" customFormat="1" ht="16"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5"/>
      <c r="AH92" s="34"/>
      <c r="AI92" s="34"/>
      <c r="AJ92" s="34"/>
      <c r="AM92" s="8"/>
      <c r="AN92" s="8"/>
      <c r="AO92" s="31"/>
      <c r="BF92" s="19" t="s">
        <v>237</v>
      </c>
      <c r="BG92" s="19"/>
      <c r="BH92" s="19"/>
    </row>
    <row r="93" spans="1:60" s="7" customFormat="1" ht="16"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5"/>
      <c r="AH93" s="34"/>
      <c r="AI93" s="34"/>
      <c r="AJ93" s="34"/>
      <c r="AM93" s="8"/>
      <c r="AN93" s="8"/>
      <c r="AO93" s="31"/>
      <c r="BF93" s="19" t="s">
        <v>238</v>
      </c>
      <c r="BG93" s="19"/>
      <c r="BH93" s="19"/>
    </row>
    <row r="94" spans="1:60" s="7" customFormat="1" ht="16"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5"/>
      <c r="AH94" s="34"/>
      <c r="AI94" s="34"/>
      <c r="AJ94" s="34"/>
      <c r="AM94" s="8"/>
      <c r="AN94" s="8"/>
      <c r="AO94" s="31"/>
      <c r="BF94" s="19"/>
      <c r="BG94" s="19"/>
      <c r="BH94" s="19"/>
    </row>
    <row r="95" spans="1:60" s="7" customFormat="1" x14ac:dyDescent="0.1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5"/>
      <c r="AH95" s="34"/>
      <c r="AI95" s="34"/>
      <c r="AJ95" s="34"/>
      <c r="AM95" s="8"/>
      <c r="AN95" s="8"/>
      <c r="AO95" s="31"/>
    </row>
    <row r="96" spans="1:60" s="7" customFormat="1" x14ac:dyDescent="0.1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5"/>
      <c r="AH96" s="34"/>
      <c r="AI96" s="34"/>
      <c r="AJ96" s="34"/>
      <c r="AM96" s="8"/>
      <c r="AN96" s="8"/>
      <c r="AO96" s="31"/>
    </row>
    <row r="97" spans="1:41" s="7" customFormat="1" x14ac:dyDescent="0.1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5"/>
      <c r="AH97" s="34"/>
      <c r="AI97" s="34"/>
      <c r="AJ97" s="34"/>
      <c r="AM97" s="8"/>
      <c r="AN97" s="8"/>
      <c r="AO97" s="31"/>
    </row>
    <row r="98" spans="1:41" s="7" customFormat="1" x14ac:dyDescent="0.15">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5"/>
      <c r="AH98" s="34"/>
      <c r="AI98" s="34"/>
      <c r="AJ98" s="34"/>
      <c r="AM98" s="8"/>
      <c r="AN98" s="8"/>
      <c r="AO98" s="31"/>
    </row>
    <row r="99" spans="1:41" s="7" customFormat="1" x14ac:dyDescent="0.15">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5"/>
      <c r="AH99" s="34"/>
      <c r="AI99" s="34"/>
      <c r="AJ99" s="34"/>
      <c r="AM99" s="8"/>
      <c r="AN99" s="8"/>
      <c r="AO99" s="31"/>
    </row>
    <row r="100" spans="1:41" s="7" customFormat="1" x14ac:dyDescent="0.15">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5"/>
      <c r="AH100" s="34"/>
      <c r="AI100" s="34"/>
      <c r="AJ100" s="34"/>
      <c r="AM100" s="8"/>
      <c r="AN100" s="8"/>
      <c r="AO100" s="31"/>
    </row>
    <row r="101" spans="1:41" s="7" customFormat="1" x14ac:dyDescent="0.15">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5"/>
      <c r="AH101" s="34"/>
      <c r="AI101" s="34"/>
      <c r="AJ101" s="34"/>
      <c r="AM101" s="8"/>
      <c r="AN101" s="8"/>
      <c r="AO101" s="31"/>
    </row>
    <row r="102" spans="1:41" s="7" customFormat="1" x14ac:dyDescent="0.15">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5"/>
      <c r="AH102" s="34"/>
      <c r="AI102" s="34"/>
      <c r="AJ102" s="34"/>
      <c r="AM102" s="8"/>
      <c r="AN102" s="8"/>
      <c r="AO102" s="31"/>
    </row>
    <row r="103" spans="1:41" s="7" customFormat="1" x14ac:dyDescent="0.15">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5"/>
      <c r="AH103" s="34"/>
      <c r="AI103" s="34"/>
      <c r="AJ103" s="34"/>
      <c r="AM103" s="8"/>
      <c r="AN103" s="8"/>
      <c r="AO103" s="31"/>
    </row>
    <row r="104" spans="1:41" s="7" customFormat="1" x14ac:dyDescent="0.15">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5"/>
      <c r="AH104" s="34"/>
      <c r="AI104" s="34"/>
      <c r="AJ104" s="34"/>
      <c r="AM104" s="8"/>
      <c r="AN104" s="8"/>
      <c r="AO104" s="31"/>
    </row>
    <row r="105" spans="1:41" s="7" customFormat="1" x14ac:dyDescent="0.15">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5"/>
      <c r="AH105" s="34"/>
      <c r="AI105" s="34"/>
      <c r="AJ105" s="34"/>
      <c r="AM105" s="8"/>
      <c r="AN105" s="8"/>
      <c r="AO105" s="31"/>
    </row>
    <row r="106" spans="1:41" s="7" customFormat="1" x14ac:dyDescent="0.15">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5"/>
      <c r="AH106" s="34"/>
      <c r="AI106" s="34"/>
      <c r="AJ106" s="34"/>
      <c r="AM106" s="8"/>
      <c r="AN106" s="8"/>
      <c r="AO106" s="31"/>
    </row>
    <row r="107" spans="1:41" s="7" customFormat="1" x14ac:dyDescent="0.15">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5"/>
      <c r="AH107" s="34"/>
      <c r="AI107" s="34"/>
      <c r="AJ107" s="34"/>
      <c r="AM107" s="8"/>
      <c r="AN107" s="8"/>
      <c r="AO107" s="31"/>
    </row>
    <row r="108" spans="1:41" s="7" customFormat="1" x14ac:dyDescent="0.1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5"/>
      <c r="AH108" s="34"/>
      <c r="AI108" s="34"/>
      <c r="AJ108" s="34"/>
      <c r="AM108" s="8"/>
      <c r="AN108" s="8"/>
      <c r="AO108" s="31"/>
    </row>
    <row r="109" spans="1:41" s="7" customFormat="1" x14ac:dyDescent="0.1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5"/>
      <c r="AH109" s="34"/>
      <c r="AI109" s="34"/>
      <c r="AJ109" s="34"/>
      <c r="AM109" s="8"/>
      <c r="AN109" s="8"/>
      <c r="AO109" s="31"/>
    </row>
    <row r="110" spans="1:41" s="7" customFormat="1" x14ac:dyDescent="0.1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5"/>
      <c r="AH110" s="34"/>
      <c r="AI110" s="34"/>
      <c r="AJ110" s="34"/>
      <c r="AM110" s="8"/>
      <c r="AN110" s="8"/>
      <c r="AO110" s="31"/>
    </row>
    <row r="111" spans="1:41" s="7" customFormat="1" x14ac:dyDescent="0.1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5"/>
      <c r="AH111" s="34"/>
      <c r="AI111" s="34"/>
      <c r="AJ111" s="34"/>
      <c r="AM111" s="8"/>
      <c r="AN111" s="8"/>
      <c r="AO111" s="31"/>
    </row>
    <row r="112" spans="1:41" s="7" customFormat="1" x14ac:dyDescent="0.1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5"/>
      <c r="AH112" s="34"/>
      <c r="AI112" s="34"/>
      <c r="AJ112" s="34"/>
      <c r="AM112" s="8"/>
      <c r="AN112" s="8"/>
      <c r="AO112" s="31"/>
    </row>
    <row r="113" spans="1:41" s="7" customFormat="1" x14ac:dyDescent="0.1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5"/>
      <c r="AH113" s="34"/>
      <c r="AI113" s="34"/>
      <c r="AJ113" s="34"/>
      <c r="AM113" s="8"/>
      <c r="AN113" s="8"/>
      <c r="AO113" s="31"/>
    </row>
    <row r="114" spans="1:41" s="7" customFormat="1" x14ac:dyDescent="0.1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5"/>
      <c r="AH114" s="34"/>
      <c r="AI114" s="34"/>
      <c r="AJ114" s="34"/>
      <c r="AM114" s="8"/>
      <c r="AN114" s="8"/>
      <c r="AO114" s="31"/>
    </row>
    <row r="115" spans="1:41" s="7" customFormat="1" x14ac:dyDescent="0.15">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5"/>
      <c r="AH115" s="34"/>
      <c r="AI115" s="34"/>
      <c r="AJ115" s="34"/>
      <c r="AM115" s="8"/>
      <c r="AN115" s="8"/>
      <c r="AO115" s="31"/>
    </row>
    <row r="116" spans="1:41" s="7" customFormat="1" x14ac:dyDescent="0.15">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5"/>
      <c r="AH116" s="34"/>
      <c r="AI116" s="34"/>
      <c r="AJ116" s="34"/>
      <c r="AM116" s="8"/>
      <c r="AN116" s="8"/>
      <c r="AO116" s="31"/>
    </row>
    <row r="117" spans="1:41" s="7" customFormat="1" x14ac:dyDescent="0.15">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5"/>
      <c r="AH117" s="34"/>
      <c r="AI117" s="34"/>
      <c r="AJ117" s="34"/>
      <c r="AM117" s="8"/>
      <c r="AN117" s="8"/>
      <c r="AO117" s="31"/>
    </row>
    <row r="118" spans="1:41" s="7" customFormat="1" x14ac:dyDescent="0.1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5"/>
      <c r="AH118" s="34"/>
      <c r="AI118" s="34"/>
      <c r="AJ118" s="34"/>
      <c r="AM118" s="8"/>
      <c r="AN118" s="8"/>
      <c r="AO118" s="31"/>
    </row>
    <row r="119" spans="1:41" s="7" customFormat="1" x14ac:dyDescent="0.15">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5"/>
      <c r="AH119" s="34"/>
      <c r="AI119" s="34"/>
      <c r="AJ119" s="34"/>
      <c r="AM119" s="8"/>
      <c r="AN119" s="8"/>
      <c r="AO119" s="31"/>
    </row>
    <row r="120" spans="1:41" s="7" customFormat="1" x14ac:dyDescent="0.15">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5"/>
      <c r="AH120" s="34"/>
      <c r="AI120" s="34"/>
      <c r="AJ120" s="34"/>
      <c r="AM120" s="8"/>
      <c r="AN120" s="8"/>
      <c r="AO120" s="31"/>
    </row>
    <row r="121" spans="1:41" s="7" customFormat="1" x14ac:dyDescent="0.15">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5"/>
      <c r="AH121" s="34"/>
      <c r="AI121" s="34"/>
      <c r="AJ121" s="34"/>
      <c r="AM121" s="8"/>
      <c r="AN121" s="8"/>
      <c r="AO121" s="31"/>
    </row>
    <row r="122" spans="1:41" s="7" customFormat="1" x14ac:dyDescent="0.15">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5"/>
      <c r="AH122" s="34"/>
      <c r="AI122" s="34"/>
      <c r="AJ122" s="34"/>
      <c r="AM122" s="8"/>
      <c r="AN122" s="8"/>
      <c r="AO122" s="31"/>
    </row>
    <row r="123" spans="1:41" s="7" customFormat="1" x14ac:dyDescent="0.15">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5"/>
      <c r="AH123" s="34"/>
      <c r="AI123" s="34"/>
      <c r="AJ123" s="34"/>
      <c r="AM123" s="8"/>
      <c r="AN123" s="8"/>
      <c r="AO123" s="31"/>
    </row>
    <row r="124" spans="1:41" s="7" customFormat="1" x14ac:dyDescent="0.15">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5"/>
      <c r="AH124" s="34"/>
      <c r="AI124" s="34"/>
      <c r="AJ124" s="34"/>
      <c r="AM124" s="8"/>
      <c r="AN124" s="8"/>
      <c r="AO124" s="31"/>
    </row>
    <row r="125" spans="1:41" s="7" customFormat="1" x14ac:dyDescent="0.15">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M125" s="8"/>
      <c r="AN125" s="8"/>
      <c r="AO125" s="31"/>
    </row>
    <row r="126" spans="1:41" s="7" customFormat="1" x14ac:dyDescent="0.15">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M126" s="8"/>
      <c r="AN126" s="8"/>
      <c r="AO126" s="31"/>
    </row>
    <row r="127" spans="1:41" s="7" customFormat="1" x14ac:dyDescent="0.1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M127" s="8"/>
      <c r="AN127" s="8"/>
      <c r="AO127" s="31"/>
    </row>
    <row r="128" spans="1:41" s="7" customFormat="1" x14ac:dyDescent="0.15">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M128" s="8"/>
      <c r="AN128" s="8"/>
      <c r="AO128" s="31"/>
    </row>
    <row r="129" spans="1:41" s="7" customFormat="1" x14ac:dyDescent="0.15">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M129" s="8"/>
      <c r="AN129" s="8"/>
      <c r="AO129" s="31"/>
    </row>
    <row r="130" spans="1:41" s="7" customFormat="1" x14ac:dyDescent="0.15">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M130" s="8"/>
      <c r="AN130" s="8"/>
      <c r="AO130" s="31"/>
    </row>
    <row r="131" spans="1:41" s="7" customFormat="1" x14ac:dyDescent="0.15">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M131" s="8"/>
      <c r="AN131" s="8"/>
      <c r="AO131" s="31"/>
    </row>
    <row r="132" spans="1:41" s="7" customFormat="1" x14ac:dyDescent="0.15">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M132" s="8"/>
      <c r="AN132" s="8"/>
      <c r="AO132" s="31"/>
    </row>
    <row r="133" spans="1:41" s="7" customFormat="1" x14ac:dyDescent="0.15">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M133" s="8"/>
      <c r="AN133" s="8"/>
      <c r="AO133" s="31"/>
    </row>
    <row r="134" spans="1:41" s="7" customFormat="1" x14ac:dyDescent="0.15">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M134" s="8"/>
      <c r="AN134" s="8"/>
      <c r="AO134" s="31"/>
    </row>
    <row r="135" spans="1:41" s="7" customFormat="1" x14ac:dyDescent="0.15">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M135" s="8"/>
      <c r="AN135" s="8"/>
      <c r="AO135" s="31"/>
    </row>
    <row r="136" spans="1:41" s="7" customFormat="1" x14ac:dyDescent="0.15">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M136" s="8"/>
      <c r="AN136" s="8"/>
      <c r="AO136" s="31"/>
    </row>
    <row r="137" spans="1:41" s="7" customFormat="1" x14ac:dyDescent="0.15">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M137" s="8"/>
      <c r="AN137" s="8"/>
      <c r="AO137" s="31"/>
    </row>
    <row r="138" spans="1:41" s="7" customFormat="1" x14ac:dyDescent="0.15">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M138" s="8"/>
      <c r="AN138" s="8"/>
      <c r="AO138" s="31"/>
    </row>
    <row r="139" spans="1:41" s="7" customFormat="1" x14ac:dyDescent="0.15">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M139" s="8"/>
      <c r="AN139" s="8"/>
      <c r="AO139" s="31"/>
    </row>
    <row r="140" spans="1:41" s="7" customFormat="1" x14ac:dyDescent="0.15">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M140" s="8"/>
      <c r="AN140" s="8"/>
      <c r="AO140" s="31"/>
    </row>
    <row r="141" spans="1:41" s="7" customFormat="1" x14ac:dyDescent="0.15">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5"/>
      <c r="AH141" s="34"/>
      <c r="AI141" s="34"/>
      <c r="AJ141" s="34"/>
      <c r="AM141" s="8"/>
      <c r="AN141" s="8"/>
      <c r="AO141" s="31"/>
    </row>
    <row r="142" spans="1:41" s="7" customFormat="1" x14ac:dyDescent="0.15">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5"/>
      <c r="AH142" s="34"/>
      <c r="AI142" s="34"/>
      <c r="AJ142" s="34"/>
      <c r="AM142" s="8"/>
      <c r="AN142" s="8"/>
      <c r="AO142" s="31"/>
    </row>
    <row r="143" spans="1:41" s="7" customFormat="1" x14ac:dyDescent="0.15">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5"/>
      <c r="AH143" s="34"/>
      <c r="AI143" s="34"/>
      <c r="AJ143" s="34"/>
      <c r="AM143" s="8"/>
      <c r="AN143" s="8"/>
      <c r="AO143" s="31"/>
    </row>
    <row r="144" spans="1:41" s="7" customFormat="1" x14ac:dyDescent="0.15">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5"/>
      <c r="AH144" s="34"/>
      <c r="AI144" s="34"/>
      <c r="AJ144" s="34"/>
      <c r="AM144" s="8"/>
      <c r="AN144" s="8"/>
      <c r="AO144" s="31"/>
    </row>
    <row r="145" spans="1:41" s="7" customFormat="1" x14ac:dyDescent="0.15">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5"/>
      <c r="AH145" s="34"/>
      <c r="AI145" s="34"/>
      <c r="AJ145" s="34"/>
      <c r="AM145" s="8"/>
      <c r="AN145" s="8"/>
      <c r="AO145" s="31"/>
    </row>
    <row r="146" spans="1:41" s="7" customFormat="1" x14ac:dyDescent="0.1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5"/>
      <c r="AH146" s="34"/>
      <c r="AI146" s="34"/>
      <c r="AJ146" s="34"/>
      <c r="AM146" s="8"/>
      <c r="AN146" s="8"/>
      <c r="AO146" s="31"/>
    </row>
    <row r="147" spans="1:41" s="7" customFormat="1" x14ac:dyDescent="0.15">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5"/>
      <c r="AH147" s="34"/>
      <c r="AI147" s="34"/>
      <c r="AJ147" s="34"/>
      <c r="AM147" s="8"/>
      <c r="AN147" s="8"/>
      <c r="AO147" s="31"/>
    </row>
    <row r="148" spans="1:41" s="7" customFormat="1" x14ac:dyDescent="0.15">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5"/>
      <c r="AH148" s="34"/>
      <c r="AI148" s="34"/>
      <c r="AJ148" s="34"/>
      <c r="AM148" s="8"/>
      <c r="AN148" s="8"/>
      <c r="AO148" s="31"/>
    </row>
    <row r="149" spans="1:41" s="7" customFormat="1" x14ac:dyDescent="0.15">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5"/>
      <c r="AH149" s="34"/>
      <c r="AI149" s="34"/>
      <c r="AJ149" s="34"/>
      <c r="AM149" s="8"/>
      <c r="AN149" s="8"/>
      <c r="AO149" s="31"/>
    </row>
    <row r="150" spans="1:41" s="7" customFormat="1" x14ac:dyDescent="0.15">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5"/>
      <c r="AH150" s="34"/>
      <c r="AI150" s="34"/>
      <c r="AJ150" s="34"/>
      <c r="AM150" s="8"/>
      <c r="AN150" s="8"/>
      <c r="AO150" s="31"/>
    </row>
    <row r="151" spans="1:41" s="7" customFormat="1" x14ac:dyDescent="0.15">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5"/>
      <c r="AH151" s="34"/>
      <c r="AI151" s="34"/>
      <c r="AJ151" s="34"/>
      <c r="AM151" s="8"/>
      <c r="AN151" s="8"/>
      <c r="AO151" s="31"/>
    </row>
    <row r="152" spans="1:41" s="7" customFormat="1" x14ac:dyDescent="0.15">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5"/>
      <c r="AH152" s="34"/>
      <c r="AI152" s="34"/>
      <c r="AJ152" s="34"/>
      <c r="AM152" s="8"/>
      <c r="AN152" s="8"/>
      <c r="AO152" s="31"/>
    </row>
    <row r="153" spans="1:41" s="7" customFormat="1" x14ac:dyDescent="0.15">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5"/>
      <c r="AH153" s="34"/>
      <c r="AI153" s="34"/>
      <c r="AJ153" s="34"/>
      <c r="AM153" s="8"/>
      <c r="AN153" s="8"/>
      <c r="AO153" s="31"/>
    </row>
    <row r="154" spans="1:41" s="7" customFormat="1" x14ac:dyDescent="0.15">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5"/>
      <c r="AH154" s="34"/>
      <c r="AI154" s="34"/>
      <c r="AJ154" s="34"/>
      <c r="AM154" s="8"/>
      <c r="AN154" s="8"/>
      <c r="AO154" s="31"/>
    </row>
    <row r="155" spans="1:41" s="7" customFormat="1" x14ac:dyDescent="0.1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5"/>
      <c r="AH155" s="34"/>
      <c r="AI155" s="34"/>
      <c r="AJ155" s="34"/>
      <c r="AM155" s="8"/>
      <c r="AN155" s="8"/>
      <c r="AO155" s="31"/>
    </row>
    <row r="156" spans="1:41" s="7" customFormat="1" x14ac:dyDescent="0.15">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5"/>
      <c r="AH156" s="34"/>
      <c r="AI156" s="34"/>
      <c r="AJ156" s="34"/>
      <c r="AM156" s="8"/>
      <c r="AN156" s="8"/>
      <c r="AO156" s="31"/>
    </row>
    <row r="157" spans="1:41" s="7" customFormat="1" x14ac:dyDescent="0.15">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5"/>
      <c r="AH157" s="34"/>
      <c r="AI157" s="34"/>
      <c r="AJ157" s="34"/>
      <c r="AM157" s="8"/>
      <c r="AN157" s="8"/>
      <c r="AO157" s="31"/>
    </row>
    <row r="158" spans="1:41" s="7" customFormat="1" x14ac:dyDescent="0.15">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5"/>
      <c r="AH158" s="34"/>
      <c r="AI158" s="34"/>
      <c r="AJ158" s="34"/>
      <c r="AM158" s="8"/>
      <c r="AN158" s="8"/>
      <c r="AO158" s="31"/>
    </row>
    <row r="159" spans="1:41" s="7" customFormat="1" x14ac:dyDescent="0.15">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5"/>
      <c r="AH159" s="34"/>
      <c r="AI159" s="34"/>
      <c r="AJ159" s="34"/>
      <c r="AM159" s="8"/>
      <c r="AN159" s="8"/>
      <c r="AO159" s="31"/>
    </row>
    <row r="160" spans="1:41" s="7" customFormat="1" x14ac:dyDescent="0.15">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5"/>
      <c r="AH160" s="34"/>
      <c r="AI160" s="34"/>
      <c r="AJ160" s="34"/>
      <c r="AM160" s="8"/>
      <c r="AN160" s="8"/>
      <c r="AO160" s="31"/>
    </row>
    <row r="161" spans="1:41" s="7" customFormat="1" x14ac:dyDescent="0.15">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5"/>
      <c r="AH161" s="34"/>
      <c r="AI161" s="34"/>
      <c r="AJ161" s="34"/>
      <c r="AM161" s="8"/>
      <c r="AN161" s="8"/>
      <c r="AO161" s="31"/>
    </row>
    <row r="162" spans="1:41" s="7" customFormat="1" x14ac:dyDescent="0.15">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5"/>
      <c r="AH162" s="34"/>
      <c r="AI162" s="34"/>
      <c r="AJ162" s="34"/>
      <c r="AM162" s="8"/>
      <c r="AN162" s="8"/>
      <c r="AO162" s="31"/>
    </row>
    <row r="163" spans="1:41" s="7" customFormat="1" x14ac:dyDescent="0.15">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5"/>
      <c r="AH163" s="34"/>
      <c r="AI163" s="34"/>
      <c r="AJ163" s="34"/>
      <c r="AM163" s="8"/>
      <c r="AN163" s="8"/>
      <c r="AO163" s="31"/>
    </row>
    <row r="164" spans="1:41" s="7" customFormat="1" x14ac:dyDescent="0.15">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5"/>
      <c r="AH164" s="34"/>
      <c r="AI164" s="34"/>
      <c r="AJ164" s="34"/>
      <c r="AM164" s="8"/>
      <c r="AN164" s="8"/>
      <c r="AO164" s="31"/>
    </row>
    <row r="165" spans="1:41" s="7" customFormat="1" x14ac:dyDescent="0.15">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5"/>
      <c r="AH165" s="34"/>
      <c r="AI165" s="34"/>
      <c r="AJ165" s="34"/>
      <c r="AM165" s="8"/>
      <c r="AN165" s="8"/>
      <c r="AO165" s="31"/>
    </row>
    <row r="166" spans="1:41" s="7" customFormat="1" x14ac:dyDescent="0.15">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5"/>
      <c r="AH166" s="34"/>
      <c r="AI166" s="34"/>
      <c r="AJ166" s="34"/>
      <c r="AM166" s="8"/>
      <c r="AN166" s="8"/>
      <c r="AO166" s="31"/>
    </row>
    <row r="167" spans="1:41" s="7" customFormat="1" x14ac:dyDescent="0.15">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5"/>
      <c r="AH167" s="34"/>
      <c r="AI167" s="34"/>
      <c r="AJ167" s="34"/>
      <c r="AM167" s="8"/>
      <c r="AN167" s="8"/>
      <c r="AO167" s="31"/>
    </row>
    <row r="168" spans="1:41" s="7" customFormat="1" x14ac:dyDescent="0.15">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5"/>
      <c r="AH168" s="34"/>
      <c r="AI168" s="34"/>
      <c r="AJ168" s="34"/>
      <c r="AM168" s="8"/>
      <c r="AN168" s="8"/>
      <c r="AO168" s="31"/>
    </row>
    <row r="169" spans="1:41" s="7" customFormat="1" x14ac:dyDescent="0.15">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5"/>
      <c r="AH169" s="34"/>
      <c r="AI169" s="34"/>
      <c r="AJ169" s="34"/>
      <c r="AM169" s="8"/>
      <c r="AN169" s="8"/>
      <c r="AO169" s="31"/>
    </row>
    <row r="170" spans="1:41" s="7" customFormat="1" x14ac:dyDescent="0.15">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5"/>
      <c r="AH170" s="34"/>
      <c r="AI170" s="34"/>
      <c r="AJ170" s="34"/>
      <c r="AM170" s="8"/>
      <c r="AN170" s="8"/>
      <c r="AO170" s="31"/>
    </row>
    <row r="171" spans="1:41" s="7" customFormat="1" x14ac:dyDescent="0.15">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5"/>
      <c r="AH171" s="34"/>
      <c r="AI171" s="34"/>
      <c r="AJ171" s="34"/>
      <c r="AM171" s="8"/>
      <c r="AN171" s="8"/>
      <c r="AO171" s="31"/>
    </row>
    <row r="172" spans="1:41" s="7" customFormat="1" x14ac:dyDescent="0.15">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5"/>
      <c r="AH172" s="34"/>
      <c r="AI172" s="34"/>
      <c r="AJ172" s="34"/>
      <c r="AM172" s="8"/>
      <c r="AN172" s="8"/>
      <c r="AO172" s="31"/>
    </row>
    <row r="173" spans="1:41" s="7" customFormat="1" x14ac:dyDescent="0.15">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5"/>
      <c r="AH173" s="34"/>
      <c r="AI173" s="34"/>
      <c r="AJ173" s="34"/>
      <c r="AM173" s="8"/>
      <c r="AN173" s="8"/>
      <c r="AO173" s="31"/>
    </row>
    <row r="174" spans="1:41" s="7" customFormat="1" x14ac:dyDescent="0.15">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5"/>
      <c r="AH174" s="34"/>
      <c r="AI174" s="34"/>
      <c r="AJ174" s="34"/>
      <c r="AM174" s="8"/>
      <c r="AN174" s="8"/>
      <c r="AO174" s="31"/>
    </row>
    <row r="175" spans="1:41" s="7" customFormat="1" x14ac:dyDescent="0.15">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5"/>
      <c r="AH175" s="34"/>
      <c r="AI175" s="34"/>
      <c r="AJ175" s="34"/>
      <c r="AM175" s="8"/>
      <c r="AN175" s="8"/>
      <c r="AO175" s="31"/>
    </row>
    <row r="176" spans="1:41" s="7" customFormat="1" x14ac:dyDescent="0.15">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5"/>
      <c r="AH176" s="34"/>
      <c r="AI176" s="34"/>
      <c r="AJ176" s="34"/>
      <c r="AM176" s="8"/>
      <c r="AN176" s="8"/>
      <c r="AO176" s="31"/>
    </row>
    <row r="177" spans="1:41" s="7" customFormat="1" x14ac:dyDescent="0.15">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5"/>
      <c r="AH177" s="34"/>
      <c r="AI177" s="34"/>
      <c r="AJ177" s="34"/>
      <c r="AM177" s="8"/>
      <c r="AN177" s="8"/>
      <c r="AO177" s="31"/>
    </row>
    <row r="178" spans="1:41" s="7" customFormat="1" x14ac:dyDescent="0.15">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5"/>
      <c r="AH178" s="34"/>
      <c r="AI178" s="34"/>
      <c r="AJ178" s="34"/>
      <c r="AM178" s="8"/>
      <c r="AN178" s="8"/>
      <c r="AO178" s="31"/>
    </row>
    <row r="179" spans="1:41" s="7" customFormat="1" x14ac:dyDescent="0.15">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5"/>
      <c r="AH179" s="34"/>
      <c r="AI179" s="34"/>
      <c r="AJ179" s="34"/>
      <c r="AM179" s="8"/>
      <c r="AN179" s="8"/>
      <c r="AO179" s="31"/>
    </row>
    <row r="180" spans="1:41" s="7" customFormat="1" x14ac:dyDescent="0.15">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5"/>
      <c r="AH180" s="34"/>
      <c r="AI180" s="34"/>
      <c r="AJ180" s="34"/>
      <c r="AM180" s="8"/>
      <c r="AN180" s="8"/>
      <c r="AO180" s="31"/>
    </row>
    <row r="181" spans="1:41" s="7" customFormat="1" x14ac:dyDescent="0.15">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5"/>
      <c r="AH181" s="34"/>
      <c r="AI181" s="34"/>
      <c r="AJ181" s="34"/>
      <c r="AM181" s="8"/>
      <c r="AN181" s="8"/>
      <c r="AO181" s="31"/>
    </row>
    <row r="182" spans="1:41" s="7" customFormat="1" x14ac:dyDescent="0.15">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5"/>
      <c r="AH182" s="34"/>
      <c r="AI182" s="34"/>
      <c r="AJ182" s="34"/>
      <c r="AM182" s="8"/>
      <c r="AN182" s="8"/>
      <c r="AO182" s="31"/>
    </row>
    <row r="183" spans="1:41" s="7" customFormat="1" x14ac:dyDescent="0.15">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5"/>
      <c r="AH183" s="34"/>
      <c r="AI183" s="34"/>
      <c r="AJ183" s="34"/>
      <c r="AM183" s="8"/>
      <c r="AN183" s="8"/>
      <c r="AO183" s="31"/>
    </row>
    <row r="184" spans="1:41" s="7" customFormat="1" x14ac:dyDescent="0.1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5"/>
      <c r="AH184" s="34"/>
      <c r="AI184" s="34"/>
      <c r="AJ184" s="34"/>
      <c r="AM184" s="8"/>
      <c r="AN184" s="8"/>
      <c r="AO184" s="31"/>
    </row>
    <row r="185" spans="1:41" s="7" customFormat="1" x14ac:dyDescent="0.15">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5"/>
      <c r="AH185" s="34"/>
      <c r="AI185" s="34"/>
      <c r="AJ185" s="34"/>
      <c r="AM185" s="8"/>
      <c r="AN185" s="8"/>
      <c r="AO185" s="31"/>
    </row>
    <row r="186" spans="1:41" s="7" customFormat="1" x14ac:dyDescent="0.15">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5"/>
      <c r="AH186" s="34"/>
      <c r="AI186" s="34"/>
      <c r="AJ186" s="34"/>
      <c r="AM186" s="8"/>
      <c r="AN186" s="8"/>
      <c r="AO186" s="31"/>
    </row>
    <row r="187" spans="1:41" s="7" customFormat="1" x14ac:dyDescent="0.15">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M187" s="8"/>
      <c r="AN187" s="8"/>
      <c r="AO187" s="31"/>
    </row>
    <row r="188" spans="1:41" s="7" customFormat="1" x14ac:dyDescent="0.15">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M188" s="8"/>
      <c r="AN188" s="8"/>
      <c r="AO188" s="31"/>
    </row>
    <row r="189" spans="1:41" s="7" customFormat="1" x14ac:dyDescent="0.15">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M189" s="8"/>
      <c r="AN189" s="8"/>
      <c r="AO189" s="31"/>
    </row>
    <row r="190" spans="1:41" s="7" customFormat="1" x14ac:dyDescent="0.15">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M190" s="8"/>
      <c r="AN190" s="8"/>
      <c r="AO190" s="31"/>
    </row>
    <row r="191" spans="1:41" s="7" customFormat="1" x14ac:dyDescent="0.15">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M191" s="8"/>
      <c r="AN191" s="8"/>
      <c r="AO191" s="31"/>
    </row>
    <row r="192" spans="1:41" s="7" customFormat="1" x14ac:dyDescent="0.15">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M192" s="8"/>
      <c r="AN192" s="8"/>
      <c r="AO192" s="31"/>
    </row>
    <row r="193" spans="1:41" s="7" customFormat="1" x14ac:dyDescent="0.15">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M193" s="8"/>
      <c r="AN193" s="8"/>
      <c r="AO193" s="31"/>
    </row>
    <row r="194" spans="1:41" s="7" customFormat="1" x14ac:dyDescent="0.15">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M194" s="8"/>
      <c r="AN194" s="8"/>
      <c r="AO194" s="31"/>
    </row>
    <row r="195" spans="1:41" s="7" customFormat="1" x14ac:dyDescent="0.15">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M195" s="8"/>
      <c r="AN195" s="8"/>
      <c r="AO195" s="31"/>
    </row>
    <row r="196" spans="1:41" s="7" customFormat="1" x14ac:dyDescent="0.15">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M196" s="8"/>
      <c r="AN196" s="8"/>
      <c r="AO196" s="31"/>
    </row>
    <row r="197" spans="1:41" s="7" customFormat="1" x14ac:dyDescent="0.1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M197" s="8"/>
      <c r="AN197" s="8"/>
      <c r="AO197" s="31"/>
    </row>
    <row r="198" spans="1:41" s="7" customFormat="1" x14ac:dyDescent="0.15">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M198" s="8"/>
      <c r="AN198" s="8"/>
      <c r="AO198" s="31"/>
    </row>
    <row r="199" spans="1:41" s="7" customFormat="1" x14ac:dyDescent="0.15">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M199" s="8"/>
      <c r="AN199" s="8"/>
      <c r="AO199" s="31"/>
    </row>
    <row r="200" spans="1:41" s="7" customFormat="1" x14ac:dyDescent="0.15">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M200" s="8"/>
      <c r="AN200" s="8"/>
      <c r="AO200" s="31"/>
    </row>
    <row r="201" spans="1:41" s="7" customFormat="1" x14ac:dyDescent="0.15">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M201" s="8"/>
      <c r="AN201" s="8"/>
      <c r="AO201" s="31"/>
    </row>
    <row r="202" spans="1:41" s="7" customFormat="1" x14ac:dyDescent="0.15">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M202" s="8"/>
      <c r="AN202" s="8"/>
      <c r="AO202" s="31"/>
    </row>
    <row r="203" spans="1:41" s="7" customFormat="1" x14ac:dyDescent="0.1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5"/>
      <c r="AH203" s="34"/>
      <c r="AI203" s="34"/>
      <c r="AJ203" s="34"/>
      <c r="AM203" s="8"/>
      <c r="AN203" s="8"/>
      <c r="AO203" s="31"/>
    </row>
    <row r="204" spans="1:41" s="7" customFormat="1" x14ac:dyDescent="0.15">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5"/>
      <c r="AH204" s="34"/>
      <c r="AI204" s="34"/>
      <c r="AJ204" s="34"/>
      <c r="AM204" s="8"/>
      <c r="AN204" s="8"/>
      <c r="AO204" s="31"/>
    </row>
    <row r="205" spans="1:41" s="7" customFormat="1" x14ac:dyDescent="0.15">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5"/>
      <c r="AH205" s="34"/>
      <c r="AI205" s="34"/>
      <c r="AJ205" s="34"/>
      <c r="AM205" s="8"/>
      <c r="AN205" s="8"/>
      <c r="AO205" s="31"/>
    </row>
    <row r="206" spans="1:41" s="7" customFormat="1" x14ac:dyDescent="0.15">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5"/>
      <c r="AH206" s="34"/>
      <c r="AI206" s="34"/>
      <c r="AJ206" s="34"/>
      <c r="AM206" s="8"/>
      <c r="AN206" s="8"/>
      <c r="AO206" s="31"/>
    </row>
    <row r="207" spans="1:41" s="7" customFormat="1" x14ac:dyDescent="0.15">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5"/>
      <c r="AH207" s="34"/>
      <c r="AI207" s="34"/>
      <c r="AJ207" s="34"/>
      <c r="AM207" s="8"/>
      <c r="AN207" s="8"/>
      <c r="AO207" s="31"/>
    </row>
    <row r="208" spans="1:41" s="7" customFormat="1" x14ac:dyDescent="0.15">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5"/>
      <c r="AH208" s="34"/>
      <c r="AI208" s="34"/>
      <c r="AJ208" s="34"/>
      <c r="AM208" s="8"/>
      <c r="AN208" s="8"/>
      <c r="AO208" s="31"/>
    </row>
    <row r="209" spans="1:41" s="7" customFormat="1" x14ac:dyDescent="0.15">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5"/>
      <c r="AH209" s="34"/>
      <c r="AI209" s="34"/>
      <c r="AJ209" s="34"/>
      <c r="AM209" s="8"/>
      <c r="AN209" s="8"/>
      <c r="AO209" s="31"/>
    </row>
    <row r="210" spans="1:41" s="7" customFormat="1" x14ac:dyDescent="0.15">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5"/>
      <c r="AH210" s="34"/>
      <c r="AI210" s="34"/>
      <c r="AJ210" s="34"/>
      <c r="AM210" s="8"/>
      <c r="AN210" s="8"/>
      <c r="AO210" s="31"/>
    </row>
    <row r="211" spans="1:41" s="7" customFormat="1" x14ac:dyDescent="0.15">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5"/>
      <c r="AH211" s="34"/>
      <c r="AI211" s="34"/>
      <c r="AJ211" s="34"/>
      <c r="AM211" s="8"/>
      <c r="AN211" s="8"/>
      <c r="AO211" s="31"/>
    </row>
    <row r="212" spans="1:41" s="7" customFormat="1" x14ac:dyDescent="0.15">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5"/>
      <c r="AH212" s="34"/>
      <c r="AI212" s="34"/>
      <c r="AJ212" s="34"/>
      <c r="AM212" s="8"/>
      <c r="AN212" s="8"/>
      <c r="AO212" s="31"/>
    </row>
    <row r="213" spans="1:41" s="7" customFormat="1" x14ac:dyDescent="0.15">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5"/>
      <c r="AH213" s="34"/>
      <c r="AI213" s="34"/>
      <c r="AJ213" s="34"/>
      <c r="AM213" s="8"/>
      <c r="AN213" s="8"/>
      <c r="AO213" s="31"/>
    </row>
    <row r="214" spans="1:41" s="7" customFormat="1" x14ac:dyDescent="0.15">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5"/>
      <c r="AH214" s="34"/>
      <c r="AI214" s="34"/>
      <c r="AJ214" s="34"/>
      <c r="AM214" s="8"/>
      <c r="AN214" s="8"/>
      <c r="AO214" s="31"/>
    </row>
    <row r="215" spans="1:41" s="7" customFormat="1" x14ac:dyDescent="0.15">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5"/>
      <c r="AH215" s="34"/>
      <c r="AI215" s="34"/>
      <c r="AJ215" s="34"/>
      <c r="AM215" s="8"/>
      <c r="AN215" s="8"/>
      <c r="AO215" s="31"/>
    </row>
    <row r="216" spans="1:41" s="7" customFormat="1" x14ac:dyDescent="0.15">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5"/>
      <c r="AH216" s="34"/>
      <c r="AI216" s="34"/>
      <c r="AJ216" s="34"/>
      <c r="AM216" s="8"/>
      <c r="AN216" s="8"/>
      <c r="AO216" s="31"/>
    </row>
    <row r="217" spans="1:41" s="7" customFormat="1" x14ac:dyDescent="0.15">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5"/>
      <c r="AH217" s="34"/>
      <c r="AI217" s="34"/>
      <c r="AJ217" s="34"/>
      <c r="AM217" s="8"/>
      <c r="AN217" s="8"/>
      <c r="AO217" s="31"/>
    </row>
    <row r="218" spans="1:41" s="7" customFormat="1" x14ac:dyDescent="0.15">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5"/>
      <c r="AH218" s="34"/>
      <c r="AI218" s="34"/>
      <c r="AJ218" s="34"/>
      <c r="AM218" s="8"/>
      <c r="AN218" s="8"/>
      <c r="AO218" s="31"/>
    </row>
    <row r="219" spans="1:41" s="7" customFormat="1" x14ac:dyDescent="0.15">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5"/>
      <c r="AH219" s="34"/>
      <c r="AI219" s="34"/>
      <c r="AJ219" s="34"/>
      <c r="AM219" s="8"/>
      <c r="AN219" s="8"/>
      <c r="AO219" s="31"/>
    </row>
    <row r="220" spans="1:41" s="7" customFormat="1" x14ac:dyDescent="0.15">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5"/>
      <c r="AH220" s="34"/>
      <c r="AI220" s="34"/>
      <c r="AJ220" s="34"/>
      <c r="AM220" s="8"/>
      <c r="AN220" s="8"/>
      <c r="AO220" s="31"/>
    </row>
    <row r="221" spans="1:41" s="7" customFormat="1" x14ac:dyDescent="0.15">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5"/>
      <c r="AH221" s="34"/>
      <c r="AI221" s="34"/>
      <c r="AJ221" s="34"/>
      <c r="AM221" s="8"/>
      <c r="AN221" s="8"/>
      <c r="AO221" s="31"/>
    </row>
    <row r="222" spans="1:41" s="7" customFormat="1" x14ac:dyDescent="0.15">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5"/>
      <c r="AH222" s="34"/>
      <c r="AI222" s="34"/>
      <c r="AJ222" s="34"/>
      <c r="AM222" s="8"/>
      <c r="AN222" s="8"/>
      <c r="AO222" s="31"/>
    </row>
    <row r="223" spans="1:41" s="7" customFormat="1" x14ac:dyDescent="0.15">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5"/>
      <c r="AH223" s="34"/>
      <c r="AI223" s="34"/>
      <c r="AJ223" s="34"/>
      <c r="AM223" s="8"/>
      <c r="AN223" s="8"/>
      <c r="AO223" s="31"/>
    </row>
    <row r="224" spans="1:41" s="7" customFormat="1" x14ac:dyDescent="0.15">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5"/>
      <c r="AH224" s="34"/>
      <c r="AI224" s="34"/>
      <c r="AJ224" s="34"/>
      <c r="AM224" s="8"/>
      <c r="AN224" s="8"/>
      <c r="AO224" s="31"/>
    </row>
    <row r="225" spans="1:41" s="7" customFormat="1" x14ac:dyDescent="0.15">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5"/>
      <c r="AH225" s="34"/>
      <c r="AI225" s="34"/>
      <c r="AJ225" s="34"/>
      <c r="AM225" s="8"/>
      <c r="AN225" s="8"/>
      <c r="AO225" s="31"/>
    </row>
    <row r="226" spans="1:41" s="7" customFormat="1" x14ac:dyDescent="0.15">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5"/>
      <c r="AH226" s="34"/>
      <c r="AI226" s="34"/>
      <c r="AJ226" s="34"/>
      <c r="AM226" s="8"/>
      <c r="AN226" s="8"/>
      <c r="AO226" s="31"/>
    </row>
    <row r="227" spans="1:41" s="7" customFormat="1" x14ac:dyDescent="0.15">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5"/>
      <c r="AH227" s="34"/>
      <c r="AI227" s="34"/>
      <c r="AJ227" s="34"/>
      <c r="AM227" s="8"/>
      <c r="AN227" s="8"/>
      <c r="AO227" s="31"/>
    </row>
    <row r="228" spans="1:41" s="7" customFormat="1" x14ac:dyDescent="0.15">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5"/>
      <c r="AH228" s="34"/>
      <c r="AI228" s="34"/>
      <c r="AJ228" s="34"/>
      <c r="AM228" s="8"/>
      <c r="AN228" s="8"/>
      <c r="AO228" s="31"/>
    </row>
    <row r="229" spans="1:41" s="7" customFormat="1" x14ac:dyDescent="0.15">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5"/>
      <c r="AH229" s="34"/>
      <c r="AI229" s="34"/>
      <c r="AJ229" s="34"/>
      <c r="AM229" s="8"/>
      <c r="AN229" s="8"/>
      <c r="AO229" s="31"/>
    </row>
    <row r="230" spans="1:41" s="7" customFormat="1" x14ac:dyDescent="0.15">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5"/>
      <c r="AH230" s="34"/>
      <c r="AI230" s="34"/>
      <c r="AJ230" s="34"/>
      <c r="AM230" s="8"/>
      <c r="AN230" s="8"/>
      <c r="AO230" s="31"/>
    </row>
    <row r="231" spans="1:41" s="7" customFormat="1" x14ac:dyDescent="0.15">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5"/>
      <c r="AH231" s="34"/>
      <c r="AI231" s="34"/>
      <c r="AJ231" s="34"/>
      <c r="AM231" s="8"/>
      <c r="AN231" s="8"/>
      <c r="AO231" s="31"/>
    </row>
    <row r="232" spans="1:41" s="7" customFormat="1" x14ac:dyDescent="0.1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5"/>
      <c r="AH232" s="34"/>
      <c r="AI232" s="34"/>
      <c r="AJ232" s="34"/>
      <c r="AM232" s="8"/>
      <c r="AN232" s="8"/>
      <c r="AO232" s="31"/>
    </row>
    <row r="233" spans="1:41" s="7" customFormat="1" x14ac:dyDescent="0.15">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5"/>
      <c r="AH233" s="34"/>
      <c r="AI233" s="34"/>
      <c r="AJ233" s="34"/>
      <c r="AM233" s="8"/>
      <c r="AN233" s="8"/>
      <c r="AO233" s="31"/>
    </row>
    <row r="234" spans="1:41" s="7" customFormat="1" x14ac:dyDescent="0.15">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5"/>
      <c r="AH234" s="34"/>
      <c r="AI234" s="34"/>
      <c r="AJ234" s="34"/>
      <c r="AM234" s="8"/>
      <c r="AN234" s="8"/>
      <c r="AO234" s="31"/>
    </row>
    <row r="235" spans="1:41" s="7" customFormat="1" x14ac:dyDescent="0.15">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5"/>
      <c r="AH235" s="34"/>
      <c r="AI235" s="34"/>
      <c r="AJ235" s="34"/>
      <c r="AM235" s="8"/>
      <c r="AN235" s="8"/>
      <c r="AO235" s="31"/>
    </row>
    <row r="236" spans="1:41" s="7" customFormat="1" x14ac:dyDescent="0.15">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5"/>
      <c r="AH236" s="34"/>
      <c r="AI236" s="34"/>
      <c r="AJ236" s="34"/>
      <c r="AM236" s="8"/>
      <c r="AN236" s="8"/>
      <c r="AO236" s="31"/>
    </row>
    <row r="237" spans="1:41" s="7" customFormat="1" x14ac:dyDescent="0.15">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5"/>
      <c r="AH237" s="34"/>
      <c r="AI237" s="34"/>
      <c r="AJ237" s="34"/>
      <c r="AM237" s="8"/>
      <c r="AN237" s="8"/>
      <c r="AO237" s="31"/>
    </row>
    <row r="238" spans="1:41" s="7" customFormat="1" x14ac:dyDescent="0.15">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5"/>
      <c r="AH238" s="34"/>
      <c r="AI238" s="34"/>
      <c r="AJ238" s="34"/>
      <c r="AM238" s="8"/>
      <c r="AN238" s="8"/>
      <c r="AO238" s="31"/>
    </row>
    <row r="239" spans="1:41" s="7" customFormat="1" x14ac:dyDescent="0.15">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5"/>
      <c r="AH239" s="34"/>
      <c r="AI239" s="34"/>
      <c r="AJ239" s="34"/>
      <c r="AM239" s="8"/>
      <c r="AN239" s="8"/>
      <c r="AO239" s="31"/>
    </row>
    <row r="240" spans="1:41" s="7" customFormat="1" x14ac:dyDescent="0.15">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5"/>
      <c r="AH240" s="34"/>
      <c r="AI240" s="34"/>
      <c r="AJ240" s="34"/>
      <c r="AM240" s="8"/>
      <c r="AN240" s="8"/>
      <c r="AO240" s="31"/>
    </row>
    <row r="241" spans="1:41" s="7" customFormat="1" x14ac:dyDescent="0.15">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5"/>
      <c r="AH241" s="34"/>
      <c r="AI241" s="34"/>
      <c r="AJ241" s="34"/>
      <c r="AM241" s="8"/>
      <c r="AN241" s="8"/>
      <c r="AO241" s="31"/>
    </row>
    <row r="242" spans="1:41" s="7" customFormat="1" x14ac:dyDescent="0.15">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5"/>
      <c r="AH242" s="34"/>
      <c r="AI242" s="34"/>
      <c r="AJ242" s="34"/>
      <c r="AM242" s="8"/>
      <c r="AN242" s="8"/>
      <c r="AO242" s="31"/>
    </row>
    <row r="243" spans="1:41" s="7" customFormat="1" x14ac:dyDescent="0.15">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5"/>
      <c r="AH243" s="34"/>
      <c r="AI243" s="34"/>
      <c r="AJ243" s="34"/>
      <c r="AM243" s="8"/>
      <c r="AN243" s="8"/>
      <c r="AO243" s="31"/>
    </row>
    <row r="244" spans="1:41" s="7" customFormat="1" x14ac:dyDescent="0.15">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5"/>
      <c r="AH244" s="34"/>
      <c r="AI244" s="34"/>
      <c r="AJ244" s="34"/>
      <c r="AM244" s="8"/>
      <c r="AN244" s="8"/>
      <c r="AO244" s="31"/>
    </row>
    <row r="245" spans="1:41" s="7" customFormat="1" x14ac:dyDescent="0.15">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5"/>
      <c r="AH245" s="34"/>
      <c r="AI245" s="34"/>
      <c r="AJ245" s="34"/>
      <c r="AM245" s="8"/>
      <c r="AN245" s="8"/>
      <c r="AO245" s="31"/>
    </row>
    <row r="246" spans="1:41" s="7" customFormat="1" x14ac:dyDescent="0.15">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5"/>
      <c r="AH246" s="34"/>
      <c r="AI246" s="34"/>
      <c r="AJ246" s="34"/>
      <c r="AM246" s="8"/>
      <c r="AN246" s="8"/>
      <c r="AO246" s="31"/>
    </row>
    <row r="247" spans="1:41" s="7" customFormat="1" x14ac:dyDescent="0.15">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5"/>
      <c r="AH247" s="34"/>
      <c r="AI247" s="34"/>
      <c r="AJ247" s="34"/>
      <c r="AM247" s="8"/>
      <c r="AN247" s="8"/>
      <c r="AO247" s="31"/>
    </row>
    <row r="248" spans="1:41" s="7" customFormat="1" x14ac:dyDescent="0.15">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5"/>
      <c r="AH248" s="34"/>
      <c r="AI248" s="34"/>
      <c r="AJ248" s="34"/>
      <c r="AM248" s="8"/>
      <c r="AN248" s="8"/>
      <c r="AO248" s="31"/>
    </row>
    <row r="249" spans="1:41" s="7" customFormat="1" x14ac:dyDescent="0.15">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M249" s="8"/>
      <c r="AN249" s="8"/>
      <c r="AO249" s="31"/>
    </row>
    <row r="250" spans="1:41" s="7" customFormat="1" x14ac:dyDescent="0.15">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M250" s="8"/>
      <c r="AN250" s="8"/>
      <c r="AO250" s="31"/>
    </row>
    <row r="251" spans="1:41" s="7" customFormat="1" x14ac:dyDescent="0.15">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M251" s="8"/>
      <c r="AN251" s="8"/>
      <c r="AO251" s="31"/>
    </row>
    <row r="252" spans="1:41" s="7" customFormat="1" x14ac:dyDescent="0.15">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M252" s="8"/>
      <c r="AN252" s="8"/>
      <c r="AO252" s="31"/>
    </row>
    <row r="253" spans="1:41" s="7" customFormat="1" x14ac:dyDescent="0.15">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M253" s="8"/>
      <c r="AN253" s="8"/>
      <c r="AO253" s="31"/>
    </row>
    <row r="254" spans="1:41" s="7" customFormat="1" x14ac:dyDescent="0.15">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M254" s="8"/>
      <c r="AN254" s="8"/>
      <c r="AO254" s="31"/>
    </row>
    <row r="255" spans="1:41" s="7" customFormat="1" x14ac:dyDescent="0.15">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M255" s="8"/>
      <c r="AN255" s="8"/>
      <c r="AO255" s="31"/>
    </row>
    <row r="256" spans="1:41" s="7" customFormat="1" x14ac:dyDescent="0.15">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M256" s="8"/>
      <c r="AN256" s="8"/>
      <c r="AO256" s="31"/>
    </row>
    <row r="257" spans="1:41" s="7" customFormat="1" x14ac:dyDescent="0.1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M257" s="8"/>
      <c r="AN257" s="8"/>
      <c r="AO257" s="31"/>
    </row>
    <row r="258" spans="1:41" s="7" customFormat="1" x14ac:dyDescent="0.15">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M258" s="8"/>
      <c r="AN258" s="8"/>
      <c r="AO258" s="31"/>
    </row>
    <row r="259" spans="1:41" s="7" customFormat="1" x14ac:dyDescent="0.15">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M259" s="8"/>
      <c r="AN259" s="8"/>
      <c r="AO259" s="31"/>
    </row>
    <row r="260" spans="1:41" s="7" customFormat="1" x14ac:dyDescent="0.15">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M260" s="8"/>
      <c r="AN260" s="8"/>
      <c r="AO260" s="31"/>
    </row>
    <row r="261" spans="1:41" s="7" customFormat="1" x14ac:dyDescent="0.15">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M261" s="8"/>
      <c r="AN261" s="8"/>
      <c r="AO261" s="31"/>
    </row>
    <row r="262" spans="1:41" s="7" customFormat="1" x14ac:dyDescent="0.15">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M262" s="8"/>
      <c r="AN262" s="8"/>
      <c r="AO262" s="31"/>
    </row>
    <row r="263" spans="1:41" s="7" customFormat="1" x14ac:dyDescent="0.15">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M263" s="8"/>
      <c r="AN263" s="8"/>
      <c r="AO263" s="31"/>
    </row>
    <row r="264" spans="1:41" s="7" customFormat="1" x14ac:dyDescent="0.15">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M264" s="8"/>
      <c r="AN264" s="8"/>
      <c r="AO264" s="31"/>
    </row>
    <row r="265" spans="1:41" s="7" customFormat="1" x14ac:dyDescent="0.15">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5"/>
      <c r="AH265" s="34"/>
      <c r="AI265" s="34"/>
      <c r="AJ265" s="34"/>
      <c r="AM265" s="8"/>
      <c r="AN265" s="8"/>
      <c r="AO265" s="31"/>
    </row>
    <row r="266" spans="1:41" s="7" customFormat="1" x14ac:dyDescent="0.15">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5"/>
      <c r="AH266" s="34"/>
      <c r="AI266" s="34"/>
      <c r="AJ266" s="34"/>
      <c r="AM266" s="8"/>
      <c r="AN266" s="8"/>
      <c r="AO266" s="31"/>
    </row>
    <row r="267" spans="1:41" s="7" customFormat="1" x14ac:dyDescent="0.15">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5"/>
      <c r="AH267" s="34"/>
      <c r="AI267" s="34"/>
      <c r="AJ267" s="34"/>
      <c r="AM267" s="8"/>
      <c r="AN267" s="8"/>
      <c r="AO267" s="31"/>
    </row>
    <row r="268" spans="1:41" s="7" customFormat="1" x14ac:dyDescent="0.15">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5"/>
      <c r="AH268" s="34"/>
      <c r="AI268" s="34"/>
      <c r="AJ268" s="34"/>
      <c r="AM268" s="8"/>
      <c r="AN268" s="8"/>
      <c r="AO268" s="31"/>
    </row>
    <row r="269" spans="1:41" s="7" customFormat="1" x14ac:dyDescent="0.15">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5"/>
      <c r="AH269" s="34"/>
      <c r="AI269" s="34"/>
      <c r="AJ269" s="34"/>
      <c r="AM269" s="8"/>
      <c r="AN269" s="8"/>
      <c r="AO269" s="31"/>
    </row>
    <row r="270" spans="1:41" s="7" customFormat="1" x14ac:dyDescent="0.15">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5"/>
      <c r="AH270" s="34"/>
      <c r="AI270" s="34"/>
      <c r="AJ270" s="34"/>
      <c r="AM270" s="8"/>
      <c r="AN270" s="8"/>
      <c r="AO270" s="31"/>
    </row>
    <row r="271" spans="1:41" s="7" customFormat="1" x14ac:dyDescent="0.15">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5"/>
      <c r="AH271" s="34"/>
      <c r="AI271" s="34"/>
      <c r="AJ271" s="34"/>
      <c r="AM271" s="8"/>
      <c r="AN271" s="8"/>
      <c r="AO271" s="31"/>
    </row>
    <row r="272" spans="1:41" s="7" customFormat="1" x14ac:dyDescent="0.15">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5"/>
      <c r="AH272" s="34"/>
      <c r="AI272" s="34"/>
      <c r="AJ272" s="34"/>
      <c r="AM272" s="8"/>
      <c r="AN272" s="8"/>
      <c r="AO272" s="31"/>
    </row>
    <row r="273" spans="1:41" s="7" customFormat="1" x14ac:dyDescent="0.15">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5"/>
      <c r="AH273" s="34"/>
      <c r="AI273" s="34"/>
      <c r="AJ273" s="34"/>
      <c r="AM273" s="8"/>
      <c r="AN273" s="8"/>
      <c r="AO273" s="31"/>
    </row>
    <row r="274" spans="1:41" s="7" customFormat="1" x14ac:dyDescent="0.15">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5"/>
      <c r="AH274" s="34"/>
      <c r="AI274" s="34"/>
      <c r="AJ274" s="34"/>
      <c r="AM274" s="8"/>
      <c r="AN274" s="8"/>
      <c r="AO274" s="31"/>
    </row>
    <row r="275" spans="1:41" s="7" customFormat="1" x14ac:dyDescent="0.15">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5"/>
      <c r="AH275" s="34"/>
      <c r="AI275" s="34"/>
      <c r="AJ275" s="34"/>
      <c r="AM275" s="8"/>
      <c r="AN275" s="8"/>
      <c r="AO275" s="31"/>
    </row>
    <row r="276" spans="1:41" s="7" customFormat="1" x14ac:dyDescent="0.15">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5"/>
      <c r="AH276" s="34"/>
      <c r="AI276" s="34"/>
      <c r="AJ276" s="34"/>
      <c r="AM276" s="8"/>
      <c r="AN276" s="8"/>
      <c r="AO276" s="31"/>
    </row>
    <row r="277" spans="1:41" s="7" customFormat="1" x14ac:dyDescent="0.15">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5"/>
      <c r="AH277" s="34"/>
      <c r="AI277" s="34"/>
      <c r="AJ277" s="34"/>
      <c r="AM277" s="8"/>
      <c r="AN277" s="8"/>
      <c r="AO277" s="31"/>
    </row>
    <row r="278" spans="1:41" s="7" customFormat="1" x14ac:dyDescent="0.15">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5"/>
      <c r="AH278" s="34"/>
      <c r="AI278" s="34"/>
      <c r="AJ278" s="34"/>
      <c r="AM278" s="8"/>
      <c r="AN278" s="8"/>
      <c r="AO278" s="31"/>
    </row>
    <row r="279" spans="1:41" s="7" customFormat="1" x14ac:dyDescent="0.15">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5"/>
      <c r="AH279" s="34"/>
      <c r="AI279" s="34"/>
      <c r="AJ279" s="34"/>
      <c r="AM279" s="8"/>
      <c r="AN279" s="8"/>
      <c r="AO279" s="31"/>
    </row>
    <row r="280" spans="1:41" s="7" customFormat="1" x14ac:dyDescent="0.15">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5"/>
      <c r="AH280" s="34"/>
      <c r="AI280" s="34"/>
      <c r="AJ280" s="34"/>
      <c r="AM280" s="8"/>
      <c r="AN280" s="8"/>
      <c r="AO280" s="31"/>
    </row>
    <row r="281" spans="1:41" s="7" customFormat="1" x14ac:dyDescent="0.15">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5"/>
      <c r="AH281" s="34"/>
      <c r="AI281" s="34"/>
      <c r="AJ281" s="34"/>
      <c r="AM281" s="8"/>
      <c r="AN281" s="8"/>
      <c r="AO281" s="31"/>
    </row>
    <row r="282" spans="1:41" s="7" customFormat="1" x14ac:dyDescent="0.15">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5"/>
      <c r="AH282" s="34"/>
      <c r="AI282" s="34"/>
      <c r="AJ282" s="34"/>
      <c r="AM282" s="8"/>
      <c r="AN282" s="8"/>
      <c r="AO282" s="31"/>
    </row>
    <row r="283" spans="1:41" s="7" customFormat="1" x14ac:dyDescent="0.15">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5"/>
      <c r="AH283" s="34"/>
      <c r="AI283" s="34"/>
      <c r="AJ283" s="34"/>
      <c r="AM283" s="8"/>
      <c r="AN283" s="8"/>
      <c r="AO283" s="31"/>
    </row>
    <row r="284" spans="1:41" s="7" customFormat="1" x14ac:dyDescent="0.15">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5"/>
      <c r="AH284" s="34"/>
      <c r="AI284" s="34"/>
      <c r="AJ284" s="34"/>
      <c r="AM284" s="8"/>
      <c r="AN284" s="8"/>
      <c r="AO284" s="31"/>
    </row>
    <row r="285" spans="1:41" s="7" customFormat="1" x14ac:dyDescent="0.15">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5"/>
      <c r="AH285" s="34"/>
      <c r="AI285" s="34"/>
      <c r="AJ285" s="34"/>
      <c r="AM285" s="8"/>
      <c r="AN285" s="8"/>
      <c r="AO285" s="31"/>
    </row>
    <row r="286" spans="1:41" s="7" customFormat="1" x14ac:dyDescent="0.15">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5"/>
      <c r="AH286" s="34"/>
      <c r="AI286" s="34"/>
      <c r="AJ286" s="34"/>
      <c r="AM286" s="8"/>
      <c r="AN286" s="8"/>
      <c r="AO286" s="31"/>
    </row>
    <row r="287" spans="1:41" s="7" customFormat="1" x14ac:dyDescent="0.15">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5"/>
      <c r="AH287" s="34"/>
      <c r="AI287" s="34"/>
      <c r="AJ287" s="34"/>
      <c r="AM287" s="8"/>
      <c r="AN287" s="8"/>
      <c r="AO287" s="31"/>
    </row>
    <row r="288" spans="1:41" s="7" customFormat="1" x14ac:dyDescent="0.15">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5"/>
      <c r="AH288" s="34"/>
      <c r="AI288" s="34"/>
      <c r="AJ288" s="34"/>
      <c r="AM288" s="8"/>
      <c r="AN288" s="8"/>
      <c r="AO288" s="31"/>
    </row>
    <row r="289" spans="1:41" s="7" customFormat="1" x14ac:dyDescent="0.15">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5"/>
      <c r="AH289" s="34"/>
      <c r="AI289" s="34"/>
      <c r="AJ289" s="34"/>
      <c r="AM289" s="8"/>
      <c r="AN289" s="8"/>
      <c r="AO289" s="31"/>
    </row>
    <row r="290" spans="1:41" s="7" customFormat="1" x14ac:dyDescent="0.15">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5"/>
      <c r="AH290" s="34"/>
      <c r="AI290" s="34"/>
      <c r="AJ290" s="34"/>
      <c r="AM290" s="8"/>
      <c r="AN290" s="8"/>
      <c r="AO290" s="31"/>
    </row>
    <row r="291" spans="1:41" s="7" customFormat="1" x14ac:dyDescent="0.15">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5"/>
      <c r="AH291" s="34"/>
      <c r="AI291" s="34"/>
      <c r="AJ291" s="34"/>
      <c r="AM291" s="8"/>
      <c r="AN291" s="8"/>
      <c r="AO291" s="31"/>
    </row>
    <row r="292" spans="1:41" s="7" customFormat="1" x14ac:dyDescent="0.15">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5"/>
      <c r="AH292" s="34"/>
      <c r="AI292" s="34"/>
      <c r="AJ292" s="34"/>
      <c r="AM292" s="8"/>
      <c r="AN292" s="8"/>
      <c r="AO292" s="31"/>
    </row>
    <row r="293" spans="1:41" s="7" customFormat="1" x14ac:dyDescent="0.15">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5"/>
      <c r="AH293" s="34"/>
      <c r="AI293" s="34"/>
      <c r="AJ293" s="34"/>
      <c r="AM293" s="8"/>
      <c r="AN293" s="8"/>
      <c r="AO293" s="31"/>
    </row>
    <row r="294" spans="1:41" s="7" customFormat="1" x14ac:dyDescent="0.15">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5"/>
      <c r="AH294" s="34"/>
      <c r="AI294" s="34"/>
      <c r="AJ294" s="34"/>
      <c r="AM294" s="8"/>
      <c r="AN294" s="8"/>
      <c r="AO294" s="31"/>
    </row>
    <row r="295" spans="1:41" s="7" customFormat="1" x14ac:dyDescent="0.15">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5"/>
      <c r="AH295" s="34"/>
      <c r="AI295" s="34"/>
      <c r="AJ295" s="34"/>
      <c r="AM295" s="8"/>
      <c r="AN295" s="8"/>
      <c r="AO295" s="31"/>
    </row>
    <row r="296" spans="1:41" s="7" customFormat="1" x14ac:dyDescent="0.15">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5"/>
      <c r="AH296" s="34"/>
      <c r="AI296" s="34"/>
      <c r="AJ296" s="34"/>
      <c r="AM296" s="8"/>
      <c r="AN296" s="8"/>
      <c r="AO296" s="31"/>
    </row>
    <row r="297" spans="1:41" s="7" customFormat="1" x14ac:dyDescent="0.15">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5"/>
      <c r="AH297" s="34"/>
      <c r="AI297" s="34"/>
      <c r="AJ297" s="34"/>
      <c r="AM297" s="8"/>
      <c r="AN297" s="8"/>
      <c r="AO297" s="31"/>
    </row>
    <row r="298" spans="1:41" s="7" customFormat="1" x14ac:dyDescent="0.15">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5"/>
      <c r="AH298" s="34"/>
      <c r="AI298" s="34"/>
      <c r="AJ298" s="34"/>
      <c r="AM298" s="8"/>
      <c r="AN298" s="8"/>
      <c r="AO298" s="31"/>
    </row>
    <row r="299" spans="1:41" s="7" customFormat="1" x14ac:dyDescent="0.15">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5"/>
      <c r="AH299" s="34"/>
      <c r="AI299" s="34"/>
      <c r="AJ299" s="34"/>
      <c r="AM299" s="8"/>
      <c r="AN299" s="8"/>
      <c r="AO299" s="31"/>
    </row>
    <row r="300" spans="1:41" s="7" customFormat="1" x14ac:dyDescent="0.15">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5"/>
      <c r="AH300" s="34"/>
      <c r="AI300" s="34"/>
      <c r="AJ300" s="34"/>
      <c r="AM300" s="8"/>
      <c r="AN300" s="8"/>
      <c r="AO300" s="31"/>
    </row>
    <row r="301" spans="1:41" s="7" customFormat="1" x14ac:dyDescent="0.15">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5"/>
      <c r="AH301" s="34"/>
      <c r="AI301" s="34"/>
      <c r="AJ301" s="34"/>
      <c r="AM301" s="8"/>
      <c r="AN301" s="8"/>
      <c r="AO301" s="31"/>
    </row>
    <row r="302" spans="1:41" s="7" customFormat="1" x14ac:dyDescent="0.15">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5"/>
      <c r="AH302" s="34"/>
      <c r="AI302" s="34"/>
      <c r="AJ302" s="34"/>
      <c r="AM302" s="8"/>
      <c r="AN302" s="8"/>
      <c r="AO302" s="31"/>
    </row>
    <row r="303" spans="1:41" s="7" customFormat="1" x14ac:dyDescent="0.15">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5"/>
      <c r="AH303" s="34"/>
      <c r="AI303" s="34"/>
      <c r="AJ303" s="34"/>
      <c r="AM303" s="8"/>
      <c r="AN303" s="8"/>
      <c r="AO303" s="31"/>
    </row>
    <row r="304" spans="1:41" s="7" customFormat="1" x14ac:dyDescent="0.15">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5"/>
      <c r="AH304" s="34"/>
      <c r="AI304" s="34"/>
      <c r="AJ304" s="34"/>
      <c r="AM304" s="8"/>
      <c r="AN304" s="8"/>
      <c r="AO304" s="31"/>
    </row>
    <row r="305" spans="1:41" s="7" customFormat="1" x14ac:dyDescent="0.15">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5"/>
      <c r="AH305" s="34"/>
      <c r="AI305" s="34"/>
      <c r="AJ305" s="34"/>
      <c r="AM305" s="8"/>
      <c r="AN305" s="8"/>
      <c r="AO305" s="31"/>
    </row>
    <row r="306" spans="1:41" s="7" customFormat="1" x14ac:dyDescent="0.15">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5"/>
      <c r="AH306" s="34"/>
      <c r="AI306" s="34"/>
      <c r="AJ306" s="34"/>
      <c r="AM306" s="8"/>
      <c r="AN306" s="8"/>
      <c r="AO306" s="31"/>
    </row>
    <row r="307" spans="1:41" s="7" customFormat="1" x14ac:dyDescent="0.15">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5"/>
      <c r="AH307" s="34"/>
      <c r="AI307" s="34"/>
      <c r="AJ307" s="34"/>
      <c r="AM307" s="8"/>
      <c r="AN307" s="8"/>
      <c r="AO307" s="31"/>
    </row>
    <row r="308" spans="1:41" s="7" customFormat="1" x14ac:dyDescent="0.15">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5"/>
      <c r="AH308" s="34"/>
      <c r="AI308" s="34"/>
      <c r="AJ308" s="34"/>
      <c r="AM308" s="8"/>
      <c r="AN308" s="8"/>
      <c r="AO308" s="31"/>
    </row>
    <row r="309" spans="1:41" s="7" customFormat="1" x14ac:dyDescent="0.15">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5"/>
      <c r="AH309" s="34"/>
      <c r="AI309" s="34"/>
      <c r="AJ309" s="34"/>
      <c r="AM309" s="8"/>
      <c r="AN309" s="8"/>
      <c r="AO309" s="31"/>
    </row>
    <row r="310" spans="1:41" s="7" customFormat="1" x14ac:dyDescent="0.15">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5"/>
      <c r="AH310" s="34"/>
      <c r="AI310" s="34"/>
      <c r="AJ310" s="34"/>
      <c r="AM310" s="8"/>
      <c r="AN310" s="8"/>
      <c r="AO310" s="31"/>
    </row>
    <row r="311" spans="1:41" s="7" customFormat="1" x14ac:dyDescent="0.15">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M311" s="8"/>
      <c r="AN311" s="8"/>
      <c r="AO311" s="31"/>
    </row>
    <row r="312" spans="1:41" s="7" customFormat="1" x14ac:dyDescent="0.15">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M312" s="8"/>
      <c r="AN312" s="8"/>
      <c r="AO312" s="31"/>
    </row>
    <row r="313" spans="1:41" s="7" customFormat="1" x14ac:dyDescent="0.15">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M313" s="8"/>
      <c r="AN313" s="8"/>
      <c r="AO313" s="31"/>
    </row>
    <row r="314" spans="1:41" s="7" customFormat="1" x14ac:dyDescent="0.15">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M314" s="8"/>
      <c r="AN314" s="8"/>
      <c r="AO314" s="31"/>
    </row>
    <row r="315" spans="1:41" s="7" customFormat="1" x14ac:dyDescent="0.15">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M315" s="8"/>
      <c r="AN315" s="8"/>
      <c r="AO315" s="31"/>
    </row>
    <row r="316" spans="1:41" s="7" customFormat="1" x14ac:dyDescent="0.15">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M316" s="8"/>
      <c r="AN316" s="8"/>
      <c r="AO316" s="31"/>
    </row>
    <row r="317" spans="1:41" s="7" customFormat="1" x14ac:dyDescent="0.15">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M317" s="8"/>
      <c r="AN317" s="8"/>
      <c r="AO317" s="31"/>
    </row>
    <row r="318" spans="1:41" s="7" customFormat="1" x14ac:dyDescent="0.15">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M318" s="8"/>
      <c r="AN318" s="8"/>
      <c r="AO318" s="31"/>
    </row>
    <row r="319" spans="1:41" s="7" customFormat="1" x14ac:dyDescent="0.15">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M319" s="8"/>
      <c r="AN319" s="8"/>
      <c r="AO319" s="31"/>
    </row>
    <row r="320" spans="1:41" s="7" customFormat="1" x14ac:dyDescent="0.15">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M320" s="8"/>
      <c r="AN320" s="8"/>
      <c r="AO320" s="31"/>
    </row>
    <row r="321" spans="1:41" s="7" customFormat="1" x14ac:dyDescent="0.15">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M321" s="8"/>
      <c r="AN321" s="8"/>
      <c r="AO321" s="31"/>
    </row>
    <row r="322" spans="1:41" s="7" customFormat="1" x14ac:dyDescent="0.15">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M322" s="8"/>
      <c r="AN322" s="8"/>
      <c r="AO322" s="31"/>
    </row>
    <row r="323" spans="1:41" s="7" customFormat="1" x14ac:dyDescent="0.15">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M323" s="8"/>
      <c r="AN323" s="8"/>
      <c r="AO323" s="31"/>
    </row>
    <row r="324" spans="1:41" s="7" customFormat="1" x14ac:dyDescent="0.15">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M324" s="8"/>
      <c r="AN324" s="8"/>
      <c r="AO324" s="31"/>
    </row>
    <row r="325" spans="1:41" s="7" customFormat="1" x14ac:dyDescent="0.15">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M325" s="8"/>
      <c r="AN325" s="8"/>
      <c r="AO325" s="31"/>
    </row>
    <row r="326" spans="1:41" s="7" customFormat="1" x14ac:dyDescent="0.15">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M326" s="8"/>
      <c r="AN326" s="8"/>
      <c r="AO326" s="31"/>
    </row>
    <row r="327" spans="1:41" s="7" customFormat="1" x14ac:dyDescent="0.15">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5"/>
      <c r="AH327" s="34"/>
      <c r="AI327" s="34"/>
      <c r="AJ327" s="34"/>
      <c r="AM327" s="8"/>
      <c r="AN327" s="8"/>
      <c r="AO327" s="31"/>
    </row>
    <row r="328" spans="1:41" s="7" customFormat="1" x14ac:dyDescent="0.15">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5"/>
      <c r="AH328" s="34"/>
      <c r="AI328" s="34"/>
      <c r="AJ328" s="34"/>
      <c r="AM328" s="8"/>
      <c r="AN328" s="8"/>
      <c r="AO328" s="31"/>
    </row>
    <row r="329" spans="1:41" s="7" customFormat="1" x14ac:dyDescent="0.15">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5"/>
      <c r="AH329" s="34"/>
      <c r="AI329" s="34"/>
      <c r="AJ329" s="34"/>
      <c r="AM329" s="8"/>
      <c r="AN329" s="8"/>
      <c r="AO329" s="31"/>
    </row>
    <row r="330" spans="1:41" s="7" customFormat="1" x14ac:dyDescent="0.15">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5"/>
      <c r="AH330" s="34"/>
      <c r="AI330" s="34"/>
      <c r="AJ330" s="34"/>
      <c r="AM330" s="8"/>
      <c r="AN330" s="8"/>
      <c r="AO330" s="31"/>
    </row>
    <row r="331" spans="1:41" s="7" customFormat="1" x14ac:dyDescent="0.15">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5"/>
      <c r="AH331" s="34"/>
      <c r="AI331" s="34"/>
      <c r="AJ331" s="34"/>
      <c r="AM331" s="8"/>
      <c r="AN331" s="8"/>
      <c r="AO331" s="31"/>
    </row>
    <row r="332" spans="1:41" s="7" customFormat="1" x14ac:dyDescent="0.15">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5"/>
      <c r="AH332" s="34"/>
      <c r="AI332" s="34"/>
      <c r="AJ332" s="34"/>
      <c r="AM332" s="8"/>
      <c r="AN332" s="8"/>
      <c r="AO332" s="31"/>
    </row>
    <row r="333" spans="1:41" s="7" customFormat="1" x14ac:dyDescent="0.15">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5"/>
      <c r="AH333" s="34"/>
      <c r="AI333" s="34"/>
      <c r="AJ333" s="34"/>
      <c r="AM333" s="8"/>
      <c r="AN333" s="8"/>
      <c r="AO333" s="31"/>
    </row>
    <row r="334" spans="1:41" s="7" customFormat="1" x14ac:dyDescent="0.15">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5"/>
      <c r="AH334" s="34"/>
      <c r="AI334" s="34"/>
      <c r="AJ334" s="34"/>
      <c r="AM334" s="8"/>
      <c r="AN334" s="8"/>
      <c r="AO334" s="31"/>
    </row>
    <row r="335" spans="1:41" s="7" customFormat="1" x14ac:dyDescent="0.15">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5"/>
      <c r="AH335" s="34"/>
      <c r="AI335" s="34"/>
      <c r="AJ335" s="34"/>
      <c r="AM335" s="8"/>
      <c r="AN335" s="8"/>
      <c r="AO335" s="31"/>
    </row>
    <row r="336" spans="1:41" s="7" customFormat="1" x14ac:dyDescent="0.15">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5"/>
      <c r="AH336" s="34"/>
      <c r="AI336" s="34"/>
      <c r="AJ336" s="34"/>
      <c r="AM336" s="8"/>
      <c r="AN336" s="8"/>
      <c r="AO336" s="31"/>
    </row>
    <row r="337" spans="1:41" s="7" customFormat="1" x14ac:dyDescent="0.15">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5"/>
      <c r="AH337" s="34"/>
      <c r="AI337" s="34"/>
      <c r="AJ337" s="34"/>
      <c r="AM337" s="8"/>
      <c r="AN337" s="8"/>
      <c r="AO337" s="31"/>
    </row>
    <row r="338" spans="1:41" s="7" customFormat="1" x14ac:dyDescent="0.15">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5"/>
      <c r="AH338" s="34"/>
      <c r="AI338" s="34"/>
      <c r="AJ338" s="34"/>
      <c r="AM338" s="8"/>
      <c r="AN338" s="8"/>
      <c r="AO338" s="31"/>
    </row>
    <row r="339" spans="1:41" s="7" customFormat="1" x14ac:dyDescent="0.15">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5"/>
      <c r="AH339" s="34"/>
      <c r="AI339" s="34"/>
      <c r="AJ339" s="34"/>
      <c r="AM339" s="8"/>
      <c r="AN339" s="8"/>
      <c r="AO339" s="31"/>
    </row>
    <row r="340" spans="1:41" s="7" customFormat="1" x14ac:dyDescent="0.15">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5"/>
      <c r="AH340" s="34"/>
      <c r="AI340" s="34"/>
      <c r="AJ340" s="34"/>
      <c r="AM340" s="8"/>
      <c r="AN340" s="8"/>
      <c r="AO340" s="31"/>
    </row>
    <row r="341" spans="1:41" s="7" customFormat="1" x14ac:dyDescent="0.15">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5"/>
      <c r="AH341" s="34"/>
      <c r="AI341" s="34"/>
      <c r="AJ341" s="34"/>
      <c r="AM341" s="8"/>
      <c r="AN341" s="8"/>
      <c r="AO341" s="31"/>
    </row>
    <row r="342" spans="1:41" s="7" customFormat="1" x14ac:dyDescent="0.15">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5"/>
      <c r="AH342" s="34"/>
      <c r="AI342" s="34"/>
      <c r="AJ342" s="34"/>
      <c r="AM342" s="8"/>
      <c r="AN342" s="8"/>
      <c r="AO342" s="31"/>
    </row>
    <row r="343" spans="1:41" s="7" customFormat="1" x14ac:dyDescent="0.15">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5"/>
      <c r="AH343" s="34"/>
      <c r="AI343" s="34"/>
      <c r="AJ343" s="34"/>
      <c r="AM343" s="8"/>
      <c r="AN343" s="8"/>
      <c r="AO343" s="31"/>
    </row>
    <row r="344" spans="1:41" s="7" customFormat="1" x14ac:dyDescent="0.15">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5"/>
      <c r="AH344" s="34"/>
      <c r="AI344" s="34"/>
      <c r="AJ344" s="34"/>
      <c r="AM344" s="8"/>
      <c r="AN344" s="8"/>
      <c r="AO344" s="31"/>
    </row>
    <row r="345" spans="1:41" s="7" customFormat="1" x14ac:dyDescent="0.15">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5"/>
      <c r="AH345" s="34"/>
      <c r="AI345" s="34"/>
      <c r="AJ345" s="34"/>
      <c r="AM345" s="8"/>
      <c r="AN345" s="8"/>
      <c r="AO345" s="31"/>
    </row>
    <row r="346" spans="1:41" s="7" customFormat="1" x14ac:dyDescent="0.15">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5"/>
      <c r="AH346" s="34"/>
      <c r="AI346" s="34"/>
      <c r="AJ346" s="34"/>
      <c r="AM346" s="8"/>
      <c r="AN346" s="8"/>
      <c r="AO346" s="31"/>
    </row>
    <row r="347" spans="1:41" s="7" customFormat="1" x14ac:dyDescent="0.15">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5"/>
      <c r="AH347" s="34"/>
      <c r="AI347" s="34"/>
      <c r="AJ347" s="34"/>
      <c r="AM347" s="8"/>
      <c r="AN347" s="8"/>
      <c r="AO347" s="31"/>
    </row>
    <row r="348" spans="1:41" s="7" customFormat="1" x14ac:dyDescent="0.15">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5"/>
      <c r="AH348" s="34"/>
      <c r="AI348" s="34"/>
      <c r="AJ348" s="34"/>
      <c r="AM348" s="8"/>
      <c r="AN348" s="8"/>
      <c r="AO348" s="31"/>
    </row>
    <row r="349" spans="1:41" s="7" customFormat="1" x14ac:dyDescent="0.15">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5"/>
      <c r="AH349" s="34"/>
      <c r="AI349" s="34"/>
      <c r="AJ349" s="34"/>
      <c r="AM349" s="8"/>
      <c r="AN349" s="8"/>
      <c r="AO349" s="31"/>
    </row>
    <row r="350" spans="1:41" s="7" customFormat="1" x14ac:dyDescent="0.15">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5"/>
      <c r="AH350" s="34"/>
      <c r="AI350" s="34"/>
      <c r="AJ350" s="34"/>
      <c r="AM350" s="8"/>
      <c r="AN350" s="8"/>
      <c r="AO350" s="31"/>
    </row>
    <row r="351" spans="1:41" s="7" customFormat="1" x14ac:dyDescent="0.15">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5"/>
      <c r="AH351" s="34"/>
      <c r="AI351" s="34"/>
      <c r="AJ351" s="34"/>
      <c r="AM351" s="8"/>
      <c r="AN351" s="8"/>
      <c r="AO351" s="31"/>
    </row>
    <row r="352" spans="1:41" s="7" customFormat="1" x14ac:dyDescent="0.15">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5"/>
      <c r="AH352" s="34"/>
      <c r="AI352" s="34"/>
      <c r="AJ352" s="34"/>
      <c r="AM352" s="8"/>
      <c r="AN352" s="8"/>
      <c r="AO352" s="31"/>
    </row>
    <row r="353" spans="1:41" s="7" customFormat="1" x14ac:dyDescent="0.15">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5"/>
      <c r="AH353" s="34"/>
      <c r="AI353" s="34"/>
      <c r="AJ353" s="34"/>
      <c r="AM353" s="8"/>
      <c r="AN353" s="8"/>
      <c r="AO353" s="31"/>
    </row>
    <row r="354" spans="1:41" s="7" customFormat="1" x14ac:dyDescent="0.15">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5"/>
      <c r="AH354" s="34"/>
      <c r="AI354" s="34"/>
      <c r="AJ354" s="34"/>
      <c r="AM354" s="8"/>
      <c r="AN354" s="8"/>
      <c r="AO354" s="31"/>
    </row>
    <row r="355" spans="1:41" s="7" customFormat="1" x14ac:dyDescent="0.15">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5"/>
      <c r="AH355" s="34"/>
      <c r="AI355" s="34"/>
      <c r="AJ355" s="34"/>
      <c r="AM355" s="8"/>
      <c r="AN355" s="8"/>
      <c r="AO355" s="31"/>
    </row>
    <row r="356" spans="1:41" s="7" customFormat="1" x14ac:dyDescent="0.15">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5"/>
      <c r="AH356" s="34"/>
      <c r="AI356" s="34"/>
      <c r="AJ356" s="34"/>
      <c r="AM356" s="8"/>
      <c r="AN356" s="8"/>
      <c r="AO356" s="31"/>
    </row>
    <row r="357" spans="1:41" s="7" customFormat="1" x14ac:dyDescent="0.15">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5"/>
      <c r="AH357" s="34"/>
      <c r="AI357" s="34"/>
      <c r="AJ357" s="34"/>
      <c r="AM357" s="8"/>
      <c r="AN357" s="8"/>
      <c r="AO357" s="31"/>
    </row>
    <row r="358" spans="1:41" s="7" customFormat="1" x14ac:dyDescent="0.15">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5"/>
      <c r="AH358" s="34"/>
      <c r="AI358" s="34"/>
      <c r="AJ358" s="34"/>
      <c r="AM358" s="8"/>
      <c r="AN358" s="8"/>
      <c r="AO358" s="31"/>
    </row>
    <row r="359" spans="1:41" s="7" customFormat="1" x14ac:dyDescent="0.15">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5"/>
      <c r="AH359" s="34"/>
      <c r="AI359" s="34"/>
      <c r="AJ359" s="34"/>
      <c r="AM359" s="8"/>
      <c r="AN359" s="8"/>
      <c r="AO359" s="31"/>
    </row>
    <row r="360" spans="1:41" s="7" customFormat="1" x14ac:dyDescent="0.15">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5"/>
      <c r="AH360" s="34"/>
      <c r="AI360" s="34"/>
      <c r="AJ360" s="34"/>
      <c r="AM360" s="8"/>
      <c r="AN360" s="8"/>
      <c r="AO360" s="31"/>
    </row>
    <row r="361" spans="1:41" s="7" customFormat="1" x14ac:dyDescent="0.15">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5"/>
      <c r="AH361" s="34"/>
      <c r="AI361" s="34"/>
      <c r="AJ361" s="34"/>
      <c r="AM361" s="8"/>
      <c r="AN361" s="8"/>
      <c r="AO361" s="31"/>
    </row>
    <row r="362" spans="1:41" s="7" customFormat="1" x14ac:dyDescent="0.15">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5"/>
      <c r="AH362" s="34"/>
      <c r="AI362" s="34"/>
      <c r="AJ362" s="34"/>
      <c r="AM362" s="8"/>
      <c r="AN362" s="8"/>
      <c r="AO362" s="31"/>
    </row>
    <row r="363" spans="1:41" s="7" customFormat="1" x14ac:dyDescent="0.15">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5"/>
      <c r="AH363" s="34"/>
      <c r="AI363" s="34"/>
      <c r="AJ363" s="34"/>
      <c r="AM363" s="8"/>
      <c r="AN363" s="8"/>
      <c r="AO363" s="31"/>
    </row>
    <row r="364" spans="1:41" s="7" customFormat="1" x14ac:dyDescent="0.15">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5"/>
      <c r="AH364" s="34"/>
      <c r="AI364" s="34"/>
      <c r="AJ364" s="34"/>
      <c r="AM364" s="8"/>
      <c r="AN364" s="8"/>
      <c r="AO364" s="31"/>
    </row>
    <row r="365" spans="1:41" s="7" customFormat="1" x14ac:dyDescent="0.15">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5"/>
      <c r="AH365" s="34"/>
      <c r="AI365" s="34"/>
      <c r="AJ365" s="34"/>
      <c r="AM365" s="8"/>
      <c r="AN365" s="8"/>
      <c r="AO365" s="31"/>
    </row>
    <row r="366" spans="1:41" s="7" customFormat="1" x14ac:dyDescent="0.15">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5"/>
      <c r="AH366" s="34"/>
      <c r="AI366" s="34"/>
      <c r="AJ366" s="34"/>
      <c r="AM366" s="8"/>
      <c r="AN366" s="8"/>
      <c r="AO366" s="31"/>
    </row>
    <row r="367" spans="1:41" s="7" customFormat="1" x14ac:dyDescent="0.15">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5"/>
      <c r="AH367" s="34"/>
      <c r="AI367" s="34"/>
      <c r="AJ367" s="34"/>
      <c r="AM367" s="8"/>
      <c r="AN367" s="8"/>
      <c r="AO367" s="31"/>
    </row>
    <row r="368" spans="1:41" s="7" customFormat="1" x14ac:dyDescent="0.15">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5"/>
      <c r="AH368" s="34"/>
      <c r="AI368" s="34"/>
      <c r="AJ368" s="34"/>
      <c r="AM368" s="8"/>
      <c r="AN368" s="8"/>
      <c r="AO368" s="31"/>
    </row>
    <row r="369" spans="1:41" s="7" customFormat="1" x14ac:dyDescent="0.15">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5"/>
      <c r="AH369" s="34"/>
      <c r="AI369" s="34"/>
      <c r="AJ369" s="34"/>
      <c r="AM369" s="8"/>
      <c r="AN369" s="8"/>
      <c r="AO369" s="31"/>
    </row>
    <row r="370" spans="1:41" s="7" customFormat="1" x14ac:dyDescent="0.15">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5"/>
      <c r="AH370" s="34"/>
      <c r="AI370" s="34"/>
      <c r="AJ370" s="34"/>
      <c r="AM370" s="8"/>
      <c r="AN370" s="8"/>
      <c r="AO370" s="31"/>
    </row>
    <row r="371" spans="1:41" s="7" customFormat="1" x14ac:dyDescent="0.15">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5"/>
      <c r="AH371" s="34"/>
      <c r="AI371" s="34"/>
      <c r="AJ371" s="34"/>
      <c r="AM371" s="8"/>
      <c r="AN371" s="8"/>
      <c r="AO371" s="31"/>
    </row>
    <row r="372" spans="1:41" s="7" customFormat="1" x14ac:dyDescent="0.15">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5"/>
      <c r="AH372" s="34"/>
      <c r="AI372" s="34"/>
      <c r="AJ372" s="34"/>
      <c r="AM372" s="8"/>
      <c r="AN372" s="8"/>
      <c r="AO372" s="31"/>
    </row>
    <row r="373" spans="1:41" s="7" customFormat="1" x14ac:dyDescent="0.15">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M373" s="8"/>
      <c r="AN373" s="8"/>
      <c r="AO373" s="31"/>
    </row>
    <row r="374" spans="1:41" s="7" customFormat="1" x14ac:dyDescent="0.15">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M374" s="8"/>
      <c r="AN374" s="8"/>
      <c r="AO374" s="31"/>
    </row>
    <row r="375" spans="1:41" s="7" customFormat="1" x14ac:dyDescent="0.15">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M375" s="8"/>
      <c r="AN375" s="8"/>
      <c r="AO375" s="31"/>
    </row>
    <row r="376" spans="1:41" s="7" customFormat="1" x14ac:dyDescent="0.15">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M376" s="8"/>
      <c r="AN376" s="8"/>
      <c r="AO376" s="31"/>
    </row>
    <row r="377" spans="1:41" s="7" customFormat="1" x14ac:dyDescent="0.15">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M377" s="8"/>
      <c r="AN377" s="8"/>
      <c r="AO377" s="31"/>
    </row>
    <row r="378" spans="1:41" s="7" customFormat="1" x14ac:dyDescent="0.15">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M378" s="8"/>
      <c r="AN378" s="8"/>
      <c r="AO378" s="31"/>
    </row>
    <row r="379" spans="1:41" s="7" customFormat="1" x14ac:dyDescent="0.15">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M379" s="8"/>
      <c r="AN379" s="8"/>
      <c r="AO379" s="31"/>
    </row>
    <row r="380" spans="1:41" s="7" customFormat="1" x14ac:dyDescent="0.15">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M380" s="8"/>
      <c r="AN380" s="8"/>
      <c r="AO380" s="31"/>
    </row>
    <row r="381" spans="1:41" s="7" customFormat="1" x14ac:dyDescent="0.15">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M381" s="8"/>
      <c r="AN381" s="8"/>
      <c r="AO381" s="31"/>
    </row>
    <row r="382" spans="1:41" s="7" customFormat="1" x14ac:dyDescent="0.15">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M382" s="8"/>
      <c r="AN382" s="8"/>
      <c r="AO382" s="31"/>
    </row>
    <row r="383" spans="1:41" s="7" customFormat="1" x14ac:dyDescent="0.15">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M383" s="8"/>
      <c r="AN383" s="8"/>
      <c r="AO383" s="31"/>
    </row>
    <row r="384" spans="1:41" s="7" customFormat="1" x14ac:dyDescent="0.15">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M384" s="8"/>
      <c r="AN384" s="8"/>
      <c r="AO384" s="31"/>
    </row>
    <row r="385" spans="1:41" s="7" customFormat="1" x14ac:dyDescent="0.15">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M385" s="8"/>
      <c r="AN385" s="8"/>
      <c r="AO385" s="31"/>
    </row>
    <row r="386" spans="1:41" s="7" customFormat="1" x14ac:dyDescent="0.15">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M386" s="8"/>
      <c r="AN386" s="8"/>
      <c r="AO386" s="31"/>
    </row>
    <row r="387" spans="1:41" s="7" customFormat="1" x14ac:dyDescent="0.15">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M387" s="8"/>
      <c r="AN387" s="8"/>
      <c r="AO387" s="31"/>
    </row>
    <row r="388" spans="1:41" s="7" customFormat="1" x14ac:dyDescent="0.15">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M388" s="8"/>
      <c r="AN388" s="8"/>
      <c r="AO388" s="31"/>
    </row>
    <row r="389" spans="1:41" s="7" customFormat="1" x14ac:dyDescent="0.15">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5"/>
      <c r="AH389" s="34"/>
      <c r="AI389" s="34"/>
      <c r="AJ389" s="34"/>
      <c r="AM389" s="8"/>
      <c r="AN389" s="8"/>
      <c r="AO389" s="31"/>
    </row>
    <row r="390" spans="1:41" s="7" customFormat="1" x14ac:dyDescent="0.15">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5"/>
      <c r="AH390" s="34"/>
      <c r="AI390" s="34"/>
      <c r="AJ390" s="34"/>
      <c r="AM390" s="8"/>
      <c r="AN390" s="8"/>
      <c r="AO390" s="31"/>
    </row>
    <row r="391" spans="1:41" s="7" customFormat="1" x14ac:dyDescent="0.15">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5"/>
      <c r="AH391" s="34"/>
      <c r="AI391" s="34"/>
      <c r="AJ391" s="34"/>
      <c r="AM391" s="8"/>
      <c r="AN391" s="8"/>
      <c r="AO391" s="31"/>
    </row>
    <row r="392" spans="1:41" s="7" customFormat="1" x14ac:dyDescent="0.15">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5"/>
      <c r="AH392" s="34"/>
      <c r="AI392" s="34"/>
      <c r="AJ392" s="34"/>
      <c r="AM392" s="8"/>
      <c r="AN392" s="8"/>
      <c r="AO392" s="31"/>
    </row>
    <row r="393" spans="1:41" s="7" customFormat="1" x14ac:dyDescent="0.15">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5"/>
      <c r="AH393" s="34"/>
      <c r="AI393" s="34"/>
      <c r="AJ393" s="34"/>
      <c r="AM393" s="8"/>
      <c r="AN393" s="8"/>
      <c r="AO393" s="31"/>
    </row>
    <row r="394" spans="1:41" s="7" customFormat="1" x14ac:dyDescent="0.15">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5"/>
      <c r="AH394" s="34"/>
      <c r="AI394" s="34"/>
      <c r="AJ394" s="34"/>
      <c r="AM394" s="8"/>
      <c r="AN394" s="8"/>
      <c r="AO394" s="31"/>
    </row>
    <row r="395" spans="1:41" s="7" customFormat="1" x14ac:dyDescent="0.15">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5"/>
      <c r="AH395" s="34"/>
      <c r="AI395" s="34"/>
      <c r="AJ395" s="34"/>
      <c r="AM395" s="8"/>
      <c r="AN395" s="8"/>
      <c r="AO395" s="31"/>
    </row>
    <row r="396" spans="1:41" s="7" customFormat="1" x14ac:dyDescent="0.15">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5"/>
      <c r="AH396" s="34"/>
      <c r="AI396" s="34"/>
      <c r="AJ396" s="34"/>
      <c r="AM396" s="8"/>
      <c r="AN396" s="8"/>
      <c r="AO396" s="31"/>
    </row>
    <row r="397" spans="1:41" s="7" customFormat="1" x14ac:dyDescent="0.15">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5"/>
      <c r="AH397" s="34"/>
      <c r="AI397" s="34"/>
      <c r="AJ397" s="34"/>
      <c r="AM397" s="8"/>
      <c r="AN397" s="8"/>
      <c r="AO397" s="31"/>
    </row>
    <row r="398" spans="1:41" s="7" customFormat="1" x14ac:dyDescent="0.15">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5"/>
      <c r="AH398" s="34"/>
      <c r="AI398" s="34"/>
      <c r="AJ398" s="34"/>
      <c r="AM398" s="8"/>
      <c r="AN398" s="8"/>
      <c r="AO398" s="31"/>
    </row>
    <row r="399" spans="1:41" s="7" customFormat="1" x14ac:dyDescent="0.15">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5"/>
      <c r="AH399" s="34"/>
      <c r="AI399" s="34"/>
      <c r="AJ399" s="34"/>
      <c r="AM399" s="8"/>
      <c r="AN399" s="8"/>
      <c r="AO399" s="31"/>
    </row>
    <row r="400" spans="1:41" s="7" customFormat="1" x14ac:dyDescent="0.15">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5"/>
      <c r="AH400" s="34"/>
      <c r="AI400" s="34"/>
      <c r="AJ400" s="34"/>
      <c r="AM400" s="8"/>
      <c r="AN400" s="8"/>
      <c r="AO400" s="31"/>
    </row>
    <row r="401" spans="1:41" s="7" customFormat="1" x14ac:dyDescent="0.15">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5"/>
      <c r="AH401" s="34"/>
      <c r="AI401" s="34"/>
      <c r="AJ401" s="34"/>
      <c r="AM401" s="8"/>
      <c r="AN401" s="8"/>
      <c r="AO401" s="31"/>
    </row>
    <row r="402" spans="1:41" s="7" customFormat="1" x14ac:dyDescent="0.15">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5"/>
      <c r="AH402" s="34"/>
      <c r="AI402" s="34"/>
      <c r="AJ402" s="34"/>
      <c r="AM402" s="8"/>
      <c r="AN402" s="8"/>
      <c r="AO402" s="31"/>
    </row>
    <row r="403" spans="1:41" s="7" customFormat="1" x14ac:dyDescent="0.15">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5"/>
      <c r="AH403" s="34"/>
      <c r="AI403" s="34"/>
      <c r="AJ403" s="34"/>
      <c r="AM403" s="8"/>
      <c r="AN403" s="8"/>
      <c r="AO403" s="31"/>
    </row>
    <row r="404" spans="1:41" s="7" customFormat="1" x14ac:dyDescent="0.15">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5"/>
      <c r="AH404" s="34"/>
      <c r="AI404" s="34"/>
      <c r="AJ404" s="34"/>
      <c r="AM404" s="8"/>
      <c r="AN404" s="8"/>
      <c r="AO404" s="31"/>
    </row>
    <row r="405" spans="1:41" s="7" customFormat="1" x14ac:dyDescent="0.15">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5"/>
      <c r="AH405" s="34"/>
      <c r="AI405" s="34"/>
      <c r="AJ405" s="34"/>
      <c r="AM405" s="8"/>
      <c r="AN405" s="8"/>
      <c r="AO405" s="31"/>
    </row>
    <row r="406" spans="1:41" s="7" customFormat="1" x14ac:dyDescent="0.15">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5"/>
      <c r="AH406" s="34"/>
      <c r="AI406" s="34"/>
      <c r="AJ406" s="34"/>
      <c r="AM406" s="8"/>
      <c r="AN406" s="8"/>
      <c r="AO406" s="31"/>
    </row>
    <row r="407" spans="1:41" s="7" customFormat="1" x14ac:dyDescent="0.15">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5"/>
      <c r="AH407" s="34"/>
      <c r="AI407" s="34"/>
      <c r="AJ407" s="34"/>
      <c r="AM407" s="8"/>
      <c r="AN407" s="8"/>
      <c r="AO407" s="31"/>
    </row>
    <row r="408" spans="1:41" s="7" customFormat="1" x14ac:dyDescent="0.15">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5"/>
      <c r="AH408" s="34"/>
      <c r="AI408" s="34"/>
      <c r="AJ408" s="34"/>
      <c r="AM408" s="8"/>
      <c r="AN408" s="8"/>
      <c r="AO408" s="31"/>
    </row>
    <row r="409" spans="1:41" s="7" customFormat="1" x14ac:dyDescent="0.15">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5"/>
      <c r="AH409" s="34"/>
      <c r="AI409" s="34"/>
      <c r="AJ409" s="34"/>
      <c r="AM409" s="8"/>
      <c r="AN409" s="8"/>
      <c r="AO409" s="31"/>
    </row>
    <row r="410" spans="1:41" s="7" customFormat="1" x14ac:dyDescent="0.15">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5"/>
      <c r="AH410" s="34"/>
      <c r="AI410" s="34"/>
      <c r="AJ410" s="34"/>
      <c r="AM410" s="8"/>
      <c r="AN410" s="8"/>
      <c r="AO410" s="31"/>
    </row>
    <row r="411" spans="1:41" s="7" customFormat="1" x14ac:dyDescent="0.15">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5"/>
      <c r="AH411" s="34"/>
      <c r="AI411" s="34"/>
      <c r="AJ411" s="34"/>
      <c r="AM411" s="8"/>
      <c r="AN411" s="8"/>
      <c r="AO411" s="31"/>
    </row>
    <row r="412" spans="1:41" s="7" customFormat="1" x14ac:dyDescent="0.15">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5"/>
      <c r="AH412" s="34"/>
      <c r="AI412" s="34"/>
      <c r="AJ412" s="34"/>
      <c r="AM412" s="8"/>
      <c r="AN412" s="8"/>
      <c r="AO412" s="31"/>
    </row>
    <row r="413" spans="1:41" s="7" customFormat="1" x14ac:dyDescent="0.15">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5"/>
      <c r="AH413" s="34"/>
      <c r="AI413" s="34"/>
      <c r="AJ413" s="34"/>
      <c r="AM413" s="8"/>
      <c r="AN413" s="8"/>
      <c r="AO413" s="31"/>
    </row>
    <row r="414" spans="1:41" s="7" customFormat="1" x14ac:dyDescent="0.15">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5"/>
      <c r="AH414" s="34"/>
      <c r="AI414" s="34"/>
      <c r="AJ414" s="34"/>
      <c r="AM414" s="8"/>
      <c r="AN414" s="8"/>
      <c r="AO414" s="31"/>
    </row>
    <row r="415" spans="1:41" s="7" customFormat="1" x14ac:dyDescent="0.15">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5"/>
      <c r="AH415" s="34"/>
      <c r="AI415" s="34"/>
      <c r="AJ415" s="34"/>
      <c r="AM415" s="8"/>
      <c r="AN415" s="8"/>
      <c r="AO415" s="31"/>
    </row>
    <row r="416" spans="1:41" s="7" customFormat="1" x14ac:dyDescent="0.15">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5"/>
      <c r="AH416" s="34"/>
      <c r="AI416" s="34"/>
      <c r="AJ416" s="34"/>
      <c r="AM416" s="8"/>
      <c r="AN416" s="8"/>
      <c r="AO416" s="31"/>
    </row>
    <row r="417" spans="1:41" s="7" customFormat="1" x14ac:dyDescent="0.15">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5"/>
      <c r="AH417" s="34"/>
      <c r="AI417" s="34"/>
      <c r="AJ417" s="34"/>
      <c r="AM417" s="8"/>
      <c r="AN417" s="8"/>
      <c r="AO417" s="31"/>
    </row>
    <row r="418" spans="1:41" s="7" customFormat="1" x14ac:dyDescent="0.15">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5"/>
      <c r="AH418" s="34"/>
      <c r="AI418" s="34"/>
      <c r="AJ418" s="34"/>
      <c r="AM418" s="8"/>
      <c r="AN418" s="8"/>
      <c r="AO418" s="31"/>
    </row>
    <row r="419" spans="1:41" s="7" customFormat="1" x14ac:dyDescent="0.15">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5"/>
      <c r="AH419" s="34"/>
      <c r="AI419" s="34"/>
      <c r="AJ419" s="34"/>
      <c r="AM419" s="8"/>
      <c r="AN419" s="8"/>
      <c r="AO419" s="31"/>
    </row>
    <row r="420" spans="1:41" s="7" customFormat="1" x14ac:dyDescent="0.15">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5"/>
      <c r="AH420" s="34"/>
      <c r="AI420" s="34"/>
      <c r="AJ420" s="34"/>
      <c r="AM420" s="8"/>
      <c r="AN420" s="8"/>
      <c r="AO420" s="31"/>
    </row>
    <row r="421" spans="1:41" s="7" customFormat="1" x14ac:dyDescent="0.15">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5"/>
      <c r="AH421" s="34"/>
      <c r="AI421" s="34"/>
      <c r="AJ421" s="34"/>
      <c r="AM421" s="8"/>
      <c r="AN421" s="8"/>
      <c r="AO421" s="31"/>
    </row>
    <row r="422" spans="1:41" s="7" customFormat="1" x14ac:dyDescent="0.15">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5"/>
      <c r="AH422" s="34"/>
      <c r="AI422" s="34"/>
      <c r="AJ422" s="34"/>
      <c r="AM422" s="8"/>
      <c r="AN422" s="8"/>
      <c r="AO422" s="31"/>
    </row>
    <row r="423" spans="1:41" s="7" customFormat="1" x14ac:dyDescent="0.15">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5"/>
      <c r="AH423" s="34"/>
      <c r="AI423" s="34"/>
      <c r="AJ423" s="34"/>
      <c r="AM423" s="8"/>
      <c r="AN423" s="8"/>
      <c r="AO423" s="31"/>
    </row>
    <row r="424" spans="1:41" s="7" customFormat="1" x14ac:dyDescent="0.15">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5"/>
      <c r="AH424" s="34"/>
      <c r="AI424" s="34"/>
      <c r="AJ424" s="34"/>
      <c r="AM424" s="8"/>
      <c r="AN424" s="8"/>
      <c r="AO424" s="31"/>
    </row>
    <row r="425" spans="1:41" s="7" customFormat="1" x14ac:dyDescent="0.15">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5"/>
      <c r="AH425" s="34"/>
      <c r="AI425" s="34"/>
      <c r="AJ425" s="34"/>
      <c r="AM425" s="8"/>
      <c r="AN425" s="8"/>
      <c r="AO425" s="31"/>
    </row>
    <row r="426" spans="1:41" s="7" customFormat="1" x14ac:dyDescent="0.15">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5"/>
      <c r="AH426" s="34"/>
      <c r="AI426" s="34"/>
      <c r="AJ426" s="34"/>
      <c r="AM426" s="8"/>
      <c r="AN426" s="8"/>
      <c r="AO426" s="31"/>
    </row>
    <row r="427" spans="1:41" s="7" customFormat="1" x14ac:dyDescent="0.15">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5"/>
      <c r="AH427" s="34"/>
      <c r="AI427" s="34"/>
      <c r="AJ427" s="34"/>
      <c r="AM427" s="8"/>
      <c r="AN427" s="8"/>
      <c r="AO427" s="31"/>
    </row>
    <row r="428" spans="1:41" s="7" customFormat="1" x14ac:dyDescent="0.15">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5"/>
      <c r="AH428" s="34"/>
      <c r="AI428" s="34"/>
      <c r="AJ428" s="34"/>
      <c r="AM428" s="8"/>
      <c r="AN428" s="8"/>
      <c r="AO428" s="31"/>
    </row>
    <row r="429" spans="1:41" s="7" customFormat="1" x14ac:dyDescent="0.15">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5"/>
      <c r="AH429" s="34"/>
      <c r="AI429" s="34"/>
      <c r="AJ429" s="34"/>
      <c r="AM429" s="8"/>
      <c r="AN429" s="8"/>
      <c r="AO429" s="31"/>
    </row>
    <row r="430" spans="1:41" s="7" customFormat="1" x14ac:dyDescent="0.15">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5"/>
      <c r="AH430" s="34"/>
      <c r="AI430" s="34"/>
      <c r="AJ430" s="34"/>
      <c r="AM430" s="8"/>
      <c r="AN430" s="8"/>
      <c r="AO430" s="31"/>
    </row>
    <row r="431" spans="1:41" s="7" customFormat="1" x14ac:dyDescent="0.15">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5"/>
      <c r="AH431" s="34"/>
      <c r="AI431" s="34"/>
      <c r="AJ431" s="34"/>
      <c r="AM431" s="8"/>
      <c r="AN431" s="8"/>
      <c r="AO431" s="31"/>
    </row>
    <row r="432" spans="1:41" s="7" customFormat="1" x14ac:dyDescent="0.15">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5"/>
      <c r="AH432" s="34"/>
      <c r="AI432" s="34"/>
      <c r="AJ432" s="34"/>
      <c r="AM432" s="8"/>
      <c r="AN432" s="8"/>
      <c r="AO432" s="31"/>
    </row>
    <row r="433" spans="1:41" s="7" customFormat="1" x14ac:dyDescent="0.15">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5"/>
      <c r="AH433" s="34"/>
      <c r="AI433" s="34"/>
      <c r="AJ433" s="34"/>
      <c r="AM433" s="8"/>
      <c r="AN433" s="8"/>
      <c r="AO433" s="31"/>
    </row>
    <row r="434" spans="1:41" s="7" customFormat="1" x14ac:dyDescent="0.15">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5"/>
      <c r="AH434" s="34"/>
      <c r="AI434" s="34"/>
      <c r="AJ434" s="34"/>
      <c r="AM434" s="8"/>
      <c r="AN434" s="8"/>
      <c r="AO434" s="31"/>
    </row>
    <row r="435" spans="1:41" s="7" customFormat="1" x14ac:dyDescent="0.15">
      <c r="E435" s="8"/>
      <c r="AB435" s="8"/>
      <c r="AC435" s="33"/>
      <c r="AD435" s="32"/>
      <c r="AF435" s="8"/>
      <c r="AM435" s="8"/>
      <c r="AN435" s="8"/>
      <c r="AO435" s="31"/>
    </row>
    <row r="436" spans="1:41" s="7" customFormat="1" x14ac:dyDescent="0.15">
      <c r="E436" s="8"/>
      <c r="AB436" s="8"/>
      <c r="AC436" s="33"/>
      <c r="AD436" s="32"/>
      <c r="AF436" s="8"/>
      <c r="AM436" s="8"/>
      <c r="AN436" s="8"/>
      <c r="AO436" s="31"/>
    </row>
    <row r="437" spans="1:41" s="7" customFormat="1" x14ac:dyDescent="0.15">
      <c r="E437" s="8"/>
      <c r="AB437" s="8"/>
      <c r="AC437" s="33"/>
      <c r="AD437" s="32"/>
      <c r="AF437" s="8"/>
      <c r="AM437" s="8"/>
      <c r="AN437" s="8"/>
      <c r="AO437" s="31"/>
    </row>
    <row r="438" spans="1:41" s="7" customFormat="1" x14ac:dyDescent="0.15">
      <c r="E438" s="8"/>
      <c r="AB438" s="8"/>
      <c r="AC438" s="33"/>
      <c r="AD438" s="32"/>
      <c r="AF438" s="8"/>
      <c r="AM438" s="8"/>
      <c r="AN438" s="8"/>
      <c r="AO438" s="31"/>
    </row>
    <row r="439" spans="1:41" s="7" customFormat="1" x14ac:dyDescent="0.15">
      <c r="E439" s="8"/>
      <c r="AB439" s="8"/>
      <c r="AC439" s="33"/>
      <c r="AD439" s="32"/>
      <c r="AF439" s="8"/>
      <c r="AM439" s="8"/>
      <c r="AN439" s="8"/>
      <c r="AO439" s="31"/>
    </row>
    <row r="440" spans="1:41" s="7" customFormat="1" x14ac:dyDescent="0.15">
      <c r="E440" s="8"/>
      <c r="AB440" s="8"/>
      <c r="AC440" s="33"/>
      <c r="AD440" s="32"/>
      <c r="AF440" s="8"/>
      <c r="AM440" s="8"/>
      <c r="AN440" s="8"/>
      <c r="AO440" s="31"/>
    </row>
    <row r="441" spans="1:41" s="7" customFormat="1" x14ac:dyDescent="0.15">
      <c r="E441" s="8"/>
      <c r="AB441" s="8"/>
      <c r="AC441" s="33"/>
      <c r="AD441" s="32"/>
      <c r="AF441" s="8"/>
      <c r="AM441" s="8"/>
      <c r="AN441" s="8"/>
      <c r="AO441" s="31"/>
    </row>
    <row r="442" spans="1:41" s="7" customFormat="1" x14ac:dyDescent="0.15">
      <c r="E442" s="8"/>
      <c r="AB442" s="8"/>
      <c r="AC442" s="33"/>
      <c r="AD442" s="32"/>
      <c r="AF442" s="8"/>
      <c r="AM442" s="8"/>
      <c r="AN442" s="8"/>
      <c r="AO442" s="31"/>
    </row>
    <row r="443" spans="1:41" s="7" customFormat="1" x14ac:dyDescent="0.15">
      <c r="E443" s="8"/>
      <c r="AB443" s="8"/>
      <c r="AC443" s="33"/>
      <c r="AD443" s="32"/>
      <c r="AF443" s="8"/>
      <c r="AM443" s="8"/>
      <c r="AN443" s="8"/>
      <c r="AO443" s="31"/>
    </row>
    <row r="444" spans="1:41" s="7" customFormat="1" x14ac:dyDescent="0.15">
      <c r="E444" s="8"/>
      <c r="AB444" s="8"/>
      <c r="AC444" s="33"/>
      <c r="AD444" s="32"/>
      <c r="AF444" s="8"/>
      <c r="AM444" s="8"/>
      <c r="AN444" s="8"/>
      <c r="AO444" s="31"/>
    </row>
    <row r="445" spans="1:41" s="7" customFormat="1" x14ac:dyDescent="0.15">
      <c r="E445" s="8"/>
      <c r="AB445" s="8"/>
      <c r="AC445" s="33"/>
      <c r="AD445" s="32"/>
      <c r="AF445" s="8"/>
      <c r="AM445" s="8"/>
      <c r="AN445" s="8"/>
      <c r="AO445" s="31"/>
    </row>
    <row r="446" spans="1:41" s="7" customFormat="1" x14ac:dyDescent="0.15">
      <c r="E446" s="8"/>
      <c r="AB446" s="8"/>
      <c r="AC446" s="33"/>
      <c r="AD446" s="32"/>
      <c r="AF446" s="8"/>
      <c r="AM446" s="8"/>
      <c r="AN446" s="8"/>
      <c r="AO446" s="31"/>
    </row>
    <row r="447" spans="1:41" s="7" customFormat="1" x14ac:dyDescent="0.15">
      <c r="E447" s="8"/>
      <c r="AB447" s="8"/>
      <c r="AC447" s="33"/>
      <c r="AD447" s="32"/>
      <c r="AF447" s="8"/>
      <c r="AM447" s="8"/>
      <c r="AN447" s="8"/>
      <c r="AO447" s="31"/>
    </row>
    <row r="448" spans="1:41" s="7" customFormat="1" x14ac:dyDescent="0.15">
      <c r="E448" s="8"/>
      <c r="AB448" s="8"/>
      <c r="AC448" s="33"/>
      <c r="AD448" s="32"/>
      <c r="AF448" s="8"/>
      <c r="AM448" s="8"/>
      <c r="AN448" s="8"/>
      <c r="AO448" s="31"/>
    </row>
    <row r="449" spans="41:41" s="7" customFormat="1" x14ac:dyDescent="0.15">
      <c r="AO449" s="31"/>
    </row>
    <row r="450" spans="41:41" s="7" customFormat="1" x14ac:dyDescent="0.15">
      <c r="AO450" s="31"/>
    </row>
    <row r="451" spans="41:41" s="7" customFormat="1" x14ac:dyDescent="0.15">
      <c r="AO451" s="31"/>
    </row>
    <row r="452" spans="41:41" s="7" customFormat="1" x14ac:dyDescent="0.15">
      <c r="AO452" s="31"/>
    </row>
    <row r="453" spans="41:41" s="7" customFormat="1" x14ac:dyDescent="0.15">
      <c r="AO453" s="31"/>
    </row>
    <row r="454" spans="41:41" s="7" customFormat="1" x14ac:dyDescent="0.15">
      <c r="AO454" s="31"/>
    </row>
    <row r="455" spans="41:41" s="7" customFormat="1" x14ac:dyDescent="0.15">
      <c r="AO455" s="31"/>
    </row>
    <row r="456" spans="41:41" s="7" customFormat="1" x14ac:dyDescent="0.15">
      <c r="AO456" s="31"/>
    </row>
    <row r="457" spans="41:41" s="7" customFormat="1" x14ac:dyDescent="0.15">
      <c r="AO457" s="31"/>
    </row>
    <row r="458" spans="41:41" s="7" customFormat="1" x14ac:dyDescent="0.15">
      <c r="AO458" s="31"/>
    </row>
    <row r="459" spans="41:41" s="7" customFormat="1" x14ac:dyDescent="0.15">
      <c r="AO459" s="31"/>
    </row>
    <row r="460" spans="41:41" s="7" customFormat="1" x14ac:dyDescent="0.15">
      <c r="AO460" s="31"/>
    </row>
    <row r="461" spans="41:41" s="7" customFormat="1" x14ac:dyDescent="0.15">
      <c r="AO461" s="31"/>
    </row>
    <row r="462" spans="41:41" s="7" customFormat="1" x14ac:dyDescent="0.15">
      <c r="AO462" s="31"/>
    </row>
    <row r="463" spans="41:41" s="7" customFormat="1" x14ac:dyDescent="0.15">
      <c r="AO463" s="31"/>
    </row>
    <row r="464" spans="41:41" s="7" customFormat="1" x14ac:dyDescent="0.15">
      <c r="AO464" s="31"/>
    </row>
    <row r="465" spans="41:41" s="7" customFormat="1" x14ac:dyDescent="0.15">
      <c r="AO465" s="31"/>
    </row>
    <row r="466" spans="41:41" s="7" customFormat="1" x14ac:dyDescent="0.15">
      <c r="AO466" s="31"/>
    </row>
    <row r="467" spans="41:41" s="7" customFormat="1" x14ac:dyDescent="0.15">
      <c r="AO467" s="31"/>
    </row>
    <row r="468" spans="41:41" s="7" customFormat="1" x14ac:dyDescent="0.15">
      <c r="AO468" s="31"/>
    </row>
    <row r="469" spans="41:41" s="7" customFormat="1" x14ac:dyDescent="0.15">
      <c r="AO469" s="31"/>
    </row>
    <row r="470" spans="41:41" s="7" customFormat="1" x14ac:dyDescent="0.15">
      <c r="AO470" s="31"/>
    </row>
    <row r="471" spans="41:41" s="7" customFormat="1" x14ac:dyDescent="0.15">
      <c r="AO471" s="31"/>
    </row>
    <row r="472" spans="41:41" s="7" customFormat="1" x14ac:dyDescent="0.15">
      <c r="AO472" s="31"/>
    </row>
    <row r="473" spans="41:41" s="7" customFormat="1" x14ac:dyDescent="0.15">
      <c r="AO473" s="31"/>
    </row>
    <row r="474" spans="41:41" s="7" customFormat="1" x14ac:dyDescent="0.15">
      <c r="AO474" s="31"/>
    </row>
    <row r="475" spans="41:41" s="7" customFormat="1" x14ac:dyDescent="0.15">
      <c r="AO475" s="31"/>
    </row>
    <row r="476" spans="41:41" s="7" customFormat="1" x14ac:dyDescent="0.15">
      <c r="AO476" s="31"/>
    </row>
    <row r="477" spans="41:41" s="7" customFormat="1" x14ac:dyDescent="0.15">
      <c r="AO477" s="31"/>
    </row>
    <row r="478" spans="41:41" s="7" customFormat="1" x14ac:dyDescent="0.15">
      <c r="AO478" s="31"/>
    </row>
    <row r="479" spans="41:41" s="7" customFormat="1" x14ac:dyDescent="0.15">
      <c r="AO479" s="31"/>
    </row>
    <row r="480" spans="41:41" s="7" customFormat="1" x14ac:dyDescent="0.15">
      <c r="AO480" s="31"/>
    </row>
    <row r="481" spans="41:41" s="7" customFormat="1" x14ac:dyDescent="0.15">
      <c r="AO481" s="31"/>
    </row>
    <row r="482" spans="41:41" s="7" customFormat="1" x14ac:dyDescent="0.15">
      <c r="AO482" s="31"/>
    </row>
    <row r="483" spans="41:41" s="7" customFormat="1" x14ac:dyDescent="0.15">
      <c r="AO483" s="31"/>
    </row>
    <row r="484" spans="41:41" s="7" customFormat="1" x14ac:dyDescent="0.15">
      <c r="AO484" s="31"/>
    </row>
    <row r="485" spans="41:41" s="7" customFormat="1" x14ac:dyDescent="0.15">
      <c r="AO485" s="31"/>
    </row>
    <row r="486" spans="41:41" s="7" customFormat="1" x14ac:dyDescent="0.15">
      <c r="AO486" s="31"/>
    </row>
    <row r="487" spans="41:41" s="7" customFormat="1" x14ac:dyDescent="0.15">
      <c r="AO487" s="31"/>
    </row>
    <row r="488" spans="41:41" s="7" customFormat="1" x14ac:dyDescent="0.15">
      <c r="AO488" s="31"/>
    </row>
    <row r="489" spans="41:41" s="7" customFormat="1" x14ac:dyDescent="0.15">
      <c r="AO489" s="31"/>
    </row>
    <row r="490" spans="41:41" s="7" customFormat="1" x14ac:dyDescent="0.15">
      <c r="AO490" s="31"/>
    </row>
    <row r="491" spans="41:41" s="7" customFormat="1" x14ac:dyDescent="0.15">
      <c r="AO491" s="31"/>
    </row>
    <row r="492" spans="41:41" s="7" customFormat="1" x14ac:dyDescent="0.15">
      <c r="AO492" s="31"/>
    </row>
    <row r="493" spans="41:41" s="7" customFormat="1" x14ac:dyDescent="0.15">
      <c r="AO493" s="31"/>
    </row>
    <row r="494" spans="41:41" s="7" customFormat="1" x14ac:dyDescent="0.15">
      <c r="AO494" s="31"/>
    </row>
    <row r="495" spans="41:41" s="7" customFormat="1" x14ac:dyDescent="0.15">
      <c r="AO495" s="31"/>
    </row>
    <row r="496" spans="41:41" s="7" customFormat="1" x14ac:dyDescent="0.15">
      <c r="AO496" s="31"/>
    </row>
    <row r="497" spans="1:41" s="7" customFormat="1" x14ac:dyDescent="0.15">
      <c r="E497" s="8"/>
      <c r="AB497" s="8"/>
      <c r="AC497" s="33"/>
      <c r="AD497" s="32"/>
      <c r="AF497" s="8"/>
      <c r="AM497" s="8"/>
      <c r="AN497" s="8"/>
      <c r="AO497" s="31"/>
    </row>
    <row r="498" spans="1:41" s="7" customFormat="1" x14ac:dyDescent="0.15">
      <c r="E498" s="8"/>
      <c r="AB498" s="8"/>
      <c r="AC498" s="33"/>
      <c r="AD498" s="32"/>
      <c r="AF498" s="8"/>
      <c r="AM498" s="8"/>
      <c r="AN498" s="8"/>
      <c r="AO498" s="31"/>
    </row>
    <row r="499" spans="1:41" s="7" customFormat="1" x14ac:dyDescent="0.15">
      <c r="E499" s="8"/>
      <c r="AB499" s="8"/>
      <c r="AC499" s="33"/>
      <c r="AD499" s="32"/>
      <c r="AF499" s="8"/>
      <c r="AM499" s="8"/>
      <c r="AN499" s="8"/>
      <c r="AO499" s="31"/>
    </row>
    <row r="500" spans="1:41" s="7" customFormat="1" x14ac:dyDescent="0.15">
      <c r="A500" s="8"/>
      <c r="E500" s="8"/>
      <c r="AB500" s="8"/>
      <c r="AC500" s="33"/>
      <c r="AD500" s="32"/>
      <c r="AF500" s="8"/>
      <c r="AM500" s="8"/>
      <c r="AN500" s="8"/>
      <c r="AO500" s="31"/>
    </row>
    <row r="501" spans="1:41" s="7" customFormat="1" x14ac:dyDescent="0.15">
      <c r="A501" s="8"/>
      <c r="E501" s="8"/>
      <c r="AB501" s="8"/>
      <c r="AC501" s="33"/>
      <c r="AD501" s="32"/>
      <c r="AF501" s="8"/>
      <c r="AM501" s="8"/>
      <c r="AN501" s="8"/>
      <c r="AO501" s="31"/>
    </row>
    <row r="502" spans="1:41" s="7" customFormat="1" x14ac:dyDescent="0.15">
      <c r="A502" s="8"/>
      <c r="E502" s="8"/>
      <c r="AB502" s="8"/>
      <c r="AC502" s="33"/>
      <c r="AD502" s="32"/>
      <c r="AF502" s="8"/>
      <c r="AM502" s="8"/>
      <c r="AN502" s="8"/>
      <c r="AO502" s="31"/>
    </row>
    <row r="503" spans="1:41" s="7" customFormat="1" x14ac:dyDescent="0.15">
      <c r="A503" s="8"/>
      <c r="E503" s="8"/>
      <c r="AB503" s="8"/>
      <c r="AC503" s="33"/>
      <c r="AD503" s="32"/>
      <c r="AF503" s="8"/>
      <c r="AM503" s="8"/>
      <c r="AN503" s="8"/>
      <c r="AO503" s="31"/>
    </row>
    <row r="504" spans="1:41" s="7" customFormat="1" x14ac:dyDescent="0.15">
      <c r="A504" s="8"/>
      <c r="E504" s="8"/>
      <c r="AB504" s="8"/>
      <c r="AC504" s="33"/>
      <c r="AD504" s="32"/>
      <c r="AF504" s="8"/>
      <c r="AM504" s="8"/>
      <c r="AN504" s="8"/>
      <c r="AO504" s="31"/>
    </row>
    <row r="505" spans="1:41" s="7" customFormat="1" x14ac:dyDescent="0.15">
      <c r="A505" s="8"/>
      <c r="E505" s="8"/>
      <c r="AB505" s="8"/>
      <c r="AC505" s="33"/>
      <c r="AD505" s="32"/>
      <c r="AF505" s="8"/>
      <c r="AM505" s="8"/>
      <c r="AN505" s="8"/>
      <c r="AO505" s="31"/>
    </row>
    <row r="506" spans="1:41" s="7" customFormat="1" x14ac:dyDescent="0.15">
      <c r="A506" s="8"/>
      <c r="E506" s="8"/>
      <c r="AB506" s="8"/>
      <c r="AC506" s="33"/>
      <c r="AD506" s="32"/>
      <c r="AF506" s="8"/>
      <c r="AM506" s="8"/>
      <c r="AN506" s="8"/>
      <c r="AO506" s="31"/>
    </row>
    <row r="507" spans="1:41" s="7" customFormat="1" x14ac:dyDescent="0.15">
      <c r="A507" s="8"/>
      <c r="E507" s="8"/>
      <c r="AB507" s="8"/>
      <c r="AC507" s="33"/>
      <c r="AD507" s="32"/>
      <c r="AF507" s="8"/>
      <c r="AM507" s="8"/>
      <c r="AN507" s="8"/>
      <c r="AO507" s="31"/>
    </row>
    <row r="508" spans="1:41" s="7" customFormat="1" x14ac:dyDescent="0.15">
      <c r="A508" s="8"/>
      <c r="E508" s="8"/>
      <c r="AB508" s="8"/>
      <c r="AC508" s="33"/>
      <c r="AD508" s="32"/>
      <c r="AF508" s="8"/>
      <c r="AM508" s="8"/>
      <c r="AN508" s="8"/>
      <c r="AO508" s="31"/>
    </row>
    <row r="509" spans="1:41" s="7" customFormat="1" x14ac:dyDescent="0.15">
      <c r="A509" s="8"/>
      <c r="E509" s="8"/>
      <c r="AB509" s="8"/>
      <c r="AC509" s="33"/>
      <c r="AD509" s="32"/>
      <c r="AF509" s="8"/>
      <c r="AM509" s="8"/>
      <c r="AN509" s="8"/>
      <c r="AO509" s="31"/>
    </row>
    <row r="510" spans="1:41" s="7" customFormat="1" x14ac:dyDescent="0.15">
      <c r="A510" s="8"/>
      <c r="E510" s="8"/>
      <c r="AB510" s="8"/>
      <c r="AC510" s="33"/>
      <c r="AD510" s="32"/>
      <c r="AF510" s="8"/>
      <c r="AM510" s="8"/>
      <c r="AN510" s="8"/>
      <c r="AO510" s="31"/>
    </row>
    <row r="511" spans="1:41" s="7" customFormat="1" x14ac:dyDescent="0.15">
      <c r="A511" s="8"/>
      <c r="E511" s="8"/>
      <c r="AB511" s="8"/>
      <c r="AC511" s="33"/>
      <c r="AD511" s="32"/>
      <c r="AF511" s="8"/>
      <c r="AM511" s="8"/>
      <c r="AN511" s="8"/>
      <c r="AO511" s="31"/>
    </row>
    <row r="512" spans="1:41" s="7" customFormat="1" x14ac:dyDescent="0.15">
      <c r="A512" s="8"/>
      <c r="E512" s="8"/>
      <c r="AB512" s="8"/>
      <c r="AC512" s="33"/>
      <c r="AD512" s="32"/>
      <c r="AF512" s="8"/>
      <c r="AM512" s="8"/>
      <c r="AN512" s="8"/>
      <c r="AO512" s="31"/>
    </row>
    <row r="513" spans="1:41" s="7" customFormat="1" x14ac:dyDescent="0.15">
      <c r="A513" s="8"/>
      <c r="E513" s="8"/>
      <c r="AB513" s="8"/>
      <c r="AC513" s="33"/>
      <c r="AD513" s="32"/>
      <c r="AF513" s="8"/>
      <c r="AM513" s="8"/>
      <c r="AN513" s="8"/>
      <c r="AO513" s="31"/>
    </row>
    <row r="514" spans="1:41" s="7" customFormat="1" x14ac:dyDescent="0.15">
      <c r="A514" s="8"/>
      <c r="E514" s="8"/>
      <c r="AB514" s="8"/>
      <c r="AC514" s="33"/>
      <c r="AD514" s="32"/>
      <c r="AF514" s="8"/>
      <c r="AM514" s="8"/>
      <c r="AN514" s="8"/>
      <c r="AO514" s="31"/>
    </row>
    <row r="515" spans="1:41" s="7" customFormat="1" x14ac:dyDescent="0.15">
      <c r="A515" s="8"/>
      <c r="E515" s="8"/>
      <c r="AB515" s="8"/>
      <c r="AC515" s="33"/>
      <c r="AD515" s="32"/>
      <c r="AF515" s="8"/>
      <c r="AM515" s="8"/>
      <c r="AN515" s="8"/>
      <c r="AO515" s="31"/>
    </row>
    <row r="516" spans="1:41" s="7" customFormat="1" x14ac:dyDescent="0.15">
      <c r="A516" s="8"/>
      <c r="E516" s="8"/>
      <c r="AB516" s="8"/>
      <c r="AC516" s="33"/>
      <c r="AD516" s="32"/>
      <c r="AF516" s="8"/>
      <c r="AM516" s="8"/>
      <c r="AN516" s="8"/>
      <c r="AO516" s="31"/>
    </row>
    <row r="517" spans="1:41" s="7" customFormat="1" x14ac:dyDescent="0.15">
      <c r="A517" s="8"/>
      <c r="E517" s="8"/>
      <c r="AB517" s="8"/>
      <c r="AC517" s="33"/>
      <c r="AD517" s="32"/>
      <c r="AF517" s="8"/>
      <c r="AM517" s="8"/>
      <c r="AN517" s="8"/>
      <c r="AO517" s="31"/>
    </row>
    <row r="518" spans="1:41" s="7" customFormat="1" x14ac:dyDescent="0.15">
      <c r="A518" s="8"/>
      <c r="E518" s="8"/>
      <c r="AB518" s="8"/>
      <c r="AC518" s="33"/>
      <c r="AD518" s="32"/>
      <c r="AF518" s="8"/>
      <c r="AM518" s="8"/>
      <c r="AN518" s="8"/>
      <c r="AO518" s="31"/>
    </row>
    <row r="519" spans="1:41" s="7" customFormat="1" x14ac:dyDescent="0.15">
      <c r="A519" s="8"/>
      <c r="E519" s="8"/>
      <c r="AB519" s="8"/>
      <c r="AC519" s="33"/>
      <c r="AD519" s="32"/>
      <c r="AF519" s="8"/>
      <c r="AM519" s="8"/>
      <c r="AN519" s="8"/>
      <c r="AO519" s="31"/>
    </row>
    <row r="520" spans="1:41" s="7" customFormat="1" x14ac:dyDescent="0.15">
      <c r="A520" s="8"/>
      <c r="E520" s="8"/>
      <c r="AB520" s="8"/>
      <c r="AC520" s="33"/>
      <c r="AD520" s="32"/>
      <c r="AF520" s="8"/>
      <c r="AM520" s="8"/>
      <c r="AN520" s="8"/>
      <c r="AO520" s="31"/>
    </row>
    <row r="521" spans="1:41" s="7" customFormat="1" x14ac:dyDescent="0.15">
      <c r="A521" s="8"/>
      <c r="E521" s="8"/>
      <c r="AB521" s="8"/>
      <c r="AC521" s="33"/>
      <c r="AD521" s="32"/>
      <c r="AF521" s="8"/>
      <c r="AM521" s="8"/>
      <c r="AN521" s="8"/>
      <c r="AO521" s="31"/>
    </row>
    <row r="522" spans="1:41" s="7" customFormat="1" x14ac:dyDescent="0.15">
      <c r="A522" s="8"/>
      <c r="E522" s="8"/>
      <c r="AB522" s="8"/>
      <c r="AC522" s="33"/>
      <c r="AD522" s="32"/>
      <c r="AF522" s="8"/>
      <c r="AM522" s="8"/>
      <c r="AN522" s="8"/>
      <c r="AO522" s="31"/>
    </row>
    <row r="523" spans="1:41" s="7" customFormat="1" x14ac:dyDescent="0.15">
      <c r="A523" s="8"/>
      <c r="E523" s="8"/>
      <c r="AB523" s="8"/>
      <c r="AC523" s="33"/>
      <c r="AD523" s="32"/>
      <c r="AF523" s="8"/>
      <c r="AM523" s="8"/>
      <c r="AN523" s="8"/>
      <c r="AO523" s="31"/>
    </row>
    <row r="524" spans="1:41" s="7" customFormat="1" x14ac:dyDescent="0.15">
      <c r="A524" s="8"/>
      <c r="E524" s="8"/>
      <c r="AB524" s="8"/>
      <c r="AC524" s="33"/>
      <c r="AD524" s="32"/>
      <c r="AF524" s="8"/>
      <c r="AM524" s="8"/>
      <c r="AN524" s="8"/>
      <c r="AO524" s="31"/>
    </row>
    <row r="525" spans="1:41" s="7" customFormat="1" x14ac:dyDescent="0.15">
      <c r="A525" s="8"/>
      <c r="E525" s="8"/>
      <c r="AB525" s="8"/>
      <c r="AC525" s="33"/>
      <c r="AD525" s="32"/>
      <c r="AF525" s="8"/>
      <c r="AM525" s="8"/>
      <c r="AN525" s="8"/>
      <c r="AO525" s="31"/>
    </row>
    <row r="526" spans="1:41" s="7" customFormat="1" x14ac:dyDescent="0.15">
      <c r="A526" s="8"/>
      <c r="E526" s="8"/>
      <c r="AB526" s="8"/>
      <c r="AC526" s="33"/>
      <c r="AD526" s="32"/>
      <c r="AF526" s="8"/>
      <c r="AM526" s="8"/>
      <c r="AN526" s="8"/>
      <c r="AO526" s="31"/>
    </row>
    <row r="527" spans="1:41" s="7" customFormat="1" x14ac:dyDescent="0.15">
      <c r="A527" s="8"/>
      <c r="E527" s="8"/>
      <c r="AB527" s="8"/>
      <c r="AC527" s="33"/>
      <c r="AD527" s="32"/>
      <c r="AF527" s="8"/>
      <c r="AM527" s="8"/>
      <c r="AN527" s="8"/>
      <c r="AO527" s="31"/>
    </row>
    <row r="528" spans="1:41" s="7" customFormat="1" x14ac:dyDescent="0.15">
      <c r="A528" s="8"/>
      <c r="E528" s="8"/>
      <c r="AB528" s="8"/>
      <c r="AC528" s="33"/>
      <c r="AD528" s="32"/>
      <c r="AF528" s="8"/>
      <c r="AM528" s="8"/>
      <c r="AN528" s="8"/>
      <c r="AO528" s="31"/>
    </row>
    <row r="529" spans="1:41" s="7" customFormat="1" x14ac:dyDescent="0.15">
      <c r="A529" s="8"/>
      <c r="E529" s="8"/>
      <c r="AB529" s="8"/>
      <c r="AC529" s="33"/>
      <c r="AD529" s="32"/>
      <c r="AF529" s="8"/>
      <c r="AM529" s="8"/>
      <c r="AN529" s="8"/>
      <c r="AO529" s="31"/>
    </row>
    <row r="530" spans="1:41" s="7" customFormat="1" x14ac:dyDescent="0.15">
      <c r="A530" s="8"/>
      <c r="E530" s="8"/>
      <c r="AB530" s="8"/>
      <c r="AC530" s="33"/>
      <c r="AD530" s="32"/>
      <c r="AF530" s="8"/>
      <c r="AM530" s="8"/>
      <c r="AN530" s="8"/>
      <c r="AO530" s="31"/>
    </row>
    <row r="531" spans="1:41" s="7" customFormat="1" x14ac:dyDescent="0.15">
      <c r="A531" s="8"/>
      <c r="E531" s="8"/>
      <c r="AB531" s="8"/>
      <c r="AC531" s="33"/>
      <c r="AD531" s="32"/>
      <c r="AF531" s="8"/>
      <c r="AM531" s="8"/>
      <c r="AN531" s="8"/>
      <c r="AO531" s="31"/>
    </row>
    <row r="532" spans="1:41" s="7" customFormat="1" x14ac:dyDescent="0.15">
      <c r="A532" s="8"/>
      <c r="E532" s="8"/>
      <c r="AB532" s="8"/>
      <c r="AC532" s="33"/>
      <c r="AD532" s="32"/>
      <c r="AF532" s="8"/>
      <c r="AM532" s="8"/>
      <c r="AN532" s="8"/>
      <c r="AO532" s="31"/>
    </row>
    <row r="533" spans="1:41" s="7" customFormat="1" x14ac:dyDescent="0.15">
      <c r="A533" s="8"/>
      <c r="E533" s="8"/>
      <c r="AB533" s="8"/>
      <c r="AC533" s="33"/>
      <c r="AD533" s="32"/>
      <c r="AF533" s="8"/>
      <c r="AM533" s="8"/>
      <c r="AN533" s="8"/>
      <c r="AO533" s="31"/>
    </row>
    <row r="534" spans="1:41" s="7" customFormat="1" x14ac:dyDescent="0.15">
      <c r="A534" s="8"/>
      <c r="E534" s="8"/>
      <c r="AB534" s="8"/>
      <c r="AC534" s="33"/>
      <c r="AD534" s="32"/>
      <c r="AF534" s="8"/>
      <c r="AM534" s="8"/>
      <c r="AN534" s="8"/>
      <c r="AO534" s="31"/>
    </row>
    <row r="535" spans="1:41" s="7" customFormat="1" x14ac:dyDescent="0.15">
      <c r="A535" s="8"/>
      <c r="E535" s="8"/>
      <c r="AB535" s="8"/>
      <c r="AC535" s="33"/>
      <c r="AD535" s="32"/>
      <c r="AF535" s="8"/>
      <c r="AM535" s="8"/>
      <c r="AN535" s="8"/>
      <c r="AO535" s="31"/>
    </row>
    <row r="536" spans="1:41" s="7" customFormat="1" x14ac:dyDescent="0.15">
      <c r="A536" s="8"/>
      <c r="E536" s="8"/>
      <c r="AB536" s="8"/>
      <c r="AC536" s="33"/>
      <c r="AD536" s="32"/>
      <c r="AF536" s="8"/>
      <c r="AM536" s="8"/>
      <c r="AN536" s="8"/>
      <c r="AO536" s="31"/>
    </row>
    <row r="537" spans="1:41" s="7" customFormat="1" x14ac:dyDescent="0.15">
      <c r="A537" s="8"/>
      <c r="E537" s="8"/>
      <c r="AB537" s="8"/>
      <c r="AC537" s="33"/>
      <c r="AD537" s="32"/>
      <c r="AF537" s="8"/>
      <c r="AM537" s="8"/>
      <c r="AN537" s="8"/>
      <c r="AO537" s="31"/>
    </row>
    <row r="538" spans="1:41" s="7" customFormat="1" x14ac:dyDescent="0.15">
      <c r="A538" s="8"/>
      <c r="E538" s="8"/>
      <c r="AB538" s="8"/>
      <c r="AC538" s="33"/>
      <c r="AD538" s="32"/>
      <c r="AF538" s="8"/>
      <c r="AM538" s="8"/>
      <c r="AN538" s="8"/>
      <c r="AO538" s="31"/>
    </row>
    <row r="539" spans="1:41" s="7" customFormat="1" x14ac:dyDescent="0.15">
      <c r="A539" s="8"/>
      <c r="E539" s="8"/>
      <c r="AB539" s="8"/>
      <c r="AC539" s="33"/>
      <c r="AD539" s="32"/>
      <c r="AF539" s="8"/>
      <c r="AM539" s="8"/>
      <c r="AN539" s="8"/>
      <c r="AO539" s="31"/>
    </row>
    <row r="540" spans="1:41" s="7" customFormat="1" x14ac:dyDescent="0.15">
      <c r="A540" s="8"/>
      <c r="E540" s="8"/>
      <c r="AB540" s="8"/>
      <c r="AC540" s="33"/>
      <c r="AD540" s="32"/>
      <c r="AF540" s="8"/>
      <c r="AM540" s="8"/>
      <c r="AN540" s="8"/>
      <c r="AO540" s="31"/>
    </row>
    <row r="541" spans="1:41" s="7" customFormat="1" x14ac:dyDescent="0.15">
      <c r="A541" s="8"/>
      <c r="E541" s="8"/>
      <c r="AB541" s="8"/>
      <c r="AC541" s="33"/>
      <c r="AD541" s="32"/>
      <c r="AF541" s="8"/>
      <c r="AM541" s="8"/>
      <c r="AN541" s="8"/>
      <c r="AO541" s="31"/>
    </row>
    <row r="542" spans="1:41" s="7" customFormat="1" x14ac:dyDescent="0.15">
      <c r="A542" s="8"/>
      <c r="E542" s="8"/>
      <c r="AB542" s="8"/>
      <c r="AC542" s="33"/>
      <c r="AD542" s="32"/>
      <c r="AF542" s="8"/>
      <c r="AM542" s="8"/>
      <c r="AN542" s="8"/>
      <c r="AO542" s="31"/>
    </row>
    <row r="543" spans="1:41" s="7" customFormat="1" x14ac:dyDescent="0.15">
      <c r="A543" s="8"/>
      <c r="E543" s="8"/>
      <c r="AB543" s="8"/>
      <c r="AC543" s="33"/>
      <c r="AD543" s="32"/>
      <c r="AF543" s="8"/>
      <c r="AM543" s="8"/>
      <c r="AN543" s="8"/>
      <c r="AO543" s="31"/>
    </row>
    <row r="544" spans="1:41" s="7" customFormat="1" x14ac:dyDescent="0.15">
      <c r="A544" s="8"/>
      <c r="E544" s="8"/>
      <c r="AB544" s="8"/>
      <c r="AC544" s="33"/>
      <c r="AD544" s="32"/>
      <c r="AF544" s="8"/>
      <c r="AM544" s="8"/>
      <c r="AN544" s="8"/>
      <c r="AO544" s="31"/>
    </row>
    <row r="545" spans="1:41" s="7" customFormat="1" x14ac:dyDescent="0.15">
      <c r="A545" s="8"/>
      <c r="E545" s="8"/>
      <c r="AB545" s="8"/>
      <c r="AC545" s="33"/>
      <c r="AD545" s="32"/>
      <c r="AF545" s="8"/>
      <c r="AM545" s="8"/>
      <c r="AN545" s="8"/>
      <c r="AO545" s="31"/>
    </row>
    <row r="546" spans="1:41" s="7" customFormat="1" x14ac:dyDescent="0.15">
      <c r="A546" s="8"/>
      <c r="E546" s="8"/>
      <c r="AB546" s="8"/>
      <c r="AC546" s="33"/>
      <c r="AD546" s="32"/>
      <c r="AF546" s="8"/>
      <c r="AM546" s="8"/>
      <c r="AN546" s="8"/>
      <c r="AO546" s="31"/>
    </row>
    <row r="547" spans="1:41" s="7" customFormat="1" x14ac:dyDescent="0.15">
      <c r="A547" s="8"/>
      <c r="E547" s="8"/>
      <c r="AB547" s="8"/>
      <c r="AC547" s="33"/>
      <c r="AD547" s="32"/>
      <c r="AF547" s="8"/>
      <c r="AM547" s="8"/>
      <c r="AN547" s="8"/>
      <c r="AO547" s="31"/>
    </row>
    <row r="548" spans="1:41" s="7" customFormat="1" x14ac:dyDescent="0.15">
      <c r="A548" s="8"/>
      <c r="E548" s="8"/>
      <c r="AB548" s="8"/>
      <c r="AC548" s="33"/>
      <c r="AD548" s="32"/>
      <c r="AF548" s="8"/>
      <c r="AM548" s="8"/>
      <c r="AN548" s="8"/>
      <c r="AO548" s="31"/>
    </row>
    <row r="549" spans="1:41" s="7" customFormat="1" x14ac:dyDescent="0.15">
      <c r="A549" s="8"/>
      <c r="E549" s="8"/>
      <c r="AB549" s="8"/>
      <c r="AC549" s="33"/>
      <c r="AD549" s="32"/>
      <c r="AF549" s="8"/>
      <c r="AM549" s="8"/>
      <c r="AN549" s="8"/>
      <c r="AO549" s="31"/>
    </row>
    <row r="550" spans="1:41" s="7" customFormat="1" x14ac:dyDescent="0.15">
      <c r="A550" s="8"/>
      <c r="E550" s="8"/>
      <c r="AB550" s="8"/>
      <c r="AC550" s="33"/>
      <c r="AD550" s="32"/>
      <c r="AF550" s="8"/>
      <c r="AM550" s="8"/>
      <c r="AN550" s="8"/>
      <c r="AO550" s="31"/>
    </row>
    <row r="551" spans="1:41" s="7" customFormat="1" x14ac:dyDescent="0.15">
      <c r="A551" s="8"/>
      <c r="E551" s="8"/>
      <c r="AB551" s="8"/>
      <c r="AC551" s="33"/>
      <c r="AD551" s="32"/>
      <c r="AF551" s="8"/>
      <c r="AM551" s="8"/>
      <c r="AN551" s="8"/>
      <c r="AO551" s="31"/>
    </row>
    <row r="552" spans="1:41" s="7" customFormat="1" x14ac:dyDescent="0.15">
      <c r="A552" s="8"/>
      <c r="E552" s="8"/>
      <c r="AB552" s="8"/>
      <c r="AC552" s="33"/>
      <c r="AD552" s="32"/>
      <c r="AF552" s="8"/>
      <c r="AM552" s="8"/>
      <c r="AN552" s="8"/>
      <c r="AO552" s="31"/>
    </row>
    <row r="553" spans="1:41" s="7" customFormat="1" x14ac:dyDescent="0.15">
      <c r="A553" s="8"/>
      <c r="E553" s="8"/>
      <c r="AB553" s="8"/>
      <c r="AC553" s="33"/>
      <c r="AD553" s="32"/>
      <c r="AF553" s="8"/>
      <c r="AM553" s="8"/>
      <c r="AN553" s="8"/>
      <c r="AO553" s="31"/>
    </row>
    <row r="554" spans="1:41" s="7" customFormat="1" x14ac:dyDescent="0.15">
      <c r="A554" s="8"/>
      <c r="E554" s="8"/>
      <c r="AB554" s="8"/>
      <c r="AC554" s="33"/>
      <c r="AD554" s="32"/>
      <c r="AF554" s="8"/>
      <c r="AM554" s="8"/>
      <c r="AN554" s="8"/>
      <c r="AO554" s="31"/>
    </row>
    <row r="555" spans="1:41" s="7" customFormat="1" x14ac:dyDescent="0.15">
      <c r="A555" s="8"/>
      <c r="E555" s="8"/>
      <c r="AB555" s="8"/>
      <c r="AC555" s="33"/>
      <c r="AD555" s="32"/>
      <c r="AF555" s="8"/>
      <c r="AM555" s="8"/>
      <c r="AN555" s="8"/>
      <c r="AO555" s="31"/>
    </row>
    <row r="556" spans="1:41" s="7" customFormat="1" x14ac:dyDescent="0.15">
      <c r="A556" s="8"/>
      <c r="E556" s="8"/>
      <c r="AB556" s="8"/>
      <c r="AC556" s="33"/>
      <c r="AD556" s="32"/>
      <c r="AF556" s="8"/>
      <c r="AM556" s="8"/>
      <c r="AN556" s="8"/>
      <c r="AO556" s="31"/>
    </row>
    <row r="557" spans="1:41" s="7" customFormat="1" x14ac:dyDescent="0.15">
      <c r="A557" s="8"/>
      <c r="E557" s="8"/>
      <c r="AB557" s="8"/>
      <c r="AC557" s="33"/>
      <c r="AD557" s="32"/>
      <c r="AF557" s="8"/>
      <c r="AM557" s="8"/>
      <c r="AN557" s="8"/>
      <c r="AO557" s="31"/>
    </row>
    <row r="558" spans="1:41" s="7" customFormat="1" x14ac:dyDescent="0.15">
      <c r="A558" s="8"/>
      <c r="E558" s="8"/>
      <c r="AB558" s="8"/>
      <c r="AC558" s="33"/>
      <c r="AD558" s="32"/>
      <c r="AF558" s="8"/>
      <c r="AM558" s="8"/>
      <c r="AN558" s="8"/>
      <c r="AO558" s="31"/>
    </row>
    <row r="559" spans="1:41" s="7" customFormat="1" x14ac:dyDescent="0.15">
      <c r="A559" s="8"/>
      <c r="E559" s="8"/>
      <c r="AB559" s="8"/>
      <c r="AC559" s="33"/>
      <c r="AD559" s="32"/>
      <c r="AF559" s="8"/>
      <c r="AM559" s="8"/>
      <c r="AN559" s="8"/>
      <c r="AO559" s="31"/>
    </row>
    <row r="560" spans="1:41" s="7" customFormat="1" x14ac:dyDescent="0.15">
      <c r="A560" s="8"/>
      <c r="E560" s="8"/>
      <c r="AB560" s="8"/>
      <c r="AC560" s="33"/>
      <c r="AD560" s="32"/>
      <c r="AF560" s="8"/>
      <c r="AM560" s="8"/>
      <c r="AN560" s="8"/>
      <c r="AO560" s="31"/>
    </row>
    <row r="561" spans="1:41" s="7" customFormat="1" x14ac:dyDescent="0.15">
      <c r="A561" s="8"/>
      <c r="E561" s="8"/>
      <c r="AB561" s="8"/>
      <c r="AC561" s="33"/>
      <c r="AD561" s="32"/>
      <c r="AF561" s="8"/>
      <c r="AM561" s="8"/>
      <c r="AN561" s="8"/>
      <c r="AO561" s="31"/>
    </row>
    <row r="562" spans="1:41" s="7" customFormat="1" x14ac:dyDescent="0.15">
      <c r="A562" s="8"/>
      <c r="E562" s="8"/>
      <c r="AB562" s="8"/>
      <c r="AC562" s="33"/>
      <c r="AD562" s="32"/>
      <c r="AF562" s="8"/>
      <c r="AM562" s="8"/>
      <c r="AN562" s="8"/>
      <c r="AO562" s="31"/>
    </row>
    <row r="563" spans="1:41" s="7" customFormat="1" x14ac:dyDescent="0.15">
      <c r="A563" s="8"/>
      <c r="E563" s="8"/>
      <c r="AB563" s="8"/>
      <c r="AC563" s="33"/>
      <c r="AD563" s="32"/>
      <c r="AF563" s="8"/>
      <c r="AM563" s="8"/>
      <c r="AN563" s="8"/>
      <c r="AO563" s="31"/>
    </row>
    <row r="564" spans="1:41" s="7" customFormat="1" x14ac:dyDescent="0.15">
      <c r="A564" s="8"/>
      <c r="E564" s="8"/>
      <c r="AB564" s="8"/>
      <c r="AC564" s="33"/>
      <c r="AD564" s="32"/>
      <c r="AF564" s="8"/>
      <c r="AM564" s="8"/>
      <c r="AN564" s="8"/>
      <c r="AO564" s="31"/>
    </row>
    <row r="565" spans="1:41" s="7" customFormat="1" x14ac:dyDescent="0.15">
      <c r="A565" s="8"/>
      <c r="E565" s="8"/>
      <c r="AB565" s="8"/>
      <c r="AC565" s="33"/>
      <c r="AD565" s="32"/>
      <c r="AF565" s="8"/>
      <c r="AM565" s="8"/>
      <c r="AN565" s="8"/>
      <c r="AO565" s="31"/>
    </row>
    <row r="566" spans="1:41" s="7" customFormat="1" x14ac:dyDescent="0.15">
      <c r="A566" s="8"/>
      <c r="E566" s="8"/>
      <c r="AB566" s="8"/>
      <c r="AC566" s="33"/>
      <c r="AD566" s="32"/>
      <c r="AF566" s="8"/>
      <c r="AM566" s="8"/>
      <c r="AN566" s="8"/>
      <c r="AO566" s="31"/>
    </row>
    <row r="567" spans="1:41" s="7" customFormat="1" x14ac:dyDescent="0.15">
      <c r="A567" s="8"/>
      <c r="E567" s="8"/>
      <c r="AB567" s="8"/>
      <c r="AC567" s="33"/>
      <c r="AD567" s="32"/>
      <c r="AF567" s="8"/>
      <c r="AM567" s="8"/>
      <c r="AN567" s="8"/>
      <c r="AO567" s="31"/>
    </row>
    <row r="568" spans="1:41" s="7" customFormat="1" x14ac:dyDescent="0.15">
      <c r="A568" s="8"/>
      <c r="E568" s="8"/>
      <c r="AB568" s="8"/>
      <c r="AC568" s="33"/>
      <c r="AD568" s="32"/>
      <c r="AF568" s="8"/>
      <c r="AM568" s="8"/>
      <c r="AN568" s="8"/>
      <c r="AO568" s="31"/>
    </row>
    <row r="569" spans="1:41" s="7" customFormat="1" x14ac:dyDescent="0.15">
      <c r="A569" s="8"/>
      <c r="E569" s="8"/>
      <c r="AB569" s="8"/>
      <c r="AC569" s="33"/>
      <c r="AD569" s="32"/>
      <c r="AF569" s="8"/>
      <c r="AM569" s="8"/>
      <c r="AN569" s="8"/>
      <c r="AO569" s="31"/>
    </row>
    <row r="570" spans="1:41" s="7" customFormat="1" x14ac:dyDescent="0.15">
      <c r="A570" s="8"/>
      <c r="E570" s="8"/>
      <c r="AB570" s="8"/>
      <c r="AC570" s="33"/>
      <c r="AD570" s="32"/>
      <c r="AF570" s="8"/>
      <c r="AM570" s="8"/>
      <c r="AN570" s="8"/>
      <c r="AO570" s="31"/>
    </row>
    <row r="571" spans="1:41" s="7" customFormat="1" x14ac:dyDescent="0.15">
      <c r="A571" s="8"/>
      <c r="E571" s="8"/>
      <c r="AB571" s="8"/>
      <c r="AC571" s="33"/>
      <c r="AD571" s="32"/>
      <c r="AF571" s="8"/>
      <c r="AM571" s="8"/>
      <c r="AN571" s="8"/>
      <c r="AO571" s="31"/>
    </row>
    <row r="572" spans="1:41" s="7" customFormat="1" x14ac:dyDescent="0.15">
      <c r="A572" s="8"/>
      <c r="E572" s="8"/>
      <c r="AB572" s="8"/>
      <c r="AC572" s="33"/>
      <c r="AD572" s="32"/>
      <c r="AF572" s="8"/>
      <c r="AM572" s="8"/>
      <c r="AN572" s="8"/>
      <c r="AO572" s="31"/>
    </row>
    <row r="573" spans="1:41" s="7" customFormat="1" x14ac:dyDescent="0.15">
      <c r="E573" s="8"/>
      <c r="AB573" s="8"/>
      <c r="AC573" s="33"/>
      <c r="AD573" s="32"/>
      <c r="AF573" s="8"/>
      <c r="AM573" s="8"/>
      <c r="AN573" s="8"/>
      <c r="AO573" s="31"/>
    </row>
    <row r="574" spans="1:41" s="7" customFormat="1" x14ac:dyDescent="0.15">
      <c r="E574" s="8"/>
      <c r="AB574" s="8"/>
      <c r="AC574" s="33"/>
      <c r="AD574" s="32"/>
      <c r="AF574" s="8"/>
      <c r="AM574" s="8"/>
      <c r="AN574" s="8"/>
      <c r="AO574" s="31"/>
    </row>
    <row r="575" spans="1:41" s="7" customFormat="1" x14ac:dyDescent="0.15">
      <c r="E575" s="8"/>
      <c r="AB575" s="8"/>
      <c r="AC575" s="33"/>
      <c r="AD575" s="32"/>
      <c r="AF575" s="8"/>
      <c r="AM575" s="8"/>
      <c r="AN575" s="8"/>
      <c r="AO575" s="31"/>
    </row>
    <row r="576" spans="1:41" s="7" customFormat="1" x14ac:dyDescent="0.15">
      <c r="E576" s="8"/>
      <c r="AB576" s="8"/>
      <c r="AC576" s="33"/>
      <c r="AD576" s="32"/>
      <c r="AF576" s="8"/>
      <c r="AM576" s="8"/>
      <c r="AN576" s="8"/>
      <c r="AO576" s="31"/>
    </row>
    <row r="577" spans="41:41" s="7" customFormat="1" x14ac:dyDescent="0.15">
      <c r="AO577" s="31"/>
    </row>
    <row r="578" spans="41:41" s="7" customFormat="1" x14ac:dyDescent="0.15">
      <c r="AO578" s="31"/>
    </row>
    <row r="579" spans="41:41" s="7" customFormat="1" x14ac:dyDescent="0.15">
      <c r="AO579" s="31"/>
    </row>
    <row r="580" spans="41:41" s="7" customFormat="1" x14ac:dyDescent="0.15">
      <c r="AO580" s="31"/>
    </row>
    <row r="581" spans="41:41" s="7" customFormat="1" x14ac:dyDescent="0.15">
      <c r="AO581" s="31"/>
    </row>
    <row r="582" spans="41:41" s="7" customFormat="1" x14ac:dyDescent="0.15">
      <c r="AO582" s="31"/>
    </row>
    <row r="583" spans="41:41" s="7" customFormat="1" x14ac:dyDescent="0.15">
      <c r="AO583" s="31"/>
    </row>
    <row r="584" spans="41:41" s="7" customFormat="1" x14ac:dyDescent="0.15">
      <c r="AO584" s="31"/>
    </row>
    <row r="585" spans="41:41" s="7" customFormat="1" x14ac:dyDescent="0.15">
      <c r="AO585" s="31"/>
    </row>
    <row r="586" spans="41:41" s="7" customFormat="1" x14ac:dyDescent="0.15">
      <c r="AO586" s="31"/>
    </row>
    <row r="587" spans="41:41" s="7" customFormat="1" x14ac:dyDescent="0.15">
      <c r="AO587" s="31"/>
    </row>
    <row r="588" spans="41:41" s="7" customFormat="1" x14ac:dyDescent="0.15">
      <c r="AO588" s="31"/>
    </row>
    <row r="589" spans="41:41" s="7" customFormat="1" x14ac:dyDescent="0.15">
      <c r="AO589" s="31"/>
    </row>
    <row r="590" spans="41:41" s="7" customFormat="1" x14ac:dyDescent="0.15">
      <c r="AO590" s="31"/>
    </row>
    <row r="591" spans="41:41" s="7" customFormat="1" x14ac:dyDescent="0.15">
      <c r="AO591" s="31"/>
    </row>
    <row r="592" spans="41:41" s="7" customFormat="1" x14ac:dyDescent="0.15">
      <c r="AO592" s="31"/>
    </row>
    <row r="593" spans="41:41" s="7" customFormat="1" x14ac:dyDescent="0.15">
      <c r="AO593" s="31"/>
    </row>
    <row r="594" spans="41:41" s="7" customFormat="1" x14ac:dyDescent="0.15">
      <c r="AO594" s="31"/>
    </row>
    <row r="595" spans="41:41" s="7" customFormat="1" x14ac:dyDescent="0.15">
      <c r="AO595" s="31"/>
    </row>
    <row r="596" spans="41:41" s="7" customFormat="1" x14ac:dyDescent="0.15">
      <c r="AO596" s="31"/>
    </row>
    <row r="597" spans="41:41" s="7" customFormat="1" x14ac:dyDescent="0.15">
      <c r="AO597" s="31"/>
    </row>
    <row r="598" spans="41:41" s="7" customFormat="1" x14ac:dyDescent="0.15">
      <c r="AO598" s="31"/>
    </row>
    <row r="599" spans="41:41" s="7" customFormat="1" x14ac:dyDescent="0.15">
      <c r="AO599" s="31"/>
    </row>
    <row r="600" spans="41:41" s="7" customFormat="1" x14ac:dyDescent="0.15">
      <c r="AO600" s="31"/>
    </row>
    <row r="601" spans="41:41" s="7" customFormat="1" x14ac:dyDescent="0.15">
      <c r="AO601" s="31"/>
    </row>
    <row r="602" spans="41:41" s="7" customFormat="1" x14ac:dyDescent="0.15">
      <c r="AO602" s="31"/>
    </row>
    <row r="603" spans="41:41" s="7" customFormat="1" x14ac:dyDescent="0.15">
      <c r="AO603" s="31"/>
    </row>
    <row r="604" spans="41:41" s="7" customFormat="1" x14ac:dyDescent="0.15">
      <c r="AO604" s="31"/>
    </row>
    <row r="605" spans="41:41" s="7" customFormat="1" x14ac:dyDescent="0.15">
      <c r="AO605" s="31"/>
    </row>
    <row r="606" spans="41:41" s="7" customFormat="1" x14ac:dyDescent="0.15">
      <c r="AO606" s="31"/>
    </row>
    <row r="607" spans="41:41" s="7" customFormat="1" x14ac:dyDescent="0.15">
      <c r="AO607" s="31"/>
    </row>
    <row r="608" spans="41:41" s="7" customFormat="1" x14ac:dyDescent="0.15">
      <c r="AO608" s="31"/>
    </row>
    <row r="609" spans="41:41" s="7" customFormat="1" x14ac:dyDescent="0.15">
      <c r="AO609" s="31"/>
    </row>
    <row r="610" spans="41:41" s="7" customFormat="1" x14ac:dyDescent="0.15">
      <c r="AO610" s="31"/>
    </row>
    <row r="611" spans="41:41" s="7" customFormat="1" x14ac:dyDescent="0.15">
      <c r="AO611" s="31"/>
    </row>
    <row r="612" spans="41:41" s="7" customFormat="1" x14ac:dyDescent="0.15">
      <c r="AO612" s="31"/>
    </row>
    <row r="613" spans="41:41" s="7" customFormat="1" x14ac:dyDescent="0.15">
      <c r="AO613" s="31"/>
    </row>
    <row r="614" spans="41:41" s="7" customFormat="1" x14ac:dyDescent="0.15">
      <c r="AO614" s="31"/>
    </row>
    <row r="615" spans="41:41" s="7" customFormat="1" x14ac:dyDescent="0.15">
      <c r="AO615" s="31"/>
    </row>
    <row r="616" spans="41:41" s="7" customFormat="1" x14ac:dyDescent="0.15">
      <c r="AO616" s="31"/>
    </row>
    <row r="617" spans="41:41" s="7" customFormat="1" x14ac:dyDescent="0.15">
      <c r="AO617" s="31"/>
    </row>
    <row r="618" spans="41:41" s="7" customFormat="1" x14ac:dyDescent="0.15">
      <c r="AO618" s="31"/>
    </row>
    <row r="619" spans="41:41" s="7" customFormat="1" x14ac:dyDescent="0.15">
      <c r="AO619" s="31"/>
    </row>
    <row r="620" spans="41:41" s="7" customFormat="1" x14ac:dyDescent="0.15">
      <c r="AO620" s="31"/>
    </row>
    <row r="621" spans="41:41" s="7" customFormat="1" x14ac:dyDescent="0.15">
      <c r="AO621" s="31"/>
    </row>
    <row r="622" spans="41:41" s="7" customFormat="1" x14ac:dyDescent="0.15">
      <c r="AO622" s="31"/>
    </row>
    <row r="623" spans="41:41" s="7" customFormat="1" x14ac:dyDescent="0.15">
      <c r="AO623" s="31"/>
    </row>
    <row r="624" spans="41:41" s="7" customFormat="1" x14ac:dyDescent="0.15">
      <c r="AO624" s="31"/>
    </row>
    <row r="625" spans="41:41" s="7" customFormat="1" x14ac:dyDescent="0.15">
      <c r="AO625" s="31"/>
    </row>
    <row r="626" spans="41:41" s="7" customFormat="1" x14ac:dyDescent="0.15">
      <c r="AO626" s="31"/>
    </row>
    <row r="627" spans="41:41" s="7" customFormat="1" x14ac:dyDescent="0.15">
      <c r="AO627" s="31"/>
    </row>
    <row r="628" spans="41:41" s="7" customFormat="1" x14ac:dyDescent="0.15">
      <c r="AO628" s="31"/>
    </row>
    <row r="629" spans="41:41" s="7" customFormat="1" x14ac:dyDescent="0.15">
      <c r="AO629" s="31"/>
    </row>
    <row r="630" spans="41:41" s="7" customFormat="1" x14ac:dyDescent="0.15">
      <c r="AO630" s="31"/>
    </row>
    <row r="631" spans="41:41" s="7" customFormat="1" x14ac:dyDescent="0.15">
      <c r="AO631" s="31"/>
    </row>
    <row r="632" spans="41:41" s="7" customFormat="1" x14ac:dyDescent="0.15">
      <c r="AO632" s="31"/>
    </row>
    <row r="633" spans="41:41" s="7" customFormat="1" x14ac:dyDescent="0.15">
      <c r="AO633" s="31"/>
    </row>
    <row r="634" spans="41:41" s="7" customFormat="1" x14ac:dyDescent="0.15">
      <c r="AO634" s="31"/>
    </row>
    <row r="635" spans="41:41" s="7" customFormat="1" x14ac:dyDescent="0.15">
      <c r="AO635" s="31"/>
    </row>
    <row r="636" spans="41:41" s="7" customFormat="1" x14ac:dyDescent="0.15">
      <c r="AO636" s="31"/>
    </row>
    <row r="637" spans="41:41" s="7" customFormat="1" x14ac:dyDescent="0.15">
      <c r="AO637" s="31"/>
    </row>
    <row r="638" spans="41:41" s="7" customFormat="1" x14ac:dyDescent="0.15">
      <c r="AO638" s="31"/>
    </row>
    <row r="639" spans="41:41" s="7" customFormat="1" x14ac:dyDescent="0.15">
      <c r="AO639" s="31"/>
    </row>
    <row r="640" spans="41:41" s="7" customFormat="1" x14ac:dyDescent="0.15">
      <c r="AO640" s="31"/>
    </row>
    <row r="641" spans="41:41" s="7" customFormat="1" x14ac:dyDescent="0.15">
      <c r="AO641" s="31"/>
    </row>
    <row r="642" spans="41:41" s="7" customFormat="1" x14ac:dyDescent="0.15">
      <c r="AO642" s="31"/>
    </row>
    <row r="643" spans="41:41" s="7" customFormat="1" x14ac:dyDescent="0.15">
      <c r="AO643" s="31"/>
    </row>
    <row r="644" spans="41:41" s="7" customFormat="1" x14ac:dyDescent="0.15">
      <c r="AO644" s="31"/>
    </row>
    <row r="645" spans="41:41" s="7" customFormat="1" x14ac:dyDescent="0.15">
      <c r="AO645" s="31"/>
    </row>
    <row r="646" spans="41:41" s="7" customFormat="1" x14ac:dyDescent="0.15">
      <c r="AO646" s="31"/>
    </row>
    <row r="647" spans="41:41" s="7" customFormat="1" x14ac:dyDescent="0.15">
      <c r="AO647" s="31"/>
    </row>
    <row r="648" spans="41:41" s="7" customFormat="1" x14ac:dyDescent="0.15">
      <c r="AO648" s="31"/>
    </row>
    <row r="649" spans="41:41" s="7" customFormat="1" x14ac:dyDescent="0.15">
      <c r="AO649" s="31"/>
    </row>
    <row r="650" spans="41:41" s="7" customFormat="1" x14ac:dyDescent="0.15">
      <c r="AO650" s="31"/>
    </row>
    <row r="651" spans="41:41" s="7" customFormat="1" x14ac:dyDescent="0.15">
      <c r="AO651" s="31"/>
    </row>
    <row r="652" spans="41:41" s="7" customFormat="1" x14ac:dyDescent="0.15">
      <c r="AO652" s="31"/>
    </row>
    <row r="653" spans="41:41" s="7" customFormat="1" x14ac:dyDescent="0.15">
      <c r="AO653" s="31"/>
    </row>
    <row r="654" spans="41:41" s="7" customFormat="1" x14ac:dyDescent="0.15">
      <c r="AO654" s="31"/>
    </row>
    <row r="655" spans="41:41" s="7" customFormat="1" x14ac:dyDescent="0.15">
      <c r="AO655" s="31"/>
    </row>
    <row r="656" spans="41:41" s="7" customFormat="1" x14ac:dyDescent="0.15">
      <c r="AO656" s="31"/>
    </row>
    <row r="657" spans="41:41" s="7" customFormat="1" x14ac:dyDescent="0.15">
      <c r="AO657" s="31"/>
    </row>
    <row r="658" spans="41:41" s="7" customFormat="1" x14ac:dyDescent="0.15">
      <c r="AO658" s="31"/>
    </row>
    <row r="659" spans="41:41" s="7" customFormat="1" x14ac:dyDescent="0.15">
      <c r="AO659" s="31"/>
    </row>
    <row r="660" spans="41:41" s="7" customFormat="1" x14ac:dyDescent="0.15">
      <c r="AO660" s="31"/>
    </row>
    <row r="661" spans="41:41" s="7" customFormat="1" x14ac:dyDescent="0.15">
      <c r="AO661" s="31"/>
    </row>
    <row r="662" spans="41:41" s="7" customFormat="1" x14ac:dyDescent="0.15">
      <c r="AO662" s="31"/>
    </row>
    <row r="663" spans="41:41" s="7" customFormat="1" x14ac:dyDescent="0.15">
      <c r="AO663" s="31"/>
    </row>
    <row r="664" spans="41:41" s="7" customFormat="1" x14ac:dyDescent="0.15">
      <c r="AO664" s="31"/>
    </row>
    <row r="665" spans="41:41" s="7" customFormat="1" x14ac:dyDescent="0.15">
      <c r="AO665" s="31"/>
    </row>
    <row r="666" spans="41:41" s="7" customFormat="1" x14ac:dyDescent="0.15">
      <c r="AO666" s="31"/>
    </row>
    <row r="667" spans="41:41" s="7" customFormat="1" x14ac:dyDescent="0.15">
      <c r="AO667" s="31"/>
    </row>
    <row r="668" spans="41:41" s="7" customFormat="1" x14ac:dyDescent="0.15">
      <c r="AO668" s="31"/>
    </row>
    <row r="669" spans="41:41" s="7" customFormat="1" x14ac:dyDescent="0.15">
      <c r="AO669" s="31"/>
    </row>
    <row r="670" spans="41:41" s="7" customFormat="1" x14ac:dyDescent="0.15">
      <c r="AO670" s="31"/>
    </row>
    <row r="671" spans="41:41" s="7" customFormat="1" x14ac:dyDescent="0.15">
      <c r="AO671" s="31"/>
    </row>
    <row r="672" spans="41:41" s="7" customFormat="1" x14ac:dyDescent="0.15">
      <c r="AO672" s="31"/>
    </row>
    <row r="673" spans="41:41" s="7" customFormat="1" x14ac:dyDescent="0.15">
      <c r="AO673" s="31"/>
    </row>
    <row r="674" spans="41:41" s="7" customFormat="1" x14ac:dyDescent="0.15">
      <c r="AO674" s="31"/>
    </row>
    <row r="675" spans="41:41" s="7" customFormat="1" x14ac:dyDescent="0.15">
      <c r="AO675" s="31"/>
    </row>
    <row r="676" spans="41:41" s="7" customFormat="1" x14ac:dyDescent="0.15">
      <c r="AO676" s="31"/>
    </row>
    <row r="677" spans="41:41" s="7" customFormat="1" x14ac:dyDescent="0.15">
      <c r="AO677" s="31"/>
    </row>
    <row r="678" spans="41:41" s="7" customFormat="1" x14ac:dyDescent="0.15">
      <c r="AO678" s="31"/>
    </row>
    <row r="679" spans="41:41" s="7" customFormat="1" x14ac:dyDescent="0.15">
      <c r="AO679" s="31"/>
    </row>
    <row r="680" spans="41:41" s="7" customFormat="1" x14ac:dyDescent="0.15">
      <c r="AO680" s="31"/>
    </row>
    <row r="681" spans="41:41" s="7" customFormat="1" x14ac:dyDescent="0.15">
      <c r="AO681" s="31"/>
    </row>
    <row r="682" spans="41:41" s="7" customFormat="1" x14ac:dyDescent="0.15">
      <c r="AO682" s="31"/>
    </row>
    <row r="683" spans="41:41" s="7" customFormat="1" x14ac:dyDescent="0.15">
      <c r="AO683" s="31"/>
    </row>
    <row r="684" spans="41:41" s="7" customFormat="1" x14ac:dyDescent="0.15">
      <c r="AO684" s="31"/>
    </row>
    <row r="685" spans="41:41" s="7" customFormat="1" x14ac:dyDescent="0.15">
      <c r="AO685" s="31"/>
    </row>
    <row r="686" spans="41:41" s="7" customFormat="1" x14ac:dyDescent="0.15">
      <c r="AO686" s="31"/>
    </row>
    <row r="687" spans="41:41" s="7" customFormat="1" x14ac:dyDescent="0.15">
      <c r="AO687" s="31"/>
    </row>
    <row r="688" spans="41:41" s="7" customFormat="1" x14ac:dyDescent="0.15">
      <c r="AO688" s="31"/>
    </row>
    <row r="689" spans="41:41" s="7" customFormat="1" x14ac:dyDescent="0.15">
      <c r="AO689" s="31"/>
    </row>
    <row r="690" spans="41:41" s="7" customFormat="1" x14ac:dyDescent="0.15">
      <c r="AO690" s="31"/>
    </row>
    <row r="691" spans="41:41" s="7" customFormat="1" x14ac:dyDescent="0.15">
      <c r="AO691" s="31"/>
    </row>
    <row r="692" spans="41:41" s="7" customFormat="1" x14ac:dyDescent="0.15">
      <c r="AO692" s="31"/>
    </row>
    <row r="693" spans="41:41" s="7" customFormat="1" x14ac:dyDescent="0.15">
      <c r="AO693" s="31"/>
    </row>
    <row r="694" spans="41:41" s="7" customFormat="1" x14ac:dyDescent="0.15">
      <c r="AO694" s="31"/>
    </row>
    <row r="695" spans="41:41" s="7" customFormat="1" x14ac:dyDescent="0.15">
      <c r="AO695" s="31"/>
    </row>
    <row r="696" spans="41:41" s="7" customFormat="1" x14ac:dyDescent="0.15">
      <c r="AO696" s="31"/>
    </row>
    <row r="697" spans="41:41" s="7" customFormat="1" x14ac:dyDescent="0.15">
      <c r="AO697" s="31"/>
    </row>
    <row r="698" spans="41:41" s="7" customFormat="1" x14ac:dyDescent="0.15">
      <c r="AO698" s="31"/>
    </row>
    <row r="699" spans="41:41" s="7" customFormat="1" x14ac:dyDescent="0.15">
      <c r="AO699" s="31"/>
    </row>
    <row r="700" spans="41:41" s="7" customFormat="1" x14ac:dyDescent="0.15">
      <c r="AO700" s="31"/>
    </row>
    <row r="701" spans="41:41" s="7" customFormat="1" x14ac:dyDescent="0.15">
      <c r="AO701" s="31"/>
    </row>
    <row r="702" spans="41:41" s="7" customFormat="1" x14ac:dyDescent="0.15">
      <c r="AO702" s="31"/>
    </row>
    <row r="703" spans="41:41" s="7" customFormat="1" x14ac:dyDescent="0.15">
      <c r="AO703" s="31"/>
    </row>
    <row r="704" spans="41:41" s="7" customFormat="1" x14ac:dyDescent="0.15">
      <c r="AO704" s="31"/>
    </row>
    <row r="705" spans="41:41" s="7" customFormat="1" x14ac:dyDescent="0.15">
      <c r="AO705" s="31"/>
    </row>
    <row r="706" spans="41:41" s="7" customFormat="1" x14ac:dyDescent="0.15">
      <c r="AO706" s="31"/>
    </row>
    <row r="707" spans="41:41" s="7" customFormat="1" x14ac:dyDescent="0.15">
      <c r="AO707" s="31"/>
    </row>
    <row r="708" spans="41:41" s="7" customFormat="1" x14ac:dyDescent="0.15">
      <c r="AO708" s="31"/>
    </row>
    <row r="709" spans="41:41" s="7" customFormat="1" x14ac:dyDescent="0.15">
      <c r="AO709" s="31"/>
    </row>
    <row r="710" spans="41:41" s="7" customFormat="1" x14ac:dyDescent="0.15">
      <c r="AO710" s="31"/>
    </row>
    <row r="711" spans="41:41" s="7" customFormat="1" x14ac:dyDescent="0.15">
      <c r="AO711" s="31"/>
    </row>
    <row r="712" spans="41:41" s="7" customFormat="1" x14ac:dyDescent="0.15">
      <c r="AO712" s="31"/>
    </row>
    <row r="713" spans="41:41" s="7" customFormat="1" x14ac:dyDescent="0.15">
      <c r="AO713" s="31"/>
    </row>
    <row r="714" spans="41:41" s="7" customFormat="1" x14ac:dyDescent="0.15">
      <c r="AO714" s="31"/>
    </row>
    <row r="715" spans="41:41" s="7" customFormat="1" x14ac:dyDescent="0.15">
      <c r="AO715" s="31"/>
    </row>
    <row r="716" spans="41:41" s="7" customFormat="1" x14ac:dyDescent="0.15">
      <c r="AO716" s="31"/>
    </row>
    <row r="717" spans="41:41" s="7" customFormat="1" x14ac:dyDescent="0.15">
      <c r="AO717" s="31"/>
    </row>
    <row r="718" spans="41:41" s="7" customFormat="1" x14ac:dyDescent="0.15">
      <c r="AO718" s="31"/>
    </row>
    <row r="719" spans="41:41" s="7" customFormat="1" x14ac:dyDescent="0.15">
      <c r="AO719" s="31"/>
    </row>
    <row r="720" spans="41:41" s="7" customFormat="1" x14ac:dyDescent="0.15">
      <c r="AO720" s="31"/>
    </row>
    <row r="721" spans="41:41" s="7" customFormat="1" x14ac:dyDescent="0.15">
      <c r="AO721" s="31"/>
    </row>
    <row r="722" spans="41:41" s="7" customFormat="1" x14ac:dyDescent="0.15">
      <c r="AO722" s="31"/>
    </row>
    <row r="723" spans="41:41" s="7" customFormat="1" x14ac:dyDescent="0.15">
      <c r="AO723" s="31"/>
    </row>
    <row r="724" spans="41:41" s="7" customFormat="1" x14ac:dyDescent="0.15">
      <c r="AO724" s="31"/>
    </row>
    <row r="725" spans="41:41" s="7" customFormat="1" x14ac:dyDescent="0.15">
      <c r="AO725" s="31"/>
    </row>
    <row r="726" spans="41:41" s="7" customFormat="1" x14ac:dyDescent="0.15">
      <c r="AO726" s="31"/>
    </row>
    <row r="727" spans="41:41" s="7" customFormat="1" x14ac:dyDescent="0.15">
      <c r="AO727" s="31"/>
    </row>
    <row r="728" spans="41:41" s="7" customFormat="1" x14ac:dyDescent="0.15">
      <c r="AO728" s="31"/>
    </row>
    <row r="729" spans="41:41" s="7" customFormat="1" x14ac:dyDescent="0.15">
      <c r="AO729" s="31"/>
    </row>
    <row r="730" spans="41:41" s="7" customFormat="1" x14ac:dyDescent="0.15">
      <c r="AO730" s="31"/>
    </row>
    <row r="731" spans="41:41" s="7" customFormat="1" x14ac:dyDescent="0.15">
      <c r="AO731" s="31"/>
    </row>
    <row r="732" spans="41:41" s="7" customFormat="1" x14ac:dyDescent="0.15">
      <c r="AO732" s="31"/>
    </row>
    <row r="733" spans="41:41" s="7" customFormat="1" x14ac:dyDescent="0.15">
      <c r="AO733" s="31"/>
    </row>
    <row r="734" spans="41:41" s="7" customFormat="1" x14ac:dyDescent="0.15">
      <c r="AO734" s="31"/>
    </row>
    <row r="735" spans="41:41" s="7" customFormat="1" x14ac:dyDescent="0.15">
      <c r="AO735" s="31"/>
    </row>
    <row r="736" spans="41:41" s="7" customFormat="1" x14ac:dyDescent="0.15">
      <c r="AO736" s="31"/>
    </row>
    <row r="737" spans="41:41" s="7" customFormat="1" x14ac:dyDescent="0.15">
      <c r="AO737" s="31"/>
    </row>
    <row r="738" spans="41:41" s="7" customFormat="1" x14ac:dyDescent="0.15">
      <c r="AO738" s="31"/>
    </row>
    <row r="739" spans="41:41" s="7" customFormat="1" x14ac:dyDescent="0.15">
      <c r="AO739" s="31"/>
    </row>
    <row r="740" spans="41:41" s="7" customFormat="1" x14ac:dyDescent="0.15">
      <c r="AO740" s="31"/>
    </row>
    <row r="741" spans="41:41" s="7" customFormat="1" x14ac:dyDescent="0.15">
      <c r="AO741" s="31"/>
    </row>
    <row r="742" spans="41:41" s="7" customFormat="1" x14ac:dyDescent="0.15">
      <c r="AO742" s="31"/>
    </row>
    <row r="743" spans="41:41" s="7" customFormat="1" x14ac:dyDescent="0.15">
      <c r="AO743" s="31"/>
    </row>
    <row r="744" spans="41:41" s="7" customFormat="1" x14ac:dyDescent="0.15">
      <c r="AO744" s="31"/>
    </row>
    <row r="745" spans="41:41" s="7" customFormat="1" x14ac:dyDescent="0.15">
      <c r="AO745" s="31"/>
    </row>
    <row r="746" spans="41:41" s="7" customFormat="1" x14ac:dyDescent="0.15">
      <c r="AO746" s="31"/>
    </row>
    <row r="747" spans="41:41" s="7" customFormat="1" x14ac:dyDescent="0.15">
      <c r="AO747" s="31"/>
    </row>
    <row r="748" spans="41:41" s="7" customFormat="1" x14ac:dyDescent="0.15">
      <c r="AO748" s="31"/>
    </row>
    <row r="749" spans="41:41" s="7" customFormat="1" x14ac:dyDescent="0.15">
      <c r="AO749" s="31"/>
    </row>
    <row r="750" spans="41:41" s="7" customFormat="1" x14ac:dyDescent="0.15">
      <c r="AO750" s="31"/>
    </row>
    <row r="751" spans="41:41" s="7" customFormat="1" x14ac:dyDescent="0.15">
      <c r="AO751" s="31"/>
    </row>
    <row r="752" spans="41:41" s="7" customFormat="1" x14ac:dyDescent="0.15">
      <c r="AO752" s="31"/>
    </row>
    <row r="753" spans="41:41" s="7" customFormat="1" x14ac:dyDescent="0.15">
      <c r="AO753" s="31"/>
    </row>
    <row r="754" spans="41:41" s="7" customFormat="1" x14ac:dyDescent="0.15">
      <c r="AO754" s="31"/>
    </row>
    <row r="755" spans="41:41" s="7" customFormat="1" x14ac:dyDescent="0.15">
      <c r="AO755" s="31"/>
    </row>
    <row r="756" spans="41:41" s="7" customFormat="1" x14ac:dyDescent="0.15">
      <c r="AO756" s="31"/>
    </row>
    <row r="757" spans="41:41" s="7" customFormat="1" x14ac:dyDescent="0.15">
      <c r="AO757" s="31"/>
    </row>
    <row r="758" spans="41:41" s="7" customFormat="1" x14ac:dyDescent="0.15">
      <c r="AO758" s="31"/>
    </row>
    <row r="759" spans="41:41" s="7" customFormat="1" x14ac:dyDescent="0.15">
      <c r="AO759" s="31"/>
    </row>
    <row r="760" spans="41:41" s="7" customFormat="1" x14ac:dyDescent="0.15">
      <c r="AO760" s="31"/>
    </row>
    <row r="761" spans="41:41" s="7" customFormat="1" x14ac:dyDescent="0.15">
      <c r="AO761" s="31"/>
    </row>
    <row r="762" spans="41:41" s="7" customFormat="1" x14ac:dyDescent="0.15">
      <c r="AO762" s="31"/>
    </row>
    <row r="763" spans="41:41" s="7" customFormat="1" x14ac:dyDescent="0.15">
      <c r="AO763" s="31"/>
    </row>
    <row r="764" spans="41:41" s="7" customFormat="1" x14ac:dyDescent="0.15">
      <c r="AO764" s="31"/>
    </row>
    <row r="765" spans="41:41" s="7" customFormat="1" x14ac:dyDescent="0.15">
      <c r="AO765" s="31"/>
    </row>
    <row r="766" spans="41:41" s="7" customFormat="1" x14ac:dyDescent="0.15">
      <c r="AO766" s="31"/>
    </row>
    <row r="767" spans="41:41" s="7" customFormat="1" x14ac:dyDescent="0.15">
      <c r="AO767" s="31"/>
    </row>
    <row r="768" spans="41:41" s="7" customFormat="1" x14ac:dyDescent="0.15">
      <c r="AO768" s="31"/>
    </row>
    <row r="769" spans="41:41" s="7" customFormat="1" x14ac:dyDescent="0.15">
      <c r="AO769" s="31"/>
    </row>
    <row r="770" spans="41:41" s="7" customFormat="1" x14ac:dyDescent="0.15">
      <c r="AO770" s="31"/>
    </row>
    <row r="771" spans="41:41" s="7" customFormat="1" x14ac:dyDescent="0.15">
      <c r="AO771" s="31"/>
    </row>
    <row r="772" spans="41:41" s="7" customFormat="1" x14ac:dyDescent="0.15">
      <c r="AO772" s="31"/>
    </row>
    <row r="773" spans="41:41" s="7" customFormat="1" x14ac:dyDescent="0.15">
      <c r="AO773" s="31"/>
    </row>
    <row r="774" spans="41:41" s="7" customFormat="1" x14ac:dyDescent="0.15">
      <c r="AO774" s="31"/>
    </row>
    <row r="775" spans="41:41" s="7" customFormat="1" x14ac:dyDescent="0.15">
      <c r="AO775" s="31"/>
    </row>
    <row r="776" spans="41:41" s="7" customFormat="1" x14ac:dyDescent="0.15">
      <c r="AO776" s="31"/>
    </row>
    <row r="777" spans="41:41" s="7" customFormat="1" x14ac:dyDescent="0.15">
      <c r="AO777" s="31"/>
    </row>
    <row r="778" spans="41:41" s="7" customFormat="1" x14ac:dyDescent="0.15">
      <c r="AO778" s="31"/>
    </row>
    <row r="779" spans="41:41" s="7" customFormat="1" x14ac:dyDescent="0.15">
      <c r="AO779" s="31"/>
    </row>
    <row r="780" spans="41:41" s="7" customFormat="1" x14ac:dyDescent="0.15">
      <c r="AO780" s="31"/>
    </row>
    <row r="781" spans="41:41" s="7" customFormat="1" x14ac:dyDescent="0.15">
      <c r="AO781" s="31"/>
    </row>
    <row r="782" spans="41:41" s="7" customFormat="1" x14ac:dyDescent="0.15">
      <c r="AO782" s="31"/>
    </row>
    <row r="783" spans="41:41" s="7" customFormat="1" x14ac:dyDescent="0.15">
      <c r="AO783" s="31"/>
    </row>
    <row r="784" spans="41:41" s="7" customFormat="1" x14ac:dyDescent="0.15">
      <c r="AO784" s="31"/>
    </row>
    <row r="785" spans="41:41" s="7" customFormat="1" x14ac:dyDescent="0.15">
      <c r="AO785" s="31"/>
    </row>
    <row r="786" spans="41:41" s="7" customFormat="1" x14ac:dyDescent="0.15">
      <c r="AO786" s="31"/>
    </row>
    <row r="787" spans="41:41" s="7" customFormat="1" x14ac:dyDescent="0.15">
      <c r="AO787" s="31"/>
    </row>
    <row r="788" spans="41:41" s="7" customFormat="1" x14ac:dyDescent="0.15">
      <c r="AO788" s="31"/>
    </row>
    <row r="789" spans="41:41" s="7" customFormat="1" x14ac:dyDescent="0.15">
      <c r="AO789" s="31"/>
    </row>
    <row r="790" spans="41:41" s="7" customFormat="1" x14ac:dyDescent="0.15">
      <c r="AO790" s="31"/>
    </row>
    <row r="791" spans="41:41" s="7" customFormat="1" x14ac:dyDescent="0.15">
      <c r="AO791" s="31"/>
    </row>
    <row r="792" spans="41:41" s="7" customFormat="1" x14ac:dyDescent="0.15">
      <c r="AO792" s="31"/>
    </row>
    <row r="793" spans="41:41" s="7" customFormat="1" x14ac:dyDescent="0.15">
      <c r="AO793" s="31"/>
    </row>
    <row r="794" spans="41:41" s="7" customFormat="1" x14ac:dyDescent="0.15">
      <c r="AO794" s="31"/>
    </row>
    <row r="795" spans="41:41" s="7" customFormat="1" x14ac:dyDescent="0.15">
      <c r="AO795" s="31"/>
    </row>
    <row r="796" spans="41:41" s="7" customFormat="1" x14ac:dyDescent="0.15">
      <c r="AO796" s="31"/>
    </row>
    <row r="797" spans="41:41" s="7" customFormat="1" x14ac:dyDescent="0.15">
      <c r="AO797" s="31"/>
    </row>
    <row r="798" spans="41:41" s="7" customFormat="1" x14ac:dyDescent="0.15">
      <c r="AO798" s="31"/>
    </row>
    <row r="799" spans="41:41" s="7" customFormat="1" x14ac:dyDescent="0.15">
      <c r="AO799" s="31"/>
    </row>
    <row r="800" spans="41:41" s="7" customFormat="1" x14ac:dyDescent="0.15">
      <c r="AO800" s="31"/>
    </row>
    <row r="801" spans="41:41" s="7" customFormat="1" x14ac:dyDescent="0.15">
      <c r="AO801" s="31"/>
    </row>
    <row r="802" spans="41:41" s="7" customFormat="1" x14ac:dyDescent="0.15">
      <c r="AO802" s="31"/>
    </row>
    <row r="803" spans="41:41" s="7" customFormat="1" x14ac:dyDescent="0.15">
      <c r="AO803" s="31"/>
    </row>
    <row r="804" spans="41:41" s="7" customFormat="1" x14ac:dyDescent="0.15">
      <c r="AO804" s="31"/>
    </row>
    <row r="805" spans="41:41" s="7" customFormat="1" x14ac:dyDescent="0.15">
      <c r="AO805" s="31"/>
    </row>
    <row r="806" spans="41:41" s="7" customFormat="1" x14ac:dyDescent="0.15">
      <c r="AO806" s="31"/>
    </row>
    <row r="807" spans="41:41" s="7" customFormat="1" x14ac:dyDescent="0.15">
      <c r="AO807" s="31"/>
    </row>
    <row r="808" spans="41:41" s="7" customFormat="1" x14ac:dyDescent="0.15">
      <c r="AO808" s="31"/>
    </row>
    <row r="809" spans="41:41" s="7" customFormat="1" x14ac:dyDescent="0.15">
      <c r="AO809" s="31"/>
    </row>
    <row r="810" spans="41:41" s="7" customFormat="1" x14ac:dyDescent="0.15">
      <c r="AO810" s="31"/>
    </row>
    <row r="811" spans="41:41" s="7" customFormat="1" x14ac:dyDescent="0.15">
      <c r="AO811" s="31"/>
    </row>
    <row r="812" spans="41:41" s="7" customFormat="1" x14ac:dyDescent="0.15">
      <c r="AO812" s="31"/>
    </row>
    <row r="813" spans="41:41" s="7" customFormat="1" x14ac:dyDescent="0.15">
      <c r="AO813" s="31"/>
    </row>
    <row r="814" spans="41:41" s="7" customFormat="1" x14ac:dyDescent="0.15">
      <c r="AO814" s="31"/>
    </row>
    <row r="815" spans="41:41" s="7" customFormat="1" x14ac:dyDescent="0.15">
      <c r="AO815" s="31"/>
    </row>
    <row r="816" spans="41:41" s="7" customFormat="1" x14ac:dyDescent="0.15">
      <c r="AO816" s="31"/>
    </row>
    <row r="817" spans="41:41" s="7" customFormat="1" x14ac:dyDescent="0.15">
      <c r="AO817" s="31"/>
    </row>
    <row r="818" spans="41:41" s="7" customFormat="1" x14ac:dyDescent="0.15">
      <c r="AO818" s="31"/>
    </row>
    <row r="819" spans="41:41" s="7" customFormat="1" x14ac:dyDescent="0.15">
      <c r="AO819" s="31"/>
    </row>
    <row r="820" spans="41:41" s="7" customFormat="1" x14ac:dyDescent="0.15">
      <c r="AO820" s="31"/>
    </row>
    <row r="821" spans="41:41" s="7" customFormat="1" x14ac:dyDescent="0.15">
      <c r="AO821" s="31"/>
    </row>
    <row r="822" spans="41:41" s="7" customFormat="1" x14ac:dyDescent="0.15">
      <c r="AO822" s="31"/>
    </row>
    <row r="823" spans="41:41" s="7" customFormat="1" x14ac:dyDescent="0.15">
      <c r="AO823" s="31"/>
    </row>
    <row r="824" spans="41:41" s="7" customFormat="1" x14ac:dyDescent="0.15">
      <c r="AO824" s="31"/>
    </row>
    <row r="825" spans="41:41" s="7" customFormat="1" x14ac:dyDescent="0.15">
      <c r="AO825" s="31"/>
    </row>
    <row r="826" spans="41:41" s="7" customFormat="1" x14ac:dyDescent="0.15">
      <c r="AO826" s="31"/>
    </row>
    <row r="827" spans="41:41" s="7" customFormat="1" x14ac:dyDescent="0.15">
      <c r="AO827" s="31"/>
    </row>
    <row r="828" spans="41:41" s="7" customFormat="1" x14ac:dyDescent="0.15">
      <c r="AO828" s="31"/>
    </row>
    <row r="829" spans="41:41" s="7" customFormat="1" x14ac:dyDescent="0.15">
      <c r="AO829" s="31"/>
    </row>
    <row r="830" spans="41:41" s="7" customFormat="1" x14ac:dyDescent="0.15">
      <c r="AO830" s="31"/>
    </row>
    <row r="831" spans="41:41" s="7" customFormat="1" x14ac:dyDescent="0.15">
      <c r="AO831" s="31"/>
    </row>
    <row r="832" spans="41:41" s="7" customFormat="1" x14ac:dyDescent="0.15">
      <c r="AO832" s="31"/>
    </row>
    <row r="833" spans="41:41" s="7" customFormat="1" x14ac:dyDescent="0.15">
      <c r="AO833" s="31"/>
    </row>
    <row r="834" spans="41:41" s="7" customFormat="1" x14ac:dyDescent="0.15">
      <c r="AO834" s="31"/>
    </row>
    <row r="835" spans="41:41" s="7" customFormat="1" x14ac:dyDescent="0.15">
      <c r="AO835" s="31"/>
    </row>
    <row r="836" spans="41:41" s="7" customFormat="1" x14ac:dyDescent="0.15">
      <c r="AO836" s="31"/>
    </row>
    <row r="837" spans="41:41" s="7" customFormat="1" x14ac:dyDescent="0.15">
      <c r="AO837" s="31"/>
    </row>
    <row r="838" spans="41:41" s="7" customFormat="1" x14ac:dyDescent="0.15">
      <c r="AO838" s="31"/>
    </row>
    <row r="839" spans="41:41" s="7" customFormat="1" x14ac:dyDescent="0.15">
      <c r="AO839" s="31"/>
    </row>
    <row r="840" spans="41:41" s="7" customFormat="1" x14ac:dyDescent="0.15">
      <c r="AO840" s="31"/>
    </row>
    <row r="841" spans="41:41" s="7" customFormat="1" x14ac:dyDescent="0.15">
      <c r="AO841" s="31"/>
    </row>
    <row r="842" spans="41:41" s="7" customFormat="1" x14ac:dyDescent="0.15">
      <c r="AO842" s="31"/>
    </row>
    <row r="843" spans="41:41" s="7" customFormat="1" x14ac:dyDescent="0.15">
      <c r="AO843" s="31"/>
    </row>
    <row r="844" spans="41:41" s="7" customFormat="1" x14ac:dyDescent="0.15">
      <c r="AO844" s="31"/>
    </row>
    <row r="845" spans="41:41" s="7" customFormat="1" x14ac:dyDescent="0.15">
      <c r="AO845" s="31"/>
    </row>
    <row r="846" spans="41:41" s="7" customFormat="1" x14ac:dyDescent="0.15">
      <c r="AO846" s="31"/>
    </row>
    <row r="847" spans="41:41" s="7" customFormat="1" x14ac:dyDescent="0.15">
      <c r="AO847" s="31"/>
    </row>
    <row r="848" spans="41:41" s="7" customFormat="1" x14ac:dyDescent="0.15">
      <c r="AO848" s="31"/>
    </row>
    <row r="849" spans="41:41" s="7" customFormat="1" x14ac:dyDescent="0.15">
      <c r="AO849" s="31"/>
    </row>
    <row r="850" spans="41:41" s="7" customFormat="1" x14ac:dyDescent="0.15">
      <c r="AO850" s="31"/>
    </row>
    <row r="851" spans="41:41" s="7" customFormat="1" x14ac:dyDescent="0.15">
      <c r="AO851" s="31"/>
    </row>
    <row r="852" spans="41:41" s="7" customFormat="1" x14ac:dyDescent="0.15">
      <c r="AO852" s="31"/>
    </row>
    <row r="853" spans="41:41" s="7" customFormat="1" x14ac:dyDescent="0.15">
      <c r="AO853" s="31"/>
    </row>
    <row r="854" spans="41:41" s="7" customFormat="1" x14ac:dyDescent="0.15">
      <c r="AO854" s="31"/>
    </row>
    <row r="855" spans="41:41" s="7" customFormat="1" x14ac:dyDescent="0.15">
      <c r="AO855" s="31"/>
    </row>
    <row r="856" spans="41:41" s="7" customFormat="1" x14ac:dyDescent="0.15">
      <c r="AO856" s="31"/>
    </row>
    <row r="857" spans="41:41" s="7" customFormat="1" x14ac:dyDescent="0.15">
      <c r="AO857" s="31"/>
    </row>
    <row r="858" spans="41:41" s="7" customFormat="1" x14ac:dyDescent="0.15">
      <c r="AO858" s="31"/>
    </row>
    <row r="859" spans="41:41" s="7" customFormat="1" x14ac:dyDescent="0.15">
      <c r="AO859" s="31"/>
    </row>
    <row r="860" spans="41:41" s="7" customFormat="1" x14ac:dyDescent="0.15">
      <c r="AO860" s="31"/>
    </row>
    <row r="861" spans="41:41" s="7" customFormat="1" x14ac:dyDescent="0.15">
      <c r="AO861" s="31"/>
    </row>
    <row r="862" spans="41:41" s="7" customFormat="1" x14ac:dyDescent="0.15">
      <c r="AO862" s="31"/>
    </row>
    <row r="863" spans="41:41" s="7" customFormat="1" x14ac:dyDescent="0.15">
      <c r="AO863" s="31"/>
    </row>
    <row r="864" spans="41:41" s="7" customFormat="1" x14ac:dyDescent="0.15">
      <c r="AO864" s="31"/>
    </row>
    <row r="865" spans="41:41" s="7" customFormat="1" x14ac:dyDescent="0.15">
      <c r="AO865" s="31"/>
    </row>
    <row r="866" spans="41:41" s="7" customFormat="1" x14ac:dyDescent="0.15">
      <c r="AO866" s="31"/>
    </row>
    <row r="867" spans="41:41" s="7" customFormat="1" x14ac:dyDescent="0.15">
      <c r="AO867" s="31"/>
    </row>
    <row r="868" spans="41:41" s="7" customFormat="1" x14ac:dyDescent="0.15">
      <c r="AO868" s="31"/>
    </row>
    <row r="869" spans="41:41" s="7" customFormat="1" x14ac:dyDescent="0.15">
      <c r="AO869" s="31"/>
    </row>
    <row r="870" spans="41:41" s="7" customFormat="1" x14ac:dyDescent="0.15">
      <c r="AO870" s="31"/>
    </row>
    <row r="871" spans="41:41" s="7" customFormat="1" x14ac:dyDescent="0.15">
      <c r="AO871" s="31"/>
    </row>
    <row r="872" spans="41:41" s="7" customFormat="1" x14ac:dyDescent="0.15">
      <c r="AO872" s="31"/>
    </row>
    <row r="873" spans="41:41" s="7" customFormat="1" x14ac:dyDescent="0.15">
      <c r="AO873" s="31"/>
    </row>
    <row r="874" spans="41:41" s="7" customFormat="1" x14ac:dyDescent="0.15">
      <c r="AO874" s="31"/>
    </row>
    <row r="875" spans="41:41" s="7" customFormat="1" x14ac:dyDescent="0.15">
      <c r="AO875" s="31"/>
    </row>
    <row r="876" spans="41:41" s="7" customFormat="1" x14ac:dyDescent="0.15">
      <c r="AO876" s="31"/>
    </row>
    <row r="877" spans="41:41" s="7" customFormat="1" x14ac:dyDescent="0.15">
      <c r="AO877" s="31"/>
    </row>
    <row r="878" spans="41:41" s="7" customFormat="1" x14ac:dyDescent="0.15">
      <c r="AO878" s="31"/>
    </row>
    <row r="879" spans="41:41" s="7" customFormat="1" x14ac:dyDescent="0.15">
      <c r="AO879" s="31"/>
    </row>
    <row r="880" spans="41:41" s="7" customFormat="1" x14ac:dyDescent="0.15">
      <c r="AO880" s="31"/>
    </row>
    <row r="881" spans="41:41" s="7" customFormat="1" x14ac:dyDescent="0.15">
      <c r="AO881" s="31"/>
    </row>
    <row r="882" spans="41:41" s="7" customFormat="1" x14ac:dyDescent="0.15">
      <c r="AO882" s="31"/>
    </row>
    <row r="883" spans="41:41" s="7" customFormat="1" x14ac:dyDescent="0.15">
      <c r="AO883" s="31"/>
    </row>
    <row r="884" spans="41:41" s="7" customFormat="1" x14ac:dyDescent="0.15">
      <c r="AO884" s="31"/>
    </row>
    <row r="885" spans="41:41" s="7" customFormat="1" x14ac:dyDescent="0.15">
      <c r="AO885" s="31"/>
    </row>
    <row r="886" spans="41:41" s="7" customFormat="1" x14ac:dyDescent="0.15">
      <c r="AO886" s="31"/>
    </row>
    <row r="887" spans="41:41" s="7" customFormat="1" x14ac:dyDescent="0.15">
      <c r="AO887" s="31"/>
    </row>
    <row r="888" spans="41:41" s="7" customFormat="1" x14ac:dyDescent="0.15">
      <c r="AO888" s="31"/>
    </row>
    <row r="889" spans="41:41" s="7" customFormat="1" x14ac:dyDescent="0.15">
      <c r="AO889" s="31"/>
    </row>
    <row r="890" spans="41:41" s="7" customFormat="1" x14ac:dyDescent="0.15">
      <c r="AO890" s="31"/>
    </row>
    <row r="891" spans="41:41" s="7" customFormat="1" x14ac:dyDescent="0.15">
      <c r="AO891" s="31"/>
    </row>
    <row r="892" spans="41:41" s="7" customFormat="1" x14ac:dyDescent="0.15">
      <c r="AO892" s="31"/>
    </row>
    <row r="893" spans="41:41" s="7" customFormat="1" x14ac:dyDescent="0.15">
      <c r="AO893" s="31"/>
    </row>
    <row r="894" spans="41:41" s="7" customFormat="1" x14ac:dyDescent="0.15">
      <c r="AO894" s="31"/>
    </row>
    <row r="895" spans="41:41" s="7" customFormat="1" x14ac:dyDescent="0.15">
      <c r="AO895" s="31"/>
    </row>
    <row r="896" spans="41:41" s="7" customFormat="1" x14ac:dyDescent="0.15">
      <c r="AO896" s="31"/>
    </row>
    <row r="897" spans="41:41" s="7" customFormat="1" x14ac:dyDescent="0.15">
      <c r="AO897" s="31"/>
    </row>
    <row r="898" spans="41:41" s="7" customFormat="1" x14ac:dyDescent="0.15">
      <c r="AO898" s="31"/>
    </row>
    <row r="899" spans="41:41" s="7" customFormat="1" x14ac:dyDescent="0.15">
      <c r="AO899" s="31"/>
    </row>
    <row r="900" spans="41:41" s="7" customFormat="1" x14ac:dyDescent="0.15">
      <c r="AO900" s="31"/>
    </row>
    <row r="901" spans="41:41" s="7" customFormat="1" x14ac:dyDescent="0.15">
      <c r="AO901" s="31"/>
    </row>
    <row r="902" spans="41:41" s="7" customFormat="1" x14ac:dyDescent="0.15">
      <c r="AO902" s="31"/>
    </row>
    <row r="903" spans="41:41" s="7" customFormat="1" x14ac:dyDescent="0.15">
      <c r="AO903" s="31"/>
    </row>
    <row r="904" spans="41:41" s="7" customFormat="1" x14ac:dyDescent="0.15">
      <c r="AO904" s="31"/>
    </row>
    <row r="905" spans="41:41" s="7" customFormat="1" x14ac:dyDescent="0.15">
      <c r="AO905" s="31"/>
    </row>
    <row r="906" spans="41:41" s="7" customFormat="1" x14ac:dyDescent="0.15">
      <c r="AO906" s="31"/>
    </row>
    <row r="907" spans="41:41" s="7" customFormat="1" x14ac:dyDescent="0.15">
      <c r="AO907" s="31"/>
    </row>
    <row r="908" spans="41:41" s="7" customFormat="1" x14ac:dyDescent="0.15">
      <c r="AO908" s="31"/>
    </row>
    <row r="909" spans="41:41" s="7" customFormat="1" x14ac:dyDescent="0.15">
      <c r="AO909" s="31"/>
    </row>
    <row r="910" spans="41:41" s="7" customFormat="1" x14ac:dyDescent="0.15">
      <c r="AO910" s="31"/>
    </row>
    <row r="911" spans="41:41" s="7" customFormat="1" x14ac:dyDescent="0.15">
      <c r="AO911" s="31"/>
    </row>
    <row r="912" spans="41:41" s="7" customFormat="1" x14ac:dyDescent="0.15">
      <c r="AO912" s="31"/>
    </row>
    <row r="913" spans="41:41" s="7" customFormat="1" x14ac:dyDescent="0.15">
      <c r="AO913" s="31"/>
    </row>
    <row r="914" spans="41:41" s="7" customFormat="1" x14ac:dyDescent="0.15">
      <c r="AO914" s="31"/>
    </row>
    <row r="915" spans="41:41" s="7" customFormat="1" x14ac:dyDescent="0.15">
      <c r="AO915" s="31"/>
    </row>
    <row r="916" spans="41:41" s="7" customFormat="1" x14ac:dyDescent="0.15">
      <c r="AO916" s="31"/>
    </row>
    <row r="917" spans="41:41" s="7" customFormat="1" x14ac:dyDescent="0.15">
      <c r="AO917" s="31"/>
    </row>
    <row r="918" spans="41:41" s="7" customFormat="1" x14ac:dyDescent="0.15">
      <c r="AO918" s="31"/>
    </row>
    <row r="919" spans="41:41" s="7" customFormat="1" x14ac:dyDescent="0.15">
      <c r="AO919" s="31"/>
    </row>
    <row r="920" spans="41:41" s="7" customFormat="1" x14ac:dyDescent="0.15">
      <c r="AO920" s="31"/>
    </row>
    <row r="921" spans="41:41" s="7" customFormat="1" x14ac:dyDescent="0.15">
      <c r="AO921" s="31"/>
    </row>
    <row r="922" spans="41:41" s="7" customFormat="1" x14ac:dyDescent="0.15">
      <c r="AO922" s="31"/>
    </row>
    <row r="923" spans="41:41" s="7" customFormat="1" x14ac:dyDescent="0.15">
      <c r="AO923" s="31"/>
    </row>
    <row r="924" spans="41:41" s="7" customFormat="1" x14ac:dyDescent="0.15">
      <c r="AO924" s="31"/>
    </row>
    <row r="925" spans="41:41" s="7" customFormat="1" x14ac:dyDescent="0.15">
      <c r="AO925" s="31"/>
    </row>
    <row r="926" spans="41:41" s="7" customFormat="1" x14ac:dyDescent="0.15">
      <c r="AO926" s="31"/>
    </row>
    <row r="927" spans="41:41" s="7" customFormat="1" x14ac:dyDescent="0.15">
      <c r="AO927" s="31"/>
    </row>
    <row r="928" spans="41:41" s="7" customFormat="1" x14ac:dyDescent="0.15">
      <c r="AO928" s="31"/>
    </row>
    <row r="929" spans="41:41" s="7" customFormat="1" x14ac:dyDescent="0.15">
      <c r="AO929" s="31"/>
    </row>
    <row r="930" spans="41:41" s="7" customFormat="1" x14ac:dyDescent="0.15">
      <c r="AO930" s="31"/>
    </row>
    <row r="931" spans="41:41" s="7" customFormat="1" x14ac:dyDescent="0.15">
      <c r="AO931" s="31"/>
    </row>
    <row r="932" spans="41:41" s="7" customFormat="1" x14ac:dyDescent="0.15">
      <c r="AO932" s="31"/>
    </row>
    <row r="933" spans="41:41" s="7" customFormat="1" x14ac:dyDescent="0.15">
      <c r="AO933" s="31"/>
    </row>
    <row r="934" spans="41:41" s="7" customFormat="1" x14ac:dyDescent="0.15">
      <c r="AO934" s="31"/>
    </row>
    <row r="935" spans="41:41" s="7" customFormat="1" x14ac:dyDescent="0.15">
      <c r="AO935" s="31"/>
    </row>
    <row r="936" spans="41:41" s="7" customFormat="1" x14ac:dyDescent="0.15">
      <c r="AO936" s="31"/>
    </row>
    <row r="937" spans="41:41" s="7" customFormat="1" x14ac:dyDescent="0.15">
      <c r="AO937" s="31"/>
    </row>
    <row r="938" spans="41:41" s="7" customFormat="1" x14ac:dyDescent="0.15">
      <c r="AO938" s="31"/>
    </row>
    <row r="939" spans="41:41" s="7" customFormat="1" x14ac:dyDescent="0.15">
      <c r="AO939" s="31"/>
    </row>
    <row r="940" spans="41:41" s="7" customFormat="1" x14ac:dyDescent="0.15">
      <c r="AO940" s="31"/>
    </row>
    <row r="941" spans="41:41" s="7" customFormat="1" x14ac:dyDescent="0.15">
      <c r="AO941" s="31"/>
    </row>
    <row r="942" spans="41:41" s="7" customFormat="1" x14ac:dyDescent="0.15">
      <c r="AO942" s="31"/>
    </row>
    <row r="943" spans="41:41" s="7" customFormat="1" x14ac:dyDescent="0.15">
      <c r="AO943" s="31"/>
    </row>
    <row r="944" spans="41:41" s="7" customFormat="1" x14ac:dyDescent="0.15">
      <c r="AO944" s="31"/>
    </row>
    <row r="945" spans="41:41" s="7" customFormat="1" x14ac:dyDescent="0.15">
      <c r="AO945" s="31"/>
    </row>
    <row r="946" spans="41:41" s="7" customFormat="1" x14ac:dyDescent="0.15">
      <c r="AO946" s="31"/>
    </row>
    <row r="947" spans="41:41" s="7" customFormat="1" x14ac:dyDescent="0.15">
      <c r="AO947" s="31"/>
    </row>
    <row r="948" spans="41:41" s="7" customFormat="1" x14ac:dyDescent="0.15">
      <c r="AO948" s="31"/>
    </row>
    <row r="949" spans="41:41" s="7" customFormat="1" x14ac:dyDescent="0.15">
      <c r="AO949" s="31"/>
    </row>
    <row r="950" spans="41:41" s="7" customFormat="1" x14ac:dyDescent="0.15">
      <c r="AO950" s="31"/>
    </row>
    <row r="951" spans="41:41" s="7" customFormat="1" x14ac:dyDescent="0.15">
      <c r="AO951" s="31"/>
    </row>
    <row r="952" spans="41:41" s="7" customFormat="1" x14ac:dyDescent="0.15">
      <c r="AO952" s="31"/>
    </row>
    <row r="953" spans="41:41" s="7" customFormat="1" x14ac:dyDescent="0.15">
      <c r="AO953" s="31"/>
    </row>
    <row r="954" spans="41:41" s="7" customFormat="1" x14ac:dyDescent="0.15">
      <c r="AO954" s="31"/>
    </row>
    <row r="955" spans="41:41" s="7" customFormat="1" x14ac:dyDescent="0.15">
      <c r="AO955" s="31"/>
    </row>
    <row r="956" spans="41:41" s="7" customFormat="1" x14ac:dyDescent="0.15">
      <c r="AO956" s="31"/>
    </row>
    <row r="957" spans="41:41" s="7" customFormat="1" x14ac:dyDescent="0.15">
      <c r="AO957" s="31"/>
    </row>
    <row r="958" spans="41:41" s="7" customFormat="1" x14ac:dyDescent="0.15">
      <c r="AO958" s="31"/>
    </row>
    <row r="959" spans="41:41" s="7" customFormat="1" x14ac:dyDescent="0.15">
      <c r="AO959" s="31"/>
    </row>
    <row r="960" spans="41:41" s="7" customFormat="1" x14ac:dyDescent="0.15">
      <c r="AO960" s="31"/>
    </row>
    <row r="961" spans="41:41" s="7" customFormat="1" x14ac:dyDescent="0.15">
      <c r="AO961" s="31"/>
    </row>
    <row r="962" spans="41:41" s="7" customFormat="1" x14ac:dyDescent="0.15">
      <c r="AO962" s="31"/>
    </row>
    <row r="963" spans="41:41" s="7" customFormat="1" x14ac:dyDescent="0.15">
      <c r="AO963" s="31"/>
    </row>
    <row r="964" spans="41:41" s="7" customFormat="1" x14ac:dyDescent="0.15">
      <c r="AO964" s="31"/>
    </row>
    <row r="965" spans="41:41" s="7" customFormat="1" x14ac:dyDescent="0.15">
      <c r="AO965" s="31"/>
    </row>
    <row r="966" spans="41:41" s="7" customFormat="1" x14ac:dyDescent="0.15">
      <c r="AO966" s="31"/>
    </row>
    <row r="967" spans="41:41" s="7" customFormat="1" x14ac:dyDescent="0.15">
      <c r="AO967" s="31"/>
    </row>
    <row r="968" spans="41:41" s="7" customFormat="1" x14ac:dyDescent="0.15">
      <c r="AO968" s="31"/>
    </row>
    <row r="969" spans="41:41" s="7" customFormat="1" x14ac:dyDescent="0.15">
      <c r="AO969" s="31"/>
    </row>
    <row r="970" spans="41:41" s="7" customFormat="1" x14ac:dyDescent="0.15">
      <c r="AO970" s="31"/>
    </row>
    <row r="971" spans="41:41" s="7" customFormat="1" x14ac:dyDescent="0.15">
      <c r="AO971" s="31"/>
    </row>
    <row r="972" spans="41:41" s="7" customFormat="1" x14ac:dyDescent="0.15">
      <c r="AO972" s="31"/>
    </row>
    <row r="973" spans="41:41" s="7" customFormat="1" x14ac:dyDescent="0.15">
      <c r="AO973" s="31"/>
    </row>
    <row r="974" spans="41:41" s="7" customFormat="1" x14ac:dyDescent="0.15">
      <c r="AO974" s="31"/>
    </row>
    <row r="975" spans="41:41" s="7" customFormat="1" x14ac:dyDescent="0.15">
      <c r="AO975" s="31"/>
    </row>
    <row r="976" spans="41:41" s="7" customFormat="1" x14ac:dyDescent="0.15">
      <c r="AO976" s="31"/>
    </row>
    <row r="977" spans="41:41" s="7" customFormat="1" x14ac:dyDescent="0.15">
      <c r="AO977" s="31"/>
    </row>
    <row r="978" spans="41:41" s="7" customFormat="1" x14ac:dyDescent="0.15">
      <c r="AO978" s="31"/>
    </row>
    <row r="979" spans="41:41" s="7" customFormat="1" x14ac:dyDescent="0.15">
      <c r="AO979" s="31"/>
    </row>
    <row r="980" spans="41:41" s="7" customFormat="1" x14ac:dyDescent="0.15">
      <c r="AO980" s="31"/>
    </row>
    <row r="981" spans="41:41" s="7" customFormat="1" x14ac:dyDescent="0.15">
      <c r="AO981" s="31"/>
    </row>
    <row r="982" spans="41:41" s="7" customFormat="1" x14ac:dyDescent="0.15">
      <c r="AO982" s="31"/>
    </row>
    <row r="983" spans="41:41" s="7" customFormat="1" x14ac:dyDescent="0.15">
      <c r="AO983" s="31"/>
    </row>
    <row r="984" spans="41:41" s="7" customFormat="1" x14ac:dyDescent="0.15">
      <c r="AO984" s="31"/>
    </row>
    <row r="985" spans="41:41" s="7" customFormat="1" x14ac:dyDescent="0.15">
      <c r="AO985" s="31"/>
    </row>
    <row r="986" spans="41:41" s="7" customFormat="1" x14ac:dyDescent="0.15">
      <c r="AO986" s="31"/>
    </row>
    <row r="987" spans="41:41" s="7" customFormat="1" x14ac:dyDescent="0.15">
      <c r="AO987" s="31"/>
    </row>
    <row r="988" spans="41:41" s="7" customFormat="1" x14ac:dyDescent="0.15">
      <c r="AO988" s="31"/>
    </row>
    <row r="989" spans="41:41" s="7" customFormat="1" x14ac:dyDescent="0.15">
      <c r="AO989" s="31"/>
    </row>
    <row r="990" spans="41:41" s="7" customFormat="1" x14ac:dyDescent="0.15">
      <c r="AO990" s="31"/>
    </row>
    <row r="991" spans="41:41" s="7" customFormat="1" x14ac:dyDescent="0.15">
      <c r="AO991" s="31"/>
    </row>
    <row r="992" spans="41:41" s="7" customFormat="1" x14ac:dyDescent="0.15">
      <c r="AO992" s="31"/>
    </row>
    <row r="993" spans="1:41" s="7" customFormat="1" x14ac:dyDescent="0.15">
      <c r="AO993" s="31"/>
    </row>
    <row r="994" spans="1:41" s="7" customFormat="1" x14ac:dyDescent="0.15">
      <c r="AO994" s="31"/>
    </row>
    <row r="995" spans="1:41" s="7" customFormat="1" x14ac:dyDescent="0.15">
      <c r="AO995" s="31"/>
    </row>
    <row r="996" spans="1:41" s="7" customFormat="1" x14ac:dyDescent="0.15">
      <c r="AO996" s="31"/>
    </row>
    <row r="997" spans="1:41" s="7" customFormat="1" x14ac:dyDescent="0.15">
      <c r="AO997" s="31"/>
    </row>
    <row r="998" spans="1:41" s="7" customFormat="1" x14ac:dyDescent="0.15">
      <c r="AO998" s="31"/>
    </row>
    <row r="999" spans="1:41" s="7" customFormat="1" x14ac:dyDescent="0.15">
      <c r="AO999" s="31"/>
    </row>
    <row r="1000" spans="1:41" s="7" customFormat="1" x14ac:dyDescent="0.15">
      <c r="A1000" s="105"/>
      <c r="AO1000" s="31"/>
    </row>
    <row r="1001" spans="1:41" s="7" customFormat="1" x14ac:dyDescent="0.15">
      <c r="A1001" s="105"/>
      <c r="AO1001" s="31"/>
    </row>
    <row r="1002" spans="1:41" s="7" customFormat="1" x14ac:dyDescent="0.15">
      <c r="A1002" s="105"/>
      <c r="AO1002" s="31"/>
    </row>
    <row r="1003" spans="1:41" s="7" customFormat="1" x14ac:dyDescent="0.15">
      <c r="A1003" s="105"/>
      <c r="AO1003" s="31"/>
    </row>
    <row r="1004" spans="1:41" s="7" customFormat="1" x14ac:dyDescent="0.15">
      <c r="A1004" s="105"/>
      <c r="AO1004" s="31"/>
    </row>
    <row r="1005" spans="1:41" s="7" customFormat="1" x14ac:dyDescent="0.15">
      <c r="A1005" s="105"/>
      <c r="AO1005" s="31"/>
    </row>
    <row r="1006" spans="1:41" s="7" customFormat="1" x14ac:dyDescent="0.15">
      <c r="A1006" s="105"/>
      <c r="AO1006" s="31"/>
    </row>
    <row r="1007" spans="1:41" s="7" customFormat="1" x14ac:dyDescent="0.15">
      <c r="A1007" s="105"/>
      <c r="AO1007" s="31"/>
    </row>
    <row r="1008" spans="1:41" s="7" customFormat="1" x14ac:dyDescent="0.15">
      <c r="A1008" s="105"/>
      <c r="AO1008" s="31"/>
    </row>
    <row r="1009" spans="1:41" s="7" customFormat="1" x14ac:dyDescent="0.15">
      <c r="A1009" s="105"/>
      <c r="AO1009" s="31"/>
    </row>
    <row r="1010" spans="1:41" s="7" customFormat="1" x14ac:dyDescent="0.15">
      <c r="A1010" s="105"/>
      <c r="AO1010" s="31"/>
    </row>
    <row r="1011" spans="1:41" s="7" customFormat="1" x14ac:dyDescent="0.15">
      <c r="A1011" s="105"/>
      <c r="AO1011" s="31"/>
    </row>
    <row r="1012" spans="1:41" s="7" customFormat="1" x14ac:dyDescent="0.15">
      <c r="A1012" s="105"/>
      <c r="AO1012" s="31"/>
    </row>
    <row r="1013" spans="1:41" s="7" customFormat="1" x14ac:dyDescent="0.15">
      <c r="A1013" s="105"/>
      <c r="AO1013" s="31"/>
    </row>
    <row r="1014" spans="1:41" s="7" customFormat="1" x14ac:dyDescent="0.15">
      <c r="A1014" s="105"/>
      <c r="AO1014" s="31"/>
    </row>
    <row r="1015" spans="1:41" s="7" customFormat="1" x14ac:dyDescent="0.15">
      <c r="A1015" s="105"/>
      <c r="AO1015" s="31"/>
    </row>
    <row r="1016" spans="1:41" s="7" customFormat="1" x14ac:dyDescent="0.15">
      <c r="A1016" s="105"/>
      <c r="AO1016" s="31"/>
    </row>
    <row r="1017" spans="1:41" s="7" customFormat="1" x14ac:dyDescent="0.15">
      <c r="A1017" s="105"/>
      <c r="AO1017" s="31"/>
    </row>
    <row r="1018" spans="1:41" s="7" customFormat="1" x14ac:dyDescent="0.15">
      <c r="A1018" s="105"/>
      <c r="AO1018" s="31"/>
    </row>
    <row r="1019" spans="1:41" s="7" customFormat="1" x14ac:dyDescent="0.15">
      <c r="A1019" s="105"/>
      <c r="AO1019" s="31"/>
    </row>
    <row r="1020" spans="1:41" s="7" customFormat="1" x14ac:dyDescent="0.15">
      <c r="A1020" s="105"/>
      <c r="AO1020" s="31"/>
    </row>
    <row r="1021" spans="1:41" s="7" customFormat="1" x14ac:dyDescent="0.15">
      <c r="A1021" s="2"/>
      <c r="AO1021" s="31"/>
    </row>
    <row r="1022" spans="1:41" s="7" customFormat="1" x14ac:dyDescent="0.15">
      <c r="A1022" s="2"/>
      <c r="AO1022" s="31"/>
    </row>
    <row r="1023" spans="1:41" s="7" customFormat="1" x14ac:dyDescent="0.15">
      <c r="A1023" s="2"/>
      <c r="AO1023" s="31"/>
    </row>
    <row r="1024" spans="1:41" s="7" customFormat="1" x14ac:dyDescent="0.15">
      <c r="A1024" s="2"/>
      <c r="AO1024" s="31"/>
    </row>
    <row r="1025" spans="1:41" s="7" customFormat="1" x14ac:dyDescent="0.15">
      <c r="A1025" s="2"/>
      <c r="AO1025" s="31"/>
    </row>
    <row r="1026" spans="1:41" s="7" customFormat="1" x14ac:dyDescent="0.15">
      <c r="A1026" s="2"/>
      <c r="AO1026" s="31"/>
    </row>
    <row r="1027" spans="1:41" s="7" customFormat="1" x14ac:dyDescent="0.15">
      <c r="A1027" s="2"/>
      <c r="AO1027" s="31"/>
    </row>
    <row r="1028" spans="1:41" s="7" customFormat="1" x14ac:dyDescent="0.15">
      <c r="A1028" s="2"/>
      <c r="AO1028" s="31"/>
    </row>
    <row r="1029" spans="1:41" s="7" customFormat="1" x14ac:dyDescent="0.15">
      <c r="A1029" s="2"/>
      <c r="AO1029" s="31"/>
    </row>
    <row r="1030" spans="1:41" s="7" customFormat="1" x14ac:dyDescent="0.15">
      <c r="A1030" s="2"/>
      <c r="AO1030" s="31"/>
    </row>
    <row r="1031" spans="1:41" s="7" customFormat="1" x14ac:dyDescent="0.15">
      <c r="A1031" s="2"/>
      <c r="AO1031" s="31"/>
    </row>
    <row r="1032" spans="1:41" s="7" customFormat="1" x14ac:dyDescent="0.15">
      <c r="A1032" s="2"/>
      <c r="AO1032" s="31"/>
    </row>
    <row r="1033" spans="1:41" s="7" customFormat="1" x14ac:dyDescent="0.15">
      <c r="A1033" s="2"/>
      <c r="AO1033" s="31"/>
    </row>
    <row r="1034" spans="1:41" s="7" customFormat="1" x14ac:dyDescent="0.15">
      <c r="A1034" s="2"/>
      <c r="AO1034" s="31"/>
    </row>
    <row r="1035" spans="1:41" s="7" customFormat="1" x14ac:dyDescent="0.15">
      <c r="A1035" s="2"/>
      <c r="AO1035" s="31"/>
    </row>
    <row r="1036" spans="1:41" s="7" customFormat="1" x14ac:dyDescent="0.15">
      <c r="A1036" s="2"/>
      <c r="AO1036" s="31"/>
    </row>
    <row r="1037" spans="1:41" s="7" customFormat="1" x14ac:dyDescent="0.15">
      <c r="A1037" s="2"/>
      <c r="AO1037" s="31"/>
    </row>
    <row r="1038" spans="1:41" s="7" customFormat="1" x14ac:dyDescent="0.15">
      <c r="A1038" s="2"/>
      <c r="AO1038" s="31"/>
    </row>
    <row r="1039" spans="1:41" s="7" customFormat="1" x14ac:dyDescent="0.15">
      <c r="A1039" s="2"/>
      <c r="AO1039" s="31"/>
    </row>
    <row r="1040" spans="1:41" s="7" customFormat="1" x14ac:dyDescent="0.15">
      <c r="A1040" s="2"/>
      <c r="AO1040" s="31"/>
    </row>
    <row r="1041" spans="1:41" s="7" customFormat="1" x14ac:dyDescent="0.15">
      <c r="A1041" s="2"/>
      <c r="AO1041" s="31"/>
    </row>
    <row r="1042" spans="1:41" s="7" customFormat="1" x14ac:dyDescent="0.15">
      <c r="A1042" s="2"/>
      <c r="AO1042" s="31"/>
    </row>
    <row r="1043" spans="1:41" s="7" customFormat="1" x14ac:dyDescent="0.15">
      <c r="A1043" s="2"/>
      <c r="AO1043" s="31"/>
    </row>
    <row r="1044" spans="1:41" s="7" customFormat="1" x14ac:dyDescent="0.15">
      <c r="A1044" s="2"/>
      <c r="AO1044" s="31"/>
    </row>
    <row r="1045" spans="1:41" s="7" customFormat="1" x14ac:dyDescent="0.15">
      <c r="A1045" s="2"/>
      <c r="AO1045" s="31"/>
    </row>
    <row r="1046" spans="1:41" s="7" customFormat="1" x14ac:dyDescent="0.15">
      <c r="A1046" s="2"/>
      <c r="AO1046" s="31"/>
    </row>
    <row r="1047" spans="1:41" s="7" customFormat="1" x14ac:dyDescent="0.15">
      <c r="A1047" s="2"/>
      <c r="AO1047" s="31"/>
    </row>
    <row r="1048" spans="1:41" s="7" customFormat="1" x14ac:dyDescent="0.15">
      <c r="A1048" s="2"/>
      <c r="AO1048" s="31"/>
    </row>
    <row r="1049" spans="1:41" s="7" customFormat="1" x14ac:dyDescent="0.15">
      <c r="A1049" s="2"/>
      <c r="AO1049" s="31"/>
    </row>
    <row r="1050" spans="1:41" s="7" customFormat="1" x14ac:dyDescent="0.15">
      <c r="A1050" s="2"/>
      <c r="AO1050" s="31"/>
    </row>
    <row r="1051" spans="1:41" s="7" customFormat="1" x14ac:dyDescent="0.15">
      <c r="A1051" s="2"/>
      <c r="AO1051" s="31"/>
    </row>
    <row r="1052" spans="1:41" s="7" customFormat="1" x14ac:dyDescent="0.15">
      <c r="A1052" s="2"/>
      <c r="AO1052" s="31"/>
    </row>
    <row r="1053" spans="1:41" s="7" customFormat="1" x14ac:dyDescent="0.15">
      <c r="A1053" s="2"/>
      <c r="AO1053" s="31"/>
    </row>
    <row r="1054" spans="1:41" s="7" customFormat="1" x14ac:dyDescent="0.15">
      <c r="A1054" s="2"/>
      <c r="AO1054" s="31"/>
    </row>
    <row r="1055" spans="1:41" s="7" customFormat="1" x14ac:dyDescent="0.15">
      <c r="A1055" s="2"/>
      <c r="AO1055" s="31"/>
    </row>
    <row r="1056" spans="1:41" s="7" customFormat="1" x14ac:dyDescent="0.15">
      <c r="A1056" s="2"/>
      <c r="AO1056" s="31"/>
    </row>
    <row r="1057" spans="1:41" s="7" customFormat="1" x14ac:dyDescent="0.15">
      <c r="A1057" s="2"/>
      <c r="AO1057" s="31"/>
    </row>
    <row r="1058" spans="1:41" s="7" customFormat="1" x14ac:dyDescent="0.15">
      <c r="A1058" s="2"/>
      <c r="AO1058" s="31"/>
    </row>
    <row r="1059" spans="1:41" s="7" customFormat="1" x14ac:dyDescent="0.15">
      <c r="A1059" s="2"/>
      <c r="AO1059" s="31"/>
    </row>
    <row r="1060" spans="1:41" s="7" customFormat="1" x14ac:dyDescent="0.15">
      <c r="A1060" s="2"/>
      <c r="AO1060" s="31"/>
    </row>
    <row r="1061" spans="1:41" s="7" customFormat="1" x14ac:dyDescent="0.15">
      <c r="A1061" s="2"/>
      <c r="AO1061" s="31"/>
    </row>
    <row r="1062" spans="1:41" s="7" customFormat="1" x14ac:dyDescent="0.15">
      <c r="A1062" s="2"/>
      <c r="AO1062" s="31"/>
    </row>
    <row r="1063" spans="1:41" s="7" customFormat="1" x14ac:dyDescent="0.15">
      <c r="A1063" s="2"/>
      <c r="AO1063" s="31"/>
    </row>
    <row r="1064" spans="1:41" s="7" customFormat="1" x14ac:dyDescent="0.15">
      <c r="A1064" s="2"/>
      <c r="AO1064" s="31"/>
    </row>
    <row r="1065" spans="1:41" s="7" customFormat="1" x14ac:dyDescent="0.15">
      <c r="A1065" s="2"/>
      <c r="AO1065" s="31"/>
    </row>
    <row r="1066" spans="1:41" s="7" customFormat="1" x14ac:dyDescent="0.15">
      <c r="A1066" s="2"/>
      <c r="AO1066" s="31"/>
    </row>
    <row r="1067" spans="1:41" s="7" customFormat="1" x14ac:dyDescent="0.15">
      <c r="A1067" s="2"/>
      <c r="AO1067" s="31"/>
    </row>
    <row r="1068" spans="1:41" s="7" customFormat="1" x14ac:dyDescent="0.15">
      <c r="A1068" s="2"/>
      <c r="AO1068" s="31"/>
    </row>
    <row r="1069" spans="1:41" s="7" customFormat="1" x14ac:dyDescent="0.15">
      <c r="A1069" s="2"/>
      <c r="AO1069" s="31"/>
    </row>
    <row r="1070" spans="1:41" s="7" customFormat="1" x14ac:dyDescent="0.15">
      <c r="A1070" s="2"/>
      <c r="AO1070" s="31"/>
    </row>
    <row r="1071" spans="1:41" s="7" customFormat="1" x14ac:dyDescent="0.15">
      <c r="A1071" s="2"/>
      <c r="AO1071" s="31"/>
    </row>
    <row r="1072" spans="1:41" s="7" customFormat="1" x14ac:dyDescent="0.15">
      <c r="AO1072" s="31"/>
    </row>
    <row r="1073" spans="41:41" s="7" customFormat="1" x14ac:dyDescent="0.15">
      <c r="AO1073" s="31"/>
    </row>
    <row r="1074" spans="41:41" s="7" customFormat="1" x14ac:dyDescent="0.15">
      <c r="AO1074" s="31"/>
    </row>
    <row r="1075" spans="41:41" s="7" customFormat="1" x14ac:dyDescent="0.15">
      <c r="AO1075" s="31"/>
    </row>
    <row r="1076" spans="41:41" s="7" customFormat="1" x14ac:dyDescent="0.15">
      <c r="AO1076" s="31"/>
    </row>
    <row r="1077" spans="41:41" s="7" customFormat="1" x14ac:dyDescent="0.15">
      <c r="AO1077" s="31"/>
    </row>
    <row r="1078" spans="41:41" s="7" customFormat="1" x14ac:dyDescent="0.15">
      <c r="AO1078" s="31"/>
    </row>
    <row r="1079" spans="41:41" s="7" customFormat="1" x14ac:dyDescent="0.15">
      <c r="AO1079" s="31"/>
    </row>
    <row r="1080" spans="41:41" s="7" customFormat="1" x14ac:dyDescent="0.15">
      <c r="AO1080" s="31"/>
    </row>
    <row r="1081" spans="41:41" s="7" customFormat="1" x14ac:dyDescent="0.15">
      <c r="AO1081" s="31"/>
    </row>
    <row r="1082" spans="41:41" s="7" customFormat="1" x14ac:dyDescent="0.15">
      <c r="AO1082" s="31"/>
    </row>
    <row r="1083" spans="41:41" s="7" customFormat="1" x14ac:dyDescent="0.15">
      <c r="AO1083" s="31"/>
    </row>
    <row r="1084" spans="41:41" s="7" customFormat="1" x14ac:dyDescent="0.15">
      <c r="AO1084" s="31"/>
    </row>
    <row r="1085" spans="41:41" s="7" customFormat="1" x14ac:dyDescent="0.15">
      <c r="AO1085" s="31"/>
    </row>
    <row r="1086" spans="41:41" s="7" customFormat="1" x14ac:dyDescent="0.15">
      <c r="AO1086" s="31"/>
    </row>
    <row r="1087" spans="41:41" s="7" customFormat="1" x14ac:dyDescent="0.15">
      <c r="AO1087" s="31"/>
    </row>
    <row r="1088" spans="41:41" s="7" customFormat="1" x14ac:dyDescent="0.15">
      <c r="AO1088" s="31"/>
    </row>
    <row r="1089" spans="41:41" s="7" customFormat="1" x14ac:dyDescent="0.15">
      <c r="AO1089" s="31"/>
    </row>
    <row r="1090" spans="41:41" s="7" customFormat="1" x14ac:dyDescent="0.15">
      <c r="AO1090" s="31"/>
    </row>
    <row r="1091" spans="41:41" s="7" customFormat="1" x14ac:dyDescent="0.15">
      <c r="AO1091" s="31"/>
    </row>
    <row r="1092" spans="41:41" s="7" customFormat="1" x14ac:dyDescent="0.15">
      <c r="AO1092" s="31"/>
    </row>
    <row r="1093" spans="41:41" s="7" customFormat="1" x14ac:dyDescent="0.15">
      <c r="AO1093" s="31"/>
    </row>
    <row r="1094" spans="41:41" s="7" customFormat="1" x14ac:dyDescent="0.15">
      <c r="AO1094" s="31"/>
    </row>
    <row r="1095" spans="41:41" s="7" customFormat="1" x14ac:dyDescent="0.15">
      <c r="AO1095" s="31"/>
    </row>
    <row r="1096" spans="41:41" s="7" customFormat="1" x14ac:dyDescent="0.15">
      <c r="AO1096" s="31"/>
    </row>
    <row r="1097" spans="41:41" s="7" customFormat="1" x14ac:dyDescent="0.15">
      <c r="AO1097" s="31"/>
    </row>
    <row r="1098" spans="41:41" s="7" customFormat="1" x14ac:dyDescent="0.15">
      <c r="AO1098" s="31"/>
    </row>
    <row r="1099" spans="41:41" s="7" customFormat="1" x14ac:dyDescent="0.15">
      <c r="AO1099" s="31"/>
    </row>
    <row r="1100" spans="41:41" s="7" customFormat="1" x14ac:dyDescent="0.15">
      <c r="AO1100" s="31"/>
    </row>
    <row r="1101" spans="41:41" s="7" customFormat="1" x14ac:dyDescent="0.15">
      <c r="AO1101" s="31"/>
    </row>
    <row r="1102" spans="41:41" s="7" customFormat="1" x14ac:dyDescent="0.15">
      <c r="AO1102" s="31"/>
    </row>
    <row r="1103" spans="41:41" s="7" customFormat="1" x14ac:dyDescent="0.15">
      <c r="AO1103" s="31"/>
    </row>
    <row r="1104" spans="41:41" s="7" customFormat="1" x14ac:dyDescent="0.15">
      <c r="AO1104" s="31"/>
    </row>
    <row r="1105" spans="41:41" s="7" customFormat="1" x14ac:dyDescent="0.15">
      <c r="AO1105" s="31"/>
    </row>
    <row r="1106" spans="41:41" s="7" customFormat="1" x14ac:dyDescent="0.15">
      <c r="AO1106" s="31"/>
    </row>
    <row r="1107" spans="41:41" s="7" customFormat="1" x14ac:dyDescent="0.15">
      <c r="AO1107" s="31"/>
    </row>
    <row r="1108" spans="41:41" s="7" customFormat="1" x14ac:dyDescent="0.15">
      <c r="AO1108" s="31"/>
    </row>
    <row r="1109" spans="41:41" s="7" customFormat="1" x14ac:dyDescent="0.15">
      <c r="AO1109" s="31"/>
    </row>
    <row r="1110" spans="41:41" s="7" customFormat="1" x14ac:dyDescent="0.15">
      <c r="AO1110" s="31"/>
    </row>
    <row r="1111" spans="41:41" s="7" customFormat="1" x14ac:dyDescent="0.15">
      <c r="AO1111" s="31"/>
    </row>
    <row r="1112" spans="41:41" s="7" customFormat="1" x14ac:dyDescent="0.15">
      <c r="AO1112" s="31"/>
    </row>
    <row r="1113" spans="41:41" s="7" customFormat="1" x14ac:dyDescent="0.15">
      <c r="AO1113" s="31"/>
    </row>
    <row r="1114" spans="41:41" s="7" customFormat="1" x14ac:dyDescent="0.15">
      <c r="AO1114" s="31"/>
    </row>
    <row r="1115" spans="41:41" s="7" customFormat="1" x14ac:dyDescent="0.15">
      <c r="AO1115" s="31"/>
    </row>
    <row r="1116" spans="41:41" s="7" customFormat="1" x14ac:dyDescent="0.15">
      <c r="AO1116" s="31"/>
    </row>
    <row r="1117" spans="41:41" s="7" customFormat="1" x14ac:dyDescent="0.15">
      <c r="AO1117" s="31"/>
    </row>
    <row r="1118" spans="41:41" s="7" customFormat="1" x14ac:dyDescent="0.15">
      <c r="AO1118" s="31"/>
    </row>
    <row r="1119" spans="41:41" s="7" customFormat="1" x14ac:dyDescent="0.15">
      <c r="AO1119" s="31"/>
    </row>
    <row r="1120" spans="41:41" s="7" customFormat="1" x14ac:dyDescent="0.15">
      <c r="AO1120" s="31"/>
    </row>
    <row r="1121" spans="41:41" s="7" customFormat="1" x14ac:dyDescent="0.15">
      <c r="AO1121" s="31"/>
    </row>
    <row r="1122" spans="41:41" s="7" customFormat="1" x14ac:dyDescent="0.15">
      <c r="AO1122" s="31"/>
    </row>
    <row r="1123" spans="41:41" s="7" customFormat="1" x14ac:dyDescent="0.15">
      <c r="AO1123" s="31"/>
    </row>
    <row r="1124" spans="41:41" s="7" customFormat="1" x14ac:dyDescent="0.15">
      <c r="AO1124" s="31"/>
    </row>
    <row r="1125" spans="41:41" s="7" customFormat="1" x14ac:dyDescent="0.15">
      <c r="AO1125" s="31"/>
    </row>
    <row r="1126" spans="41:41" s="7" customFormat="1" x14ac:dyDescent="0.15">
      <c r="AO1126" s="31"/>
    </row>
    <row r="1127" spans="41:41" s="7" customFormat="1" x14ac:dyDescent="0.15">
      <c r="AO1127" s="31"/>
    </row>
    <row r="1128" spans="41:41" s="7" customFormat="1" x14ac:dyDescent="0.15">
      <c r="AO1128" s="31"/>
    </row>
    <row r="1129" spans="41:41" s="7" customFormat="1" x14ac:dyDescent="0.15">
      <c r="AO1129" s="31"/>
    </row>
    <row r="1130" spans="41:41" s="7" customFormat="1" x14ac:dyDescent="0.15">
      <c r="AO1130" s="31"/>
    </row>
    <row r="1131" spans="41:41" s="7" customFormat="1" x14ac:dyDescent="0.15">
      <c r="AO1131" s="31"/>
    </row>
    <row r="1132" spans="41:41" s="7" customFormat="1" x14ac:dyDescent="0.15">
      <c r="AO1132" s="31"/>
    </row>
    <row r="1133" spans="41:41" s="7" customFormat="1" x14ac:dyDescent="0.15">
      <c r="AO1133" s="31"/>
    </row>
    <row r="1134" spans="41:41" s="7" customFormat="1" x14ac:dyDescent="0.15">
      <c r="AO1134" s="31"/>
    </row>
    <row r="1135" spans="41:41" s="7" customFormat="1" x14ac:dyDescent="0.15">
      <c r="AO1135" s="31"/>
    </row>
    <row r="1136" spans="41:41" s="7" customFormat="1" x14ac:dyDescent="0.15">
      <c r="AO1136" s="31"/>
    </row>
    <row r="1137" spans="41:41" s="7" customFormat="1" x14ac:dyDescent="0.15">
      <c r="AO1137" s="31"/>
    </row>
    <row r="1138" spans="41:41" s="7" customFormat="1" x14ac:dyDescent="0.15">
      <c r="AO1138" s="31"/>
    </row>
    <row r="1139" spans="41:41" s="7" customFormat="1" x14ac:dyDescent="0.15">
      <c r="AO1139" s="31"/>
    </row>
    <row r="1140" spans="41:41" s="7" customFormat="1" x14ac:dyDescent="0.15">
      <c r="AO1140" s="31"/>
    </row>
    <row r="1141" spans="41:41" s="7" customFormat="1" x14ac:dyDescent="0.15">
      <c r="AO1141" s="31"/>
    </row>
    <row r="1142" spans="41:41" s="7" customFormat="1" x14ac:dyDescent="0.15">
      <c r="AO1142" s="31"/>
    </row>
    <row r="1143" spans="41:41" s="7" customFormat="1" x14ac:dyDescent="0.15">
      <c r="AO1143" s="31"/>
    </row>
    <row r="1144" spans="41:41" s="7" customFormat="1" x14ac:dyDescent="0.15">
      <c r="AO1144" s="31"/>
    </row>
    <row r="1145" spans="41:41" s="7" customFormat="1" x14ac:dyDescent="0.15">
      <c r="AO1145" s="31"/>
    </row>
    <row r="1146" spans="41:41" s="7" customFormat="1" x14ac:dyDescent="0.15">
      <c r="AO1146" s="31"/>
    </row>
    <row r="1147" spans="41:41" s="7" customFormat="1" x14ac:dyDescent="0.15">
      <c r="AO1147" s="31"/>
    </row>
    <row r="1148" spans="41:41" s="7" customFormat="1" x14ac:dyDescent="0.15">
      <c r="AO1148" s="31"/>
    </row>
    <row r="1149" spans="41:41" s="7" customFormat="1" x14ac:dyDescent="0.15">
      <c r="AO1149" s="31"/>
    </row>
    <row r="1150" spans="41:41" s="7" customFormat="1" x14ac:dyDescent="0.15">
      <c r="AO1150" s="31"/>
    </row>
    <row r="1151" spans="41:41" s="7" customFormat="1" x14ac:dyDescent="0.15">
      <c r="AO1151" s="31"/>
    </row>
    <row r="1152" spans="41:41" s="7" customFormat="1" x14ac:dyDescent="0.15">
      <c r="AO1152" s="31"/>
    </row>
    <row r="1153" spans="41:41" s="7" customFormat="1" x14ac:dyDescent="0.15">
      <c r="AO1153" s="31"/>
    </row>
    <row r="1154" spans="41:41" s="7" customFormat="1" x14ac:dyDescent="0.15">
      <c r="AO1154" s="31"/>
    </row>
    <row r="1155" spans="41:41" s="7" customFormat="1" x14ac:dyDescent="0.15">
      <c r="AO1155" s="31"/>
    </row>
    <row r="1156" spans="41:41" s="7" customFormat="1" x14ac:dyDescent="0.15">
      <c r="AO1156" s="31"/>
    </row>
    <row r="1157" spans="41:41" s="7" customFormat="1" x14ac:dyDescent="0.15">
      <c r="AO1157" s="31"/>
    </row>
    <row r="1158" spans="41:41" s="7" customFormat="1" x14ac:dyDescent="0.15">
      <c r="AO1158" s="31"/>
    </row>
    <row r="1159" spans="41:41" s="7" customFormat="1" x14ac:dyDescent="0.15">
      <c r="AO1159" s="31"/>
    </row>
    <row r="1160" spans="41:41" s="7" customFormat="1" x14ac:dyDescent="0.15">
      <c r="AO1160" s="31"/>
    </row>
    <row r="1161" spans="41:41" s="7" customFormat="1" x14ac:dyDescent="0.15">
      <c r="AO1161" s="31"/>
    </row>
    <row r="1162" spans="41:41" s="7" customFormat="1" x14ac:dyDescent="0.15">
      <c r="AO1162" s="31"/>
    </row>
    <row r="1163" spans="41:41" s="7" customFormat="1" x14ac:dyDescent="0.15">
      <c r="AO1163" s="31"/>
    </row>
    <row r="1164" spans="41:41" s="7" customFormat="1" x14ac:dyDescent="0.15">
      <c r="AO1164" s="31"/>
    </row>
    <row r="1165" spans="41:41" s="7" customFormat="1" x14ac:dyDescent="0.15">
      <c r="AO1165" s="31"/>
    </row>
    <row r="1166" spans="41:41" s="7" customFormat="1" x14ac:dyDescent="0.15">
      <c r="AO1166" s="31"/>
    </row>
    <row r="1167" spans="41:41" s="7" customFormat="1" x14ac:dyDescent="0.15">
      <c r="AO1167" s="31"/>
    </row>
    <row r="1168" spans="41:41" s="7" customFormat="1" x14ac:dyDescent="0.15">
      <c r="AO1168" s="31"/>
    </row>
    <row r="1169" spans="41:41" s="7" customFormat="1" x14ac:dyDescent="0.15">
      <c r="AO1169" s="31"/>
    </row>
    <row r="1170" spans="41:41" s="7" customFormat="1" x14ac:dyDescent="0.15">
      <c r="AO1170" s="31"/>
    </row>
    <row r="1171" spans="41:41" s="7" customFormat="1" x14ac:dyDescent="0.15">
      <c r="AO1171" s="31"/>
    </row>
    <row r="1172" spans="41:41" s="7" customFormat="1" x14ac:dyDescent="0.15">
      <c r="AO1172" s="31"/>
    </row>
    <row r="1173" spans="41:41" s="7" customFormat="1" x14ac:dyDescent="0.15">
      <c r="AO1173" s="31"/>
    </row>
    <row r="1174" spans="41:41" s="7" customFormat="1" x14ac:dyDescent="0.15">
      <c r="AO1174" s="31"/>
    </row>
    <row r="1175" spans="41:41" s="7" customFormat="1" x14ac:dyDescent="0.15">
      <c r="AO1175" s="31"/>
    </row>
    <row r="1176" spans="41:41" s="7" customFormat="1" x14ac:dyDescent="0.15">
      <c r="AO1176" s="31"/>
    </row>
    <row r="1177" spans="41:41" s="7" customFormat="1" x14ac:dyDescent="0.15">
      <c r="AO1177" s="31"/>
    </row>
    <row r="1178" spans="41:41" s="7" customFormat="1" x14ac:dyDescent="0.15">
      <c r="AO1178" s="31"/>
    </row>
    <row r="1179" spans="41:41" s="7" customFormat="1" x14ac:dyDescent="0.15">
      <c r="AO1179" s="31"/>
    </row>
    <row r="1180" spans="41:41" s="7" customFormat="1" x14ac:dyDescent="0.15">
      <c r="AO1180" s="31"/>
    </row>
    <row r="1181" spans="41:41" s="7" customFormat="1" x14ac:dyDescent="0.15">
      <c r="AO1181" s="31"/>
    </row>
    <row r="1182" spans="41:41" s="7" customFormat="1" x14ac:dyDescent="0.15">
      <c r="AO1182" s="31"/>
    </row>
    <row r="1183" spans="41:41" s="7" customFormat="1" x14ac:dyDescent="0.15">
      <c r="AO1183" s="31"/>
    </row>
    <row r="1184" spans="41:41" s="7" customFormat="1" x14ac:dyDescent="0.15">
      <c r="AO1184" s="31"/>
    </row>
    <row r="1185" spans="41:41" s="7" customFormat="1" x14ac:dyDescent="0.15">
      <c r="AO1185" s="31"/>
    </row>
    <row r="1186" spans="41:41" s="7" customFormat="1" x14ac:dyDescent="0.15">
      <c r="AO1186" s="31"/>
    </row>
    <row r="1187" spans="41:41" s="7" customFormat="1" x14ac:dyDescent="0.15">
      <c r="AO1187" s="31"/>
    </row>
    <row r="1188" spans="41:41" s="7" customFormat="1" x14ac:dyDescent="0.15">
      <c r="AO1188" s="31"/>
    </row>
    <row r="1189" spans="41:41" s="7" customFormat="1" x14ac:dyDescent="0.15">
      <c r="AO1189" s="31"/>
    </row>
    <row r="1190" spans="41:41" s="7" customFormat="1" x14ac:dyDescent="0.15">
      <c r="AO1190" s="31"/>
    </row>
    <row r="1191" spans="41:41" s="7" customFormat="1" x14ac:dyDescent="0.15">
      <c r="AO1191" s="31"/>
    </row>
    <row r="1192" spans="41:41" s="7" customFormat="1" x14ac:dyDescent="0.15">
      <c r="AO1192" s="31"/>
    </row>
    <row r="1193" spans="41:41" s="7" customFormat="1" x14ac:dyDescent="0.15">
      <c r="AO1193" s="31"/>
    </row>
    <row r="1194" spans="41:41" s="7" customFormat="1" x14ac:dyDescent="0.15">
      <c r="AO1194" s="31"/>
    </row>
    <row r="1195" spans="41:41" s="7" customFormat="1" x14ac:dyDescent="0.15">
      <c r="AO1195" s="31"/>
    </row>
    <row r="1196" spans="41:41" s="7" customFormat="1" x14ac:dyDescent="0.15">
      <c r="AO1196" s="31"/>
    </row>
    <row r="1197" spans="41:41" s="7" customFormat="1" x14ac:dyDescent="0.15">
      <c r="AO1197" s="31"/>
    </row>
    <row r="1198" spans="41:41" s="7" customFormat="1" x14ac:dyDescent="0.15">
      <c r="AO1198" s="31"/>
    </row>
    <row r="1199" spans="41:41" s="7" customFormat="1" x14ac:dyDescent="0.15">
      <c r="AO1199" s="31"/>
    </row>
    <row r="1200" spans="41:41" s="7" customFormat="1" x14ac:dyDescent="0.15">
      <c r="AO1200" s="31"/>
    </row>
    <row r="1201" spans="41:41" s="7" customFormat="1" x14ac:dyDescent="0.15">
      <c r="AO1201" s="31"/>
    </row>
    <row r="1202" spans="41:41" s="7" customFormat="1" x14ac:dyDescent="0.15">
      <c r="AO1202" s="31"/>
    </row>
    <row r="1203" spans="41:41" s="7" customFormat="1" x14ac:dyDescent="0.15">
      <c r="AO1203" s="31"/>
    </row>
    <row r="1204" spans="41:41" s="7" customFormat="1" x14ac:dyDescent="0.15">
      <c r="AO1204" s="31"/>
    </row>
    <row r="1205" spans="41:41" s="7" customFormat="1" x14ac:dyDescent="0.15">
      <c r="AO1205" s="31"/>
    </row>
    <row r="1206" spans="41:41" s="7" customFormat="1" x14ac:dyDescent="0.15">
      <c r="AO1206" s="31"/>
    </row>
    <row r="1207" spans="41:41" s="7" customFormat="1" x14ac:dyDescent="0.15">
      <c r="AO1207" s="31"/>
    </row>
    <row r="1208" spans="41:41" s="7" customFormat="1" x14ac:dyDescent="0.15">
      <c r="AO1208" s="31"/>
    </row>
    <row r="1209" spans="41:41" s="7" customFormat="1" x14ac:dyDescent="0.15">
      <c r="AO1209" s="31"/>
    </row>
    <row r="1210" spans="41:41" s="7" customFormat="1" x14ac:dyDescent="0.15">
      <c r="AO1210" s="31"/>
    </row>
    <row r="1211" spans="41:41" s="7" customFormat="1" x14ac:dyDescent="0.15">
      <c r="AO1211" s="31"/>
    </row>
    <row r="1212" spans="41:41" s="7" customFormat="1" x14ac:dyDescent="0.15">
      <c r="AO1212" s="31"/>
    </row>
    <row r="1213" spans="41:41" s="7" customFormat="1" x14ac:dyDescent="0.15">
      <c r="AO1213" s="31"/>
    </row>
    <row r="1214" spans="41:41" s="7" customFormat="1" x14ac:dyDescent="0.15">
      <c r="AO1214" s="31"/>
    </row>
    <row r="1215" spans="41:41" s="7" customFormat="1" x14ac:dyDescent="0.15">
      <c r="AO1215" s="31"/>
    </row>
    <row r="1216" spans="41:41" s="7" customFormat="1" x14ac:dyDescent="0.15">
      <c r="AO1216" s="31"/>
    </row>
    <row r="1217" spans="41:41" s="7" customFormat="1" x14ac:dyDescent="0.15">
      <c r="AO1217" s="31"/>
    </row>
    <row r="1218" spans="41:41" s="7" customFormat="1" x14ac:dyDescent="0.15">
      <c r="AO1218" s="31"/>
    </row>
    <row r="1219" spans="41:41" s="7" customFormat="1" x14ac:dyDescent="0.15">
      <c r="AO1219" s="31"/>
    </row>
    <row r="1220" spans="41:41" s="7" customFormat="1" x14ac:dyDescent="0.15">
      <c r="AO1220" s="31"/>
    </row>
    <row r="1221" spans="41:41" s="7" customFormat="1" x14ac:dyDescent="0.15">
      <c r="AO1221" s="31"/>
    </row>
    <row r="1222" spans="41:41" s="7" customFormat="1" x14ac:dyDescent="0.15">
      <c r="AO1222" s="31"/>
    </row>
    <row r="1223" spans="41:41" s="7" customFormat="1" x14ac:dyDescent="0.15">
      <c r="AO1223" s="31"/>
    </row>
    <row r="1224" spans="41:41" s="7" customFormat="1" x14ac:dyDescent="0.15">
      <c r="AO1224" s="31"/>
    </row>
    <row r="1225" spans="41:41" s="7" customFormat="1" x14ac:dyDescent="0.15">
      <c r="AO1225" s="31"/>
    </row>
    <row r="1226" spans="41:41" s="7" customFormat="1" x14ac:dyDescent="0.15">
      <c r="AO1226" s="31"/>
    </row>
    <row r="1227" spans="41:41" s="7" customFormat="1" x14ac:dyDescent="0.15">
      <c r="AO1227" s="31"/>
    </row>
    <row r="1228" spans="41:41" s="7" customFormat="1" x14ac:dyDescent="0.15">
      <c r="AO1228" s="31"/>
    </row>
    <row r="1229" spans="41:41" s="7" customFormat="1" x14ac:dyDescent="0.15">
      <c r="AO1229" s="31"/>
    </row>
    <row r="1230" spans="41:41" s="7" customFormat="1" x14ac:dyDescent="0.15">
      <c r="AO1230" s="31"/>
    </row>
    <row r="1231" spans="41:41" s="7" customFormat="1" x14ac:dyDescent="0.15">
      <c r="AO1231" s="31"/>
    </row>
    <row r="1232" spans="41:41" s="7" customFormat="1" x14ac:dyDescent="0.15">
      <c r="AO1232" s="31"/>
    </row>
    <row r="1233" spans="41:41" s="7" customFormat="1" x14ac:dyDescent="0.15">
      <c r="AO1233" s="31"/>
    </row>
    <row r="1234" spans="41:41" s="7" customFormat="1" x14ac:dyDescent="0.15">
      <c r="AO1234" s="31"/>
    </row>
    <row r="1235" spans="41:41" s="7" customFormat="1" x14ac:dyDescent="0.15">
      <c r="AO1235" s="31"/>
    </row>
    <row r="1236" spans="41:41" s="7" customFormat="1" x14ac:dyDescent="0.15">
      <c r="AO1236" s="31"/>
    </row>
    <row r="1237" spans="41:41" s="7" customFormat="1" x14ac:dyDescent="0.15">
      <c r="AO1237" s="31"/>
    </row>
    <row r="1238" spans="41:41" s="7" customFormat="1" x14ac:dyDescent="0.15">
      <c r="AO1238" s="31"/>
    </row>
    <row r="1239" spans="41:41" s="7" customFormat="1" x14ac:dyDescent="0.15">
      <c r="AO1239" s="31"/>
    </row>
    <row r="1240" spans="41:41" s="7" customFormat="1" x14ac:dyDescent="0.15">
      <c r="AO1240" s="31"/>
    </row>
    <row r="1241" spans="41:41" s="7" customFormat="1" x14ac:dyDescent="0.15">
      <c r="AO1241" s="31"/>
    </row>
    <row r="1242" spans="41:41" s="7" customFormat="1" x14ac:dyDescent="0.15">
      <c r="AO1242" s="31"/>
    </row>
    <row r="1243" spans="41:41" s="7" customFormat="1" x14ac:dyDescent="0.15">
      <c r="AO1243" s="31"/>
    </row>
    <row r="1244" spans="41:41" s="7" customFormat="1" x14ac:dyDescent="0.15">
      <c r="AO1244" s="31"/>
    </row>
    <row r="1245" spans="41:41" s="7" customFormat="1" x14ac:dyDescent="0.15">
      <c r="AO1245" s="31"/>
    </row>
    <row r="1246" spans="41:41" s="7" customFormat="1" x14ac:dyDescent="0.15">
      <c r="AO1246" s="31"/>
    </row>
    <row r="1247" spans="41:41" s="7" customFormat="1" x14ac:dyDescent="0.15">
      <c r="AO1247" s="31"/>
    </row>
    <row r="1248" spans="41:41" s="7" customFormat="1" x14ac:dyDescent="0.15">
      <c r="AO1248" s="31"/>
    </row>
    <row r="1249" spans="41:41" s="7" customFormat="1" x14ac:dyDescent="0.15">
      <c r="AO1249" s="31"/>
    </row>
    <row r="1250" spans="41:41" s="7" customFormat="1" x14ac:dyDescent="0.15">
      <c r="AO1250" s="31"/>
    </row>
    <row r="1251" spans="41:41" s="7" customFormat="1" x14ac:dyDescent="0.15">
      <c r="AO1251" s="31"/>
    </row>
    <row r="1252" spans="41:41" s="7" customFormat="1" x14ac:dyDescent="0.15">
      <c r="AO1252" s="31"/>
    </row>
    <row r="1253" spans="41:41" s="7" customFormat="1" x14ac:dyDescent="0.15">
      <c r="AO1253" s="31"/>
    </row>
    <row r="1254" spans="41:41" s="7" customFormat="1" x14ac:dyDescent="0.15">
      <c r="AO1254" s="31"/>
    </row>
    <row r="1255" spans="41:41" s="7" customFormat="1" x14ac:dyDescent="0.15">
      <c r="AO1255" s="31"/>
    </row>
    <row r="1256" spans="41:41" s="7" customFormat="1" x14ac:dyDescent="0.15">
      <c r="AO1256" s="31"/>
    </row>
    <row r="1257" spans="41:41" s="7" customFormat="1" x14ac:dyDescent="0.15">
      <c r="AO1257" s="31"/>
    </row>
    <row r="1258" spans="41:41" s="7" customFormat="1" x14ac:dyDescent="0.15">
      <c r="AO1258" s="31"/>
    </row>
    <row r="1259" spans="41:41" s="7" customFormat="1" x14ac:dyDescent="0.15">
      <c r="AO1259" s="31"/>
    </row>
    <row r="1260" spans="41:41" s="7" customFormat="1" x14ac:dyDescent="0.15">
      <c r="AO1260" s="31"/>
    </row>
    <row r="1261" spans="41:41" s="7" customFormat="1" x14ac:dyDescent="0.15">
      <c r="AO1261" s="31"/>
    </row>
    <row r="1262" spans="41:41" s="7" customFormat="1" x14ac:dyDescent="0.15">
      <c r="AO1262" s="31"/>
    </row>
    <row r="1263" spans="41:41" s="7" customFormat="1" x14ac:dyDescent="0.15">
      <c r="AO1263" s="31"/>
    </row>
    <row r="1264" spans="41:41" s="7" customFormat="1" x14ac:dyDescent="0.15">
      <c r="AO1264" s="31"/>
    </row>
    <row r="1265" spans="41:41" s="7" customFormat="1" x14ac:dyDescent="0.15">
      <c r="AO1265" s="31"/>
    </row>
    <row r="1266" spans="41:41" s="7" customFormat="1" x14ac:dyDescent="0.15">
      <c r="AO1266" s="31"/>
    </row>
    <row r="1267" spans="41:41" s="7" customFormat="1" x14ac:dyDescent="0.15">
      <c r="AO1267" s="31"/>
    </row>
    <row r="1268" spans="41:41" s="7" customFormat="1" x14ac:dyDescent="0.15">
      <c r="AO1268" s="31"/>
    </row>
    <row r="1269" spans="41:41" s="7" customFormat="1" x14ac:dyDescent="0.15">
      <c r="AO1269" s="31"/>
    </row>
    <row r="1270" spans="41:41" s="7" customFormat="1" x14ac:dyDescent="0.15">
      <c r="AO1270" s="31"/>
    </row>
    <row r="1271" spans="41:41" s="7" customFormat="1" x14ac:dyDescent="0.15">
      <c r="AO1271" s="31"/>
    </row>
    <row r="1272" spans="41:41" s="7" customFormat="1" x14ac:dyDescent="0.15">
      <c r="AO1272" s="31"/>
    </row>
    <row r="1273" spans="41:41" s="7" customFormat="1" x14ac:dyDescent="0.15">
      <c r="AO1273" s="31"/>
    </row>
    <row r="1274" spans="41:41" s="7" customFormat="1" x14ac:dyDescent="0.15">
      <c r="AO1274" s="31"/>
    </row>
    <row r="1275" spans="41:41" s="7" customFormat="1" x14ac:dyDescent="0.15">
      <c r="AO1275" s="31"/>
    </row>
    <row r="1276" spans="41:41" s="7" customFormat="1" x14ac:dyDescent="0.15">
      <c r="AO1276" s="31"/>
    </row>
    <row r="1277" spans="41:41" s="7" customFormat="1" x14ac:dyDescent="0.15">
      <c r="AO1277" s="31"/>
    </row>
    <row r="1278" spans="41:41" s="7" customFormat="1" x14ac:dyDescent="0.15">
      <c r="AO1278" s="31"/>
    </row>
    <row r="1279" spans="41:41" s="7" customFormat="1" x14ac:dyDescent="0.15">
      <c r="AO1279" s="31"/>
    </row>
    <row r="1280" spans="41:41" s="7" customFormat="1" x14ac:dyDescent="0.15">
      <c r="AO1280" s="31"/>
    </row>
    <row r="1281" spans="41:41" s="7" customFormat="1" x14ac:dyDescent="0.15">
      <c r="AO1281" s="31"/>
    </row>
    <row r="1282" spans="41:41" s="7" customFormat="1" x14ac:dyDescent="0.15">
      <c r="AO1282" s="31"/>
    </row>
    <row r="1283" spans="41:41" s="7" customFormat="1" x14ac:dyDescent="0.15">
      <c r="AO1283" s="31"/>
    </row>
    <row r="1284" spans="41:41" s="7" customFormat="1" x14ac:dyDescent="0.15">
      <c r="AO1284" s="31"/>
    </row>
    <row r="1285" spans="41:41" s="7" customFormat="1" x14ac:dyDescent="0.15">
      <c r="AO1285" s="31"/>
    </row>
    <row r="1286" spans="41:41" s="7" customFormat="1" x14ac:dyDescent="0.15">
      <c r="AO1286" s="31"/>
    </row>
    <row r="1287" spans="41:41" s="7" customFormat="1" x14ac:dyDescent="0.15">
      <c r="AO1287" s="31"/>
    </row>
    <row r="1288" spans="41:41" s="7" customFormat="1" x14ac:dyDescent="0.15">
      <c r="AO1288" s="31"/>
    </row>
    <row r="1289" spans="41:41" s="7" customFormat="1" x14ac:dyDescent="0.15">
      <c r="AO1289" s="31"/>
    </row>
    <row r="1290" spans="41:41" s="7" customFormat="1" x14ac:dyDescent="0.15">
      <c r="AO1290" s="31"/>
    </row>
    <row r="1291" spans="41:41" s="7" customFormat="1" x14ac:dyDescent="0.15">
      <c r="AO1291" s="31"/>
    </row>
    <row r="1292" spans="41:41" s="7" customFormat="1" x14ac:dyDescent="0.15">
      <c r="AO1292" s="31"/>
    </row>
    <row r="1293" spans="41:41" s="7" customFormat="1" x14ac:dyDescent="0.15">
      <c r="AO1293" s="31"/>
    </row>
    <row r="1294" spans="41:41" s="7" customFormat="1" x14ac:dyDescent="0.15">
      <c r="AO1294" s="31"/>
    </row>
    <row r="1295" spans="41:41" s="7" customFormat="1" x14ac:dyDescent="0.15">
      <c r="AO1295" s="31"/>
    </row>
    <row r="1296" spans="41:41" s="7" customFormat="1" x14ac:dyDescent="0.15">
      <c r="AO1296" s="31"/>
    </row>
    <row r="1297" spans="41:41" s="7" customFormat="1" x14ac:dyDescent="0.15">
      <c r="AO1297" s="31"/>
    </row>
    <row r="1298" spans="41:41" s="7" customFormat="1" x14ac:dyDescent="0.15">
      <c r="AO1298" s="31"/>
    </row>
    <row r="1299" spans="41:41" s="7" customFormat="1" x14ac:dyDescent="0.15">
      <c r="AO1299" s="31"/>
    </row>
    <row r="1300" spans="41:41" s="7" customFormat="1" x14ac:dyDescent="0.15">
      <c r="AO1300" s="31"/>
    </row>
    <row r="1301" spans="41:41" s="7" customFormat="1" x14ac:dyDescent="0.15">
      <c r="AO1301" s="31"/>
    </row>
    <row r="1302" spans="41:41" s="7" customFormat="1" x14ac:dyDescent="0.15">
      <c r="AO1302" s="31"/>
    </row>
    <row r="1303" spans="41:41" s="7" customFormat="1" x14ac:dyDescent="0.15">
      <c r="AO1303" s="31"/>
    </row>
    <row r="1304" spans="41:41" s="7" customFormat="1" x14ac:dyDescent="0.15">
      <c r="AO1304" s="31"/>
    </row>
    <row r="1305" spans="41:41" s="7" customFormat="1" x14ac:dyDescent="0.15">
      <c r="AO1305" s="31"/>
    </row>
    <row r="1306" spans="41:41" s="7" customFormat="1" x14ac:dyDescent="0.15">
      <c r="AO1306" s="31"/>
    </row>
    <row r="1307" spans="41:41" s="7" customFormat="1" x14ac:dyDescent="0.15">
      <c r="AO1307" s="31"/>
    </row>
    <row r="1308" spans="41:41" s="7" customFormat="1" x14ac:dyDescent="0.15">
      <c r="AO1308" s="31"/>
    </row>
    <row r="1309" spans="41:41" s="7" customFormat="1" x14ac:dyDescent="0.15">
      <c r="AO1309" s="31"/>
    </row>
    <row r="1310" spans="41:41" s="7" customFormat="1" x14ac:dyDescent="0.15">
      <c r="AO1310" s="31"/>
    </row>
    <row r="1311" spans="41:41" s="7" customFormat="1" x14ac:dyDescent="0.15">
      <c r="AO1311" s="31"/>
    </row>
    <row r="1312" spans="41:41" s="7" customFormat="1" x14ac:dyDescent="0.15">
      <c r="AO1312" s="31"/>
    </row>
    <row r="1313" spans="41:41" s="7" customFormat="1" x14ac:dyDescent="0.15">
      <c r="AO1313" s="31"/>
    </row>
    <row r="1314" spans="41:41" s="7" customFormat="1" x14ac:dyDescent="0.15">
      <c r="AO1314" s="31"/>
    </row>
    <row r="1315" spans="41:41" s="7" customFormat="1" x14ac:dyDescent="0.15">
      <c r="AO1315" s="31"/>
    </row>
    <row r="1316" spans="41:41" s="7" customFormat="1" x14ac:dyDescent="0.15">
      <c r="AO1316" s="31"/>
    </row>
    <row r="1317" spans="41:41" s="7" customFormat="1" x14ac:dyDescent="0.15">
      <c r="AO1317" s="31"/>
    </row>
    <row r="1318" spans="41:41" s="7" customFormat="1" x14ac:dyDescent="0.15">
      <c r="AO1318" s="31"/>
    </row>
    <row r="1319" spans="41:41" s="7" customFormat="1" x14ac:dyDescent="0.15">
      <c r="AO1319" s="31"/>
    </row>
    <row r="1320" spans="41:41" s="7" customFormat="1" x14ac:dyDescent="0.15">
      <c r="AO1320" s="31"/>
    </row>
    <row r="1321" spans="41:41" s="7" customFormat="1" x14ac:dyDescent="0.15">
      <c r="AO1321" s="31"/>
    </row>
    <row r="1322" spans="41:41" s="7" customFormat="1" x14ac:dyDescent="0.15">
      <c r="AO1322" s="31"/>
    </row>
    <row r="1323" spans="41:41" s="7" customFormat="1" x14ac:dyDescent="0.15">
      <c r="AO1323" s="31"/>
    </row>
    <row r="1324" spans="41:41" s="7" customFormat="1" x14ac:dyDescent="0.15">
      <c r="AO1324" s="31"/>
    </row>
    <row r="1325" spans="41:41" s="7" customFormat="1" x14ac:dyDescent="0.15">
      <c r="AO1325" s="31"/>
    </row>
    <row r="1326" spans="41:41" s="7" customFormat="1" x14ac:dyDescent="0.15">
      <c r="AO1326" s="31"/>
    </row>
    <row r="1327" spans="41:41" s="7" customFormat="1" x14ac:dyDescent="0.15">
      <c r="AO1327" s="31"/>
    </row>
    <row r="1328" spans="41:41" s="7" customFormat="1" x14ac:dyDescent="0.15">
      <c r="AO1328" s="31"/>
    </row>
    <row r="1329" spans="41:41" s="7" customFormat="1" x14ac:dyDescent="0.15">
      <c r="AO1329" s="31"/>
    </row>
    <row r="1330" spans="41:41" s="7" customFormat="1" x14ac:dyDescent="0.15">
      <c r="AO1330" s="31"/>
    </row>
    <row r="1331" spans="41:41" s="7" customFormat="1" x14ac:dyDescent="0.15">
      <c r="AO1331" s="31"/>
    </row>
    <row r="1332" spans="41:41" s="7" customFormat="1" x14ac:dyDescent="0.15">
      <c r="AO1332" s="31"/>
    </row>
    <row r="1333" spans="41:41" s="7" customFormat="1" x14ac:dyDescent="0.15">
      <c r="AO1333" s="31"/>
    </row>
    <row r="1334" spans="41:41" s="7" customFormat="1" x14ac:dyDescent="0.15">
      <c r="AO1334" s="31"/>
    </row>
    <row r="1335" spans="41:41" s="7" customFormat="1" x14ac:dyDescent="0.15">
      <c r="AO1335" s="31"/>
    </row>
    <row r="1336" spans="41:41" s="7" customFormat="1" x14ac:dyDescent="0.15">
      <c r="AO1336" s="31"/>
    </row>
    <row r="1337" spans="41:41" s="7" customFormat="1" x14ac:dyDescent="0.15">
      <c r="AO1337" s="31"/>
    </row>
    <row r="1338" spans="41:41" s="7" customFormat="1" x14ac:dyDescent="0.15">
      <c r="AO1338" s="31"/>
    </row>
    <row r="1339" spans="41:41" s="7" customFormat="1" x14ac:dyDescent="0.15">
      <c r="AO1339" s="31"/>
    </row>
    <row r="1340" spans="41:41" s="7" customFormat="1" x14ac:dyDescent="0.15">
      <c r="AO1340" s="31"/>
    </row>
    <row r="1341" spans="41:41" s="7" customFormat="1" x14ac:dyDescent="0.15">
      <c r="AO1341" s="31"/>
    </row>
    <row r="1342" spans="41:41" s="7" customFormat="1" x14ac:dyDescent="0.15">
      <c r="AO1342" s="31"/>
    </row>
    <row r="1343" spans="41:41" s="7" customFormat="1" x14ac:dyDescent="0.15">
      <c r="AO1343" s="31"/>
    </row>
    <row r="1344" spans="41:41" s="7" customFormat="1" x14ac:dyDescent="0.15">
      <c r="AO1344" s="31"/>
    </row>
    <row r="1345" spans="41:41" s="7" customFormat="1" x14ac:dyDescent="0.15">
      <c r="AO1345" s="31"/>
    </row>
    <row r="1346" spans="41:41" s="7" customFormat="1" x14ac:dyDescent="0.15">
      <c r="AO1346" s="31"/>
    </row>
    <row r="1347" spans="41:41" s="7" customFormat="1" x14ac:dyDescent="0.15">
      <c r="AO1347" s="31"/>
    </row>
    <row r="1348" spans="41:41" s="7" customFormat="1" x14ac:dyDescent="0.15">
      <c r="AO1348" s="31"/>
    </row>
    <row r="1349" spans="41:41" s="7" customFormat="1" x14ac:dyDescent="0.15">
      <c r="AO1349" s="31"/>
    </row>
    <row r="1350" spans="41:41" s="7" customFormat="1" x14ac:dyDescent="0.15">
      <c r="AO1350" s="31"/>
    </row>
    <row r="1351" spans="41:41" s="7" customFormat="1" x14ac:dyDescent="0.15">
      <c r="AO1351" s="31"/>
    </row>
    <row r="1352" spans="41:41" s="7" customFormat="1" x14ac:dyDescent="0.15">
      <c r="AO1352" s="31"/>
    </row>
    <row r="1353" spans="41:41" s="7" customFormat="1" x14ac:dyDescent="0.15">
      <c r="AO1353" s="31"/>
    </row>
    <row r="1354" spans="41:41" s="7" customFormat="1" x14ac:dyDescent="0.15">
      <c r="AO1354" s="31"/>
    </row>
    <row r="1355" spans="41:41" s="7" customFormat="1" x14ac:dyDescent="0.15">
      <c r="AO1355" s="31"/>
    </row>
    <row r="1356" spans="41:41" s="7" customFormat="1" x14ac:dyDescent="0.15">
      <c r="AO1356" s="31"/>
    </row>
    <row r="1357" spans="41:41" s="7" customFormat="1" x14ac:dyDescent="0.15">
      <c r="AO1357" s="31"/>
    </row>
    <row r="1358" spans="41:41" s="7" customFormat="1" x14ac:dyDescent="0.15">
      <c r="AO1358" s="31"/>
    </row>
    <row r="1359" spans="41:41" s="7" customFormat="1" x14ac:dyDescent="0.15">
      <c r="AO1359" s="31"/>
    </row>
    <row r="1360" spans="41:41" s="7" customFormat="1" x14ac:dyDescent="0.15">
      <c r="AO1360" s="31"/>
    </row>
    <row r="1361" spans="41:41" s="7" customFormat="1" x14ac:dyDescent="0.15">
      <c r="AO1361" s="31"/>
    </row>
    <row r="1362" spans="41:41" s="7" customFormat="1" x14ac:dyDescent="0.15">
      <c r="AO1362" s="31"/>
    </row>
    <row r="1363" spans="41:41" s="7" customFormat="1" x14ac:dyDescent="0.15">
      <c r="AO1363" s="31"/>
    </row>
    <row r="1364" spans="41:41" s="7" customFormat="1" x14ac:dyDescent="0.15">
      <c r="AO1364" s="31"/>
    </row>
    <row r="1365" spans="41:41" s="7" customFormat="1" x14ac:dyDescent="0.15">
      <c r="AO1365" s="31"/>
    </row>
    <row r="1366" spans="41:41" s="7" customFormat="1" x14ac:dyDescent="0.15">
      <c r="AO1366" s="31"/>
    </row>
    <row r="1367" spans="41:41" s="7" customFormat="1" x14ac:dyDescent="0.15">
      <c r="AO1367" s="31"/>
    </row>
    <row r="1368" spans="41:41" s="7" customFormat="1" x14ac:dyDescent="0.15">
      <c r="AO1368" s="31"/>
    </row>
    <row r="1369" spans="41:41" s="7" customFormat="1" x14ac:dyDescent="0.15">
      <c r="AO1369" s="31"/>
    </row>
    <row r="1370" spans="41:41" s="7" customFormat="1" x14ac:dyDescent="0.15">
      <c r="AO1370" s="31"/>
    </row>
    <row r="1371" spans="41:41" s="7" customFormat="1" x14ac:dyDescent="0.15">
      <c r="AO1371" s="31"/>
    </row>
    <row r="1372" spans="41:41" s="7" customFormat="1" x14ac:dyDescent="0.15">
      <c r="AO1372" s="31"/>
    </row>
    <row r="1373" spans="41:41" s="7" customFormat="1" x14ac:dyDescent="0.15">
      <c r="AO1373" s="31"/>
    </row>
    <row r="1374" spans="41:41" s="7" customFormat="1" x14ac:dyDescent="0.15">
      <c r="AO1374" s="31"/>
    </row>
    <row r="1375" spans="41:41" s="7" customFormat="1" x14ac:dyDescent="0.15">
      <c r="AO1375" s="31"/>
    </row>
    <row r="1376" spans="41:41" s="7" customFormat="1" x14ac:dyDescent="0.15">
      <c r="AO1376" s="31"/>
    </row>
    <row r="1377" spans="41:41" s="7" customFormat="1" x14ac:dyDescent="0.15">
      <c r="AO1377" s="31"/>
    </row>
    <row r="1378" spans="41:41" s="7" customFormat="1" x14ac:dyDescent="0.15">
      <c r="AO1378" s="31"/>
    </row>
    <row r="1379" spans="41:41" s="7" customFormat="1" x14ac:dyDescent="0.15">
      <c r="AO1379" s="31"/>
    </row>
    <row r="1380" spans="41:41" s="7" customFormat="1" x14ac:dyDescent="0.15">
      <c r="AO1380" s="31"/>
    </row>
    <row r="1381" spans="41:41" s="7" customFormat="1" x14ac:dyDescent="0.15">
      <c r="AO1381" s="31"/>
    </row>
    <row r="1382" spans="41:41" s="7" customFormat="1" x14ac:dyDescent="0.15">
      <c r="AO1382" s="31"/>
    </row>
    <row r="1383" spans="41:41" s="7" customFormat="1" x14ac:dyDescent="0.15">
      <c r="AO1383" s="31"/>
    </row>
    <row r="1384" spans="41:41" s="7" customFormat="1" x14ac:dyDescent="0.15">
      <c r="AO1384" s="31"/>
    </row>
    <row r="1385" spans="41:41" s="7" customFormat="1" x14ac:dyDescent="0.15">
      <c r="AO1385" s="31"/>
    </row>
    <row r="1386" spans="41:41" s="7" customFormat="1" x14ac:dyDescent="0.15">
      <c r="AO1386" s="31"/>
    </row>
    <row r="1387" spans="41:41" s="7" customFormat="1" x14ac:dyDescent="0.15">
      <c r="AO1387" s="31"/>
    </row>
    <row r="1388" spans="41:41" s="7" customFormat="1" x14ac:dyDescent="0.15">
      <c r="AO1388" s="31"/>
    </row>
    <row r="1389" spans="41:41" s="7" customFormat="1" x14ac:dyDescent="0.15">
      <c r="AO1389" s="31"/>
    </row>
    <row r="1390" spans="41:41" s="7" customFormat="1" x14ac:dyDescent="0.15">
      <c r="AO1390" s="31"/>
    </row>
    <row r="1391" spans="41:41" s="7" customFormat="1" x14ac:dyDescent="0.15">
      <c r="AO1391" s="31"/>
    </row>
    <row r="1392" spans="41:41" s="7" customFormat="1" x14ac:dyDescent="0.15">
      <c r="AO1392" s="31"/>
    </row>
    <row r="1393" spans="41:41" s="7" customFormat="1" x14ac:dyDescent="0.15">
      <c r="AO1393" s="31"/>
    </row>
    <row r="1394" spans="41:41" s="7" customFormat="1" x14ac:dyDescent="0.15">
      <c r="AO1394" s="31"/>
    </row>
    <row r="1395" spans="41:41" s="7" customFormat="1" x14ac:dyDescent="0.15">
      <c r="AO1395" s="31"/>
    </row>
    <row r="1396" spans="41:41" s="7" customFormat="1" x14ac:dyDescent="0.15">
      <c r="AO1396" s="31"/>
    </row>
    <row r="1397" spans="41:41" s="7" customFormat="1" x14ac:dyDescent="0.15">
      <c r="AO1397" s="31"/>
    </row>
    <row r="1398" spans="41:41" s="7" customFormat="1" x14ac:dyDescent="0.15">
      <c r="AO1398" s="31"/>
    </row>
    <row r="1399" spans="41:41" s="7" customFormat="1" x14ac:dyDescent="0.15">
      <c r="AO1399" s="31"/>
    </row>
    <row r="1400" spans="41:41" s="7" customFormat="1" x14ac:dyDescent="0.15">
      <c r="AO1400" s="31"/>
    </row>
    <row r="1401" spans="41:41" s="7" customFormat="1" x14ac:dyDescent="0.15">
      <c r="AO1401" s="31"/>
    </row>
    <row r="1402" spans="41:41" s="7" customFormat="1" x14ac:dyDescent="0.15">
      <c r="AO1402" s="31"/>
    </row>
    <row r="1403" spans="41:41" s="7" customFormat="1" x14ac:dyDescent="0.15">
      <c r="AO1403" s="31"/>
    </row>
    <row r="1404" spans="41:41" s="7" customFormat="1" x14ac:dyDescent="0.15">
      <c r="AO1404" s="31"/>
    </row>
    <row r="1405" spans="41:41" s="7" customFormat="1" x14ac:dyDescent="0.15">
      <c r="AO1405" s="31"/>
    </row>
    <row r="1406" spans="41:41" s="7" customFormat="1" x14ac:dyDescent="0.15">
      <c r="AO1406" s="31"/>
    </row>
    <row r="1407" spans="41:41" s="7" customFormat="1" x14ac:dyDescent="0.15">
      <c r="AO1407" s="31"/>
    </row>
    <row r="1408" spans="41:41" s="7" customFormat="1" x14ac:dyDescent="0.15">
      <c r="AO1408" s="31"/>
    </row>
    <row r="1409" spans="41:41" s="7" customFormat="1" x14ac:dyDescent="0.15">
      <c r="AO1409" s="31"/>
    </row>
    <row r="1410" spans="41:41" s="7" customFormat="1" x14ac:dyDescent="0.15">
      <c r="AO1410" s="31"/>
    </row>
    <row r="1411" spans="41:41" s="7" customFormat="1" x14ac:dyDescent="0.15">
      <c r="AO1411" s="31"/>
    </row>
    <row r="1412" spans="41:41" s="7" customFormat="1" x14ac:dyDescent="0.15">
      <c r="AO1412" s="31"/>
    </row>
    <row r="1413" spans="41:41" s="7" customFormat="1" x14ac:dyDescent="0.15">
      <c r="AO1413" s="31"/>
    </row>
    <row r="1414" spans="41:41" s="7" customFormat="1" x14ac:dyDescent="0.15">
      <c r="AO1414" s="31"/>
    </row>
    <row r="1415" spans="41:41" s="7" customFormat="1" x14ac:dyDescent="0.15">
      <c r="AO1415" s="31"/>
    </row>
    <row r="1416" spans="41:41" s="7" customFormat="1" x14ac:dyDescent="0.15">
      <c r="AO1416" s="31"/>
    </row>
    <row r="1417" spans="41:41" s="7" customFormat="1" x14ac:dyDescent="0.15">
      <c r="AO1417" s="31"/>
    </row>
    <row r="1418" spans="41:41" s="7" customFormat="1" x14ac:dyDescent="0.15">
      <c r="AO1418" s="31"/>
    </row>
    <row r="1419" spans="41:41" s="7" customFormat="1" x14ac:dyDescent="0.15">
      <c r="AO1419" s="31"/>
    </row>
    <row r="1420" spans="41:41" s="7" customFormat="1" x14ac:dyDescent="0.15">
      <c r="AO1420" s="31"/>
    </row>
    <row r="1421" spans="41:41" s="7" customFormat="1" x14ac:dyDescent="0.15">
      <c r="AO1421" s="31"/>
    </row>
    <row r="1422" spans="41:41" s="7" customFormat="1" x14ac:dyDescent="0.15">
      <c r="AO1422" s="31"/>
    </row>
    <row r="1423" spans="41:41" s="7" customFormat="1" x14ac:dyDescent="0.15">
      <c r="AO1423" s="31"/>
    </row>
    <row r="1424" spans="41:41" s="7" customFormat="1" x14ac:dyDescent="0.15">
      <c r="AO1424" s="31"/>
    </row>
    <row r="1425" spans="41:41" s="7" customFormat="1" x14ac:dyDescent="0.15">
      <c r="AO1425" s="31"/>
    </row>
    <row r="1426" spans="41:41" s="7" customFormat="1" x14ac:dyDescent="0.15">
      <c r="AO1426" s="31"/>
    </row>
    <row r="1427" spans="41:41" s="7" customFormat="1" x14ac:dyDescent="0.15">
      <c r="AO1427" s="31"/>
    </row>
    <row r="1428" spans="41:41" s="7" customFormat="1" x14ac:dyDescent="0.15">
      <c r="AO1428" s="31"/>
    </row>
    <row r="1429" spans="41:41" s="7" customFormat="1" x14ac:dyDescent="0.15">
      <c r="AO1429" s="31"/>
    </row>
    <row r="1430" spans="41:41" s="7" customFormat="1" x14ac:dyDescent="0.15">
      <c r="AO1430" s="31"/>
    </row>
    <row r="1431" spans="41:41" s="7" customFormat="1" x14ac:dyDescent="0.15">
      <c r="AO1431" s="31"/>
    </row>
    <row r="1432" spans="41:41" s="7" customFormat="1" x14ac:dyDescent="0.15">
      <c r="AO1432" s="31"/>
    </row>
    <row r="1433" spans="41:41" s="7" customFormat="1" x14ac:dyDescent="0.15">
      <c r="AO1433" s="31"/>
    </row>
    <row r="1434" spans="41:41" s="7" customFormat="1" x14ac:dyDescent="0.15">
      <c r="AO1434" s="31"/>
    </row>
    <row r="1435" spans="41:41" s="7" customFormat="1" x14ac:dyDescent="0.15">
      <c r="AO1435" s="31"/>
    </row>
    <row r="1436" spans="41:41" s="7" customFormat="1" x14ac:dyDescent="0.15">
      <c r="AO1436" s="31"/>
    </row>
    <row r="1437" spans="41:41" s="7" customFormat="1" x14ac:dyDescent="0.15">
      <c r="AO1437" s="31"/>
    </row>
    <row r="1438" spans="41:41" s="7" customFormat="1" x14ac:dyDescent="0.15">
      <c r="AO1438" s="31"/>
    </row>
    <row r="1439" spans="41:41" s="7" customFormat="1" x14ac:dyDescent="0.15">
      <c r="AO1439" s="31"/>
    </row>
    <row r="1440" spans="41:41" s="7" customFormat="1" x14ac:dyDescent="0.15">
      <c r="AO1440" s="31"/>
    </row>
    <row r="1441" spans="41:41" s="7" customFormat="1" x14ac:dyDescent="0.15">
      <c r="AO1441" s="31"/>
    </row>
    <row r="1442" spans="41:41" s="7" customFormat="1" x14ac:dyDescent="0.15">
      <c r="AO1442" s="31"/>
    </row>
    <row r="1443" spans="41:41" s="7" customFormat="1" x14ac:dyDescent="0.15">
      <c r="AO1443" s="31"/>
    </row>
    <row r="1444" spans="41:41" s="7" customFormat="1" x14ac:dyDescent="0.15">
      <c r="AO1444" s="31"/>
    </row>
    <row r="1445" spans="41:41" s="7" customFormat="1" x14ac:dyDescent="0.15">
      <c r="AO1445" s="31"/>
    </row>
    <row r="1446" spans="41:41" s="7" customFormat="1" x14ac:dyDescent="0.15">
      <c r="AO1446" s="31"/>
    </row>
    <row r="1447" spans="41:41" s="7" customFormat="1" x14ac:dyDescent="0.15">
      <c r="AO1447" s="31"/>
    </row>
    <row r="1448" spans="41:41" s="7" customFormat="1" x14ac:dyDescent="0.15">
      <c r="AO1448" s="31"/>
    </row>
    <row r="1449" spans="41:41" s="7" customFormat="1" x14ac:dyDescent="0.15">
      <c r="AO1449" s="31"/>
    </row>
    <row r="1450" spans="41:41" s="7" customFormat="1" x14ac:dyDescent="0.15">
      <c r="AO1450" s="31"/>
    </row>
    <row r="1451" spans="41:41" s="7" customFormat="1" x14ac:dyDescent="0.15">
      <c r="AO1451" s="31"/>
    </row>
    <row r="1452" spans="41:41" s="7" customFormat="1" x14ac:dyDescent="0.15">
      <c r="AO1452" s="31"/>
    </row>
    <row r="1453" spans="41:41" s="7" customFormat="1" x14ac:dyDescent="0.15">
      <c r="AO1453" s="31"/>
    </row>
    <row r="1454" spans="41:41" s="7" customFormat="1" x14ac:dyDescent="0.15">
      <c r="AO1454" s="31"/>
    </row>
    <row r="1455" spans="41:41" s="7" customFormat="1" x14ac:dyDescent="0.15">
      <c r="AO1455" s="31"/>
    </row>
    <row r="1456" spans="41:41" s="7" customFormat="1" x14ac:dyDescent="0.15">
      <c r="AO1456" s="31"/>
    </row>
    <row r="1457" spans="41:41" s="7" customFormat="1" x14ac:dyDescent="0.15">
      <c r="AO1457" s="31"/>
    </row>
    <row r="1458" spans="41:41" s="7" customFormat="1" x14ac:dyDescent="0.15">
      <c r="AO1458" s="31"/>
    </row>
    <row r="1459" spans="41:41" s="7" customFormat="1" x14ac:dyDescent="0.15">
      <c r="AO1459" s="31"/>
    </row>
    <row r="1460" spans="41:41" s="7" customFormat="1" x14ac:dyDescent="0.15">
      <c r="AO1460" s="31"/>
    </row>
    <row r="1461" spans="41:41" s="7" customFormat="1" x14ac:dyDescent="0.15">
      <c r="AO1461" s="31"/>
    </row>
    <row r="1462" spans="41:41" s="7" customFormat="1" x14ac:dyDescent="0.15">
      <c r="AO1462" s="31"/>
    </row>
    <row r="1463" spans="41:41" s="7" customFormat="1" x14ac:dyDescent="0.15">
      <c r="AO1463" s="31"/>
    </row>
    <row r="1464" spans="41:41" s="7" customFormat="1" x14ac:dyDescent="0.15">
      <c r="AO1464" s="31"/>
    </row>
    <row r="1465" spans="41:41" s="7" customFormat="1" x14ac:dyDescent="0.15">
      <c r="AO1465" s="31"/>
    </row>
    <row r="1466" spans="41:41" s="7" customFormat="1" x14ac:dyDescent="0.15">
      <c r="AO1466" s="31"/>
    </row>
    <row r="1467" spans="41:41" s="7" customFormat="1" x14ac:dyDescent="0.15">
      <c r="AO1467" s="31"/>
    </row>
    <row r="1468" spans="41:41" s="7" customFormat="1" x14ac:dyDescent="0.15">
      <c r="AO1468" s="31"/>
    </row>
    <row r="1469" spans="41:41" s="7" customFormat="1" x14ac:dyDescent="0.15">
      <c r="AO1469" s="31"/>
    </row>
    <row r="1470" spans="41:41" s="7" customFormat="1" x14ac:dyDescent="0.15">
      <c r="AO1470" s="31"/>
    </row>
    <row r="1471" spans="41:41" s="7" customFormat="1" x14ac:dyDescent="0.15">
      <c r="AO1471" s="31"/>
    </row>
    <row r="1472" spans="41:41" s="7" customFormat="1" x14ac:dyDescent="0.15">
      <c r="AO1472" s="31"/>
    </row>
    <row r="1473" spans="41:41" s="7" customFormat="1" x14ac:dyDescent="0.15">
      <c r="AO1473" s="31"/>
    </row>
    <row r="1474" spans="41:41" s="7" customFormat="1" x14ac:dyDescent="0.15">
      <c r="AO1474" s="31"/>
    </row>
    <row r="1475" spans="41:41" s="7" customFormat="1" x14ac:dyDescent="0.15">
      <c r="AO1475" s="31"/>
    </row>
    <row r="1476" spans="41:41" s="7" customFormat="1" x14ac:dyDescent="0.15">
      <c r="AO1476" s="31"/>
    </row>
    <row r="1477" spans="41:41" s="7" customFormat="1" x14ac:dyDescent="0.15">
      <c r="AO1477" s="31"/>
    </row>
    <row r="1478" spans="41:41" s="7" customFormat="1" x14ac:dyDescent="0.15">
      <c r="AO1478" s="31"/>
    </row>
    <row r="1479" spans="41:41" s="7" customFormat="1" x14ac:dyDescent="0.15">
      <c r="AO1479" s="31"/>
    </row>
    <row r="1480" spans="41:41" s="7" customFormat="1" x14ac:dyDescent="0.15">
      <c r="AO1480" s="31"/>
    </row>
    <row r="1481" spans="41:41" s="7" customFormat="1" x14ac:dyDescent="0.15">
      <c r="AO1481" s="31"/>
    </row>
    <row r="1482" spans="41:41" s="7" customFormat="1" x14ac:dyDescent="0.15">
      <c r="AO1482" s="31"/>
    </row>
    <row r="1483" spans="41:41" s="7" customFormat="1" x14ac:dyDescent="0.15">
      <c r="AO1483" s="31"/>
    </row>
    <row r="1484" spans="41:41" s="7" customFormat="1" x14ac:dyDescent="0.15">
      <c r="AO1484" s="31"/>
    </row>
    <row r="1485" spans="41:41" s="7" customFormat="1" x14ac:dyDescent="0.15">
      <c r="AO1485" s="31"/>
    </row>
    <row r="1486" spans="41:41" s="7" customFormat="1" x14ac:dyDescent="0.15">
      <c r="AO1486" s="31"/>
    </row>
    <row r="1487" spans="41:41" s="7" customFormat="1" x14ac:dyDescent="0.15">
      <c r="AO1487" s="31"/>
    </row>
    <row r="1488" spans="41:41" s="7" customFormat="1" x14ac:dyDescent="0.15">
      <c r="AO1488" s="31"/>
    </row>
    <row r="1489" spans="41:41" s="7" customFormat="1" x14ac:dyDescent="0.15">
      <c r="AO1489" s="31"/>
    </row>
    <row r="1490" spans="41:41" s="7" customFormat="1" x14ac:dyDescent="0.15">
      <c r="AO1490" s="31"/>
    </row>
    <row r="1491" spans="41:41" s="7" customFormat="1" x14ac:dyDescent="0.15">
      <c r="AO1491" s="31"/>
    </row>
    <row r="1492" spans="41:41" s="7" customFormat="1" x14ac:dyDescent="0.15">
      <c r="AO1492" s="31"/>
    </row>
    <row r="1493" spans="41:41" s="7" customFormat="1" x14ac:dyDescent="0.15">
      <c r="AO1493" s="31"/>
    </row>
    <row r="1494" spans="41:41" s="7" customFormat="1" x14ac:dyDescent="0.15">
      <c r="AO1494" s="31"/>
    </row>
    <row r="1495" spans="41:41" s="7" customFormat="1" x14ac:dyDescent="0.15">
      <c r="AO1495" s="31"/>
    </row>
    <row r="1496" spans="41:41" s="7" customFormat="1" x14ac:dyDescent="0.15">
      <c r="AO1496" s="31"/>
    </row>
    <row r="1497" spans="41:41" s="7" customFormat="1" x14ac:dyDescent="0.15">
      <c r="AO1497" s="31"/>
    </row>
    <row r="1498" spans="41:41" s="7" customFormat="1" x14ac:dyDescent="0.15">
      <c r="AO1498" s="31"/>
    </row>
    <row r="1499" spans="41:41" s="7" customFormat="1" x14ac:dyDescent="0.15">
      <c r="AO1499" s="31"/>
    </row>
    <row r="1500" spans="41:41" s="7" customFormat="1" x14ac:dyDescent="0.15">
      <c r="AO1500" s="31"/>
    </row>
    <row r="1501" spans="41:41" s="7" customFormat="1" x14ac:dyDescent="0.15">
      <c r="AO1501" s="31"/>
    </row>
    <row r="1502" spans="41:41" s="7" customFormat="1" x14ac:dyDescent="0.15">
      <c r="AO1502" s="31"/>
    </row>
    <row r="1503" spans="41:41" s="7" customFormat="1" x14ac:dyDescent="0.15">
      <c r="AO1503" s="31"/>
    </row>
    <row r="1504" spans="41:41" s="7" customFormat="1" x14ac:dyDescent="0.15">
      <c r="AO1504" s="31"/>
    </row>
    <row r="1505" spans="41:41" s="7" customFormat="1" x14ac:dyDescent="0.15">
      <c r="AO1505" s="31"/>
    </row>
    <row r="1506" spans="41:41" s="7" customFormat="1" x14ac:dyDescent="0.15">
      <c r="AO1506" s="31"/>
    </row>
    <row r="1507" spans="41:41" s="7" customFormat="1" x14ac:dyDescent="0.15">
      <c r="AO1507" s="31"/>
    </row>
    <row r="1508" spans="41:41" s="7" customFormat="1" x14ac:dyDescent="0.15">
      <c r="AO1508" s="31"/>
    </row>
    <row r="1509" spans="41:41" s="7" customFormat="1" x14ac:dyDescent="0.15">
      <c r="AO1509" s="31"/>
    </row>
    <row r="1510" spans="41:41" s="7" customFormat="1" x14ac:dyDescent="0.15">
      <c r="AO1510" s="31"/>
    </row>
    <row r="1511" spans="41:41" s="7" customFormat="1" x14ac:dyDescent="0.15">
      <c r="AO1511" s="31"/>
    </row>
    <row r="1512" spans="41:41" s="7" customFormat="1" x14ac:dyDescent="0.15">
      <c r="AO1512" s="31"/>
    </row>
    <row r="1513" spans="41:41" s="7" customFormat="1" x14ac:dyDescent="0.15">
      <c r="AO1513" s="31"/>
    </row>
    <row r="1514" spans="41:41" s="7" customFormat="1" x14ac:dyDescent="0.15">
      <c r="AO1514" s="31"/>
    </row>
    <row r="1515" spans="41:41" s="7" customFormat="1" x14ac:dyDescent="0.15">
      <c r="AO1515" s="31"/>
    </row>
    <row r="1516" spans="41:41" s="7" customFormat="1" x14ac:dyDescent="0.15">
      <c r="AO1516" s="31"/>
    </row>
    <row r="1517" spans="41:41" s="7" customFormat="1" x14ac:dyDescent="0.15">
      <c r="AO1517" s="31"/>
    </row>
    <row r="1518" spans="41:41" s="7" customFormat="1" x14ac:dyDescent="0.15">
      <c r="AO1518" s="31"/>
    </row>
    <row r="1519" spans="41:41" s="7" customFormat="1" x14ac:dyDescent="0.15">
      <c r="AO1519" s="31"/>
    </row>
    <row r="1520" spans="41:41" s="7" customFormat="1" x14ac:dyDescent="0.15">
      <c r="AO1520" s="31"/>
    </row>
    <row r="1521" spans="41:41" s="7" customFormat="1" x14ac:dyDescent="0.15">
      <c r="AO1521" s="31"/>
    </row>
    <row r="1522" spans="41:41" s="7" customFormat="1" x14ac:dyDescent="0.15">
      <c r="AO1522" s="31"/>
    </row>
    <row r="1523" spans="41:41" s="7" customFormat="1" x14ac:dyDescent="0.15">
      <c r="AO1523" s="31"/>
    </row>
    <row r="1524" spans="41:41" s="7" customFormat="1" x14ac:dyDescent="0.15">
      <c r="AO1524" s="31"/>
    </row>
    <row r="1525" spans="41:41" s="7" customFormat="1" x14ac:dyDescent="0.15">
      <c r="AO1525" s="31"/>
    </row>
    <row r="1526" spans="41:41" s="7" customFormat="1" x14ac:dyDescent="0.15">
      <c r="AO1526" s="31"/>
    </row>
    <row r="1527" spans="41:41" s="7" customFormat="1" x14ac:dyDescent="0.15">
      <c r="AO1527" s="31"/>
    </row>
    <row r="1528" spans="41:41" s="7" customFormat="1" x14ac:dyDescent="0.15">
      <c r="AO1528" s="31"/>
    </row>
    <row r="1529" spans="41:41" s="7" customFormat="1" x14ac:dyDescent="0.15">
      <c r="AO1529" s="31"/>
    </row>
    <row r="1530" spans="41:41" s="7" customFormat="1" x14ac:dyDescent="0.15">
      <c r="AO1530" s="31"/>
    </row>
    <row r="1531" spans="41:41" s="7" customFormat="1" x14ac:dyDescent="0.15">
      <c r="AO1531" s="31"/>
    </row>
    <row r="1532" spans="41:41" s="7" customFormat="1" x14ac:dyDescent="0.15">
      <c r="AO1532" s="31"/>
    </row>
    <row r="1533" spans="41:41" s="7" customFormat="1" x14ac:dyDescent="0.15">
      <c r="AO1533" s="31"/>
    </row>
    <row r="1534" spans="41:41" s="7" customFormat="1" x14ac:dyDescent="0.15">
      <c r="AO1534" s="31"/>
    </row>
    <row r="1535" spans="41:41" s="7" customFormat="1" x14ac:dyDescent="0.15">
      <c r="AO1535" s="31"/>
    </row>
    <row r="1536" spans="41:41" s="7" customFormat="1" x14ac:dyDescent="0.15">
      <c r="AO1536" s="31"/>
    </row>
    <row r="1537" spans="41:41" s="7" customFormat="1" x14ac:dyDescent="0.15">
      <c r="AO1537" s="31"/>
    </row>
    <row r="1538" spans="41:41" s="7" customFormat="1" x14ac:dyDescent="0.15">
      <c r="AO1538" s="31"/>
    </row>
    <row r="1539" spans="41:41" s="7" customFormat="1" x14ac:dyDescent="0.15">
      <c r="AO1539" s="31"/>
    </row>
    <row r="1540" spans="41:41" s="7" customFormat="1" x14ac:dyDescent="0.15">
      <c r="AO1540" s="31"/>
    </row>
    <row r="1541" spans="41:41" s="7" customFormat="1" x14ac:dyDescent="0.15">
      <c r="AO1541" s="31"/>
    </row>
    <row r="1542" spans="41:41" s="7" customFormat="1" x14ac:dyDescent="0.15">
      <c r="AO1542" s="31"/>
    </row>
    <row r="1543" spans="41:41" s="7" customFormat="1" x14ac:dyDescent="0.15">
      <c r="AO1543" s="31"/>
    </row>
    <row r="1544" spans="41:41" s="7" customFormat="1" x14ac:dyDescent="0.15">
      <c r="AO1544" s="31"/>
    </row>
    <row r="1545" spans="41:41" s="7" customFormat="1" x14ac:dyDescent="0.15">
      <c r="AO1545" s="31"/>
    </row>
    <row r="1546" spans="41:41" s="7" customFormat="1" x14ac:dyDescent="0.15">
      <c r="AO1546" s="31"/>
    </row>
    <row r="1547" spans="41:41" s="7" customFormat="1" x14ac:dyDescent="0.15">
      <c r="AO1547" s="31"/>
    </row>
    <row r="1548" spans="41:41" s="7" customFormat="1" x14ac:dyDescent="0.15">
      <c r="AO1548" s="31"/>
    </row>
    <row r="1549" spans="41:41" s="7" customFormat="1" x14ac:dyDescent="0.15">
      <c r="AO1549" s="31"/>
    </row>
    <row r="1550" spans="41:41" s="7" customFormat="1" x14ac:dyDescent="0.15">
      <c r="AO1550" s="31"/>
    </row>
    <row r="1551" spans="41:41" s="7" customFormat="1" x14ac:dyDescent="0.15">
      <c r="AO1551" s="31"/>
    </row>
    <row r="1552" spans="41:41" s="7" customFormat="1" x14ac:dyDescent="0.15">
      <c r="AO1552" s="31"/>
    </row>
    <row r="1553" spans="41:41" s="7" customFormat="1" x14ac:dyDescent="0.15">
      <c r="AO1553" s="31"/>
    </row>
    <row r="1554" spans="41:41" s="7" customFormat="1" x14ac:dyDescent="0.15">
      <c r="AO1554" s="31"/>
    </row>
    <row r="1555" spans="41:41" s="7" customFormat="1" x14ac:dyDescent="0.15">
      <c r="AO1555" s="31"/>
    </row>
    <row r="1556" spans="41:41" s="7" customFormat="1" x14ac:dyDescent="0.15">
      <c r="AO1556" s="31"/>
    </row>
    <row r="1557" spans="41:41" s="7" customFormat="1" x14ac:dyDescent="0.15">
      <c r="AO1557" s="31"/>
    </row>
    <row r="1558" spans="41:41" s="7" customFormat="1" x14ac:dyDescent="0.15">
      <c r="AO1558" s="31"/>
    </row>
    <row r="1559" spans="41:41" s="7" customFormat="1" x14ac:dyDescent="0.15">
      <c r="AO1559" s="31"/>
    </row>
    <row r="1560" spans="41:41" s="7" customFormat="1" x14ac:dyDescent="0.15">
      <c r="AO1560" s="31"/>
    </row>
    <row r="1561" spans="41:41" s="7" customFormat="1" x14ac:dyDescent="0.15">
      <c r="AO1561" s="31"/>
    </row>
    <row r="1562" spans="41:41" s="7" customFormat="1" x14ac:dyDescent="0.15">
      <c r="AO1562" s="31"/>
    </row>
    <row r="1563" spans="41:41" s="7" customFormat="1" x14ac:dyDescent="0.15">
      <c r="AO1563" s="31"/>
    </row>
    <row r="1564" spans="41:41" s="7" customFormat="1" x14ac:dyDescent="0.15">
      <c r="AO1564" s="31"/>
    </row>
    <row r="1565" spans="41:41" s="7" customFormat="1" x14ac:dyDescent="0.15">
      <c r="AO1565" s="31"/>
    </row>
    <row r="1566" spans="41:41" s="7" customFormat="1" x14ac:dyDescent="0.15">
      <c r="AO1566" s="31"/>
    </row>
    <row r="1567" spans="41:41" s="7" customFormat="1" x14ac:dyDescent="0.15">
      <c r="AO1567" s="31"/>
    </row>
    <row r="1568" spans="41:41" s="7" customFormat="1" x14ac:dyDescent="0.15">
      <c r="AO1568" s="31"/>
    </row>
    <row r="1569" spans="41:41" s="7" customFormat="1" x14ac:dyDescent="0.15">
      <c r="AO1569" s="31"/>
    </row>
    <row r="1570" spans="41:41" s="7" customFormat="1" x14ac:dyDescent="0.15">
      <c r="AO1570" s="31"/>
    </row>
    <row r="1571" spans="41:41" s="7" customFormat="1" x14ac:dyDescent="0.15">
      <c r="AO1571" s="31"/>
    </row>
    <row r="1572" spans="41:41" s="7" customFormat="1" x14ac:dyDescent="0.15">
      <c r="AO1572" s="31"/>
    </row>
    <row r="1573" spans="41:41" s="7" customFormat="1" x14ac:dyDescent="0.15">
      <c r="AO1573" s="31"/>
    </row>
    <row r="1574" spans="41:41" s="7" customFormat="1" x14ac:dyDescent="0.15">
      <c r="AO1574" s="31"/>
    </row>
    <row r="1575" spans="41:41" s="7" customFormat="1" x14ac:dyDescent="0.15">
      <c r="AO1575" s="31"/>
    </row>
    <row r="1576" spans="41:41" s="7" customFormat="1" x14ac:dyDescent="0.15">
      <c r="AO1576" s="31"/>
    </row>
    <row r="1577" spans="41:41" s="7" customFormat="1" x14ac:dyDescent="0.15">
      <c r="AO1577" s="31"/>
    </row>
    <row r="1578" spans="41:41" s="7" customFormat="1" x14ac:dyDescent="0.15">
      <c r="AO1578" s="31"/>
    </row>
    <row r="1579" spans="41:41" s="7" customFormat="1" x14ac:dyDescent="0.15">
      <c r="AO1579" s="31"/>
    </row>
    <row r="1580" spans="41:41" s="7" customFormat="1" x14ac:dyDescent="0.15">
      <c r="AO1580" s="31"/>
    </row>
    <row r="1581" spans="41:41" s="7" customFormat="1" x14ac:dyDescent="0.15">
      <c r="AO1581" s="31"/>
    </row>
    <row r="1582" spans="41:41" s="7" customFormat="1" x14ac:dyDescent="0.15">
      <c r="AO1582" s="31"/>
    </row>
    <row r="1583" spans="41:41" s="7" customFormat="1" x14ac:dyDescent="0.15">
      <c r="AO1583" s="31"/>
    </row>
    <row r="1584" spans="41:41" s="7" customFormat="1" x14ac:dyDescent="0.15">
      <c r="AO1584" s="31"/>
    </row>
    <row r="1585" spans="41:41" s="7" customFormat="1" x14ac:dyDescent="0.15">
      <c r="AO1585" s="31"/>
    </row>
    <row r="1586" spans="41:41" s="7" customFormat="1" x14ac:dyDescent="0.15">
      <c r="AO1586" s="31"/>
    </row>
    <row r="1587" spans="41:41" s="7" customFormat="1" x14ac:dyDescent="0.15">
      <c r="AO1587" s="31"/>
    </row>
    <row r="1588" spans="41:41" s="7" customFormat="1" x14ac:dyDescent="0.15">
      <c r="AO1588" s="31"/>
    </row>
    <row r="1589" spans="41:41" s="7" customFormat="1" x14ac:dyDescent="0.15">
      <c r="AO1589" s="31"/>
    </row>
    <row r="1590" spans="41:41" s="7" customFormat="1" x14ac:dyDescent="0.15">
      <c r="AO1590" s="31"/>
    </row>
    <row r="1591" spans="41:41" s="7" customFormat="1" x14ac:dyDescent="0.15">
      <c r="AO1591" s="31"/>
    </row>
    <row r="1592" spans="41:41" s="7" customFormat="1" x14ac:dyDescent="0.15">
      <c r="AO1592" s="31"/>
    </row>
    <row r="1593" spans="41:41" s="7" customFormat="1" x14ac:dyDescent="0.15">
      <c r="AO1593" s="31"/>
    </row>
    <row r="1594" spans="41:41" s="7" customFormat="1" x14ac:dyDescent="0.15">
      <c r="AO1594" s="31"/>
    </row>
    <row r="1595" spans="41:41" s="7" customFormat="1" x14ac:dyDescent="0.15">
      <c r="AO1595" s="31"/>
    </row>
    <row r="1596" spans="41:41" s="7" customFormat="1" x14ac:dyDescent="0.15">
      <c r="AO1596" s="31"/>
    </row>
    <row r="1597" spans="41:41" s="7" customFormat="1" x14ac:dyDescent="0.15">
      <c r="AO1597" s="31"/>
    </row>
    <row r="1598" spans="41:41" s="7" customFormat="1" x14ac:dyDescent="0.15">
      <c r="AO1598" s="31"/>
    </row>
    <row r="1599" spans="41:41" s="7" customFormat="1" x14ac:dyDescent="0.15">
      <c r="AO1599" s="31"/>
    </row>
    <row r="1600" spans="41:41" s="7" customFormat="1" x14ac:dyDescent="0.15">
      <c r="AO1600" s="31"/>
    </row>
    <row r="1601" spans="41:41" s="7" customFormat="1" x14ac:dyDescent="0.15">
      <c r="AO1601" s="31"/>
    </row>
    <row r="1602" spans="41:41" s="7" customFormat="1" x14ac:dyDescent="0.15">
      <c r="AO1602" s="31"/>
    </row>
    <row r="1603" spans="41:41" s="7" customFormat="1" x14ac:dyDescent="0.15">
      <c r="AO1603" s="31"/>
    </row>
    <row r="1604" spans="41:41" s="7" customFormat="1" x14ac:dyDescent="0.15">
      <c r="AO1604" s="31"/>
    </row>
    <row r="1605" spans="41:41" s="7" customFormat="1" x14ac:dyDescent="0.15">
      <c r="AO1605" s="31"/>
    </row>
    <row r="1606" spans="41:41" s="7" customFormat="1" x14ac:dyDescent="0.15">
      <c r="AO1606" s="31"/>
    </row>
    <row r="1607" spans="41:41" s="7" customFormat="1" x14ac:dyDescent="0.15">
      <c r="AO1607" s="31"/>
    </row>
    <row r="1608" spans="41:41" s="7" customFormat="1" x14ac:dyDescent="0.15">
      <c r="AO1608" s="31"/>
    </row>
    <row r="1609" spans="41:41" s="7" customFormat="1" x14ac:dyDescent="0.15">
      <c r="AO1609" s="31"/>
    </row>
    <row r="1610" spans="41:41" s="7" customFormat="1" x14ac:dyDescent="0.15">
      <c r="AO1610" s="31"/>
    </row>
    <row r="1611" spans="41:41" s="7" customFormat="1" x14ac:dyDescent="0.15">
      <c r="AO1611" s="31"/>
    </row>
    <row r="1612" spans="41:41" s="7" customFormat="1" x14ac:dyDescent="0.15">
      <c r="AO1612" s="31"/>
    </row>
    <row r="1613" spans="41:41" s="7" customFormat="1" x14ac:dyDescent="0.15">
      <c r="AO1613" s="31"/>
    </row>
    <row r="1614" spans="41:41" s="7" customFormat="1" x14ac:dyDescent="0.15">
      <c r="AO1614" s="31"/>
    </row>
    <row r="1615" spans="41:41" s="7" customFormat="1" x14ac:dyDescent="0.15">
      <c r="AO1615" s="31"/>
    </row>
    <row r="1616" spans="41:41" s="7" customFormat="1" x14ac:dyDescent="0.15">
      <c r="AO1616" s="31"/>
    </row>
    <row r="1617" spans="41:41" s="7" customFormat="1" x14ac:dyDescent="0.15">
      <c r="AO1617" s="31"/>
    </row>
    <row r="1618" spans="41:41" s="7" customFormat="1" x14ac:dyDescent="0.15">
      <c r="AO1618" s="31"/>
    </row>
    <row r="1619" spans="41:41" s="7" customFormat="1" x14ac:dyDescent="0.15">
      <c r="AO1619" s="31"/>
    </row>
    <row r="1620" spans="41:41" s="7" customFormat="1" x14ac:dyDescent="0.15">
      <c r="AO1620" s="31"/>
    </row>
    <row r="1621" spans="41:41" s="7" customFormat="1" x14ac:dyDescent="0.15">
      <c r="AO1621" s="31"/>
    </row>
    <row r="1622" spans="41:41" s="7" customFormat="1" x14ac:dyDescent="0.15">
      <c r="AO1622" s="31"/>
    </row>
    <row r="1623" spans="41:41" s="7" customFormat="1" x14ac:dyDescent="0.15">
      <c r="AO1623" s="31"/>
    </row>
    <row r="1624" spans="41:41" s="7" customFormat="1" x14ac:dyDescent="0.15">
      <c r="AO1624" s="31"/>
    </row>
    <row r="1625" spans="41:41" s="7" customFormat="1" x14ac:dyDescent="0.15">
      <c r="AO1625" s="31"/>
    </row>
    <row r="1626" spans="41:41" s="7" customFormat="1" x14ac:dyDescent="0.15">
      <c r="AO1626" s="31"/>
    </row>
    <row r="1627" spans="41:41" s="7" customFormat="1" x14ac:dyDescent="0.15">
      <c r="AO1627" s="31"/>
    </row>
    <row r="1628" spans="41:41" s="7" customFormat="1" x14ac:dyDescent="0.15">
      <c r="AO1628" s="31"/>
    </row>
    <row r="1629" spans="41:41" s="7" customFormat="1" x14ac:dyDescent="0.15">
      <c r="AO1629" s="31"/>
    </row>
    <row r="1630" spans="41:41" s="7" customFormat="1" x14ac:dyDescent="0.15">
      <c r="AO1630" s="31"/>
    </row>
    <row r="1631" spans="41:41" s="7" customFormat="1" x14ac:dyDescent="0.15">
      <c r="AO1631" s="31"/>
    </row>
    <row r="1632" spans="41:41" s="7" customFormat="1" x14ac:dyDescent="0.15">
      <c r="AO1632" s="31"/>
    </row>
    <row r="1633" spans="41:41" s="7" customFormat="1" x14ac:dyDescent="0.15">
      <c r="AO1633" s="31"/>
    </row>
    <row r="1634" spans="41:41" s="7" customFormat="1" x14ac:dyDescent="0.15">
      <c r="AO1634" s="31"/>
    </row>
    <row r="1635" spans="41:41" s="7" customFormat="1" x14ac:dyDescent="0.15">
      <c r="AO1635" s="31"/>
    </row>
    <row r="1636" spans="41:41" s="7" customFormat="1" x14ac:dyDescent="0.15">
      <c r="AO1636" s="31"/>
    </row>
    <row r="1637" spans="41:41" s="7" customFormat="1" x14ac:dyDescent="0.15">
      <c r="AO1637" s="31"/>
    </row>
    <row r="1638" spans="41:41" s="7" customFormat="1" x14ac:dyDescent="0.15">
      <c r="AO1638" s="31"/>
    </row>
    <row r="1639" spans="41:41" s="7" customFormat="1" x14ac:dyDescent="0.15">
      <c r="AO1639" s="31"/>
    </row>
    <row r="1640" spans="41:41" s="7" customFormat="1" x14ac:dyDescent="0.15">
      <c r="AO1640" s="31"/>
    </row>
    <row r="1641" spans="41:41" s="7" customFormat="1" x14ac:dyDescent="0.15">
      <c r="AO1641" s="31"/>
    </row>
    <row r="1642" spans="41:41" s="7" customFormat="1" x14ac:dyDescent="0.15">
      <c r="AO1642" s="31"/>
    </row>
    <row r="1643" spans="41:41" s="7" customFormat="1" x14ac:dyDescent="0.15">
      <c r="AO1643" s="31"/>
    </row>
    <row r="1644" spans="41:41" s="7" customFormat="1" x14ac:dyDescent="0.15">
      <c r="AO1644" s="31"/>
    </row>
    <row r="1645" spans="41:41" s="7" customFormat="1" x14ac:dyDescent="0.15">
      <c r="AO1645" s="31"/>
    </row>
    <row r="1646" spans="41:41" s="7" customFormat="1" x14ac:dyDescent="0.15">
      <c r="AO1646" s="31"/>
    </row>
    <row r="1647" spans="41:41" s="7" customFormat="1" x14ac:dyDescent="0.15">
      <c r="AO1647" s="31"/>
    </row>
    <row r="1648" spans="41:41" s="7" customFormat="1" x14ac:dyDescent="0.15">
      <c r="AO1648" s="31"/>
    </row>
    <row r="1649" spans="41:41" s="7" customFormat="1" x14ac:dyDescent="0.15">
      <c r="AO1649" s="31"/>
    </row>
    <row r="1650" spans="41:41" s="7" customFormat="1" x14ac:dyDescent="0.15">
      <c r="AO1650" s="31"/>
    </row>
    <row r="1651" spans="41:41" s="7" customFormat="1" x14ac:dyDescent="0.15">
      <c r="AO1651" s="31"/>
    </row>
    <row r="1652" spans="41:41" s="7" customFormat="1" x14ac:dyDescent="0.15">
      <c r="AO1652" s="31"/>
    </row>
    <row r="1653" spans="41:41" s="7" customFormat="1" x14ac:dyDescent="0.15">
      <c r="AO1653" s="31"/>
    </row>
    <row r="1654" spans="41:41" s="7" customFormat="1" x14ac:dyDescent="0.15">
      <c r="AO1654" s="31"/>
    </row>
    <row r="1655" spans="41:41" s="7" customFormat="1" x14ac:dyDescent="0.15">
      <c r="AO1655" s="31"/>
    </row>
    <row r="1656" spans="41:41" s="7" customFormat="1" x14ac:dyDescent="0.15">
      <c r="AO1656" s="31"/>
    </row>
    <row r="1657" spans="41:41" s="7" customFormat="1" x14ac:dyDescent="0.15">
      <c r="AO1657" s="31"/>
    </row>
    <row r="1658" spans="41:41" s="7" customFormat="1" x14ac:dyDescent="0.15">
      <c r="AO1658" s="31"/>
    </row>
    <row r="1659" spans="41:41" s="7" customFormat="1" x14ac:dyDescent="0.15">
      <c r="AO1659" s="31"/>
    </row>
    <row r="1660" spans="41:41" s="7" customFormat="1" x14ac:dyDescent="0.15">
      <c r="AO1660" s="31"/>
    </row>
    <row r="1661" spans="41:41" s="7" customFormat="1" x14ac:dyDescent="0.15">
      <c r="AO1661" s="31"/>
    </row>
    <row r="1662" spans="41:41" s="7" customFormat="1" x14ac:dyDescent="0.15">
      <c r="AO1662" s="31"/>
    </row>
    <row r="1663" spans="41:41" s="7" customFormat="1" x14ac:dyDescent="0.15">
      <c r="AO1663" s="31"/>
    </row>
    <row r="1664" spans="41:41" s="7" customFormat="1" x14ac:dyDescent="0.15">
      <c r="AO1664" s="31"/>
    </row>
    <row r="1665" spans="41:41" s="7" customFormat="1" x14ac:dyDescent="0.15">
      <c r="AO1665" s="31"/>
    </row>
    <row r="1666" spans="41:41" s="7" customFormat="1" x14ac:dyDescent="0.15">
      <c r="AO1666" s="31"/>
    </row>
    <row r="1667" spans="41:41" s="7" customFormat="1" x14ac:dyDescent="0.15">
      <c r="AO1667" s="31"/>
    </row>
    <row r="1668" spans="41:41" s="7" customFormat="1" x14ac:dyDescent="0.15">
      <c r="AO1668" s="31"/>
    </row>
    <row r="1669" spans="41:41" s="7" customFormat="1" x14ac:dyDescent="0.15">
      <c r="AO1669" s="31"/>
    </row>
    <row r="1670" spans="41:41" s="7" customFormat="1" x14ac:dyDescent="0.15">
      <c r="AO1670" s="31"/>
    </row>
    <row r="1671" spans="41:41" s="7" customFormat="1" x14ac:dyDescent="0.15">
      <c r="AO1671" s="31"/>
    </row>
    <row r="1672" spans="41:41" s="7" customFormat="1" x14ac:dyDescent="0.15">
      <c r="AO1672" s="31"/>
    </row>
    <row r="1673" spans="41:41" s="7" customFormat="1" x14ac:dyDescent="0.15">
      <c r="AO1673" s="31"/>
    </row>
    <row r="1674" spans="41:41" s="7" customFormat="1" x14ac:dyDescent="0.15">
      <c r="AO1674" s="31"/>
    </row>
    <row r="1675" spans="41:41" s="7" customFormat="1" x14ac:dyDescent="0.15">
      <c r="AO1675" s="31"/>
    </row>
    <row r="1676" spans="41:41" s="7" customFormat="1" x14ac:dyDescent="0.15">
      <c r="AO1676" s="31"/>
    </row>
    <row r="1677" spans="41:41" s="7" customFormat="1" x14ac:dyDescent="0.15">
      <c r="AO1677" s="31"/>
    </row>
    <row r="1678" spans="41:41" s="7" customFormat="1" x14ac:dyDescent="0.15">
      <c r="AO1678" s="31"/>
    </row>
    <row r="1679" spans="41:41" s="7" customFormat="1" x14ac:dyDescent="0.15">
      <c r="AO1679" s="31"/>
    </row>
    <row r="1680" spans="41:41" s="7" customFormat="1" x14ac:dyDescent="0.15">
      <c r="AO1680" s="31"/>
    </row>
    <row r="1681" spans="41:41" s="7" customFormat="1" x14ac:dyDescent="0.15">
      <c r="AO1681" s="31"/>
    </row>
    <row r="1682" spans="41:41" s="7" customFormat="1" x14ac:dyDescent="0.15">
      <c r="AO1682" s="31"/>
    </row>
    <row r="1683" spans="41:41" s="7" customFormat="1" x14ac:dyDescent="0.15">
      <c r="AO1683" s="31"/>
    </row>
    <row r="1684" spans="41:41" s="7" customFormat="1" x14ac:dyDescent="0.15">
      <c r="AO1684" s="31"/>
    </row>
    <row r="1685" spans="41:41" s="7" customFormat="1" x14ac:dyDescent="0.15">
      <c r="AO1685" s="31"/>
    </row>
    <row r="1686" spans="41:41" s="7" customFormat="1" x14ac:dyDescent="0.15">
      <c r="AO1686" s="31"/>
    </row>
    <row r="1687" spans="41:41" s="7" customFormat="1" x14ac:dyDescent="0.15">
      <c r="AO1687" s="31"/>
    </row>
    <row r="1688" spans="41:41" s="7" customFormat="1" x14ac:dyDescent="0.15">
      <c r="AO1688" s="31"/>
    </row>
    <row r="1689" spans="41:41" s="7" customFormat="1" x14ac:dyDescent="0.15">
      <c r="AO1689" s="31"/>
    </row>
    <row r="1690" spans="41:41" s="7" customFormat="1" x14ac:dyDescent="0.15">
      <c r="AO1690" s="31"/>
    </row>
    <row r="1691" spans="41:41" s="7" customFormat="1" x14ac:dyDescent="0.15">
      <c r="AO1691" s="31"/>
    </row>
    <row r="1692" spans="41:41" s="7" customFormat="1" x14ac:dyDescent="0.15">
      <c r="AO1692" s="31"/>
    </row>
    <row r="1693" spans="41:41" s="7" customFormat="1" x14ac:dyDescent="0.15">
      <c r="AO1693" s="31"/>
    </row>
    <row r="1694" spans="41:41" s="7" customFormat="1" x14ac:dyDescent="0.15">
      <c r="AO1694" s="31"/>
    </row>
    <row r="1695" spans="41:41" s="7" customFormat="1" x14ac:dyDescent="0.15">
      <c r="AO1695" s="31"/>
    </row>
    <row r="1696" spans="41:41" s="7" customFormat="1" x14ac:dyDescent="0.15">
      <c r="AO1696" s="31"/>
    </row>
    <row r="1697" spans="41:41" s="7" customFormat="1" x14ac:dyDescent="0.15">
      <c r="AO1697" s="31"/>
    </row>
    <row r="1698" spans="41:41" s="7" customFormat="1" x14ac:dyDescent="0.15">
      <c r="AO1698" s="31"/>
    </row>
    <row r="1699" spans="41:41" s="7" customFormat="1" x14ac:dyDescent="0.15">
      <c r="AO1699" s="31"/>
    </row>
    <row r="1700" spans="41:41" s="7" customFormat="1" x14ac:dyDescent="0.15">
      <c r="AO1700" s="31"/>
    </row>
    <row r="1701" spans="41:41" s="7" customFormat="1" x14ac:dyDescent="0.15">
      <c r="AO1701" s="31"/>
    </row>
    <row r="1702" spans="41:41" s="7" customFormat="1" x14ac:dyDescent="0.15">
      <c r="AO1702" s="31"/>
    </row>
    <row r="1703" spans="41:41" s="7" customFormat="1" x14ac:dyDescent="0.15">
      <c r="AO1703" s="31"/>
    </row>
    <row r="1704" spans="41:41" s="7" customFormat="1" x14ac:dyDescent="0.15">
      <c r="AO1704" s="31"/>
    </row>
    <row r="1705" spans="41:41" s="7" customFormat="1" x14ac:dyDescent="0.15">
      <c r="AO1705" s="31"/>
    </row>
    <row r="1706" spans="41:41" s="7" customFormat="1" x14ac:dyDescent="0.15">
      <c r="AO1706" s="31"/>
    </row>
    <row r="1707" spans="41:41" s="7" customFormat="1" x14ac:dyDescent="0.15">
      <c r="AO1707" s="31"/>
    </row>
    <row r="1708" spans="41:41" s="7" customFormat="1" x14ac:dyDescent="0.15">
      <c r="AO1708" s="31"/>
    </row>
    <row r="1709" spans="41:41" s="7" customFormat="1" x14ac:dyDescent="0.15">
      <c r="AO1709" s="31"/>
    </row>
    <row r="1710" spans="41:41" s="7" customFormat="1" x14ac:dyDescent="0.15">
      <c r="AO1710" s="31"/>
    </row>
    <row r="1711" spans="41:41" s="7" customFormat="1" x14ac:dyDescent="0.15">
      <c r="AO1711" s="31"/>
    </row>
    <row r="1712" spans="41:41" s="7" customFormat="1" x14ac:dyDescent="0.15">
      <c r="AO1712" s="31"/>
    </row>
    <row r="1713" spans="41:41" s="7" customFormat="1" x14ac:dyDescent="0.15">
      <c r="AO1713" s="31"/>
    </row>
    <row r="1714" spans="41:41" s="7" customFormat="1" x14ac:dyDescent="0.15">
      <c r="AO1714" s="31"/>
    </row>
    <row r="1715" spans="41:41" s="7" customFormat="1" x14ac:dyDescent="0.15">
      <c r="AO1715" s="31"/>
    </row>
    <row r="1716" spans="41:41" s="7" customFormat="1" x14ac:dyDescent="0.15">
      <c r="AO1716" s="31"/>
    </row>
    <row r="1717" spans="41:41" s="7" customFormat="1" x14ac:dyDescent="0.15">
      <c r="AO1717" s="31"/>
    </row>
    <row r="1718" spans="41:41" s="7" customFormat="1" x14ac:dyDescent="0.15">
      <c r="AO1718" s="31"/>
    </row>
    <row r="1719" spans="41:41" s="7" customFormat="1" x14ac:dyDescent="0.15">
      <c r="AO1719" s="31"/>
    </row>
    <row r="1720" spans="41:41" s="7" customFormat="1" x14ac:dyDescent="0.15">
      <c r="AO1720" s="31"/>
    </row>
    <row r="1721" spans="41:41" s="7" customFormat="1" x14ac:dyDescent="0.15">
      <c r="AO1721" s="31"/>
    </row>
    <row r="1722" spans="41:41" s="7" customFormat="1" x14ac:dyDescent="0.15">
      <c r="AO1722" s="31"/>
    </row>
    <row r="1723" spans="41:41" s="7" customFormat="1" x14ac:dyDescent="0.15">
      <c r="AO1723" s="31"/>
    </row>
    <row r="1724" spans="41:41" s="7" customFormat="1" x14ac:dyDescent="0.15">
      <c r="AO1724" s="31"/>
    </row>
    <row r="1725" spans="41:41" s="7" customFormat="1" x14ac:dyDescent="0.15">
      <c r="AO1725" s="31"/>
    </row>
    <row r="1726" spans="41:41" s="7" customFormat="1" x14ac:dyDescent="0.15">
      <c r="AO1726" s="31"/>
    </row>
    <row r="1727" spans="41:41" s="7" customFormat="1" x14ac:dyDescent="0.15">
      <c r="AO1727" s="31"/>
    </row>
    <row r="1728" spans="41:41" s="7" customFormat="1" x14ac:dyDescent="0.15">
      <c r="AO1728" s="31"/>
    </row>
    <row r="1729" spans="41:41" s="7" customFormat="1" x14ac:dyDescent="0.15">
      <c r="AO1729" s="31"/>
    </row>
    <row r="1730" spans="41:41" s="7" customFormat="1" x14ac:dyDescent="0.15">
      <c r="AO1730" s="31"/>
    </row>
    <row r="1731" spans="41:41" s="7" customFormat="1" x14ac:dyDescent="0.15">
      <c r="AO1731" s="31"/>
    </row>
    <row r="1732" spans="41:41" s="7" customFormat="1" x14ac:dyDescent="0.15">
      <c r="AO1732" s="31"/>
    </row>
    <row r="1733" spans="41:41" s="7" customFormat="1" x14ac:dyDescent="0.15">
      <c r="AO1733" s="31"/>
    </row>
    <row r="1734" spans="41:41" s="7" customFormat="1" x14ac:dyDescent="0.15">
      <c r="AO1734" s="31"/>
    </row>
    <row r="1735" spans="41:41" s="7" customFormat="1" x14ac:dyDescent="0.15">
      <c r="AO1735" s="31"/>
    </row>
    <row r="1736" spans="41:41" s="7" customFormat="1" x14ac:dyDescent="0.15">
      <c r="AO1736" s="31"/>
    </row>
    <row r="1737" spans="41:41" s="7" customFormat="1" x14ac:dyDescent="0.15">
      <c r="AO1737" s="31"/>
    </row>
    <row r="1738" spans="41:41" s="7" customFormat="1" x14ac:dyDescent="0.15">
      <c r="AO1738" s="31"/>
    </row>
    <row r="1739" spans="41:41" s="7" customFormat="1" x14ac:dyDescent="0.15">
      <c r="AO1739" s="31"/>
    </row>
    <row r="1740" spans="41:41" s="7" customFormat="1" x14ac:dyDescent="0.15">
      <c r="AO1740" s="31"/>
    </row>
    <row r="1741" spans="41:41" s="7" customFormat="1" x14ac:dyDescent="0.15">
      <c r="AO1741" s="31"/>
    </row>
    <row r="1742" spans="41:41" s="7" customFormat="1" x14ac:dyDescent="0.15">
      <c r="AO1742" s="31"/>
    </row>
    <row r="1743" spans="41:41" s="7" customFormat="1" x14ac:dyDescent="0.15">
      <c r="AO1743" s="31"/>
    </row>
    <row r="1744" spans="41:41" s="7" customFormat="1" x14ac:dyDescent="0.15">
      <c r="AO1744" s="31"/>
    </row>
    <row r="1745" spans="41:41" s="7" customFormat="1" x14ac:dyDescent="0.15">
      <c r="AO1745" s="31"/>
    </row>
    <row r="1746" spans="41:41" s="7" customFormat="1" x14ac:dyDescent="0.15">
      <c r="AO1746" s="31"/>
    </row>
    <row r="1747" spans="41:41" s="7" customFormat="1" x14ac:dyDescent="0.15">
      <c r="AO1747" s="31"/>
    </row>
    <row r="1748" spans="41:41" s="7" customFormat="1" x14ac:dyDescent="0.15">
      <c r="AO1748" s="31"/>
    </row>
    <row r="1749" spans="41:41" s="7" customFormat="1" x14ac:dyDescent="0.15">
      <c r="AO1749" s="31"/>
    </row>
    <row r="1750" spans="41:41" s="7" customFormat="1" x14ac:dyDescent="0.15">
      <c r="AO1750" s="31"/>
    </row>
    <row r="1751" spans="41:41" s="7" customFormat="1" x14ac:dyDescent="0.15">
      <c r="AO1751" s="31"/>
    </row>
    <row r="1752" spans="41:41" s="7" customFormat="1" x14ac:dyDescent="0.15">
      <c r="AO1752" s="31"/>
    </row>
    <row r="1753" spans="41:41" s="7" customFormat="1" x14ac:dyDescent="0.15">
      <c r="AO1753" s="31"/>
    </row>
    <row r="1754" spans="41:41" s="7" customFormat="1" x14ac:dyDescent="0.15">
      <c r="AO1754" s="31"/>
    </row>
    <row r="1755" spans="41:41" s="7" customFormat="1" x14ac:dyDescent="0.15">
      <c r="AO1755" s="31"/>
    </row>
    <row r="1756" spans="41:41" s="7" customFormat="1" x14ac:dyDescent="0.15">
      <c r="AO1756" s="31"/>
    </row>
    <row r="1757" spans="41:41" s="7" customFormat="1" x14ac:dyDescent="0.15">
      <c r="AO1757" s="31"/>
    </row>
    <row r="1758" spans="41:41" s="7" customFormat="1" x14ac:dyDescent="0.15">
      <c r="AO1758" s="31"/>
    </row>
    <row r="1759" spans="41:41" s="7" customFormat="1" x14ac:dyDescent="0.15">
      <c r="AO1759" s="31"/>
    </row>
    <row r="1760" spans="41:41" s="7" customFormat="1" x14ac:dyDescent="0.15">
      <c r="AO1760" s="31"/>
    </row>
    <row r="1761" spans="41:41" s="7" customFormat="1" x14ac:dyDescent="0.15">
      <c r="AO1761" s="31"/>
    </row>
    <row r="1762" spans="41:41" s="7" customFormat="1" x14ac:dyDescent="0.15">
      <c r="AO1762" s="31"/>
    </row>
    <row r="1763" spans="41:41" s="7" customFormat="1" x14ac:dyDescent="0.15">
      <c r="AO1763" s="31"/>
    </row>
    <row r="1764" spans="41:41" s="7" customFormat="1" x14ac:dyDescent="0.15">
      <c r="AO1764" s="31"/>
    </row>
    <row r="1765" spans="41:41" s="7" customFormat="1" x14ac:dyDescent="0.15">
      <c r="AO1765" s="31"/>
    </row>
    <row r="1766" spans="41:41" s="7" customFormat="1" x14ac:dyDescent="0.15">
      <c r="AO1766" s="31"/>
    </row>
    <row r="1767" spans="41:41" s="7" customFormat="1" x14ac:dyDescent="0.15">
      <c r="AO1767" s="31"/>
    </row>
    <row r="1768" spans="41:41" s="7" customFormat="1" x14ac:dyDescent="0.15">
      <c r="AO1768" s="31"/>
    </row>
    <row r="1769" spans="41:41" s="7" customFormat="1" x14ac:dyDescent="0.15">
      <c r="AO1769" s="31"/>
    </row>
    <row r="1770" spans="41:41" s="7" customFormat="1" x14ac:dyDescent="0.15">
      <c r="AO1770" s="31"/>
    </row>
    <row r="1771" spans="41:41" s="7" customFormat="1" x14ac:dyDescent="0.15">
      <c r="AO1771" s="31"/>
    </row>
    <row r="1772" spans="41:41" s="7" customFormat="1" x14ac:dyDescent="0.15">
      <c r="AO1772" s="31"/>
    </row>
    <row r="1773" spans="41:41" s="7" customFormat="1" x14ac:dyDescent="0.15">
      <c r="AO1773" s="31"/>
    </row>
    <row r="1774" spans="41:41" s="7" customFormat="1" x14ac:dyDescent="0.15">
      <c r="AO1774" s="31"/>
    </row>
    <row r="1775" spans="41:41" s="7" customFormat="1" x14ac:dyDescent="0.15">
      <c r="AO1775" s="31"/>
    </row>
    <row r="1776" spans="41:41" s="7" customFormat="1" x14ac:dyDescent="0.15">
      <c r="AO1776" s="31"/>
    </row>
    <row r="1777" spans="41:41" s="7" customFormat="1" x14ac:dyDescent="0.15">
      <c r="AO1777" s="31"/>
    </row>
    <row r="1778" spans="41:41" s="7" customFormat="1" x14ac:dyDescent="0.15">
      <c r="AO1778" s="31"/>
    </row>
    <row r="1779" spans="41:41" s="7" customFormat="1" x14ac:dyDescent="0.15">
      <c r="AO1779" s="31"/>
    </row>
    <row r="1780" spans="41:41" s="7" customFormat="1" x14ac:dyDescent="0.15">
      <c r="AO1780" s="31"/>
    </row>
    <row r="1781" spans="41:41" s="7" customFormat="1" x14ac:dyDescent="0.15">
      <c r="AO1781" s="31"/>
    </row>
    <row r="1782" spans="41:41" s="7" customFormat="1" x14ac:dyDescent="0.15">
      <c r="AO1782" s="31"/>
    </row>
    <row r="1783" spans="41:41" s="7" customFormat="1" x14ac:dyDescent="0.15">
      <c r="AO1783" s="31"/>
    </row>
    <row r="1784" spans="41:41" s="7" customFormat="1" x14ac:dyDescent="0.15">
      <c r="AO1784" s="31"/>
    </row>
    <row r="1785" spans="41:41" s="7" customFormat="1" x14ac:dyDescent="0.15">
      <c r="AO1785" s="31"/>
    </row>
    <row r="1786" spans="41:41" s="7" customFormat="1" x14ac:dyDescent="0.15">
      <c r="AO1786" s="31"/>
    </row>
    <row r="1787" spans="41:41" s="7" customFormat="1" x14ac:dyDescent="0.15">
      <c r="AO1787" s="31"/>
    </row>
    <row r="1788" spans="41:41" s="7" customFormat="1" x14ac:dyDescent="0.15">
      <c r="AO1788" s="31"/>
    </row>
    <row r="1789" spans="41:41" s="7" customFormat="1" x14ac:dyDescent="0.15">
      <c r="AO1789" s="31"/>
    </row>
    <row r="1790" spans="41:41" s="7" customFormat="1" x14ac:dyDescent="0.15">
      <c r="AO1790" s="31"/>
    </row>
    <row r="1791" spans="41:41" s="7" customFormat="1" x14ac:dyDescent="0.15">
      <c r="AO1791" s="31"/>
    </row>
    <row r="1792" spans="41:41" s="7" customFormat="1" x14ac:dyDescent="0.15">
      <c r="AO1792" s="31"/>
    </row>
    <row r="1793" spans="41:41" s="7" customFormat="1" x14ac:dyDescent="0.15">
      <c r="AO1793" s="31"/>
    </row>
    <row r="1794" spans="41:41" s="7" customFormat="1" x14ac:dyDescent="0.15">
      <c r="AO1794" s="31"/>
    </row>
    <row r="1795" spans="41:41" s="7" customFormat="1" x14ac:dyDescent="0.15">
      <c r="AO1795" s="31"/>
    </row>
    <row r="1796" spans="41:41" s="7" customFormat="1" x14ac:dyDescent="0.15">
      <c r="AO1796" s="31"/>
    </row>
    <row r="1797" spans="41:41" s="7" customFormat="1" x14ac:dyDescent="0.15">
      <c r="AO1797" s="31"/>
    </row>
    <row r="1798" spans="41:41" s="7" customFormat="1" x14ac:dyDescent="0.15">
      <c r="AO1798" s="31"/>
    </row>
    <row r="1799" spans="41:41" s="7" customFormat="1" x14ac:dyDescent="0.15">
      <c r="AO1799" s="31"/>
    </row>
    <row r="1800" spans="41:41" s="7" customFormat="1" x14ac:dyDescent="0.15">
      <c r="AO1800" s="31"/>
    </row>
    <row r="1801" spans="41:41" s="7" customFormat="1" x14ac:dyDescent="0.15">
      <c r="AO1801" s="31"/>
    </row>
    <row r="1802" spans="41:41" s="7" customFormat="1" x14ac:dyDescent="0.15">
      <c r="AO1802" s="31"/>
    </row>
    <row r="1803" spans="41:41" s="7" customFormat="1" x14ac:dyDescent="0.15">
      <c r="AO1803" s="31"/>
    </row>
    <row r="1804" spans="41:41" s="7" customFormat="1" x14ac:dyDescent="0.15">
      <c r="AO1804" s="31"/>
    </row>
    <row r="1805" spans="41:41" s="7" customFormat="1" x14ac:dyDescent="0.15">
      <c r="AO1805" s="31"/>
    </row>
    <row r="1806" spans="41:41" s="7" customFormat="1" x14ac:dyDescent="0.15">
      <c r="AO1806" s="31"/>
    </row>
    <row r="1807" spans="41:41" s="7" customFormat="1" x14ac:dyDescent="0.15">
      <c r="AO1807" s="31"/>
    </row>
    <row r="1808" spans="41:41" s="7" customFormat="1" x14ac:dyDescent="0.15">
      <c r="AO1808" s="31"/>
    </row>
    <row r="1809" spans="41:41" s="7" customFormat="1" x14ac:dyDescent="0.15">
      <c r="AO1809" s="31"/>
    </row>
    <row r="1810" spans="41:41" s="7" customFormat="1" x14ac:dyDescent="0.15">
      <c r="AO1810" s="31"/>
    </row>
    <row r="1811" spans="41:41" s="7" customFormat="1" x14ac:dyDescent="0.15">
      <c r="AO1811" s="31"/>
    </row>
    <row r="1812" spans="41:41" s="7" customFormat="1" x14ac:dyDescent="0.15">
      <c r="AO1812" s="31"/>
    </row>
    <row r="1813" spans="41:41" s="7" customFormat="1" x14ac:dyDescent="0.15">
      <c r="AO1813" s="31"/>
    </row>
    <row r="1814" spans="41:41" s="7" customFormat="1" x14ac:dyDescent="0.15">
      <c r="AO1814" s="31"/>
    </row>
    <row r="1815" spans="41:41" s="7" customFormat="1" x14ac:dyDescent="0.15">
      <c r="AO1815" s="31"/>
    </row>
    <row r="1816" spans="41:41" s="7" customFormat="1" x14ac:dyDescent="0.15">
      <c r="AO1816" s="31"/>
    </row>
    <row r="1817" spans="41:41" s="7" customFormat="1" x14ac:dyDescent="0.15">
      <c r="AO1817" s="31"/>
    </row>
    <row r="1818" spans="41:41" s="7" customFormat="1" x14ac:dyDescent="0.15">
      <c r="AO1818" s="31"/>
    </row>
    <row r="1819" spans="41:41" s="7" customFormat="1" x14ac:dyDescent="0.15">
      <c r="AO1819" s="31"/>
    </row>
    <row r="1820" spans="41:41" s="7" customFormat="1" x14ac:dyDescent="0.15">
      <c r="AO1820" s="31"/>
    </row>
    <row r="1821" spans="41:41" s="7" customFormat="1" x14ac:dyDescent="0.15">
      <c r="AO1821" s="31"/>
    </row>
    <row r="1822" spans="41:41" s="7" customFormat="1" x14ac:dyDescent="0.15">
      <c r="AO1822" s="31"/>
    </row>
    <row r="1823" spans="41:41" s="7" customFormat="1" x14ac:dyDescent="0.15">
      <c r="AO1823" s="31"/>
    </row>
    <row r="1824" spans="41:41" s="7" customFormat="1" x14ac:dyDescent="0.15">
      <c r="AO1824" s="31"/>
    </row>
    <row r="1825" spans="41:41" s="7" customFormat="1" x14ac:dyDescent="0.15">
      <c r="AO1825" s="31"/>
    </row>
    <row r="1826" spans="41:41" s="7" customFormat="1" x14ac:dyDescent="0.15">
      <c r="AO1826" s="31"/>
    </row>
    <row r="1827" spans="41:41" s="7" customFormat="1" x14ac:dyDescent="0.15">
      <c r="AO1827" s="31"/>
    </row>
    <row r="1828" spans="41:41" s="7" customFormat="1" x14ac:dyDescent="0.15">
      <c r="AO1828" s="31"/>
    </row>
    <row r="1829" spans="41:41" s="7" customFormat="1" x14ac:dyDescent="0.15">
      <c r="AO1829" s="31"/>
    </row>
    <row r="1830" spans="41:41" s="7" customFormat="1" x14ac:dyDescent="0.15">
      <c r="AO1830" s="31"/>
    </row>
    <row r="1831" spans="41:41" s="7" customFormat="1" x14ac:dyDescent="0.15">
      <c r="AO1831" s="31"/>
    </row>
    <row r="1832" spans="41:41" s="7" customFormat="1" x14ac:dyDescent="0.15">
      <c r="AO1832" s="31"/>
    </row>
    <row r="1833" spans="41:41" s="7" customFormat="1" x14ac:dyDescent="0.15">
      <c r="AO1833" s="31"/>
    </row>
    <row r="1834" spans="41:41" s="7" customFormat="1" x14ac:dyDescent="0.15">
      <c r="AO1834" s="31"/>
    </row>
    <row r="1835" spans="41:41" s="7" customFormat="1" x14ac:dyDescent="0.15">
      <c r="AO1835" s="31"/>
    </row>
    <row r="1836" spans="41:41" s="7" customFormat="1" x14ac:dyDescent="0.15">
      <c r="AO1836" s="31"/>
    </row>
    <row r="1837" spans="41:41" s="7" customFormat="1" x14ac:dyDescent="0.15">
      <c r="AO1837" s="31"/>
    </row>
    <row r="1838" spans="41:41" s="7" customFormat="1" x14ac:dyDescent="0.15">
      <c r="AO1838" s="31"/>
    </row>
    <row r="1839" spans="41:41" s="7" customFormat="1" x14ac:dyDescent="0.15">
      <c r="AO1839" s="31"/>
    </row>
    <row r="1840" spans="41:41" s="7" customFormat="1" x14ac:dyDescent="0.15">
      <c r="AO1840" s="31"/>
    </row>
    <row r="1841" spans="41:41" s="7" customFormat="1" x14ac:dyDescent="0.15">
      <c r="AO1841" s="31"/>
    </row>
    <row r="1842" spans="41:41" s="7" customFormat="1" x14ac:dyDescent="0.15">
      <c r="AO1842" s="31"/>
    </row>
    <row r="1843" spans="41:41" s="7" customFormat="1" x14ac:dyDescent="0.15">
      <c r="AO1843" s="31"/>
    </row>
    <row r="1844" spans="41:41" s="7" customFormat="1" x14ac:dyDescent="0.15">
      <c r="AO1844" s="31"/>
    </row>
    <row r="1845" spans="41:41" s="7" customFormat="1" x14ac:dyDescent="0.15">
      <c r="AO1845" s="31"/>
    </row>
    <row r="1846" spans="41:41" s="7" customFormat="1" x14ac:dyDescent="0.15">
      <c r="AO1846" s="31"/>
    </row>
    <row r="1847" spans="41:41" s="7" customFormat="1" x14ac:dyDescent="0.15">
      <c r="AO1847" s="31"/>
    </row>
    <row r="1848" spans="41:41" s="7" customFormat="1" x14ac:dyDescent="0.15">
      <c r="AO1848" s="31"/>
    </row>
    <row r="1849" spans="41:41" s="7" customFormat="1" x14ac:dyDescent="0.15">
      <c r="AO1849" s="31"/>
    </row>
    <row r="1850" spans="41:41" s="7" customFormat="1" x14ac:dyDescent="0.15">
      <c r="AO1850" s="31"/>
    </row>
    <row r="1851" spans="41:41" s="7" customFormat="1" x14ac:dyDescent="0.15">
      <c r="AO1851" s="31"/>
    </row>
    <row r="1852" spans="41:41" s="7" customFormat="1" x14ac:dyDescent="0.15">
      <c r="AO1852" s="31"/>
    </row>
    <row r="1853" spans="41:41" s="7" customFormat="1" x14ac:dyDescent="0.15">
      <c r="AO1853" s="31"/>
    </row>
    <row r="1854" spans="41:41" s="7" customFormat="1" x14ac:dyDescent="0.15">
      <c r="AO1854" s="31"/>
    </row>
    <row r="1855" spans="41:41" s="7" customFormat="1" x14ac:dyDescent="0.15">
      <c r="AO1855" s="31"/>
    </row>
    <row r="1856" spans="41:41" s="7" customFormat="1" x14ac:dyDescent="0.15">
      <c r="AO1856" s="31"/>
    </row>
    <row r="1857" spans="41:41" s="7" customFormat="1" x14ac:dyDescent="0.15">
      <c r="AO1857" s="31"/>
    </row>
    <row r="1858" spans="41:41" s="7" customFormat="1" x14ac:dyDescent="0.15">
      <c r="AO1858" s="31"/>
    </row>
    <row r="1859" spans="41:41" s="7" customFormat="1" x14ac:dyDescent="0.15">
      <c r="AO1859" s="31"/>
    </row>
    <row r="1860" spans="41:41" s="7" customFormat="1" x14ac:dyDescent="0.15">
      <c r="AO1860" s="31"/>
    </row>
    <row r="1861" spans="41:41" s="7" customFormat="1" x14ac:dyDescent="0.15">
      <c r="AO1861" s="31"/>
    </row>
    <row r="1862" spans="41:41" s="7" customFormat="1" x14ac:dyDescent="0.15">
      <c r="AO1862" s="31"/>
    </row>
    <row r="1863" spans="41:41" s="7" customFormat="1" x14ac:dyDescent="0.15">
      <c r="AO1863" s="31"/>
    </row>
    <row r="1864" spans="41:41" s="7" customFormat="1" x14ac:dyDescent="0.15">
      <c r="AO1864" s="31"/>
    </row>
    <row r="1865" spans="41:41" s="7" customFormat="1" x14ac:dyDescent="0.15">
      <c r="AO1865" s="31"/>
    </row>
    <row r="1866" spans="41:41" s="7" customFormat="1" x14ac:dyDescent="0.15">
      <c r="AO1866" s="31"/>
    </row>
    <row r="1867" spans="41:41" s="7" customFormat="1" x14ac:dyDescent="0.15">
      <c r="AO1867" s="31"/>
    </row>
    <row r="1868" spans="41:41" s="7" customFormat="1" x14ac:dyDescent="0.15">
      <c r="AO1868" s="31"/>
    </row>
    <row r="1869" spans="41:41" s="7" customFormat="1" x14ac:dyDescent="0.15">
      <c r="AO1869" s="31"/>
    </row>
    <row r="1870" spans="41:41" s="7" customFormat="1" x14ac:dyDescent="0.15">
      <c r="AO1870" s="31"/>
    </row>
    <row r="1871" spans="41:41" s="7" customFormat="1" x14ac:dyDescent="0.15">
      <c r="AO1871" s="31"/>
    </row>
    <row r="1872" spans="41:41" s="7" customFormat="1" x14ac:dyDescent="0.15">
      <c r="AO1872" s="31"/>
    </row>
    <row r="1873" spans="41:41" s="7" customFormat="1" x14ac:dyDescent="0.15">
      <c r="AO1873" s="31"/>
    </row>
    <row r="1874" spans="41:41" s="7" customFormat="1" x14ac:dyDescent="0.15">
      <c r="AO1874" s="31"/>
    </row>
    <row r="1875" spans="41:41" s="7" customFormat="1" x14ac:dyDescent="0.15">
      <c r="AO1875" s="31"/>
    </row>
    <row r="1876" spans="41:41" s="7" customFormat="1" x14ac:dyDescent="0.15">
      <c r="AO1876" s="31"/>
    </row>
    <row r="1877" spans="41:41" s="7" customFormat="1" x14ac:dyDescent="0.15">
      <c r="AO1877" s="31"/>
    </row>
    <row r="1878" spans="41:41" s="7" customFormat="1" x14ac:dyDescent="0.15">
      <c r="AO1878" s="31"/>
    </row>
    <row r="1879" spans="41:41" s="7" customFormat="1" x14ac:dyDescent="0.15">
      <c r="AO1879" s="31"/>
    </row>
    <row r="1880" spans="41:41" s="7" customFormat="1" x14ac:dyDescent="0.15">
      <c r="AO1880" s="31"/>
    </row>
    <row r="1881" spans="41:41" s="7" customFormat="1" x14ac:dyDescent="0.15">
      <c r="AO1881" s="31"/>
    </row>
    <row r="1882" spans="41:41" s="7" customFormat="1" x14ac:dyDescent="0.15">
      <c r="AO1882" s="31"/>
    </row>
    <row r="1883" spans="41:41" s="7" customFormat="1" x14ac:dyDescent="0.15">
      <c r="AO1883" s="31"/>
    </row>
    <row r="1884" spans="41:41" s="7" customFormat="1" x14ac:dyDescent="0.15">
      <c r="AO1884" s="31"/>
    </row>
    <row r="1885" spans="41:41" s="7" customFormat="1" x14ac:dyDescent="0.15">
      <c r="AO1885" s="31"/>
    </row>
    <row r="1886" spans="41:41" s="7" customFormat="1" x14ac:dyDescent="0.15">
      <c r="AO1886" s="31"/>
    </row>
    <row r="1887" spans="41:41" s="7" customFormat="1" x14ac:dyDescent="0.15">
      <c r="AO1887" s="31"/>
    </row>
    <row r="1888" spans="41:41" s="7" customFormat="1" x14ac:dyDescent="0.15">
      <c r="AO1888" s="31"/>
    </row>
    <row r="1889" spans="41:41" s="7" customFormat="1" x14ac:dyDescent="0.15">
      <c r="AO1889" s="31"/>
    </row>
    <row r="1890" spans="41:41" s="7" customFormat="1" x14ac:dyDescent="0.15">
      <c r="AO1890" s="31"/>
    </row>
    <row r="1891" spans="41:41" s="7" customFormat="1" x14ac:dyDescent="0.15">
      <c r="AO1891" s="31"/>
    </row>
    <row r="1892" spans="41:41" s="7" customFormat="1" x14ac:dyDescent="0.15">
      <c r="AO1892" s="31"/>
    </row>
    <row r="1893" spans="41:41" s="7" customFormat="1" x14ac:dyDescent="0.15">
      <c r="AO1893" s="31"/>
    </row>
    <row r="1894" spans="41:41" s="7" customFormat="1" x14ac:dyDescent="0.15">
      <c r="AO1894" s="31"/>
    </row>
    <row r="1895" spans="41:41" s="7" customFormat="1" x14ac:dyDescent="0.15">
      <c r="AO1895" s="31"/>
    </row>
    <row r="1896" spans="41:41" s="7" customFormat="1" x14ac:dyDescent="0.15">
      <c r="AO1896" s="31"/>
    </row>
    <row r="1897" spans="41:41" s="7" customFormat="1" x14ac:dyDescent="0.15">
      <c r="AO1897" s="31"/>
    </row>
    <row r="1898" spans="41:41" s="7" customFormat="1" x14ac:dyDescent="0.15">
      <c r="AO1898" s="31"/>
    </row>
    <row r="1899" spans="41:41" s="7" customFormat="1" x14ac:dyDescent="0.15">
      <c r="AO1899" s="31"/>
    </row>
    <row r="1900" spans="41:41" s="7" customFormat="1" x14ac:dyDescent="0.15">
      <c r="AO1900" s="31"/>
    </row>
    <row r="1901" spans="41:41" s="7" customFormat="1" x14ac:dyDescent="0.15">
      <c r="AO1901" s="31"/>
    </row>
    <row r="1902" spans="41:41" s="7" customFormat="1" x14ac:dyDescent="0.15">
      <c r="AO1902" s="31"/>
    </row>
    <row r="1903" spans="41:41" s="7" customFormat="1" x14ac:dyDescent="0.15">
      <c r="AO1903" s="31"/>
    </row>
    <row r="1904" spans="41:41" s="7" customFormat="1" x14ac:dyDescent="0.15">
      <c r="AO1904" s="31"/>
    </row>
    <row r="1905" spans="41:41" s="7" customFormat="1" x14ac:dyDescent="0.15">
      <c r="AO1905" s="31"/>
    </row>
    <row r="1906" spans="41:41" s="7" customFormat="1" x14ac:dyDescent="0.15">
      <c r="AO1906" s="31"/>
    </row>
    <row r="1907" spans="41:41" s="7" customFormat="1" x14ac:dyDescent="0.15">
      <c r="AO1907" s="31"/>
    </row>
    <row r="1908" spans="41:41" s="7" customFormat="1" x14ac:dyDescent="0.15">
      <c r="AO1908" s="31"/>
    </row>
    <row r="1909" spans="41:41" s="7" customFormat="1" x14ac:dyDescent="0.15">
      <c r="AO1909" s="31"/>
    </row>
    <row r="1910" spans="41:41" s="7" customFormat="1" x14ac:dyDescent="0.15">
      <c r="AO1910" s="31"/>
    </row>
    <row r="1911" spans="41:41" s="7" customFormat="1" x14ac:dyDescent="0.15">
      <c r="AO1911" s="31"/>
    </row>
    <row r="1912" spans="41:41" s="7" customFormat="1" x14ac:dyDescent="0.15">
      <c r="AO1912" s="31"/>
    </row>
    <row r="1913" spans="41:41" s="7" customFormat="1" x14ac:dyDescent="0.15">
      <c r="AO1913" s="31"/>
    </row>
    <row r="1914" spans="41:41" s="7" customFormat="1" x14ac:dyDescent="0.15">
      <c r="AO1914" s="31"/>
    </row>
    <row r="1915" spans="41:41" s="7" customFormat="1" x14ac:dyDescent="0.15">
      <c r="AO1915" s="31"/>
    </row>
    <row r="1916" spans="41:41" s="7" customFormat="1" x14ac:dyDescent="0.15">
      <c r="AO1916" s="31"/>
    </row>
    <row r="1917" spans="41:41" s="7" customFormat="1" x14ac:dyDescent="0.15">
      <c r="AO1917" s="31"/>
    </row>
    <row r="1918" spans="41:41" s="7" customFormat="1" x14ac:dyDescent="0.15">
      <c r="AO1918" s="31"/>
    </row>
    <row r="1919" spans="41:41" s="7" customFormat="1" x14ac:dyDescent="0.15">
      <c r="AO1919" s="31"/>
    </row>
    <row r="1920" spans="41:41" s="7" customFormat="1" x14ac:dyDescent="0.15">
      <c r="AO1920" s="31"/>
    </row>
    <row r="1921" spans="41:41" s="7" customFormat="1" x14ac:dyDescent="0.15">
      <c r="AO1921" s="31"/>
    </row>
    <row r="1922" spans="41:41" s="7" customFormat="1" x14ac:dyDescent="0.15">
      <c r="AO1922" s="31"/>
    </row>
    <row r="1923" spans="41:41" s="7" customFormat="1" x14ac:dyDescent="0.15">
      <c r="AO1923" s="31"/>
    </row>
    <row r="1924" spans="41:41" s="7" customFormat="1" x14ac:dyDescent="0.15">
      <c r="AO1924" s="31"/>
    </row>
    <row r="1925" spans="41:41" s="7" customFormat="1" x14ac:dyDescent="0.15">
      <c r="AO1925" s="31"/>
    </row>
    <row r="1926" spans="41:41" s="7" customFormat="1" x14ac:dyDescent="0.15">
      <c r="AO1926" s="31"/>
    </row>
    <row r="1927" spans="41:41" s="7" customFormat="1" x14ac:dyDescent="0.15">
      <c r="AO1927" s="31"/>
    </row>
    <row r="1928" spans="41:41" s="7" customFormat="1" x14ac:dyDescent="0.15">
      <c r="AO1928" s="31"/>
    </row>
    <row r="1929" spans="41:41" s="7" customFormat="1" x14ac:dyDescent="0.15">
      <c r="AO1929" s="31"/>
    </row>
    <row r="1930" spans="41:41" s="7" customFormat="1" x14ac:dyDescent="0.15">
      <c r="AO1930" s="31"/>
    </row>
    <row r="1931" spans="41:41" s="7" customFormat="1" x14ac:dyDescent="0.15">
      <c r="AO1931" s="31"/>
    </row>
    <row r="1932" spans="41:41" s="7" customFormat="1" x14ac:dyDescent="0.15">
      <c r="AO1932" s="31"/>
    </row>
    <row r="1933" spans="41:41" s="7" customFormat="1" x14ac:dyDescent="0.15">
      <c r="AO1933" s="31"/>
    </row>
    <row r="1934" spans="41:41" s="7" customFormat="1" x14ac:dyDescent="0.15">
      <c r="AO1934" s="31"/>
    </row>
    <row r="1935" spans="41:41" s="7" customFormat="1" x14ac:dyDescent="0.15">
      <c r="AO1935" s="31"/>
    </row>
    <row r="1936" spans="41:41" s="7" customFormat="1" x14ac:dyDescent="0.15">
      <c r="AO1936" s="31"/>
    </row>
    <row r="1937" spans="41:41" s="7" customFormat="1" x14ac:dyDescent="0.15">
      <c r="AO1937" s="31"/>
    </row>
    <row r="1938" spans="41:41" s="7" customFormat="1" x14ac:dyDescent="0.15">
      <c r="AO1938" s="31"/>
    </row>
    <row r="1939" spans="41:41" s="7" customFormat="1" x14ac:dyDescent="0.15">
      <c r="AO1939" s="31"/>
    </row>
    <row r="1940" spans="41:41" s="7" customFormat="1" x14ac:dyDescent="0.15">
      <c r="AO1940" s="31"/>
    </row>
    <row r="1941" spans="41:41" s="7" customFormat="1" x14ac:dyDescent="0.15">
      <c r="AO1941" s="31"/>
    </row>
    <row r="1942" spans="41:41" s="7" customFormat="1" x14ac:dyDescent="0.15">
      <c r="AO1942" s="31"/>
    </row>
    <row r="1943" spans="41:41" s="7" customFormat="1" x14ac:dyDescent="0.15">
      <c r="AO1943" s="31"/>
    </row>
    <row r="1944" spans="41:41" s="7" customFormat="1" x14ac:dyDescent="0.15">
      <c r="AO1944" s="31"/>
    </row>
    <row r="1945" spans="41:41" s="7" customFormat="1" x14ac:dyDescent="0.15">
      <c r="AO1945" s="31"/>
    </row>
    <row r="1946" spans="41:41" s="7" customFormat="1" x14ac:dyDescent="0.15">
      <c r="AO1946" s="31"/>
    </row>
    <row r="1947" spans="41:41" s="7" customFormat="1" x14ac:dyDescent="0.15">
      <c r="AO1947" s="31"/>
    </row>
    <row r="1948" spans="41:41" s="7" customFormat="1" x14ac:dyDescent="0.15">
      <c r="AO1948" s="31"/>
    </row>
    <row r="1949" spans="41:41" s="7" customFormat="1" x14ac:dyDescent="0.15">
      <c r="AO1949" s="31"/>
    </row>
    <row r="1950" spans="41:41" s="7" customFormat="1" x14ac:dyDescent="0.15">
      <c r="AO1950" s="31"/>
    </row>
    <row r="1951" spans="41:41" s="7" customFormat="1" x14ac:dyDescent="0.15">
      <c r="AO1951" s="31"/>
    </row>
    <row r="1952" spans="41:41" s="7" customFormat="1" x14ac:dyDescent="0.15">
      <c r="AO1952" s="31"/>
    </row>
    <row r="1953" spans="41:41" s="7" customFormat="1" x14ac:dyDescent="0.15">
      <c r="AO1953" s="31"/>
    </row>
    <row r="1954" spans="41:41" s="7" customFormat="1" x14ac:dyDescent="0.15">
      <c r="AO1954" s="31"/>
    </row>
    <row r="1955" spans="41:41" s="7" customFormat="1" x14ac:dyDescent="0.15">
      <c r="AO1955" s="31"/>
    </row>
    <row r="1956" spans="41:41" s="7" customFormat="1" x14ac:dyDescent="0.15">
      <c r="AO1956" s="31"/>
    </row>
    <row r="1957" spans="41:41" s="7" customFormat="1" x14ac:dyDescent="0.15">
      <c r="AO1957" s="31"/>
    </row>
    <row r="1958" spans="41:41" s="7" customFormat="1" x14ac:dyDescent="0.15">
      <c r="AO1958" s="31"/>
    </row>
    <row r="1959" spans="41:41" s="7" customFormat="1" x14ac:dyDescent="0.15">
      <c r="AO1959" s="31"/>
    </row>
    <row r="1960" spans="41:41" s="7" customFormat="1" x14ac:dyDescent="0.15">
      <c r="AO1960" s="31"/>
    </row>
    <row r="1961" spans="41:41" s="7" customFormat="1" x14ac:dyDescent="0.15">
      <c r="AO1961" s="31"/>
    </row>
    <row r="1962" spans="41:41" s="7" customFormat="1" x14ac:dyDescent="0.15">
      <c r="AO1962" s="31"/>
    </row>
    <row r="1963" spans="41:41" s="7" customFormat="1" x14ac:dyDescent="0.15">
      <c r="AO1963" s="31"/>
    </row>
    <row r="1964" spans="41:41" s="7" customFormat="1" x14ac:dyDescent="0.15">
      <c r="AO1964" s="31"/>
    </row>
    <row r="1965" spans="41:41" s="7" customFormat="1" x14ac:dyDescent="0.15">
      <c r="AO1965" s="31"/>
    </row>
    <row r="1966" spans="41:41" s="7" customFormat="1" x14ac:dyDescent="0.15">
      <c r="AO1966" s="31"/>
    </row>
    <row r="1967" spans="41:41" s="7" customFormat="1" x14ac:dyDescent="0.15">
      <c r="AO1967" s="31"/>
    </row>
    <row r="1968" spans="41:41" s="7" customFormat="1" x14ac:dyDescent="0.15">
      <c r="AO1968" s="31"/>
    </row>
    <row r="1969" spans="41:41" s="7" customFormat="1" x14ac:dyDescent="0.15">
      <c r="AO1969" s="31"/>
    </row>
    <row r="1970" spans="41:41" s="7" customFormat="1" x14ac:dyDescent="0.15">
      <c r="AO1970" s="31"/>
    </row>
    <row r="1971" spans="41:41" s="7" customFormat="1" x14ac:dyDescent="0.15">
      <c r="AO1971" s="31"/>
    </row>
    <row r="1972" spans="41:41" s="7" customFormat="1" x14ac:dyDescent="0.15">
      <c r="AO1972" s="31"/>
    </row>
    <row r="1973" spans="41:41" s="7" customFormat="1" x14ac:dyDescent="0.15">
      <c r="AO1973" s="31"/>
    </row>
    <row r="1974" spans="41:41" s="7" customFormat="1" x14ac:dyDescent="0.15">
      <c r="AO1974" s="31"/>
    </row>
    <row r="1975" spans="41:41" s="7" customFormat="1" x14ac:dyDescent="0.15">
      <c r="AO1975" s="31"/>
    </row>
    <row r="1976" spans="41:41" s="7" customFormat="1" x14ac:dyDescent="0.15">
      <c r="AO1976" s="31"/>
    </row>
    <row r="1977" spans="41:41" s="7" customFormat="1" x14ac:dyDescent="0.15">
      <c r="AO1977" s="31"/>
    </row>
    <row r="1978" spans="41:41" s="7" customFormat="1" x14ac:dyDescent="0.15">
      <c r="AO1978" s="31"/>
    </row>
    <row r="1979" spans="41:41" s="7" customFormat="1" x14ac:dyDescent="0.15">
      <c r="AO1979" s="31"/>
    </row>
    <row r="1980" spans="41:41" s="7" customFormat="1" x14ac:dyDescent="0.15">
      <c r="AO1980" s="31"/>
    </row>
    <row r="1981" spans="41:41" s="7" customFormat="1" x14ac:dyDescent="0.15">
      <c r="AO1981" s="31"/>
    </row>
    <row r="1982" spans="41:41" s="7" customFormat="1" x14ac:dyDescent="0.15">
      <c r="AO1982" s="31"/>
    </row>
    <row r="1983" spans="41:41" s="7" customFormat="1" x14ac:dyDescent="0.15">
      <c r="AO1983" s="31"/>
    </row>
    <row r="1984" spans="41:41" s="7" customFormat="1" x14ac:dyDescent="0.15">
      <c r="AO1984" s="31"/>
    </row>
    <row r="1985" spans="41:41" s="7" customFormat="1" x14ac:dyDescent="0.15">
      <c r="AO1985" s="31"/>
    </row>
    <row r="1986" spans="41:41" s="7" customFormat="1" x14ac:dyDescent="0.15">
      <c r="AO1986" s="31"/>
    </row>
    <row r="1987" spans="41:41" s="7" customFormat="1" x14ac:dyDescent="0.15">
      <c r="AO1987" s="31"/>
    </row>
    <row r="1988" spans="41:41" s="7" customFormat="1" x14ac:dyDescent="0.15">
      <c r="AO1988" s="31"/>
    </row>
    <row r="1989" spans="41:41" s="7" customFormat="1" x14ac:dyDescent="0.15">
      <c r="AO1989" s="31"/>
    </row>
    <row r="1990" spans="41:41" s="7" customFormat="1" x14ac:dyDescent="0.15">
      <c r="AO1990" s="31"/>
    </row>
    <row r="1991" spans="41:41" s="7" customFormat="1" x14ac:dyDescent="0.15">
      <c r="AO1991" s="31"/>
    </row>
    <row r="1992" spans="41:41" s="7" customFormat="1" x14ac:dyDescent="0.15">
      <c r="AO1992" s="31"/>
    </row>
    <row r="1993" spans="41:41" s="7" customFormat="1" x14ac:dyDescent="0.15">
      <c r="AO1993" s="31"/>
    </row>
    <row r="1994" spans="41:41" s="7" customFormat="1" x14ac:dyDescent="0.15">
      <c r="AO1994" s="31"/>
    </row>
    <row r="1995" spans="41:41" s="7" customFormat="1" x14ac:dyDescent="0.15">
      <c r="AO1995" s="31"/>
    </row>
    <row r="1996" spans="41:41" s="7" customFormat="1" x14ac:dyDescent="0.15">
      <c r="AO1996" s="31"/>
    </row>
    <row r="1997" spans="41:41" s="7" customFormat="1" x14ac:dyDescent="0.15">
      <c r="AO1997" s="31"/>
    </row>
    <row r="1998" spans="41:41" s="7" customFormat="1" x14ac:dyDescent="0.15">
      <c r="AO1998" s="31"/>
    </row>
    <row r="1999" spans="41:41" s="7" customFormat="1" x14ac:dyDescent="0.15">
      <c r="AO1999" s="31"/>
    </row>
    <row r="2000" spans="41:41" s="7" customFormat="1" x14ac:dyDescent="0.15">
      <c r="AO2000" s="31"/>
    </row>
    <row r="2001" spans="41:41" s="7" customFormat="1" x14ac:dyDescent="0.15">
      <c r="AO2001" s="31"/>
    </row>
    <row r="2002" spans="41:41" s="7" customFormat="1" x14ac:dyDescent="0.15">
      <c r="AO2002" s="31"/>
    </row>
    <row r="2003" spans="41:41" s="7" customFormat="1" x14ac:dyDescent="0.15">
      <c r="AO2003" s="31"/>
    </row>
    <row r="2004" spans="41:41" s="7" customFormat="1" x14ac:dyDescent="0.15">
      <c r="AO2004" s="31"/>
    </row>
    <row r="2005" spans="41:41" s="7" customFormat="1" x14ac:dyDescent="0.15">
      <c r="AO2005" s="31"/>
    </row>
    <row r="2006" spans="41:41" s="7" customFormat="1" x14ac:dyDescent="0.15">
      <c r="AO2006" s="31"/>
    </row>
    <row r="2007" spans="41:41" s="7" customFormat="1" x14ac:dyDescent="0.15">
      <c r="AO2007" s="31"/>
    </row>
    <row r="2008" spans="41:41" s="7" customFormat="1" x14ac:dyDescent="0.15">
      <c r="AO2008" s="31"/>
    </row>
    <row r="2009" spans="41:41" s="7" customFormat="1" x14ac:dyDescent="0.15">
      <c r="AO2009" s="31"/>
    </row>
    <row r="2010" spans="41:41" s="7" customFormat="1" x14ac:dyDescent="0.15">
      <c r="AO2010" s="31"/>
    </row>
    <row r="2011" spans="41:41" s="7" customFormat="1" x14ac:dyDescent="0.15">
      <c r="AO2011" s="31"/>
    </row>
    <row r="2012" spans="41:41" s="7" customFormat="1" x14ac:dyDescent="0.15">
      <c r="AO2012" s="31"/>
    </row>
    <row r="2013" spans="41:41" s="7" customFormat="1" x14ac:dyDescent="0.15">
      <c r="AO2013" s="31"/>
    </row>
    <row r="2014" spans="41:41" s="7" customFormat="1" x14ac:dyDescent="0.15">
      <c r="AO2014" s="31"/>
    </row>
    <row r="2015" spans="41:41" s="7" customFormat="1" x14ac:dyDescent="0.15">
      <c r="AO2015" s="31"/>
    </row>
    <row r="2016" spans="41:41" s="7" customFormat="1" x14ac:dyDescent="0.15">
      <c r="AO2016" s="31"/>
    </row>
    <row r="2017" spans="41:41" s="7" customFormat="1" x14ac:dyDescent="0.15">
      <c r="AO2017" s="31"/>
    </row>
    <row r="2018" spans="41:41" s="7" customFormat="1" x14ac:dyDescent="0.15">
      <c r="AO2018" s="31"/>
    </row>
    <row r="2019" spans="41:41" s="7" customFormat="1" x14ac:dyDescent="0.15">
      <c r="AO2019" s="31"/>
    </row>
    <row r="2020" spans="41:41" s="7" customFormat="1" x14ac:dyDescent="0.15">
      <c r="AO2020" s="31"/>
    </row>
    <row r="2021" spans="41:41" s="7" customFormat="1" x14ac:dyDescent="0.15">
      <c r="AO2021" s="31"/>
    </row>
    <row r="2022" spans="41:41" s="7" customFormat="1" x14ac:dyDescent="0.15">
      <c r="AO2022" s="31"/>
    </row>
    <row r="2023" spans="41:41" s="7" customFormat="1" x14ac:dyDescent="0.15">
      <c r="AO2023" s="31"/>
    </row>
    <row r="2024" spans="41:41" s="7" customFormat="1" x14ac:dyDescent="0.15">
      <c r="AO2024" s="31"/>
    </row>
    <row r="2025" spans="41:41" s="7" customFormat="1" x14ac:dyDescent="0.15">
      <c r="AO2025" s="31"/>
    </row>
    <row r="2026" spans="41:41" s="7" customFormat="1" x14ac:dyDescent="0.15">
      <c r="AO2026" s="31"/>
    </row>
    <row r="2027" spans="41:41" s="7" customFormat="1" x14ac:dyDescent="0.15">
      <c r="AO2027" s="31"/>
    </row>
    <row r="2028" spans="41:41" s="7" customFormat="1" x14ac:dyDescent="0.15">
      <c r="AO2028" s="31"/>
    </row>
    <row r="2029" spans="41:41" s="7" customFormat="1" x14ac:dyDescent="0.15">
      <c r="AO2029" s="31"/>
    </row>
    <row r="2030" spans="41:41" s="7" customFormat="1" x14ac:dyDescent="0.15">
      <c r="AO2030" s="31"/>
    </row>
    <row r="2031" spans="41:41" s="7" customFormat="1" x14ac:dyDescent="0.15">
      <c r="AO2031" s="31"/>
    </row>
    <row r="2032" spans="41:41" s="7" customFormat="1" x14ac:dyDescent="0.15">
      <c r="AO2032" s="31"/>
    </row>
    <row r="2033" spans="41:41" s="7" customFormat="1" x14ac:dyDescent="0.15">
      <c r="AO2033" s="31"/>
    </row>
    <row r="2034" spans="41:41" s="7" customFormat="1" x14ac:dyDescent="0.15">
      <c r="AO2034" s="31"/>
    </row>
    <row r="2035" spans="41:41" s="7" customFormat="1" x14ac:dyDescent="0.15">
      <c r="AO2035" s="31"/>
    </row>
    <row r="2036" spans="41:41" s="7" customFormat="1" x14ac:dyDescent="0.15">
      <c r="AO2036" s="31"/>
    </row>
    <row r="2037" spans="41:41" s="7" customFormat="1" x14ac:dyDescent="0.15">
      <c r="AO2037" s="31"/>
    </row>
    <row r="2038" spans="41:41" s="7" customFormat="1" x14ac:dyDescent="0.15">
      <c r="AO2038" s="31"/>
    </row>
    <row r="2039" spans="41:41" s="7" customFormat="1" x14ac:dyDescent="0.15">
      <c r="AO2039" s="31"/>
    </row>
    <row r="2040" spans="41:41" s="7" customFormat="1" x14ac:dyDescent="0.15">
      <c r="AO2040" s="31"/>
    </row>
    <row r="2041" spans="41:41" s="7" customFormat="1" x14ac:dyDescent="0.15">
      <c r="AO2041" s="31"/>
    </row>
    <row r="2042" spans="41:41" s="7" customFormat="1" x14ac:dyDescent="0.15">
      <c r="AO2042" s="31"/>
    </row>
    <row r="2043" spans="41:41" s="7" customFormat="1" x14ac:dyDescent="0.15">
      <c r="AO2043" s="31"/>
    </row>
    <row r="2044" spans="41:41" s="7" customFormat="1" x14ac:dyDescent="0.15">
      <c r="AO2044" s="31"/>
    </row>
    <row r="2045" spans="41:41" s="7" customFormat="1" x14ac:dyDescent="0.15">
      <c r="AO2045" s="31"/>
    </row>
    <row r="2046" spans="41:41" s="7" customFormat="1" x14ac:dyDescent="0.15">
      <c r="AO2046" s="31"/>
    </row>
    <row r="2047" spans="41:41" s="7" customFormat="1" x14ac:dyDescent="0.15">
      <c r="AO2047" s="31"/>
    </row>
    <row r="2048" spans="41:41" s="7" customFormat="1" x14ac:dyDescent="0.15">
      <c r="AO2048" s="31"/>
    </row>
    <row r="2049" spans="41:41" s="7" customFormat="1" x14ac:dyDescent="0.15">
      <c r="AO2049" s="31"/>
    </row>
    <row r="2050" spans="41:41" s="7" customFormat="1" x14ac:dyDescent="0.15">
      <c r="AO2050" s="31"/>
    </row>
    <row r="2051" spans="41:41" s="7" customFormat="1" x14ac:dyDescent="0.15">
      <c r="AO2051" s="31"/>
    </row>
    <row r="2052" spans="41:41" s="7" customFormat="1" x14ac:dyDescent="0.15">
      <c r="AO2052" s="31"/>
    </row>
    <row r="2053" spans="41:41" s="7" customFormat="1" x14ac:dyDescent="0.15">
      <c r="AO2053" s="31"/>
    </row>
    <row r="2054" spans="41:41" s="7" customFormat="1" x14ac:dyDescent="0.15">
      <c r="AO2054" s="31"/>
    </row>
    <row r="2055" spans="41:41" s="7" customFormat="1" x14ac:dyDescent="0.15">
      <c r="AO2055" s="31"/>
    </row>
    <row r="2056" spans="41:41" s="7" customFormat="1" x14ac:dyDescent="0.15">
      <c r="AO2056" s="31"/>
    </row>
    <row r="2057" spans="41:41" s="7" customFormat="1" x14ac:dyDescent="0.15">
      <c r="AO2057" s="31"/>
    </row>
    <row r="2058" spans="41:41" s="7" customFormat="1" x14ac:dyDescent="0.15">
      <c r="AO2058" s="31"/>
    </row>
    <row r="2059" spans="41:41" s="7" customFormat="1" x14ac:dyDescent="0.15">
      <c r="AO2059" s="31"/>
    </row>
    <row r="2060" spans="41:41" s="7" customFormat="1" x14ac:dyDescent="0.15">
      <c r="AO2060" s="31"/>
    </row>
    <row r="2061" spans="41:41" s="7" customFormat="1" x14ac:dyDescent="0.15">
      <c r="AO2061" s="31"/>
    </row>
    <row r="2062" spans="41:41" s="7" customFormat="1" x14ac:dyDescent="0.15">
      <c r="AO2062" s="31"/>
    </row>
    <row r="2063" spans="41:41" s="7" customFormat="1" x14ac:dyDescent="0.15">
      <c r="AO2063" s="31"/>
    </row>
    <row r="2064" spans="41:41" s="7" customFormat="1" x14ac:dyDescent="0.15">
      <c r="AO2064" s="31"/>
    </row>
    <row r="2065" spans="41:41" s="7" customFormat="1" x14ac:dyDescent="0.15">
      <c r="AO2065" s="31"/>
    </row>
    <row r="2066" spans="41:41" s="7" customFormat="1" x14ac:dyDescent="0.15">
      <c r="AO2066" s="31"/>
    </row>
    <row r="2067" spans="41:41" s="7" customFormat="1" x14ac:dyDescent="0.15">
      <c r="AO2067" s="31"/>
    </row>
    <row r="2068" spans="41:41" s="7" customFormat="1" x14ac:dyDescent="0.15">
      <c r="AO2068" s="31"/>
    </row>
    <row r="2069" spans="41:41" s="7" customFormat="1" x14ac:dyDescent="0.15">
      <c r="AO2069" s="31"/>
    </row>
    <row r="2070" spans="41:41" s="7" customFormat="1" x14ac:dyDescent="0.15">
      <c r="AO2070" s="31"/>
    </row>
    <row r="2071" spans="41:41" s="7" customFormat="1" x14ac:dyDescent="0.15">
      <c r="AO2071" s="31"/>
    </row>
    <row r="2072" spans="41:41" s="7" customFormat="1" x14ac:dyDescent="0.15">
      <c r="AO2072" s="31"/>
    </row>
    <row r="2073" spans="41:41" s="7" customFormat="1" x14ac:dyDescent="0.15">
      <c r="AO2073" s="31"/>
    </row>
    <row r="2074" spans="41:41" s="7" customFormat="1" x14ac:dyDescent="0.15">
      <c r="AO2074" s="31"/>
    </row>
    <row r="2075" spans="41:41" s="7" customFormat="1" x14ac:dyDescent="0.15">
      <c r="AO2075" s="31"/>
    </row>
    <row r="2076" spans="41:41" s="7" customFormat="1" x14ac:dyDescent="0.15">
      <c r="AO2076" s="31"/>
    </row>
    <row r="2077" spans="41:41" s="7" customFormat="1" x14ac:dyDescent="0.15">
      <c r="AO2077" s="31"/>
    </row>
    <row r="2078" spans="41:41" s="7" customFormat="1" x14ac:dyDescent="0.15">
      <c r="AO2078" s="31"/>
    </row>
    <row r="2079" spans="41:41" s="7" customFormat="1" x14ac:dyDescent="0.15">
      <c r="AO2079" s="31"/>
    </row>
    <row r="2080" spans="41:41" s="7" customFormat="1" x14ac:dyDescent="0.15">
      <c r="AO2080" s="31"/>
    </row>
    <row r="2081" spans="41:41" s="7" customFormat="1" x14ac:dyDescent="0.15">
      <c r="AO2081" s="31"/>
    </row>
    <row r="2082" spans="41:41" s="7" customFormat="1" x14ac:dyDescent="0.15">
      <c r="AO2082" s="31"/>
    </row>
    <row r="2083" spans="41:41" s="7" customFormat="1" x14ac:dyDescent="0.15">
      <c r="AO2083" s="31"/>
    </row>
    <row r="2084" spans="41:41" s="7" customFormat="1" x14ac:dyDescent="0.15">
      <c r="AO2084" s="31"/>
    </row>
    <row r="2085" spans="41:41" s="7" customFormat="1" x14ac:dyDescent="0.15">
      <c r="AO2085" s="31"/>
    </row>
    <row r="2086" spans="41:41" s="7" customFormat="1" x14ac:dyDescent="0.15">
      <c r="AO2086" s="31"/>
    </row>
    <row r="2087" spans="41:41" s="7" customFormat="1" x14ac:dyDescent="0.15">
      <c r="AO2087" s="31"/>
    </row>
    <row r="2088" spans="41:41" s="7" customFormat="1" x14ac:dyDescent="0.15">
      <c r="AO2088" s="31"/>
    </row>
    <row r="2089" spans="41:41" s="7" customFormat="1" x14ac:dyDescent="0.15">
      <c r="AO2089" s="31"/>
    </row>
    <row r="2090" spans="41:41" s="7" customFormat="1" x14ac:dyDescent="0.15">
      <c r="AO2090" s="31"/>
    </row>
    <row r="2091" spans="41:41" s="7" customFormat="1" x14ac:dyDescent="0.15">
      <c r="AO2091" s="31"/>
    </row>
    <row r="2092" spans="41:41" s="7" customFormat="1" x14ac:dyDescent="0.15">
      <c r="AO2092" s="31"/>
    </row>
    <row r="2093" spans="41:41" s="7" customFormat="1" x14ac:dyDescent="0.15">
      <c r="AO2093" s="31"/>
    </row>
    <row r="2094" spans="41:41" s="7" customFormat="1" x14ac:dyDescent="0.15">
      <c r="AO2094" s="31"/>
    </row>
    <row r="2095" spans="41:41" s="7" customFormat="1" x14ac:dyDescent="0.15">
      <c r="AO2095" s="31"/>
    </row>
    <row r="2096" spans="41:41" s="7" customFormat="1" x14ac:dyDescent="0.15">
      <c r="AO2096" s="31"/>
    </row>
    <row r="2097" spans="41:41" s="7" customFormat="1" x14ac:dyDescent="0.15">
      <c r="AO2097" s="31"/>
    </row>
    <row r="2098" spans="41:41" s="7" customFormat="1" x14ac:dyDescent="0.15">
      <c r="AO2098" s="31"/>
    </row>
    <row r="2099" spans="41:41" s="7" customFormat="1" x14ac:dyDescent="0.15">
      <c r="AO2099" s="31"/>
    </row>
    <row r="2100" spans="41:41" s="7" customFormat="1" x14ac:dyDescent="0.15">
      <c r="AO2100" s="31"/>
    </row>
    <row r="2101" spans="41:41" s="7" customFormat="1" x14ac:dyDescent="0.15">
      <c r="AO2101" s="31"/>
    </row>
    <row r="2102" spans="41:41" s="7" customFormat="1" x14ac:dyDescent="0.15">
      <c r="AO2102" s="31"/>
    </row>
    <row r="2103" spans="41:41" s="7" customFormat="1" x14ac:dyDescent="0.15">
      <c r="AO2103" s="31"/>
    </row>
    <row r="2104" spans="41:41" s="7" customFormat="1" x14ac:dyDescent="0.15">
      <c r="AO2104" s="31"/>
    </row>
    <row r="2105" spans="41:41" s="7" customFormat="1" x14ac:dyDescent="0.15">
      <c r="AO2105" s="31"/>
    </row>
    <row r="2106" spans="41:41" s="7" customFormat="1" x14ac:dyDescent="0.15">
      <c r="AO2106" s="31"/>
    </row>
    <row r="2107" spans="41:41" s="7" customFormat="1" x14ac:dyDescent="0.15">
      <c r="AO2107" s="31"/>
    </row>
    <row r="2108" spans="41:41" s="7" customFormat="1" x14ac:dyDescent="0.15">
      <c r="AO2108" s="31"/>
    </row>
    <row r="2109" spans="41:41" s="7" customFormat="1" x14ac:dyDescent="0.15">
      <c r="AO2109" s="31"/>
    </row>
    <row r="2110" spans="41:41" s="7" customFormat="1" x14ac:dyDescent="0.15">
      <c r="AO2110" s="31"/>
    </row>
    <row r="2111" spans="41:41" s="7" customFormat="1" x14ac:dyDescent="0.15">
      <c r="AO2111" s="31"/>
    </row>
    <row r="2112" spans="41:41" s="7" customFormat="1" x14ac:dyDescent="0.15">
      <c r="AO2112" s="31"/>
    </row>
    <row r="2113" spans="41:41" s="7" customFormat="1" x14ac:dyDescent="0.15">
      <c r="AO2113" s="31"/>
    </row>
    <row r="2114" spans="41:41" s="7" customFormat="1" x14ac:dyDescent="0.15">
      <c r="AO2114" s="31"/>
    </row>
    <row r="2115" spans="41:41" s="7" customFormat="1" x14ac:dyDescent="0.15">
      <c r="AO2115" s="31"/>
    </row>
    <row r="2116" spans="41:41" s="7" customFormat="1" x14ac:dyDescent="0.15">
      <c r="AO2116" s="31"/>
    </row>
    <row r="2117" spans="41:41" s="7" customFormat="1" x14ac:dyDescent="0.15">
      <c r="AO2117" s="31"/>
    </row>
    <row r="2118" spans="41:41" s="7" customFormat="1" x14ac:dyDescent="0.15">
      <c r="AO2118" s="31"/>
    </row>
    <row r="2119" spans="41:41" s="7" customFormat="1" x14ac:dyDescent="0.15">
      <c r="AO2119" s="31"/>
    </row>
    <row r="2120" spans="41:41" s="7" customFormat="1" x14ac:dyDescent="0.15">
      <c r="AO2120" s="31"/>
    </row>
    <row r="2121" spans="41:41" s="7" customFormat="1" x14ac:dyDescent="0.15">
      <c r="AO2121" s="31"/>
    </row>
    <row r="2122" spans="41:41" s="7" customFormat="1" x14ac:dyDescent="0.15">
      <c r="AO2122" s="31"/>
    </row>
    <row r="2123" spans="41:41" s="7" customFormat="1" x14ac:dyDescent="0.15">
      <c r="AO2123" s="31"/>
    </row>
    <row r="2124" spans="41:41" s="7" customFormat="1" x14ac:dyDescent="0.15">
      <c r="AO2124" s="31"/>
    </row>
    <row r="2125" spans="41:41" s="7" customFormat="1" x14ac:dyDescent="0.15">
      <c r="AO2125" s="31"/>
    </row>
    <row r="2126" spans="41:41" s="7" customFormat="1" x14ac:dyDescent="0.15">
      <c r="AO2126" s="31"/>
    </row>
    <row r="2127" spans="41:41" s="7" customFormat="1" x14ac:dyDescent="0.15">
      <c r="AO2127" s="31"/>
    </row>
    <row r="2128" spans="41:41" s="7" customFormat="1" x14ac:dyDescent="0.15">
      <c r="AO2128" s="31"/>
    </row>
    <row r="2129" spans="41:41" s="7" customFormat="1" x14ac:dyDescent="0.15">
      <c r="AO2129" s="31"/>
    </row>
    <row r="2130" spans="41:41" s="7" customFormat="1" x14ac:dyDescent="0.15">
      <c r="AO2130" s="31"/>
    </row>
    <row r="2131" spans="41:41" s="7" customFormat="1" x14ac:dyDescent="0.15">
      <c r="AO2131" s="31"/>
    </row>
    <row r="2132" spans="41:41" s="7" customFormat="1" x14ac:dyDescent="0.15">
      <c r="AO2132" s="31"/>
    </row>
    <row r="2133" spans="41:41" s="7" customFormat="1" x14ac:dyDescent="0.15">
      <c r="AO2133" s="31"/>
    </row>
    <row r="2134" spans="41:41" s="7" customFormat="1" x14ac:dyDescent="0.15">
      <c r="AO2134" s="31"/>
    </row>
    <row r="2135" spans="41:41" s="7" customFormat="1" x14ac:dyDescent="0.15">
      <c r="AO2135" s="31"/>
    </row>
    <row r="2136" spans="41:41" s="7" customFormat="1" x14ac:dyDescent="0.15">
      <c r="AO2136" s="31"/>
    </row>
    <row r="2137" spans="41:41" s="7" customFormat="1" x14ac:dyDescent="0.15">
      <c r="AO2137" s="31"/>
    </row>
    <row r="2138" spans="41:41" s="7" customFormat="1" x14ac:dyDescent="0.15">
      <c r="AO2138" s="31"/>
    </row>
    <row r="2139" spans="41:41" s="7" customFormat="1" x14ac:dyDescent="0.15">
      <c r="AO2139" s="31"/>
    </row>
    <row r="2140" spans="41:41" s="7" customFormat="1" x14ac:dyDescent="0.15">
      <c r="AO2140" s="31"/>
    </row>
    <row r="2141" spans="41:41" s="7" customFormat="1" x14ac:dyDescent="0.15">
      <c r="AO2141" s="31"/>
    </row>
    <row r="2142" spans="41:41" s="7" customFormat="1" x14ac:dyDescent="0.15">
      <c r="AO2142" s="31"/>
    </row>
    <row r="2143" spans="41:41" s="7" customFormat="1" x14ac:dyDescent="0.15">
      <c r="AO2143" s="31"/>
    </row>
    <row r="2144" spans="41:41" s="7" customFormat="1" x14ac:dyDescent="0.15">
      <c r="AO2144" s="31"/>
    </row>
    <row r="2145" spans="41:41" s="7" customFormat="1" x14ac:dyDescent="0.15">
      <c r="AO2145" s="31"/>
    </row>
    <row r="2146" spans="41:41" s="7" customFormat="1" x14ac:dyDescent="0.15">
      <c r="AO2146" s="31"/>
    </row>
    <row r="2147" spans="41:41" s="7" customFormat="1" x14ac:dyDescent="0.15">
      <c r="AO2147" s="31"/>
    </row>
    <row r="2148" spans="41:41" s="7" customFormat="1" x14ac:dyDescent="0.15">
      <c r="AO2148" s="31"/>
    </row>
    <row r="2149" spans="41:41" s="7" customFormat="1" x14ac:dyDescent="0.15">
      <c r="AO2149" s="31"/>
    </row>
    <row r="2150" spans="41:41" s="7" customFormat="1" x14ac:dyDescent="0.15">
      <c r="AO2150" s="31"/>
    </row>
    <row r="2151" spans="41:41" s="7" customFormat="1" x14ac:dyDescent="0.15">
      <c r="AO2151" s="31"/>
    </row>
    <row r="2152" spans="41:41" s="7" customFormat="1" x14ac:dyDescent="0.15">
      <c r="AO2152" s="31"/>
    </row>
    <row r="2153" spans="41:41" s="7" customFormat="1" x14ac:dyDescent="0.15">
      <c r="AO2153" s="31"/>
    </row>
    <row r="2154" spans="41:41" s="7" customFormat="1" x14ac:dyDescent="0.15">
      <c r="AO2154" s="31"/>
    </row>
    <row r="2155" spans="41:41" s="7" customFormat="1" x14ac:dyDescent="0.15">
      <c r="AO2155" s="31"/>
    </row>
    <row r="2156" spans="41:41" s="7" customFormat="1" x14ac:dyDescent="0.15">
      <c r="AO2156" s="31"/>
    </row>
    <row r="2157" spans="41:41" s="7" customFormat="1" x14ac:dyDescent="0.15">
      <c r="AO2157" s="31"/>
    </row>
    <row r="2158" spans="41:41" s="7" customFormat="1" x14ac:dyDescent="0.15">
      <c r="AO2158" s="31"/>
    </row>
    <row r="2159" spans="41:41" s="7" customFormat="1" x14ac:dyDescent="0.15">
      <c r="AO2159" s="31"/>
    </row>
    <row r="2160" spans="41:41" s="7" customFormat="1" x14ac:dyDescent="0.15">
      <c r="AO2160" s="31"/>
    </row>
    <row r="2161" spans="41:41" s="7" customFormat="1" x14ac:dyDescent="0.15">
      <c r="AO2161" s="31"/>
    </row>
    <row r="2162" spans="41:41" s="7" customFormat="1" x14ac:dyDescent="0.15">
      <c r="AO2162" s="31"/>
    </row>
    <row r="2163" spans="41:41" s="7" customFormat="1" x14ac:dyDescent="0.15">
      <c r="AO2163" s="31"/>
    </row>
    <row r="2164" spans="41:41" s="7" customFormat="1" x14ac:dyDescent="0.15">
      <c r="AO2164" s="31"/>
    </row>
    <row r="2165" spans="41:41" s="7" customFormat="1" x14ac:dyDescent="0.15">
      <c r="AO2165" s="31"/>
    </row>
    <row r="2166" spans="41:41" s="7" customFormat="1" x14ac:dyDescent="0.15">
      <c r="AO2166" s="31"/>
    </row>
    <row r="2167" spans="41:41" s="7" customFormat="1" x14ac:dyDescent="0.15">
      <c r="AO2167" s="31"/>
    </row>
    <row r="2168" spans="41:41" s="7" customFormat="1" x14ac:dyDescent="0.15">
      <c r="AO2168" s="31"/>
    </row>
    <row r="2169" spans="41:41" s="7" customFormat="1" x14ac:dyDescent="0.15">
      <c r="AO2169" s="31"/>
    </row>
    <row r="2170" spans="41:41" s="7" customFormat="1" x14ac:dyDescent="0.15">
      <c r="AO2170" s="31"/>
    </row>
    <row r="2171" spans="41:41" s="7" customFormat="1" x14ac:dyDescent="0.15">
      <c r="AO2171" s="31"/>
    </row>
    <row r="2172" spans="41:41" s="7" customFormat="1" x14ac:dyDescent="0.15">
      <c r="AO2172" s="31"/>
    </row>
    <row r="2173" spans="41:41" s="7" customFormat="1" x14ac:dyDescent="0.15">
      <c r="AO2173" s="31"/>
    </row>
    <row r="2174" spans="41:41" s="7" customFormat="1" x14ac:dyDescent="0.15">
      <c r="AO2174" s="31"/>
    </row>
    <row r="2175" spans="41:41" s="7" customFormat="1" x14ac:dyDescent="0.15">
      <c r="AO2175" s="31"/>
    </row>
    <row r="2176" spans="41:41" s="7" customFormat="1" x14ac:dyDescent="0.15">
      <c r="AO2176" s="31"/>
    </row>
    <row r="2177" spans="41:41" s="7" customFormat="1" x14ac:dyDescent="0.15">
      <c r="AO2177" s="31"/>
    </row>
    <row r="2178" spans="41:41" s="7" customFormat="1" x14ac:dyDescent="0.15">
      <c r="AO2178" s="31"/>
    </row>
    <row r="2179" spans="41:41" s="7" customFormat="1" x14ac:dyDescent="0.15">
      <c r="AO2179" s="31"/>
    </row>
    <row r="2180" spans="41:41" s="7" customFormat="1" x14ac:dyDescent="0.15">
      <c r="AO2180" s="31"/>
    </row>
    <row r="2181" spans="41:41" s="7" customFormat="1" x14ac:dyDescent="0.15">
      <c r="AO2181" s="31"/>
    </row>
    <row r="2182" spans="41:41" s="7" customFormat="1" x14ac:dyDescent="0.15">
      <c r="AO2182" s="31"/>
    </row>
    <row r="2183" spans="41:41" s="7" customFormat="1" x14ac:dyDescent="0.15">
      <c r="AO2183" s="31"/>
    </row>
    <row r="2184" spans="41:41" s="7" customFormat="1" x14ac:dyDescent="0.15">
      <c r="AO2184" s="31"/>
    </row>
    <row r="2185" spans="41:41" s="7" customFormat="1" x14ac:dyDescent="0.15">
      <c r="AO2185" s="31"/>
    </row>
    <row r="2186" spans="41:41" s="7" customFormat="1" x14ac:dyDescent="0.15">
      <c r="AO2186" s="31"/>
    </row>
    <row r="2187" spans="41:41" s="7" customFormat="1" x14ac:dyDescent="0.15">
      <c r="AO2187" s="31"/>
    </row>
    <row r="2188" spans="41:41" s="7" customFormat="1" x14ac:dyDescent="0.15">
      <c r="AO2188" s="31"/>
    </row>
    <row r="2189" spans="41:41" s="7" customFormat="1" x14ac:dyDescent="0.15">
      <c r="AO2189" s="31"/>
    </row>
    <row r="2190" spans="41:41" s="7" customFormat="1" x14ac:dyDescent="0.15">
      <c r="AO2190" s="31"/>
    </row>
    <row r="2191" spans="41:41" s="7" customFormat="1" x14ac:dyDescent="0.15">
      <c r="AO2191" s="31"/>
    </row>
    <row r="2192" spans="41:41" s="7" customFormat="1" x14ac:dyDescent="0.15">
      <c r="AO2192" s="31"/>
    </row>
    <row r="2193" spans="41:41" s="7" customFormat="1" x14ac:dyDescent="0.15">
      <c r="AO2193" s="31"/>
    </row>
    <row r="2194" spans="41:41" s="7" customFormat="1" x14ac:dyDescent="0.15">
      <c r="AO2194" s="31"/>
    </row>
    <row r="2195" spans="41:41" s="7" customFormat="1" x14ac:dyDescent="0.15">
      <c r="AO2195" s="31"/>
    </row>
    <row r="2196" spans="41:41" s="7" customFormat="1" x14ac:dyDescent="0.15">
      <c r="AO2196" s="31"/>
    </row>
    <row r="2197" spans="41:41" s="7" customFormat="1" x14ac:dyDescent="0.15">
      <c r="AO2197" s="31"/>
    </row>
    <row r="2198" spans="41:41" s="7" customFormat="1" x14ac:dyDescent="0.15">
      <c r="AO2198" s="31"/>
    </row>
    <row r="2199" spans="41:41" s="7" customFormat="1" x14ac:dyDescent="0.15">
      <c r="AO2199" s="31"/>
    </row>
    <row r="2200" spans="41:41" s="7" customFormat="1" x14ac:dyDescent="0.15">
      <c r="AO2200" s="31"/>
    </row>
    <row r="2201" spans="41:41" s="7" customFormat="1" x14ac:dyDescent="0.15">
      <c r="AO2201" s="31"/>
    </row>
    <row r="2202" spans="41:41" s="7" customFormat="1" x14ac:dyDescent="0.15">
      <c r="AO2202" s="31"/>
    </row>
    <row r="2203" spans="41:41" s="7" customFormat="1" x14ac:dyDescent="0.15">
      <c r="AO2203" s="31"/>
    </row>
    <row r="2204" spans="41:41" s="7" customFormat="1" x14ac:dyDescent="0.15">
      <c r="AO2204" s="31"/>
    </row>
    <row r="2205" spans="41:41" s="7" customFormat="1" x14ac:dyDescent="0.15">
      <c r="AO2205" s="31"/>
    </row>
    <row r="2206" spans="41:41" s="7" customFormat="1" x14ac:dyDescent="0.15">
      <c r="AO2206" s="31"/>
    </row>
    <row r="2207" spans="41:41" s="7" customFormat="1" x14ac:dyDescent="0.15">
      <c r="AO2207" s="31"/>
    </row>
    <row r="2208" spans="41:41" s="7" customFormat="1" x14ac:dyDescent="0.15">
      <c r="AO2208" s="31"/>
    </row>
    <row r="2209" spans="41:41" s="7" customFormat="1" x14ac:dyDescent="0.15">
      <c r="AO2209" s="31"/>
    </row>
    <row r="2210" spans="41:41" s="7" customFormat="1" x14ac:dyDescent="0.15">
      <c r="AO2210" s="31"/>
    </row>
    <row r="2211" spans="41:41" s="7" customFormat="1" x14ac:dyDescent="0.15">
      <c r="AO2211" s="31"/>
    </row>
    <row r="2212" spans="41:41" s="7" customFormat="1" x14ac:dyDescent="0.15">
      <c r="AO2212" s="31"/>
    </row>
    <row r="2213" spans="41:41" s="7" customFormat="1" x14ac:dyDescent="0.15">
      <c r="AO2213" s="31"/>
    </row>
    <row r="2214" spans="41:41" s="7" customFormat="1" x14ac:dyDescent="0.15">
      <c r="AO2214" s="31"/>
    </row>
    <row r="2215" spans="41:41" s="7" customFormat="1" x14ac:dyDescent="0.15">
      <c r="AO2215" s="31"/>
    </row>
    <row r="2216" spans="41:41" s="7" customFormat="1" x14ac:dyDescent="0.15">
      <c r="AO2216" s="31"/>
    </row>
    <row r="2217" spans="41:41" s="7" customFormat="1" x14ac:dyDescent="0.15">
      <c r="AO2217" s="31"/>
    </row>
    <row r="2218" spans="41:41" s="7" customFormat="1" x14ac:dyDescent="0.15">
      <c r="AO2218" s="31"/>
    </row>
    <row r="2219" spans="41:41" s="7" customFormat="1" x14ac:dyDescent="0.15">
      <c r="AO2219" s="31"/>
    </row>
    <row r="2220" spans="41:41" s="7" customFormat="1" x14ac:dyDescent="0.15">
      <c r="AO2220" s="31"/>
    </row>
    <row r="2221" spans="41:41" s="7" customFormat="1" x14ac:dyDescent="0.15">
      <c r="AO2221" s="31"/>
    </row>
    <row r="2222" spans="41:41" s="7" customFormat="1" x14ac:dyDescent="0.15">
      <c r="AO2222" s="31"/>
    </row>
    <row r="2223" spans="41:41" s="7" customFormat="1" x14ac:dyDescent="0.15">
      <c r="AO2223" s="31"/>
    </row>
    <row r="2224" spans="41:41" s="7" customFormat="1" x14ac:dyDescent="0.15">
      <c r="AO2224" s="31"/>
    </row>
    <row r="2225" spans="41:41" s="7" customFormat="1" x14ac:dyDescent="0.15">
      <c r="AO2225" s="31"/>
    </row>
    <row r="2226" spans="41:41" s="7" customFormat="1" x14ac:dyDescent="0.15">
      <c r="AO2226" s="31"/>
    </row>
    <row r="2227" spans="41:41" s="7" customFormat="1" x14ac:dyDescent="0.15">
      <c r="AO2227" s="31"/>
    </row>
    <row r="2228" spans="41:41" s="7" customFormat="1" x14ac:dyDescent="0.15">
      <c r="AO2228" s="31"/>
    </row>
    <row r="2229" spans="41:41" s="7" customFormat="1" x14ac:dyDescent="0.15">
      <c r="AO2229" s="31"/>
    </row>
    <row r="2230" spans="41:41" s="7" customFormat="1" x14ac:dyDescent="0.15">
      <c r="AO2230" s="31"/>
    </row>
    <row r="2231" spans="41:41" s="7" customFormat="1" x14ac:dyDescent="0.15">
      <c r="AO2231" s="31"/>
    </row>
    <row r="2232" spans="41:41" s="7" customFormat="1" x14ac:dyDescent="0.15">
      <c r="AO2232" s="31"/>
    </row>
    <row r="2233" spans="41:41" s="7" customFormat="1" x14ac:dyDescent="0.15">
      <c r="AO2233" s="31"/>
    </row>
    <row r="2234" spans="41:41" s="7" customFormat="1" x14ac:dyDescent="0.15">
      <c r="AO2234" s="31"/>
    </row>
    <row r="2235" spans="41:41" s="7" customFormat="1" x14ac:dyDescent="0.15">
      <c r="AO2235" s="31"/>
    </row>
    <row r="2236" spans="41:41" s="7" customFormat="1" x14ac:dyDescent="0.15">
      <c r="AO2236" s="31"/>
    </row>
    <row r="2237" spans="41:41" s="7" customFormat="1" x14ac:dyDescent="0.15">
      <c r="AO2237" s="31"/>
    </row>
    <row r="2238" spans="41:41" s="7" customFormat="1" x14ac:dyDescent="0.15">
      <c r="AO2238" s="31"/>
    </row>
    <row r="2239" spans="41:41" s="7" customFormat="1" x14ac:dyDescent="0.15">
      <c r="AO2239" s="31"/>
    </row>
    <row r="2240" spans="41:41" s="7" customFormat="1" x14ac:dyDescent="0.15">
      <c r="AO2240" s="31"/>
    </row>
    <row r="2241" spans="41:41" s="7" customFormat="1" x14ac:dyDescent="0.15">
      <c r="AO2241" s="31"/>
    </row>
    <row r="2242" spans="41:41" s="7" customFormat="1" x14ac:dyDescent="0.15">
      <c r="AO2242" s="31"/>
    </row>
    <row r="2243" spans="41:41" s="7" customFormat="1" x14ac:dyDescent="0.15">
      <c r="AO2243" s="31"/>
    </row>
    <row r="2244" spans="41:41" s="7" customFormat="1" x14ac:dyDescent="0.15">
      <c r="AO2244" s="31"/>
    </row>
    <row r="2245" spans="41:41" s="7" customFormat="1" x14ac:dyDescent="0.15">
      <c r="AO2245" s="31"/>
    </row>
    <row r="2246" spans="41:41" s="7" customFormat="1" x14ac:dyDescent="0.15">
      <c r="AO2246" s="31"/>
    </row>
    <row r="2247" spans="41:41" s="7" customFormat="1" x14ac:dyDescent="0.15">
      <c r="AO2247" s="31"/>
    </row>
    <row r="2248" spans="41:41" s="7" customFormat="1" x14ac:dyDescent="0.15">
      <c r="AO2248" s="31"/>
    </row>
    <row r="2249" spans="41:41" s="7" customFormat="1" x14ac:dyDescent="0.15">
      <c r="AO2249" s="31"/>
    </row>
    <row r="2250" spans="41:41" s="7" customFormat="1" x14ac:dyDescent="0.15">
      <c r="AO2250" s="31"/>
    </row>
    <row r="2251" spans="41:41" s="7" customFormat="1" x14ac:dyDescent="0.15">
      <c r="AO2251" s="31"/>
    </row>
    <row r="2252" spans="41:41" s="7" customFormat="1" x14ac:dyDescent="0.15">
      <c r="AO2252" s="31"/>
    </row>
    <row r="2253" spans="41:41" s="7" customFormat="1" x14ac:dyDescent="0.15">
      <c r="AO2253" s="31"/>
    </row>
    <row r="2254" spans="41:41" s="7" customFormat="1" x14ac:dyDescent="0.15">
      <c r="AO2254" s="31"/>
    </row>
    <row r="2255" spans="41:41" s="7" customFormat="1" x14ac:dyDescent="0.15">
      <c r="AO2255" s="31"/>
    </row>
    <row r="2256" spans="41:41" s="7" customFormat="1" x14ac:dyDescent="0.15">
      <c r="AO2256" s="31"/>
    </row>
    <row r="2257" spans="41:41" s="7" customFormat="1" x14ac:dyDescent="0.15">
      <c r="AO2257" s="31"/>
    </row>
    <row r="2258" spans="41:41" s="7" customFormat="1" x14ac:dyDescent="0.15">
      <c r="AO2258" s="31"/>
    </row>
    <row r="2259" spans="41:41" s="7" customFormat="1" x14ac:dyDescent="0.15">
      <c r="AO2259" s="31"/>
    </row>
    <row r="2260" spans="41:41" s="7" customFormat="1" x14ac:dyDescent="0.15">
      <c r="AO2260" s="31"/>
    </row>
    <row r="2261" spans="41:41" s="7" customFormat="1" x14ac:dyDescent="0.15">
      <c r="AO2261" s="31"/>
    </row>
    <row r="2262" spans="41:41" s="7" customFormat="1" x14ac:dyDescent="0.15">
      <c r="AO2262" s="31"/>
    </row>
    <row r="2263" spans="41:41" s="7" customFormat="1" x14ac:dyDescent="0.15">
      <c r="AO2263" s="31"/>
    </row>
    <row r="2264" spans="41:41" s="7" customFormat="1" x14ac:dyDescent="0.15">
      <c r="AO2264" s="31"/>
    </row>
    <row r="2265" spans="41:41" s="7" customFormat="1" x14ac:dyDescent="0.15">
      <c r="AO2265" s="31"/>
    </row>
    <row r="2266" spans="41:41" s="7" customFormat="1" x14ac:dyDescent="0.15">
      <c r="AO2266" s="31"/>
    </row>
    <row r="2267" spans="41:41" s="7" customFormat="1" x14ac:dyDescent="0.15">
      <c r="AO2267" s="31"/>
    </row>
    <row r="2268" spans="41:41" s="7" customFormat="1" x14ac:dyDescent="0.15">
      <c r="AO2268" s="31"/>
    </row>
    <row r="2269" spans="41:41" s="7" customFormat="1" x14ac:dyDescent="0.15">
      <c r="AO2269" s="31"/>
    </row>
    <row r="2270" spans="41:41" s="7" customFormat="1" x14ac:dyDescent="0.15">
      <c r="AO2270" s="31"/>
    </row>
    <row r="2271" spans="41:41" s="7" customFormat="1" x14ac:dyDescent="0.15">
      <c r="AO2271" s="31"/>
    </row>
    <row r="2272" spans="41:41" s="7" customFormat="1" x14ac:dyDescent="0.15">
      <c r="AO2272" s="31"/>
    </row>
    <row r="2273" spans="41:41" s="7" customFormat="1" x14ac:dyDescent="0.15">
      <c r="AO2273" s="31"/>
    </row>
    <row r="2274" spans="41:41" s="7" customFormat="1" x14ac:dyDescent="0.15">
      <c r="AO2274" s="31"/>
    </row>
    <row r="2275" spans="41:41" s="7" customFormat="1" x14ac:dyDescent="0.15">
      <c r="AO2275" s="31"/>
    </row>
    <row r="2276" spans="41:41" s="7" customFormat="1" x14ac:dyDescent="0.15">
      <c r="AO2276" s="31"/>
    </row>
    <row r="2277" spans="41:41" s="7" customFormat="1" x14ac:dyDescent="0.15">
      <c r="AO2277" s="31"/>
    </row>
    <row r="2278" spans="41:41" s="7" customFormat="1" x14ac:dyDescent="0.15">
      <c r="AO2278" s="31"/>
    </row>
    <row r="2279" spans="41:41" s="7" customFormat="1" x14ac:dyDescent="0.15">
      <c r="AO2279" s="31"/>
    </row>
    <row r="2280" spans="41:41" s="7" customFormat="1" x14ac:dyDescent="0.15">
      <c r="AO2280" s="31"/>
    </row>
    <row r="2281" spans="41:41" s="7" customFormat="1" x14ac:dyDescent="0.15">
      <c r="AO2281" s="31"/>
    </row>
    <row r="2282" spans="41:41" s="7" customFormat="1" x14ac:dyDescent="0.15">
      <c r="AO2282" s="31"/>
    </row>
    <row r="2283" spans="41:41" s="7" customFormat="1" x14ac:dyDescent="0.15">
      <c r="AO2283" s="31"/>
    </row>
    <row r="2284" spans="41:41" s="7" customFormat="1" x14ac:dyDescent="0.15">
      <c r="AO2284" s="31"/>
    </row>
    <row r="2285" spans="41:41" s="7" customFormat="1" x14ac:dyDescent="0.15">
      <c r="AO2285" s="31"/>
    </row>
    <row r="2286" spans="41:41" s="7" customFormat="1" x14ac:dyDescent="0.15">
      <c r="AO2286" s="31"/>
    </row>
    <row r="2287" spans="41:41" s="7" customFormat="1" x14ac:dyDescent="0.15">
      <c r="AO2287" s="31"/>
    </row>
    <row r="2288" spans="41:41" s="7" customFormat="1" x14ac:dyDescent="0.15">
      <c r="AO2288" s="31"/>
    </row>
    <row r="2289" spans="41:41" s="7" customFormat="1" x14ac:dyDescent="0.15">
      <c r="AO2289" s="31"/>
    </row>
    <row r="2290" spans="41:41" s="7" customFormat="1" x14ac:dyDescent="0.15">
      <c r="AO2290" s="31"/>
    </row>
    <row r="2291" spans="41:41" s="7" customFormat="1" x14ac:dyDescent="0.15">
      <c r="AO2291" s="31"/>
    </row>
    <row r="2292" spans="41:41" s="7" customFormat="1" x14ac:dyDescent="0.15">
      <c r="AO2292" s="31"/>
    </row>
    <row r="2293" spans="41:41" s="7" customFormat="1" x14ac:dyDescent="0.15">
      <c r="AO2293" s="31"/>
    </row>
    <row r="2294" spans="41:41" s="7" customFormat="1" x14ac:dyDescent="0.15">
      <c r="AO2294" s="31"/>
    </row>
    <row r="2295" spans="41:41" s="7" customFormat="1" x14ac:dyDescent="0.15">
      <c r="AO2295" s="31"/>
    </row>
    <row r="2296" spans="41:41" s="7" customFormat="1" x14ac:dyDescent="0.15">
      <c r="AO2296" s="31"/>
    </row>
    <row r="2297" spans="41:41" s="7" customFormat="1" x14ac:dyDescent="0.15">
      <c r="AO2297" s="31"/>
    </row>
    <row r="2298" spans="41:41" s="7" customFormat="1" x14ac:dyDescent="0.15">
      <c r="AO2298" s="31"/>
    </row>
    <row r="2299" spans="41:41" s="7" customFormat="1" x14ac:dyDescent="0.15">
      <c r="AO2299" s="31"/>
    </row>
    <row r="2300" spans="41:41" s="7" customFormat="1" x14ac:dyDescent="0.15">
      <c r="AO2300" s="31"/>
    </row>
    <row r="2301" spans="41:41" s="7" customFormat="1" x14ac:dyDescent="0.15">
      <c r="AO2301" s="31"/>
    </row>
    <row r="2302" spans="41:41" s="7" customFormat="1" x14ac:dyDescent="0.15">
      <c r="AO2302" s="31"/>
    </row>
    <row r="2303" spans="41:41" s="7" customFormat="1" x14ac:dyDescent="0.15">
      <c r="AO2303" s="31"/>
    </row>
    <row r="2304" spans="41:41" s="7" customFormat="1" x14ac:dyDescent="0.15">
      <c r="AO2304" s="31"/>
    </row>
    <row r="2305" spans="41:41" s="7" customFormat="1" x14ac:dyDescent="0.15">
      <c r="AO2305" s="31"/>
    </row>
    <row r="2306" spans="41:41" s="7" customFormat="1" x14ac:dyDescent="0.15">
      <c r="AO2306" s="31"/>
    </row>
    <row r="2307" spans="41:41" s="7" customFormat="1" x14ac:dyDescent="0.15">
      <c r="AO2307" s="31"/>
    </row>
    <row r="2308" spans="41:41" s="7" customFormat="1" x14ac:dyDescent="0.15">
      <c r="AO2308" s="31"/>
    </row>
    <row r="2309" spans="41:41" s="7" customFormat="1" x14ac:dyDescent="0.15">
      <c r="AO2309" s="31"/>
    </row>
    <row r="2310" spans="41:41" s="7" customFormat="1" x14ac:dyDescent="0.15">
      <c r="AO2310" s="31"/>
    </row>
    <row r="2311" spans="41:41" s="7" customFormat="1" x14ac:dyDescent="0.15">
      <c r="AO2311" s="31"/>
    </row>
    <row r="2312" spans="41:41" s="7" customFormat="1" x14ac:dyDescent="0.15">
      <c r="AO2312" s="31"/>
    </row>
    <row r="2313" spans="41:41" s="7" customFormat="1" x14ac:dyDescent="0.15">
      <c r="AO2313" s="31"/>
    </row>
    <row r="2314" spans="41:41" s="7" customFormat="1" x14ac:dyDescent="0.15">
      <c r="AO2314" s="31"/>
    </row>
    <row r="2315" spans="41:41" s="7" customFormat="1" x14ac:dyDescent="0.15">
      <c r="AO2315" s="31"/>
    </row>
    <row r="2316" spans="41:41" s="7" customFormat="1" x14ac:dyDescent="0.15">
      <c r="AO2316" s="31"/>
    </row>
    <row r="2317" spans="41:41" s="7" customFormat="1" x14ac:dyDescent="0.15">
      <c r="AO2317" s="31"/>
    </row>
    <row r="2318" spans="41:41" s="7" customFormat="1" x14ac:dyDescent="0.15">
      <c r="AO2318" s="31"/>
    </row>
    <row r="2319" spans="41:41" s="7" customFormat="1" x14ac:dyDescent="0.15">
      <c r="AO2319" s="31"/>
    </row>
    <row r="2320" spans="41:41" s="7" customFormat="1" x14ac:dyDescent="0.15">
      <c r="AO2320" s="31"/>
    </row>
    <row r="2321" spans="41:41" s="7" customFormat="1" x14ac:dyDescent="0.15">
      <c r="AO2321" s="31"/>
    </row>
    <row r="2322" spans="41:41" s="7" customFormat="1" x14ac:dyDescent="0.15">
      <c r="AO2322" s="31"/>
    </row>
    <row r="2323" spans="41:41" s="7" customFormat="1" x14ac:dyDescent="0.15">
      <c r="AO2323" s="31"/>
    </row>
    <row r="2324" spans="41:41" s="7" customFormat="1" x14ac:dyDescent="0.15">
      <c r="AO2324" s="31"/>
    </row>
    <row r="2325" spans="41:41" s="7" customFormat="1" x14ac:dyDescent="0.15">
      <c r="AO2325" s="31"/>
    </row>
    <row r="2326" spans="41:41" s="7" customFormat="1" x14ac:dyDescent="0.15">
      <c r="AO2326" s="31"/>
    </row>
    <row r="2327" spans="41:41" s="7" customFormat="1" x14ac:dyDescent="0.15">
      <c r="AO2327" s="31"/>
    </row>
    <row r="2328" spans="41:41" s="7" customFormat="1" x14ac:dyDescent="0.15">
      <c r="AO2328" s="31"/>
    </row>
    <row r="2329" spans="41:41" s="7" customFormat="1" x14ac:dyDescent="0.15">
      <c r="AO2329" s="31"/>
    </row>
    <row r="2330" spans="41:41" s="7" customFormat="1" x14ac:dyDescent="0.15">
      <c r="AO2330" s="31"/>
    </row>
    <row r="2331" spans="41:41" s="7" customFormat="1" x14ac:dyDescent="0.15">
      <c r="AO2331" s="31"/>
    </row>
    <row r="2332" spans="41:41" s="7" customFormat="1" x14ac:dyDescent="0.15">
      <c r="AO2332" s="31"/>
    </row>
    <row r="2333" spans="41:41" s="7" customFormat="1" x14ac:dyDescent="0.15">
      <c r="AO2333" s="31"/>
    </row>
    <row r="2334" spans="41:41" s="7" customFormat="1" x14ac:dyDescent="0.15">
      <c r="AO2334" s="31"/>
    </row>
    <row r="2335" spans="41:41" s="7" customFormat="1" x14ac:dyDescent="0.15">
      <c r="AO2335" s="31"/>
    </row>
    <row r="2336" spans="41:41" s="7" customFormat="1" x14ac:dyDescent="0.15">
      <c r="AO2336" s="31"/>
    </row>
    <row r="2337" spans="41:41" s="7" customFormat="1" x14ac:dyDescent="0.15">
      <c r="AO2337" s="31"/>
    </row>
    <row r="2338" spans="41:41" s="7" customFormat="1" x14ac:dyDescent="0.15">
      <c r="AO2338" s="31"/>
    </row>
    <row r="2339" spans="41:41" s="7" customFormat="1" x14ac:dyDescent="0.15">
      <c r="AO2339" s="31"/>
    </row>
    <row r="2340" spans="41:41" s="7" customFormat="1" x14ac:dyDescent="0.15">
      <c r="AO2340" s="31"/>
    </row>
    <row r="2341" spans="41:41" s="7" customFormat="1" x14ac:dyDescent="0.15">
      <c r="AO2341" s="31"/>
    </row>
    <row r="2342" spans="41:41" s="7" customFormat="1" x14ac:dyDescent="0.15">
      <c r="AO2342" s="31"/>
    </row>
    <row r="2343" spans="41:41" s="7" customFormat="1" x14ac:dyDescent="0.15">
      <c r="AO2343" s="31"/>
    </row>
    <row r="2344" spans="41:41" s="7" customFormat="1" x14ac:dyDescent="0.15">
      <c r="AO2344" s="31"/>
    </row>
    <row r="2345" spans="41:41" s="7" customFormat="1" x14ac:dyDescent="0.15">
      <c r="AO2345" s="31"/>
    </row>
    <row r="2346" spans="41:41" s="7" customFormat="1" x14ac:dyDescent="0.15">
      <c r="AO2346" s="31"/>
    </row>
    <row r="2347" spans="41:41" s="7" customFormat="1" x14ac:dyDescent="0.15">
      <c r="AO2347" s="31"/>
    </row>
    <row r="2348" spans="41:41" s="7" customFormat="1" x14ac:dyDescent="0.15">
      <c r="AO2348" s="31"/>
    </row>
    <row r="2349" spans="41:41" s="7" customFormat="1" x14ac:dyDescent="0.15">
      <c r="AO2349" s="31"/>
    </row>
    <row r="2350" spans="41:41" s="7" customFormat="1" x14ac:dyDescent="0.15">
      <c r="AO2350" s="31"/>
    </row>
    <row r="2351" spans="41:41" s="7" customFormat="1" x14ac:dyDescent="0.15">
      <c r="AO2351" s="31"/>
    </row>
    <row r="2352" spans="41:41" s="7" customFormat="1" x14ac:dyDescent="0.15">
      <c r="AO2352" s="31"/>
    </row>
    <row r="2353" spans="41:41" s="7" customFormat="1" x14ac:dyDescent="0.15">
      <c r="AO2353" s="31"/>
    </row>
    <row r="2354" spans="41:41" s="7" customFormat="1" x14ac:dyDescent="0.15">
      <c r="AO2354" s="31"/>
    </row>
    <row r="2355" spans="41:41" s="7" customFormat="1" x14ac:dyDescent="0.15">
      <c r="AO2355" s="31"/>
    </row>
    <row r="2356" spans="41:41" s="7" customFormat="1" x14ac:dyDescent="0.15">
      <c r="AO2356" s="31"/>
    </row>
    <row r="2357" spans="41:41" s="7" customFormat="1" x14ac:dyDescent="0.15">
      <c r="AO2357" s="31"/>
    </row>
    <row r="2358" spans="41:41" s="7" customFormat="1" x14ac:dyDescent="0.15">
      <c r="AO2358" s="31"/>
    </row>
    <row r="2359" spans="41:41" s="7" customFormat="1" x14ac:dyDescent="0.15">
      <c r="AO2359" s="31"/>
    </row>
    <row r="2360" spans="41:41" s="7" customFormat="1" x14ac:dyDescent="0.15">
      <c r="AO2360" s="31"/>
    </row>
    <row r="2361" spans="41:41" s="7" customFormat="1" x14ac:dyDescent="0.15">
      <c r="AO2361" s="31"/>
    </row>
    <row r="2362" spans="41:41" s="7" customFormat="1" x14ac:dyDescent="0.15">
      <c r="AO2362" s="31"/>
    </row>
    <row r="2363" spans="41:41" s="7" customFormat="1" x14ac:dyDescent="0.15">
      <c r="AO2363" s="31"/>
    </row>
    <row r="2364" spans="41:41" s="7" customFormat="1" x14ac:dyDescent="0.15">
      <c r="AO2364" s="31"/>
    </row>
    <row r="2365" spans="41:41" s="7" customFormat="1" x14ac:dyDescent="0.15">
      <c r="AO2365" s="31"/>
    </row>
    <row r="2366" spans="41:41" s="7" customFormat="1" x14ac:dyDescent="0.15">
      <c r="AO2366" s="31"/>
    </row>
    <row r="2367" spans="41:41" s="7" customFormat="1" x14ac:dyDescent="0.15">
      <c r="AO2367" s="31"/>
    </row>
    <row r="2368" spans="41:41" s="7" customFormat="1" x14ac:dyDescent="0.15">
      <c r="AO2368" s="31"/>
    </row>
    <row r="2369" spans="41:41" s="7" customFormat="1" x14ac:dyDescent="0.15">
      <c r="AO2369" s="31"/>
    </row>
    <row r="2370" spans="41:41" s="7" customFormat="1" x14ac:dyDescent="0.15">
      <c r="AO2370" s="31"/>
    </row>
    <row r="2371" spans="41:41" s="7" customFormat="1" x14ac:dyDescent="0.15">
      <c r="AO2371" s="31"/>
    </row>
    <row r="2372" spans="41:41" s="7" customFormat="1" x14ac:dyDescent="0.15">
      <c r="AO2372" s="31"/>
    </row>
    <row r="2373" spans="41:41" s="7" customFormat="1" x14ac:dyDescent="0.15">
      <c r="AO2373" s="31"/>
    </row>
    <row r="2374" spans="41:41" s="7" customFormat="1" x14ac:dyDescent="0.15">
      <c r="AO2374" s="31"/>
    </row>
    <row r="2375" spans="41:41" s="7" customFormat="1" x14ac:dyDescent="0.15">
      <c r="AO2375" s="31"/>
    </row>
    <row r="2376" spans="41:41" s="7" customFormat="1" x14ac:dyDescent="0.15">
      <c r="AO2376" s="31"/>
    </row>
    <row r="2377" spans="41:41" s="7" customFormat="1" x14ac:dyDescent="0.15">
      <c r="AO2377" s="31"/>
    </row>
    <row r="2378" spans="41:41" s="7" customFormat="1" x14ac:dyDescent="0.15">
      <c r="AO2378" s="31"/>
    </row>
    <row r="2379" spans="41:41" s="7" customFormat="1" x14ac:dyDescent="0.15">
      <c r="AO2379" s="31"/>
    </row>
    <row r="2380" spans="41:41" s="7" customFormat="1" x14ac:dyDescent="0.15">
      <c r="AO2380" s="31"/>
    </row>
    <row r="2381" spans="41:41" s="7" customFormat="1" x14ac:dyDescent="0.15">
      <c r="AO2381" s="31"/>
    </row>
    <row r="2382" spans="41:41" s="7" customFormat="1" x14ac:dyDescent="0.15">
      <c r="AO2382" s="31"/>
    </row>
    <row r="2383" spans="41:41" s="7" customFormat="1" x14ac:dyDescent="0.15">
      <c r="AO2383" s="31"/>
    </row>
    <row r="2384" spans="41:41" s="7" customFormat="1" x14ac:dyDescent="0.15">
      <c r="AO2384" s="31"/>
    </row>
    <row r="2385" spans="41:41" s="7" customFormat="1" x14ac:dyDescent="0.15">
      <c r="AO2385" s="31"/>
    </row>
    <row r="2386" spans="41:41" s="7" customFormat="1" x14ac:dyDescent="0.15">
      <c r="AO2386" s="31"/>
    </row>
    <row r="2387" spans="41:41" s="7" customFormat="1" x14ac:dyDescent="0.15">
      <c r="AO2387" s="31"/>
    </row>
    <row r="2388" spans="41:41" s="7" customFormat="1" x14ac:dyDescent="0.15">
      <c r="AO2388" s="31"/>
    </row>
    <row r="2389" spans="41:41" s="7" customFormat="1" x14ac:dyDescent="0.15">
      <c r="AO2389" s="31"/>
    </row>
    <row r="2390" spans="41:41" s="7" customFormat="1" x14ac:dyDescent="0.15">
      <c r="AO2390" s="31"/>
    </row>
    <row r="2391" spans="41:41" s="7" customFormat="1" x14ac:dyDescent="0.15">
      <c r="AO2391" s="31"/>
    </row>
    <row r="2392" spans="41:41" s="7" customFormat="1" x14ac:dyDescent="0.15">
      <c r="AO2392" s="31"/>
    </row>
    <row r="2393" spans="41:41" s="7" customFormat="1" x14ac:dyDescent="0.15">
      <c r="AO2393" s="31"/>
    </row>
    <row r="2394" spans="41:41" s="7" customFormat="1" x14ac:dyDescent="0.15">
      <c r="AO2394" s="31"/>
    </row>
    <row r="2395" spans="41:41" s="7" customFormat="1" x14ac:dyDescent="0.15">
      <c r="AO2395" s="31"/>
    </row>
    <row r="2396" spans="41:41" s="7" customFormat="1" x14ac:dyDescent="0.15">
      <c r="AO2396" s="31"/>
    </row>
    <row r="2397" spans="41:41" s="7" customFormat="1" x14ac:dyDescent="0.15">
      <c r="AO2397" s="31"/>
    </row>
    <row r="2398" spans="41:41" s="7" customFormat="1" x14ac:dyDescent="0.15">
      <c r="AO2398" s="31"/>
    </row>
    <row r="2399" spans="41:41" s="7" customFormat="1" x14ac:dyDescent="0.15">
      <c r="AO2399" s="31"/>
    </row>
    <row r="2400" spans="41:41" s="7" customFormat="1" x14ac:dyDescent="0.15">
      <c r="AO2400" s="31"/>
    </row>
    <row r="2401" spans="41:41" s="7" customFormat="1" x14ac:dyDescent="0.15">
      <c r="AO2401" s="31"/>
    </row>
    <row r="2402" spans="41:41" s="7" customFormat="1" x14ac:dyDescent="0.15">
      <c r="AO2402" s="31"/>
    </row>
    <row r="2403" spans="41:41" s="7" customFormat="1" x14ac:dyDescent="0.15">
      <c r="AO2403" s="31"/>
    </row>
    <row r="2404" spans="41:41" s="7" customFormat="1" x14ac:dyDescent="0.15">
      <c r="AO2404" s="31"/>
    </row>
    <row r="2405" spans="41:41" s="7" customFormat="1" x14ac:dyDescent="0.15">
      <c r="AO2405" s="31"/>
    </row>
    <row r="2406" spans="41:41" s="7" customFormat="1" x14ac:dyDescent="0.15">
      <c r="AO2406" s="31"/>
    </row>
    <row r="2407" spans="41:41" s="7" customFormat="1" x14ac:dyDescent="0.15">
      <c r="AO2407" s="31"/>
    </row>
    <row r="2408" spans="41:41" s="7" customFormat="1" x14ac:dyDescent="0.15">
      <c r="AO2408" s="31"/>
    </row>
    <row r="2409" spans="41:41" s="7" customFormat="1" x14ac:dyDescent="0.15">
      <c r="AO2409" s="31"/>
    </row>
    <row r="2410" spans="41:41" s="7" customFormat="1" x14ac:dyDescent="0.15">
      <c r="AO2410" s="31"/>
    </row>
    <row r="2411" spans="41:41" s="7" customFormat="1" x14ac:dyDescent="0.15">
      <c r="AO2411" s="31"/>
    </row>
    <row r="2412" spans="41:41" s="7" customFormat="1" x14ac:dyDescent="0.15">
      <c r="AO2412" s="31"/>
    </row>
    <row r="2413" spans="41:41" s="7" customFormat="1" x14ac:dyDescent="0.15">
      <c r="AO2413" s="31"/>
    </row>
    <row r="2414" spans="41:41" s="7" customFormat="1" x14ac:dyDescent="0.15">
      <c r="AO2414" s="31"/>
    </row>
    <row r="2415" spans="41:41" s="7" customFormat="1" x14ac:dyDescent="0.15">
      <c r="AO2415" s="31"/>
    </row>
    <row r="2416" spans="41:41" s="7" customFormat="1" x14ac:dyDescent="0.15">
      <c r="AO2416" s="31"/>
    </row>
    <row r="2417" spans="41:41" s="7" customFormat="1" x14ac:dyDescent="0.15">
      <c r="AO2417" s="31"/>
    </row>
    <row r="2418" spans="41:41" s="7" customFormat="1" x14ac:dyDescent="0.15">
      <c r="AO2418" s="31"/>
    </row>
    <row r="2419" spans="41:41" s="7" customFormat="1" x14ac:dyDescent="0.15">
      <c r="AO2419" s="31"/>
    </row>
    <row r="2420" spans="41:41" s="7" customFormat="1" x14ac:dyDescent="0.15">
      <c r="AO2420" s="31"/>
    </row>
    <row r="2421" spans="41:41" s="7" customFormat="1" x14ac:dyDescent="0.15">
      <c r="AO2421" s="31"/>
    </row>
    <row r="2422" spans="41:41" s="7" customFormat="1" x14ac:dyDescent="0.15">
      <c r="AO2422" s="31"/>
    </row>
    <row r="2423" spans="41:41" s="7" customFormat="1" x14ac:dyDescent="0.15">
      <c r="AO2423" s="31"/>
    </row>
    <row r="2424" spans="41:41" s="7" customFormat="1" x14ac:dyDescent="0.15">
      <c r="AO2424" s="31"/>
    </row>
    <row r="2425" spans="41:41" s="7" customFormat="1" x14ac:dyDescent="0.15">
      <c r="AO2425" s="31"/>
    </row>
    <row r="2426" spans="41:41" s="7" customFormat="1" x14ac:dyDescent="0.15">
      <c r="AO2426" s="31"/>
    </row>
    <row r="2427" spans="41:41" s="7" customFormat="1" x14ac:dyDescent="0.15">
      <c r="AO2427" s="31"/>
    </row>
    <row r="2428" spans="41:41" s="7" customFormat="1" x14ac:dyDescent="0.15">
      <c r="AO2428" s="31"/>
    </row>
    <row r="2429" spans="41:41" s="7" customFormat="1" x14ac:dyDescent="0.15">
      <c r="AO2429" s="31"/>
    </row>
    <row r="2430" spans="41:41" s="7" customFormat="1" x14ac:dyDescent="0.15">
      <c r="AO2430" s="31"/>
    </row>
    <row r="2431" spans="41:41" s="7" customFormat="1" x14ac:dyDescent="0.15">
      <c r="AO2431" s="31"/>
    </row>
    <row r="2432" spans="41:41" s="7" customFormat="1" x14ac:dyDescent="0.15">
      <c r="AO2432" s="31"/>
    </row>
    <row r="2433" spans="41:41" s="7" customFormat="1" x14ac:dyDescent="0.15">
      <c r="AO2433" s="31"/>
    </row>
    <row r="2434" spans="41:41" s="7" customFormat="1" x14ac:dyDescent="0.15">
      <c r="AO2434" s="31"/>
    </row>
    <row r="2435" spans="41:41" s="7" customFormat="1" x14ac:dyDescent="0.15">
      <c r="AO2435" s="31"/>
    </row>
    <row r="2436" spans="41:41" s="7" customFormat="1" x14ac:dyDescent="0.15">
      <c r="AO2436" s="31"/>
    </row>
    <row r="2437" spans="41:41" s="7" customFormat="1" x14ac:dyDescent="0.15">
      <c r="AO2437" s="31"/>
    </row>
    <row r="2438" spans="41:41" s="7" customFormat="1" x14ac:dyDescent="0.15">
      <c r="AO2438" s="31"/>
    </row>
    <row r="2439" spans="41:41" s="7" customFormat="1" x14ac:dyDescent="0.15">
      <c r="AO2439" s="31"/>
    </row>
    <row r="2440" spans="41:41" s="7" customFormat="1" x14ac:dyDescent="0.15">
      <c r="AO2440" s="31"/>
    </row>
    <row r="2441" spans="41:41" s="7" customFormat="1" x14ac:dyDescent="0.15">
      <c r="AO2441" s="31"/>
    </row>
    <row r="2442" spans="41:41" s="7" customFormat="1" x14ac:dyDescent="0.15">
      <c r="AO2442" s="31"/>
    </row>
    <row r="2443" spans="41:41" s="7" customFormat="1" x14ac:dyDescent="0.15">
      <c r="AO2443" s="31"/>
    </row>
    <row r="2444" spans="41:41" s="7" customFormat="1" x14ac:dyDescent="0.15">
      <c r="AO2444" s="31"/>
    </row>
    <row r="2445" spans="41:41" s="7" customFormat="1" x14ac:dyDescent="0.15">
      <c r="AO2445" s="31"/>
    </row>
    <row r="2446" spans="41:41" s="7" customFormat="1" x14ac:dyDescent="0.15">
      <c r="AO2446" s="31"/>
    </row>
    <row r="2447" spans="41:41" s="7" customFormat="1" x14ac:dyDescent="0.15">
      <c r="AO2447" s="31"/>
    </row>
    <row r="2448" spans="41:41" s="7" customFormat="1" x14ac:dyDescent="0.15">
      <c r="AO2448" s="31"/>
    </row>
    <row r="2449" spans="41:41" s="7" customFormat="1" x14ac:dyDescent="0.15">
      <c r="AO2449" s="31"/>
    </row>
    <row r="2450" spans="41:41" s="7" customFormat="1" x14ac:dyDescent="0.15">
      <c r="AO2450" s="31"/>
    </row>
    <row r="2451" spans="41:41" s="7" customFormat="1" x14ac:dyDescent="0.15">
      <c r="AO2451" s="31"/>
    </row>
    <row r="2452" spans="41:41" s="7" customFormat="1" x14ac:dyDescent="0.15">
      <c r="AO2452" s="31"/>
    </row>
    <row r="2453" spans="41:41" s="7" customFormat="1" x14ac:dyDescent="0.15">
      <c r="AO2453" s="31"/>
    </row>
    <row r="2454" spans="41:41" s="7" customFormat="1" x14ac:dyDescent="0.15">
      <c r="AO2454" s="31"/>
    </row>
    <row r="2455" spans="41:41" s="7" customFormat="1" x14ac:dyDescent="0.15">
      <c r="AO2455" s="31"/>
    </row>
    <row r="2456" spans="41:41" s="7" customFormat="1" x14ac:dyDescent="0.15">
      <c r="AO2456" s="31"/>
    </row>
    <row r="2457" spans="41:41" s="7" customFormat="1" x14ac:dyDescent="0.15">
      <c r="AO2457" s="31"/>
    </row>
    <row r="2458" spans="41:41" s="7" customFormat="1" x14ac:dyDescent="0.15">
      <c r="AO2458" s="31"/>
    </row>
    <row r="2459" spans="41:41" s="7" customFormat="1" x14ac:dyDescent="0.15">
      <c r="AO2459" s="31"/>
    </row>
    <row r="2460" spans="41:41" s="7" customFormat="1" x14ac:dyDescent="0.15">
      <c r="AO2460" s="31"/>
    </row>
    <row r="2461" spans="41:41" s="7" customFormat="1" x14ac:dyDescent="0.15">
      <c r="AO2461" s="31"/>
    </row>
    <row r="2462" spans="41:41" s="7" customFormat="1" x14ac:dyDescent="0.15">
      <c r="AO2462" s="31"/>
    </row>
    <row r="2463" spans="41:41" s="7" customFormat="1" x14ac:dyDescent="0.15">
      <c r="AO2463" s="31"/>
    </row>
    <row r="2464" spans="41:41" s="7" customFormat="1" x14ac:dyDescent="0.15">
      <c r="AO2464" s="31"/>
    </row>
    <row r="2465" spans="41:41" s="7" customFormat="1" x14ac:dyDescent="0.15">
      <c r="AO2465" s="31"/>
    </row>
    <row r="2466" spans="41:41" s="7" customFormat="1" x14ac:dyDescent="0.15">
      <c r="AO2466" s="31"/>
    </row>
    <row r="2467" spans="41:41" s="7" customFormat="1" x14ac:dyDescent="0.15">
      <c r="AO2467" s="31"/>
    </row>
    <row r="2468" spans="41:41" s="7" customFormat="1" x14ac:dyDescent="0.15">
      <c r="AO2468" s="31"/>
    </row>
    <row r="2469" spans="41:41" s="7" customFormat="1" x14ac:dyDescent="0.15">
      <c r="AO2469" s="31"/>
    </row>
    <row r="2470" spans="41:41" s="7" customFormat="1" x14ac:dyDescent="0.15">
      <c r="AO2470" s="31"/>
    </row>
    <row r="2471" spans="41:41" s="7" customFormat="1" x14ac:dyDescent="0.15">
      <c r="AO2471" s="31"/>
    </row>
    <row r="2472" spans="41:41" s="7" customFormat="1" x14ac:dyDescent="0.15">
      <c r="AO2472" s="31"/>
    </row>
    <row r="2473" spans="41:41" s="7" customFormat="1" x14ac:dyDescent="0.15">
      <c r="AO2473" s="31"/>
    </row>
    <row r="2474" spans="41:41" s="7" customFormat="1" x14ac:dyDescent="0.15">
      <c r="AO2474" s="31"/>
    </row>
    <row r="2475" spans="41:41" s="7" customFormat="1" x14ac:dyDescent="0.15">
      <c r="AO2475" s="31"/>
    </row>
    <row r="2476" spans="41:41" s="7" customFormat="1" x14ac:dyDescent="0.15">
      <c r="AO2476" s="31"/>
    </row>
    <row r="2477" spans="41:41" s="7" customFormat="1" x14ac:dyDescent="0.15">
      <c r="AO2477" s="31"/>
    </row>
    <row r="2478" spans="41:41" s="7" customFormat="1" x14ac:dyDescent="0.15">
      <c r="AO2478" s="31"/>
    </row>
    <row r="2479" spans="41:41" s="7" customFormat="1" x14ac:dyDescent="0.15">
      <c r="AO2479" s="31"/>
    </row>
    <row r="2480" spans="41:41" s="7" customFormat="1" x14ac:dyDescent="0.15">
      <c r="AO2480" s="31"/>
    </row>
    <row r="2481" spans="41:41" s="7" customFormat="1" x14ac:dyDescent="0.15">
      <c r="AO2481" s="31"/>
    </row>
    <row r="2482" spans="41:41" s="7" customFormat="1" x14ac:dyDescent="0.15">
      <c r="AO2482" s="31"/>
    </row>
    <row r="2483" spans="41:41" s="7" customFormat="1" x14ac:dyDescent="0.15">
      <c r="AO2483" s="31"/>
    </row>
    <row r="2484" spans="41:41" s="7" customFormat="1" x14ac:dyDescent="0.15">
      <c r="AO2484" s="31"/>
    </row>
    <row r="2485" spans="41:41" s="7" customFormat="1" x14ac:dyDescent="0.15">
      <c r="AO2485" s="31"/>
    </row>
    <row r="2486" spans="41:41" s="7" customFormat="1" x14ac:dyDescent="0.15">
      <c r="AO2486" s="31"/>
    </row>
    <row r="2487" spans="41:41" s="7" customFormat="1" x14ac:dyDescent="0.15">
      <c r="AO2487" s="31"/>
    </row>
    <row r="2488" spans="41:41" s="7" customFormat="1" x14ac:dyDescent="0.15">
      <c r="AO2488" s="31"/>
    </row>
    <row r="2489" spans="41:41" s="7" customFormat="1" x14ac:dyDescent="0.15">
      <c r="AO2489" s="31"/>
    </row>
    <row r="2490" spans="41:41" s="7" customFormat="1" x14ac:dyDescent="0.15">
      <c r="AO2490" s="31"/>
    </row>
    <row r="2491" spans="41:41" s="7" customFormat="1" x14ac:dyDescent="0.15">
      <c r="AO2491" s="31"/>
    </row>
    <row r="2492" spans="41:41" s="7" customFormat="1" x14ac:dyDescent="0.15">
      <c r="AO2492" s="31"/>
    </row>
    <row r="2493" spans="41:41" s="7" customFormat="1" x14ac:dyDescent="0.15">
      <c r="AO2493" s="31"/>
    </row>
    <row r="2494" spans="41:41" s="7" customFormat="1" x14ac:dyDescent="0.15">
      <c r="AO2494" s="31"/>
    </row>
    <row r="2495" spans="41:41" s="7" customFormat="1" x14ac:dyDescent="0.15">
      <c r="AO2495" s="31"/>
    </row>
    <row r="2496" spans="41:41" s="7" customFormat="1" x14ac:dyDescent="0.15">
      <c r="AO2496" s="31"/>
    </row>
    <row r="2497" spans="41:41" s="7" customFormat="1" x14ac:dyDescent="0.15">
      <c r="AO2497" s="31"/>
    </row>
    <row r="2498" spans="41:41" s="7" customFormat="1" x14ac:dyDescent="0.15">
      <c r="AO2498" s="31"/>
    </row>
    <row r="2499" spans="41:41" s="7" customFormat="1" x14ac:dyDescent="0.15">
      <c r="AO2499" s="31"/>
    </row>
    <row r="2500" spans="41:41" s="7" customFormat="1" x14ac:dyDescent="0.15">
      <c r="AO2500" s="31"/>
    </row>
    <row r="2501" spans="41:41" s="7" customFormat="1" x14ac:dyDescent="0.15">
      <c r="AO2501" s="31"/>
    </row>
    <row r="2502" spans="41:41" s="7" customFormat="1" x14ac:dyDescent="0.15">
      <c r="AO2502" s="31"/>
    </row>
    <row r="2503" spans="41:41" s="7" customFormat="1" x14ac:dyDescent="0.15">
      <c r="AO2503" s="31"/>
    </row>
    <row r="2504" spans="41:41" s="7" customFormat="1" x14ac:dyDescent="0.15">
      <c r="AO2504" s="31"/>
    </row>
    <row r="2505" spans="41:41" s="7" customFormat="1" x14ac:dyDescent="0.15">
      <c r="AO2505" s="31"/>
    </row>
    <row r="2506" spans="41:41" s="7" customFormat="1" x14ac:dyDescent="0.15">
      <c r="AO2506" s="31"/>
    </row>
    <row r="2507" spans="41:41" s="7" customFormat="1" x14ac:dyDescent="0.15">
      <c r="AO2507" s="31"/>
    </row>
    <row r="2508" spans="41:41" s="7" customFormat="1" x14ac:dyDescent="0.15">
      <c r="AO2508" s="31"/>
    </row>
    <row r="2509" spans="41:41" s="7" customFormat="1" x14ac:dyDescent="0.15">
      <c r="AO2509" s="31"/>
    </row>
    <row r="2510" spans="41:41" s="7" customFormat="1" x14ac:dyDescent="0.15">
      <c r="AO2510" s="31"/>
    </row>
    <row r="2511" spans="41:41" s="7" customFormat="1" x14ac:dyDescent="0.15">
      <c r="AO2511" s="31"/>
    </row>
    <row r="2512" spans="41:41" s="7" customFormat="1" x14ac:dyDescent="0.15">
      <c r="AO2512" s="31"/>
    </row>
    <row r="2513" spans="41:41" s="7" customFormat="1" x14ac:dyDescent="0.15">
      <c r="AO2513" s="31"/>
    </row>
    <row r="2514" spans="41:41" s="7" customFormat="1" x14ac:dyDescent="0.15">
      <c r="AO2514" s="31"/>
    </row>
    <row r="2515" spans="41:41" s="7" customFormat="1" x14ac:dyDescent="0.15">
      <c r="AO2515" s="31"/>
    </row>
    <row r="2516" spans="41:41" s="7" customFormat="1" x14ac:dyDescent="0.15">
      <c r="AO2516" s="31"/>
    </row>
    <row r="2517" spans="41:41" s="7" customFormat="1" x14ac:dyDescent="0.15">
      <c r="AO2517" s="31"/>
    </row>
    <row r="2518" spans="41:41" s="7" customFormat="1" x14ac:dyDescent="0.15">
      <c r="AO2518" s="31"/>
    </row>
    <row r="2519" spans="41:41" s="7" customFormat="1" x14ac:dyDescent="0.15">
      <c r="AO2519" s="31"/>
    </row>
    <row r="2520" spans="41:41" s="7" customFormat="1" x14ac:dyDescent="0.15">
      <c r="AO2520" s="31"/>
    </row>
    <row r="2521" spans="41:41" s="7" customFormat="1" x14ac:dyDescent="0.15">
      <c r="AO2521" s="31"/>
    </row>
    <row r="2522" spans="41:41" s="7" customFormat="1" x14ac:dyDescent="0.15">
      <c r="AO2522" s="31"/>
    </row>
    <row r="2523" spans="41:41" s="7" customFormat="1" x14ac:dyDescent="0.15">
      <c r="AO2523" s="31"/>
    </row>
    <row r="2524" spans="41:41" s="7" customFormat="1" x14ac:dyDescent="0.15">
      <c r="AO2524" s="31"/>
    </row>
    <row r="2525" spans="41:41" s="7" customFormat="1" x14ac:dyDescent="0.15">
      <c r="AO2525" s="31"/>
    </row>
    <row r="2526" spans="41:41" s="7" customFormat="1" x14ac:dyDescent="0.15">
      <c r="AO2526" s="31"/>
    </row>
    <row r="2527" spans="41:41" s="7" customFormat="1" x14ac:dyDescent="0.15">
      <c r="AO2527" s="31"/>
    </row>
    <row r="2528" spans="41:41" s="7" customFormat="1" x14ac:dyDescent="0.15">
      <c r="AO2528" s="31"/>
    </row>
    <row r="2529" spans="41:41" s="7" customFormat="1" x14ac:dyDescent="0.15">
      <c r="AO2529" s="31"/>
    </row>
    <row r="2530" spans="41:41" s="7" customFormat="1" x14ac:dyDescent="0.15">
      <c r="AO2530" s="31"/>
    </row>
    <row r="2531" spans="41:41" s="7" customFormat="1" x14ac:dyDescent="0.15">
      <c r="AO2531" s="31"/>
    </row>
    <row r="2532" spans="41:41" s="7" customFormat="1" x14ac:dyDescent="0.15">
      <c r="AO2532" s="31"/>
    </row>
    <row r="2533" spans="41:41" s="7" customFormat="1" x14ac:dyDescent="0.15">
      <c r="AO2533" s="31"/>
    </row>
    <row r="2534" spans="41:41" s="7" customFormat="1" x14ac:dyDescent="0.15">
      <c r="AO2534" s="31"/>
    </row>
    <row r="2535" spans="41:41" s="7" customFormat="1" x14ac:dyDescent="0.15">
      <c r="AO2535" s="31"/>
    </row>
    <row r="2536" spans="41:41" s="7" customFormat="1" x14ac:dyDescent="0.15">
      <c r="AO2536" s="31"/>
    </row>
    <row r="2537" spans="41:41" s="7" customFormat="1" x14ac:dyDescent="0.15">
      <c r="AO2537" s="31"/>
    </row>
    <row r="2538" spans="41:41" s="7" customFormat="1" x14ac:dyDescent="0.15">
      <c r="AO2538" s="31"/>
    </row>
    <row r="2539" spans="41:41" s="7" customFormat="1" x14ac:dyDescent="0.15">
      <c r="AO2539" s="31"/>
    </row>
    <row r="2540" spans="41:41" s="7" customFormat="1" x14ac:dyDescent="0.15">
      <c r="AO2540" s="31"/>
    </row>
    <row r="2541" spans="41:41" s="7" customFormat="1" x14ac:dyDescent="0.15">
      <c r="AO2541" s="31"/>
    </row>
    <row r="2542" spans="41:41" s="7" customFormat="1" x14ac:dyDescent="0.15">
      <c r="AO2542" s="31"/>
    </row>
    <row r="2543" spans="41:41" s="7" customFormat="1" x14ac:dyDescent="0.15">
      <c r="AO2543" s="31"/>
    </row>
    <row r="2544" spans="41:41" s="7" customFormat="1" x14ac:dyDescent="0.15">
      <c r="AO2544" s="31"/>
    </row>
    <row r="2545" spans="41:41" s="7" customFormat="1" x14ac:dyDescent="0.15">
      <c r="AO2545" s="31"/>
    </row>
    <row r="2546" spans="41:41" s="7" customFormat="1" x14ac:dyDescent="0.15">
      <c r="AO2546" s="31"/>
    </row>
    <row r="2547" spans="41:41" s="7" customFormat="1" x14ac:dyDescent="0.15">
      <c r="AO2547" s="31"/>
    </row>
    <row r="2548" spans="41:41" s="7" customFormat="1" x14ac:dyDescent="0.15">
      <c r="AO2548" s="31"/>
    </row>
    <row r="2549" spans="41:41" s="7" customFormat="1" x14ac:dyDescent="0.15">
      <c r="AO2549" s="31"/>
    </row>
    <row r="2550" spans="41:41" s="7" customFormat="1" x14ac:dyDescent="0.15">
      <c r="AO2550" s="31"/>
    </row>
    <row r="2551" spans="41:41" s="7" customFormat="1" x14ac:dyDescent="0.15">
      <c r="AO2551" s="31"/>
    </row>
    <row r="2552" spans="41:41" s="7" customFormat="1" x14ac:dyDescent="0.15">
      <c r="AO2552" s="31"/>
    </row>
    <row r="2553" spans="41:41" s="7" customFormat="1" x14ac:dyDescent="0.15">
      <c r="AO2553" s="31"/>
    </row>
    <row r="2554" spans="41:41" s="7" customFormat="1" x14ac:dyDescent="0.15">
      <c r="AO2554" s="31"/>
    </row>
    <row r="2555" spans="41:41" s="7" customFormat="1" x14ac:dyDescent="0.15">
      <c r="AO2555" s="31"/>
    </row>
    <row r="2556" spans="41:41" s="7" customFormat="1" x14ac:dyDescent="0.15">
      <c r="AO2556" s="31"/>
    </row>
    <row r="2557" spans="41:41" s="7" customFormat="1" x14ac:dyDescent="0.15">
      <c r="AO2557" s="31"/>
    </row>
    <row r="2558" spans="41:41" s="7" customFormat="1" x14ac:dyDescent="0.15">
      <c r="AO2558" s="31"/>
    </row>
    <row r="2559" spans="41:41" s="7" customFormat="1" x14ac:dyDescent="0.15">
      <c r="AO2559" s="31"/>
    </row>
    <row r="2560" spans="41:41" s="7" customFormat="1" x14ac:dyDescent="0.15">
      <c r="AO2560" s="31"/>
    </row>
    <row r="2561" spans="41:41" s="7" customFormat="1" x14ac:dyDescent="0.15">
      <c r="AO2561" s="31"/>
    </row>
    <row r="2562" spans="41:41" s="7" customFormat="1" x14ac:dyDescent="0.15">
      <c r="AO2562" s="31"/>
    </row>
    <row r="2563" spans="41:41" s="7" customFormat="1" x14ac:dyDescent="0.15">
      <c r="AO2563" s="31"/>
    </row>
    <row r="2564" spans="41:41" s="7" customFormat="1" x14ac:dyDescent="0.15">
      <c r="AO2564" s="31"/>
    </row>
    <row r="2565" spans="41:41" s="7" customFormat="1" x14ac:dyDescent="0.15">
      <c r="AO2565" s="31"/>
    </row>
    <row r="2566" spans="41:41" s="7" customFormat="1" x14ac:dyDescent="0.15">
      <c r="AO2566" s="31"/>
    </row>
    <row r="2567" spans="41:41" s="7" customFormat="1" x14ac:dyDescent="0.15">
      <c r="AO2567" s="31"/>
    </row>
    <row r="2568" spans="41:41" s="7" customFormat="1" x14ac:dyDescent="0.15">
      <c r="AO2568" s="31"/>
    </row>
    <row r="2569" spans="41:41" s="7" customFormat="1" x14ac:dyDescent="0.15">
      <c r="AO2569" s="31"/>
    </row>
    <row r="2570" spans="41:41" s="7" customFormat="1" x14ac:dyDescent="0.15">
      <c r="AO2570" s="31"/>
    </row>
    <row r="2571" spans="41:41" s="7" customFormat="1" x14ac:dyDescent="0.15">
      <c r="AO2571" s="31"/>
    </row>
    <row r="2572" spans="41:41" s="7" customFormat="1" x14ac:dyDescent="0.15">
      <c r="AO2572" s="31"/>
    </row>
    <row r="2573" spans="41:41" s="7" customFormat="1" x14ac:dyDescent="0.15">
      <c r="AO2573" s="31"/>
    </row>
    <row r="2574" spans="41:41" s="7" customFormat="1" x14ac:dyDescent="0.15">
      <c r="AO2574" s="31"/>
    </row>
    <row r="2575" spans="41:41" s="7" customFormat="1" x14ac:dyDescent="0.15">
      <c r="AO2575" s="31"/>
    </row>
    <row r="2576" spans="41:41" s="7" customFormat="1" x14ac:dyDescent="0.15">
      <c r="AO2576" s="31"/>
    </row>
    <row r="2577" spans="41:41" s="7" customFormat="1" x14ac:dyDescent="0.15">
      <c r="AO2577" s="31"/>
    </row>
    <row r="2578" spans="41:41" s="7" customFormat="1" x14ac:dyDescent="0.15">
      <c r="AO2578" s="31"/>
    </row>
    <row r="2579" spans="41:41" s="7" customFormat="1" x14ac:dyDescent="0.15">
      <c r="AO2579" s="31"/>
    </row>
    <row r="2580" spans="41:41" s="7" customFormat="1" x14ac:dyDescent="0.15">
      <c r="AO2580" s="31"/>
    </row>
    <row r="2581" spans="41:41" s="7" customFormat="1" x14ac:dyDescent="0.15">
      <c r="AO2581" s="31"/>
    </row>
    <row r="2582" spans="41:41" s="7" customFormat="1" x14ac:dyDescent="0.15">
      <c r="AO2582" s="31"/>
    </row>
    <row r="2583" spans="41:41" s="7" customFormat="1" x14ac:dyDescent="0.15">
      <c r="AO2583" s="31"/>
    </row>
    <row r="2584" spans="41:41" s="7" customFormat="1" x14ac:dyDescent="0.15">
      <c r="AO2584" s="31"/>
    </row>
    <row r="2585" spans="41:41" s="7" customFormat="1" x14ac:dyDescent="0.15">
      <c r="AO2585" s="31"/>
    </row>
    <row r="2586" spans="41:41" s="7" customFormat="1" x14ac:dyDescent="0.15">
      <c r="AO2586" s="31"/>
    </row>
    <row r="2587" spans="41:41" s="7" customFormat="1" x14ac:dyDescent="0.15">
      <c r="AO2587" s="31"/>
    </row>
    <row r="2588" spans="41:41" s="7" customFormat="1" x14ac:dyDescent="0.15">
      <c r="AO2588" s="31"/>
    </row>
    <row r="2589" spans="41:41" s="7" customFormat="1" x14ac:dyDescent="0.15">
      <c r="AO2589" s="31"/>
    </row>
    <row r="2590" spans="41:41" s="7" customFormat="1" x14ac:dyDescent="0.15">
      <c r="AO2590" s="31"/>
    </row>
    <row r="2591" spans="41:41" s="7" customFormat="1" x14ac:dyDescent="0.15">
      <c r="AO2591" s="31"/>
    </row>
    <row r="2592" spans="41:41" s="7" customFormat="1" x14ac:dyDescent="0.15">
      <c r="AO2592" s="31"/>
    </row>
    <row r="2593" spans="41:41" s="7" customFormat="1" x14ac:dyDescent="0.15">
      <c r="AO2593" s="31"/>
    </row>
    <row r="2594" spans="41:41" s="7" customFormat="1" x14ac:dyDescent="0.15">
      <c r="AO2594" s="31"/>
    </row>
    <row r="2595" spans="41:41" s="7" customFormat="1" x14ac:dyDescent="0.15">
      <c r="AO2595" s="31"/>
    </row>
    <row r="2596" spans="41:41" s="7" customFormat="1" x14ac:dyDescent="0.15">
      <c r="AO2596" s="31"/>
    </row>
    <row r="2597" spans="41:41" s="7" customFormat="1" x14ac:dyDescent="0.15">
      <c r="AO2597" s="31"/>
    </row>
    <row r="2598" spans="41:41" s="7" customFormat="1" x14ac:dyDescent="0.15">
      <c r="AO2598" s="31"/>
    </row>
    <row r="2599" spans="41:41" s="7" customFormat="1" x14ac:dyDescent="0.15">
      <c r="AO2599" s="31"/>
    </row>
    <row r="2600" spans="41:41" s="7" customFormat="1" x14ac:dyDescent="0.15">
      <c r="AO2600" s="31"/>
    </row>
    <row r="2601" spans="41:41" s="7" customFormat="1" x14ac:dyDescent="0.15">
      <c r="AO2601" s="31"/>
    </row>
    <row r="2602" spans="41:41" s="7" customFormat="1" x14ac:dyDescent="0.15">
      <c r="AO2602" s="31"/>
    </row>
    <row r="2603" spans="41:41" s="7" customFormat="1" x14ac:dyDescent="0.15">
      <c r="AO2603" s="31"/>
    </row>
    <row r="2604" spans="41:41" s="7" customFormat="1" x14ac:dyDescent="0.15">
      <c r="AO2604" s="31"/>
    </row>
    <row r="2605" spans="41:41" s="7" customFormat="1" x14ac:dyDescent="0.15">
      <c r="AO2605" s="31"/>
    </row>
    <row r="2606" spans="41:41" s="7" customFormat="1" x14ac:dyDescent="0.15">
      <c r="AO2606" s="31"/>
    </row>
    <row r="2607" spans="41:41" s="7" customFormat="1" x14ac:dyDescent="0.15">
      <c r="AO2607" s="31"/>
    </row>
    <row r="2608" spans="41:41" s="7" customFormat="1" x14ac:dyDescent="0.15">
      <c r="AO2608" s="31"/>
    </row>
    <row r="2609" spans="41:41" s="7" customFormat="1" x14ac:dyDescent="0.15">
      <c r="AO2609" s="31"/>
    </row>
    <row r="2610" spans="41:41" s="7" customFormat="1" x14ac:dyDescent="0.15">
      <c r="AO2610" s="31"/>
    </row>
    <row r="2611" spans="41:41" s="7" customFormat="1" x14ac:dyDescent="0.15">
      <c r="AO2611" s="31"/>
    </row>
    <row r="2612" spans="41:41" s="7" customFormat="1" x14ac:dyDescent="0.15">
      <c r="AO2612" s="31"/>
    </row>
    <row r="2613" spans="41:41" s="7" customFormat="1" x14ac:dyDescent="0.15">
      <c r="AO2613" s="31"/>
    </row>
    <row r="2614" spans="41:41" s="7" customFormat="1" x14ac:dyDescent="0.15">
      <c r="AO2614" s="31"/>
    </row>
    <row r="2615" spans="41:41" s="7" customFormat="1" x14ac:dyDescent="0.15">
      <c r="AO2615" s="31"/>
    </row>
    <row r="2616" spans="41:41" s="7" customFormat="1" x14ac:dyDescent="0.15">
      <c r="AO2616" s="31"/>
    </row>
    <row r="2617" spans="41:41" s="7" customFormat="1" x14ac:dyDescent="0.15">
      <c r="AO2617" s="31"/>
    </row>
    <row r="2618" spans="41:41" s="7" customFormat="1" x14ac:dyDescent="0.15">
      <c r="AO2618" s="31"/>
    </row>
    <row r="2619" spans="41:41" s="7" customFormat="1" x14ac:dyDescent="0.15">
      <c r="AO2619" s="31"/>
    </row>
    <row r="2620" spans="41:41" s="7" customFormat="1" x14ac:dyDescent="0.15">
      <c r="AO2620" s="31"/>
    </row>
    <row r="2621" spans="41:41" s="7" customFormat="1" x14ac:dyDescent="0.15">
      <c r="AO2621" s="31"/>
    </row>
    <row r="2622" spans="41:41" s="7" customFormat="1" x14ac:dyDescent="0.15">
      <c r="AO2622" s="31"/>
    </row>
    <row r="2623" spans="41:41" s="7" customFormat="1" x14ac:dyDescent="0.15">
      <c r="AO2623" s="31"/>
    </row>
    <row r="2624" spans="41:41" s="7" customFormat="1" x14ac:dyDescent="0.15">
      <c r="AO2624" s="31"/>
    </row>
    <row r="2625" spans="41:41" s="7" customFormat="1" x14ac:dyDescent="0.15">
      <c r="AO2625" s="31"/>
    </row>
    <row r="2626" spans="41:41" s="7" customFormat="1" x14ac:dyDescent="0.15">
      <c r="AO2626" s="31"/>
    </row>
    <row r="2627" spans="41:41" s="7" customFormat="1" x14ac:dyDescent="0.15">
      <c r="AO2627" s="31"/>
    </row>
    <row r="2628" spans="41:41" s="7" customFormat="1" x14ac:dyDescent="0.15">
      <c r="AO2628" s="31"/>
    </row>
    <row r="2629" spans="41:41" s="7" customFormat="1" x14ac:dyDescent="0.15">
      <c r="AO2629" s="31"/>
    </row>
    <row r="2630" spans="41:41" s="7" customFormat="1" x14ac:dyDescent="0.15">
      <c r="AO2630" s="31"/>
    </row>
    <row r="2631" spans="41:41" s="7" customFormat="1" x14ac:dyDescent="0.15">
      <c r="AO2631" s="31"/>
    </row>
    <row r="2632" spans="41:41" s="7" customFormat="1" x14ac:dyDescent="0.15">
      <c r="AO2632" s="31"/>
    </row>
    <row r="2633" spans="41:41" s="7" customFormat="1" x14ac:dyDescent="0.15">
      <c r="AO2633" s="31"/>
    </row>
    <row r="2634" spans="41:41" s="7" customFormat="1" x14ac:dyDescent="0.15">
      <c r="AO2634" s="31"/>
    </row>
    <row r="2635" spans="41:41" s="7" customFormat="1" x14ac:dyDescent="0.15">
      <c r="AO2635" s="31"/>
    </row>
    <row r="2636" spans="41:41" s="7" customFormat="1" x14ac:dyDescent="0.15">
      <c r="AO2636" s="31"/>
    </row>
    <row r="2637" spans="41:41" s="7" customFormat="1" x14ac:dyDescent="0.15">
      <c r="AO2637" s="31"/>
    </row>
    <row r="2638" spans="41:41" s="7" customFormat="1" x14ac:dyDescent="0.15">
      <c r="AO2638" s="31"/>
    </row>
    <row r="2639" spans="41:41" s="7" customFormat="1" x14ac:dyDescent="0.15">
      <c r="AO2639" s="31"/>
    </row>
    <row r="2640" spans="41:41" s="7" customFormat="1" x14ac:dyDescent="0.15">
      <c r="AO2640" s="31"/>
    </row>
    <row r="2641" spans="41:41" s="7" customFormat="1" x14ac:dyDescent="0.15">
      <c r="AO2641" s="31"/>
    </row>
    <row r="2642" spans="41:41" s="7" customFormat="1" x14ac:dyDescent="0.15">
      <c r="AO2642" s="31"/>
    </row>
    <row r="2643" spans="41:41" s="7" customFormat="1" x14ac:dyDescent="0.15">
      <c r="AO2643" s="31"/>
    </row>
    <row r="2644" spans="41:41" s="7" customFormat="1" x14ac:dyDescent="0.15">
      <c r="AO2644" s="31"/>
    </row>
    <row r="2645" spans="41:41" s="7" customFormat="1" x14ac:dyDescent="0.15">
      <c r="AO2645" s="31"/>
    </row>
    <row r="2646" spans="41:41" s="7" customFormat="1" x14ac:dyDescent="0.15">
      <c r="AO2646" s="31"/>
    </row>
    <row r="2647" spans="41:41" s="7" customFormat="1" x14ac:dyDescent="0.15">
      <c r="AO2647" s="31"/>
    </row>
    <row r="2648" spans="41:41" s="7" customFormat="1" x14ac:dyDescent="0.15">
      <c r="AO2648" s="31"/>
    </row>
    <row r="2649" spans="41:41" s="7" customFormat="1" x14ac:dyDescent="0.15">
      <c r="AO2649" s="31"/>
    </row>
    <row r="2650" spans="41:41" s="7" customFormat="1" x14ac:dyDescent="0.15">
      <c r="AO2650" s="31"/>
    </row>
    <row r="2651" spans="41:41" s="7" customFormat="1" x14ac:dyDescent="0.15">
      <c r="AO2651" s="31"/>
    </row>
    <row r="2652" spans="41:41" s="7" customFormat="1" x14ac:dyDescent="0.15">
      <c r="AO2652" s="31"/>
    </row>
    <row r="2653" spans="41:41" s="7" customFormat="1" x14ac:dyDescent="0.15">
      <c r="AO2653" s="31"/>
    </row>
    <row r="2654" spans="41:41" s="7" customFormat="1" x14ac:dyDescent="0.15">
      <c r="AO2654" s="31"/>
    </row>
    <row r="2655" spans="41:41" s="7" customFormat="1" x14ac:dyDescent="0.15">
      <c r="AO2655" s="31"/>
    </row>
    <row r="2656" spans="41:41" s="7" customFormat="1" x14ac:dyDescent="0.15">
      <c r="AO2656" s="31"/>
    </row>
    <row r="2657" spans="41:41" s="7" customFormat="1" x14ac:dyDescent="0.15">
      <c r="AO2657" s="31"/>
    </row>
    <row r="2658" spans="41:41" s="7" customFormat="1" x14ac:dyDescent="0.15">
      <c r="AO2658" s="31"/>
    </row>
    <row r="2659" spans="41:41" s="7" customFormat="1" x14ac:dyDescent="0.15">
      <c r="AO2659" s="31"/>
    </row>
    <row r="2660" spans="41:41" s="7" customFormat="1" x14ac:dyDescent="0.15">
      <c r="AO2660" s="31"/>
    </row>
    <row r="2661" spans="41:41" s="7" customFormat="1" x14ac:dyDescent="0.15">
      <c r="AO2661" s="31"/>
    </row>
    <row r="2662" spans="41:41" s="7" customFormat="1" x14ac:dyDescent="0.15">
      <c r="AO2662" s="31"/>
    </row>
    <row r="2663" spans="41:41" s="7" customFormat="1" x14ac:dyDescent="0.15">
      <c r="AO2663" s="31"/>
    </row>
    <row r="2664" spans="41:41" s="7" customFormat="1" x14ac:dyDescent="0.15">
      <c r="AO2664" s="31"/>
    </row>
    <row r="2665" spans="41:41" s="7" customFormat="1" x14ac:dyDescent="0.15">
      <c r="AO2665" s="31"/>
    </row>
    <row r="2666" spans="41:41" s="7" customFormat="1" x14ac:dyDescent="0.15">
      <c r="AO2666" s="31"/>
    </row>
    <row r="2667" spans="41:41" s="7" customFormat="1" x14ac:dyDescent="0.15">
      <c r="AO2667" s="31"/>
    </row>
    <row r="2668" spans="41:41" s="7" customFormat="1" x14ac:dyDescent="0.15">
      <c r="AO2668" s="31"/>
    </row>
    <row r="2669" spans="41:41" s="7" customFormat="1" x14ac:dyDescent="0.15">
      <c r="AO2669" s="31"/>
    </row>
    <row r="2670" spans="41:41" s="7" customFormat="1" x14ac:dyDescent="0.15">
      <c r="AO2670" s="31"/>
    </row>
    <row r="2671" spans="41:41" s="7" customFormat="1" x14ac:dyDescent="0.15">
      <c r="AO2671" s="31"/>
    </row>
    <row r="2672" spans="41:41" s="7" customFormat="1" x14ac:dyDescent="0.15">
      <c r="AO2672" s="31"/>
    </row>
    <row r="2673" spans="41:41" s="7" customFormat="1" x14ac:dyDescent="0.15">
      <c r="AO2673" s="31"/>
    </row>
    <row r="2674" spans="41:41" s="7" customFormat="1" x14ac:dyDescent="0.15">
      <c r="AO2674" s="31"/>
    </row>
    <row r="2675" spans="41:41" s="7" customFormat="1" x14ac:dyDescent="0.15">
      <c r="AO2675" s="31"/>
    </row>
    <row r="2676" spans="41:41" s="7" customFormat="1" x14ac:dyDescent="0.15">
      <c r="AO2676" s="31"/>
    </row>
    <row r="2677" spans="41:41" s="7" customFormat="1" x14ac:dyDescent="0.15">
      <c r="AO2677" s="31"/>
    </row>
    <row r="2678" spans="41:41" s="7" customFormat="1" x14ac:dyDescent="0.15">
      <c r="AO2678" s="31"/>
    </row>
    <row r="2679" spans="41:41" s="7" customFormat="1" x14ac:dyDescent="0.15">
      <c r="AO2679" s="31"/>
    </row>
    <row r="2680" spans="41:41" s="7" customFormat="1" x14ac:dyDescent="0.15">
      <c r="AO2680" s="31"/>
    </row>
    <row r="2681" spans="41:41" s="7" customFormat="1" x14ac:dyDescent="0.15">
      <c r="AO2681" s="31"/>
    </row>
    <row r="2682" spans="41:41" s="7" customFormat="1" x14ac:dyDescent="0.15">
      <c r="AO2682" s="31"/>
    </row>
    <row r="2683" spans="41:41" s="7" customFormat="1" x14ac:dyDescent="0.15">
      <c r="AO2683" s="31"/>
    </row>
    <row r="2684" spans="41:41" s="7" customFormat="1" x14ac:dyDescent="0.15">
      <c r="AO2684" s="31"/>
    </row>
    <row r="2685" spans="41:41" s="7" customFormat="1" x14ac:dyDescent="0.15">
      <c r="AO2685" s="31"/>
    </row>
    <row r="2686" spans="41:41" s="7" customFormat="1" x14ac:dyDescent="0.15">
      <c r="AO2686" s="31"/>
    </row>
    <row r="2687" spans="41:41" s="7" customFormat="1" x14ac:dyDescent="0.15">
      <c r="AO2687" s="31"/>
    </row>
    <row r="2688" spans="41:41" s="7" customFormat="1" x14ac:dyDescent="0.15">
      <c r="AO2688" s="31"/>
    </row>
    <row r="2689" spans="41:41" s="7" customFormat="1" x14ac:dyDescent="0.15">
      <c r="AO2689" s="31"/>
    </row>
    <row r="2690" spans="41:41" s="7" customFormat="1" x14ac:dyDescent="0.15">
      <c r="AO2690" s="31"/>
    </row>
    <row r="2691" spans="41:41" s="7" customFormat="1" x14ac:dyDescent="0.15">
      <c r="AO2691" s="31"/>
    </row>
    <row r="2692" spans="41:41" s="7" customFormat="1" x14ac:dyDescent="0.15">
      <c r="AO2692" s="31"/>
    </row>
    <row r="2693" spans="41:41" s="7" customFormat="1" x14ac:dyDescent="0.15">
      <c r="AO2693" s="31"/>
    </row>
    <row r="2694" spans="41:41" s="7" customFormat="1" x14ac:dyDescent="0.15">
      <c r="AO2694" s="31"/>
    </row>
    <row r="2695" spans="41:41" s="7" customFormat="1" x14ac:dyDescent="0.15">
      <c r="AO2695" s="31"/>
    </row>
    <row r="2696" spans="41:41" s="7" customFormat="1" x14ac:dyDescent="0.15">
      <c r="AO2696" s="31"/>
    </row>
    <row r="2697" spans="41:41" s="7" customFormat="1" x14ac:dyDescent="0.15">
      <c r="AO2697" s="31"/>
    </row>
    <row r="2698" spans="41:41" s="7" customFormat="1" x14ac:dyDescent="0.15">
      <c r="AO2698" s="31"/>
    </row>
    <row r="2699" spans="41:41" s="7" customFormat="1" x14ac:dyDescent="0.15">
      <c r="AO2699" s="31"/>
    </row>
    <row r="2700" spans="41:41" s="7" customFormat="1" x14ac:dyDescent="0.15">
      <c r="AO2700" s="31"/>
    </row>
    <row r="2701" spans="41:41" s="7" customFormat="1" x14ac:dyDescent="0.15">
      <c r="AO2701" s="31"/>
    </row>
    <row r="2702" spans="41:41" s="7" customFormat="1" x14ac:dyDescent="0.15">
      <c r="AO2702" s="31"/>
    </row>
    <row r="2703" spans="41:41" s="7" customFormat="1" x14ac:dyDescent="0.15">
      <c r="AO2703" s="31"/>
    </row>
    <row r="2704" spans="41:41" s="7" customFormat="1" x14ac:dyDescent="0.15">
      <c r="AO2704" s="31"/>
    </row>
    <row r="2705" spans="41:41" s="7" customFormat="1" x14ac:dyDescent="0.15">
      <c r="AO2705" s="31"/>
    </row>
    <row r="2706" spans="41:41" s="7" customFormat="1" x14ac:dyDescent="0.15">
      <c r="AO2706" s="31"/>
    </row>
    <row r="2707" spans="41:41" s="7" customFormat="1" x14ac:dyDescent="0.15">
      <c r="AO2707" s="31"/>
    </row>
    <row r="2708" spans="41:41" s="7" customFormat="1" x14ac:dyDescent="0.15">
      <c r="AO2708" s="31"/>
    </row>
    <row r="2709" spans="41:41" s="7" customFormat="1" x14ac:dyDescent="0.15">
      <c r="AO2709" s="31"/>
    </row>
    <row r="2710" spans="41:41" s="7" customFormat="1" x14ac:dyDescent="0.15">
      <c r="AO2710" s="31"/>
    </row>
    <row r="2711" spans="41:41" s="7" customFormat="1" x14ac:dyDescent="0.15">
      <c r="AO2711" s="31"/>
    </row>
    <row r="2712" spans="41:41" s="7" customFormat="1" x14ac:dyDescent="0.15">
      <c r="AO2712" s="31"/>
    </row>
    <row r="2713" spans="41:41" s="7" customFormat="1" x14ac:dyDescent="0.15">
      <c r="AO2713" s="31"/>
    </row>
    <row r="2714" spans="41:41" s="7" customFormat="1" x14ac:dyDescent="0.15">
      <c r="AO2714" s="31"/>
    </row>
    <row r="2715" spans="41:41" s="7" customFormat="1" x14ac:dyDescent="0.15">
      <c r="AO2715" s="31"/>
    </row>
    <row r="2716" spans="41:41" s="7" customFormat="1" x14ac:dyDescent="0.15">
      <c r="AO2716" s="31"/>
    </row>
    <row r="2717" spans="41:41" s="7" customFormat="1" x14ac:dyDescent="0.15">
      <c r="AO2717" s="31"/>
    </row>
    <row r="2718" spans="41:41" s="7" customFormat="1" x14ac:dyDescent="0.15">
      <c r="AO2718" s="31"/>
    </row>
    <row r="2719" spans="41:41" s="7" customFormat="1" x14ac:dyDescent="0.15">
      <c r="AO2719" s="31"/>
    </row>
    <row r="2720" spans="41:41" s="7" customFormat="1" x14ac:dyDescent="0.15">
      <c r="AO2720" s="31"/>
    </row>
    <row r="2721" spans="41:41" s="7" customFormat="1" x14ac:dyDescent="0.15">
      <c r="AO2721" s="31"/>
    </row>
    <row r="2722" spans="41:41" s="7" customFormat="1" x14ac:dyDescent="0.15">
      <c r="AO2722" s="31"/>
    </row>
    <row r="2723" spans="41:41" s="7" customFormat="1" x14ac:dyDescent="0.15">
      <c r="AO2723" s="31"/>
    </row>
    <row r="2724" spans="41:41" s="7" customFormat="1" x14ac:dyDescent="0.15">
      <c r="AO2724" s="31"/>
    </row>
    <row r="2725" spans="41:41" s="7" customFormat="1" x14ac:dyDescent="0.15">
      <c r="AO2725" s="31"/>
    </row>
    <row r="2726" spans="41:41" s="7" customFormat="1" x14ac:dyDescent="0.15">
      <c r="AO2726" s="31"/>
    </row>
    <row r="2727" spans="41:41" s="7" customFormat="1" x14ac:dyDescent="0.15">
      <c r="AO2727" s="31"/>
    </row>
    <row r="2728" spans="41:41" s="7" customFormat="1" x14ac:dyDescent="0.15">
      <c r="AO2728" s="31"/>
    </row>
    <row r="2729" spans="41:41" s="7" customFormat="1" x14ac:dyDescent="0.15">
      <c r="AO2729" s="31"/>
    </row>
    <row r="2730" spans="41:41" s="7" customFormat="1" x14ac:dyDescent="0.15">
      <c r="AO2730" s="31"/>
    </row>
    <row r="2731" spans="41:41" s="7" customFormat="1" x14ac:dyDescent="0.15">
      <c r="AO2731" s="31"/>
    </row>
    <row r="2732" spans="41:41" s="7" customFormat="1" x14ac:dyDescent="0.15">
      <c r="AO2732" s="31"/>
    </row>
    <row r="2733" spans="41:41" s="7" customFormat="1" x14ac:dyDescent="0.15">
      <c r="AO2733" s="31"/>
    </row>
    <row r="2734" spans="41:41" s="7" customFormat="1" x14ac:dyDescent="0.15">
      <c r="AO2734" s="31"/>
    </row>
    <row r="2735" spans="41:41" s="7" customFormat="1" x14ac:dyDescent="0.15">
      <c r="AO2735" s="31"/>
    </row>
    <row r="2736" spans="41:41" s="7" customFormat="1" x14ac:dyDescent="0.15">
      <c r="AO2736" s="31"/>
    </row>
    <row r="2737" spans="41:41" s="7" customFormat="1" x14ac:dyDescent="0.15">
      <c r="AO2737" s="31"/>
    </row>
    <row r="2738" spans="41:41" s="7" customFormat="1" x14ac:dyDescent="0.15">
      <c r="AO2738" s="31"/>
    </row>
    <row r="2739" spans="41:41" s="7" customFormat="1" x14ac:dyDescent="0.15">
      <c r="AO2739" s="31"/>
    </row>
    <row r="2740" spans="41:41" s="7" customFormat="1" x14ac:dyDescent="0.15">
      <c r="AO2740" s="31"/>
    </row>
    <row r="2741" spans="41:41" s="7" customFormat="1" x14ac:dyDescent="0.15">
      <c r="AO2741" s="31"/>
    </row>
    <row r="2742" spans="41:41" s="7" customFormat="1" x14ac:dyDescent="0.15">
      <c r="AO2742" s="31"/>
    </row>
    <row r="2743" spans="41:41" s="7" customFormat="1" x14ac:dyDescent="0.15">
      <c r="AO2743" s="31"/>
    </row>
    <row r="2744" spans="41:41" s="7" customFormat="1" x14ac:dyDescent="0.15">
      <c r="AO2744" s="31"/>
    </row>
    <row r="2745" spans="41:41" s="7" customFormat="1" x14ac:dyDescent="0.15">
      <c r="AO2745" s="31"/>
    </row>
    <row r="2746" spans="41:41" s="7" customFormat="1" x14ac:dyDescent="0.15">
      <c r="AO2746" s="31"/>
    </row>
    <row r="2747" spans="41:41" s="7" customFormat="1" x14ac:dyDescent="0.15">
      <c r="AO2747" s="31"/>
    </row>
    <row r="2748" spans="41:41" s="7" customFormat="1" x14ac:dyDescent="0.15">
      <c r="AO2748" s="31"/>
    </row>
    <row r="2749" spans="41:41" s="7" customFormat="1" x14ac:dyDescent="0.15">
      <c r="AO2749" s="31"/>
    </row>
    <row r="2750" spans="41:41" s="7" customFormat="1" x14ac:dyDescent="0.15">
      <c r="AO2750" s="31"/>
    </row>
    <row r="2751" spans="41:41" s="7" customFormat="1" x14ac:dyDescent="0.15">
      <c r="AO2751" s="31"/>
    </row>
    <row r="2752" spans="41:41" s="7" customFormat="1" x14ac:dyDescent="0.15">
      <c r="AO2752" s="31"/>
    </row>
    <row r="2753" spans="41:41" s="7" customFormat="1" x14ac:dyDescent="0.15">
      <c r="AO2753" s="31"/>
    </row>
    <row r="2754" spans="41:41" s="7" customFormat="1" x14ac:dyDescent="0.15">
      <c r="AO2754" s="31"/>
    </row>
    <row r="2755" spans="41:41" s="7" customFormat="1" x14ac:dyDescent="0.15">
      <c r="AO2755" s="31"/>
    </row>
    <row r="2756" spans="41:41" s="7" customFormat="1" x14ac:dyDescent="0.15">
      <c r="AO2756" s="31"/>
    </row>
    <row r="2757" spans="41:41" s="7" customFormat="1" x14ac:dyDescent="0.15">
      <c r="AO2757" s="31"/>
    </row>
    <row r="2758" spans="41:41" s="7" customFormat="1" x14ac:dyDescent="0.15">
      <c r="AO2758" s="31"/>
    </row>
    <row r="2759" spans="41:41" s="7" customFormat="1" x14ac:dyDescent="0.15">
      <c r="AO2759" s="31"/>
    </row>
    <row r="2760" spans="41:41" s="7" customFormat="1" x14ac:dyDescent="0.15">
      <c r="AO2760" s="31"/>
    </row>
    <row r="2761" spans="41:41" s="7" customFormat="1" x14ac:dyDescent="0.15">
      <c r="AO2761" s="31"/>
    </row>
    <row r="2762" spans="41:41" s="7" customFormat="1" x14ac:dyDescent="0.15">
      <c r="AO2762" s="31"/>
    </row>
    <row r="2763" spans="41:41" s="7" customFormat="1" x14ac:dyDescent="0.15">
      <c r="AO2763" s="31"/>
    </row>
    <row r="2764" spans="41:41" s="7" customFormat="1" x14ac:dyDescent="0.15">
      <c r="AO2764" s="31"/>
    </row>
    <row r="2765" spans="41:41" s="7" customFormat="1" x14ac:dyDescent="0.15">
      <c r="AO2765" s="31"/>
    </row>
    <row r="2766" spans="41:41" s="7" customFormat="1" x14ac:dyDescent="0.15">
      <c r="AO2766" s="31"/>
    </row>
    <row r="2767" spans="41:41" s="7" customFormat="1" x14ac:dyDescent="0.15">
      <c r="AO2767" s="31"/>
    </row>
    <row r="2768" spans="41:41" s="7" customFormat="1" x14ac:dyDescent="0.15">
      <c r="AO2768" s="31"/>
    </row>
    <row r="2769" spans="41:41" s="7" customFormat="1" x14ac:dyDescent="0.15">
      <c r="AO2769" s="31"/>
    </row>
    <row r="2770" spans="41:41" s="7" customFormat="1" x14ac:dyDescent="0.15">
      <c r="AO2770" s="31"/>
    </row>
    <row r="2771" spans="41:41" s="7" customFormat="1" x14ac:dyDescent="0.15">
      <c r="AO2771" s="31"/>
    </row>
    <row r="2772" spans="41:41" s="7" customFormat="1" x14ac:dyDescent="0.15">
      <c r="AO2772" s="31"/>
    </row>
    <row r="2773" spans="41:41" s="7" customFormat="1" x14ac:dyDescent="0.15">
      <c r="AO2773" s="31"/>
    </row>
    <row r="2774" spans="41:41" s="7" customFormat="1" x14ac:dyDescent="0.15">
      <c r="AO2774" s="31"/>
    </row>
    <row r="2775" spans="41:41" s="7" customFormat="1" x14ac:dyDescent="0.15">
      <c r="AO2775" s="31"/>
    </row>
    <row r="2776" spans="41:41" s="7" customFormat="1" x14ac:dyDescent="0.15">
      <c r="AO2776" s="31"/>
    </row>
    <row r="2777" spans="41:41" s="7" customFormat="1" x14ac:dyDescent="0.15">
      <c r="AO2777" s="31"/>
    </row>
    <row r="2778" spans="41:41" s="7" customFormat="1" x14ac:dyDescent="0.15">
      <c r="AO2778" s="31"/>
    </row>
    <row r="2779" spans="41:41" s="7" customFormat="1" x14ac:dyDescent="0.15">
      <c r="AO2779" s="31"/>
    </row>
    <row r="2780" spans="41:41" s="7" customFormat="1" x14ac:dyDescent="0.15">
      <c r="AO2780" s="31"/>
    </row>
    <row r="2781" spans="41:41" s="7" customFormat="1" x14ac:dyDescent="0.15">
      <c r="AO2781" s="31"/>
    </row>
    <row r="2782" spans="41:41" s="7" customFormat="1" x14ac:dyDescent="0.15">
      <c r="AO2782" s="31"/>
    </row>
    <row r="2783" spans="41:41" s="7" customFormat="1" x14ac:dyDescent="0.15">
      <c r="AO2783" s="31"/>
    </row>
    <row r="2784" spans="41:41" s="7" customFormat="1" x14ac:dyDescent="0.15">
      <c r="AO2784" s="31"/>
    </row>
    <row r="2785" spans="41:41" s="7" customFormat="1" x14ac:dyDescent="0.15">
      <c r="AO2785" s="31"/>
    </row>
    <row r="2786" spans="41:41" s="7" customFormat="1" x14ac:dyDescent="0.15">
      <c r="AO2786" s="31"/>
    </row>
    <row r="2787" spans="41:41" s="7" customFormat="1" x14ac:dyDescent="0.15">
      <c r="AO2787" s="31"/>
    </row>
    <row r="2788" spans="41:41" s="7" customFormat="1" x14ac:dyDescent="0.15">
      <c r="AO2788" s="31"/>
    </row>
    <row r="2789" spans="41:41" s="7" customFormat="1" x14ac:dyDescent="0.15">
      <c r="AO2789" s="31"/>
    </row>
    <row r="2790" spans="41:41" s="7" customFormat="1" x14ac:dyDescent="0.15">
      <c r="AO2790" s="31"/>
    </row>
    <row r="2791" spans="41:41" s="7" customFormat="1" x14ac:dyDescent="0.15">
      <c r="AO2791" s="31"/>
    </row>
    <row r="2792" spans="41:41" s="7" customFormat="1" x14ac:dyDescent="0.15">
      <c r="AO2792" s="31"/>
    </row>
    <row r="2793" spans="41:41" s="7" customFormat="1" x14ac:dyDescent="0.15">
      <c r="AO2793" s="31"/>
    </row>
    <row r="2794" spans="41:41" s="7" customFormat="1" x14ac:dyDescent="0.15">
      <c r="AO2794" s="31"/>
    </row>
    <row r="2795" spans="41:41" s="7" customFormat="1" x14ac:dyDescent="0.15">
      <c r="AO2795" s="31"/>
    </row>
    <row r="2796" spans="41:41" s="7" customFormat="1" x14ac:dyDescent="0.15">
      <c r="AO2796" s="31"/>
    </row>
    <row r="2797" spans="41:41" s="7" customFormat="1" x14ac:dyDescent="0.15">
      <c r="AO2797" s="31"/>
    </row>
    <row r="2798" spans="41:41" s="7" customFormat="1" x14ac:dyDescent="0.15">
      <c r="AO2798" s="31"/>
    </row>
    <row r="2799" spans="41:41" s="7" customFormat="1" x14ac:dyDescent="0.15">
      <c r="AO2799" s="31"/>
    </row>
    <row r="2800" spans="41:41" s="7" customFormat="1" x14ac:dyDescent="0.15">
      <c r="AO2800" s="31"/>
    </row>
    <row r="2801" spans="41:41" s="7" customFormat="1" x14ac:dyDescent="0.15">
      <c r="AO2801" s="31"/>
    </row>
    <row r="2802" spans="41:41" s="7" customFormat="1" x14ac:dyDescent="0.15">
      <c r="AO2802" s="31"/>
    </row>
    <row r="2803" spans="41:41" s="7" customFormat="1" x14ac:dyDescent="0.15">
      <c r="AO2803" s="31"/>
    </row>
    <row r="2804" spans="41:41" s="7" customFormat="1" x14ac:dyDescent="0.15">
      <c r="AO2804" s="31"/>
    </row>
    <row r="2805" spans="41:41" s="7" customFormat="1" x14ac:dyDescent="0.15">
      <c r="AO2805" s="31"/>
    </row>
    <row r="2806" spans="41:41" s="7" customFormat="1" x14ac:dyDescent="0.15">
      <c r="AO2806" s="31"/>
    </row>
    <row r="2807" spans="41:41" s="7" customFormat="1" x14ac:dyDescent="0.15">
      <c r="AO2807" s="31"/>
    </row>
    <row r="2808" spans="41:41" s="7" customFormat="1" x14ac:dyDescent="0.15">
      <c r="AO2808" s="31"/>
    </row>
    <row r="2809" spans="41:41" s="7" customFormat="1" x14ac:dyDescent="0.15">
      <c r="AO2809" s="31"/>
    </row>
    <row r="2810" spans="41:41" s="7" customFormat="1" x14ac:dyDescent="0.15">
      <c r="AO2810" s="31"/>
    </row>
    <row r="2811" spans="41:41" s="7" customFormat="1" x14ac:dyDescent="0.15">
      <c r="AO2811" s="31"/>
    </row>
    <row r="2812" spans="41:41" s="7" customFormat="1" x14ac:dyDescent="0.15">
      <c r="AO2812" s="31"/>
    </row>
    <row r="2813" spans="41:41" s="7" customFormat="1" x14ac:dyDescent="0.15">
      <c r="AO2813" s="31"/>
    </row>
    <row r="2814" spans="41:41" s="7" customFormat="1" x14ac:dyDescent="0.15">
      <c r="AO2814" s="31"/>
    </row>
    <row r="2815" spans="41:41" s="7" customFormat="1" x14ac:dyDescent="0.15">
      <c r="AO2815" s="31"/>
    </row>
    <row r="2816" spans="41:41" s="7" customFormat="1" x14ac:dyDescent="0.15">
      <c r="AO2816" s="31"/>
    </row>
    <row r="2817" spans="41:41" s="7" customFormat="1" x14ac:dyDescent="0.15">
      <c r="AO2817" s="31"/>
    </row>
    <row r="2818" spans="41:41" s="7" customFormat="1" x14ac:dyDescent="0.15">
      <c r="AO2818" s="31"/>
    </row>
    <row r="2819" spans="41:41" s="7" customFormat="1" x14ac:dyDescent="0.15">
      <c r="AO2819" s="31"/>
    </row>
    <row r="2820" spans="41:41" s="7" customFormat="1" x14ac:dyDescent="0.15">
      <c r="AO2820" s="31"/>
    </row>
    <row r="2821" spans="41:41" s="7" customFormat="1" x14ac:dyDescent="0.15">
      <c r="AO2821" s="31"/>
    </row>
    <row r="2822" spans="41:41" s="7" customFormat="1" x14ac:dyDescent="0.15">
      <c r="AO2822" s="31"/>
    </row>
    <row r="2823" spans="41:41" s="7" customFormat="1" x14ac:dyDescent="0.15">
      <c r="AO2823" s="31"/>
    </row>
    <row r="2824" spans="41:41" s="7" customFormat="1" x14ac:dyDescent="0.15">
      <c r="AO2824" s="31"/>
    </row>
    <row r="2825" spans="41:41" s="7" customFormat="1" x14ac:dyDescent="0.15">
      <c r="AO2825" s="31"/>
    </row>
    <row r="2826" spans="41:41" s="7" customFormat="1" x14ac:dyDescent="0.15">
      <c r="AO2826" s="31"/>
    </row>
    <row r="2827" spans="41:41" s="7" customFormat="1" x14ac:dyDescent="0.15">
      <c r="AO2827" s="31"/>
    </row>
    <row r="2828" spans="41:41" s="7" customFormat="1" x14ac:dyDescent="0.15">
      <c r="AO2828" s="31"/>
    </row>
    <row r="2829" spans="41:41" s="7" customFormat="1" x14ac:dyDescent="0.15">
      <c r="AO2829" s="31"/>
    </row>
    <row r="2830" spans="41:41" s="7" customFormat="1" x14ac:dyDescent="0.15">
      <c r="AO2830" s="31"/>
    </row>
    <row r="2831" spans="41:41" s="7" customFormat="1" x14ac:dyDescent="0.15">
      <c r="AO2831" s="31"/>
    </row>
    <row r="2832" spans="41:41" s="7" customFormat="1" x14ac:dyDescent="0.15">
      <c r="AO2832" s="31"/>
    </row>
    <row r="2833" spans="41:41" s="7" customFormat="1" x14ac:dyDescent="0.15">
      <c r="AO2833" s="31"/>
    </row>
    <row r="2834" spans="41:41" s="7" customFormat="1" x14ac:dyDescent="0.15">
      <c r="AO2834" s="31"/>
    </row>
    <row r="2835" spans="41:41" s="7" customFormat="1" x14ac:dyDescent="0.15">
      <c r="AO2835" s="31"/>
    </row>
    <row r="2836" spans="41:41" s="7" customFormat="1" x14ac:dyDescent="0.15">
      <c r="AO2836" s="31"/>
    </row>
    <row r="2837" spans="41:41" s="7" customFormat="1" x14ac:dyDescent="0.15">
      <c r="AO2837" s="31"/>
    </row>
    <row r="2838" spans="41:41" s="7" customFormat="1" x14ac:dyDescent="0.15">
      <c r="AO2838" s="31"/>
    </row>
    <row r="2839" spans="41:41" s="7" customFormat="1" x14ac:dyDescent="0.15">
      <c r="AO2839" s="31"/>
    </row>
    <row r="2840" spans="41:41" s="7" customFormat="1" x14ac:dyDescent="0.15">
      <c r="AO2840" s="31"/>
    </row>
    <row r="2841" spans="41:41" s="7" customFormat="1" x14ac:dyDescent="0.15">
      <c r="AO2841" s="31"/>
    </row>
    <row r="2842" spans="41:41" s="7" customFormat="1" x14ac:dyDescent="0.15">
      <c r="AO2842" s="31"/>
    </row>
    <row r="2843" spans="41:41" s="7" customFormat="1" x14ac:dyDescent="0.15">
      <c r="AO2843" s="31"/>
    </row>
    <row r="2844" spans="41:41" s="7" customFormat="1" x14ac:dyDescent="0.15">
      <c r="AO2844" s="31"/>
    </row>
    <row r="2845" spans="41:41" s="7" customFormat="1" x14ac:dyDescent="0.15">
      <c r="AO2845" s="31"/>
    </row>
    <row r="2846" spans="41:41" s="7" customFormat="1" x14ac:dyDescent="0.15">
      <c r="AO2846" s="31"/>
    </row>
    <row r="2847" spans="41:41" s="7" customFormat="1" x14ac:dyDescent="0.15">
      <c r="AO2847" s="31"/>
    </row>
    <row r="2848" spans="41:41" s="7" customFormat="1" x14ac:dyDescent="0.15">
      <c r="AO2848" s="31"/>
    </row>
    <row r="2849" spans="41:41" s="7" customFormat="1" x14ac:dyDescent="0.15">
      <c r="AO2849" s="31"/>
    </row>
    <row r="2850" spans="41:41" s="7" customFormat="1" x14ac:dyDescent="0.15">
      <c r="AO2850" s="31"/>
    </row>
    <row r="2851" spans="41:41" s="7" customFormat="1" x14ac:dyDescent="0.15">
      <c r="AO2851" s="31"/>
    </row>
    <row r="2852" spans="41:41" s="7" customFormat="1" x14ac:dyDescent="0.15">
      <c r="AO2852" s="31"/>
    </row>
    <row r="2853" spans="41:41" s="7" customFormat="1" x14ac:dyDescent="0.15">
      <c r="AO2853" s="31"/>
    </row>
    <row r="2854" spans="41:41" s="7" customFormat="1" x14ac:dyDescent="0.15">
      <c r="AO2854" s="31"/>
    </row>
    <row r="2855" spans="41:41" s="7" customFormat="1" x14ac:dyDescent="0.15">
      <c r="AO2855" s="31"/>
    </row>
    <row r="2856" spans="41:41" s="7" customFormat="1" x14ac:dyDescent="0.15">
      <c r="AO2856" s="31"/>
    </row>
    <row r="2857" spans="41:41" s="7" customFormat="1" x14ac:dyDescent="0.15">
      <c r="AO2857" s="31"/>
    </row>
    <row r="2858" spans="41:41" s="7" customFormat="1" x14ac:dyDescent="0.15">
      <c r="AO2858" s="31"/>
    </row>
    <row r="2859" spans="41:41" s="7" customFormat="1" x14ac:dyDescent="0.15">
      <c r="AO2859" s="31"/>
    </row>
    <row r="2860" spans="41:41" s="7" customFormat="1" x14ac:dyDescent="0.15">
      <c r="AO2860" s="31"/>
    </row>
    <row r="2861" spans="41:41" s="7" customFormat="1" x14ac:dyDescent="0.15">
      <c r="AO2861" s="31"/>
    </row>
    <row r="2862" spans="41:41" s="7" customFormat="1" x14ac:dyDescent="0.15">
      <c r="AO2862" s="31"/>
    </row>
    <row r="2863" spans="41:41" s="7" customFormat="1" x14ac:dyDescent="0.15">
      <c r="AO2863" s="31"/>
    </row>
    <row r="2864" spans="41:41" s="7" customFormat="1" x14ac:dyDescent="0.15">
      <c r="AO2864" s="31"/>
    </row>
    <row r="2865" spans="41:41" s="7" customFormat="1" x14ac:dyDescent="0.15">
      <c r="AO2865" s="31"/>
    </row>
    <row r="2866" spans="41:41" s="7" customFormat="1" x14ac:dyDescent="0.15">
      <c r="AO2866" s="31"/>
    </row>
    <row r="2867" spans="41:41" s="7" customFormat="1" x14ac:dyDescent="0.15">
      <c r="AO2867" s="31"/>
    </row>
    <row r="2868" spans="41:41" s="7" customFormat="1" x14ac:dyDescent="0.15">
      <c r="AO2868" s="31"/>
    </row>
    <row r="2869" spans="41:41" s="7" customFormat="1" x14ac:dyDescent="0.15">
      <c r="AO2869" s="31"/>
    </row>
    <row r="2870" spans="41:41" s="7" customFormat="1" x14ac:dyDescent="0.15">
      <c r="AO2870" s="31"/>
    </row>
    <row r="2871" spans="41:41" s="7" customFormat="1" x14ac:dyDescent="0.15">
      <c r="AO2871" s="31"/>
    </row>
    <row r="2872" spans="41:41" s="7" customFormat="1" x14ac:dyDescent="0.15">
      <c r="AO2872" s="31"/>
    </row>
    <row r="2873" spans="41:41" s="7" customFormat="1" x14ac:dyDescent="0.15">
      <c r="AO2873" s="31"/>
    </row>
    <row r="2874" spans="41:41" s="7" customFormat="1" x14ac:dyDescent="0.15">
      <c r="AO2874" s="31"/>
    </row>
    <row r="2875" spans="41:41" s="7" customFormat="1" x14ac:dyDescent="0.15">
      <c r="AO2875" s="31"/>
    </row>
    <row r="2876" spans="41:41" s="7" customFormat="1" x14ac:dyDescent="0.15">
      <c r="AO2876" s="31"/>
    </row>
    <row r="2877" spans="41:41" s="7" customFormat="1" x14ac:dyDescent="0.15">
      <c r="AO2877" s="31"/>
    </row>
    <row r="2878" spans="41:41" s="7" customFormat="1" x14ac:dyDescent="0.15">
      <c r="AO2878" s="31"/>
    </row>
    <row r="2879" spans="41:41" s="7" customFormat="1" x14ac:dyDescent="0.15">
      <c r="AO2879" s="31"/>
    </row>
    <row r="2880" spans="41:41" s="7" customFormat="1" x14ac:dyDescent="0.15">
      <c r="AO2880" s="31"/>
    </row>
    <row r="2881" spans="41:41" s="7" customFormat="1" x14ac:dyDescent="0.15">
      <c r="AO2881" s="31"/>
    </row>
    <row r="2882" spans="41:41" s="7" customFormat="1" x14ac:dyDescent="0.15">
      <c r="AO2882" s="31"/>
    </row>
    <row r="2883" spans="41:41" s="7" customFormat="1" x14ac:dyDescent="0.15">
      <c r="AO2883" s="31"/>
    </row>
    <row r="2884" spans="41:41" s="7" customFormat="1" x14ac:dyDescent="0.15">
      <c r="AO2884" s="31"/>
    </row>
    <row r="2885" spans="41:41" s="7" customFormat="1" x14ac:dyDescent="0.15">
      <c r="AO2885" s="31"/>
    </row>
    <row r="2886" spans="41:41" s="7" customFormat="1" x14ac:dyDescent="0.15">
      <c r="AO2886" s="31"/>
    </row>
    <row r="2887" spans="41:41" s="7" customFormat="1" x14ac:dyDescent="0.15">
      <c r="AO2887" s="31"/>
    </row>
    <row r="2888" spans="41:41" s="7" customFormat="1" x14ac:dyDescent="0.15">
      <c r="AO2888" s="31"/>
    </row>
    <row r="2889" spans="41:41" s="7" customFormat="1" x14ac:dyDescent="0.15">
      <c r="AO2889" s="31"/>
    </row>
    <row r="2890" spans="41:41" s="7" customFormat="1" x14ac:dyDescent="0.15">
      <c r="AO2890" s="31"/>
    </row>
    <row r="2891" spans="41:41" s="7" customFormat="1" x14ac:dyDescent="0.15">
      <c r="AO2891" s="31"/>
    </row>
    <row r="2892" spans="41:41" s="7" customFormat="1" x14ac:dyDescent="0.15">
      <c r="AO2892" s="31"/>
    </row>
    <row r="2893" spans="41:41" s="7" customFormat="1" x14ac:dyDescent="0.15">
      <c r="AO2893" s="31"/>
    </row>
    <row r="2894" spans="41:41" s="7" customFormat="1" x14ac:dyDescent="0.15">
      <c r="AO2894" s="31"/>
    </row>
    <row r="2895" spans="41:41" s="7" customFormat="1" x14ac:dyDescent="0.15">
      <c r="AO2895" s="31"/>
    </row>
    <row r="2896" spans="41:41" s="7" customFormat="1" x14ac:dyDescent="0.15">
      <c r="AO2896" s="31"/>
    </row>
    <row r="2897" spans="41:41" s="7" customFormat="1" x14ac:dyDescent="0.15">
      <c r="AO2897" s="31"/>
    </row>
    <row r="2898" spans="41:41" s="7" customFormat="1" x14ac:dyDescent="0.15">
      <c r="AO2898" s="31"/>
    </row>
    <row r="2899" spans="41:41" s="7" customFormat="1" x14ac:dyDescent="0.15">
      <c r="AO2899" s="31"/>
    </row>
    <row r="2900" spans="41:41" s="7" customFormat="1" x14ac:dyDescent="0.15">
      <c r="AO2900" s="31"/>
    </row>
    <row r="2901" spans="41:41" s="7" customFormat="1" x14ac:dyDescent="0.15">
      <c r="AO2901" s="31"/>
    </row>
    <row r="2902" spans="41:41" s="7" customFormat="1" x14ac:dyDescent="0.15">
      <c r="AO2902" s="31"/>
    </row>
    <row r="2903" spans="41:41" s="7" customFormat="1" x14ac:dyDescent="0.15">
      <c r="AO2903" s="31"/>
    </row>
    <row r="2904" spans="41:41" s="7" customFormat="1" x14ac:dyDescent="0.15">
      <c r="AO2904" s="31"/>
    </row>
    <row r="2905" spans="41:41" s="7" customFormat="1" x14ac:dyDescent="0.15">
      <c r="AO2905" s="31"/>
    </row>
    <row r="2906" spans="41:41" s="7" customFormat="1" x14ac:dyDescent="0.15">
      <c r="AO2906" s="31"/>
    </row>
    <row r="2907" spans="41:41" s="7" customFormat="1" x14ac:dyDescent="0.15">
      <c r="AO2907" s="31"/>
    </row>
    <row r="2908" spans="41:41" s="7" customFormat="1" x14ac:dyDescent="0.15">
      <c r="AO2908" s="31"/>
    </row>
    <row r="2909" spans="41:41" s="7" customFormat="1" x14ac:dyDescent="0.15">
      <c r="AO2909" s="31"/>
    </row>
    <row r="2910" spans="41:41" s="7" customFormat="1" x14ac:dyDescent="0.15">
      <c r="AO2910" s="31"/>
    </row>
    <row r="2911" spans="41:41" s="7" customFormat="1" x14ac:dyDescent="0.15">
      <c r="AO2911" s="31"/>
    </row>
    <row r="2912" spans="41:41" s="7" customFormat="1" x14ac:dyDescent="0.15">
      <c r="AO2912" s="31"/>
    </row>
    <row r="2913" spans="41:41" s="7" customFormat="1" x14ac:dyDescent="0.15">
      <c r="AO2913" s="31"/>
    </row>
    <row r="2914" spans="41:41" s="7" customFormat="1" x14ac:dyDescent="0.15">
      <c r="AO2914" s="31"/>
    </row>
    <row r="2915" spans="41:41" s="7" customFormat="1" x14ac:dyDescent="0.15">
      <c r="AO2915" s="31"/>
    </row>
    <row r="2916" spans="41:41" s="7" customFormat="1" x14ac:dyDescent="0.15">
      <c r="AO2916" s="31"/>
    </row>
    <row r="2917" spans="41:41" s="7" customFormat="1" x14ac:dyDescent="0.15">
      <c r="AO2917" s="31"/>
    </row>
    <row r="2918" spans="41:41" s="7" customFormat="1" x14ac:dyDescent="0.15">
      <c r="AO2918" s="31"/>
    </row>
    <row r="2919" spans="41:41" s="7" customFormat="1" x14ac:dyDescent="0.15">
      <c r="AO2919" s="31"/>
    </row>
    <row r="2920" spans="41:41" s="7" customFormat="1" x14ac:dyDescent="0.15">
      <c r="AO2920" s="31"/>
    </row>
    <row r="2921" spans="41:41" s="7" customFormat="1" x14ac:dyDescent="0.15">
      <c r="AO2921" s="31"/>
    </row>
    <row r="2922" spans="41:41" s="7" customFormat="1" x14ac:dyDescent="0.15">
      <c r="AO2922" s="31"/>
    </row>
    <row r="2923" spans="41:41" s="7" customFormat="1" x14ac:dyDescent="0.15">
      <c r="AO2923" s="31"/>
    </row>
    <row r="2924" spans="41:41" s="7" customFormat="1" x14ac:dyDescent="0.15">
      <c r="AO2924" s="31"/>
    </row>
    <row r="2925" spans="41:41" s="7" customFormat="1" x14ac:dyDescent="0.15">
      <c r="AO2925" s="31"/>
    </row>
    <row r="2926" spans="41:41" s="7" customFormat="1" x14ac:dyDescent="0.15">
      <c r="AO2926" s="31"/>
    </row>
    <row r="2927" spans="41:41" s="7" customFormat="1" x14ac:dyDescent="0.15">
      <c r="AO2927" s="31"/>
    </row>
    <row r="2928" spans="41:41" s="7" customFormat="1" x14ac:dyDescent="0.15">
      <c r="AO2928" s="31"/>
    </row>
    <row r="2929" spans="41:41" s="7" customFormat="1" x14ac:dyDescent="0.15">
      <c r="AO2929" s="31"/>
    </row>
    <row r="2930" spans="41:41" s="7" customFormat="1" x14ac:dyDescent="0.15">
      <c r="AO2930" s="31"/>
    </row>
    <row r="2931" spans="41:41" s="7" customFormat="1" x14ac:dyDescent="0.15">
      <c r="AO2931" s="31"/>
    </row>
    <row r="2932" spans="41:41" s="7" customFormat="1" x14ac:dyDescent="0.15">
      <c r="AO2932" s="31"/>
    </row>
    <row r="2933" spans="41:41" s="7" customFormat="1" x14ac:dyDescent="0.15">
      <c r="AO2933" s="31"/>
    </row>
    <row r="2934" spans="41:41" s="7" customFormat="1" x14ac:dyDescent="0.15">
      <c r="AO2934" s="31"/>
    </row>
    <row r="2935" spans="41:41" s="7" customFormat="1" x14ac:dyDescent="0.15">
      <c r="AO2935" s="31"/>
    </row>
    <row r="2936" spans="41:41" s="7" customFormat="1" x14ac:dyDescent="0.15">
      <c r="AO2936" s="31"/>
    </row>
    <row r="2937" spans="41:41" s="7" customFormat="1" x14ac:dyDescent="0.15">
      <c r="AO2937" s="31"/>
    </row>
    <row r="2938" spans="41:41" s="7" customFormat="1" x14ac:dyDescent="0.15">
      <c r="AO2938" s="31"/>
    </row>
    <row r="2939" spans="41:41" s="7" customFormat="1" x14ac:dyDescent="0.15">
      <c r="AO2939" s="31"/>
    </row>
    <row r="2940" spans="41:41" s="7" customFormat="1" x14ac:dyDescent="0.15">
      <c r="AO2940" s="31"/>
    </row>
    <row r="2941" spans="41:41" s="7" customFormat="1" x14ac:dyDescent="0.15">
      <c r="AO2941" s="31"/>
    </row>
    <row r="2942" spans="41:41" s="7" customFormat="1" x14ac:dyDescent="0.15">
      <c r="AO2942" s="31"/>
    </row>
    <row r="2943" spans="41:41" s="7" customFormat="1" x14ac:dyDescent="0.15">
      <c r="AO2943" s="31"/>
    </row>
    <row r="2944" spans="41:41" s="7" customFormat="1" x14ac:dyDescent="0.15">
      <c r="AO2944" s="31"/>
    </row>
    <row r="2945" spans="41:41" s="7" customFormat="1" x14ac:dyDescent="0.15">
      <c r="AO2945" s="31"/>
    </row>
    <row r="2946" spans="41:41" s="7" customFormat="1" x14ac:dyDescent="0.15">
      <c r="AO2946" s="31"/>
    </row>
    <row r="2947" spans="41:41" s="7" customFormat="1" x14ac:dyDescent="0.15">
      <c r="AO2947" s="31"/>
    </row>
    <row r="2948" spans="41:41" s="7" customFormat="1" x14ac:dyDescent="0.15">
      <c r="AO2948" s="31"/>
    </row>
    <row r="2949" spans="41:41" s="7" customFormat="1" x14ac:dyDescent="0.15">
      <c r="AO2949" s="31"/>
    </row>
    <row r="2950" spans="41:41" s="7" customFormat="1" x14ac:dyDescent="0.15">
      <c r="AO2950" s="31"/>
    </row>
    <row r="2951" spans="41:41" s="7" customFormat="1" x14ac:dyDescent="0.15">
      <c r="AO2951" s="31"/>
    </row>
    <row r="2952" spans="41:41" s="7" customFormat="1" x14ac:dyDescent="0.15">
      <c r="AO2952" s="31"/>
    </row>
    <row r="2953" spans="41:41" s="7" customFormat="1" x14ac:dyDescent="0.15">
      <c r="AO2953" s="31"/>
    </row>
    <row r="2954" spans="41:41" s="7" customFormat="1" x14ac:dyDescent="0.15">
      <c r="AO2954" s="31"/>
    </row>
    <row r="2955" spans="41:41" s="7" customFormat="1" x14ac:dyDescent="0.15">
      <c r="AO2955" s="31"/>
    </row>
    <row r="2956" spans="41:41" s="7" customFormat="1" x14ac:dyDescent="0.15">
      <c r="AO2956" s="31"/>
    </row>
    <row r="2957" spans="41:41" s="7" customFormat="1" x14ac:dyDescent="0.15">
      <c r="AO2957" s="31"/>
    </row>
    <row r="2958" spans="41:41" s="7" customFormat="1" x14ac:dyDescent="0.15">
      <c r="AO2958" s="31"/>
    </row>
    <row r="2959" spans="41:41" s="7" customFormat="1" x14ac:dyDescent="0.15">
      <c r="AO2959" s="31"/>
    </row>
    <row r="2960" spans="41:41" s="7" customFormat="1" x14ac:dyDescent="0.15">
      <c r="AO2960" s="31"/>
    </row>
    <row r="2961" spans="41:41" s="7" customFormat="1" x14ac:dyDescent="0.15">
      <c r="AO2961" s="31"/>
    </row>
    <row r="2962" spans="41:41" s="7" customFormat="1" x14ac:dyDescent="0.15">
      <c r="AO2962" s="31"/>
    </row>
    <row r="2963" spans="41:41" s="7" customFormat="1" x14ac:dyDescent="0.15">
      <c r="AO2963" s="31"/>
    </row>
    <row r="2964" spans="41:41" s="7" customFormat="1" x14ac:dyDescent="0.15">
      <c r="AO2964" s="31"/>
    </row>
    <row r="2965" spans="41:41" s="7" customFormat="1" x14ac:dyDescent="0.15">
      <c r="AO2965" s="31"/>
    </row>
    <row r="2966" spans="41:41" s="7" customFormat="1" x14ac:dyDescent="0.15">
      <c r="AO2966" s="31"/>
    </row>
    <row r="2967" spans="41:41" s="7" customFormat="1" x14ac:dyDescent="0.15">
      <c r="AO2967" s="31"/>
    </row>
    <row r="2968" spans="41:41" s="7" customFormat="1" x14ac:dyDescent="0.15">
      <c r="AO2968" s="31"/>
    </row>
    <row r="2969" spans="41:41" s="7" customFormat="1" x14ac:dyDescent="0.15">
      <c r="AO2969" s="31"/>
    </row>
    <row r="2970" spans="41:41" s="7" customFormat="1" x14ac:dyDescent="0.15">
      <c r="AO2970" s="31"/>
    </row>
    <row r="2971" spans="41:41" s="7" customFormat="1" x14ac:dyDescent="0.15">
      <c r="AO2971" s="31"/>
    </row>
    <row r="2972" spans="41:41" s="7" customFormat="1" x14ac:dyDescent="0.15">
      <c r="AO2972" s="31"/>
    </row>
    <row r="2973" spans="41:41" s="7" customFormat="1" x14ac:dyDescent="0.15">
      <c r="AO2973" s="31"/>
    </row>
    <row r="2974" spans="41:41" s="7" customFormat="1" x14ac:dyDescent="0.15">
      <c r="AO2974" s="31"/>
    </row>
    <row r="2975" spans="41:41" s="7" customFormat="1" x14ac:dyDescent="0.15">
      <c r="AO2975" s="31"/>
    </row>
    <row r="2976" spans="41:41" s="7" customFormat="1" x14ac:dyDescent="0.15">
      <c r="AO2976" s="31"/>
    </row>
    <row r="2977" spans="41:41" s="7" customFormat="1" x14ac:dyDescent="0.15">
      <c r="AO2977" s="31"/>
    </row>
    <row r="2978" spans="41:41" s="7" customFormat="1" x14ac:dyDescent="0.15">
      <c r="AO2978" s="31"/>
    </row>
    <row r="2979" spans="41:41" s="7" customFormat="1" x14ac:dyDescent="0.15">
      <c r="AO2979" s="31"/>
    </row>
    <row r="2980" spans="41:41" s="7" customFormat="1" x14ac:dyDescent="0.15">
      <c r="AO2980" s="31"/>
    </row>
    <row r="2981" spans="41:41" s="7" customFormat="1" x14ac:dyDescent="0.15">
      <c r="AO2981" s="31"/>
    </row>
    <row r="2982" spans="41:41" s="7" customFormat="1" x14ac:dyDescent="0.15">
      <c r="AO2982" s="31"/>
    </row>
    <row r="2983" spans="41:41" s="7" customFormat="1" x14ac:dyDescent="0.15">
      <c r="AO2983" s="31"/>
    </row>
    <row r="2984" spans="41:41" s="7" customFormat="1" x14ac:dyDescent="0.15">
      <c r="AO2984" s="31"/>
    </row>
    <row r="2985" spans="41:41" s="7" customFormat="1" x14ac:dyDescent="0.15">
      <c r="AO2985" s="31"/>
    </row>
    <row r="2986" spans="41:41" s="7" customFormat="1" x14ac:dyDescent="0.15">
      <c r="AO2986" s="31"/>
    </row>
    <row r="2987" spans="41:41" s="7" customFormat="1" x14ac:dyDescent="0.15">
      <c r="AO2987" s="31"/>
    </row>
    <row r="2988" spans="41:41" s="7" customFormat="1" x14ac:dyDescent="0.15">
      <c r="AO2988" s="31"/>
    </row>
    <row r="2989" spans="41:41" s="7" customFormat="1" x14ac:dyDescent="0.15">
      <c r="AO2989" s="31"/>
    </row>
    <row r="2990" spans="41:41" s="7" customFormat="1" x14ac:dyDescent="0.15">
      <c r="AO2990" s="31"/>
    </row>
    <row r="2991" spans="41:41" s="7" customFormat="1" x14ac:dyDescent="0.15">
      <c r="AO2991" s="31"/>
    </row>
    <row r="2992" spans="41:41" s="7" customFormat="1" x14ac:dyDescent="0.15">
      <c r="AO2992" s="31"/>
    </row>
    <row r="2993" spans="41:41" s="7" customFormat="1" x14ac:dyDescent="0.15">
      <c r="AO2993" s="31"/>
    </row>
    <row r="2994" spans="41:41" s="7" customFormat="1" x14ac:dyDescent="0.15">
      <c r="AO2994" s="31"/>
    </row>
    <row r="2995" spans="41:41" s="7" customFormat="1" x14ac:dyDescent="0.15">
      <c r="AO2995" s="31"/>
    </row>
    <row r="2996" spans="41:41" s="7" customFormat="1" x14ac:dyDescent="0.15">
      <c r="AO2996" s="31"/>
    </row>
    <row r="2997" spans="41:41" s="7" customFormat="1" x14ac:dyDescent="0.15">
      <c r="AO2997" s="31"/>
    </row>
    <row r="2998" spans="41:41" s="7" customFormat="1" x14ac:dyDescent="0.15">
      <c r="AO2998" s="31"/>
    </row>
    <row r="2999" spans="41:41" s="7" customFormat="1" x14ac:dyDescent="0.15">
      <c r="AO2999" s="31"/>
    </row>
    <row r="3000" spans="41:41" s="7" customFormat="1" x14ac:dyDescent="0.15">
      <c r="AO3000" s="31"/>
    </row>
    <row r="3001" spans="41:41" s="7" customFormat="1" x14ac:dyDescent="0.15">
      <c r="AO3001" s="31"/>
    </row>
    <row r="3002" spans="41:41" s="7" customFormat="1" x14ac:dyDescent="0.15">
      <c r="AO3002" s="31"/>
    </row>
    <row r="3003" spans="41:41" s="7" customFormat="1" x14ac:dyDescent="0.15">
      <c r="AO3003" s="31"/>
    </row>
    <row r="3004" spans="41:41" s="7" customFormat="1" x14ac:dyDescent="0.15">
      <c r="AO3004" s="31"/>
    </row>
    <row r="3005" spans="41:41" s="7" customFormat="1" x14ac:dyDescent="0.15">
      <c r="AO3005" s="31"/>
    </row>
    <row r="3006" spans="41:41" s="7" customFormat="1" x14ac:dyDescent="0.15">
      <c r="AO3006" s="31"/>
    </row>
    <row r="3007" spans="41:41" s="7" customFormat="1" x14ac:dyDescent="0.15">
      <c r="AO3007" s="31"/>
    </row>
    <row r="3008" spans="41:41" s="7" customFormat="1" x14ac:dyDescent="0.15">
      <c r="AO3008" s="31"/>
    </row>
    <row r="3009" spans="41:41" s="7" customFormat="1" x14ac:dyDescent="0.15">
      <c r="AO3009" s="31"/>
    </row>
    <row r="3010" spans="41:41" s="7" customFormat="1" x14ac:dyDescent="0.15">
      <c r="AO3010" s="31"/>
    </row>
    <row r="3011" spans="41:41" s="7" customFormat="1" x14ac:dyDescent="0.15">
      <c r="AO3011" s="31"/>
    </row>
    <row r="3012" spans="41:41" s="7" customFormat="1" x14ac:dyDescent="0.15">
      <c r="AO3012" s="31"/>
    </row>
    <row r="3013" spans="41:41" s="7" customFormat="1" x14ac:dyDescent="0.15">
      <c r="AO3013" s="31"/>
    </row>
    <row r="3014" spans="41:41" s="7" customFormat="1" x14ac:dyDescent="0.15">
      <c r="AO3014" s="31"/>
    </row>
    <row r="3015" spans="41:41" s="7" customFormat="1" x14ac:dyDescent="0.15">
      <c r="AO3015" s="31"/>
    </row>
    <row r="3016" spans="41:41" s="7" customFormat="1" x14ac:dyDescent="0.15">
      <c r="AO3016" s="31"/>
    </row>
    <row r="3017" spans="41:41" s="7" customFormat="1" x14ac:dyDescent="0.15">
      <c r="AO3017" s="31"/>
    </row>
    <row r="3018" spans="41:41" s="7" customFormat="1" x14ac:dyDescent="0.15">
      <c r="AO3018" s="31"/>
    </row>
    <row r="3019" spans="41:41" s="7" customFormat="1" x14ac:dyDescent="0.15">
      <c r="AO3019" s="31"/>
    </row>
    <row r="3020" spans="41:41" s="7" customFormat="1" x14ac:dyDescent="0.15">
      <c r="AO3020" s="31"/>
    </row>
    <row r="3021" spans="41:41" s="7" customFormat="1" x14ac:dyDescent="0.15">
      <c r="AO3021" s="31"/>
    </row>
    <row r="3022" spans="41:41" s="7" customFormat="1" x14ac:dyDescent="0.15">
      <c r="AO3022" s="31"/>
    </row>
    <row r="3023" spans="41:41" s="7" customFormat="1" x14ac:dyDescent="0.15">
      <c r="AO3023" s="31"/>
    </row>
    <row r="3024" spans="41:41" s="7" customFormat="1" x14ac:dyDescent="0.15">
      <c r="AO3024" s="31"/>
    </row>
    <row r="3025" spans="41:41" s="7" customFormat="1" x14ac:dyDescent="0.15">
      <c r="AO3025" s="31"/>
    </row>
    <row r="3026" spans="41:41" s="7" customFormat="1" x14ac:dyDescent="0.15">
      <c r="AO3026" s="31"/>
    </row>
    <row r="3027" spans="41:41" s="7" customFormat="1" x14ac:dyDescent="0.15">
      <c r="AO3027" s="31"/>
    </row>
    <row r="3028" spans="41:41" s="7" customFormat="1" x14ac:dyDescent="0.15">
      <c r="AO3028" s="31"/>
    </row>
    <row r="3029" spans="41:41" s="7" customFormat="1" x14ac:dyDescent="0.15">
      <c r="AO3029" s="31"/>
    </row>
    <row r="3030" spans="41:41" s="7" customFormat="1" x14ac:dyDescent="0.15">
      <c r="AO3030" s="31"/>
    </row>
    <row r="3031" spans="41:41" s="7" customFormat="1" x14ac:dyDescent="0.15">
      <c r="AO3031" s="31"/>
    </row>
    <row r="3032" spans="41:41" s="7" customFormat="1" x14ac:dyDescent="0.15">
      <c r="AO3032" s="31"/>
    </row>
    <row r="3033" spans="41:41" s="7" customFormat="1" x14ac:dyDescent="0.15">
      <c r="AO3033" s="31"/>
    </row>
    <row r="3034" spans="41:41" s="7" customFormat="1" x14ac:dyDescent="0.15">
      <c r="AO3034" s="31"/>
    </row>
    <row r="3035" spans="41:41" s="7" customFormat="1" x14ac:dyDescent="0.15">
      <c r="AO3035" s="31"/>
    </row>
    <row r="3036" spans="41:41" s="7" customFormat="1" x14ac:dyDescent="0.15">
      <c r="AO3036" s="31"/>
    </row>
    <row r="3037" spans="41:41" s="7" customFormat="1" x14ac:dyDescent="0.15">
      <c r="AO3037" s="31"/>
    </row>
    <row r="3038" spans="41:41" s="7" customFormat="1" x14ac:dyDescent="0.15">
      <c r="AO3038" s="31"/>
    </row>
    <row r="3039" spans="41:41" s="7" customFormat="1" x14ac:dyDescent="0.15">
      <c r="AO3039" s="31"/>
    </row>
    <row r="3040" spans="41:41" s="7" customFormat="1" x14ac:dyDescent="0.15">
      <c r="AO3040" s="31"/>
    </row>
    <row r="3041" spans="41:41" s="7" customFormat="1" x14ac:dyDescent="0.15">
      <c r="AO3041" s="31"/>
    </row>
    <row r="3042" spans="41:41" s="7" customFormat="1" x14ac:dyDescent="0.15">
      <c r="AO3042" s="31"/>
    </row>
    <row r="3043" spans="41:41" s="7" customFormat="1" x14ac:dyDescent="0.15">
      <c r="AO3043" s="31"/>
    </row>
    <row r="3044" spans="41:41" s="7" customFormat="1" x14ac:dyDescent="0.15">
      <c r="AO3044" s="31"/>
    </row>
    <row r="3045" spans="41:41" s="7" customFormat="1" x14ac:dyDescent="0.15">
      <c r="AO3045" s="31"/>
    </row>
    <row r="3046" spans="41:41" s="7" customFormat="1" x14ac:dyDescent="0.15">
      <c r="AO3046" s="31"/>
    </row>
    <row r="3047" spans="41:41" s="7" customFormat="1" x14ac:dyDescent="0.15">
      <c r="AO3047" s="31"/>
    </row>
    <row r="3048" spans="41:41" s="7" customFormat="1" x14ac:dyDescent="0.15">
      <c r="AO3048" s="31"/>
    </row>
    <row r="3049" spans="41:41" s="7" customFormat="1" x14ac:dyDescent="0.15">
      <c r="AO3049" s="31"/>
    </row>
    <row r="3050" spans="41:41" s="7" customFormat="1" x14ac:dyDescent="0.15">
      <c r="AO3050" s="31"/>
    </row>
    <row r="3051" spans="41:41" s="7" customFormat="1" x14ac:dyDescent="0.15">
      <c r="AO3051" s="31"/>
    </row>
    <row r="3052" spans="41:41" s="7" customFormat="1" x14ac:dyDescent="0.15">
      <c r="AO3052" s="31"/>
    </row>
    <row r="3053" spans="41:41" s="7" customFormat="1" x14ac:dyDescent="0.15">
      <c r="AO3053" s="31"/>
    </row>
    <row r="3054" spans="41:41" s="7" customFormat="1" x14ac:dyDescent="0.15">
      <c r="AO3054" s="31"/>
    </row>
    <row r="3055" spans="41:41" s="7" customFormat="1" x14ac:dyDescent="0.15">
      <c r="AO3055" s="31"/>
    </row>
    <row r="3056" spans="41:41" s="7" customFormat="1" x14ac:dyDescent="0.15">
      <c r="AO3056" s="31"/>
    </row>
    <row r="3057" spans="41:41" s="7" customFormat="1" x14ac:dyDescent="0.15">
      <c r="AO3057" s="31"/>
    </row>
    <row r="3058" spans="41:41" s="7" customFormat="1" x14ac:dyDescent="0.15">
      <c r="AO3058" s="31"/>
    </row>
    <row r="3059" spans="41:41" s="7" customFormat="1" x14ac:dyDescent="0.15">
      <c r="AO3059" s="31"/>
    </row>
    <row r="3060" spans="41:41" s="7" customFormat="1" x14ac:dyDescent="0.15">
      <c r="AO3060" s="31"/>
    </row>
    <row r="3061" spans="41:41" s="7" customFormat="1" x14ac:dyDescent="0.15">
      <c r="AO3061" s="31"/>
    </row>
    <row r="3062" spans="41:41" s="7" customFormat="1" x14ac:dyDescent="0.15">
      <c r="AO3062" s="31"/>
    </row>
    <row r="3063" spans="41:41" s="7" customFormat="1" x14ac:dyDescent="0.15">
      <c r="AO3063" s="31"/>
    </row>
    <row r="3064" spans="41:41" s="7" customFormat="1" x14ac:dyDescent="0.15">
      <c r="AO3064" s="31"/>
    </row>
    <row r="3065" spans="41:41" s="7" customFormat="1" x14ac:dyDescent="0.15">
      <c r="AO3065" s="31"/>
    </row>
    <row r="3066" spans="41:41" s="7" customFormat="1" x14ac:dyDescent="0.15">
      <c r="AO3066" s="31"/>
    </row>
    <row r="3067" spans="41:41" s="7" customFormat="1" x14ac:dyDescent="0.15">
      <c r="AO3067" s="31"/>
    </row>
    <row r="3068" spans="41:41" s="7" customFormat="1" x14ac:dyDescent="0.15">
      <c r="AO3068" s="31"/>
    </row>
    <row r="3069" spans="41:41" s="7" customFormat="1" x14ac:dyDescent="0.15">
      <c r="AO3069" s="31"/>
    </row>
    <row r="3070" spans="41:41" s="7" customFormat="1" x14ac:dyDescent="0.15">
      <c r="AO3070" s="31"/>
    </row>
    <row r="3071" spans="41:41" s="7" customFormat="1" x14ac:dyDescent="0.15">
      <c r="AO3071" s="31"/>
    </row>
    <row r="3072" spans="41:41" s="7" customFormat="1" x14ac:dyDescent="0.15">
      <c r="AO3072" s="31"/>
    </row>
    <row r="3073" spans="41:41" s="7" customFormat="1" x14ac:dyDescent="0.15">
      <c r="AO3073" s="31"/>
    </row>
    <row r="3074" spans="41:41" s="7" customFormat="1" x14ac:dyDescent="0.15">
      <c r="AO3074" s="31"/>
    </row>
    <row r="3075" spans="41:41" s="7" customFormat="1" x14ac:dyDescent="0.15">
      <c r="AO3075" s="31"/>
    </row>
    <row r="3076" spans="41:41" s="7" customFormat="1" x14ac:dyDescent="0.15">
      <c r="AO3076" s="31"/>
    </row>
    <row r="3077" spans="41:41" s="7" customFormat="1" x14ac:dyDescent="0.15">
      <c r="AO3077" s="31"/>
    </row>
    <row r="3078" spans="41:41" s="7" customFormat="1" x14ac:dyDescent="0.15">
      <c r="AO3078" s="31"/>
    </row>
    <row r="3079" spans="41:41" s="7" customFormat="1" x14ac:dyDescent="0.15">
      <c r="AO3079" s="31"/>
    </row>
    <row r="3080" spans="41:41" s="7" customFormat="1" x14ac:dyDescent="0.15">
      <c r="AO3080" s="31"/>
    </row>
    <row r="3081" spans="41:41" s="7" customFormat="1" x14ac:dyDescent="0.15">
      <c r="AO3081" s="31"/>
    </row>
    <row r="3082" spans="41:41" s="7" customFormat="1" x14ac:dyDescent="0.15">
      <c r="AO3082" s="31"/>
    </row>
    <row r="3083" spans="41:41" s="7" customFormat="1" x14ac:dyDescent="0.15">
      <c r="AO3083" s="31"/>
    </row>
    <row r="3084" spans="41:41" s="7" customFormat="1" x14ac:dyDescent="0.15">
      <c r="AO3084" s="31"/>
    </row>
    <row r="3085" spans="41:41" s="7" customFormat="1" x14ac:dyDescent="0.15">
      <c r="AO3085" s="31"/>
    </row>
    <row r="3086" spans="41:41" s="7" customFormat="1" x14ac:dyDescent="0.15">
      <c r="AO3086" s="31"/>
    </row>
    <row r="3087" spans="41:41" s="7" customFormat="1" x14ac:dyDescent="0.15">
      <c r="AO3087" s="31"/>
    </row>
    <row r="3088" spans="41:41" s="7" customFormat="1" x14ac:dyDescent="0.15">
      <c r="AO3088" s="31"/>
    </row>
    <row r="3089" spans="41:41" s="7" customFormat="1" x14ac:dyDescent="0.15">
      <c r="AO3089" s="31"/>
    </row>
    <row r="3090" spans="41:41" s="7" customFormat="1" x14ac:dyDescent="0.15">
      <c r="AO3090" s="31"/>
    </row>
    <row r="3091" spans="41:41" s="7" customFormat="1" x14ac:dyDescent="0.15">
      <c r="AO3091" s="31"/>
    </row>
    <row r="3092" spans="41:41" s="7" customFormat="1" x14ac:dyDescent="0.15">
      <c r="AO3092" s="31"/>
    </row>
    <row r="3093" spans="41:41" s="7" customFormat="1" x14ac:dyDescent="0.15">
      <c r="AO3093" s="31"/>
    </row>
    <row r="3094" spans="41:41" s="7" customFormat="1" x14ac:dyDescent="0.15">
      <c r="AO3094" s="31"/>
    </row>
    <row r="3095" spans="41:41" s="7" customFormat="1" x14ac:dyDescent="0.15">
      <c r="AO3095" s="31"/>
    </row>
    <row r="3096" spans="41:41" s="7" customFormat="1" x14ac:dyDescent="0.15">
      <c r="AO3096" s="31"/>
    </row>
    <row r="3097" spans="41:41" s="7" customFormat="1" x14ac:dyDescent="0.15">
      <c r="AO3097" s="31"/>
    </row>
    <row r="3098" spans="41:41" s="7" customFormat="1" x14ac:dyDescent="0.15">
      <c r="AO3098" s="31"/>
    </row>
    <row r="3099" spans="41:41" s="7" customFormat="1" x14ac:dyDescent="0.15">
      <c r="AO3099" s="31"/>
    </row>
    <row r="3100" spans="41:41" s="7" customFormat="1" x14ac:dyDescent="0.15">
      <c r="AO3100" s="31"/>
    </row>
    <row r="3101" spans="41:41" s="7" customFormat="1" x14ac:dyDescent="0.15">
      <c r="AO3101" s="31"/>
    </row>
    <row r="3102" spans="41:41" s="7" customFormat="1" x14ac:dyDescent="0.15">
      <c r="AO3102" s="31"/>
    </row>
    <row r="3103" spans="41:41" s="7" customFormat="1" x14ac:dyDescent="0.15">
      <c r="AO3103" s="31"/>
    </row>
    <row r="3104" spans="41:41" s="7" customFormat="1" x14ac:dyDescent="0.15">
      <c r="AO3104" s="31"/>
    </row>
    <row r="3105" spans="41:41" s="7" customFormat="1" x14ac:dyDescent="0.15">
      <c r="AO3105" s="31"/>
    </row>
    <row r="3106" spans="41:41" s="7" customFormat="1" x14ac:dyDescent="0.15">
      <c r="AO3106" s="31"/>
    </row>
    <row r="3107" spans="41:41" s="7" customFormat="1" x14ac:dyDescent="0.15">
      <c r="AO3107" s="31"/>
    </row>
    <row r="3108" spans="41:41" s="7" customFormat="1" x14ac:dyDescent="0.15">
      <c r="AO3108" s="31"/>
    </row>
    <row r="3109" spans="41:41" s="7" customFormat="1" x14ac:dyDescent="0.15">
      <c r="AO3109" s="31"/>
    </row>
    <row r="3110" spans="41:41" s="7" customFormat="1" x14ac:dyDescent="0.15">
      <c r="AO3110" s="31"/>
    </row>
    <row r="3111" spans="41:41" s="7" customFormat="1" x14ac:dyDescent="0.15">
      <c r="AO3111" s="31"/>
    </row>
    <row r="3112" spans="41:41" s="7" customFormat="1" x14ac:dyDescent="0.15">
      <c r="AO3112" s="31"/>
    </row>
    <row r="3113" spans="41:41" s="7" customFormat="1" x14ac:dyDescent="0.15">
      <c r="AO3113" s="31"/>
    </row>
    <row r="3114" spans="41:41" s="7" customFormat="1" x14ac:dyDescent="0.15">
      <c r="AO3114" s="31"/>
    </row>
    <row r="3115" spans="41:41" s="7" customFormat="1" x14ac:dyDescent="0.15">
      <c r="AO3115" s="31"/>
    </row>
    <row r="3116" spans="41:41" s="7" customFormat="1" x14ac:dyDescent="0.15">
      <c r="AO3116" s="31"/>
    </row>
    <row r="3117" spans="41:41" s="7" customFormat="1" x14ac:dyDescent="0.15">
      <c r="AO3117" s="31"/>
    </row>
    <row r="3118" spans="41:41" s="7" customFormat="1" x14ac:dyDescent="0.15">
      <c r="AO3118" s="31"/>
    </row>
    <row r="3119" spans="41:41" s="7" customFormat="1" x14ac:dyDescent="0.15">
      <c r="AO3119" s="31"/>
    </row>
    <row r="3120" spans="41:41" s="7" customFormat="1" x14ac:dyDescent="0.15">
      <c r="AO3120" s="31"/>
    </row>
    <row r="3121" spans="41:41" s="7" customFormat="1" x14ac:dyDescent="0.15">
      <c r="AO3121" s="31"/>
    </row>
    <row r="3122" spans="41:41" s="7" customFormat="1" x14ac:dyDescent="0.15">
      <c r="AO3122" s="31"/>
    </row>
    <row r="3123" spans="41:41" s="7" customFormat="1" x14ac:dyDescent="0.15">
      <c r="AO3123" s="31"/>
    </row>
    <row r="3124" spans="41:41" s="7" customFormat="1" x14ac:dyDescent="0.15">
      <c r="AO3124" s="31"/>
    </row>
    <row r="3125" spans="41:41" s="7" customFormat="1" x14ac:dyDescent="0.15">
      <c r="AO3125" s="31"/>
    </row>
    <row r="3126" spans="41:41" s="7" customFormat="1" x14ac:dyDescent="0.15">
      <c r="AO3126" s="31"/>
    </row>
    <row r="3127" spans="41:41" s="7" customFormat="1" x14ac:dyDescent="0.15">
      <c r="AO3127" s="31"/>
    </row>
    <row r="3128" spans="41:41" s="7" customFormat="1" x14ac:dyDescent="0.15">
      <c r="AO3128" s="31"/>
    </row>
    <row r="3129" spans="41:41" s="7" customFormat="1" x14ac:dyDescent="0.15">
      <c r="AO3129" s="31"/>
    </row>
    <row r="3130" spans="41:41" s="7" customFormat="1" x14ac:dyDescent="0.15">
      <c r="AO3130" s="31"/>
    </row>
    <row r="3131" spans="41:41" s="7" customFormat="1" x14ac:dyDescent="0.15">
      <c r="AO3131" s="31"/>
    </row>
    <row r="3132" spans="41:41" s="7" customFormat="1" x14ac:dyDescent="0.15">
      <c r="AO3132" s="31"/>
    </row>
    <row r="3133" spans="41:41" s="7" customFormat="1" x14ac:dyDescent="0.15">
      <c r="AO3133" s="31"/>
    </row>
    <row r="3134" spans="41:41" s="7" customFormat="1" x14ac:dyDescent="0.15">
      <c r="AO3134" s="31"/>
    </row>
    <row r="3135" spans="41:41" s="7" customFormat="1" x14ac:dyDescent="0.15">
      <c r="AO3135" s="31"/>
    </row>
    <row r="3136" spans="41:41" s="7" customFormat="1" x14ac:dyDescent="0.15">
      <c r="AO3136" s="31"/>
    </row>
    <row r="3137" spans="41:41" s="7" customFormat="1" x14ac:dyDescent="0.15">
      <c r="AO3137" s="31"/>
    </row>
    <row r="3138" spans="41:41" s="7" customFormat="1" x14ac:dyDescent="0.15">
      <c r="AO3138" s="31"/>
    </row>
    <row r="3139" spans="41:41" s="7" customFormat="1" x14ac:dyDescent="0.15">
      <c r="AO3139" s="31"/>
    </row>
    <row r="3140" spans="41:41" s="7" customFormat="1" x14ac:dyDescent="0.15">
      <c r="AO3140" s="31"/>
    </row>
    <row r="3141" spans="41:41" s="7" customFormat="1" x14ac:dyDescent="0.15">
      <c r="AO3141" s="31"/>
    </row>
    <row r="3142" spans="41:41" s="7" customFormat="1" x14ac:dyDescent="0.15">
      <c r="AO3142" s="31"/>
    </row>
    <row r="3143" spans="41:41" s="7" customFormat="1" x14ac:dyDescent="0.15">
      <c r="AO3143" s="31"/>
    </row>
    <row r="3144" spans="41:41" s="7" customFormat="1" x14ac:dyDescent="0.15">
      <c r="AO3144" s="31"/>
    </row>
    <row r="3145" spans="41:41" s="7" customFormat="1" x14ac:dyDescent="0.15">
      <c r="AO3145" s="31"/>
    </row>
    <row r="3146" spans="41:41" s="7" customFormat="1" x14ac:dyDescent="0.15">
      <c r="AO3146" s="31"/>
    </row>
    <row r="3147" spans="41:41" s="7" customFormat="1" x14ac:dyDescent="0.15">
      <c r="AO3147" s="31"/>
    </row>
    <row r="3148" spans="41:41" s="7" customFormat="1" x14ac:dyDescent="0.15">
      <c r="AO3148" s="31"/>
    </row>
    <row r="3149" spans="41:41" s="7" customFormat="1" x14ac:dyDescent="0.15">
      <c r="AO3149" s="31"/>
    </row>
    <row r="3150" spans="41:41" s="7" customFormat="1" x14ac:dyDescent="0.15">
      <c r="AO3150" s="31"/>
    </row>
    <row r="3151" spans="41:41" s="7" customFormat="1" x14ac:dyDescent="0.15">
      <c r="AO3151" s="31"/>
    </row>
    <row r="3152" spans="41:41" s="7" customFormat="1" x14ac:dyDescent="0.15">
      <c r="AO3152" s="31"/>
    </row>
    <row r="3153" spans="41:41" s="7" customFormat="1" x14ac:dyDescent="0.15">
      <c r="AO3153" s="31"/>
    </row>
    <row r="3154" spans="41:41" s="7" customFormat="1" x14ac:dyDescent="0.15">
      <c r="AO3154" s="31"/>
    </row>
    <row r="3155" spans="41:41" s="7" customFormat="1" x14ac:dyDescent="0.15">
      <c r="AO3155" s="31"/>
    </row>
    <row r="3156" spans="41:41" s="7" customFormat="1" x14ac:dyDescent="0.15">
      <c r="AO3156" s="31"/>
    </row>
    <row r="3157" spans="41:41" s="7" customFormat="1" x14ac:dyDescent="0.15">
      <c r="AO3157" s="31"/>
    </row>
    <row r="3158" spans="41:41" s="7" customFormat="1" x14ac:dyDescent="0.15">
      <c r="AO3158" s="31"/>
    </row>
    <row r="3159" spans="41:41" s="7" customFormat="1" x14ac:dyDescent="0.15">
      <c r="AO3159" s="31"/>
    </row>
    <row r="3160" spans="41:41" s="7" customFormat="1" x14ac:dyDescent="0.15">
      <c r="AO3160" s="31"/>
    </row>
    <row r="3161" spans="41:41" s="7" customFormat="1" x14ac:dyDescent="0.15">
      <c r="AO3161" s="31"/>
    </row>
    <row r="3162" spans="41:41" s="7" customFormat="1" x14ac:dyDescent="0.15">
      <c r="AO3162" s="31"/>
    </row>
    <row r="3163" spans="41:41" s="7" customFormat="1" x14ac:dyDescent="0.15">
      <c r="AO3163" s="31"/>
    </row>
    <row r="3164" spans="41:41" s="7" customFormat="1" x14ac:dyDescent="0.15">
      <c r="AO3164" s="31"/>
    </row>
    <row r="3165" spans="41:41" s="7" customFormat="1" x14ac:dyDescent="0.15">
      <c r="AO3165" s="31"/>
    </row>
    <row r="3166" spans="41:41" s="7" customFormat="1" x14ac:dyDescent="0.15">
      <c r="AO3166" s="31"/>
    </row>
    <row r="3167" spans="41:41" s="7" customFormat="1" x14ac:dyDescent="0.15">
      <c r="AO3167" s="31"/>
    </row>
    <row r="3168" spans="41:41" s="7" customFormat="1" x14ac:dyDescent="0.15">
      <c r="AO3168" s="31"/>
    </row>
    <row r="3169" spans="41:41" s="7" customFormat="1" x14ac:dyDescent="0.15">
      <c r="AO3169" s="31"/>
    </row>
    <row r="3170" spans="41:41" s="7" customFormat="1" x14ac:dyDescent="0.15">
      <c r="AO3170" s="31"/>
    </row>
    <row r="3171" spans="41:41" s="7" customFormat="1" x14ac:dyDescent="0.15">
      <c r="AO3171" s="31"/>
    </row>
    <row r="3172" spans="41:41" s="7" customFormat="1" x14ac:dyDescent="0.15">
      <c r="AO3172" s="31"/>
    </row>
    <row r="3173" spans="41:41" s="7" customFormat="1" x14ac:dyDescent="0.15">
      <c r="AO3173" s="31"/>
    </row>
    <row r="3174" spans="41:41" s="7" customFormat="1" x14ac:dyDescent="0.15">
      <c r="AO3174" s="31"/>
    </row>
    <row r="3175" spans="41:41" s="7" customFormat="1" x14ac:dyDescent="0.15">
      <c r="AO3175" s="31"/>
    </row>
    <row r="3176" spans="41:41" s="7" customFormat="1" x14ac:dyDescent="0.15">
      <c r="AO3176" s="31"/>
    </row>
    <row r="3177" spans="41:41" s="7" customFormat="1" x14ac:dyDescent="0.15">
      <c r="AO3177" s="31"/>
    </row>
    <row r="3178" spans="41:41" s="7" customFormat="1" x14ac:dyDescent="0.15">
      <c r="AO3178" s="31"/>
    </row>
    <row r="3179" spans="41:41" s="7" customFormat="1" x14ac:dyDescent="0.15">
      <c r="AO3179" s="31"/>
    </row>
    <row r="3180" spans="41:41" s="7" customFormat="1" x14ac:dyDescent="0.15">
      <c r="AO3180" s="31"/>
    </row>
    <row r="3181" spans="41:41" s="7" customFormat="1" x14ac:dyDescent="0.15">
      <c r="AO3181" s="31"/>
    </row>
    <row r="3182" spans="41:41" s="7" customFormat="1" x14ac:dyDescent="0.15">
      <c r="AO3182" s="31"/>
    </row>
    <row r="3183" spans="41:41" s="7" customFormat="1" x14ac:dyDescent="0.15">
      <c r="AO3183" s="31"/>
    </row>
    <row r="3184" spans="41:41" s="7" customFormat="1" x14ac:dyDescent="0.15">
      <c r="AO3184" s="31"/>
    </row>
    <row r="3185" spans="41:41" s="7" customFormat="1" x14ac:dyDescent="0.15">
      <c r="AO3185" s="31"/>
    </row>
    <row r="3186" spans="41:41" s="7" customFormat="1" x14ac:dyDescent="0.15">
      <c r="AO3186" s="31"/>
    </row>
    <row r="3187" spans="41:41" s="7" customFormat="1" x14ac:dyDescent="0.15">
      <c r="AO3187" s="31"/>
    </row>
    <row r="3188" spans="41:41" s="7" customFormat="1" x14ac:dyDescent="0.15">
      <c r="AO3188" s="31"/>
    </row>
    <row r="3189" spans="41:41" s="7" customFormat="1" x14ac:dyDescent="0.15">
      <c r="AO3189" s="31"/>
    </row>
    <row r="3190" spans="41:41" s="7" customFormat="1" x14ac:dyDescent="0.15">
      <c r="AO3190" s="31"/>
    </row>
    <row r="3191" spans="41:41" s="7" customFormat="1" x14ac:dyDescent="0.15">
      <c r="AO3191" s="31"/>
    </row>
    <row r="3192" spans="41:41" s="7" customFormat="1" x14ac:dyDescent="0.15">
      <c r="AO3192" s="31"/>
    </row>
    <row r="3193" spans="41:41" s="7" customFormat="1" x14ac:dyDescent="0.15">
      <c r="AO3193" s="31"/>
    </row>
    <row r="3194" spans="41:41" s="7" customFormat="1" x14ac:dyDescent="0.15">
      <c r="AO3194" s="31"/>
    </row>
    <row r="3195" spans="41:41" s="7" customFormat="1" x14ac:dyDescent="0.15">
      <c r="AO3195" s="31"/>
    </row>
    <row r="3196" spans="41:41" s="7" customFormat="1" x14ac:dyDescent="0.15">
      <c r="AO3196" s="31"/>
    </row>
    <row r="3197" spans="41:41" s="7" customFormat="1" x14ac:dyDescent="0.15">
      <c r="AO3197" s="31"/>
    </row>
    <row r="3198" spans="41:41" s="7" customFormat="1" x14ac:dyDescent="0.15">
      <c r="AO3198" s="31"/>
    </row>
    <row r="3199" spans="41:41" s="7" customFormat="1" x14ac:dyDescent="0.15">
      <c r="AO3199" s="31"/>
    </row>
    <row r="3200" spans="41:41" s="7" customFormat="1" x14ac:dyDescent="0.15">
      <c r="AO3200" s="31"/>
    </row>
    <row r="3201" spans="41:41" s="7" customFormat="1" x14ac:dyDescent="0.15">
      <c r="AO3201" s="31"/>
    </row>
    <row r="3202" spans="41:41" s="7" customFormat="1" x14ac:dyDescent="0.15">
      <c r="AO3202" s="31"/>
    </row>
    <row r="3203" spans="41:41" s="7" customFormat="1" x14ac:dyDescent="0.15">
      <c r="AO3203" s="31"/>
    </row>
    <row r="3204" spans="41:41" s="7" customFormat="1" x14ac:dyDescent="0.15">
      <c r="AO3204" s="31"/>
    </row>
    <row r="3205" spans="41:41" s="7" customFormat="1" x14ac:dyDescent="0.15">
      <c r="AO3205" s="31"/>
    </row>
    <row r="3206" spans="41:41" s="7" customFormat="1" x14ac:dyDescent="0.15">
      <c r="AO3206" s="31"/>
    </row>
    <row r="3207" spans="41:41" s="7" customFormat="1" x14ac:dyDescent="0.15">
      <c r="AO3207" s="31"/>
    </row>
    <row r="3208" spans="41:41" s="7" customFormat="1" x14ac:dyDescent="0.15">
      <c r="AO3208" s="31"/>
    </row>
    <row r="3209" spans="41:41" s="7" customFormat="1" x14ac:dyDescent="0.15">
      <c r="AO3209" s="31"/>
    </row>
    <row r="3210" spans="41:41" s="7" customFormat="1" x14ac:dyDescent="0.15">
      <c r="AO3210" s="31"/>
    </row>
    <row r="3211" spans="41:41" s="7" customFormat="1" x14ac:dyDescent="0.15">
      <c r="AO3211" s="31"/>
    </row>
    <row r="3212" spans="41:41" s="7" customFormat="1" x14ac:dyDescent="0.15">
      <c r="AO3212" s="31"/>
    </row>
    <row r="3213" spans="41:41" s="7" customFormat="1" x14ac:dyDescent="0.15">
      <c r="AO3213" s="31"/>
    </row>
    <row r="3214" spans="41:41" s="7" customFormat="1" x14ac:dyDescent="0.15">
      <c r="AO3214" s="31"/>
    </row>
    <row r="3215" spans="41:41" s="7" customFormat="1" x14ac:dyDescent="0.15">
      <c r="AO3215" s="31"/>
    </row>
    <row r="3216" spans="41:41" s="7" customFormat="1" x14ac:dyDescent="0.15">
      <c r="AO3216" s="31"/>
    </row>
    <row r="3217" spans="41:41" s="7" customFormat="1" x14ac:dyDescent="0.15">
      <c r="AO3217" s="31"/>
    </row>
    <row r="3218" spans="41:41" s="7" customFormat="1" x14ac:dyDescent="0.15">
      <c r="AO3218" s="31"/>
    </row>
    <row r="3219" spans="41:41" s="7" customFormat="1" x14ac:dyDescent="0.15">
      <c r="AO3219" s="31"/>
    </row>
    <row r="3220" spans="41:41" s="7" customFormat="1" x14ac:dyDescent="0.15">
      <c r="AO3220" s="31"/>
    </row>
    <row r="3221" spans="41:41" s="7" customFormat="1" x14ac:dyDescent="0.15">
      <c r="AO3221" s="31"/>
    </row>
    <row r="3222" spans="41:41" s="7" customFormat="1" x14ac:dyDescent="0.15">
      <c r="AO3222" s="31"/>
    </row>
    <row r="3223" spans="41:41" s="7" customFormat="1" x14ac:dyDescent="0.15">
      <c r="AO3223" s="31"/>
    </row>
    <row r="3224" spans="41:41" s="7" customFormat="1" x14ac:dyDescent="0.15">
      <c r="AO3224" s="31"/>
    </row>
    <row r="3225" spans="41:41" s="7" customFormat="1" x14ac:dyDescent="0.15">
      <c r="AO3225" s="31"/>
    </row>
    <row r="3226" spans="41:41" s="7" customFormat="1" x14ac:dyDescent="0.15">
      <c r="AO3226" s="31"/>
    </row>
    <row r="3227" spans="41:41" s="7" customFormat="1" x14ac:dyDescent="0.15">
      <c r="AO3227" s="31"/>
    </row>
    <row r="3228" spans="41:41" s="7" customFormat="1" x14ac:dyDescent="0.15">
      <c r="AO3228" s="31"/>
    </row>
    <row r="3229" spans="41:41" s="7" customFormat="1" x14ac:dyDescent="0.15">
      <c r="AO3229" s="31"/>
    </row>
    <row r="3230" spans="41:41" s="7" customFormat="1" x14ac:dyDescent="0.15">
      <c r="AO3230" s="31"/>
    </row>
    <row r="3231" spans="41:41" s="7" customFormat="1" x14ac:dyDescent="0.15">
      <c r="AO3231" s="31"/>
    </row>
    <row r="3232" spans="41:41" s="7" customFormat="1" x14ac:dyDescent="0.15">
      <c r="AO3232" s="31"/>
    </row>
    <row r="3233" spans="41:41" s="7" customFormat="1" x14ac:dyDescent="0.15">
      <c r="AO3233" s="31"/>
    </row>
    <row r="3234" spans="41:41" s="7" customFormat="1" x14ac:dyDescent="0.15">
      <c r="AO3234" s="31"/>
    </row>
    <row r="3235" spans="41:41" s="7" customFormat="1" x14ac:dyDescent="0.15">
      <c r="AO3235" s="31"/>
    </row>
    <row r="3236" spans="41:41" s="7" customFormat="1" x14ac:dyDescent="0.15">
      <c r="AO3236" s="31"/>
    </row>
    <row r="3237" spans="41:41" s="7" customFormat="1" x14ac:dyDescent="0.15">
      <c r="AO3237" s="31"/>
    </row>
    <row r="3238" spans="41:41" s="7" customFormat="1" x14ac:dyDescent="0.15">
      <c r="AO3238" s="31"/>
    </row>
    <row r="3239" spans="41:41" s="7" customFormat="1" x14ac:dyDescent="0.15">
      <c r="AO3239" s="31"/>
    </row>
    <row r="3240" spans="41:41" s="7" customFormat="1" x14ac:dyDescent="0.15">
      <c r="AO3240" s="31"/>
    </row>
    <row r="3241" spans="41:41" s="7" customFormat="1" x14ac:dyDescent="0.15">
      <c r="AO3241" s="31"/>
    </row>
    <row r="3242" spans="41:41" s="7" customFormat="1" x14ac:dyDescent="0.15">
      <c r="AO3242" s="31"/>
    </row>
    <row r="3243" spans="41:41" s="7" customFormat="1" x14ac:dyDescent="0.15">
      <c r="AO3243" s="31"/>
    </row>
    <row r="3244" spans="41:41" s="7" customFormat="1" x14ac:dyDescent="0.15">
      <c r="AO3244" s="31"/>
    </row>
    <row r="3245" spans="41:41" s="7" customFormat="1" x14ac:dyDescent="0.15">
      <c r="AO3245" s="31"/>
    </row>
    <row r="3246" spans="41:41" s="7" customFormat="1" x14ac:dyDescent="0.15">
      <c r="AO3246" s="31"/>
    </row>
    <row r="3247" spans="41:41" s="7" customFormat="1" x14ac:dyDescent="0.15">
      <c r="AO3247" s="31"/>
    </row>
    <row r="3248" spans="41:41" s="7" customFormat="1" x14ac:dyDescent="0.15">
      <c r="AO3248" s="31"/>
    </row>
    <row r="3249" spans="41:41" s="7" customFormat="1" x14ac:dyDescent="0.15">
      <c r="AO3249" s="31"/>
    </row>
    <row r="3250" spans="41:41" s="7" customFormat="1" x14ac:dyDescent="0.15">
      <c r="AO3250" s="31"/>
    </row>
    <row r="3251" spans="41:41" s="7" customFormat="1" x14ac:dyDescent="0.15">
      <c r="AO3251" s="31"/>
    </row>
    <row r="3252" spans="41:41" s="7" customFormat="1" x14ac:dyDescent="0.15">
      <c r="AO3252" s="31"/>
    </row>
    <row r="3253" spans="41:41" s="7" customFormat="1" x14ac:dyDescent="0.15">
      <c r="AO3253" s="31"/>
    </row>
    <row r="3254" spans="41:41" s="7" customFormat="1" x14ac:dyDescent="0.15">
      <c r="AO3254" s="31"/>
    </row>
    <row r="3255" spans="41:41" s="7" customFormat="1" x14ac:dyDescent="0.15">
      <c r="AO3255" s="31"/>
    </row>
    <row r="3256" spans="41:41" s="7" customFormat="1" x14ac:dyDescent="0.15">
      <c r="AO3256" s="31"/>
    </row>
    <row r="3257" spans="41:41" s="7" customFormat="1" x14ac:dyDescent="0.15">
      <c r="AO3257" s="31"/>
    </row>
    <row r="3258" spans="41:41" s="7" customFormat="1" x14ac:dyDescent="0.15">
      <c r="AO3258" s="31"/>
    </row>
    <row r="3259" spans="41:41" s="7" customFormat="1" x14ac:dyDescent="0.15">
      <c r="AO3259" s="31"/>
    </row>
    <row r="3260" spans="41:41" s="7" customFormat="1" x14ac:dyDescent="0.15">
      <c r="AO3260" s="31"/>
    </row>
    <row r="3261" spans="41:41" s="7" customFormat="1" x14ac:dyDescent="0.15">
      <c r="AO3261" s="31"/>
    </row>
    <row r="3262" spans="41:41" s="7" customFormat="1" x14ac:dyDescent="0.15">
      <c r="AO3262" s="31"/>
    </row>
    <row r="3263" spans="41:41" s="7" customFormat="1" x14ac:dyDescent="0.15">
      <c r="AO3263" s="31"/>
    </row>
    <row r="3264" spans="41:41" s="7" customFormat="1" x14ac:dyDescent="0.15">
      <c r="AO3264" s="31"/>
    </row>
    <row r="3265" spans="41:41" s="7" customFormat="1" x14ac:dyDescent="0.15">
      <c r="AO3265" s="31"/>
    </row>
    <row r="3266" spans="41:41" s="7" customFormat="1" x14ac:dyDescent="0.15">
      <c r="AO3266" s="31"/>
    </row>
    <row r="3267" spans="41:41" s="7" customFormat="1" x14ac:dyDescent="0.15">
      <c r="AO3267" s="31"/>
    </row>
    <row r="3268" spans="41:41" s="7" customFormat="1" x14ac:dyDescent="0.15">
      <c r="AO3268" s="31"/>
    </row>
    <row r="3269" spans="41:41" s="7" customFormat="1" x14ac:dyDescent="0.15">
      <c r="AO3269" s="31"/>
    </row>
    <row r="3270" spans="41:41" s="7" customFormat="1" x14ac:dyDescent="0.15">
      <c r="AO3270" s="31"/>
    </row>
    <row r="3271" spans="41:41" s="7" customFormat="1" x14ac:dyDescent="0.15">
      <c r="AO3271" s="31"/>
    </row>
    <row r="3272" spans="41:41" s="7" customFormat="1" x14ac:dyDescent="0.15">
      <c r="AO3272" s="31"/>
    </row>
    <row r="3273" spans="41:41" s="7" customFormat="1" x14ac:dyDescent="0.15">
      <c r="AO3273" s="31"/>
    </row>
    <row r="3274" spans="41:41" s="7" customFormat="1" x14ac:dyDescent="0.15">
      <c r="AO3274" s="31"/>
    </row>
    <row r="3275" spans="41:41" s="7" customFormat="1" x14ac:dyDescent="0.15">
      <c r="AO3275" s="31"/>
    </row>
    <row r="3276" spans="41:41" s="7" customFormat="1" x14ac:dyDescent="0.15">
      <c r="AO3276" s="31"/>
    </row>
    <row r="3277" spans="41:41" s="7" customFormat="1" x14ac:dyDescent="0.15">
      <c r="AO3277" s="31"/>
    </row>
    <row r="3278" spans="41:41" s="7" customFormat="1" x14ac:dyDescent="0.15">
      <c r="AO3278" s="31"/>
    </row>
    <row r="3279" spans="41:41" s="7" customFormat="1" x14ac:dyDescent="0.15">
      <c r="AO3279" s="31"/>
    </row>
    <row r="3280" spans="41:41" s="7" customFormat="1" x14ac:dyDescent="0.15">
      <c r="AO3280" s="31"/>
    </row>
    <row r="3281" spans="41:41" s="7" customFormat="1" x14ac:dyDescent="0.15">
      <c r="AO3281" s="31"/>
    </row>
    <row r="3282" spans="41:41" s="7" customFormat="1" x14ac:dyDescent="0.15">
      <c r="AO3282" s="31"/>
    </row>
    <row r="3283" spans="41:41" s="7" customFormat="1" x14ac:dyDescent="0.15">
      <c r="AO3283" s="31"/>
    </row>
    <row r="3284" spans="41:41" s="7" customFormat="1" x14ac:dyDescent="0.15">
      <c r="AO3284" s="31"/>
    </row>
    <row r="3285" spans="41:41" s="7" customFormat="1" x14ac:dyDescent="0.15">
      <c r="AO3285" s="31"/>
    </row>
    <row r="3286" spans="41:41" s="7" customFormat="1" x14ac:dyDescent="0.15">
      <c r="AO3286" s="31"/>
    </row>
    <row r="3287" spans="41:41" s="7" customFormat="1" x14ac:dyDescent="0.15">
      <c r="AO3287" s="31"/>
    </row>
    <row r="3288" spans="41:41" s="7" customFormat="1" x14ac:dyDescent="0.15">
      <c r="AO3288" s="31"/>
    </row>
    <row r="3289" spans="41:41" s="7" customFormat="1" x14ac:dyDescent="0.15">
      <c r="AO3289" s="31"/>
    </row>
    <row r="3290" spans="41:41" s="7" customFormat="1" x14ac:dyDescent="0.15">
      <c r="AO3290" s="31"/>
    </row>
    <row r="3291" spans="41:41" s="7" customFormat="1" x14ac:dyDescent="0.15">
      <c r="AO3291" s="31"/>
    </row>
    <row r="3292" spans="41:41" s="7" customFormat="1" x14ac:dyDescent="0.15">
      <c r="AO3292" s="31"/>
    </row>
    <row r="3293" spans="41:41" s="7" customFormat="1" x14ac:dyDescent="0.15">
      <c r="AO3293" s="31"/>
    </row>
    <row r="3294" spans="41:41" s="7" customFormat="1" x14ac:dyDescent="0.15">
      <c r="AO3294" s="31"/>
    </row>
    <row r="3295" spans="41:41" s="7" customFormat="1" x14ac:dyDescent="0.15">
      <c r="AO3295" s="31"/>
    </row>
    <row r="3296" spans="41:41" s="7" customFormat="1" x14ac:dyDescent="0.15">
      <c r="AO3296" s="31"/>
    </row>
    <row r="3297" spans="41:41" s="7" customFormat="1" x14ac:dyDescent="0.15">
      <c r="AO3297" s="31"/>
    </row>
    <row r="3298" spans="41:41" s="7" customFormat="1" x14ac:dyDescent="0.15">
      <c r="AO3298" s="31"/>
    </row>
    <row r="3299" spans="41:41" s="7" customFormat="1" x14ac:dyDescent="0.15">
      <c r="AO3299" s="31"/>
    </row>
    <row r="3300" spans="41:41" s="7" customFormat="1" x14ac:dyDescent="0.15">
      <c r="AO3300" s="31"/>
    </row>
    <row r="3301" spans="41:41" s="7" customFormat="1" x14ac:dyDescent="0.15">
      <c r="AO3301" s="31"/>
    </row>
    <row r="3302" spans="41:41" s="7" customFormat="1" x14ac:dyDescent="0.15">
      <c r="AO3302" s="31"/>
    </row>
    <row r="3303" spans="41:41" s="7" customFormat="1" x14ac:dyDescent="0.15">
      <c r="AO3303" s="31"/>
    </row>
    <row r="3304" spans="41:41" s="7" customFormat="1" x14ac:dyDescent="0.15">
      <c r="AO3304" s="31"/>
    </row>
    <row r="3305" spans="41:41" s="7" customFormat="1" x14ac:dyDescent="0.15">
      <c r="AO3305" s="31"/>
    </row>
    <row r="3306" spans="41:41" s="7" customFormat="1" x14ac:dyDescent="0.15">
      <c r="AO3306" s="31"/>
    </row>
    <row r="3307" spans="41:41" s="7" customFormat="1" x14ac:dyDescent="0.15">
      <c r="AO3307" s="31"/>
    </row>
    <row r="3308" spans="41:41" s="7" customFormat="1" x14ac:dyDescent="0.15">
      <c r="AO3308" s="31"/>
    </row>
    <row r="3309" spans="41:41" s="7" customFormat="1" x14ac:dyDescent="0.15">
      <c r="AO3309" s="31"/>
    </row>
    <row r="3310" spans="41:41" s="7" customFormat="1" x14ac:dyDescent="0.15">
      <c r="AO3310" s="31"/>
    </row>
    <row r="3311" spans="41:41" s="7" customFormat="1" x14ac:dyDescent="0.15">
      <c r="AO3311" s="31"/>
    </row>
    <row r="3312" spans="41:41" s="7" customFormat="1" x14ac:dyDescent="0.15">
      <c r="AO3312" s="31"/>
    </row>
    <row r="3313" spans="41:41" s="7" customFormat="1" x14ac:dyDescent="0.15">
      <c r="AO3313" s="31"/>
    </row>
    <row r="3314" spans="41:41" s="7" customFormat="1" x14ac:dyDescent="0.15">
      <c r="AO3314" s="31"/>
    </row>
    <row r="3315" spans="41:41" s="7" customFormat="1" x14ac:dyDescent="0.15">
      <c r="AO3315" s="31"/>
    </row>
    <row r="3316" spans="41:41" s="7" customFormat="1" x14ac:dyDescent="0.15">
      <c r="AO3316" s="31"/>
    </row>
    <row r="3317" spans="41:41" s="7" customFormat="1" x14ac:dyDescent="0.15">
      <c r="AO3317" s="31"/>
    </row>
    <row r="3318" spans="41:41" s="7" customFormat="1" x14ac:dyDescent="0.15">
      <c r="AO3318" s="31"/>
    </row>
    <row r="3319" spans="41:41" s="7" customFormat="1" x14ac:dyDescent="0.15">
      <c r="AO3319" s="31"/>
    </row>
    <row r="3320" spans="41:41" s="7" customFormat="1" x14ac:dyDescent="0.15">
      <c r="AO3320" s="31"/>
    </row>
    <row r="3321" spans="41:41" s="7" customFormat="1" x14ac:dyDescent="0.15">
      <c r="AO3321" s="31"/>
    </row>
    <row r="3322" spans="41:41" s="7" customFormat="1" x14ac:dyDescent="0.15">
      <c r="AO3322" s="31"/>
    </row>
    <row r="3323" spans="41:41" s="7" customFormat="1" x14ac:dyDescent="0.15">
      <c r="AO3323" s="31"/>
    </row>
    <row r="3324" spans="41:41" s="7" customFormat="1" x14ac:dyDescent="0.15">
      <c r="AO3324" s="31"/>
    </row>
    <row r="3325" spans="41:41" s="7" customFormat="1" x14ac:dyDescent="0.15">
      <c r="AO3325" s="31"/>
    </row>
    <row r="3326" spans="41:41" s="7" customFormat="1" x14ac:dyDescent="0.15">
      <c r="AO3326" s="31"/>
    </row>
    <row r="3327" spans="41:41" s="7" customFormat="1" x14ac:dyDescent="0.15">
      <c r="AO3327" s="31"/>
    </row>
    <row r="3328" spans="41:41" s="7" customFormat="1" x14ac:dyDescent="0.15">
      <c r="AO3328" s="31"/>
    </row>
    <row r="3329" spans="41:41" s="7" customFormat="1" x14ac:dyDescent="0.15">
      <c r="AO3329" s="31"/>
    </row>
    <row r="3330" spans="41:41" s="7" customFormat="1" x14ac:dyDescent="0.15">
      <c r="AO3330" s="31"/>
    </row>
    <row r="3331" spans="41:41" s="7" customFormat="1" x14ac:dyDescent="0.15">
      <c r="AO3331" s="31"/>
    </row>
    <row r="3332" spans="41:41" s="7" customFormat="1" x14ac:dyDescent="0.15">
      <c r="AO3332" s="31"/>
    </row>
    <row r="3333" spans="41:41" s="7" customFormat="1" x14ac:dyDescent="0.15">
      <c r="AO3333" s="31"/>
    </row>
    <row r="3334" spans="41:41" s="7" customFormat="1" x14ac:dyDescent="0.15">
      <c r="AO3334" s="31"/>
    </row>
    <row r="3335" spans="41:41" s="7" customFormat="1" x14ac:dyDescent="0.15">
      <c r="AO3335" s="31"/>
    </row>
    <row r="3336" spans="41:41" s="7" customFormat="1" x14ac:dyDescent="0.15">
      <c r="AO3336" s="31"/>
    </row>
    <row r="3337" spans="41:41" s="7" customFormat="1" x14ac:dyDescent="0.15">
      <c r="AO3337" s="31"/>
    </row>
    <row r="3338" spans="41:41" s="7" customFormat="1" x14ac:dyDescent="0.15">
      <c r="AO3338" s="31"/>
    </row>
    <row r="3339" spans="41:41" s="7" customFormat="1" x14ac:dyDescent="0.15">
      <c r="AO3339" s="31"/>
    </row>
    <row r="3340" spans="41:41" s="7" customFormat="1" x14ac:dyDescent="0.15">
      <c r="AO3340" s="31"/>
    </row>
    <row r="3341" spans="41:41" s="7" customFormat="1" x14ac:dyDescent="0.15">
      <c r="AO3341" s="31"/>
    </row>
    <row r="3342" spans="41:41" s="7" customFormat="1" x14ac:dyDescent="0.15">
      <c r="AO3342" s="31"/>
    </row>
    <row r="3343" spans="41:41" s="7" customFormat="1" x14ac:dyDescent="0.15">
      <c r="AO3343" s="31"/>
    </row>
    <row r="3344" spans="41:41" s="7" customFormat="1" x14ac:dyDescent="0.15">
      <c r="AO3344" s="31"/>
    </row>
    <row r="3345" spans="41:41" s="7" customFormat="1" x14ac:dyDescent="0.15">
      <c r="AO3345" s="31"/>
    </row>
    <row r="3346" spans="41:41" s="7" customFormat="1" x14ac:dyDescent="0.15">
      <c r="AO3346" s="31"/>
    </row>
    <row r="3347" spans="41:41" s="7" customFormat="1" x14ac:dyDescent="0.15">
      <c r="AO3347" s="31"/>
    </row>
    <row r="3348" spans="41:41" s="7" customFormat="1" x14ac:dyDescent="0.15">
      <c r="AO3348" s="31"/>
    </row>
    <row r="3349" spans="41:41" s="7" customFormat="1" x14ac:dyDescent="0.15">
      <c r="AO3349" s="31"/>
    </row>
    <row r="3350" spans="41:41" s="7" customFormat="1" x14ac:dyDescent="0.15">
      <c r="AO3350" s="31"/>
    </row>
    <row r="3351" spans="41:41" s="7" customFormat="1" x14ac:dyDescent="0.15">
      <c r="AO3351" s="31"/>
    </row>
    <row r="3352" spans="41:41" s="7" customFormat="1" x14ac:dyDescent="0.15">
      <c r="AO3352" s="31"/>
    </row>
    <row r="3353" spans="41:41" s="7" customFormat="1" x14ac:dyDescent="0.15">
      <c r="AO3353" s="31"/>
    </row>
    <row r="3354" spans="41:41" s="7" customFormat="1" x14ac:dyDescent="0.15">
      <c r="AO3354" s="31"/>
    </row>
    <row r="3355" spans="41:41" s="7" customFormat="1" x14ac:dyDescent="0.15">
      <c r="AO3355" s="31"/>
    </row>
    <row r="3356" spans="41:41" s="7" customFormat="1" x14ac:dyDescent="0.15">
      <c r="AO3356" s="31"/>
    </row>
    <row r="3357" spans="41:41" s="7" customFormat="1" x14ac:dyDescent="0.15">
      <c r="AO3357" s="31"/>
    </row>
    <row r="3358" spans="41:41" s="7" customFormat="1" x14ac:dyDescent="0.15">
      <c r="AO3358" s="31"/>
    </row>
    <row r="3359" spans="41:41" s="7" customFormat="1" x14ac:dyDescent="0.15">
      <c r="AO3359" s="31"/>
    </row>
    <row r="3360" spans="41:41" s="7" customFormat="1" x14ac:dyDescent="0.15">
      <c r="AO3360" s="31"/>
    </row>
    <row r="3361" spans="41:41" s="7" customFormat="1" x14ac:dyDescent="0.15">
      <c r="AO3361" s="31"/>
    </row>
    <row r="3362" spans="41:41" s="7" customFormat="1" x14ac:dyDescent="0.15">
      <c r="AO3362" s="31"/>
    </row>
    <row r="3363" spans="41:41" s="7" customFormat="1" x14ac:dyDescent="0.15">
      <c r="AO3363" s="31"/>
    </row>
    <row r="3364" spans="41:41" s="7" customFormat="1" x14ac:dyDescent="0.15">
      <c r="AO3364" s="31"/>
    </row>
    <row r="3365" spans="41:41" s="7" customFormat="1" x14ac:dyDescent="0.15">
      <c r="AO3365" s="31"/>
    </row>
    <row r="3366" spans="41:41" s="7" customFormat="1" x14ac:dyDescent="0.15">
      <c r="AO3366" s="31"/>
    </row>
    <row r="3367" spans="41:41" s="7" customFormat="1" x14ac:dyDescent="0.15">
      <c r="AO3367" s="31"/>
    </row>
    <row r="3368" spans="41:41" s="7" customFormat="1" x14ac:dyDescent="0.15">
      <c r="AO3368" s="31"/>
    </row>
    <row r="3369" spans="41:41" s="7" customFormat="1" x14ac:dyDescent="0.15">
      <c r="AO3369" s="31"/>
    </row>
    <row r="3370" spans="41:41" s="7" customFormat="1" x14ac:dyDescent="0.15">
      <c r="AO3370" s="31"/>
    </row>
    <row r="3371" spans="41:41" s="7" customFormat="1" x14ac:dyDescent="0.15">
      <c r="AO3371" s="31"/>
    </row>
    <row r="3372" spans="41:41" s="7" customFormat="1" x14ac:dyDescent="0.15">
      <c r="AO3372" s="31"/>
    </row>
    <row r="3373" spans="41:41" s="7" customFormat="1" x14ac:dyDescent="0.15">
      <c r="AO3373" s="31"/>
    </row>
    <row r="3374" spans="41:41" s="7" customFormat="1" x14ac:dyDescent="0.15">
      <c r="AO3374" s="31"/>
    </row>
    <row r="3375" spans="41:41" s="7" customFormat="1" x14ac:dyDescent="0.15">
      <c r="AO3375" s="31"/>
    </row>
    <row r="3376" spans="41:41" s="7" customFormat="1" x14ac:dyDescent="0.15">
      <c r="AO3376" s="31"/>
    </row>
    <row r="3377" spans="41:41" s="7" customFormat="1" x14ac:dyDescent="0.15">
      <c r="AO3377" s="31"/>
    </row>
    <row r="3378" spans="41:41" s="7" customFormat="1" x14ac:dyDescent="0.15">
      <c r="AO3378" s="31"/>
    </row>
    <row r="3379" spans="41:41" s="7" customFormat="1" x14ac:dyDescent="0.15">
      <c r="AO3379" s="31"/>
    </row>
    <row r="3380" spans="41:41" s="7" customFormat="1" x14ac:dyDescent="0.15">
      <c r="AO3380" s="31"/>
    </row>
    <row r="3381" spans="41:41" s="7" customFormat="1" x14ac:dyDescent="0.15">
      <c r="AO3381" s="31"/>
    </row>
    <row r="3382" spans="41:41" s="7" customFormat="1" x14ac:dyDescent="0.15">
      <c r="AO3382" s="31"/>
    </row>
    <row r="3383" spans="41:41" s="7" customFormat="1" x14ac:dyDescent="0.15">
      <c r="AO3383" s="31"/>
    </row>
    <row r="3384" spans="41:41" s="7" customFormat="1" x14ac:dyDescent="0.15">
      <c r="AO3384" s="31"/>
    </row>
    <row r="3385" spans="41:41" s="7" customFormat="1" x14ac:dyDescent="0.15">
      <c r="AO3385" s="31"/>
    </row>
    <row r="3386" spans="41:41" s="7" customFormat="1" x14ac:dyDescent="0.15">
      <c r="AO3386" s="31"/>
    </row>
    <row r="3387" spans="41:41" s="7" customFormat="1" x14ac:dyDescent="0.15">
      <c r="AO3387" s="31"/>
    </row>
    <row r="3388" spans="41:41" s="7" customFormat="1" x14ac:dyDescent="0.15">
      <c r="AO3388" s="31"/>
    </row>
    <row r="3389" spans="41:41" s="7" customFormat="1" x14ac:dyDescent="0.15">
      <c r="AO3389" s="31"/>
    </row>
    <row r="3390" spans="41:41" s="7" customFormat="1" x14ac:dyDescent="0.15">
      <c r="AO3390" s="31"/>
    </row>
    <row r="3391" spans="41:41" s="7" customFormat="1" x14ac:dyDescent="0.15">
      <c r="AO3391" s="31"/>
    </row>
    <row r="3392" spans="41:41" s="7" customFormat="1" x14ac:dyDescent="0.15">
      <c r="AO3392" s="31"/>
    </row>
    <row r="3393" spans="41:41" s="7" customFormat="1" x14ac:dyDescent="0.15">
      <c r="AO3393" s="31"/>
    </row>
    <row r="3394" spans="41:41" s="7" customFormat="1" x14ac:dyDescent="0.15">
      <c r="AO3394" s="31"/>
    </row>
    <row r="3395" spans="41:41" s="7" customFormat="1" x14ac:dyDescent="0.15">
      <c r="AO3395" s="31"/>
    </row>
    <row r="3396" spans="41:41" s="7" customFormat="1" x14ac:dyDescent="0.15">
      <c r="AO3396" s="31"/>
    </row>
    <row r="3397" spans="41:41" s="7" customFormat="1" x14ac:dyDescent="0.15">
      <c r="AO3397" s="31"/>
    </row>
    <row r="3398" spans="41:41" s="7" customFormat="1" x14ac:dyDescent="0.15">
      <c r="AO3398" s="31"/>
    </row>
    <row r="3399" spans="41:41" s="7" customFormat="1" x14ac:dyDescent="0.15">
      <c r="AO3399" s="31"/>
    </row>
    <row r="3400" spans="41:41" s="7" customFormat="1" x14ac:dyDescent="0.15">
      <c r="AO3400" s="31"/>
    </row>
    <row r="3401" spans="41:41" s="7" customFormat="1" x14ac:dyDescent="0.15">
      <c r="AO3401" s="31"/>
    </row>
    <row r="3402" spans="41:41" s="7" customFormat="1" x14ac:dyDescent="0.15">
      <c r="AO3402" s="31"/>
    </row>
    <row r="3403" spans="41:41" s="7" customFormat="1" x14ac:dyDescent="0.15">
      <c r="AO3403" s="31"/>
    </row>
    <row r="3404" spans="41:41" s="7" customFormat="1" x14ac:dyDescent="0.15">
      <c r="AO3404" s="31"/>
    </row>
    <row r="3405" spans="41:41" s="7" customFormat="1" x14ac:dyDescent="0.15">
      <c r="AO3405" s="31"/>
    </row>
    <row r="3406" spans="41:41" s="7" customFormat="1" x14ac:dyDescent="0.15">
      <c r="AO3406" s="31"/>
    </row>
    <row r="3407" spans="41:41" s="7" customFormat="1" x14ac:dyDescent="0.15">
      <c r="AO3407" s="31"/>
    </row>
    <row r="3408" spans="41:41" s="7" customFormat="1" x14ac:dyDescent="0.15">
      <c r="AO3408" s="31"/>
    </row>
    <row r="3409" spans="41:41" s="7" customFormat="1" x14ac:dyDescent="0.15">
      <c r="AO3409" s="31"/>
    </row>
    <row r="3410" spans="41:41" s="7" customFormat="1" x14ac:dyDescent="0.15">
      <c r="AO3410" s="31"/>
    </row>
    <row r="3411" spans="41:41" s="7" customFormat="1" x14ac:dyDescent="0.15">
      <c r="AO3411" s="31"/>
    </row>
    <row r="3412" spans="41:41" s="7" customFormat="1" x14ac:dyDescent="0.15">
      <c r="AO3412" s="31"/>
    </row>
    <row r="3413" spans="41:41" s="7" customFormat="1" x14ac:dyDescent="0.15">
      <c r="AO3413" s="31"/>
    </row>
    <row r="3414" spans="41:41" s="7" customFormat="1" x14ac:dyDescent="0.15">
      <c r="AO3414" s="31"/>
    </row>
    <row r="3415" spans="41:41" s="7" customFormat="1" x14ac:dyDescent="0.15">
      <c r="AO3415" s="31"/>
    </row>
    <row r="3416" spans="41:41" s="7" customFormat="1" x14ac:dyDescent="0.15">
      <c r="AO3416" s="31"/>
    </row>
    <row r="3417" spans="41:41" s="7" customFormat="1" x14ac:dyDescent="0.15">
      <c r="AO3417" s="31"/>
    </row>
    <row r="3418" spans="41:41" s="7" customFormat="1" x14ac:dyDescent="0.15">
      <c r="AO3418" s="31"/>
    </row>
    <row r="3419" spans="41:41" s="7" customFormat="1" x14ac:dyDescent="0.15">
      <c r="AO3419" s="31"/>
    </row>
    <row r="3420" spans="41:41" s="7" customFormat="1" x14ac:dyDescent="0.15">
      <c r="AO3420" s="31"/>
    </row>
    <row r="3421" spans="41:41" s="7" customFormat="1" x14ac:dyDescent="0.15">
      <c r="AO3421" s="31"/>
    </row>
    <row r="3422" spans="41:41" s="7" customFormat="1" x14ac:dyDescent="0.15">
      <c r="AO3422" s="31"/>
    </row>
    <row r="3423" spans="41:41" s="7" customFormat="1" x14ac:dyDescent="0.15">
      <c r="AO3423" s="31"/>
    </row>
    <row r="3424" spans="41:41" s="7" customFormat="1" x14ac:dyDescent="0.15">
      <c r="AO3424" s="31"/>
    </row>
    <row r="3425" spans="41:41" s="7" customFormat="1" x14ac:dyDescent="0.15">
      <c r="AO3425" s="31"/>
    </row>
    <row r="3426" spans="41:41" s="7" customFormat="1" x14ac:dyDescent="0.15">
      <c r="AO3426" s="31"/>
    </row>
    <row r="3427" spans="41:41" s="7" customFormat="1" x14ac:dyDescent="0.15">
      <c r="AO3427" s="31"/>
    </row>
    <row r="3428" spans="41:41" s="7" customFormat="1" x14ac:dyDescent="0.15">
      <c r="AO3428" s="31"/>
    </row>
    <row r="3429" spans="41:41" s="7" customFormat="1" x14ac:dyDescent="0.15">
      <c r="AO3429" s="31"/>
    </row>
    <row r="3430" spans="41:41" s="7" customFormat="1" x14ac:dyDescent="0.15">
      <c r="AO3430" s="31"/>
    </row>
    <row r="3431" spans="41:41" s="7" customFormat="1" x14ac:dyDescent="0.15">
      <c r="AO3431" s="31"/>
    </row>
    <row r="3432" spans="41:41" s="7" customFormat="1" x14ac:dyDescent="0.15">
      <c r="AO3432" s="31"/>
    </row>
    <row r="3433" spans="41:41" s="7" customFormat="1" x14ac:dyDescent="0.15">
      <c r="AO3433" s="31"/>
    </row>
    <row r="3434" spans="41:41" s="7" customFormat="1" x14ac:dyDescent="0.15">
      <c r="AO3434" s="31"/>
    </row>
    <row r="3435" spans="41:41" s="7" customFormat="1" x14ac:dyDescent="0.15">
      <c r="AO3435" s="31"/>
    </row>
    <row r="3436" spans="41:41" s="7" customFormat="1" x14ac:dyDescent="0.15">
      <c r="AO3436" s="31"/>
    </row>
    <row r="3437" spans="41:41" s="7" customFormat="1" x14ac:dyDescent="0.15">
      <c r="AO3437" s="31"/>
    </row>
    <row r="3438" spans="41:41" s="7" customFormat="1" x14ac:dyDescent="0.15">
      <c r="AO3438" s="31"/>
    </row>
    <row r="3439" spans="41:41" s="7" customFormat="1" x14ac:dyDescent="0.15">
      <c r="AO3439" s="31"/>
    </row>
    <row r="3440" spans="41:41" s="7" customFormat="1" x14ac:dyDescent="0.15">
      <c r="AO3440" s="31"/>
    </row>
    <row r="3441" spans="41:41" s="7" customFormat="1" x14ac:dyDescent="0.15">
      <c r="AO3441" s="31"/>
    </row>
    <row r="3442" spans="41:41" s="7" customFormat="1" x14ac:dyDescent="0.15">
      <c r="AO3442" s="31"/>
    </row>
    <row r="3443" spans="41:41" s="7" customFormat="1" x14ac:dyDescent="0.15">
      <c r="AO3443" s="31"/>
    </row>
    <row r="3444" spans="41:41" s="7" customFormat="1" x14ac:dyDescent="0.15">
      <c r="AO3444" s="31"/>
    </row>
    <row r="3445" spans="41:41" s="7" customFormat="1" x14ac:dyDescent="0.15">
      <c r="AO3445" s="31"/>
    </row>
    <row r="3446" spans="41:41" s="7" customFormat="1" x14ac:dyDescent="0.15">
      <c r="AO3446" s="31"/>
    </row>
    <row r="3447" spans="41:41" s="7" customFormat="1" x14ac:dyDescent="0.15">
      <c r="AO3447" s="31"/>
    </row>
    <row r="3448" spans="41:41" s="7" customFormat="1" x14ac:dyDescent="0.15">
      <c r="AO3448" s="31"/>
    </row>
    <row r="3449" spans="41:41" s="7" customFormat="1" x14ac:dyDescent="0.15">
      <c r="AO3449" s="31"/>
    </row>
    <row r="3450" spans="41:41" s="7" customFormat="1" x14ac:dyDescent="0.15">
      <c r="AO3450" s="31"/>
    </row>
    <row r="3451" spans="41:41" s="7" customFormat="1" x14ac:dyDescent="0.15">
      <c r="AO3451" s="31"/>
    </row>
    <row r="3452" spans="41:41" s="7" customFormat="1" x14ac:dyDescent="0.15">
      <c r="AO3452" s="31"/>
    </row>
    <row r="3453" spans="41:41" s="7" customFormat="1" x14ac:dyDescent="0.15">
      <c r="AO3453" s="31"/>
    </row>
    <row r="3454" spans="41:41" s="7" customFormat="1" x14ac:dyDescent="0.15">
      <c r="AO3454" s="31"/>
    </row>
    <row r="3455" spans="41:41" s="7" customFormat="1" x14ac:dyDescent="0.15">
      <c r="AO3455" s="31"/>
    </row>
    <row r="3456" spans="41:41" s="7" customFormat="1" x14ac:dyDescent="0.15">
      <c r="AO3456" s="31"/>
    </row>
    <row r="3457" spans="41:41" s="7" customFormat="1" x14ac:dyDescent="0.15">
      <c r="AO3457" s="31"/>
    </row>
    <row r="3458" spans="41:41" s="7" customFormat="1" x14ac:dyDescent="0.15">
      <c r="AO3458" s="31"/>
    </row>
    <row r="3459" spans="41:41" s="7" customFormat="1" x14ac:dyDescent="0.15">
      <c r="AO3459" s="31"/>
    </row>
    <row r="3460" spans="41:41" s="7" customFormat="1" x14ac:dyDescent="0.15">
      <c r="AO3460" s="31"/>
    </row>
    <row r="3461" spans="41:41" s="7" customFormat="1" x14ac:dyDescent="0.15">
      <c r="AO3461" s="31"/>
    </row>
    <row r="3462" spans="41:41" s="7" customFormat="1" x14ac:dyDescent="0.15">
      <c r="AO3462" s="31"/>
    </row>
    <row r="3463" spans="41:41" s="7" customFormat="1" x14ac:dyDescent="0.15">
      <c r="AO3463" s="31"/>
    </row>
    <row r="3464" spans="41:41" s="7" customFormat="1" x14ac:dyDescent="0.15">
      <c r="AO3464" s="31"/>
    </row>
    <row r="3465" spans="41:41" s="7" customFormat="1" x14ac:dyDescent="0.15">
      <c r="AO3465" s="31"/>
    </row>
    <row r="3466" spans="41:41" s="7" customFormat="1" x14ac:dyDescent="0.15">
      <c r="AO3466" s="31"/>
    </row>
    <row r="3467" spans="41:41" s="7" customFormat="1" x14ac:dyDescent="0.15">
      <c r="AO3467" s="31"/>
    </row>
    <row r="3468" spans="41:41" s="7" customFormat="1" x14ac:dyDescent="0.15">
      <c r="AO3468" s="31"/>
    </row>
    <row r="3469" spans="41:41" s="7" customFormat="1" x14ac:dyDescent="0.15">
      <c r="AO3469" s="31"/>
    </row>
    <row r="3470" spans="41:41" s="7" customFormat="1" x14ac:dyDescent="0.15">
      <c r="AO3470" s="31"/>
    </row>
    <row r="3471" spans="41:41" s="7" customFormat="1" x14ac:dyDescent="0.15">
      <c r="AO3471" s="31"/>
    </row>
    <row r="3472" spans="41:41" s="7" customFormat="1" x14ac:dyDescent="0.15">
      <c r="AO3472" s="31"/>
    </row>
    <row r="3473" spans="41:41" s="7" customFormat="1" x14ac:dyDescent="0.15">
      <c r="AO3473" s="31"/>
    </row>
    <row r="3474" spans="41:41" s="7" customFormat="1" x14ac:dyDescent="0.15">
      <c r="AO3474" s="31"/>
    </row>
    <row r="3475" spans="41:41" s="7" customFormat="1" x14ac:dyDescent="0.15">
      <c r="AO3475" s="31"/>
    </row>
    <row r="3476" spans="41:41" s="7" customFormat="1" x14ac:dyDescent="0.15">
      <c r="AO3476" s="31"/>
    </row>
    <row r="3477" spans="41:41" s="7" customFormat="1" x14ac:dyDescent="0.15">
      <c r="AO3477" s="31"/>
    </row>
    <row r="3478" spans="41:41" s="7" customFormat="1" x14ac:dyDescent="0.15">
      <c r="AO3478" s="31"/>
    </row>
    <row r="3479" spans="41:41" s="7" customFormat="1" x14ac:dyDescent="0.15">
      <c r="AO3479" s="31"/>
    </row>
    <row r="3480" spans="41:41" s="7" customFormat="1" x14ac:dyDescent="0.15">
      <c r="AO3480" s="31"/>
    </row>
    <row r="3481" spans="41:41" s="7" customFormat="1" x14ac:dyDescent="0.15">
      <c r="AO3481" s="31"/>
    </row>
    <row r="3482" spans="41:41" s="7" customFormat="1" x14ac:dyDescent="0.15">
      <c r="AO3482" s="31"/>
    </row>
    <row r="3483" spans="41:41" s="7" customFormat="1" x14ac:dyDescent="0.15">
      <c r="AO3483" s="31"/>
    </row>
    <row r="3484" spans="41:41" s="7" customFormat="1" x14ac:dyDescent="0.15">
      <c r="AO3484" s="31"/>
    </row>
    <row r="3485" spans="41:41" s="7" customFormat="1" x14ac:dyDescent="0.15">
      <c r="AO3485" s="31"/>
    </row>
    <row r="3486" spans="41:41" s="7" customFormat="1" x14ac:dyDescent="0.15">
      <c r="AO3486" s="31"/>
    </row>
    <row r="3487" spans="41:41" s="7" customFormat="1" x14ac:dyDescent="0.15">
      <c r="AO3487" s="31"/>
    </row>
    <row r="3488" spans="41:41" s="7" customFormat="1" x14ac:dyDescent="0.15">
      <c r="AO3488" s="31"/>
    </row>
    <row r="3489" spans="41:41" s="7" customFormat="1" x14ac:dyDescent="0.15">
      <c r="AO3489" s="31"/>
    </row>
    <row r="3490" spans="41:41" s="7" customFormat="1" x14ac:dyDescent="0.15">
      <c r="AO3490" s="31"/>
    </row>
    <row r="3491" spans="41:41" s="7" customFormat="1" x14ac:dyDescent="0.15">
      <c r="AO3491" s="31"/>
    </row>
    <row r="3492" spans="41:41" s="7" customFormat="1" x14ac:dyDescent="0.15">
      <c r="AO3492" s="31"/>
    </row>
    <row r="3493" spans="41:41" s="7" customFormat="1" x14ac:dyDescent="0.15">
      <c r="AO3493" s="31"/>
    </row>
    <row r="3494" spans="41:41" s="7" customFormat="1" x14ac:dyDescent="0.15">
      <c r="AO3494" s="31"/>
    </row>
    <row r="3495" spans="41:41" s="7" customFormat="1" x14ac:dyDescent="0.15">
      <c r="AO3495" s="31"/>
    </row>
    <row r="3496" spans="41:41" s="7" customFormat="1" x14ac:dyDescent="0.15">
      <c r="AO3496" s="31"/>
    </row>
    <row r="3497" spans="41:41" s="7" customFormat="1" x14ac:dyDescent="0.15">
      <c r="AO3497" s="31"/>
    </row>
    <row r="3498" spans="41:41" s="7" customFormat="1" x14ac:dyDescent="0.15">
      <c r="AO3498" s="31"/>
    </row>
    <row r="3499" spans="41:41" s="7" customFormat="1" x14ac:dyDescent="0.15">
      <c r="AO3499" s="31"/>
    </row>
    <row r="3500" spans="41:41" s="7" customFormat="1" x14ac:dyDescent="0.15">
      <c r="AO3500" s="31"/>
    </row>
    <row r="3501" spans="41:41" s="7" customFormat="1" x14ac:dyDescent="0.15">
      <c r="AO3501" s="31"/>
    </row>
    <row r="3502" spans="41:41" s="7" customFormat="1" x14ac:dyDescent="0.15">
      <c r="AO3502" s="31"/>
    </row>
    <row r="3503" spans="41:41" s="7" customFormat="1" x14ac:dyDescent="0.15">
      <c r="AO3503" s="31"/>
    </row>
    <row r="3504" spans="41:41" s="7" customFormat="1" x14ac:dyDescent="0.15">
      <c r="AO3504" s="31"/>
    </row>
    <row r="3505" spans="41:41" s="7" customFormat="1" x14ac:dyDescent="0.15">
      <c r="AO3505" s="31"/>
    </row>
    <row r="3506" spans="41:41" s="7" customFormat="1" x14ac:dyDescent="0.15">
      <c r="AO3506" s="31"/>
    </row>
    <row r="3507" spans="41:41" s="7" customFormat="1" x14ac:dyDescent="0.15">
      <c r="AO3507" s="31"/>
    </row>
    <row r="3508" spans="41:41" s="7" customFormat="1" x14ac:dyDescent="0.15">
      <c r="AO3508" s="31"/>
    </row>
    <row r="3509" spans="41:41" s="7" customFormat="1" x14ac:dyDescent="0.15">
      <c r="AO3509" s="31"/>
    </row>
    <row r="3510" spans="41:41" s="7" customFormat="1" x14ac:dyDescent="0.15">
      <c r="AO3510" s="31"/>
    </row>
    <row r="3511" spans="41:41" s="7" customFormat="1" x14ac:dyDescent="0.15">
      <c r="AO3511" s="31"/>
    </row>
    <row r="3512" spans="41:41" s="7" customFormat="1" x14ac:dyDescent="0.15">
      <c r="AO3512" s="31"/>
    </row>
    <row r="3513" spans="41:41" s="7" customFormat="1" x14ac:dyDescent="0.15">
      <c r="AO3513" s="31"/>
    </row>
    <row r="3514" spans="41:41" s="7" customFormat="1" x14ac:dyDescent="0.15">
      <c r="AO3514" s="31"/>
    </row>
    <row r="3515" spans="41:41" s="7" customFormat="1" x14ac:dyDescent="0.15">
      <c r="AO3515" s="31"/>
    </row>
    <row r="3516" spans="41:41" s="7" customFormat="1" x14ac:dyDescent="0.15">
      <c r="AO3516" s="31"/>
    </row>
    <row r="3517" spans="41:41" s="7" customFormat="1" x14ac:dyDescent="0.15">
      <c r="AO3517" s="31"/>
    </row>
    <row r="3518" spans="41:41" s="7" customFormat="1" x14ac:dyDescent="0.15">
      <c r="AO3518" s="31"/>
    </row>
    <row r="3519" spans="41:41" s="7" customFormat="1" x14ac:dyDescent="0.15">
      <c r="AO3519" s="31"/>
    </row>
    <row r="3520" spans="41:41" s="7" customFormat="1" x14ac:dyDescent="0.15">
      <c r="AO3520" s="31"/>
    </row>
    <row r="3521" spans="41:41" s="7" customFormat="1" x14ac:dyDescent="0.15">
      <c r="AO3521" s="31"/>
    </row>
    <row r="3522" spans="41:41" s="7" customFormat="1" x14ac:dyDescent="0.15">
      <c r="AO3522" s="31"/>
    </row>
    <row r="3523" spans="41:41" s="7" customFormat="1" x14ac:dyDescent="0.15">
      <c r="AO3523" s="31"/>
    </row>
    <row r="3524" spans="41:41" s="7" customFormat="1" x14ac:dyDescent="0.15">
      <c r="AO3524" s="31"/>
    </row>
    <row r="3525" spans="41:41" s="7" customFormat="1" x14ac:dyDescent="0.15">
      <c r="AO3525" s="31"/>
    </row>
    <row r="3526" spans="41:41" s="7" customFormat="1" x14ac:dyDescent="0.15">
      <c r="AO3526" s="31"/>
    </row>
    <row r="3527" spans="41:41" s="7" customFormat="1" x14ac:dyDescent="0.15">
      <c r="AO3527" s="31"/>
    </row>
    <row r="3528" spans="41:41" s="7" customFormat="1" x14ac:dyDescent="0.15">
      <c r="AO3528" s="31"/>
    </row>
    <row r="3529" spans="41:41" s="7" customFormat="1" x14ac:dyDescent="0.15">
      <c r="AO3529" s="31"/>
    </row>
    <row r="3530" spans="41:41" s="7" customFormat="1" x14ac:dyDescent="0.15">
      <c r="AO3530" s="31"/>
    </row>
    <row r="3531" spans="41:41" s="7" customFormat="1" x14ac:dyDescent="0.15">
      <c r="AO3531" s="31"/>
    </row>
    <row r="3532" spans="41:41" s="7" customFormat="1" x14ac:dyDescent="0.15">
      <c r="AO3532" s="31"/>
    </row>
    <row r="3533" spans="41:41" s="7" customFormat="1" x14ac:dyDescent="0.15">
      <c r="AO3533" s="31"/>
    </row>
    <row r="3534" spans="41:41" s="7" customFormat="1" x14ac:dyDescent="0.15">
      <c r="AO3534" s="31"/>
    </row>
    <row r="3535" spans="41:41" s="7" customFormat="1" x14ac:dyDescent="0.15">
      <c r="AO3535" s="31"/>
    </row>
    <row r="3536" spans="41:41" s="7" customFormat="1" x14ac:dyDescent="0.15">
      <c r="AO3536" s="31"/>
    </row>
    <row r="3537" spans="41:41" s="7" customFormat="1" x14ac:dyDescent="0.15">
      <c r="AO3537" s="31"/>
    </row>
    <row r="3538" spans="41:41" s="7" customFormat="1" x14ac:dyDescent="0.15">
      <c r="AO3538" s="31"/>
    </row>
    <row r="3539" spans="41:41" s="7" customFormat="1" x14ac:dyDescent="0.15">
      <c r="AO3539" s="31"/>
    </row>
    <row r="3540" spans="41:41" s="7" customFormat="1" x14ac:dyDescent="0.15">
      <c r="AO3540" s="31"/>
    </row>
    <row r="3541" spans="41:41" s="7" customFormat="1" x14ac:dyDescent="0.15">
      <c r="AO3541" s="31"/>
    </row>
    <row r="3542" spans="41:41" s="7" customFormat="1" x14ac:dyDescent="0.15">
      <c r="AO3542" s="31"/>
    </row>
    <row r="3543" spans="41:41" s="7" customFormat="1" x14ac:dyDescent="0.15">
      <c r="AO3543" s="31"/>
    </row>
    <row r="3544" spans="41:41" s="7" customFormat="1" x14ac:dyDescent="0.15">
      <c r="AO3544" s="31"/>
    </row>
    <row r="3545" spans="41:41" s="7" customFormat="1" x14ac:dyDescent="0.15">
      <c r="AO3545" s="31"/>
    </row>
    <row r="3546" spans="41:41" s="7" customFormat="1" x14ac:dyDescent="0.15">
      <c r="AO3546" s="31"/>
    </row>
    <row r="3547" spans="41:41" s="7" customFormat="1" x14ac:dyDescent="0.15">
      <c r="AO3547" s="31"/>
    </row>
    <row r="3548" spans="41:41" s="7" customFormat="1" x14ac:dyDescent="0.15">
      <c r="AO3548" s="31"/>
    </row>
    <row r="3549" spans="41:41" s="7" customFormat="1" x14ac:dyDescent="0.15">
      <c r="AO3549" s="31"/>
    </row>
    <row r="3550" spans="41:41" s="7" customFormat="1" x14ac:dyDescent="0.15">
      <c r="AO3550" s="31"/>
    </row>
    <row r="3551" spans="41:41" s="7" customFormat="1" x14ac:dyDescent="0.15">
      <c r="AO3551" s="31"/>
    </row>
    <row r="3552" spans="41:41" s="7" customFormat="1" x14ac:dyDescent="0.15">
      <c r="AO3552" s="31"/>
    </row>
    <row r="3553" spans="41:41" s="7" customFormat="1" x14ac:dyDescent="0.15">
      <c r="AO3553" s="31"/>
    </row>
    <row r="3554" spans="41:41" s="7" customFormat="1" x14ac:dyDescent="0.15">
      <c r="AO3554" s="31"/>
    </row>
    <row r="3555" spans="41:41" s="7" customFormat="1" x14ac:dyDescent="0.15">
      <c r="AO3555" s="31"/>
    </row>
    <row r="3556" spans="41:41" s="7" customFormat="1" x14ac:dyDescent="0.15">
      <c r="AO3556" s="31"/>
    </row>
    <row r="3557" spans="41:41" s="7" customFormat="1" x14ac:dyDescent="0.15">
      <c r="AO3557" s="31"/>
    </row>
    <row r="3558" spans="41:41" s="7" customFormat="1" x14ac:dyDescent="0.15">
      <c r="AO3558" s="31"/>
    </row>
    <row r="3559" spans="41:41" s="7" customFormat="1" x14ac:dyDescent="0.15">
      <c r="AO3559" s="31"/>
    </row>
    <row r="3560" spans="41:41" s="7" customFormat="1" x14ac:dyDescent="0.15">
      <c r="AO3560" s="31"/>
    </row>
    <row r="3561" spans="41:41" s="7" customFormat="1" x14ac:dyDescent="0.15">
      <c r="AO3561" s="31"/>
    </row>
    <row r="3562" spans="41:41" s="7" customFormat="1" x14ac:dyDescent="0.15">
      <c r="AO3562" s="31"/>
    </row>
    <row r="3563" spans="41:41" s="7" customFormat="1" x14ac:dyDescent="0.15">
      <c r="AO3563" s="31"/>
    </row>
    <row r="3564" spans="41:41" s="7" customFormat="1" x14ac:dyDescent="0.15">
      <c r="AO3564" s="31"/>
    </row>
    <row r="3565" spans="41:41" s="7" customFormat="1" x14ac:dyDescent="0.15">
      <c r="AO3565" s="31"/>
    </row>
    <row r="3566" spans="41:41" s="7" customFormat="1" x14ac:dyDescent="0.15">
      <c r="AO3566" s="31"/>
    </row>
    <row r="3567" spans="41:41" s="7" customFormat="1" x14ac:dyDescent="0.15">
      <c r="AO3567" s="31"/>
    </row>
    <row r="3568" spans="41:41" s="7" customFormat="1" x14ac:dyDescent="0.15">
      <c r="AO3568" s="31"/>
    </row>
    <row r="3569" spans="41:41" s="7" customFormat="1" x14ac:dyDescent="0.15">
      <c r="AO3569" s="31"/>
    </row>
    <row r="3570" spans="41:41" s="7" customFormat="1" x14ac:dyDescent="0.15">
      <c r="AO3570" s="31"/>
    </row>
    <row r="3571" spans="41:41" s="7" customFormat="1" x14ac:dyDescent="0.15">
      <c r="AO3571" s="31"/>
    </row>
    <row r="3572" spans="41:41" s="7" customFormat="1" x14ac:dyDescent="0.15">
      <c r="AO3572" s="31"/>
    </row>
    <row r="3573" spans="41:41" s="7" customFormat="1" x14ac:dyDescent="0.15">
      <c r="AO3573" s="31"/>
    </row>
    <row r="3574" spans="41:41" s="7" customFormat="1" x14ac:dyDescent="0.15">
      <c r="AO3574" s="31"/>
    </row>
    <row r="3575" spans="41:41" s="7" customFormat="1" x14ac:dyDescent="0.15">
      <c r="AO3575" s="31"/>
    </row>
    <row r="3576" spans="41:41" s="7" customFormat="1" x14ac:dyDescent="0.15">
      <c r="AO3576" s="31"/>
    </row>
    <row r="3577" spans="41:41" s="7" customFormat="1" x14ac:dyDescent="0.15">
      <c r="AO3577" s="31"/>
    </row>
    <row r="3578" spans="41:41" s="7" customFormat="1" x14ac:dyDescent="0.15">
      <c r="AO3578" s="31"/>
    </row>
    <row r="3579" spans="41:41" s="7" customFormat="1" x14ac:dyDescent="0.15">
      <c r="AO3579" s="31"/>
    </row>
    <row r="3580" spans="41:41" s="7" customFormat="1" x14ac:dyDescent="0.15">
      <c r="AO3580" s="31"/>
    </row>
    <row r="3581" spans="41:41" s="7" customFormat="1" x14ac:dyDescent="0.15">
      <c r="AO3581" s="31"/>
    </row>
    <row r="3582" spans="41:41" s="7" customFormat="1" x14ac:dyDescent="0.15">
      <c r="AO3582" s="31"/>
    </row>
    <row r="3583" spans="41:41" s="7" customFormat="1" x14ac:dyDescent="0.15">
      <c r="AO3583" s="31"/>
    </row>
    <row r="3584" spans="41:41" s="7" customFormat="1" x14ac:dyDescent="0.15">
      <c r="AO3584" s="31"/>
    </row>
    <row r="3585" spans="41:41" s="7" customFormat="1" x14ac:dyDescent="0.15">
      <c r="AO3585" s="31"/>
    </row>
    <row r="3586" spans="41:41" s="7" customFormat="1" x14ac:dyDescent="0.15">
      <c r="AO3586" s="31"/>
    </row>
    <row r="3587" spans="41:41" s="7" customFormat="1" x14ac:dyDescent="0.15">
      <c r="AO3587" s="31"/>
    </row>
    <row r="3588" spans="41:41" s="7" customFormat="1" x14ac:dyDescent="0.15">
      <c r="AO3588" s="31"/>
    </row>
    <row r="3589" spans="41:41" s="7" customFormat="1" x14ac:dyDescent="0.15">
      <c r="AO3589" s="31"/>
    </row>
    <row r="3590" spans="41:41" s="7" customFormat="1" x14ac:dyDescent="0.15">
      <c r="AO3590" s="31"/>
    </row>
    <row r="3591" spans="41:41" s="7" customFormat="1" x14ac:dyDescent="0.15">
      <c r="AO3591" s="31"/>
    </row>
    <row r="3592" spans="41:41" s="7" customFormat="1" x14ac:dyDescent="0.15">
      <c r="AO3592" s="31"/>
    </row>
    <row r="3593" spans="41:41" s="7" customFormat="1" x14ac:dyDescent="0.15">
      <c r="AO3593" s="31"/>
    </row>
    <row r="3594" spans="41:41" s="7" customFormat="1" x14ac:dyDescent="0.15">
      <c r="AO3594" s="31"/>
    </row>
    <row r="3595" spans="41:41" s="7" customFormat="1" x14ac:dyDescent="0.15">
      <c r="AO3595" s="31"/>
    </row>
    <row r="3596" spans="41:41" s="7" customFormat="1" x14ac:dyDescent="0.15">
      <c r="AO3596" s="31"/>
    </row>
    <row r="3597" spans="41:41" s="7" customFormat="1" x14ac:dyDescent="0.15">
      <c r="AO3597" s="31"/>
    </row>
    <row r="3598" spans="41:41" s="7" customFormat="1" x14ac:dyDescent="0.15">
      <c r="AO3598" s="31"/>
    </row>
    <row r="3599" spans="41:41" s="7" customFormat="1" x14ac:dyDescent="0.15">
      <c r="AO3599" s="31"/>
    </row>
    <row r="3600" spans="41:41" s="7" customFormat="1" x14ac:dyDescent="0.15">
      <c r="AO3600" s="31"/>
    </row>
    <row r="3601" spans="41:41" s="7" customFormat="1" x14ac:dyDescent="0.15">
      <c r="AO3601" s="31"/>
    </row>
    <row r="3602" spans="41:41" s="7" customFormat="1" x14ac:dyDescent="0.15">
      <c r="AO3602" s="31"/>
    </row>
    <row r="3603" spans="41:41" s="7" customFormat="1" x14ac:dyDescent="0.15">
      <c r="AO3603" s="31"/>
    </row>
    <row r="3604" spans="41:41" s="7" customFormat="1" x14ac:dyDescent="0.15">
      <c r="AO3604" s="31"/>
    </row>
    <row r="3605" spans="41:41" s="7" customFormat="1" x14ac:dyDescent="0.15">
      <c r="AO3605" s="31"/>
    </row>
    <row r="3606" spans="41:41" s="7" customFormat="1" x14ac:dyDescent="0.15">
      <c r="AO3606" s="31"/>
    </row>
    <row r="3607" spans="41:41" s="7" customFormat="1" x14ac:dyDescent="0.15">
      <c r="AO3607" s="31"/>
    </row>
    <row r="3608" spans="41:41" s="7" customFormat="1" x14ac:dyDescent="0.15">
      <c r="AO3608" s="31"/>
    </row>
    <row r="3609" spans="41:41" s="7" customFormat="1" x14ac:dyDescent="0.15">
      <c r="AO3609" s="31"/>
    </row>
    <row r="3610" spans="41:41" s="7" customFormat="1" x14ac:dyDescent="0.15">
      <c r="AO3610" s="31"/>
    </row>
    <row r="3611" spans="41:41" s="7" customFormat="1" x14ac:dyDescent="0.15">
      <c r="AO3611" s="31"/>
    </row>
    <row r="3612" spans="41:41" s="7" customFormat="1" x14ac:dyDescent="0.15">
      <c r="AO3612" s="31"/>
    </row>
    <row r="3613" spans="41:41" s="7" customFormat="1" x14ac:dyDescent="0.15">
      <c r="AO3613" s="31"/>
    </row>
    <row r="3614" spans="41:41" s="7" customFormat="1" x14ac:dyDescent="0.15">
      <c r="AO3614" s="31"/>
    </row>
    <row r="3615" spans="41:41" s="7" customFormat="1" x14ac:dyDescent="0.15">
      <c r="AO3615" s="31"/>
    </row>
    <row r="3616" spans="41:41" s="7" customFormat="1" x14ac:dyDescent="0.15">
      <c r="AO3616" s="31"/>
    </row>
    <row r="3617" spans="41:41" s="7" customFormat="1" x14ac:dyDescent="0.15">
      <c r="AO3617" s="31"/>
    </row>
    <row r="3618" spans="41:41" s="7" customFormat="1" x14ac:dyDescent="0.15">
      <c r="AO3618" s="31"/>
    </row>
    <row r="3619" spans="41:41" s="7" customFormat="1" x14ac:dyDescent="0.15">
      <c r="AO3619" s="31"/>
    </row>
    <row r="3620" spans="41:41" s="7" customFormat="1" x14ac:dyDescent="0.15">
      <c r="AO3620" s="31"/>
    </row>
    <row r="3621" spans="41:41" s="7" customFormat="1" x14ac:dyDescent="0.15">
      <c r="AO3621" s="31"/>
    </row>
    <row r="3622" spans="41:41" s="7" customFormat="1" x14ac:dyDescent="0.15">
      <c r="AO3622" s="31"/>
    </row>
    <row r="3623" spans="41:41" s="7" customFormat="1" x14ac:dyDescent="0.15">
      <c r="AO3623" s="31"/>
    </row>
    <row r="3624" spans="41:41" s="7" customFormat="1" x14ac:dyDescent="0.15">
      <c r="AO3624" s="31"/>
    </row>
    <row r="3625" spans="41:41" s="7" customFormat="1" x14ac:dyDescent="0.15">
      <c r="AO3625" s="31"/>
    </row>
    <row r="3626" spans="41:41" s="7" customFormat="1" x14ac:dyDescent="0.15">
      <c r="AO3626" s="31"/>
    </row>
    <row r="3627" spans="41:41" s="7" customFormat="1" x14ac:dyDescent="0.15">
      <c r="AO3627" s="31"/>
    </row>
    <row r="3628" spans="41:41" s="7" customFormat="1" x14ac:dyDescent="0.15">
      <c r="AO3628" s="31"/>
    </row>
    <row r="3629" spans="41:41" s="7" customFormat="1" x14ac:dyDescent="0.15">
      <c r="AO3629" s="31"/>
    </row>
    <row r="3630" spans="41:41" s="7" customFormat="1" x14ac:dyDescent="0.15">
      <c r="AO3630" s="31"/>
    </row>
    <row r="3631" spans="41:41" s="7" customFormat="1" x14ac:dyDescent="0.15">
      <c r="AO3631" s="31"/>
    </row>
    <row r="3632" spans="41:41" s="7" customFormat="1" x14ac:dyDescent="0.15">
      <c r="AO3632" s="31"/>
    </row>
    <row r="3633" spans="41:41" s="7" customFormat="1" x14ac:dyDescent="0.15">
      <c r="AO3633" s="31"/>
    </row>
    <row r="3634" spans="41:41" s="7" customFormat="1" x14ac:dyDescent="0.15">
      <c r="AO3634" s="31"/>
    </row>
    <row r="3635" spans="41:41" s="7" customFormat="1" x14ac:dyDescent="0.15">
      <c r="AO3635" s="31"/>
    </row>
    <row r="3636" spans="41:41" s="7" customFormat="1" x14ac:dyDescent="0.15">
      <c r="AO3636" s="31"/>
    </row>
    <row r="3637" spans="41:41" s="7" customFormat="1" x14ac:dyDescent="0.15">
      <c r="AO3637" s="31"/>
    </row>
    <row r="3638" spans="41:41" s="7" customFormat="1" x14ac:dyDescent="0.15">
      <c r="AO3638" s="31"/>
    </row>
    <row r="3639" spans="41:41" s="7" customFormat="1" x14ac:dyDescent="0.15">
      <c r="AO3639" s="31"/>
    </row>
    <row r="3640" spans="41:41" s="7" customFormat="1" x14ac:dyDescent="0.15">
      <c r="AO3640" s="31"/>
    </row>
    <row r="3641" spans="41:41" s="7" customFormat="1" x14ac:dyDescent="0.15">
      <c r="AO3641" s="31"/>
    </row>
    <row r="3642" spans="41:41" s="7" customFormat="1" x14ac:dyDescent="0.15">
      <c r="AO3642" s="31"/>
    </row>
    <row r="3643" spans="41:41" s="7" customFormat="1" x14ac:dyDescent="0.15">
      <c r="AO3643" s="31"/>
    </row>
    <row r="3644" spans="41:41" s="7" customFormat="1" x14ac:dyDescent="0.15">
      <c r="AO3644" s="31"/>
    </row>
    <row r="3645" spans="41:41" s="7" customFormat="1" x14ac:dyDescent="0.15">
      <c r="AO3645" s="31"/>
    </row>
    <row r="3646" spans="41:41" s="7" customFormat="1" x14ac:dyDescent="0.15">
      <c r="AO3646" s="31"/>
    </row>
    <row r="3647" spans="41:41" s="7" customFormat="1" x14ac:dyDescent="0.15">
      <c r="AO3647" s="31"/>
    </row>
    <row r="3648" spans="41:41" s="7" customFormat="1" x14ac:dyDescent="0.15">
      <c r="AO3648" s="31"/>
    </row>
    <row r="3649" spans="41:41" s="7" customFormat="1" x14ac:dyDescent="0.15">
      <c r="AO3649" s="31"/>
    </row>
    <row r="3650" spans="41:41" s="7" customFormat="1" x14ac:dyDescent="0.15">
      <c r="AO3650" s="31"/>
    </row>
    <row r="3651" spans="41:41" s="7" customFormat="1" x14ac:dyDescent="0.15">
      <c r="AO3651" s="31"/>
    </row>
    <row r="3652" spans="41:41" s="7" customFormat="1" x14ac:dyDescent="0.15">
      <c r="AO3652" s="31"/>
    </row>
    <row r="3653" spans="41:41" s="7" customFormat="1" x14ac:dyDescent="0.15">
      <c r="AO3653" s="31"/>
    </row>
    <row r="3654" spans="41:41" s="7" customFormat="1" x14ac:dyDescent="0.15">
      <c r="AO3654" s="31"/>
    </row>
    <row r="3655" spans="41:41" s="7" customFormat="1" x14ac:dyDescent="0.15">
      <c r="AO3655" s="31"/>
    </row>
    <row r="3656" spans="41:41" s="7" customFormat="1" x14ac:dyDescent="0.15">
      <c r="AO3656" s="31"/>
    </row>
    <row r="3657" spans="41:41" s="7" customFormat="1" x14ac:dyDescent="0.15">
      <c r="AO3657" s="31"/>
    </row>
    <row r="3658" spans="41:41" s="7" customFormat="1" x14ac:dyDescent="0.15">
      <c r="AO3658" s="31"/>
    </row>
    <row r="3659" spans="41:41" s="7" customFormat="1" x14ac:dyDescent="0.15">
      <c r="AO3659" s="31"/>
    </row>
    <row r="3660" spans="41:41" s="7" customFormat="1" x14ac:dyDescent="0.15">
      <c r="AO3660" s="31"/>
    </row>
    <row r="3661" spans="41:41" s="7" customFormat="1" x14ac:dyDescent="0.15">
      <c r="AO3661" s="31"/>
    </row>
    <row r="3662" spans="41:41" s="7" customFormat="1" x14ac:dyDescent="0.15">
      <c r="AO3662" s="31"/>
    </row>
    <row r="3663" spans="41:41" s="7" customFormat="1" x14ac:dyDescent="0.15">
      <c r="AO3663" s="31"/>
    </row>
    <row r="3664" spans="41:41" s="7" customFormat="1" x14ac:dyDescent="0.15">
      <c r="AO3664" s="31"/>
    </row>
    <row r="3665" spans="41:41" s="7" customFormat="1" x14ac:dyDescent="0.15">
      <c r="AO3665" s="31"/>
    </row>
    <row r="3666" spans="41:41" s="7" customFormat="1" x14ac:dyDescent="0.15">
      <c r="AO3666" s="31"/>
    </row>
    <row r="3667" spans="41:41" s="7" customFormat="1" x14ac:dyDescent="0.15">
      <c r="AO3667" s="31"/>
    </row>
    <row r="3668" spans="41:41" s="7" customFormat="1" x14ac:dyDescent="0.15">
      <c r="AO3668" s="31"/>
    </row>
    <row r="3669" spans="41:41" s="7" customFormat="1" x14ac:dyDescent="0.15">
      <c r="AO3669" s="31"/>
    </row>
    <row r="3670" spans="41:41" s="7" customFormat="1" x14ac:dyDescent="0.15">
      <c r="AO3670" s="31"/>
    </row>
    <row r="3671" spans="41:41" s="7" customFormat="1" x14ac:dyDescent="0.15">
      <c r="AO3671" s="31"/>
    </row>
    <row r="3672" spans="41:41" s="7" customFormat="1" x14ac:dyDescent="0.15">
      <c r="AO3672" s="31"/>
    </row>
    <row r="3673" spans="41:41" s="7" customFormat="1" x14ac:dyDescent="0.15">
      <c r="AO3673" s="31"/>
    </row>
    <row r="3674" spans="41:41" s="7" customFormat="1" x14ac:dyDescent="0.15">
      <c r="AO3674" s="31"/>
    </row>
    <row r="3675" spans="41:41" s="7" customFormat="1" x14ac:dyDescent="0.15">
      <c r="AO3675" s="31"/>
    </row>
    <row r="3676" spans="41:41" s="7" customFormat="1" x14ac:dyDescent="0.15">
      <c r="AO3676" s="31"/>
    </row>
    <row r="3677" spans="41:41" s="7" customFormat="1" x14ac:dyDescent="0.15">
      <c r="AO3677" s="31"/>
    </row>
    <row r="3678" spans="41:41" s="7" customFormat="1" x14ac:dyDescent="0.15">
      <c r="AO3678" s="31"/>
    </row>
    <row r="3679" spans="41:41" s="7" customFormat="1" x14ac:dyDescent="0.15">
      <c r="AO3679" s="31"/>
    </row>
    <row r="3680" spans="41:41" s="7" customFormat="1" x14ac:dyDescent="0.15">
      <c r="AO3680" s="31"/>
    </row>
    <row r="3681" spans="41:41" s="7" customFormat="1" x14ac:dyDescent="0.15">
      <c r="AO3681" s="31"/>
    </row>
    <row r="3682" spans="41:41" s="7" customFormat="1" x14ac:dyDescent="0.15">
      <c r="AO3682" s="31"/>
    </row>
    <row r="3683" spans="41:41" s="7" customFormat="1" x14ac:dyDescent="0.15">
      <c r="AO3683" s="31"/>
    </row>
    <row r="3684" spans="41:41" s="7" customFormat="1" x14ac:dyDescent="0.15">
      <c r="AO3684" s="31"/>
    </row>
    <row r="3685" spans="41:41" s="7" customFormat="1" x14ac:dyDescent="0.15">
      <c r="AO3685" s="31"/>
    </row>
    <row r="3686" spans="41:41" s="7" customFormat="1" x14ac:dyDescent="0.15">
      <c r="AO3686" s="31"/>
    </row>
    <row r="3687" spans="41:41" s="7" customFormat="1" x14ac:dyDescent="0.15">
      <c r="AO3687" s="31"/>
    </row>
    <row r="3688" spans="41:41" s="7" customFormat="1" x14ac:dyDescent="0.15">
      <c r="AO3688" s="31"/>
    </row>
    <row r="3689" spans="41:41" s="7" customFormat="1" x14ac:dyDescent="0.15">
      <c r="AO3689" s="31"/>
    </row>
    <row r="3690" spans="41:41" s="7" customFormat="1" x14ac:dyDescent="0.15">
      <c r="AO3690" s="31"/>
    </row>
    <row r="3691" spans="41:41" s="7" customFormat="1" x14ac:dyDescent="0.15">
      <c r="AO3691" s="31"/>
    </row>
    <row r="3692" spans="41:41" s="7" customFormat="1" x14ac:dyDescent="0.15">
      <c r="AO3692" s="31"/>
    </row>
    <row r="3693" spans="41:41" s="7" customFormat="1" x14ac:dyDescent="0.15">
      <c r="AO3693" s="31"/>
    </row>
    <row r="3694" spans="41:41" s="7" customFormat="1" x14ac:dyDescent="0.15">
      <c r="AO3694" s="31"/>
    </row>
    <row r="3695" spans="41:41" s="7" customFormat="1" x14ac:dyDescent="0.15">
      <c r="AO3695" s="31"/>
    </row>
    <row r="3696" spans="41:41" s="7" customFormat="1" x14ac:dyDescent="0.15">
      <c r="AO3696" s="31"/>
    </row>
    <row r="3697" spans="41:41" s="7" customFormat="1" x14ac:dyDescent="0.15">
      <c r="AO3697" s="31"/>
    </row>
    <row r="3698" spans="41:41" s="7" customFormat="1" x14ac:dyDescent="0.15">
      <c r="AO3698" s="31"/>
    </row>
    <row r="3699" spans="41:41" s="7" customFormat="1" x14ac:dyDescent="0.15">
      <c r="AO3699" s="31"/>
    </row>
    <row r="3700" spans="41:41" s="7" customFormat="1" x14ac:dyDescent="0.15">
      <c r="AO3700" s="31"/>
    </row>
    <row r="3701" spans="41:41" s="7" customFormat="1" x14ac:dyDescent="0.15">
      <c r="AO3701" s="31"/>
    </row>
    <row r="3702" spans="41:41" s="7" customFormat="1" x14ac:dyDescent="0.15">
      <c r="AO3702" s="31"/>
    </row>
    <row r="3703" spans="41:41" s="7" customFormat="1" x14ac:dyDescent="0.15">
      <c r="AO3703" s="31"/>
    </row>
    <row r="3704" spans="41:41" s="7" customFormat="1" x14ac:dyDescent="0.15">
      <c r="AO3704" s="31"/>
    </row>
    <row r="3705" spans="41:41" s="7" customFormat="1" x14ac:dyDescent="0.15">
      <c r="AO3705" s="31"/>
    </row>
    <row r="3706" spans="41:41" s="7" customFormat="1" x14ac:dyDescent="0.15">
      <c r="AO3706" s="31"/>
    </row>
    <row r="3707" spans="41:41" s="7" customFormat="1" x14ac:dyDescent="0.15">
      <c r="AO3707" s="31"/>
    </row>
    <row r="3708" spans="41:41" s="7" customFormat="1" x14ac:dyDescent="0.15">
      <c r="AO3708" s="31"/>
    </row>
    <row r="3709" spans="41:41" s="7" customFormat="1" x14ac:dyDescent="0.15">
      <c r="AO3709" s="31"/>
    </row>
    <row r="3710" spans="41:41" s="7" customFormat="1" x14ac:dyDescent="0.15">
      <c r="AO3710" s="31"/>
    </row>
    <row r="3711" spans="41:41" s="7" customFormat="1" x14ac:dyDescent="0.15">
      <c r="AO3711" s="31"/>
    </row>
    <row r="3712" spans="41:41" s="7" customFormat="1" x14ac:dyDescent="0.15">
      <c r="AO3712" s="31"/>
    </row>
    <row r="3713" spans="41:41" s="7" customFormat="1" x14ac:dyDescent="0.15">
      <c r="AO3713" s="31"/>
    </row>
    <row r="3714" spans="41:41" s="7" customFormat="1" x14ac:dyDescent="0.15">
      <c r="AO3714" s="31"/>
    </row>
    <row r="3715" spans="41:41" s="7" customFormat="1" x14ac:dyDescent="0.15">
      <c r="AO3715" s="31"/>
    </row>
    <row r="3716" spans="41:41" s="7" customFormat="1" x14ac:dyDescent="0.15">
      <c r="AO3716" s="31"/>
    </row>
    <row r="3717" spans="41:41" s="7" customFormat="1" x14ac:dyDescent="0.15">
      <c r="AO3717" s="31"/>
    </row>
    <row r="3718" spans="41:41" s="7" customFormat="1" x14ac:dyDescent="0.15">
      <c r="AO3718" s="31"/>
    </row>
    <row r="3719" spans="41:41" s="7" customFormat="1" x14ac:dyDescent="0.15">
      <c r="AO3719" s="31"/>
    </row>
    <row r="3720" spans="41:41" s="7" customFormat="1" x14ac:dyDescent="0.15">
      <c r="AO3720" s="31"/>
    </row>
    <row r="3721" spans="41:41" s="7" customFormat="1" x14ac:dyDescent="0.15">
      <c r="AO3721" s="31"/>
    </row>
    <row r="3722" spans="41:41" s="7" customFormat="1" x14ac:dyDescent="0.15">
      <c r="AO3722" s="31"/>
    </row>
    <row r="3723" spans="41:41" s="7" customFormat="1" x14ac:dyDescent="0.15">
      <c r="AO3723" s="31"/>
    </row>
    <row r="3724" spans="41:41" s="7" customFormat="1" x14ac:dyDescent="0.15">
      <c r="AO3724" s="31"/>
    </row>
    <row r="3725" spans="41:41" s="7" customFormat="1" x14ac:dyDescent="0.15">
      <c r="AO3725" s="31"/>
    </row>
    <row r="3726" spans="41:41" s="7" customFormat="1" x14ac:dyDescent="0.15">
      <c r="AO3726" s="31"/>
    </row>
    <row r="3727" spans="41:41" s="7" customFormat="1" x14ac:dyDescent="0.15">
      <c r="AO3727" s="31"/>
    </row>
    <row r="3728" spans="41:41" s="7" customFormat="1" x14ac:dyDescent="0.15">
      <c r="AO3728" s="31"/>
    </row>
    <row r="3729" spans="41:41" s="7" customFormat="1" x14ac:dyDescent="0.15">
      <c r="AO3729" s="31"/>
    </row>
    <row r="3730" spans="41:41" s="7" customFormat="1" x14ac:dyDescent="0.15">
      <c r="AO3730" s="31"/>
    </row>
    <row r="3731" spans="41:41" s="7" customFormat="1" x14ac:dyDescent="0.15">
      <c r="AO3731" s="31"/>
    </row>
    <row r="3732" spans="41:41" s="7" customFormat="1" x14ac:dyDescent="0.15">
      <c r="AO3732" s="31"/>
    </row>
    <row r="3733" spans="41:41" s="7" customFormat="1" x14ac:dyDescent="0.15">
      <c r="AO3733" s="31"/>
    </row>
    <row r="3734" spans="41:41" s="7" customFormat="1" x14ac:dyDescent="0.15">
      <c r="AO3734" s="31"/>
    </row>
    <row r="3735" spans="41:41" s="7" customFormat="1" x14ac:dyDescent="0.15">
      <c r="AO3735" s="31"/>
    </row>
    <row r="3736" spans="41:41" s="7" customFormat="1" x14ac:dyDescent="0.15">
      <c r="AO3736" s="31"/>
    </row>
    <row r="3737" spans="41:41" s="7" customFormat="1" x14ac:dyDescent="0.15">
      <c r="AO3737" s="31"/>
    </row>
    <row r="3738" spans="41:41" s="7" customFormat="1" x14ac:dyDescent="0.15">
      <c r="AO3738" s="31"/>
    </row>
    <row r="3739" spans="41:41" s="7" customFormat="1" x14ac:dyDescent="0.15">
      <c r="AO3739" s="31"/>
    </row>
    <row r="3740" spans="41:41" s="7" customFormat="1" x14ac:dyDescent="0.15">
      <c r="AO3740" s="31"/>
    </row>
    <row r="3741" spans="41:41" s="7" customFormat="1" x14ac:dyDescent="0.15">
      <c r="AO3741" s="31"/>
    </row>
    <row r="3742" spans="41:41" s="7" customFormat="1" x14ac:dyDescent="0.15">
      <c r="AO3742" s="31"/>
    </row>
    <row r="3743" spans="41:41" s="7" customFormat="1" x14ac:dyDescent="0.15">
      <c r="AO3743" s="31"/>
    </row>
    <row r="3744" spans="41:41" s="7" customFormat="1" x14ac:dyDescent="0.15">
      <c r="AO3744" s="31"/>
    </row>
    <row r="3745" spans="41:41" s="7" customFormat="1" x14ac:dyDescent="0.15">
      <c r="AO3745" s="31"/>
    </row>
    <row r="3746" spans="41:41" s="7" customFormat="1" x14ac:dyDescent="0.15">
      <c r="AO3746" s="31"/>
    </row>
    <row r="3747" spans="41:41" s="7" customFormat="1" x14ac:dyDescent="0.15">
      <c r="AO3747" s="31"/>
    </row>
    <row r="3748" spans="41:41" s="7" customFormat="1" x14ac:dyDescent="0.15">
      <c r="AO3748" s="31"/>
    </row>
    <row r="3749" spans="41:41" s="7" customFormat="1" x14ac:dyDescent="0.15">
      <c r="AO3749" s="31"/>
    </row>
    <row r="3750" spans="41:41" s="7" customFormat="1" x14ac:dyDescent="0.15">
      <c r="AO3750" s="31"/>
    </row>
    <row r="3751" spans="41:41" s="7" customFormat="1" x14ac:dyDescent="0.15">
      <c r="AO3751" s="31"/>
    </row>
    <row r="3752" spans="41:41" s="7" customFormat="1" x14ac:dyDescent="0.15">
      <c r="AO3752" s="31"/>
    </row>
    <row r="3753" spans="41:41" s="7" customFormat="1" x14ac:dyDescent="0.15">
      <c r="AO3753" s="31"/>
    </row>
    <row r="3754" spans="41:41" s="7" customFormat="1" x14ac:dyDescent="0.15">
      <c r="AO3754" s="31"/>
    </row>
    <row r="3755" spans="41:41" s="7" customFormat="1" x14ac:dyDescent="0.15">
      <c r="AO3755" s="31"/>
    </row>
    <row r="3756" spans="41:41" s="7" customFormat="1" x14ac:dyDescent="0.15">
      <c r="AO3756" s="31"/>
    </row>
    <row r="3757" spans="41:41" s="7" customFormat="1" x14ac:dyDescent="0.15">
      <c r="AO3757" s="31"/>
    </row>
    <row r="3758" spans="41:41" s="7" customFormat="1" x14ac:dyDescent="0.15">
      <c r="AO3758" s="31"/>
    </row>
    <row r="3759" spans="41:41" s="7" customFormat="1" x14ac:dyDescent="0.15">
      <c r="AO3759" s="31"/>
    </row>
    <row r="3760" spans="41:41" s="7" customFormat="1" x14ac:dyDescent="0.15">
      <c r="AO3760" s="31"/>
    </row>
    <row r="3761" spans="41:41" s="7" customFormat="1" x14ac:dyDescent="0.15">
      <c r="AO3761" s="31"/>
    </row>
    <row r="3762" spans="41:41" s="7" customFormat="1" x14ac:dyDescent="0.15">
      <c r="AO3762" s="31"/>
    </row>
    <row r="3763" spans="41:41" s="7" customFormat="1" x14ac:dyDescent="0.15">
      <c r="AO3763" s="31"/>
    </row>
    <row r="3764" spans="41:41" s="7" customFormat="1" x14ac:dyDescent="0.15">
      <c r="AO3764" s="31"/>
    </row>
    <row r="3765" spans="41:41" s="7" customFormat="1" x14ac:dyDescent="0.15">
      <c r="AO3765" s="31"/>
    </row>
    <row r="3766" spans="41:41" s="7" customFormat="1" x14ac:dyDescent="0.15">
      <c r="AO3766" s="31"/>
    </row>
    <row r="3767" spans="41:41" s="7" customFormat="1" x14ac:dyDescent="0.15">
      <c r="AO3767" s="31"/>
    </row>
    <row r="3768" spans="41:41" s="7" customFormat="1" x14ac:dyDescent="0.15">
      <c r="AO3768" s="31"/>
    </row>
    <row r="3769" spans="41:41" s="7" customFormat="1" x14ac:dyDescent="0.15">
      <c r="AO3769" s="31"/>
    </row>
    <row r="3770" spans="41:41" s="7" customFormat="1" x14ac:dyDescent="0.15">
      <c r="AO3770" s="31"/>
    </row>
    <row r="3771" spans="41:41" s="7" customFormat="1" x14ac:dyDescent="0.15">
      <c r="AO3771" s="31"/>
    </row>
    <row r="3772" spans="41:41" s="7" customFormat="1" x14ac:dyDescent="0.15">
      <c r="AO3772" s="31"/>
    </row>
    <row r="3773" spans="41:41" s="7" customFormat="1" x14ac:dyDescent="0.15">
      <c r="AO3773" s="31"/>
    </row>
    <row r="3774" spans="41:41" s="7" customFormat="1" x14ac:dyDescent="0.15">
      <c r="AO3774" s="31"/>
    </row>
    <row r="3775" spans="41:41" s="7" customFormat="1" x14ac:dyDescent="0.15">
      <c r="AO3775" s="31"/>
    </row>
    <row r="3776" spans="41:41" s="7" customFormat="1" x14ac:dyDescent="0.15">
      <c r="AO3776" s="31"/>
    </row>
    <row r="3777" spans="41:41" s="7" customFormat="1" x14ac:dyDescent="0.15">
      <c r="AO3777" s="31"/>
    </row>
    <row r="3778" spans="41:41" s="7" customFormat="1" x14ac:dyDescent="0.15">
      <c r="AO3778" s="31"/>
    </row>
    <row r="3779" spans="41:41" s="7" customFormat="1" x14ac:dyDescent="0.15">
      <c r="AO3779" s="31"/>
    </row>
    <row r="3780" spans="41:41" s="7" customFormat="1" x14ac:dyDescent="0.15">
      <c r="AO3780" s="31"/>
    </row>
    <row r="3781" spans="41:41" s="7" customFormat="1" x14ac:dyDescent="0.15">
      <c r="AO3781" s="31"/>
    </row>
    <row r="3782" spans="41:41" s="7" customFormat="1" x14ac:dyDescent="0.15">
      <c r="AO3782" s="31"/>
    </row>
    <row r="3783" spans="41:41" s="7" customFormat="1" x14ac:dyDescent="0.15">
      <c r="AO3783" s="31"/>
    </row>
    <row r="3784" spans="41:41" s="7" customFormat="1" x14ac:dyDescent="0.15">
      <c r="AO3784" s="31"/>
    </row>
    <row r="3785" spans="41:41" s="7" customFormat="1" x14ac:dyDescent="0.15">
      <c r="AO3785" s="31"/>
    </row>
    <row r="3786" spans="41:41" s="7" customFormat="1" x14ac:dyDescent="0.15">
      <c r="AO3786" s="31"/>
    </row>
    <row r="3787" spans="41:41" s="7" customFormat="1" x14ac:dyDescent="0.15">
      <c r="AO3787" s="31"/>
    </row>
    <row r="3788" spans="41:41" s="7" customFormat="1" x14ac:dyDescent="0.15">
      <c r="AO3788" s="31"/>
    </row>
    <row r="3789" spans="41:41" s="7" customFormat="1" x14ac:dyDescent="0.15">
      <c r="AO3789" s="31"/>
    </row>
    <row r="3790" spans="41:41" s="7" customFormat="1" x14ac:dyDescent="0.15">
      <c r="AO3790" s="31"/>
    </row>
    <row r="3791" spans="41:41" s="7" customFormat="1" x14ac:dyDescent="0.15">
      <c r="AO3791" s="31"/>
    </row>
    <row r="3792" spans="41:41" s="7" customFormat="1" x14ac:dyDescent="0.15">
      <c r="AO3792" s="31"/>
    </row>
    <row r="3793" spans="41:41" s="7" customFormat="1" x14ac:dyDescent="0.15">
      <c r="AO3793" s="31"/>
    </row>
    <row r="3794" spans="41:41" s="7" customFormat="1" x14ac:dyDescent="0.15">
      <c r="AO3794" s="31"/>
    </row>
    <row r="3795" spans="41:41" s="7" customFormat="1" x14ac:dyDescent="0.15">
      <c r="AO3795" s="31"/>
    </row>
    <row r="3796" spans="41:41" s="7" customFormat="1" x14ac:dyDescent="0.15">
      <c r="AO3796" s="31"/>
    </row>
    <row r="3797" spans="41:41" s="7" customFormat="1" x14ac:dyDescent="0.15">
      <c r="AO3797" s="31"/>
    </row>
    <row r="3798" spans="41:41" s="7" customFormat="1" x14ac:dyDescent="0.15">
      <c r="AO3798" s="31"/>
    </row>
    <row r="3799" spans="41:41" s="7" customFormat="1" x14ac:dyDescent="0.15">
      <c r="AO3799" s="31"/>
    </row>
    <row r="3800" spans="41:41" s="7" customFormat="1" x14ac:dyDescent="0.15">
      <c r="AO3800" s="31"/>
    </row>
    <row r="3801" spans="41:41" s="7" customFormat="1" x14ac:dyDescent="0.15">
      <c r="AO3801" s="31"/>
    </row>
    <row r="3802" spans="41:41" s="7" customFormat="1" x14ac:dyDescent="0.15">
      <c r="AO3802" s="31"/>
    </row>
    <row r="3803" spans="41:41" s="7" customFormat="1" x14ac:dyDescent="0.15">
      <c r="AO3803" s="31"/>
    </row>
    <row r="3804" spans="41:41" s="7" customFormat="1" x14ac:dyDescent="0.15">
      <c r="AO3804" s="31"/>
    </row>
    <row r="3805" spans="41:41" s="7" customFormat="1" x14ac:dyDescent="0.15">
      <c r="AO3805" s="31"/>
    </row>
    <row r="3806" spans="41:41" s="7" customFormat="1" x14ac:dyDescent="0.15">
      <c r="AO3806" s="31"/>
    </row>
    <row r="3807" spans="41:41" s="7" customFormat="1" x14ac:dyDescent="0.15">
      <c r="AO3807" s="31"/>
    </row>
    <row r="3808" spans="41:41" s="7" customFormat="1" x14ac:dyDescent="0.15">
      <c r="AO3808" s="31"/>
    </row>
    <row r="3809" spans="41:41" s="7" customFormat="1" x14ac:dyDescent="0.15">
      <c r="AO3809" s="31"/>
    </row>
    <row r="3810" spans="41:41" s="7" customFormat="1" x14ac:dyDescent="0.15">
      <c r="AO3810" s="31"/>
    </row>
    <row r="3811" spans="41:41" s="7" customFormat="1" x14ac:dyDescent="0.15">
      <c r="AO3811" s="31"/>
    </row>
    <row r="3812" spans="41:41" s="7" customFormat="1" x14ac:dyDescent="0.15">
      <c r="AO3812" s="31"/>
    </row>
    <row r="3813" spans="41:41" s="7" customFormat="1" x14ac:dyDescent="0.15">
      <c r="AO3813" s="31"/>
    </row>
    <row r="3814" spans="41:41" s="7" customFormat="1" x14ac:dyDescent="0.15">
      <c r="AO3814" s="31"/>
    </row>
    <row r="3815" spans="41:41" s="7" customFormat="1" x14ac:dyDescent="0.15">
      <c r="AO3815" s="31"/>
    </row>
    <row r="3816" spans="41:41" s="7" customFormat="1" x14ac:dyDescent="0.15">
      <c r="AO3816" s="31"/>
    </row>
    <row r="3817" spans="41:41" s="7" customFormat="1" x14ac:dyDescent="0.15">
      <c r="AO3817" s="31"/>
    </row>
    <row r="3818" spans="41:41" s="7" customFormat="1" x14ac:dyDescent="0.15">
      <c r="AO3818" s="31"/>
    </row>
    <row r="3819" spans="41:41" s="7" customFormat="1" x14ac:dyDescent="0.15">
      <c r="AO3819" s="31"/>
    </row>
    <row r="3820" spans="41:41" s="7" customFormat="1" x14ac:dyDescent="0.15">
      <c r="AO3820" s="31"/>
    </row>
    <row r="3821" spans="41:41" s="7" customFormat="1" x14ac:dyDescent="0.15">
      <c r="AO3821" s="31"/>
    </row>
    <row r="3822" spans="41:41" s="7" customFormat="1" x14ac:dyDescent="0.15">
      <c r="AO3822" s="31"/>
    </row>
    <row r="3823" spans="41:41" s="7" customFormat="1" x14ac:dyDescent="0.15">
      <c r="AO3823" s="31"/>
    </row>
    <row r="3824" spans="41:41" s="7" customFormat="1" x14ac:dyDescent="0.15">
      <c r="AO3824" s="31"/>
    </row>
    <row r="3825" spans="41:41" s="7" customFormat="1" x14ac:dyDescent="0.15">
      <c r="AO3825" s="31"/>
    </row>
    <row r="3826" spans="41:41" s="7" customFormat="1" x14ac:dyDescent="0.15">
      <c r="AO3826" s="31"/>
    </row>
    <row r="3827" spans="41:41" s="7" customFormat="1" x14ac:dyDescent="0.15">
      <c r="AO3827" s="31"/>
    </row>
    <row r="3828" spans="41:41" s="7" customFormat="1" x14ac:dyDescent="0.15">
      <c r="AO3828" s="31"/>
    </row>
    <row r="3829" spans="41:41" s="7" customFormat="1" x14ac:dyDescent="0.15">
      <c r="AO3829" s="31"/>
    </row>
    <row r="3830" spans="41:41" s="7" customFormat="1" x14ac:dyDescent="0.15">
      <c r="AO3830" s="31"/>
    </row>
    <row r="3831" spans="41:41" s="7" customFormat="1" x14ac:dyDescent="0.15">
      <c r="AO3831" s="31"/>
    </row>
    <row r="3832" spans="41:41" s="7" customFormat="1" x14ac:dyDescent="0.15">
      <c r="AO3832" s="31"/>
    </row>
    <row r="3833" spans="41:41" s="7" customFormat="1" x14ac:dyDescent="0.15">
      <c r="AO3833" s="31"/>
    </row>
    <row r="3834" spans="41:41" s="7" customFormat="1" x14ac:dyDescent="0.15">
      <c r="AO3834" s="31"/>
    </row>
    <row r="3835" spans="41:41" s="7" customFormat="1" x14ac:dyDescent="0.15">
      <c r="AO3835" s="31"/>
    </row>
    <row r="3836" spans="41:41" s="7" customFormat="1" x14ac:dyDescent="0.15">
      <c r="AO3836" s="31"/>
    </row>
    <row r="3837" spans="41:41" s="7" customFormat="1" x14ac:dyDescent="0.15">
      <c r="AO3837" s="31"/>
    </row>
    <row r="3838" spans="41:41" s="7" customFormat="1" x14ac:dyDescent="0.15">
      <c r="AO3838" s="31"/>
    </row>
    <row r="3839" spans="41:41" s="7" customFormat="1" x14ac:dyDescent="0.15">
      <c r="AO3839" s="31"/>
    </row>
    <row r="3840" spans="41:41" s="7" customFormat="1" x14ac:dyDescent="0.15">
      <c r="AO3840" s="31"/>
    </row>
    <row r="3841" spans="41:41" s="7" customFormat="1" x14ac:dyDescent="0.15">
      <c r="AO3841" s="31"/>
    </row>
    <row r="3842" spans="41:41" s="7" customFormat="1" x14ac:dyDescent="0.15">
      <c r="AO3842" s="31"/>
    </row>
    <row r="3843" spans="41:41" s="7" customFormat="1" x14ac:dyDescent="0.15">
      <c r="AO3843" s="31"/>
    </row>
    <row r="3844" spans="41:41" s="7" customFormat="1" x14ac:dyDescent="0.15">
      <c r="AO3844" s="31"/>
    </row>
    <row r="3845" spans="41:41" s="7" customFormat="1" x14ac:dyDescent="0.15">
      <c r="AO3845" s="31"/>
    </row>
    <row r="3846" spans="41:41" s="7" customFormat="1" x14ac:dyDescent="0.15">
      <c r="AO3846" s="31"/>
    </row>
    <row r="3847" spans="41:41" s="7" customFormat="1" x14ac:dyDescent="0.15">
      <c r="AO3847" s="31"/>
    </row>
    <row r="3848" spans="41:41" s="7" customFormat="1" x14ac:dyDescent="0.15">
      <c r="AO3848" s="31"/>
    </row>
    <row r="3849" spans="41:41" s="7" customFormat="1" x14ac:dyDescent="0.15">
      <c r="AO3849" s="31"/>
    </row>
    <row r="3850" spans="41:41" s="7" customFormat="1" x14ac:dyDescent="0.15">
      <c r="AO3850" s="31"/>
    </row>
    <row r="3851" spans="41:41" s="7" customFormat="1" x14ac:dyDescent="0.15">
      <c r="AO3851" s="31"/>
    </row>
    <row r="3852" spans="41:41" s="7" customFormat="1" x14ac:dyDescent="0.15">
      <c r="AO3852" s="31"/>
    </row>
    <row r="3853" spans="41:41" s="7" customFormat="1" x14ac:dyDescent="0.15">
      <c r="AO3853" s="31"/>
    </row>
    <row r="3854" spans="41:41" s="7" customFormat="1" x14ac:dyDescent="0.15">
      <c r="AO3854" s="31"/>
    </row>
    <row r="3855" spans="41:41" s="7" customFormat="1" x14ac:dyDescent="0.15">
      <c r="AO3855" s="31"/>
    </row>
    <row r="3856" spans="41:41" s="7" customFormat="1" x14ac:dyDescent="0.15">
      <c r="AO3856" s="31"/>
    </row>
    <row r="3857" spans="41:41" s="7" customFormat="1" x14ac:dyDescent="0.15">
      <c r="AO3857" s="31"/>
    </row>
    <row r="3858" spans="41:41" s="7" customFormat="1" x14ac:dyDescent="0.15">
      <c r="AO3858" s="31"/>
    </row>
    <row r="3859" spans="41:41" s="7" customFormat="1" x14ac:dyDescent="0.15">
      <c r="AO3859" s="31"/>
    </row>
    <row r="3860" spans="41:41" s="7" customFormat="1" x14ac:dyDescent="0.15">
      <c r="AO3860" s="31"/>
    </row>
    <row r="3861" spans="41:41" s="7" customFormat="1" x14ac:dyDescent="0.15">
      <c r="AO3861" s="31"/>
    </row>
    <row r="3862" spans="41:41" s="7" customFormat="1" x14ac:dyDescent="0.15">
      <c r="AO3862" s="31"/>
    </row>
    <row r="3863" spans="41:41" s="7" customFormat="1" x14ac:dyDescent="0.15">
      <c r="AO3863" s="31"/>
    </row>
    <row r="3864" spans="41:41" s="7" customFormat="1" x14ac:dyDescent="0.15">
      <c r="AO3864" s="31"/>
    </row>
    <row r="3865" spans="41:41" s="7" customFormat="1" x14ac:dyDescent="0.15">
      <c r="AO3865" s="31"/>
    </row>
    <row r="3866" spans="41:41" s="7" customFormat="1" x14ac:dyDescent="0.15">
      <c r="AO3866" s="31"/>
    </row>
    <row r="3867" spans="41:41" s="7" customFormat="1" x14ac:dyDescent="0.15">
      <c r="AO3867" s="31"/>
    </row>
    <row r="3868" spans="41:41" s="7" customFormat="1" x14ac:dyDescent="0.15">
      <c r="AO3868" s="31"/>
    </row>
    <row r="3869" spans="41:41" s="7" customFormat="1" x14ac:dyDescent="0.15">
      <c r="AO3869" s="31"/>
    </row>
    <row r="3870" spans="41:41" s="7" customFormat="1" x14ac:dyDescent="0.15">
      <c r="AO3870" s="31"/>
    </row>
    <row r="3871" spans="41:41" s="7" customFormat="1" x14ac:dyDescent="0.15">
      <c r="AO3871" s="31"/>
    </row>
    <row r="3872" spans="41:41" s="7" customFormat="1" x14ac:dyDescent="0.15">
      <c r="AO3872" s="31"/>
    </row>
    <row r="3873" spans="41:41" s="7" customFormat="1" x14ac:dyDescent="0.15">
      <c r="AO3873" s="31"/>
    </row>
    <row r="3874" spans="41:41" s="7" customFormat="1" x14ac:dyDescent="0.15">
      <c r="AO3874" s="31"/>
    </row>
    <row r="3875" spans="41:41" s="7" customFormat="1" x14ac:dyDescent="0.15">
      <c r="AO3875" s="31"/>
    </row>
    <row r="3876" spans="41:41" s="7" customFormat="1" x14ac:dyDescent="0.15">
      <c r="AO3876" s="31"/>
    </row>
    <row r="3877" spans="41:41" s="7" customFormat="1" x14ac:dyDescent="0.15">
      <c r="AO3877" s="31"/>
    </row>
    <row r="3878" spans="41:41" s="7" customFormat="1" x14ac:dyDescent="0.15">
      <c r="AO3878" s="31"/>
    </row>
    <row r="3879" spans="41:41" s="7" customFormat="1" x14ac:dyDescent="0.15">
      <c r="AO3879" s="31"/>
    </row>
    <row r="3880" spans="41:41" s="7" customFormat="1" x14ac:dyDescent="0.15">
      <c r="AO3880" s="31"/>
    </row>
    <row r="3881" spans="41:41" s="7" customFormat="1" x14ac:dyDescent="0.15">
      <c r="AO3881" s="31"/>
    </row>
    <row r="3882" spans="41:41" s="7" customFormat="1" x14ac:dyDescent="0.15">
      <c r="AO3882" s="31"/>
    </row>
    <row r="3883" spans="41:41" s="7" customFormat="1" x14ac:dyDescent="0.15">
      <c r="AO3883" s="31"/>
    </row>
    <row r="3884" spans="41:41" s="7" customFormat="1" x14ac:dyDescent="0.15">
      <c r="AO3884" s="31"/>
    </row>
    <row r="3885" spans="41:41" s="7" customFormat="1" x14ac:dyDescent="0.15">
      <c r="AO3885" s="31"/>
    </row>
    <row r="3886" spans="41:41" s="7" customFormat="1" x14ac:dyDescent="0.15">
      <c r="AO3886" s="31"/>
    </row>
    <row r="3887" spans="41:41" s="7" customFormat="1" x14ac:dyDescent="0.15">
      <c r="AO3887" s="31"/>
    </row>
    <row r="3888" spans="41:41" s="7" customFormat="1" x14ac:dyDescent="0.15">
      <c r="AO3888" s="31"/>
    </row>
    <row r="3889" spans="41:41" s="7" customFormat="1" x14ac:dyDescent="0.15">
      <c r="AO3889" s="31"/>
    </row>
    <row r="3890" spans="41:41" s="7" customFormat="1" x14ac:dyDescent="0.15">
      <c r="AO3890" s="31"/>
    </row>
    <row r="3891" spans="41:41" s="7" customFormat="1" x14ac:dyDescent="0.15">
      <c r="AO3891" s="31"/>
    </row>
    <row r="3892" spans="41:41" s="7" customFormat="1" x14ac:dyDescent="0.15">
      <c r="AO3892" s="31"/>
    </row>
    <row r="3893" spans="41:41" s="7" customFormat="1" x14ac:dyDescent="0.15">
      <c r="AO3893" s="31"/>
    </row>
    <row r="3894" spans="41:41" s="7" customFormat="1" x14ac:dyDescent="0.15">
      <c r="AO3894" s="31"/>
    </row>
    <row r="3895" spans="41:41" s="7" customFormat="1" x14ac:dyDescent="0.15">
      <c r="AO3895" s="31"/>
    </row>
    <row r="3896" spans="41:41" s="7" customFormat="1" x14ac:dyDescent="0.15">
      <c r="AO3896" s="31"/>
    </row>
    <row r="3897" spans="41:41" s="7" customFormat="1" x14ac:dyDescent="0.15">
      <c r="AO3897" s="31"/>
    </row>
    <row r="3898" spans="41:41" s="7" customFormat="1" x14ac:dyDescent="0.15">
      <c r="AO3898" s="31"/>
    </row>
    <row r="3899" spans="41:41" s="7" customFormat="1" x14ac:dyDescent="0.15">
      <c r="AO3899" s="31"/>
    </row>
    <row r="3900" spans="41:41" s="7" customFormat="1" x14ac:dyDescent="0.15">
      <c r="AO3900" s="31"/>
    </row>
    <row r="3901" spans="41:41" s="7" customFormat="1" x14ac:dyDescent="0.15">
      <c r="AO3901" s="31"/>
    </row>
    <row r="3902" spans="41:41" s="7" customFormat="1" x14ac:dyDescent="0.15">
      <c r="AO3902" s="31"/>
    </row>
    <row r="3903" spans="41:41" s="7" customFormat="1" x14ac:dyDescent="0.15">
      <c r="AO3903" s="31"/>
    </row>
    <row r="3904" spans="41:41" s="7" customFormat="1" x14ac:dyDescent="0.15">
      <c r="AO3904" s="31"/>
    </row>
    <row r="3905" spans="41:41" s="7" customFormat="1" x14ac:dyDescent="0.15">
      <c r="AO3905" s="31"/>
    </row>
    <row r="3906" spans="41:41" s="7" customFormat="1" x14ac:dyDescent="0.15">
      <c r="AO3906" s="31"/>
    </row>
    <row r="3907" spans="41:41" s="7" customFormat="1" x14ac:dyDescent="0.15">
      <c r="AO3907" s="31"/>
    </row>
    <row r="3908" spans="41:41" s="7" customFormat="1" x14ac:dyDescent="0.15">
      <c r="AO3908" s="31"/>
    </row>
    <row r="3909" spans="41:41" s="7" customFormat="1" x14ac:dyDescent="0.15">
      <c r="AO3909" s="31"/>
    </row>
    <row r="3910" spans="41:41" s="7" customFormat="1" x14ac:dyDescent="0.15">
      <c r="AO3910" s="31"/>
    </row>
    <row r="3911" spans="41:41" s="7" customFormat="1" x14ac:dyDescent="0.15">
      <c r="AO3911" s="31"/>
    </row>
    <row r="3912" spans="41:41" s="7" customFormat="1" x14ac:dyDescent="0.15">
      <c r="AO3912" s="31"/>
    </row>
    <row r="3913" spans="41:41" s="7" customFormat="1" x14ac:dyDescent="0.15">
      <c r="AO3913" s="31"/>
    </row>
    <row r="3914" spans="41:41" s="7" customFormat="1" x14ac:dyDescent="0.15">
      <c r="AO3914" s="31"/>
    </row>
    <row r="3915" spans="41:41" s="7" customFormat="1" x14ac:dyDescent="0.15">
      <c r="AO3915" s="31"/>
    </row>
    <row r="3916" spans="41:41" s="7" customFormat="1" x14ac:dyDescent="0.15">
      <c r="AO3916" s="31"/>
    </row>
    <row r="3917" spans="41:41" s="7" customFormat="1" x14ac:dyDescent="0.15">
      <c r="AO3917" s="31"/>
    </row>
    <row r="3918" spans="41:41" s="7" customFormat="1" x14ac:dyDescent="0.15">
      <c r="AO3918" s="31"/>
    </row>
    <row r="3919" spans="41:41" s="7" customFormat="1" x14ac:dyDescent="0.15">
      <c r="AO3919" s="31"/>
    </row>
    <row r="3920" spans="41:41" s="7" customFormat="1" x14ac:dyDescent="0.15">
      <c r="AO3920" s="31"/>
    </row>
    <row r="3921" spans="41:41" s="7" customFormat="1" x14ac:dyDescent="0.15">
      <c r="AO3921" s="31"/>
    </row>
    <row r="3922" spans="41:41" s="7" customFormat="1" x14ac:dyDescent="0.15">
      <c r="AO3922" s="31"/>
    </row>
    <row r="3923" spans="41:41" s="7" customFormat="1" x14ac:dyDescent="0.15">
      <c r="AO3923" s="31"/>
    </row>
    <row r="3924" spans="41:41" s="7" customFormat="1" x14ac:dyDescent="0.15">
      <c r="AO3924" s="31"/>
    </row>
    <row r="3925" spans="41:41" s="7" customFormat="1" x14ac:dyDescent="0.15">
      <c r="AO3925" s="31"/>
    </row>
    <row r="3926" spans="41:41" s="7" customFormat="1" x14ac:dyDescent="0.15">
      <c r="AO3926" s="31"/>
    </row>
    <row r="3927" spans="41:41" s="7" customFormat="1" x14ac:dyDescent="0.15">
      <c r="AO3927" s="31"/>
    </row>
    <row r="3928" spans="41:41" s="7" customFormat="1" x14ac:dyDescent="0.15">
      <c r="AO3928" s="31"/>
    </row>
    <row r="3929" spans="41:41" s="7" customFormat="1" x14ac:dyDescent="0.15">
      <c r="AO3929" s="31"/>
    </row>
    <row r="3930" spans="41:41" s="7" customFormat="1" x14ac:dyDescent="0.15">
      <c r="AO3930" s="31"/>
    </row>
    <row r="3931" spans="41:41" s="7" customFormat="1" x14ac:dyDescent="0.15">
      <c r="AO3931" s="31"/>
    </row>
    <row r="3932" spans="41:41" s="7" customFormat="1" x14ac:dyDescent="0.15">
      <c r="AO3932" s="31"/>
    </row>
    <row r="3933" spans="41:41" s="7" customFormat="1" x14ac:dyDescent="0.15">
      <c r="AO3933" s="31"/>
    </row>
    <row r="3934" spans="41:41" s="7" customFormat="1" x14ac:dyDescent="0.15">
      <c r="AO3934" s="31"/>
    </row>
    <row r="3935" spans="41:41" s="7" customFormat="1" x14ac:dyDescent="0.15">
      <c r="AO3935" s="31"/>
    </row>
    <row r="3936" spans="41:41" s="7" customFormat="1" x14ac:dyDescent="0.15">
      <c r="AO3936" s="31"/>
    </row>
    <row r="3937" spans="41:41" s="7" customFormat="1" x14ac:dyDescent="0.15">
      <c r="AO3937" s="31"/>
    </row>
    <row r="3938" spans="41:41" s="7" customFormat="1" x14ac:dyDescent="0.15">
      <c r="AO3938" s="31"/>
    </row>
    <row r="3939" spans="41:41" s="7" customFormat="1" x14ac:dyDescent="0.15">
      <c r="AO3939" s="31"/>
    </row>
    <row r="3940" spans="41:41" s="7" customFormat="1" x14ac:dyDescent="0.15">
      <c r="AO3940" s="31"/>
    </row>
    <row r="3941" spans="41:41" s="7" customFormat="1" x14ac:dyDescent="0.15">
      <c r="AO3941" s="31"/>
    </row>
    <row r="3942" spans="41:41" s="7" customFormat="1" x14ac:dyDescent="0.15">
      <c r="AO3942" s="31"/>
    </row>
    <row r="3943" spans="41:41" s="7" customFormat="1" x14ac:dyDescent="0.15">
      <c r="AO3943" s="31"/>
    </row>
    <row r="3944" spans="41:41" s="7" customFormat="1" x14ac:dyDescent="0.15">
      <c r="AO3944" s="31"/>
    </row>
    <row r="3945" spans="41:41" s="7" customFormat="1" x14ac:dyDescent="0.15">
      <c r="AO3945" s="31"/>
    </row>
    <row r="3946" spans="41:41" s="7" customFormat="1" x14ac:dyDescent="0.15">
      <c r="AO3946" s="31"/>
    </row>
    <row r="3947" spans="41:41" s="7" customFormat="1" x14ac:dyDescent="0.15">
      <c r="AO3947" s="31"/>
    </row>
    <row r="3948" spans="41:41" s="7" customFormat="1" x14ac:dyDescent="0.15">
      <c r="AO3948" s="31"/>
    </row>
    <row r="3949" spans="41:41" s="7" customFormat="1" x14ac:dyDescent="0.15">
      <c r="AO3949" s="31"/>
    </row>
    <row r="3950" spans="41:41" s="7" customFormat="1" x14ac:dyDescent="0.15">
      <c r="AO3950" s="31"/>
    </row>
    <row r="3951" spans="41:41" s="7" customFormat="1" x14ac:dyDescent="0.15">
      <c r="AO3951" s="31"/>
    </row>
    <row r="3952" spans="41:41" s="7" customFormat="1" x14ac:dyDescent="0.15">
      <c r="AO3952" s="31"/>
    </row>
    <row r="3953" spans="41:41" s="7" customFormat="1" x14ac:dyDescent="0.15">
      <c r="AO3953" s="31"/>
    </row>
    <row r="3954" spans="41:41" s="7" customFormat="1" x14ac:dyDescent="0.15">
      <c r="AO3954" s="31"/>
    </row>
    <row r="3955" spans="41:41" s="7" customFormat="1" x14ac:dyDescent="0.15">
      <c r="AO3955" s="31"/>
    </row>
    <row r="3956" spans="41:41" s="7" customFormat="1" x14ac:dyDescent="0.15">
      <c r="AO3956" s="31"/>
    </row>
    <row r="3957" spans="41:41" s="7" customFormat="1" x14ac:dyDescent="0.15">
      <c r="AO3957" s="31"/>
    </row>
    <row r="3958" spans="41:41" s="7" customFormat="1" x14ac:dyDescent="0.15">
      <c r="AO3958" s="31"/>
    </row>
    <row r="3959" spans="41:41" s="7" customFormat="1" x14ac:dyDescent="0.15">
      <c r="AO3959" s="31"/>
    </row>
    <row r="3960" spans="41:41" s="7" customFormat="1" x14ac:dyDescent="0.15">
      <c r="AO3960" s="31"/>
    </row>
    <row r="3961" spans="41:41" s="7" customFormat="1" x14ac:dyDescent="0.15">
      <c r="AO3961" s="31"/>
    </row>
    <row r="3962" spans="41:41" s="7" customFormat="1" x14ac:dyDescent="0.15">
      <c r="AO3962" s="31"/>
    </row>
    <row r="3963" spans="41:41" s="7" customFormat="1" x14ac:dyDescent="0.15">
      <c r="AO3963" s="31"/>
    </row>
    <row r="3964" spans="41:41" s="7" customFormat="1" x14ac:dyDescent="0.15">
      <c r="AO3964" s="31"/>
    </row>
    <row r="3965" spans="41:41" s="7" customFormat="1" x14ac:dyDescent="0.15">
      <c r="AO3965" s="31"/>
    </row>
    <row r="3966" spans="41:41" s="7" customFormat="1" x14ac:dyDescent="0.15">
      <c r="AO3966" s="31"/>
    </row>
    <row r="3967" spans="41:41" s="7" customFormat="1" x14ac:dyDescent="0.15">
      <c r="AO3967" s="31"/>
    </row>
    <row r="3968" spans="41:41" s="7" customFormat="1" x14ac:dyDescent="0.15">
      <c r="AO3968" s="31"/>
    </row>
    <row r="3969" spans="41:41" s="7" customFormat="1" x14ac:dyDescent="0.15">
      <c r="AO3969" s="31"/>
    </row>
    <row r="3970" spans="41:41" s="7" customFormat="1" x14ac:dyDescent="0.15">
      <c r="AO3970" s="31"/>
    </row>
    <row r="3971" spans="41:41" s="7" customFormat="1" x14ac:dyDescent="0.15">
      <c r="AO3971" s="31"/>
    </row>
    <row r="3972" spans="41:41" s="7" customFormat="1" x14ac:dyDescent="0.15">
      <c r="AO3972" s="31"/>
    </row>
    <row r="3973" spans="41:41" s="7" customFormat="1" x14ac:dyDescent="0.15">
      <c r="AO3973" s="31"/>
    </row>
    <row r="3974" spans="41:41" s="7" customFormat="1" x14ac:dyDescent="0.15">
      <c r="AO3974" s="31"/>
    </row>
    <row r="3975" spans="41:41" s="7" customFormat="1" x14ac:dyDescent="0.15">
      <c r="AO3975" s="31"/>
    </row>
    <row r="3976" spans="41:41" s="7" customFormat="1" x14ac:dyDescent="0.15">
      <c r="AO3976" s="31"/>
    </row>
    <row r="3977" spans="41:41" s="7" customFormat="1" x14ac:dyDescent="0.15">
      <c r="AO3977" s="31"/>
    </row>
    <row r="3978" spans="41:41" s="7" customFormat="1" x14ac:dyDescent="0.15">
      <c r="AO3978" s="31"/>
    </row>
    <row r="3979" spans="41:41" s="7" customFormat="1" x14ac:dyDescent="0.15">
      <c r="AO3979" s="31"/>
    </row>
    <row r="3980" spans="41:41" s="7" customFormat="1" x14ac:dyDescent="0.15">
      <c r="AO3980" s="31"/>
    </row>
    <row r="3981" spans="41:41" s="7" customFormat="1" x14ac:dyDescent="0.15">
      <c r="AO3981" s="31"/>
    </row>
    <row r="3982" spans="41:41" s="7" customFormat="1" x14ac:dyDescent="0.15">
      <c r="AO3982" s="31"/>
    </row>
    <row r="3983" spans="41:41" s="7" customFormat="1" x14ac:dyDescent="0.15">
      <c r="AO3983" s="31"/>
    </row>
    <row r="3984" spans="41:41" s="7" customFormat="1" x14ac:dyDescent="0.15">
      <c r="AO3984" s="31"/>
    </row>
    <row r="3985" spans="41:41" s="7" customFormat="1" x14ac:dyDescent="0.15">
      <c r="AO3985" s="31"/>
    </row>
    <row r="3986" spans="41:41" s="7" customFormat="1" x14ac:dyDescent="0.15">
      <c r="AO3986" s="31"/>
    </row>
    <row r="3987" spans="41:41" s="7" customFormat="1" x14ac:dyDescent="0.15">
      <c r="AO3987" s="31"/>
    </row>
    <row r="3988" spans="41:41" s="7" customFormat="1" x14ac:dyDescent="0.15">
      <c r="AO3988" s="31"/>
    </row>
    <row r="3989" spans="41:41" s="7" customFormat="1" x14ac:dyDescent="0.15">
      <c r="AO3989" s="31"/>
    </row>
    <row r="3990" spans="41:41" s="7" customFormat="1" x14ac:dyDescent="0.15">
      <c r="AO3990" s="31"/>
    </row>
    <row r="3991" spans="41:41" s="7" customFormat="1" x14ac:dyDescent="0.15">
      <c r="AO3991" s="31"/>
    </row>
    <row r="3992" spans="41:41" s="7" customFormat="1" x14ac:dyDescent="0.15">
      <c r="AO3992" s="31"/>
    </row>
    <row r="3993" spans="41:41" s="7" customFormat="1" x14ac:dyDescent="0.15">
      <c r="AO3993" s="31"/>
    </row>
    <row r="3994" spans="41:41" s="7" customFormat="1" x14ac:dyDescent="0.15">
      <c r="AO3994" s="31"/>
    </row>
    <row r="3995" spans="41:41" s="7" customFormat="1" x14ac:dyDescent="0.15">
      <c r="AO3995" s="31"/>
    </row>
    <row r="3996" spans="41:41" s="7" customFormat="1" x14ac:dyDescent="0.15">
      <c r="AO3996" s="31"/>
    </row>
    <row r="3997" spans="41:41" s="7" customFormat="1" x14ac:dyDescent="0.15">
      <c r="AO3997" s="31"/>
    </row>
    <row r="3998" spans="41:41" s="7" customFormat="1" x14ac:dyDescent="0.15">
      <c r="AO3998" s="31"/>
    </row>
    <row r="3999" spans="41:41" s="7" customFormat="1" x14ac:dyDescent="0.15">
      <c r="AO3999" s="31"/>
    </row>
    <row r="4000" spans="41:41" s="7" customFormat="1" x14ac:dyDescent="0.15">
      <c r="AO4000" s="31"/>
    </row>
    <row r="4001" spans="41:41" s="7" customFormat="1" x14ac:dyDescent="0.15">
      <c r="AO4001" s="31"/>
    </row>
    <row r="4002" spans="41:41" s="7" customFormat="1" x14ac:dyDescent="0.15">
      <c r="AO4002" s="31"/>
    </row>
    <row r="4003" spans="41:41" s="7" customFormat="1" x14ac:dyDescent="0.15">
      <c r="AO4003" s="31"/>
    </row>
    <row r="4004" spans="41:41" s="7" customFormat="1" x14ac:dyDescent="0.15">
      <c r="AO4004" s="31"/>
    </row>
    <row r="4005" spans="41:41" s="7" customFormat="1" x14ac:dyDescent="0.15">
      <c r="AO4005" s="31"/>
    </row>
    <row r="4006" spans="41:41" s="7" customFormat="1" x14ac:dyDescent="0.15">
      <c r="AO4006" s="31"/>
    </row>
    <row r="4007" spans="41:41" s="7" customFormat="1" x14ac:dyDescent="0.15">
      <c r="AO4007" s="31"/>
    </row>
    <row r="4008" spans="41:41" s="7" customFormat="1" x14ac:dyDescent="0.15">
      <c r="AO4008" s="31"/>
    </row>
    <row r="4009" spans="41:41" s="7" customFormat="1" x14ac:dyDescent="0.15">
      <c r="AO4009" s="31"/>
    </row>
    <row r="4010" spans="41:41" s="7" customFormat="1" x14ac:dyDescent="0.15">
      <c r="AO4010" s="31"/>
    </row>
    <row r="4011" spans="41:41" s="7" customFormat="1" x14ac:dyDescent="0.15">
      <c r="AO4011" s="31"/>
    </row>
    <row r="4012" spans="41:41" s="7" customFormat="1" x14ac:dyDescent="0.15">
      <c r="AO4012" s="31"/>
    </row>
    <row r="4013" spans="41:41" s="7" customFormat="1" x14ac:dyDescent="0.15">
      <c r="AO4013" s="31"/>
    </row>
    <row r="4014" spans="41:41" s="7" customFormat="1" x14ac:dyDescent="0.15">
      <c r="AO4014" s="31"/>
    </row>
    <row r="4015" spans="41:41" s="7" customFormat="1" x14ac:dyDescent="0.15">
      <c r="AO4015" s="31"/>
    </row>
    <row r="4016" spans="41:41" s="7" customFormat="1" x14ac:dyDescent="0.15">
      <c r="AO4016" s="31"/>
    </row>
    <row r="4017" spans="41:41" s="7" customFormat="1" x14ac:dyDescent="0.15">
      <c r="AO4017" s="31"/>
    </row>
    <row r="4018" spans="41:41" s="7" customFormat="1" x14ac:dyDescent="0.15">
      <c r="AO4018" s="31"/>
    </row>
    <row r="4019" spans="41:41" s="7" customFormat="1" x14ac:dyDescent="0.15">
      <c r="AO4019" s="31"/>
    </row>
    <row r="4020" spans="41:41" s="7" customFormat="1" x14ac:dyDescent="0.15">
      <c r="AO4020" s="31"/>
    </row>
    <row r="4021" spans="41:41" s="7" customFormat="1" x14ac:dyDescent="0.15">
      <c r="AO4021" s="31"/>
    </row>
    <row r="4022" spans="41:41" s="7" customFormat="1" x14ac:dyDescent="0.15">
      <c r="AO4022" s="31"/>
    </row>
    <row r="4023" spans="41:41" s="7" customFormat="1" x14ac:dyDescent="0.15">
      <c r="AO4023" s="31"/>
    </row>
    <row r="4024" spans="41:41" s="7" customFormat="1" x14ac:dyDescent="0.15">
      <c r="AO4024" s="31"/>
    </row>
    <row r="4025" spans="41:41" s="7" customFormat="1" x14ac:dyDescent="0.15">
      <c r="AO4025" s="31"/>
    </row>
    <row r="4026" spans="41:41" s="7" customFormat="1" x14ac:dyDescent="0.15">
      <c r="AO4026" s="31"/>
    </row>
    <row r="4027" spans="41:41" s="7" customFormat="1" x14ac:dyDescent="0.15">
      <c r="AO4027" s="31"/>
    </row>
    <row r="4028" spans="41:41" s="7" customFormat="1" x14ac:dyDescent="0.15">
      <c r="AO4028" s="31"/>
    </row>
    <row r="4029" spans="41:41" s="7" customFormat="1" x14ac:dyDescent="0.15">
      <c r="AO4029" s="31"/>
    </row>
    <row r="4030" spans="41:41" s="7" customFormat="1" x14ac:dyDescent="0.15">
      <c r="AO4030" s="31"/>
    </row>
    <row r="4031" spans="41:41" s="7" customFormat="1" x14ac:dyDescent="0.15">
      <c r="AO4031" s="31"/>
    </row>
    <row r="4032" spans="41:41" s="7" customFormat="1" x14ac:dyDescent="0.15">
      <c r="AO4032" s="31"/>
    </row>
    <row r="4033" spans="41:41" s="7" customFormat="1" x14ac:dyDescent="0.15">
      <c r="AO4033" s="31"/>
    </row>
    <row r="4034" spans="41:41" s="7" customFormat="1" x14ac:dyDescent="0.15">
      <c r="AO4034" s="31"/>
    </row>
    <row r="4035" spans="41:41" s="7" customFormat="1" x14ac:dyDescent="0.15">
      <c r="AO4035" s="31"/>
    </row>
    <row r="4036" spans="41:41" s="7" customFormat="1" x14ac:dyDescent="0.15">
      <c r="AO4036" s="31"/>
    </row>
    <row r="4037" spans="41:41" s="7" customFormat="1" x14ac:dyDescent="0.15">
      <c r="AO4037" s="31"/>
    </row>
    <row r="4038" spans="41:41" s="7" customFormat="1" x14ac:dyDescent="0.15">
      <c r="AO4038" s="31"/>
    </row>
    <row r="4039" spans="41:41" s="7" customFormat="1" x14ac:dyDescent="0.15">
      <c r="AO4039" s="31"/>
    </row>
    <row r="4040" spans="41:41" s="7" customFormat="1" x14ac:dyDescent="0.15">
      <c r="AO4040" s="31"/>
    </row>
    <row r="4041" spans="41:41" s="7" customFormat="1" x14ac:dyDescent="0.15">
      <c r="AO4041" s="31"/>
    </row>
    <row r="4042" spans="41:41" s="7" customFormat="1" x14ac:dyDescent="0.15">
      <c r="AO4042" s="31"/>
    </row>
    <row r="4043" spans="41:41" s="7" customFormat="1" x14ac:dyDescent="0.15">
      <c r="AO4043" s="31"/>
    </row>
    <row r="4044" spans="41:41" s="7" customFormat="1" x14ac:dyDescent="0.15">
      <c r="AO4044" s="31"/>
    </row>
    <row r="4045" spans="41:41" s="7" customFormat="1" x14ac:dyDescent="0.15">
      <c r="AO4045" s="31"/>
    </row>
    <row r="4046" spans="41:41" s="7" customFormat="1" x14ac:dyDescent="0.15">
      <c r="AO4046" s="31"/>
    </row>
    <row r="4047" spans="41:41" s="7" customFormat="1" x14ac:dyDescent="0.15">
      <c r="AO4047" s="31"/>
    </row>
    <row r="4048" spans="41:41" s="7" customFormat="1" x14ac:dyDescent="0.15">
      <c r="AO4048" s="31"/>
    </row>
    <row r="4049" spans="41:41" s="7" customFormat="1" x14ac:dyDescent="0.15">
      <c r="AO4049" s="31"/>
    </row>
    <row r="4050" spans="41:41" s="7" customFormat="1" x14ac:dyDescent="0.15">
      <c r="AO4050" s="31"/>
    </row>
    <row r="4051" spans="41:41" s="7" customFormat="1" x14ac:dyDescent="0.15">
      <c r="AO4051" s="31"/>
    </row>
    <row r="4052" spans="41:41" s="7" customFormat="1" x14ac:dyDescent="0.15">
      <c r="AO4052" s="31"/>
    </row>
    <row r="4053" spans="41:41" s="7" customFormat="1" x14ac:dyDescent="0.15">
      <c r="AO4053" s="31"/>
    </row>
    <row r="4054" spans="41:41" s="7" customFormat="1" x14ac:dyDescent="0.15">
      <c r="AO4054" s="31"/>
    </row>
    <row r="4055" spans="41:41" s="7" customFormat="1" x14ac:dyDescent="0.15">
      <c r="AO4055" s="31"/>
    </row>
    <row r="4056" spans="41:41" s="7" customFormat="1" x14ac:dyDescent="0.15">
      <c r="AO4056" s="31"/>
    </row>
    <row r="4057" spans="41:41" s="7" customFormat="1" x14ac:dyDescent="0.15">
      <c r="AO4057" s="31"/>
    </row>
    <row r="4058" spans="41:41" s="7" customFormat="1" x14ac:dyDescent="0.15">
      <c r="AO4058" s="31"/>
    </row>
    <row r="4059" spans="41:41" s="7" customFormat="1" x14ac:dyDescent="0.15">
      <c r="AO4059" s="31"/>
    </row>
    <row r="4060" spans="41:41" s="7" customFormat="1" x14ac:dyDescent="0.15">
      <c r="AO4060" s="31"/>
    </row>
    <row r="4061" spans="41:41" s="7" customFormat="1" x14ac:dyDescent="0.15">
      <c r="AO4061" s="31"/>
    </row>
    <row r="4062" spans="41:41" s="7" customFormat="1" x14ac:dyDescent="0.15">
      <c r="AO4062" s="31"/>
    </row>
    <row r="4063" spans="41:41" s="7" customFormat="1" x14ac:dyDescent="0.15">
      <c r="AO4063" s="31"/>
    </row>
    <row r="4064" spans="41:41" s="7" customFormat="1" x14ac:dyDescent="0.15">
      <c r="AO4064" s="31"/>
    </row>
    <row r="4065" spans="41:41" s="7" customFormat="1" x14ac:dyDescent="0.15">
      <c r="AO4065" s="31"/>
    </row>
    <row r="4066" spans="41:41" s="7" customFormat="1" x14ac:dyDescent="0.15">
      <c r="AO4066" s="31"/>
    </row>
    <row r="4067" spans="41:41" s="7" customFormat="1" x14ac:dyDescent="0.15">
      <c r="AO4067" s="31"/>
    </row>
    <row r="4068" spans="41:41" s="7" customFormat="1" x14ac:dyDescent="0.15">
      <c r="AO4068" s="31"/>
    </row>
    <row r="4069" spans="41:41" s="7" customFormat="1" x14ac:dyDescent="0.15">
      <c r="AO4069" s="31"/>
    </row>
    <row r="4070" spans="41:41" s="7" customFormat="1" x14ac:dyDescent="0.15">
      <c r="AO4070" s="31"/>
    </row>
    <row r="4071" spans="41:41" s="7" customFormat="1" x14ac:dyDescent="0.15">
      <c r="AO4071" s="31"/>
    </row>
    <row r="4072" spans="41:41" s="7" customFormat="1" x14ac:dyDescent="0.15">
      <c r="AO4072" s="31"/>
    </row>
    <row r="4073" spans="41:41" s="7" customFormat="1" x14ac:dyDescent="0.15">
      <c r="AO4073" s="31"/>
    </row>
    <row r="4074" spans="41:41" s="7" customFormat="1" x14ac:dyDescent="0.15">
      <c r="AO4074" s="31"/>
    </row>
    <row r="4075" spans="41:41" s="7" customFormat="1" x14ac:dyDescent="0.15">
      <c r="AO4075" s="31"/>
    </row>
    <row r="4076" spans="41:41" s="7" customFormat="1" x14ac:dyDescent="0.15">
      <c r="AO4076" s="31"/>
    </row>
    <row r="4077" spans="41:41" s="7" customFormat="1" x14ac:dyDescent="0.15">
      <c r="AO4077" s="31"/>
    </row>
    <row r="4078" spans="41:41" s="7" customFormat="1" x14ac:dyDescent="0.15">
      <c r="AO4078" s="31"/>
    </row>
    <row r="4079" spans="41:41" s="7" customFormat="1" x14ac:dyDescent="0.15">
      <c r="AO4079" s="31"/>
    </row>
    <row r="4080" spans="41:41" s="7" customFormat="1" x14ac:dyDescent="0.15">
      <c r="AO4080" s="31"/>
    </row>
    <row r="4081" spans="41:41" s="7" customFormat="1" x14ac:dyDescent="0.15">
      <c r="AO4081" s="31"/>
    </row>
    <row r="4082" spans="41:41" s="7" customFormat="1" x14ac:dyDescent="0.15">
      <c r="AO4082" s="31"/>
    </row>
    <row r="4083" spans="41:41" s="7" customFormat="1" x14ac:dyDescent="0.15">
      <c r="AO4083" s="31"/>
    </row>
    <row r="4084" spans="41:41" s="7" customFormat="1" x14ac:dyDescent="0.15">
      <c r="AO4084" s="31"/>
    </row>
    <row r="4085" spans="41:41" s="7" customFormat="1" x14ac:dyDescent="0.15">
      <c r="AO4085" s="31"/>
    </row>
    <row r="4086" spans="41:41" s="7" customFormat="1" x14ac:dyDescent="0.15">
      <c r="AO4086" s="31"/>
    </row>
    <row r="4087" spans="41:41" s="7" customFormat="1" x14ac:dyDescent="0.15">
      <c r="AO4087" s="31"/>
    </row>
    <row r="4088" spans="41:41" s="7" customFormat="1" x14ac:dyDescent="0.15">
      <c r="AO4088" s="31"/>
    </row>
    <row r="4089" spans="41:41" s="7" customFormat="1" x14ac:dyDescent="0.15">
      <c r="AO4089" s="31"/>
    </row>
    <row r="4090" spans="41:41" s="7" customFormat="1" x14ac:dyDescent="0.15">
      <c r="AO4090" s="31"/>
    </row>
    <row r="4091" spans="41:41" s="7" customFormat="1" x14ac:dyDescent="0.15">
      <c r="AO4091" s="31"/>
    </row>
    <row r="4092" spans="41:41" s="7" customFormat="1" x14ac:dyDescent="0.15">
      <c r="AO4092" s="31"/>
    </row>
    <row r="4093" spans="41:41" s="7" customFormat="1" x14ac:dyDescent="0.15">
      <c r="AO4093" s="31"/>
    </row>
    <row r="4094" spans="41:41" s="7" customFormat="1" x14ac:dyDescent="0.15">
      <c r="AO4094" s="31"/>
    </row>
    <row r="4095" spans="41:41" s="7" customFormat="1" x14ac:dyDescent="0.15">
      <c r="AO4095" s="31"/>
    </row>
    <row r="4096" spans="41:41" s="7" customFormat="1" x14ac:dyDescent="0.15">
      <c r="AO4096" s="31"/>
    </row>
    <row r="4097" spans="41:41" s="7" customFormat="1" x14ac:dyDescent="0.15">
      <c r="AO4097" s="31"/>
    </row>
    <row r="4098" spans="41:41" s="7" customFormat="1" x14ac:dyDescent="0.15">
      <c r="AO4098" s="31"/>
    </row>
    <row r="4099" spans="41:41" s="7" customFormat="1" x14ac:dyDescent="0.15">
      <c r="AO4099" s="31"/>
    </row>
    <row r="4100" spans="41:41" s="7" customFormat="1" x14ac:dyDescent="0.15">
      <c r="AO4100" s="31"/>
    </row>
    <row r="4101" spans="41:41" s="7" customFormat="1" x14ac:dyDescent="0.15">
      <c r="AO4101" s="31"/>
    </row>
    <row r="4102" spans="41:41" s="7" customFormat="1" x14ac:dyDescent="0.15">
      <c r="AO4102" s="31"/>
    </row>
    <row r="4103" spans="41:41" s="7" customFormat="1" x14ac:dyDescent="0.15">
      <c r="AO4103" s="31"/>
    </row>
    <row r="4104" spans="41:41" s="7" customFormat="1" x14ac:dyDescent="0.15">
      <c r="AO4104" s="31"/>
    </row>
    <row r="4105" spans="41:41" s="7" customFormat="1" x14ac:dyDescent="0.15">
      <c r="AO4105" s="31"/>
    </row>
    <row r="4106" spans="41:41" s="7" customFormat="1" x14ac:dyDescent="0.15">
      <c r="AO4106" s="31"/>
    </row>
    <row r="4107" spans="41:41" s="7" customFormat="1" x14ac:dyDescent="0.15">
      <c r="AO4107" s="31"/>
    </row>
    <row r="4108" spans="41:41" s="7" customFormat="1" x14ac:dyDescent="0.15">
      <c r="AO4108" s="31"/>
    </row>
    <row r="4109" spans="41:41" s="7" customFormat="1" x14ac:dyDescent="0.15">
      <c r="AO4109" s="31"/>
    </row>
    <row r="4110" spans="41:41" s="7" customFormat="1" x14ac:dyDescent="0.15">
      <c r="AO4110" s="31"/>
    </row>
    <row r="4111" spans="41:41" s="7" customFormat="1" x14ac:dyDescent="0.15">
      <c r="AO4111" s="31"/>
    </row>
    <row r="4112" spans="41:41" s="7" customFormat="1" x14ac:dyDescent="0.15">
      <c r="AO4112" s="31"/>
    </row>
    <row r="4113" spans="41:41" s="7" customFormat="1" x14ac:dyDescent="0.15">
      <c r="AO4113" s="31"/>
    </row>
    <row r="4114" spans="41:41" s="7" customFormat="1" x14ac:dyDescent="0.15">
      <c r="AO4114" s="31"/>
    </row>
    <row r="4115" spans="41:41" s="7" customFormat="1" x14ac:dyDescent="0.15">
      <c r="AO4115" s="31"/>
    </row>
    <row r="4116" spans="41:41" s="7" customFormat="1" x14ac:dyDescent="0.15">
      <c r="AO4116" s="31"/>
    </row>
    <row r="4117" spans="41:41" s="7" customFormat="1" x14ac:dyDescent="0.15">
      <c r="AO4117" s="31"/>
    </row>
    <row r="4118" spans="41:41" s="7" customFormat="1" x14ac:dyDescent="0.15">
      <c r="AO4118" s="31"/>
    </row>
    <row r="4119" spans="41:41" s="7" customFormat="1" x14ac:dyDescent="0.15">
      <c r="AO4119" s="31"/>
    </row>
    <row r="4120" spans="41:41" s="7" customFormat="1" x14ac:dyDescent="0.15">
      <c r="AO4120" s="31"/>
    </row>
    <row r="4121" spans="41:41" s="7" customFormat="1" x14ac:dyDescent="0.15">
      <c r="AO4121" s="31"/>
    </row>
    <row r="4122" spans="41:41" s="7" customFormat="1" x14ac:dyDescent="0.15">
      <c r="AO4122" s="31"/>
    </row>
    <row r="4123" spans="41:41" s="7" customFormat="1" x14ac:dyDescent="0.15">
      <c r="AO4123" s="31"/>
    </row>
    <row r="4124" spans="41:41" s="7" customFormat="1" x14ac:dyDescent="0.15">
      <c r="AO4124" s="31"/>
    </row>
    <row r="4125" spans="41:41" s="7" customFormat="1" x14ac:dyDescent="0.15">
      <c r="AO4125" s="31"/>
    </row>
    <row r="4126" spans="41:41" s="7" customFormat="1" x14ac:dyDescent="0.15">
      <c r="AO4126" s="31"/>
    </row>
    <row r="4127" spans="41:41" s="7" customFormat="1" x14ac:dyDescent="0.15">
      <c r="AO4127" s="31"/>
    </row>
    <row r="4128" spans="41:41" s="7" customFormat="1" x14ac:dyDescent="0.15">
      <c r="AO4128" s="31"/>
    </row>
    <row r="4129" spans="41:41" s="7" customFormat="1" x14ac:dyDescent="0.15">
      <c r="AO4129" s="31"/>
    </row>
    <row r="4130" spans="41:41" s="7" customFormat="1" x14ac:dyDescent="0.15">
      <c r="AO4130" s="31"/>
    </row>
    <row r="4131" spans="41:41" s="7" customFormat="1" x14ac:dyDescent="0.15">
      <c r="AO4131" s="31"/>
    </row>
    <row r="4132" spans="41:41" s="7" customFormat="1" x14ac:dyDescent="0.15">
      <c r="AO4132" s="31"/>
    </row>
    <row r="4133" spans="41:41" s="7" customFormat="1" x14ac:dyDescent="0.15">
      <c r="AO4133" s="31"/>
    </row>
    <row r="4134" spans="41:41" s="7" customFormat="1" x14ac:dyDescent="0.15">
      <c r="AO4134" s="31"/>
    </row>
    <row r="4135" spans="41:41" s="7" customFormat="1" x14ac:dyDescent="0.15">
      <c r="AO4135" s="31"/>
    </row>
    <row r="4136" spans="41:41" s="7" customFormat="1" x14ac:dyDescent="0.15">
      <c r="AO4136" s="31"/>
    </row>
    <row r="4137" spans="41:41" s="7" customFormat="1" x14ac:dyDescent="0.15">
      <c r="AO4137" s="31"/>
    </row>
    <row r="4138" spans="41:41" s="7" customFormat="1" x14ac:dyDescent="0.15">
      <c r="AO4138" s="31"/>
    </row>
    <row r="4139" spans="41:41" s="7" customFormat="1" x14ac:dyDescent="0.15">
      <c r="AO4139" s="31"/>
    </row>
    <row r="4140" spans="41:41" s="7" customFormat="1" x14ac:dyDescent="0.15">
      <c r="AO4140" s="31"/>
    </row>
    <row r="4141" spans="41:41" s="7" customFormat="1" x14ac:dyDescent="0.15">
      <c r="AO4141" s="31"/>
    </row>
    <row r="4142" spans="41:41" s="7" customFormat="1" x14ac:dyDescent="0.15">
      <c r="AO4142" s="31"/>
    </row>
    <row r="4143" spans="41:41" s="7" customFormat="1" x14ac:dyDescent="0.15">
      <c r="AO4143" s="31"/>
    </row>
    <row r="4144" spans="41:41" s="7" customFormat="1" x14ac:dyDescent="0.15">
      <c r="AO4144" s="31"/>
    </row>
    <row r="4145" spans="41:41" s="7" customFormat="1" x14ac:dyDescent="0.15">
      <c r="AO4145" s="31"/>
    </row>
    <row r="4146" spans="41:41" s="7" customFormat="1" x14ac:dyDescent="0.15">
      <c r="AO4146" s="31"/>
    </row>
    <row r="4147" spans="41:41" s="7" customFormat="1" x14ac:dyDescent="0.15">
      <c r="AO4147" s="31"/>
    </row>
    <row r="4148" spans="41:41" s="7" customFormat="1" x14ac:dyDescent="0.15">
      <c r="AO4148" s="31"/>
    </row>
    <row r="4149" spans="41:41" s="7" customFormat="1" x14ac:dyDescent="0.15">
      <c r="AO4149" s="31"/>
    </row>
    <row r="4150" spans="41:41" s="7" customFormat="1" x14ac:dyDescent="0.15">
      <c r="AO4150" s="31"/>
    </row>
    <row r="4151" spans="41:41" s="7" customFormat="1" x14ac:dyDescent="0.15">
      <c r="AO4151" s="31"/>
    </row>
    <row r="4152" spans="41:41" s="7" customFormat="1" x14ac:dyDescent="0.15">
      <c r="AO4152" s="31"/>
    </row>
    <row r="4153" spans="41:41" s="7" customFormat="1" x14ac:dyDescent="0.15">
      <c r="AO4153" s="31"/>
    </row>
    <row r="4154" spans="41:41" s="7" customFormat="1" x14ac:dyDescent="0.15">
      <c r="AO4154" s="31"/>
    </row>
    <row r="4155" spans="41:41" s="7" customFormat="1" x14ac:dyDescent="0.15">
      <c r="AO4155" s="31"/>
    </row>
    <row r="4156" spans="41:41" s="7" customFormat="1" x14ac:dyDescent="0.15">
      <c r="AO4156" s="31"/>
    </row>
    <row r="4157" spans="41:41" s="7" customFormat="1" x14ac:dyDescent="0.15">
      <c r="AO4157" s="31"/>
    </row>
    <row r="4158" spans="41:41" s="7" customFormat="1" x14ac:dyDescent="0.15">
      <c r="AO4158" s="31"/>
    </row>
    <row r="4159" spans="41:41" s="7" customFormat="1" x14ac:dyDescent="0.15">
      <c r="AO4159" s="31"/>
    </row>
    <row r="4160" spans="41:41" s="7" customFormat="1" x14ac:dyDescent="0.15">
      <c r="AO4160" s="31"/>
    </row>
    <row r="4161" spans="41:41" s="7" customFormat="1" x14ac:dyDescent="0.15">
      <c r="AO4161" s="31"/>
    </row>
    <row r="4162" spans="41:41" s="7" customFormat="1" x14ac:dyDescent="0.15">
      <c r="AO4162" s="31"/>
    </row>
    <row r="4163" spans="41:41" s="7" customFormat="1" x14ac:dyDescent="0.15">
      <c r="AO4163" s="31"/>
    </row>
    <row r="4164" spans="41:41" s="7" customFormat="1" x14ac:dyDescent="0.15">
      <c r="AO4164" s="31"/>
    </row>
    <row r="4165" spans="41:41" s="7" customFormat="1" x14ac:dyDescent="0.15">
      <c r="AO4165" s="31"/>
    </row>
    <row r="4166" spans="41:41" s="7" customFormat="1" x14ac:dyDescent="0.15">
      <c r="AO4166" s="31"/>
    </row>
    <row r="4167" spans="41:41" s="7" customFormat="1" x14ac:dyDescent="0.15">
      <c r="AO4167" s="31"/>
    </row>
    <row r="4168" spans="41:41" s="7" customFormat="1" x14ac:dyDescent="0.15">
      <c r="AO4168" s="31"/>
    </row>
    <row r="4169" spans="41:41" s="7" customFormat="1" x14ac:dyDescent="0.15">
      <c r="AO4169" s="31"/>
    </row>
    <row r="4170" spans="41:41" s="7" customFormat="1" x14ac:dyDescent="0.15">
      <c r="AO4170" s="31"/>
    </row>
    <row r="4171" spans="41:41" s="7" customFormat="1" x14ac:dyDescent="0.15">
      <c r="AO4171" s="31"/>
    </row>
    <row r="4172" spans="41:41" s="7" customFormat="1" x14ac:dyDescent="0.15">
      <c r="AO4172" s="31"/>
    </row>
    <row r="4173" spans="41:41" s="7" customFormat="1" x14ac:dyDescent="0.15">
      <c r="AO4173" s="31"/>
    </row>
    <row r="4174" spans="41:41" s="7" customFormat="1" x14ac:dyDescent="0.15">
      <c r="AO4174" s="31"/>
    </row>
    <row r="4175" spans="41:41" s="7" customFormat="1" x14ac:dyDescent="0.15">
      <c r="AO4175" s="31"/>
    </row>
    <row r="4176" spans="41:41" s="7" customFormat="1" x14ac:dyDescent="0.15">
      <c r="AO4176" s="31"/>
    </row>
    <row r="4177" spans="41:41" s="7" customFormat="1" x14ac:dyDescent="0.15">
      <c r="AO4177" s="31"/>
    </row>
    <row r="4178" spans="41:41" s="7" customFormat="1" x14ac:dyDescent="0.15">
      <c r="AO4178" s="31"/>
    </row>
    <row r="4179" spans="41:41" s="7" customFormat="1" x14ac:dyDescent="0.15">
      <c r="AO4179" s="31"/>
    </row>
    <row r="4180" spans="41:41" s="7" customFormat="1" x14ac:dyDescent="0.15">
      <c r="AO4180" s="31"/>
    </row>
    <row r="4181" spans="41:41" s="7" customFormat="1" x14ac:dyDescent="0.15">
      <c r="AO4181" s="31"/>
    </row>
    <row r="4182" spans="41:41" s="7" customFormat="1" x14ac:dyDescent="0.15">
      <c r="AO4182" s="31"/>
    </row>
    <row r="4183" spans="41:41" s="7" customFormat="1" x14ac:dyDescent="0.15">
      <c r="AO4183" s="31"/>
    </row>
    <row r="4184" spans="41:41" s="7" customFormat="1" x14ac:dyDescent="0.15">
      <c r="AO4184" s="31"/>
    </row>
    <row r="4185" spans="41:41" s="7" customFormat="1" x14ac:dyDescent="0.15">
      <c r="AO4185" s="31"/>
    </row>
    <row r="4186" spans="41:41" s="7" customFormat="1" x14ac:dyDescent="0.15">
      <c r="AO4186" s="31"/>
    </row>
    <row r="4187" spans="41:41" s="7" customFormat="1" x14ac:dyDescent="0.15">
      <c r="AO4187" s="31"/>
    </row>
    <row r="4188" spans="41:41" s="7" customFormat="1" x14ac:dyDescent="0.15">
      <c r="AO4188" s="31"/>
    </row>
    <row r="4189" spans="41:41" s="7" customFormat="1" x14ac:dyDescent="0.15">
      <c r="AO4189" s="31"/>
    </row>
    <row r="4190" spans="41:41" s="7" customFormat="1" x14ac:dyDescent="0.15">
      <c r="AO4190" s="31"/>
    </row>
    <row r="4191" spans="41:41" s="7" customFormat="1" x14ac:dyDescent="0.15">
      <c r="AO4191" s="31"/>
    </row>
    <row r="4192" spans="41:41" s="7" customFormat="1" x14ac:dyDescent="0.15">
      <c r="AO4192" s="31"/>
    </row>
    <row r="4193" spans="41:41" s="7" customFormat="1" x14ac:dyDescent="0.15">
      <c r="AO4193" s="31"/>
    </row>
    <row r="4194" spans="41:41" s="7" customFormat="1" x14ac:dyDescent="0.15">
      <c r="AO4194" s="31"/>
    </row>
    <row r="4195" spans="41:41" s="7" customFormat="1" x14ac:dyDescent="0.15">
      <c r="AO4195" s="31"/>
    </row>
    <row r="4196" spans="41:41" s="7" customFormat="1" x14ac:dyDescent="0.15">
      <c r="AO4196" s="31"/>
    </row>
    <row r="4197" spans="41:41" s="7" customFormat="1" x14ac:dyDescent="0.15">
      <c r="AO4197" s="31"/>
    </row>
    <row r="4198" spans="41:41" s="7" customFormat="1" x14ac:dyDescent="0.15">
      <c r="AO4198" s="31"/>
    </row>
    <row r="4199" spans="41:41" s="7" customFormat="1" x14ac:dyDescent="0.15">
      <c r="AO4199" s="31"/>
    </row>
    <row r="4200" spans="41:41" s="7" customFormat="1" x14ac:dyDescent="0.15">
      <c r="AO4200" s="31"/>
    </row>
    <row r="4201" spans="41:41" s="7" customFormat="1" x14ac:dyDescent="0.15">
      <c r="AO4201" s="31"/>
    </row>
    <row r="4202" spans="41:41" s="7" customFormat="1" x14ac:dyDescent="0.15">
      <c r="AO4202" s="31"/>
    </row>
    <row r="4203" spans="41:41" s="7" customFormat="1" x14ac:dyDescent="0.15">
      <c r="AO4203" s="31"/>
    </row>
    <row r="4204" spans="41:41" s="7" customFormat="1" x14ac:dyDescent="0.15">
      <c r="AO4204" s="31"/>
    </row>
    <row r="4205" spans="41:41" s="7" customFormat="1" x14ac:dyDescent="0.15">
      <c r="AO4205" s="31"/>
    </row>
    <row r="4206" spans="41:41" s="7" customFormat="1" x14ac:dyDescent="0.15">
      <c r="AO4206" s="31"/>
    </row>
    <row r="4207" spans="41:41" s="7" customFormat="1" x14ac:dyDescent="0.15">
      <c r="AO4207" s="31"/>
    </row>
    <row r="4208" spans="41:41" s="7" customFormat="1" x14ac:dyDescent="0.15">
      <c r="AO4208" s="31"/>
    </row>
    <row r="4209" spans="41:41" s="7" customFormat="1" x14ac:dyDescent="0.15">
      <c r="AO4209" s="31"/>
    </row>
    <row r="4210" spans="41:41" s="7" customFormat="1" x14ac:dyDescent="0.15">
      <c r="AO4210" s="31"/>
    </row>
    <row r="4211" spans="41:41" s="7" customFormat="1" x14ac:dyDescent="0.15">
      <c r="AO4211" s="31"/>
    </row>
    <row r="4212" spans="41:41" s="7" customFormat="1" x14ac:dyDescent="0.15">
      <c r="AO4212" s="31"/>
    </row>
    <row r="4213" spans="41:41" s="7" customFormat="1" x14ac:dyDescent="0.15">
      <c r="AO4213" s="31"/>
    </row>
    <row r="4214" spans="41:41" s="7" customFormat="1" x14ac:dyDescent="0.15">
      <c r="AO4214" s="31"/>
    </row>
    <row r="4215" spans="41:41" s="7" customFormat="1" x14ac:dyDescent="0.15">
      <c r="AO4215" s="31"/>
    </row>
    <row r="4216" spans="41:41" s="7" customFormat="1" x14ac:dyDescent="0.15">
      <c r="AO4216" s="31"/>
    </row>
    <row r="4217" spans="41:41" s="7" customFormat="1" x14ac:dyDescent="0.15">
      <c r="AO4217" s="31"/>
    </row>
    <row r="4218" spans="41:41" s="7" customFormat="1" x14ac:dyDescent="0.15">
      <c r="AO4218" s="31"/>
    </row>
    <row r="4219" spans="41:41" s="7" customFormat="1" x14ac:dyDescent="0.15">
      <c r="AO4219" s="31"/>
    </row>
    <row r="4220" spans="41:41" s="7" customFormat="1" x14ac:dyDescent="0.15">
      <c r="AO4220" s="31"/>
    </row>
    <row r="4221" spans="41:41" s="7" customFormat="1" x14ac:dyDescent="0.15">
      <c r="AO4221" s="31"/>
    </row>
    <row r="4222" spans="41:41" s="7" customFormat="1" x14ac:dyDescent="0.15">
      <c r="AO4222" s="31"/>
    </row>
    <row r="4223" spans="41:41" s="7" customFormat="1" x14ac:dyDescent="0.15">
      <c r="AO4223" s="31"/>
    </row>
    <row r="4224" spans="41:41" s="7" customFormat="1" x14ac:dyDescent="0.15">
      <c r="AO4224" s="31"/>
    </row>
    <row r="4225" spans="41:41" s="7" customFormat="1" x14ac:dyDescent="0.15">
      <c r="AO4225" s="31"/>
    </row>
    <row r="4226" spans="41:41" s="7" customFormat="1" x14ac:dyDescent="0.15">
      <c r="AO4226" s="31"/>
    </row>
    <row r="4227" spans="41:41" s="7" customFormat="1" x14ac:dyDescent="0.15">
      <c r="AO4227" s="31"/>
    </row>
    <row r="4228" spans="41:41" s="7" customFormat="1" x14ac:dyDescent="0.15">
      <c r="AO4228" s="31"/>
    </row>
    <row r="4229" spans="41:41" s="7" customFormat="1" x14ac:dyDescent="0.15">
      <c r="AO4229" s="31"/>
    </row>
    <row r="4230" spans="41:41" s="7" customFormat="1" x14ac:dyDescent="0.15">
      <c r="AO4230" s="31"/>
    </row>
    <row r="4231" spans="41:41" s="7" customFormat="1" x14ac:dyDescent="0.15">
      <c r="AO4231" s="31"/>
    </row>
    <row r="4232" spans="41:41" s="7" customFormat="1" x14ac:dyDescent="0.15">
      <c r="AO4232" s="31"/>
    </row>
    <row r="4233" spans="41:41" s="7" customFormat="1" x14ac:dyDescent="0.15">
      <c r="AO4233" s="31"/>
    </row>
    <row r="4234" spans="41:41" s="7" customFormat="1" x14ac:dyDescent="0.15">
      <c r="AO4234" s="31"/>
    </row>
    <row r="4235" spans="41:41" s="7" customFormat="1" x14ac:dyDescent="0.15">
      <c r="AO4235" s="31"/>
    </row>
    <row r="4236" spans="41:41" s="7" customFormat="1" x14ac:dyDescent="0.15">
      <c r="AO4236" s="31"/>
    </row>
    <row r="4237" spans="41:41" s="7" customFormat="1" x14ac:dyDescent="0.15">
      <c r="AO4237" s="31"/>
    </row>
    <row r="4238" spans="41:41" s="7" customFormat="1" x14ac:dyDescent="0.15">
      <c r="AO4238" s="31"/>
    </row>
    <row r="4239" spans="41:41" s="7" customFormat="1" x14ac:dyDescent="0.15">
      <c r="AO4239" s="31"/>
    </row>
    <row r="4240" spans="41:41" s="7" customFormat="1" x14ac:dyDescent="0.15">
      <c r="AO4240" s="31"/>
    </row>
    <row r="4241" spans="41:41" s="7" customFormat="1" x14ac:dyDescent="0.15">
      <c r="AO4241" s="31"/>
    </row>
    <row r="4242" spans="41:41" s="7" customFormat="1" x14ac:dyDescent="0.15">
      <c r="AO4242" s="31"/>
    </row>
    <row r="4243" spans="41:41" s="7" customFormat="1" x14ac:dyDescent="0.15">
      <c r="AO4243" s="31"/>
    </row>
    <row r="4244" spans="41:41" s="7" customFormat="1" x14ac:dyDescent="0.15">
      <c r="AO4244" s="31"/>
    </row>
    <row r="4245" spans="41:41" s="7" customFormat="1" x14ac:dyDescent="0.15">
      <c r="AO4245" s="31"/>
    </row>
    <row r="4246" spans="41:41" s="7" customFormat="1" x14ac:dyDescent="0.15">
      <c r="AO4246" s="31"/>
    </row>
    <row r="4247" spans="41:41" s="7" customFormat="1" x14ac:dyDescent="0.15">
      <c r="AO4247" s="31"/>
    </row>
    <row r="4248" spans="41:41" s="7" customFormat="1" x14ac:dyDescent="0.15">
      <c r="AO4248" s="31"/>
    </row>
    <row r="4249" spans="41:41" s="7" customFormat="1" x14ac:dyDescent="0.15">
      <c r="AO4249" s="31"/>
    </row>
    <row r="4250" spans="41:41" s="7" customFormat="1" x14ac:dyDescent="0.15">
      <c r="AO4250" s="31"/>
    </row>
    <row r="4251" spans="41:41" s="7" customFormat="1" x14ac:dyDescent="0.15">
      <c r="AO4251" s="31"/>
    </row>
    <row r="4252" spans="41:41" s="7" customFormat="1" x14ac:dyDescent="0.15">
      <c r="AO4252" s="31"/>
    </row>
    <row r="4253" spans="41:41" s="7" customFormat="1" x14ac:dyDescent="0.15">
      <c r="AO4253" s="31"/>
    </row>
    <row r="4254" spans="41:41" s="7" customFormat="1" x14ac:dyDescent="0.15">
      <c r="AO4254" s="31"/>
    </row>
    <row r="4255" spans="41:41" s="7" customFormat="1" x14ac:dyDescent="0.15">
      <c r="AO4255" s="31"/>
    </row>
    <row r="4256" spans="41:41" s="7" customFormat="1" x14ac:dyDescent="0.15">
      <c r="AO4256" s="31"/>
    </row>
    <row r="4257" spans="41:41" s="7" customFormat="1" x14ac:dyDescent="0.15">
      <c r="AO4257" s="31"/>
    </row>
    <row r="4258" spans="41:41" s="7" customFormat="1" x14ac:dyDescent="0.15">
      <c r="AO4258" s="31"/>
    </row>
    <row r="4259" spans="41:41" s="7" customFormat="1" x14ac:dyDescent="0.15">
      <c r="AO4259" s="31"/>
    </row>
    <row r="4260" spans="41:41" s="7" customFormat="1" x14ac:dyDescent="0.15">
      <c r="AO4260" s="31"/>
    </row>
    <row r="4261" spans="41:41" s="7" customFormat="1" x14ac:dyDescent="0.15">
      <c r="AO4261" s="31"/>
    </row>
    <row r="4262" spans="41:41" s="7" customFormat="1" x14ac:dyDescent="0.15">
      <c r="AO4262" s="31"/>
    </row>
    <row r="4263" spans="41:41" s="7" customFormat="1" x14ac:dyDescent="0.15">
      <c r="AO4263" s="31"/>
    </row>
    <row r="4264" spans="41:41" s="7" customFormat="1" x14ac:dyDescent="0.15">
      <c r="AO4264" s="31"/>
    </row>
    <row r="4265" spans="41:41" s="7" customFormat="1" x14ac:dyDescent="0.15">
      <c r="AO4265" s="31"/>
    </row>
    <row r="4266" spans="41:41" s="7" customFormat="1" x14ac:dyDescent="0.15">
      <c r="AO4266" s="31"/>
    </row>
    <row r="4267" spans="41:41" s="7" customFormat="1" x14ac:dyDescent="0.15">
      <c r="AO4267" s="31"/>
    </row>
    <row r="4268" spans="41:41" s="7" customFormat="1" x14ac:dyDescent="0.15">
      <c r="AO4268" s="31"/>
    </row>
    <row r="4269" spans="41:41" s="7" customFormat="1" x14ac:dyDescent="0.15">
      <c r="AO4269" s="31"/>
    </row>
    <row r="4270" spans="41:41" s="7" customFormat="1" x14ac:dyDescent="0.15">
      <c r="AO4270" s="31"/>
    </row>
    <row r="4271" spans="41:41" s="7" customFormat="1" x14ac:dyDescent="0.15">
      <c r="AO4271" s="31"/>
    </row>
    <row r="4272" spans="41:41" s="7" customFormat="1" x14ac:dyDescent="0.15">
      <c r="AO4272" s="31"/>
    </row>
    <row r="4273" spans="41:41" s="7" customFormat="1" x14ac:dyDescent="0.15">
      <c r="AO4273" s="31"/>
    </row>
    <row r="4274" spans="41:41" s="7" customFormat="1" x14ac:dyDescent="0.15">
      <c r="AO4274" s="31"/>
    </row>
    <row r="4275" spans="41:41" s="7" customFormat="1" x14ac:dyDescent="0.15">
      <c r="AO4275" s="31"/>
    </row>
    <row r="4276" spans="41:41" s="7" customFormat="1" x14ac:dyDescent="0.15">
      <c r="AO4276" s="31"/>
    </row>
    <row r="4277" spans="41:41" s="7" customFormat="1" x14ac:dyDescent="0.15">
      <c r="AO4277" s="31"/>
    </row>
    <row r="4278" spans="41:41" s="7" customFormat="1" x14ac:dyDescent="0.15">
      <c r="AO4278" s="31"/>
    </row>
    <row r="4279" spans="41:41" s="7" customFormat="1" x14ac:dyDescent="0.15">
      <c r="AO4279" s="31"/>
    </row>
    <row r="4280" spans="41:41" s="7" customFormat="1" x14ac:dyDescent="0.15">
      <c r="AO4280" s="31"/>
    </row>
    <row r="4281" spans="41:41" s="7" customFormat="1" x14ac:dyDescent="0.15">
      <c r="AO4281" s="31"/>
    </row>
    <row r="4282" spans="41:41" s="7" customFormat="1" x14ac:dyDescent="0.15">
      <c r="AO4282" s="31"/>
    </row>
    <row r="4283" spans="41:41" s="7" customFormat="1" x14ac:dyDescent="0.15">
      <c r="AO4283" s="31"/>
    </row>
    <row r="4284" spans="41:41" s="7" customFormat="1" x14ac:dyDescent="0.15">
      <c r="AO4284" s="31"/>
    </row>
    <row r="4285" spans="41:41" s="7" customFormat="1" x14ac:dyDescent="0.15">
      <c r="AO4285" s="31"/>
    </row>
    <row r="4286" spans="41:41" s="7" customFormat="1" x14ac:dyDescent="0.15">
      <c r="AO4286" s="31"/>
    </row>
    <row r="4287" spans="41:41" s="7" customFormat="1" x14ac:dyDescent="0.15">
      <c r="AO4287" s="31"/>
    </row>
    <row r="4288" spans="41:41" s="7" customFormat="1" x14ac:dyDescent="0.15">
      <c r="AO4288" s="31"/>
    </row>
    <row r="4289" spans="41:41" s="7" customFormat="1" x14ac:dyDescent="0.15">
      <c r="AO4289" s="31"/>
    </row>
    <row r="4290" spans="41:41" s="7" customFormat="1" x14ac:dyDescent="0.15">
      <c r="AO4290" s="31"/>
    </row>
    <row r="4291" spans="41:41" s="7" customFormat="1" x14ac:dyDescent="0.15">
      <c r="AO4291" s="31"/>
    </row>
    <row r="4292" spans="41:41" s="7" customFormat="1" x14ac:dyDescent="0.15">
      <c r="AO4292" s="31"/>
    </row>
    <row r="4293" spans="41:41" s="7" customFormat="1" x14ac:dyDescent="0.15">
      <c r="AO4293" s="31"/>
    </row>
    <row r="4294" spans="41:41" s="7" customFormat="1" x14ac:dyDescent="0.15">
      <c r="AO4294" s="31"/>
    </row>
    <row r="4295" spans="41:41" s="7" customFormat="1" x14ac:dyDescent="0.15">
      <c r="AO4295" s="31"/>
    </row>
    <row r="4296" spans="41:41" s="7" customFormat="1" x14ac:dyDescent="0.15">
      <c r="AO4296" s="31"/>
    </row>
    <row r="4297" spans="41:41" s="7" customFormat="1" x14ac:dyDescent="0.15">
      <c r="AO4297" s="31"/>
    </row>
    <row r="4298" spans="41:41" s="7" customFormat="1" x14ac:dyDescent="0.15">
      <c r="AO4298" s="31"/>
    </row>
    <row r="4299" spans="41:41" s="7" customFormat="1" x14ac:dyDescent="0.15">
      <c r="AO4299" s="31"/>
    </row>
    <row r="4300" spans="41:41" s="7" customFormat="1" x14ac:dyDescent="0.15">
      <c r="AO4300" s="31"/>
    </row>
    <row r="4301" spans="41:41" s="7" customFormat="1" x14ac:dyDescent="0.15">
      <c r="AO4301" s="31"/>
    </row>
    <row r="4302" spans="41:41" s="7" customFormat="1" x14ac:dyDescent="0.15">
      <c r="AO4302" s="31"/>
    </row>
    <row r="4303" spans="41:41" s="7" customFormat="1" x14ac:dyDescent="0.15">
      <c r="AO4303" s="31"/>
    </row>
    <row r="4304" spans="41:41" s="7" customFormat="1" x14ac:dyDescent="0.15">
      <c r="AO4304" s="31"/>
    </row>
    <row r="4305" spans="41:41" s="7" customFormat="1" x14ac:dyDescent="0.15">
      <c r="AO4305" s="31"/>
    </row>
    <row r="4306" spans="41:41" s="7" customFormat="1" x14ac:dyDescent="0.15">
      <c r="AO4306" s="31"/>
    </row>
    <row r="4307" spans="41:41" s="7" customFormat="1" x14ac:dyDescent="0.15">
      <c r="AO4307" s="31"/>
    </row>
    <row r="4308" spans="41:41" s="7" customFormat="1" x14ac:dyDescent="0.15">
      <c r="AO4308" s="31"/>
    </row>
    <row r="4309" spans="41:41" s="7" customFormat="1" x14ac:dyDescent="0.15">
      <c r="AO4309" s="31"/>
    </row>
    <row r="4310" spans="41:41" s="7" customFormat="1" x14ac:dyDescent="0.15">
      <c r="AO4310" s="31"/>
    </row>
    <row r="4311" spans="41:41" s="7" customFormat="1" x14ac:dyDescent="0.15">
      <c r="AO4311" s="31"/>
    </row>
    <row r="4312" spans="41:41" s="7" customFormat="1" x14ac:dyDescent="0.15">
      <c r="AO4312" s="31"/>
    </row>
    <row r="4313" spans="41:41" s="7" customFormat="1" x14ac:dyDescent="0.15">
      <c r="AO4313" s="31"/>
    </row>
    <row r="4314" spans="41:41" s="7" customFormat="1" x14ac:dyDescent="0.15">
      <c r="AO4314" s="31"/>
    </row>
    <row r="4315" spans="41:41" s="7" customFormat="1" x14ac:dyDescent="0.15">
      <c r="AO4315" s="31"/>
    </row>
    <row r="4316" spans="41:41" s="7" customFormat="1" x14ac:dyDescent="0.15">
      <c r="AO4316" s="31"/>
    </row>
    <row r="4317" spans="41:41" s="7" customFormat="1" x14ac:dyDescent="0.15">
      <c r="AO4317" s="31"/>
    </row>
    <row r="4318" spans="41:41" s="7" customFormat="1" x14ac:dyDescent="0.15">
      <c r="AO4318" s="31"/>
    </row>
    <row r="4319" spans="41:41" s="7" customFormat="1" x14ac:dyDescent="0.15">
      <c r="AO4319" s="31"/>
    </row>
    <row r="4320" spans="41:41" s="7" customFormat="1" x14ac:dyDescent="0.15">
      <c r="AO4320" s="31"/>
    </row>
    <row r="4321" spans="41:41" s="7" customFormat="1" x14ac:dyDescent="0.15">
      <c r="AO4321" s="31"/>
    </row>
    <row r="4322" spans="41:41" s="7" customFormat="1" x14ac:dyDescent="0.15">
      <c r="AO4322" s="31"/>
    </row>
    <row r="4323" spans="41:41" s="7" customFormat="1" x14ac:dyDescent="0.15">
      <c r="AO4323" s="31"/>
    </row>
    <row r="4324" spans="41:41" s="7" customFormat="1" x14ac:dyDescent="0.15">
      <c r="AO4324" s="31"/>
    </row>
    <row r="4325" spans="41:41" s="7" customFormat="1" x14ac:dyDescent="0.15">
      <c r="AO4325" s="31"/>
    </row>
    <row r="4326" spans="41:41" s="7" customFormat="1" x14ac:dyDescent="0.15">
      <c r="AO4326" s="31"/>
    </row>
    <row r="4327" spans="41:41" s="7" customFormat="1" x14ac:dyDescent="0.15">
      <c r="AO4327" s="31"/>
    </row>
    <row r="4328" spans="41:41" s="7" customFormat="1" x14ac:dyDescent="0.15">
      <c r="AO4328" s="31"/>
    </row>
    <row r="4329" spans="41:41" s="7" customFormat="1" x14ac:dyDescent="0.15">
      <c r="AO4329" s="31"/>
    </row>
    <row r="4330" spans="41:41" s="7" customFormat="1" x14ac:dyDescent="0.15">
      <c r="AO4330" s="31"/>
    </row>
    <row r="4331" spans="41:41" s="7" customFormat="1" x14ac:dyDescent="0.15">
      <c r="AO4331" s="31"/>
    </row>
    <row r="4332" spans="41:41" s="7" customFormat="1" x14ac:dyDescent="0.15">
      <c r="AO4332" s="31"/>
    </row>
    <row r="4333" spans="41:41" s="7" customFormat="1" x14ac:dyDescent="0.15">
      <c r="AO4333" s="31"/>
    </row>
    <row r="4334" spans="41:41" s="7" customFormat="1" x14ac:dyDescent="0.15">
      <c r="AO4334" s="31"/>
    </row>
    <row r="4335" spans="41:41" s="7" customFormat="1" x14ac:dyDescent="0.15">
      <c r="AO4335" s="31"/>
    </row>
    <row r="4336" spans="41:41" s="7" customFormat="1" x14ac:dyDescent="0.15">
      <c r="AO4336" s="31"/>
    </row>
    <row r="4337" spans="41:41" s="7" customFormat="1" x14ac:dyDescent="0.15">
      <c r="AO4337" s="31"/>
    </row>
    <row r="4338" spans="41:41" s="7" customFormat="1" x14ac:dyDescent="0.15">
      <c r="AO4338" s="31"/>
    </row>
    <row r="4339" spans="41:41" s="7" customFormat="1" x14ac:dyDescent="0.15">
      <c r="AO4339" s="31"/>
    </row>
    <row r="4340" spans="41:41" s="7" customFormat="1" x14ac:dyDescent="0.15">
      <c r="AO4340" s="31"/>
    </row>
    <row r="4341" spans="41:41" s="7" customFormat="1" x14ac:dyDescent="0.15">
      <c r="AO4341" s="31"/>
    </row>
    <row r="4342" spans="41:41" s="7" customFormat="1" x14ac:dyDescent="0.15">
      <c r="AO4342" s="31"/>
    </row>
    <row r="4343" spans="41:41" s="7" customFormat="1" x14ac:dyDescent="0.15">
      <c r="AO4343" s="31"/>
    </row>
    <row r="4344" spans="41:41" s="7" customFormat="1" x14ac:dyDescent="0.15">
      <c r="AO4344" s="31"/>
    </row>
    <row r="4345" spans="41:41" s="7" customFormat="1" x14ac:dyDescent="0.15">
      <c r="AO4345" s="31"/>
    </row>
    <row r="4346" spans="41:41" s="7" customFormat="1" x14ac:dyDescent="0.15">
      <c r="AO4346" s="31"/>
    </row>
    <row r="4347" spans="41:41" s="7" customFormat="1" x14ac:dyDescent="0.15">
      <c r="AO4347" s="31"/>
    </row>
    <row r="4348" spans="41:41" s="7" customFormat="1" x14ac:dyDescent="0.15">
      <c r="AO4348" s="31"/>
    </row>
    <row r="4349" spans="41:41" s="7" customFormat="1" x14ac:dyDescent="0.15">
      <c r="AO4349" s="31"/>
    </row>
    <row r="4350" spans="41:41" s="7" customFormat="1" x14ac:dyDescent="0.15">
      <c r="AO4350" s="31"/>
    </row>
    <row r="4351" spans="41:41" s="7" customFormat="1" x14ac:dyDescent="0.15">
      <c r="AO4351" s="31"/>
    </row>
    <row r="4352" spans="41:41" s="7" customFormat="1" x14ac:dyDescent="0.15">
      <c r="AO4352" s="31"/>
    </row>
    <row r="4353" spans="41:41" s="7" customFormat="1" x14ac:dyDescent="0.15">
      <c r="AO4353" s="31"/>
    </row>
    <row r="4354" spans="41:41" s="7" customFormat="1" x14ac:dyDescent="0.15">
      <c r="AO4354" s="31"/>
    </row>
    <row r="4355" spans="41:41" s="7" customFormat="1" x14ac:dyDescent="0.15">
      <c r="AO4355" s="31"/>
    </row>
    <row r="4356" spans="41:41" s="7" customFormat="1" x14ac:dyDescent="0.15">
      <c r="AO4356" s="31"/>
    </row>
    <row r="4357" spans="41:41" s="7" customFormat="1" x14ac:dyDescent="0.15">
      <c r="AO4357" s="31"/>
    </row>
    <row r="4358" spans="41:41" s="7" customFormat="1" x14ac:dyDescent="0.15">
      <c r="AO4358" s="31"/>
    </row>
    <row r="4359" spans="41:41" s="7" customFormat="1" x14ac:dyDescent="0.15">
      <c r="AO4359" s="31"/>
    </row>
    <row r="4360" spans="41:41" s="7" customFormat="1" x14ac:dyDescent="0.15">
      <c r="AO4360" s="31"/>
    </row>
    <row r="4361" spans="41:41" s="7" customFormat="1" x14ac:dyDescent="0.15">
      <c r="AO4361" s="31"/>
    </row>
    <row r="4362" spans="41:41" s="7" customFormat="1" x14ac:dyDescent="0.15">
      <c r="AO4362" s="31"/>
    </row>
    <row r="4363" spans="41:41" s="7" customFormat="1" x14ac:dyDescent="0.15">
      <c r="AO4363" s="31"/>
    </row>
    <row r="4364" spans="41:41" s="7" customFormat="1" x14ac:dyDescent="0.15">
      <c r="AO4364" s="31"/>
    </row>
    <row r="4365" spans="41:41" s="7" customFormat="1" x14ac:dyDescent="0.15">
      <c r="AO4365" s="31"/>
    </row>
    <row r="4366" spans="41:41" s="7" customFormat="1" x14ac:dyDescent="0.15">
      <c r="AO4366" s="31"/>
    </row>
    <row r="4367" spans="41:41" s="7" customFormat="1" x14ac:dyDescent="0.15">
      <c r="AO4367" s="31"/>
    </row>
    <row r="4368" spans="41:41" s="7" customFormat="1" x14ac:dyDescent="0.15">
      <c r="AO4368" s="31"/>
    </row>
    <row r="4369" spans="41:41" s="7" customFormat="1" x14ac:dyDescent="0.15">
      <c r="AO4369" s="31"/>
    </row>
    <row r="4370" spans="41:41" s="7" customFormat="1" x14ac:dyDescent="0.15">
      <c r="AO4370" s="31"/>
    </row>
    <row r="4371" spans="41:41" s="7" customFormat="1" x14ac:dyDescent="0.15">
      <c r="AO4371" s="31"/>
    </row>
    <row r="4372" spans="41:41" s="7" customFormat="1" x14ac:dyDescent="0.15">
      <c r="AO4372" s="31"/>
    </row>
    <row r="4373" spans="41:41" s="7" customFormat="1" x14ac:dyDescent="0.15">
      <c r="AO4373" s="31"/>
    </row>
    <row r="4374" spans="41:41" s="7" customFormat="1" x14ac:dyDescent="0.15">
      <c r="AO4374" s="31"/>
    </row>
    <row r="4375" spans="41:41" s="7" customFormat="1" x14ac:dyDescent="0.15">
      <c r="AO4375" s="31"/>
    </row>
    <row r="4376" spans="41:41" s="7" customFormat="1" x14ac:dyDescent="0.15">
      <c r="AO4376" s="31"/>
    </row>
    <row r="4377" spans="41:41" s="7" customFormat="1" x14ac:dyDescent="0.15">
      <c r="AO4377" s="31"/>
    </row>
    <row r="4378" spans="41:41" s="7" customFormat="1" x14ac:dyDescent="0.15">
      <c r="AO4378" s="31"/>
    </row>
    <row r="4379" spans="41:41" s="7" customFormat="1" x14ac:dyDescent="0.15">
      <c r="AO4379" s="31"/>
    </row>
    <row r="4380" spans="41:41" s="7" customFormat="1" x14ac:dyDescent="0.15">
      <c r="AO4380" s="31"/>
    </row>
    <row r="4381" spans="41:41" s="7" customFormat="1" x14ac:dyDescent="0.15">
      <c r="AO4381" s="31"/>
    </row>
    <row r="4382" spans="41:41" s="7" customFormat="1" x14ac:dyDescent="0.15">
      <c r="AO4382" s="31"/>
    </row>
    <row r="4383" spans="41:41" s="7" customFormat="1" x14ac:dyDescent="0.15">
      <c r="AO4383" s="31"/>
    </row>
    <row r="4384" spans="41:41" s="7" customFormat="1" x14ac:dyDescent="0.15">
      <c r="AO4384" s="31"/>
    </row>
    <row r="4385" spans="41:41" s="7" customFormat="1" x14ac:dyDescent="0.15">
      <c r="AO4385" s="31"/>
    </row>
    <row r="4386" spans="41:41" s="7" customFormat="1" x14ac:dyDescent="0.15">
      <c r="AO4386" s="31"/>
    </row>
    <row r="4387" spans="41:41" s="7" customFormat="1" x14ac:dyDescent="0.15">
      <c r="AO4387" s="31"/>
    </row>
    <row r="4388" spans="41:41" s="7" customFormat="1" x14ac:dyDescent="0.15">
      <c r="AO4388" s="31"/>
    </row>
    <row r="4389" spans="41:41" s="7" customFormat="1" x14ac:dyDescent="0.15">
      <c r="AO4389" s="31"/>
    </row>
    <row r="4390" spans="41:41" s="7" customFormat="1" x14ac:dyDescent="0.15">
      <c r="AO4390" s="31"/>
    </row>
    <row r="4391" spans="41:41" s="7" customFormat="1" x14ac:dyDescent="0.15">
      <c r="AO4391" s="31"/>
    </row>
    <row r="4392" spans="41:41" s="7" customFormat="1" x14ac:dyDescent="0.15">
      <c r="AO4392" s="31"/>
    </row>
    <row r="4393" spans="41:41" s="7" customFormat="1" x14ac:dyDescent="0.15">
      <c r="AO4393" s="31"/>
    </row>
    <row r="4394" spans="41:41" s="7" customFormat="1" x14ac:dyDescent="0.15">
      <c r="AO4394" s="31"/>
    </row>
    <row r="4395" spans="41:41" s="7" customFormat="1" x14ac:dyDescent="0.15">
      <c r="AO4395" s="31"/>
    </row>
    <row r="4396" spans="41:41" s="7" customFormat="1" x14ac:dyDescent="0.15">
      <c r="AO4396" s="31"/>
    </row>
    <row r="4397" spans="41:41" s="7" customFormat="1" x14ac:dyDescent="0.15">
      <c r="AO4397" s="31"/>
    </row>
    <row r="4398" spans="41:41" s="7" customFormat="1" x14ac:dyDescent="0.15">
      <c r="AO4398" s="31"/>
    </row>
    <row r="4399" spans="41:41" s="7" customFormat="1" x14ac:dyDescent="0.15">
      <c r="AO4399" s="31"/>
    </row>
    <row r="4400" spans="41:41" s="7" customFormat="1" x14ac:dyDescent="0.15">
      <c r="AO4400" s="31"/>
    </row>
    <row r="4401" spans="41:41" s="7" customFormat="1" x14ac:dyDescent="0.15">
      <c r="AO4401" s="31"/>
    </row>
    <row r="4402" spans="41:41" s="7" customFormat="1" x14ac:dyDescent="0.15">
      <c r="AO4402" s="31"/>
    </row>
    <row r="4403" spans="41:41" s="7" customFormat="1" x14ac:dyDescent="0.15">
      <c r="AO4403" s="31"/>
    </row>
    <row r="4404" spans="41:41" s="7" customFormat="1" x14ac:dyDescent="0.15">
      <c r="AO4404" s="31"/>
    </row>
    <row r="4405" spans="41:41" s="7" customFormat="1" x14ac:dyDescent="0.15">
      <c r="AO4405" s="31"/>
    </row>
    <row r="4406" spans="41:41" s="7" customFormat="1" x14ac:dyDescent="0.15">
      <c r="AO4406" s="31"/>
    </row>
    <row r="4407" spans="41:41" s="7" customFormat="1" x14ac:dyDescent="0.15">
      <c r="AO4407" s="31"/>
    </row>
    <row r="4408" spans="41:41" s="7" customFormat="1" x14ac:dyDescent="0.15">
      <c r="AO4408" s="31"/>
    </row>
    <row r="4409" spans="41:41" s="7" customFormat="1" x14ac:dyDescent="0.15">
      <c r="AO4409" s="31"/>
    </row>
    <row r="4410" spans="41:41" s="7" customFormat="1" x14ac:dyDescent="0.15">
      <c r="AO4410" s="31"/>
    </row>
    <row r="4411" spans="41:41" s="7" customFormat="1" x14ac:dyDescent="0.15">
      <c r="AO4411" s="31"/>
    </row>
    <row r="4412" spans="41:41" s="7" customFormat="1" x14ac:dyDescent="0.15">
      <c r="AO4412" s="31"/>
    </row>
    <row r="4413" spans="41:41" s="7" customFormat="1" x14ac:dyDescent="0.15">
      <c r="AO4413" s="31"/>
    </row>
    <row r="4414" spans="41:41" s="7" customFormat="1" x14ac:dyDescent="0.15">
      <c r="AO4414" s="31"/>
    </row>
    <row r="4415" spans="41:41" s="7" customFormat="1" x14ac:dyDescent="0.15">
      <c r="AO4415" s="31"/>
    </row>
    <row r="4416" spans="41:41" s="7" customFormat="1" x14ac:dyDescent="0.15">
      <c r="AO4416" s="31"/>
    </row>
    <row r="4417" spans="41:41" s="7" customFormat="1" x14ac:dyDescent="0.15">
      <c r="AO4417" s="31"/>
    </row>
    <row r="4418" spans="41:41" s="7" customFormat="1" x14ac:dyDescent="0.15">
      <c r="AO4418" s="31"/>
    </row>
    <row r="4419" spans="41:41" s="7" customFormat="1" x14ac:dyDescent="0.15">
      <c r="AO4419" s="31"/>
    </row>
    <row r="4420" spans="41:41" s="7" customFormat="1" x14ac:dyDescent="0.15">
      <c r="AO4420" s="31"/>
    </row>
    <row r="4421" spans="41:41" s="7" customFormat="1" x14ac:dyDescent="0.15">
      <c r="AO4421" s="31"/>
    </row>
    <row r="4422" spans="41:41" s="7" customFormat="1" x14ac:dyDescent="0.15">
      <c r="AO4422" s="31"/>
    </row>
    <row r="4423" spans="41:41" s="7" customFormat="1" x14ac:dyDescent="0.15">
      <c r="AO4423" s="31"/>
    </row>
    <row r="4424" spans="41:41" s="7" customFormat="1" x14ac:dyDescent="0.15">
      <c r="AO4424" s="31"/>
    </row>
    <row r="4425" spans="41:41" s="7" customFormat="1" x14ac:dyDescent="0.15">
      <c r="AO4425" s="31"/>
    </row>
    <row r="4426" spans="41:41" s="7" customFormat="1" x14ac:dyDescent="0.15">
      <c r="AO4426" s="31"/>
    </row>
    <row r="4427" spans="41:41" s="7" customFormat="1" x14ac:dyDescent="0.15">
      <c r="AO4427" s="31"/>
    </row>
    <row r="4428" spans="41:41" s="7" customFormat="1" x14ac:dyDescent="0.15">
      <c r="AO4428" s="31"/>
    </row>
    <row r="4429" spans="41:41" s="7" customFormat="1" x14ac:dyDescent="0.15">
      <c r="AO4429" s="31"/>
    </row>
    <row r="4430" spans="41:41" s="7" customFormat="1" x14ac:dyDescent="0.15">
      <c r="AO4430" s="31"/>
    </row>
    <row r="4431" spans="41:41" s="7" customFormat="1" x14ac:dyDescent="0.15">
      <c r="AO4431" s="31"/>
    </row>
    <row r="4432" spans="41:41" s="7" customFormat="1" x14ac:dyDescent="0.15">
      <c r="AO4432" s="31"/>
    </row>
    <row r="4433" spans="41:41" s="7" customFormat="1" x14ac:dyDescent="0.15">
      <c r="AO4433" s="31"/>
    </row>
    <row r="4434" spans="41:41" s="7" customFormat="1" x14ac:dyDescent="0.15">
      <c r="AO4434" s="31"/>
    </row>
    <row r="4435" spans="41:41" s="7" customFormat="1" x14ac:dyDescent="0.15">
      <c r="AO4435" s="31"/>
    </row>
    <row r="4436" spans="41:41" s="7" customFormat="1" x14ac:dyDescent="0.15">
      <c r="AO4436" s="31"/>
    </row>
    <row r="4437" spans="41:41" s="7" customFormat="1" x14ac:dyDescent="0.15">
      <c r="AO4437" s="31"/>
    </row>
    <row r="4438" spans="41:41" s="7" customFormat="1" x14ac:dyDescent="0.15">
      <c r="AO4438" s="31"/>
    </row>
    <row r="4439" spans="41:41" s="7" customFormat="1" x14ac:dyDescent="0.15">
      <c r="AO4439" s="31"/>
    </row>
    <row r="4440" spans="41:41" s="7" customFormat="1" x14ac:dyDescent="0.15">
      <c r="AO4440" s="31"/>
    </row>
    <row r="4441" spans="41:41" s="7" customFormat="1" x14ac:dyDescent="0.15">
      <c r="AO4441" s="31"/>
    </row>
    <row r="4442" spans="41:41" s="7" customFormat="1" x14ac:dyDescent="0.15">
      <c r="AO4442" s="31"/>
    </row>
    <row r="4443" spans="41:41" s="7" customFormat="1" x14ac:dyDescent="0.15">
      <c r="AO4443" s="31"/>
    </row>
    <row r="4444" spans="41:41" s="7" customFormat="1" x14ac:dyDescent="0.15">
      <c r="AO4444" s="31"/>
    </row>
    <row r="4445" spans="41:41" s="7" customFormat="1" x14ac:dyDescent="0.15">
      <c r="AO4445" s="31"/>
    </row>
    <row r="4446" spans="41:41" s="7" customFormat="1" x14ac:dyDescent="0.15">
      <c r="AO4446" s="31"/>
    </row>
    <row r="4447" spans="41:41" s="7" customFormat="1" x14ac:dyDescent="0.15">
      <c r="AO4447" s="31"/>
    </row>
    <row r="4448" spans="41:41" s="7" customFormat="1" x14ac:dyDescent="0.15">
      <c r="AO4448" s="31"/>
    </row>
    <row r="4449" spans="41:41" s="7" customFormat="1" x14ac:dyDescent="0.15">
      <c r="AO4449" s="31"/>
    </row>
    <row r="4450" spans="41:41" s="7" customFormat="1" x14ac:dyDescent="0.15">
      <c r="AO4450" s="31"/>
    </row>
    <row r="4451" spans="41:41" s="7" customFormat="1" x14ac:dyDescent="0.15">
      <c r="AO4451" s="31"/>
    </row>
    <row r="4452" spans="41:41" s="7" customFormat="1" x14ac:dyDescent="0.15">
      <c r="AO4452" s="31"/>
    </row>
    <row r="4453" spans="41:41" s="7" customFormat="1" x14ac:dyDescent="0.15">
      <c r="AO4453" s="31"/>
    </row>
    <row r="4454" spans="41:41" s="7" customFormat="1" x14ac:dyDescent="0.15">
      <c r="AO4454" s="31"/>
    </row>
    <row r="4455" spans="41:41" s="7" customFormat="1" x14ac:dyDescent="0.15">
      <c r="AO4455" s="31"/>
    </row>
    <row r="4456" spans="41:41" s="7" customFormat="1" x14ac:dyDescent="0.15">
      <c r="AO4456" s="31"/>
    </row>
    <row r="4457" spans="41:41" s="7" customFormat="1" x14ac:dyDescent="0.15">
      <c r="AO4457" s="31"/>
    </row>
    <row r="4458" spans="41:41" s="7" customFormat="1" x14ac:dyDescent="0.15">
      <c r="AO4458" s="31"/>
    </row>
    <row r="4459" spans="41:41" s="7" customFormat="1" x14ac:dyDescent="0.15">
      <c r="AO4459" s="31"/>
    </row>
    <row r="4460" spans="41:41" s="7" customFormat="1" x14ac:dyDescent="0.15">
      <c r="AO4460" s="31"/>
    </row>
    <row r="4461" spans="41:41" s="7" customFormat="1" x14ac:dyDescent="0.15">
      <c r="AO4461" s="31"/>
    </row>
    <row r="4462" spans="41:41" s="7" customFormat="1" x14ac:dyDescent="0.15">
      <c r="AO4462" s="31"/>
    </row>
    <row r="4463" spans="41:41" s="7" customFormat="1" x14ac:dyDescent="0.15">
      <c r="AO4463" s="31"/>
    </row>
    <row r="4464" spans="41:41" s="7" customFormat="1" x14ac:dyDescent="0.15">
      <c r="AO4464" s="31"/>
    </row>
    <row r="4465" spans="41:41" s="7" customFormat="1" x14ac:dyDescent="0.15">
      <c r="AO4465" s="31"/>
    </row>
    <row r="4466" spans="41:41" s="7" customFormat="1" x14ac:dyDescent="0.15">
      <c r="AO4466" s="31"/>
    </row>
    <row r="4467" spans="41:41" s="7" customFormat="1" x14ac:dyDescent="0.15">
      <c r="AO4467" s="31"/>
    </row>
    <row r="4468" spans="41:41" s="7" customFormat="1" x14ac:dyDescent="0.15">
      <c r="AO4468" s="31"/>
    </row>
    <row r="4469" spans="41:41" s="7" customFormat="1" x14ac:dyDescent="0.15">
      <c r="AO4469" s="31"/>
    </row>
    <row r="4470" spans="41:41" s="7" customFormat="1" x14ac:dyDescent="0.15">
      <c r="AO4470" s="31"/>
    </row>
    <row r="4471" spans="41:41" s="7" customFormat="1" x14ac:dyDescent="0.15">
      <c r="AO4471" s="31"/>
    </row>
    <row r="4472" spans="41:41" s="7" customFormat="1" x14ac:dyDescent="0.15">
      <c r="AO4472" s="31"/>
    </row>
    <row r="4473" spans="41:41" s="7" customFormat="1" x14ac:dyDescent="0.15">
      <c r="AO4473" s="31"/>
    </row>
    <row r="4474" spans="41:41" s="7" customFormat="1" x14ac:dyDescent="0.15">
      <c r="AO4474" s="31"/>
    </row>
    <row r="4475" spans="41:41" s="7" customFormat="1" x14ac:dyDescent="0.15">
      <c r="AO4475" s="31"/>
    </row>
    <row r="4476" spans="41:41" s="7" customFormat="1" x14ac:dyDescent="0.15">
      <c r="AO4476" s="31"/>
    </row>
    <row r="4477" spans="41:41" s="7" customFormat="1" x14ac:dyDescent="0.15">
      <c r="AO4477" s="31"/>
    </row>
    <row r="4478" spans="41:41" s="7" customFormat="1" x14ac:dyDescent="0.15">
      <c r="AO4478" s="31"/>
    </row>
    <row r="4479" spans="41:41" s="7" customFormat="1" x14ac:dyDescent="0.15">
      <c r="AO4479" s="31"/>
    </row>
    <row r="4480" spans="41:41" s="7" customFormat="1" x14ac:dyDescent="0.15">
      <c r="AO4480" s="31"/>
    </row>
    <row r="4481" spans="41:41" s="7" customFormat="1" x14ac:dyDescent="0.15">
      <c r="AO4481" s="31"/>
    </row>
    <row r="4482" spans="41:41" s="7" customFormat="1" x14ac:dyDescent="0.15">
      <c r="AO4482" s="31"/>
    </row>
    <row r="4483" spans="41:41" s="7" customFormat="1" x14ac:dyDescent="0.15">
      <c r="AO4483" s="31"/>
    </row>
    <row r="4484" spans="41:41" s="7" customFormat="1" x14ac:dyDescent="0.15">
      <c r="AO4484" s="31"/>
    </row>
    <row r="4485" spans="41:41" s="7" customFormat="1" x14ac:dyDescent="0.15">
      <c r="AO4485" s="31"/>
    </row>
    <row r="4486" spans="41:41" s="7" customFormat="1" x14ac:dyDescent="0.15">
      <c r="AO4486" s="31"/>
    </row>
    <row r="4487" spans="41:41" s="7" customFormat="1" x14ac:dyDescent="0.15">
      <c r="AO4487" s="31"/>
    </row>
    <row r="4488" spans="41:41" s="7" customFormat="1" x14ac:dyDescent="0.15">
      <c r="AO4488" s="31"/>
    </row>
    <row r="4489" spans="41:41" s="7" customFormat="1" x14ac:dyDescent="0.15">
      <c r="AO4489" s="31"/>
    </row>
    <row r="4490" spans="41:41" s="7" customFormat="1" x14ac:dyDescent="0.15">
      <c r="AO4490" s="31"/>
    </row>
    <row r="4491" spans="41:41" s="7" customFormat="1" x14ac:dyDescent="0.15">
      <c r="AO4491" s="31"/>
    </row>
    <row r="4492" spans="41:41" s="7" customFormat="1" x14ac:dyDescent="0.15">
      <c r="AO4492" s="31"/>
    </row>
    <row r="4493" spans="41:41" s="7" customFormat="1" x14ac:dyDescent="0.15">
      <c r="AO4493" s="31"/>
    </row>
    <row r="4494" spans="41:41" s="7" customFormat="1" x14ac:dyDescent="0.15">
      <c r="AO4494" s="31"/>
    </row>
    <row r="4495" spans="41:41" s="7" customFormat="1" x14ac:dyDescent="0.15">
      <c r="AO4495" s="31"/>
    </row>
    <row r="4496" spans="41:41" s="7" customFormat="1" x14ac:dyDescent="0.15">
      <c r="AO4496" s="31"/>
    </row>
    <row r="4497" spans="41:41" s="7" customFormat="1" x14ac:dyDescent="0.15">
      <c r="AO4497" s="31"/>
    </row>
    <row r="4498" spans="41:41" s="7" customFormat="1" x14ac:dyDescent="0.15">
      <c r="AO4498" s="31"/>
    </row>
    <row r="4499" spans="41:41" s="7" customFormat="1" x14ac:dyDescent="0.15">
      <c r="AO4499" s="31"/>
    </row>
    <row r="4500" spans="41:41" s="7" customFormat="1" x14ac:dyDescent="0.15">
      <c r="AO4500" s="31"/>
    </row>
    <row r="4501" spans="41:41" s="7" customFormat="1" x14ac:dyDescent="0.15">
      <c r="AO4501" s="31"/>
    </row>
    <row r="4502" spans="41:41" s="7" customFormat="1" x14ac:dyDescent="0.15">
      <c r="AO4502" s="31"/>
    </row>
    <row r="4503" spans="41:41" s="7" customFormat="1" x14ac:dyDescent="0.15">
      <c r="AO4503" s="31"/>
    </row>
    <row r="4504" spans="41:41" s="7" customFormat="1" x14ac:dyDescent="0.15">
      <c r="AO4504" s="31"/>
    </row>
    <row r="4505" spans="41:41" s="7" customFormat="1" x14ac:dyDescent="0.15">
      <c r="AO4505" s="31"/>
    </row>
    <row r="4506" spans="41:41" s="7" customFormat="1" x14ac:dyDescent="0.15">
      <c r="AO4506" s="31"/>
    </row>
    <row r="4507" spans="41:41" s="7" customFormat="1" x14ac:dyDescent="0.15">
      <c r="AO4507" s="31"/>
    </row>
    <row r="4508" spans="41:41" s="7" customFormat="1" x14ac:dyDescent="0.15">
      <c r="AO4508" s="31"/>
    </row>
    <row r="4509" spans="41:41" s="7" customFormat="1" x14ac:dyDescent="0.15">
      <c r="AO4509" s="31"/>
    </row>
    <row r="4510" spans="41:41" s="7" customFormat="1" x14ac:dyDescent="0.15">
      <c r="AO4510" s="31"/>
    </row>
    <row r="4511" spans="41:41" s="7" customFormat="1" x14ac:dyDescent="0.15">
      <c r="AO4511" s="31"/>
    </row>
    <row r="4512" spans="41:41" s="7" customFormat="1" x14ac:dyDescent="0.15">
      <c r="AO4512" s="31"/>
    </row>
    <row r="4513" spans="41:41" s="7" customFormat="1" x14ac:dyDescent="0.15">
      <c r="AO4513" s="31"/>
    </row>
    <row r="4514" spans="41:41" s="7" customFormat="1" x14ac:dyDescent="0.15">
      <c r="AO4514" s="31"/>
    </row>
    <row r="4515" spans="41:41" s="7" customFormat="1" x14ac:dyDescent="0.15">
      <c r="AO4515" s="31"/>
    </row>
    <row r="4516" spans="41:41" s="7" customFormat="1" x14ac:dyDescent="0.15">
      <c r="AO4516" s="31"/>
    </row>
    <row r="4517" spans="41:41" s="7" customFormat="1" x14ac:dyDescent="0.15">
      <c r="AO4517" s="31"/>
    </row>
    <row r="4518" spans="41:41" s="7" customFormat="1" x14ac:dyDescent="0.15">
      <c r="AO4518" s="31"/>
    </row>
    <row r="4519" spans="41:41" s="7" customFormat="1" x14ac:dyDescent="0.15">
      <c r="AO4519" s="31"/>
    </row>
    <row r="4520" spans="41:41" s="7" customFormat="1" x14ac:dyDescent="0.15">
      <c r="AO4520" s="31"/>
    </row>
    <row r="4521" spans="41:41" s="7" customFormat="1" x14ac:dyDescent="0.15">
      <c r="AO4521" s="31"/>
    </row>
    <row r="4522" spans="41:41" s="7" customFormat="1" x14ac:dyDescent="0.15">
      <c r="AO4522" s="31"/>
    </row>
    <row r="4523" spans="41:41" s="7" customFormat="1" x14ac:dyDescent="0.15">
      <c r="AO4523" s="31"/>
    </row>
    <row r="4524" spans="41:41" s="7" customFormat="1" x14ac:dyDescent="0.15">
      <c r="AO4524" s="31"/>
    </row>
    <row r="4525" spans="41:41" s="7" customFormat="1" x14ac:dyDescent="0.15">
      <c r="AO4525" s="31"/>
    </row>
    <row r="4526" spans="41:41" s="7" customFormat="1" x14ac:dyDescent="0.15">
      <c r="AO4526" s="31"/>
    </row>
    <row r="4527" spans="41:41" s="7" customFormat="1" x14ac:dyDescent="0.15">
      <c r="AO4527" s="31"/>
    </row>
    <row r="4528" spans="41:41" s="7" customFormat="1" x14ac:dyDescent="0.15">
      <c r="AO4528" s="31"/>
    </row>
    <row r="4529" spans="41:41" s="7" customFormat="1" x14ac:dyDescent="0.15">
      <c r="AO4529" s="31"/>
    </row>
    <row r="4530" spans="41:41" s="7" customFormat="1" x14ac:dyDescent="0.15">
      <c r="AO4530" s="31"/>
    </row>
    <row r="4531" spans="41:41" s="7" customFormat="1" x14ac:dyDescent="0.15">
      <c r="AO4531" s="31"/>
    </row>
    <row r="4532" spans="41:41" s="7" customFormat="1" x14ac:dyDescent="0.15">
      <c r="AO4532" s="31"/>
    </row>
    <row r="4533" spans="41:41" s="7" customFormat="1" x14ac:dyDescent="0.15">
      <c r="AO4533" s="31"/>
    </row>
    <row r="4534" spans="41:41" s="7" customFormat="1" x14ac:dyDescent="0.15">
      <c r="AO4534" s="31"/>
    </row>
    <row r="4535" spans="41:41" s="7" customFormat="1" x14ac:dyDescent="0.15">
      <c r="AO4535" s="31"/>
    </row>
    <row r="4536" spans="41:41" s="7" customFormat="1" x14ac:dyDescent="0.15">
      <c r="AO4536" s="31"/>
    </row>
    <row r="4537" spans="41:41" s="7" customFormat="1" x14ac:dyDescent="0.15">
      <c r="AO4537" s="31"/>
    </row>
    <row r="4538" spans="41:41" s="7" customFormat="1" x14ac:dyDescent="0.15">
      <c r="AO4538" s="31"/>
    </row>
    <row r="4539" spans="41:41" s="7" customFormat="1" x14ac:dyDescent="0.15">
      <c r="AO4539" s="31"/>
    </row>
    <row r="4540" spans="41:41" s="7" customFormat="1" x14ac:dyDescent="0.15">
      <c r="AO4540" s="31"/>
    </row>
    <row r="4541" spans="41:41" s="7" customFormat="1" x14ac:dyDescent="0.15">
      <c r="AO4541" s="31"/>
    </row>
    <row r="4542" spans="41:41" s="7" customFormat="1" x14ac:dyDescent="0.15">
      <c r="AO4542" s="31"/>
    </row>
    <row r="4543" spans="41:41" s="7" customFormat="1" x14ac:dyDescent="0.15">
      <c r="AO4543" s="31"/>
    </row>
    <row r="4544" spans="41:41" s="7" customFormat="1" x14ac:dyDescent="0.15">
      <c r="AO4544" s="31"/>
    </row>
    <row r="4545" spans="41:41" s="7" customFormat="1" x14ac:dyDescent="0.15">
      <c r="AO4545" s="31"/>
    </row>
    <row r="4546" spans="41:41" s="7" customFormat="1" x14ac:dyDescent="0.15">
      <c r="AO4546" s="31"/>
    </row>
    <row r="4547" spans="41:41" s="7" customFormat="1" x14ac:dyDescent="0.15">
      <c r="AO4547" s="31"/>
    </row>
    <row r="4548" spans="41:41" s="7" customFormat="1" x14ac:dyDescent="0.15">
      <c r="AO4548" s="31"/>
    </row>
    <row r="4549" spans="41:41" s="7" customFormat="1" x14ac:dyDescent="0.15">
      <c r="AO4549" s="31"/>
    </row>
    <row r="4550" spans="41:41" s="7" customFormat="1" x14ac:dyDescent="0.15">
      <c r="AO4550" s="31"/>
    </row>
    <row r="4551" spans="41:41" s="7" customFormat="1" x14ac:dyDescent="0.15">
      <c r="AO4551" s="31"/>
    </row>
    <row r="4552" spans="41:41" s="7" customFormat="1" x14ac:dyDescent="0.15">
      <c r="AO4552" s="31"/>
    </row>
    <row r="4553" spans="41:41" s="7" customFormat="1" x14ac:dyDescent="0.15">
      <c r="AO4553" s="31"/>
    </row>
    <row r="4554" spans="41:41" s="7" customFormat="1" x14ac:dyDescent="0.15">
      <c r="AO4554" s="31"/>
    </row>
    <row r="4555" spans="41:41" s="7" customFormat="1" x14ac:dyDescent="0.15">
      <c r="AO4555" s="31"/>
    </row>
    <row r="4556" spans="41:41" s="7" customFormat="1" x14ac:dyDescent="0.15">
      <c r="AO4556" s="31"/>
    </row>
    <row r="4557" spans="41:41" s="7" customFormat="1" x14ac:dyDescent="0.15">
      <c r="AO4557" s="31"/>
    </row>
    <row r="4558" spans="41:41" s="7" customFormat="1" x14ac:dyDescent="0.15">
      <c r="AO4558" s="31"/>
    </row>
    <row r="4559" spans="41:41" s="7" customFormat="1" x14ac:dyDescent="0.15">
      <c r="AO4559" s="31"/>
    </row>
    <row r="4560" spans="41:41" s="7" customFormat="1" x14ac:dyDescent="0.15">
      <c r="AO4560" s="31"/>
    </row>
    <row r="4561" spans="41:41" s="7" customFormat="1" x14ac:dyDescent="0.15">
      <c r="AO4561" s="31"/>
    </row>
    <row r="4562" spans="41:41" s="7" customFormat="1" x14ac:dyDescent="0.15">
      <c r="AO4562" s="31"/>
    </row>
    <row r="4563" spans="41:41" s="7" customFormat="1" x14ac:dyDescent="0.15">
      <c r="AO4563" s="31"/>
    </row>
    <row r="4564" spans="41:41" s="7" customFormat="1" x14ac:dyDescent="0.15">
      <c r="AO4564" s="31"/>
    </row>
    <row r="4565" spans="41:41" s="7" customFormat="1" x14ac:dyDescent="0.15">
      <c r="AO4565" s="31"/>
    </row>
    <row r="4566" spans="41:41" s="7" customFormat="1" x14ac:dyDescent="0.15">
      <c r="AO4566" s="31"/>
    </row>
    <row r="4567" spans="41:41" s="7" customFormat="1" x14ac:dyDescent="0.15">
      <c r="AO4567" s="31"/>
    </row>
    <row r="4568" spans="41:41" s="7" customFormat="1" x14ac:dyDescent="0.15">
      <c r="AO4568" s="31"/>
    </row>
    <row r="4569" spans="41:41" s="7" customFormat="1" x14ac:dyDescent="0.15">
      <c r="AO4569" s="31"/>
    </row>
    <row r="4570" spans="41:41" s="7" customFormat="1" x14ac:dyDescent="0.15">
      <c r="AO4570" s="31"/>
    </row>
    <row r="4571" spans="41:41" s="7" customFormat="1" x14ac:dyDescent="0.15">
      <c r="AO4571" s="31"/>
    </row>
    <row r="4572" spans="41:41" s="7" customFormat="1" x14ac:dyDescent="0.15">
      <c r="AO4572" s="31"/>
    </row>
    <row r="4573" spans="41:41" s="7" customFormat="1" x14ac:dyDescent="0.15">
      <c r="AO4573" s="31"/>
    </row>
    <row r="4574" spans="41:41" s="7" customFormat="1" x14ac:dyDescent="0.15">
      <c r="AO4574" s="31"/>
    </row>
    <row r="4575" spans="41:41" s="7" customFormat="1" x14ac:dyDescent="0.15">
      <c r="AO4575" s="31"/>
    </row>
    <row r="4576" spans="41:41" s="7" customFormat="1" x14ac:dyDescent="0.15">
      <c r="AO4576" s="31"/>
    </row>
    <row r="4577" spans="41:41" s="7" customFormat="1" x14ac:dyDescent="0.15">
      <c r="AO4577" s="31"/>
    </row>
    <row r="4578" spans="41:41" s="7" customFormat="1" x14ac:dyDescent="0.15">
      <c r="AO4578" s="31"/>
    </row>
    <row r="4579" spans="41:41" s="7" customFormat="1" x14ac:dyDescent="0.15">
      <c r="AO4579" s="31"/>
    </row>
    <row r="4580" spans="41:41" s="7" customFormat="1" x14ac:dyDescent="0.15">
      <c r="AO4580" s="31"/>
    </row>
    <row r="4581" spans="41:41" s="7" customFormat="1" x14ac:dyDescent="0.15">
      <c r="AO4581" s="31"/>
    </row>
    <row r="4582" spans="41:41" s="7" customFormat="1" x14ac:dyDescent="0.15">
      <c r="AO4582" s="31"/>
    </row>
    <row r="4583" spans="41:41" s="7" customFormat="1" x14ac:dyDescent="0.15">
      <c r="AO4583" s="31"/>
    </row>
    <row r="4584" spans="41:41" s="7" customFormat="1" x14ac:dyDescent="0.15">
      <c r="AO4584" s="31"/>
    </row>
    <row r="4585" spans="41:41" s="7" customFormat="1" x14ac:dyDescent="0.15">
      <c r="AO4585" s="31"/>
    </row>
    <row r="4586" spans="41:41" s="7" customFormat="1" x14ac:dyDescent="0.15">
      <c r="AO4586" s="31"/>
    </row>
    <row r="4587" spans="41:41" s="7" customFormat="1" x14ac:dyDescent="0.15">
      <c r="AO4587" s="31"/>
    </row>
    <row r="4588" spans="41:41" s="7" customFormat="1" x14ac:dyDescent="0.15">
      <c r="AO4588" s="31"/>
    </row>
    <row r="4589" spans="41:41" s="7" customFormat="1" x14ac:dyDescent="0.15">
      <c r="AO4589" s="31"/>
    </row>
    <row r="4590" spans="41:41" s="7" customFormat="1" x14ac:dyDescent="0.15">
      <c r="AO4590" s="31"/>
    </row>
    <row r="4591" spans="41:41" s="7" customFormat="1" x14ac:dyDescent="0.15">
      <c r="AO4591" s="31"/>
    </row>
    <row r="4592" spans="41:41" s="7" customFormat="1" x14ac:dyDescent="0.15">
      <c r="AO4592" s="31"/>
    </row>
    <row r="4593" spans="41:41" s="7" customFormat="1" x14ac:dyDescent="0.15">
      <c r="AO4593" s="31"/>
    </row>
    <row r="4594" spans="41:41" s="7" customFormat="1" x14ac:dyDescent="0.15">
      <c r="AO4594" s="31"/>
    </row>
    <row r="4595" spans="41:41" s="7" customFormat="1" x14ac:dyDescent="0.15">
      <c r="AO4595" s="31"/>
    </row>
    <row r="4596" spans="41:41" s="7" customFormat="1" x14ac:dyDescent="0.15">
      <c r="AO4596" s="31"/>
    </row>
    <row r="4597" spans="41:41" s="7" customFormat="1" x14ac:dyDescent="0.15">
      <c r="AO4597" s="31"/>
    </row>
    <row r="4598" spans="41:41" s="7" customFormat="1" x14ac:dyDescent="0.15">
      <c r="AO4598" s="31"/>
    </row>
    <row r="4599" spans="41:41" s="7" customFormat="1" x14ac:dyDescent="0.15">
      <c r="AO4599" s="31"/>
    </row>
    <row r="4600" spans="41:41" s="7" customFormat="1" x14ac:dyDescent="0.15">
      <c r="AO4600" s="31"/>
    </row>
    <row r="4601" spans="41:41" s="7" customFormat="1" x14ac:dyDescent="0.15">
      <c r="AO4601" s="31"/>
    </row>
    <row r="4602" spans="41:41" s="7" customFormat="1" x14ac:dyDescent="0.15">
      <c r="AO4602" s="31"/>
    </row>
    <row r="4603" spans="41:41" s="7" customFormat="1" x14ac:dyDescent="0.15">
      <c r="AO4603" s="31"/>
    </row>
    <row r="4604" spans="41:41" s="7" customFormat="1" x14ac:dyDescent="0.15">
      <c r="AO4604" s="31"/>
    </row>
    <row r="4605" spans="41:41" s="7" customFormat="1" x14ac:dyDescent="0.15">
      <c r="AO4605" s="31"/>
    </row>
    <row r="4606" spans="41:41" s="7" customFormat="1" x14ac:dyDescent="0.15">
      <c r="AO4606" s="31"/>
    </row>
    <row r="4607" spans="41:41" s="7" customFormat="1" x14ac:dyDescent="0.15">
      <c r="AO4607" s="31"/>
    </row>
    <row r="4608" spans="41:41" s="7" customFormat="1" x14ac:dyDescent="0.15">
      <c r="AO4608" s="31"/>
    </row>
    <row r="4609" spans="41:41" s="7" customFormat="1" x14ac:dyDescent="0.15">
      <c r="AO4609" s="31"/>
    </row>
    <row r="4610" spans="41:41" s="7" customFormat="1" x14ac:dyDescent="0.15">
      <c r="AO4610" s="31"/>
    </row>
    <row r="4611" spans="41:41" s="7" customFormat="1" x14ac:dyDescent="0.15">
      <c r="AO4611" s="31"/>
    </row>
    <row r="4612" spans="41:41" s="7" customFormat="1" x14ac:dyDescent="0.15">
      <c r="AO4612" s="31"/>
    </row>
    <row r="4613" spans="41:41" s="7" customFormat="1" x14ac:dyDescent="0.15">
      <c r="AO4613" s="31"/>
    </row>
    <row r="4614" spans="41:41" s="7" customFormat="1" x14ac:dyDescent="0.15">
      <c r="AO4614" s="31"/>
    </row>
    <row r="4615" spans="41:41" s="7" customFormat="1" x14ac:dyDescent="0.15">
      <c r="AO4615" s="31"/>
    </row>
    <row r="4616" spans="41:41" s="7" customFormat="1" x14ac:dyDescent="0.15">
      <c r="AO4616" s="31"/>
    </row>
    <row r="4617" spans="41:41" s="7" customFormat="1" x14ac:dyDescent="0.15">
      <c r="AO4617" s="31"/>
    </row>
    <row r="4618" spans="41:41" s="7" customFormat="1" x14ac:dyDescent="0.15">
      <c r="AO4618" s="31"/>
    </row>
    <row r="4619" spans="41:41" s="7" customFormat="1" x14ac:dyDescent="0.15">
      <c r="AO4619" s="31"/>
    </row>
    <row r="4620" spans="41:41" s="7" customFormat="1" x14ac:dyDescent="0.15">
      <c r="AO4620" s="31"/>
    </row>
    <row r="4621" spans="41:41" s="7" customFormat="1" x14ac:dyDescent="0.15">
      <c r="AO4621" s="31"/>
    </row>
    <row r="4622" spans="41:41" s="7" customFormat="1" x14ac:dyDescent="0.15">
      <c r="AO4622" s="31"/>
    </row>
    <row r="4623" spans="41:41" s="7" customFormat="1" x14ac:dyDescent="0.15">
      <c r="AO4623" s="31"/>
    </row>
    <row r="4624" spans="41:41" s="7" customFormat="1" x14ac:dyDescent="0.15">
      <c r="AO4624" s="31"/>
    </row>
    <row r="4625" spans="41:41" s="7" customFormat="1" x14ac:dyDescent="0.15">
      <c r="AO4625" s="31"/>
    </row>
    <row r="4626" spans="41:41" s="7" customFormat="1" x14ac:dyDescent="0.15">
      <c r="AO4626" s="31"/>
    </row>
    <row r="4627" spans="41:41" s="7" customFormat="1" x14ac:dyDescent="0.15">
      <c r="AO4627" s="31"/>
    </row>
    <row r="4628" spans="41:41" s="7" customFormat="1" x14ac:dyDescent="0.15">
      <c r="AO4628" s="31"/>
    </row>
    <row r="4629" spans="41:41" s="7" customFormat="1" x14ac:dyDescent="0.15">
      <c r="AO4629" s="31"/>
    </row>
    <row r="4630" spans="41:41" s="7" customFormat="1" x14ac:dyDescent="0.15">
      <c r="AO4630" s="31"/>
    </row>
    <row r="4631" spans="41:41" s="7" customFormat="1" x14ac:dyDescent="0.15">
      <c r="AO4631" s="31"/>
    </row>
    <row r="4632" spans="41:41" s="7" customFormat="1" x14ac:dyDescent="0.15">
      <c r="AO4632" s="31"/>
    </row>
    <row r="4633" spans="41:41" s="7" customFormat="1" x14ac:dyDescent="0.15">
      <c r="AO4633" s="31"/>
    </row>
    <row r="4634" spans="41:41" s="7" customFormat="1" x14ac:dyDescent="0.15">
      <c r="AO4634" s="31"/>
    </row>
    <row r="4635" spans="41:41" s="7" customFormat="1" x14ac:dyDescent="0.15">
      <c r="AO4635" s="31"/>
    </row>
    <row r="4636" spans="41:41" s="7" customFormat="1" x14ac:dyDescent="0.15">
      <c r="AO4636" s="31"/>
    </row>
    <row r="4637" spans="41:41" s="7" customFormat="1" x14ac:dyDescent="0.15">
      <c r="AO4637" s="31"/>
    </row>
    <row r="4638" spans="41:41" s="7" customFormat="1" x14ac:dyDescent="0.15">
      <c r="AO4638" s="31"/>
    </row>
    <row r="4639" spans="41:41" s="7" customFormat="1" x14ac:dyDescent="0.15">
      <c r="AO4639" s="31"/>
    </row>
    <row r="4640" spans="41:41" s="7" customFormat="1" x14ac:dyDescent="0.15">
      <c r="AO4640" s="31"/>
    </row>
    <row r="4641" spans="41:41" s="7" customFormat="1" x14ac:dyDescent="0.15">
      <c r="AO4641" s="31"/>
    </row>
    <row r="4642" spans="41:41" s="7" customFormat="1" x14ac:dyDescent="0.15">
      <c r="AO4642" s="31"/>
    </row>
    <row r="4643" spans="41:41" s="7" customFormat="1" x14ac:dyDescent="0.15">
      <c r="AO4643" s="31"/>
    </row>
    <row r="4644" spans="41:41" s="7" customFormat="1" x14ac:dyDescent="0.15">
      <c r="AO4644" s="31"/>
    </row>
    <row r="4645" spans="41:41" s="7" customFormat="1" x14ac:dyDescent="0.15">
      <c r="AO4645" s="31"/>
    </row>
    <row r="4646" spans="41:41" s="7" customFormat="1" x14ac:dyDescent="0.15">
      <c r="AO4646" s="31"/>
    </row>
    <row r="4647" spans="41:41" s="7" customFormat="1" x14ac:dyDescent="0.15">
      <c r="AO4647" s="31"/>
    </row>
    <row r="4648" spans="41:41" s="7" customFormat="1" x14ac:dyDescent="0.15">
      <c r="AO4648" s="31"/>
    </row>
    <row r="4649" spans="41:41" s="7" customFormat="1" x14ac:dyDescent="0.15">
      <c r="AO4649" s="31"/>
    </row>
    <row r="4650" spans="41:41" s="7" customFormat="1" x14ac:dyDescent="0.15">
      <c r="AO4650" s="31"/>
    </row>
    <row r="4651" spans="41:41" s="7" customFormat="1" x14ac:dyDescent="0.15">
      <c r="AO4651" s="31"/>
    </row>
    <row r="4652" spans="41:41" s="7" customFormat="1" x14ac:dyDescent="0.15">
      <c r="AO4652" s="31"/>
    </row>
    <row r="4653" spans="41:41" s="7" customFormat="1" x14ac:dyDescent="0.15">
      <c r="AO4653" s="31"/>
    </row>
    <row r="4654" spans="41:41" s="7" customFormat="1" x14ac:dyDescent="0.15">
      <c r="AO4654" s="31"/>
    </row>
    <row r="4655" spans="41:41" s="7" customFormat="1" x14ac:dyDescent="0.15">
      <c r="AO4655" s="31"/>
    </row>
    <row r="4656" spans="41:41" s="7" customFormat="1" x14ac:dyDescent="0.15">
      <c r="AO4656" s="31"/>
    </row>
    <row r="4657" spans="41:41" s="7" customFormat="1" x14ac:dyDescent="0.15">
      <c r="AO4657" s="31"/>
    </row>
    <row r="4658" spans="41:41" s="7" customFormat="1" x14ac:dyDescent="0.15">
      <c r="AO4658" s="31"/>
    </row>
    <row r="4659" spans="41:41" s="7" customFormat="1" x14ac:dyDescent="0.15">
      <c r="AO4659" s="31"/>
    </row>
    <row r="4660" spans="41:41" s="7" customFormat="1" x14ac:dyDescent="0.15">
      <c r="AO4660" s="31"/>
    </row>
    <row r="4661" spans="41:41" s="7" customFormat="1" x14ac:dyDescent="0.15">
      <c r="AO4661" s="31"/>
    </row>
    <row r="4662" spans="41:41" s="7" customFormat="1" x14ac:dyDescent="0.15">
      <c r="AO4662" s="31"/>
    </row>
    <row r="4663" spans="41:41" s="7" customFormat="1" x14ac:dyDescent="0.15">
      <c r="AO4663" s="31"/>
    </row>
    <row r="4664" spans="41:41" s="7" customFormat="1" x14ac:dyDescent="0.15">
      <c r="AO4664" s="31"/>
    </row>
    <row r="4665" spans="41:41" s="7" customFormat="1" x14ac:dyDescent="0.15">
      <c r="AO4665" s="31"/>
    </row>
    <row r="4666" spans="41:41" s="7" customFormat="1" x14ac:dyDescent="0.15">
      <c r="AO4666" s="31"/>
    </row>
    <row r="4667" spans="41:41" s="7" customFormat="1" x14ac:dyDescent="0.15">
      <c r="AO4667" s="31"/>
    </row>
    <row r="4668" spans="41:41" s="7" customFormat="1" x14ac:dyDescent="0.15">
      <c r="AO4668" s="31"/>
    </row>
    <row r="4669" spans="41:41" s="7" customFormat="1" x14ac:dyDescent="0.15">
      <c r="AO4669" s="31"/>
    </row>
    <row r="4670" spans="41:41" s="7" customFormat="1" x14ac:dyDescent="0.15">
      <c r="AO4670" s="31"/>
    </row>
    <row r="4671" spans="41:41" s="7" customFormat="1" x14ac:dyDescent="0.15">
      <c r="AO4671" s="31"/>
    </row>
    <row r="4672" spans="41:41" s="7" customFormat="1" x14ac:dyDescent="0.15">
      <c r="AO4672" s="31"/>
    </row>
    <row r="4673" spans="41:41" s="7" customFormat="1" x14ac:dyDescent="0.15">
      <c r="AO4673" s="31"/>
    </row>
    <row r="4674" spans="41:41" s="7" customFormat="1" x14ac:dyDescent="0.15">
      <c r="AO4674" s="31"/>
    </row>
    <row r="4675" spans="41:41" s="7" customFormat="1" x14ac:dyDescent="0.15">
      <c r="AO4675" s="31"/>
    </row>
    <row r="4676" spans="41:41" s="7" customFormat="1" x14ac:dyDescent="0.15">
      <c r="AO4676" s="31"/>
    </row>
    <row r="4677" spans="41:41" s="7" customFormat="1" x14ac:dyDescent="0.15">
      <c r="AO4677" s="31"/>
    </row>
    <row r="4678" spans="41:41" s="7" customFormat="1" x14ac:dyDescent="0.15">
      <c r="AO4678" s="31"/>
    </row>
    <row r="4679" spans="41:41" s="7" customFormat="1" x14ac:dyDescent="0.15">
      <c r="AO4679" s="31"/>
    </row>
    <row r="4680" spans="41:41" s="7" customFormat="1" x14ac:dyDescent="0.15">
      <c r="AO4680" s="31"/>
    </row>
    <row r="4681" spans="41:41" s="7" customFormat="1" x14ac:dyDescent="0.15">
      <c r="AO4681" s="31"/>
    </row>
    <row r="4682" spans="41:41" s="7" customFormat="1" x14ac:dyDescent="0.15">
      <c r="AO4682" s="31"/>
    </row>
    <row r="4683" spans="41:41" s="7" customFormat="1" x14ac:dyDescent="0.15">
      <c r="AO4683" s="31"/>
    </row>
    <row r="4684" spans="41:41" s="7" customFormat="1" x14ac:dyDescent="0.15">
      <c r="AO4684" s="31"/>
    </row>
    <row r="4685" spans="41:41" s="7" customFormat="1" x14ac:dyDescent="0.15">
      <c r="AO4685" s="31"/>
    </row>
    <row r="4686" spans="41:41" s="7" customFormat="1" x14ac:dyDescent="0.15">
      <c r="AO4686" s="31"/>
    </row>
    <row r="4687" spans="41:41" s="7" customFormat="1" x14ac:dyDescent="0.15">
      <c r="AO4687" s="31"/>
    </row>
    <row r="4688" spans="41:41" s="7" customFormat="1" x14ac:dyDescent="0.15">
      <c r="AO4688" s="31"/>
    </row>
    <row r="4689" spans="41:41" s="7" customFormat="1" x14ac:dyDescent="0.15">
      <c r="AO4689" s="31"/>
    </row>
    <row r="4690" spans="41:41" s="7" customFormat="1" x14ac:dyDescent="0.15">
      <c r="AO4690" s="31"/>
    </row>
    <row r="4691" spans="41:41" s="7" customFormat="1" x14ac:dyDescent="0.15">
      <c r="AO4691" s="31"/>
    </row>
    <row r="4692" spans="41:41" s="7" customFormat="1" x14ac:dyDescent="0.15">
      <c r="AO4692" s="31"/>
    </row>
    <row r="4693" spans="41:41" s="7" customFormat="1" x14ac:dyDescent="0.15">
      <c r="AO4693" s="31"/>
    </row>
    <row r="4694" spans="41:41" s="7" customFormat="1" x14ac:dyDescent="0.15">
      <c r="AO4694" s="31"/>
    </row>
    <row r="4695" spans="41:41" s="7" customFormat="1" x14ac:dyDescent="0.15">
      <c r="AO4695" s="31"/>
    </row>
    <row r="4696" spans="41:41" s="7" customFormat="1" x14ac:dyDescent="0.15">
      <c r="AO4696" s="31"/>
    </row>
    <row r="4697" spans="41:41" s="7" customFormat="1" x14ac:dyDescent="0.15">
      <c r="AO4697" s="31"/>
    </row>
    <row r="4698" spans="41:41" s="7" customFormat="1" x14ac:dyDescent="0.15">
      <c r="AO4698" s="31"/>
    </row>
    <row r="4699" spans="41:41" s="7" customFormat="1" x14ac:dyDescent="0.15">
      <c r="AO4699" s="31"/>
    </row>
    <row r="4700" spans="41:41" s="7" customFormat="1" x14ac:dyDescent="0.15">
      <c r="AO4700" s="31"/>
    </row>
    <row r="4701" spans="41:41" s="7" customFormat="1" x14ac:dyDescent="0.15">
      <c r="AO4701" s="31"/>
    </row>
    <row r="4702" spans="41:41" s="7" customFormat="1" x14ac:dyDescent="0.15">
      <c r="AO4702" s="31"/>
    </row>
    <row r="4703" spans="41:41" s="7" customFormat="1" x14ac:dyDescent="0.15">
      <c r="AO4703" s="31"/>
    </row>
    <row r="4704" spans="41:41" s="7" customFormat="1" x14ac:dyDescent="0.15">
      <c r="AO4704" s="31"/>
    </row>
    <row r="4705" spans="41:41" s="7" customFormat="1" x14ac:dyDescent="0.15">
      <c r="AO4705" s="31"/>
    </row>
    <row r="4706" spans="41:41" s="7" customFormat="1" x14ac:dyDescent="0.15">
      <c r="AO4706" s="31"/>
    </row>
    <row r="4707" spans="41:41" s="7" customFormat="1" x14ac:dyDescent="0.15">
      <c r="AO4707" s="31"/>
    </row>
    <row r="4708" spans="41:41" s="7" customFormat="1" x14ac:dyDescent="0.15">
      <c r="AO4708" s="31"/>
    </row>
    <row r="4709" spans="41:41" s="7" customFormat="1" x14ac:dyDescent="0.15">
      <c r="AO4709" s="31"/>
    </row>
    <row r="4710" spans="41:41" s="7" customFormat="1" x14ac:dyDescent="0.15">
      <c r="AO4710" s="31"/>
    </row>
    <row r="4711" spans="41:41" s="7" customFormat="1" x14ac:dyDescent="0.15">
      <c r="AO4711" s="31"/>
    </row>
    <row r="4712" spans="41:41" s="7" customFormat="1" x14ac:dyDescent="0.15">
      <c r="AO4712" s="31"/>
    </row>
    <row r="4713" spans="41:41" s="7" customFormat="1" x14ac:dyDescent="0.15">
      <c r="AO4713" s="31"/>
    </row>
    <row r="4714" spans="41:41" s="7" customFormat="1" x14ac:dyDescent="0.15">
      <c r="AO4714" s="31"/>
    </row>
    <row r="4715" spans="41:41" s="7" customFormat="1" x14ac:dyDescent="0.15">
      <c r="AO4715" s="31"/>
    </row>
    <row r="4716" spans="41:41" s="7" customFormat="1" x14ac:dyDescent="0.15">
      <c r="AO4716" s="31"/>
    </row>
    <row r="4717" spans="41:41" s="7" customFormat="1" x14ac:dyDescent="0.15">
      <c r="AO4717" s="31"/>
    </row>
    <row r="4718" spans="41:41" s="7" customFormat="1" x14ac:dyDescent="0.15">
      <c r="AO4718" s="31"/>
    </row>
    <row r="4719" spans="41:41" s="7" customFormat="1" x14ac:dyDescent="0.15">
      <c r="AO4719" s="31"/>
    </row>
    <row r="4720" spans="41:41" s="7" customFormat="1" x14ac:dyDescent="0.15">
      <c r="AO4720" s="31"/>
    </row>
    <row r="4721" spans="41:41" s="7" customFormat="1" x14ac:dyDescent="0.15">
      <c r="AO4721" s="31"/>
    </row>
    <row r="4722" spans="41:41" s="7" customFormat="1" x14ac:dyDescent="0.15">
      <c r="AO4722" s="31"/>
    </row>
    <row r="4723" spans="41:41" s="7" customFormat="1" x14ac:dyDescent="0.15">
      <c r="AO4723" s="31"/>
    </row>
    <row r="4724" spans="41:41" s="7" customFormat="1" x14ac:dyDescent="0.15">
      <c r="AO4724" s="31"/>
    </row>
    <row r="4725" spans="41:41" s="7" customFormat="1" x14ac:dyDescent="0.15">
      <c r="AO4725" s="31"/>
    </row>
    <row r="4726" spans="41:41" s="7" customFormat="1" x14ac:dyDescent="0.15">
      <c r="AO4726" s="31"/>
    </row>
    <row r="4727" spans="41:41" s="7" customFormat="1" x14ac:dyDescent="0.15">
      <c r="AO4727" s="31"/>
    </row>
    <row r="4728" spans="41:41" s="7" customFormat="1" x14ac:dyDescent="0.15">
      <c r="AO4728" s="31"/>
    </row>
    <row r="4729" spans="41:41" s="7" customFormat="1" x14ac:dyDescent="0.15">
      <c r="AO4729" s="31"/>
    </row>
    <row r="4730" spans="41:41" s="7" customFormat="1" x14ac:dyDescent="0.15">
      <c r="AO4730" s="31"/>
    </row>
    <row r="4731" spans="41:41" s="7" customFormat="1" x14ac:dyDescent="0.15">
      <c r="AO4731" s="31"/>
    </row>
    <row r="4732" spans="41:41" s="7" customFormat="1" x14ac:dyDescent="0.15">
      <c r="AO4732" s="31"/>
    </row>
    <row r="4733" spans="41:41" s="7" customFormat="1" x14ac:dyDescent="0.15">
      <c r="AO4733" s="31"/>
    </row>
    <row r="4734" spans="41:41" s="7" customFormat="1" x14ac:dyDescent="0.15">
      <c r="AO4734" s="31"/>
    </row>
    <row r="4735" spans="41:41" s="7" customFormat="1" x14ac:dyDescent="0.15">
      <c r="AO4735" s="31"/>
    </row>
    <row r="4736" spans="41:41" s="7" customFormat="1" x14ac:dyDescent="0.15">
      <c r="AO4736" s="31"/>
    </row>
    <row r="4737" spans="41:41" s="7" customFormat="1" x14ac:dyDescent="0.15">
      <c r="AO4737" s="31"/>
    </row>
    <row r="4738" spans="41:41" s="7" customFormat="1" x14ac:dyDescent="0.15">
      <c r="AO4738" s="31"/>
    </row>
    <row r="4739" spans="41:41" s="7" customFormat="1" x14ac:dyDescent="0.15">
      <c r="AO4739" s="31"/>
    </row>
    <row r="4740" spans="41:41" s="7" customFormat="1" x14ac:dyDescent="0.15">
      <c r="AO4740" s="31"/>
    </row>
    <row r="4741" spans="41:41" s="7" customFormat="1" x14ac:dyDescent="0.15">
      <c r="AO4741" s="31"/>
    </row>
    <row r="4742" spans="41:41" s="7" customFormat="1" x14ac:dyDescent="0.15">
      <c r="AO4742" s="31"/>
    </row>
    <row r="4743" spans="41:41" s="7" customFormat="1" x14ac:dyDescent="0.15">
      <c r="AO4743" s="31"/>
    </row>
    <row r="4744" spans="41:41" s="7" customFormat="1" x14ac:dyDescent="0.15">
      <c r="AO4744" s="31"/>
    </row>
    <row r="4745" spans="41:41" s="7" customFormat="1" x14ac:dyDescent="0.15">
      <c r="AO4745" s="31"/>
    </row>
    <row r="4746" spans="41:41" s="7" customFormat="1" x14ac:dyDescent="0.15">
      <c r="AO4746" s="31"/>
    </row>
    <row r="4747" spans="41:41" s="7" customFormat="1" x14ac:dyDescent="0.15">
      <c r="AO4747" s="31"/>
    </row>
    <row r="4748" spans="41:41" s="7" customFormat="1" x14ac:dyDescent="0.15">
      <c r="AO4748" s="31"/>
    </row>
    <row r="4749" spans="41:41" s="7" customFormat="1" x14ac:dyDescent="0.15">
      <c r="AO4749" s="31"/>
    </row>
    <row r="4750" spans="41:41" s="7" customFormat="1" x14ac:dyDescent="0.15">
      <c r="AO4750" s="31"/>
    </row>
    <row r="4751" spans="41:41" s="7" customFormat="1" x14ac:dyDescent="0.15">
      <c r="AO4751" s="31"/>
    </row>
    <row r="4752" spans="41:41" s="7" customFormat="1" x14ac:dyDescent="0.15">
      <c r="AO4752" s="31"/>
    </row>
    <row r="4753" spans="41:41" s="7" customFormat="1" x14ac:dyDescent="0.15">
      <c r="AO4753" s="31"/>
    </row>
    <row r="4754" spans="41:41" s="7" customFormat="1" x14ac:dyDescent="0.15">
      <c r="AO4754" s="31"/>
    </row>
    <row r="4755" spans="41:41" s="7" customFormat="1" x14ac:dyDescent="0.15">
      <c r="AO4755" s="31"/>
    </row>
    <row r="4756" spans="41:41" s="7" customFormat="1" x14ac:dyDescent="0.15">
      <c r="AO4756" s="31"/>
    </row>
    <row r="4757" spans="41:41" s="7" customFormat="1" x14ac:dyDescent="0.15">
      <c r="AO4757" s="31"/>
    </row>
    <row r="4758" spans="41:41" s="7" customFormat="1" x14ac:dyDescent="0.15">
      <c r="AO4758" s="31"/>
    </row>
    <row r="4759" spans="41:41" s="7" customFormat="1" x14ac:dyDescent="0.15">
      <c r="AO4759" s="31"/>
    </row>
    <row r="4760" spans="41:41" s="7" customFormat="1" x14ac:dyDescent="0.15">
      <c r="AO4760" s="31"/>
    </row>
    <row r="4761" spans="41:41" s="7" customFormat="1" x14ac:dyDescent="0.15">
      <c r="AO4761" s="31"/>
    </row>
    <row r="4762" spans="41:41" s="7" customFormat="1" x14ac:dyDescent="0.15">
      <c r="AO4762" s="31"/>
    </row>
    <row r="4763" spans="41:41" s="7" customFormat="1" x14ac:dyDescent="0.15">
      <c r="AO4763" s="31"/>
    </row>
    <row r="4764" spans="41:41" s="7" customFormat="1" x14ac:dyDescent="0.15">
      <c r="AO4764" s="31"/>
    </row>
    <row r="4765" spans="41:41" s="7" customFormat="1" x14ac:dyDescent="0.15">
      <c r="AO4765" s="31"/>
    </row>
    <row r="4766" spans="41:41" s="7" customFormat="1" x14ac:dyDescent="0.15">
      <c r="AO4766" s="31"/>
    </row>
    <row r="4767" spans="41:41" s="7" customFormat="1" x14ac:dyDescent="0.15">
      <c r="AO4767" s="31"/>
    </row>
    <row r="4768" spans="41:41" s="7" customFormat="1" x14ac:dyDescent="0.15">
      <c r="AO4768" s="31"/>
    </row>
    <row r="4769" spans="41:41" s="7" customFormat="1" x14ac:dyDescent="0.15">
      <c r="AO4769" s="31"/>
    </row>
    <row r="4770" spans="41:41" s="7" customFormat="1" x14ac:dyDescent="0.15">
      <c r="AO4770" s="31"/>
    </row>
    <row r="4771" spans="41:41" s="7" customFormat="1" x14ac:dyDescent="0.15">
      <c r="AO4771" s="31"/>
    </row>
    <row r="4772" spans="41:41" s="7" customFormat="1" x14ac:dyDescent="0.15">
      <c r="AO4772" s="31"/>
    </row>
    <row r="4773" spans="41:41" s="7" customFormat="1" x14ac:dyDescent="0.15">
      <c r="AO4773" s="31"/>
    </row>
    <row r="4774" spans="41:41" s="7" customFormat="1" x14ac:dyDescent="0.15">
      <c r="AO4774" s="31"/>
    </row>
    <row r="4775" spans="41:41" s="7" customFormat="1" x14ac:dyDescent="0.15">
      <c r="AO4775" s="31"/>
    </row>
    <row r="4776" spans="41:41" s="7" customFormat="1" x14ac:dyDescent="0.15">
      <c r="AO4776" s="31"/>
    </row>
    <row r="4777" spans="41:41" s="7" customFormat="1" x14ac:dyDescent="0.15">
      <c r="AO4777" s="31"/>
    </row>
    <row r="4778" spans="41:41" s="7" customFormat="1" x14ac:dyDescent="0.15">
      <c r="AO4778" s="31"/>
    </row>
    <row r="4779" spans="41:41" s="7" customFormat="1" x14ac:dyDescent="0.15">
      <c r="AO4779" s="31"/>
    </row>
    <row r="4780" spans="41:41" s="7" customFormat="1" x14ac:dyDescent="0.15">
      <c r="AO4780" s="31"/>
    </row>
    <row r="4781" spans="41:41" s="7" customFormat="1" x14ac:dyDescent="0.15">
      <c r="AO4781" s="31"/>
    </row>
    <row r="4782" spans="41:41" s="7" customFormat="1" x14ac:dyDescent="0.15">
      <c r="AO4782" s="31"/>
    </row>
    <row r="4783" spans="41:41" s="7" customFormat="1" x14ac:dyDescent="0.15">
      <c r="AO4783" s="31"/>
    </row>
    <row r="4784" spans="41:41" s="7" customFormat="1" x14ac:dyDescent="0.15">
      <c r="AO4784" s="31"/>
    </row>
    <row r="4785" spans="41:41" s="7" customFormat="1" x14ac:dyDescent="0.15">
      <c r="AO4785" s="31"/>
    </row>
    <row r="4786" spans="41:41" s="7" customFormat="1" x14ac:dyDescent="0.15">
      <c r="AO4786" s="31"/>
    </row>
    <row r="4787" spans="41:41" s="7" customFormat="1" x14ac:dyDescent="0.15">
      <c r="AO4787" s="31"/>
    </row>
    <row r="4788" spans="41:41" s="7" customFormat="1" x14ac:dyDescent="0.15">
      <c r="AO4788" s="31"/>
    </row>
    <row r="4789" spans="41:41" s="7" customFormat="1" x14ac:dyDescent="0.15">
      <c r="AO4789" s="31"/>
    </row>
    <row r="4790" spans="41:41" s="7" customFormat="1" x14ac:dyDescent="0.15">
      <c r="AO4790" s="31"/>
    </row>
    <row r="4791" spans="41:41" s="7" customFormat="1" x14ac:dyDescent="0.15">
      <c r="AO4791" s="31"/>
    </row>
    <row r="4792" spans="41:41" s="7" customFormat="1" x14ac:dyDescent="0.15">
      <c r="AO4792" s="31"/>
    </row>
    <row r="4793" spans="41:41" s="7" customFormat="1" x14ac:dyDescent="0.15">
      <c r="AO4793" s="31"/>
    </row>
    <row r="4794" spans="41:41" s="7" customFormat="1" x14ac:dyDescent="0.15">
      <c r="AO4794" s="31"/>
    </row>
    <row r="4795" spans="41:41" s="7" customFormat="1" x14ac:dyDescent="0.15">
      <c r="AO4795" s="31"/>
    </row>
    <row r="4796" spans="41:41" s="7" customFormat="1" x14ac:dyDescent="0.15">
      <c r="AO4796" s="31"/>
    </row>
    <row r="4797" spans="41:41" s="7" customFormat="1" x14ac:dyDescent="0.15">
      <c r="AO4797" s="31"/>
    </row>
    <row r="4798" spans="41:41" s="7" customFormat="1" x14ac:dyDescent="0.15">
      <c r="AO4798" s="31"/>
    </row>
    <row r="4799" spans="41:41" s="7" customFormat="1" x14ac:dyDescent="0.15">
      <c r="AO4799" s="31"/>
    </row>
    <row r="4800" spans="41:41" s="7" customFormat="1" x14ac:dyDescent="0.15">
      <c r="AO4800" s="31"/>
    </row>
    <row r="4801" spans="41:41" s="7" customFormat="1" x14ac:dyDescent="0.15">
      <c r="AO4801" s="31"/>
    </row>
    <row r="4802" spans="41:41" s="7" customFormat="1" x14ac:dyDescent="0.15">
      <c r="AO4802" s="31"/>
    </row>
    <row r="4803" spans="41:41" s="7" customFormat="1" x14ac:dyDescent="0.15">
      <c r="AO4803" s="31"/>
    </row>
    <row r="4804" spans="41:41" s="7" customFormat="1" x14ac:dyDescent="0.15">
      <c r="AO4804" s="31"/>
    </row>
    <row r="4805" spans="41:41" s="7" customFormat="1" x14ac:dyDescent="0.15">
      <c r="AO4805" s="31"/>
    </row>
    <row r="4806" spans="41:41" s="7" customFormat="1" x14ac:dyDescent="0.15">
      <c r="AO4806" s="31"/>
    </row>
    <row r="4807" spans="41:41" s="7" customFormat="1" x14ac:dyDescent="0.15">
      <c r="AO4807" s="31"/>
    </row>
    <row r="4808" spans="41:41" s="7" customFormat="1" x14ac:dyDescent="0.15">
      <c r="AO4808" s="31"/>
    </row>
    <row r="4809" spans="41:41" s="7" customFormat="1" x14ac:dyDescent="0.15">
      <c r="AO4809" s="31"/>
    </row>
    <row r="4810" spans="41:41" s="7" customFormat="1" x14ac:dyDescent="0.15">
      <c r="AO4810" s="31"/>
    </row>
    <row r="4811" spans="41:41" s="7" customFormat="1" x14ac:dyDescent="0.15">
      <c r="AO4811" s="31"/>
    </row>
    <row r="4812" spans="41:41" s="7" customFormat="1" x14ac:dyDescent="0.15">
      <c r="AO4812" s="31"/>
    </row>
    <row r="4813" spans="41:41" s="7" customFormat="1" x14ac:dyDescent="0.15">
      <c r="AO4813" s="31"/>
    </row>
    <row r="4814" spans="41:41" s="7" customFormat="1" x14ac:dyDescent="0.15">
      <c r="AO4814" s="31"/>
    </row>
    <row r="4815" spans="41:41" s="7" customFormat="1" x14ac:dyDescent="0.15">
      <c r="AO4815" s="31"/>
    </row>
    <row r="4816" spans="41:41" s="7" customFormat="1" x14ac:dyDescent="0.15">
      <c r="AO4816" s="31"/>
    </row>
    <row r="4817" spans="41:41" s="7" customFormat="1" x14ac:dyDescent="0.15">
      <c r="AO4817" s="31"/>
    </row>
    <row r="4818" spans="41:41" s="7" customFormat="1" x14ac:dyDescent="0.15">
      <c r="AO4818" s="31"/>
    </row>
    <row r="4819" spans="41:41" s="7" customFormat="1" x14ac:dyDescent="0.15">
      <c r="AO4819" s="31"/>
    </row>
    <row r="4820" spans="41:41" s="7" customFormat="1" x14ac:dyDescent="0.15">
      <c r="AO4820" s="31"/>
    </row>
    <row r="4821" spans="41:41" s="7" customFormat="1" x14ac:dyDescent="0.15">
      <c r="AO4821" s="31"/>
    </row>
    <row r="4822" spans="41:41" s="7" customFormat="1" x14ac:dyDescent="0.15">
      <c r="AO4822" s="31"/>
    </row>
    <row r="4823" spans="41:41" s="7" customFormat="1" x14ac:dyDescent="0.15">
      <c r="AO4823" s="31"/>
    </row>
    <row r="4824" spans="41:41" s="7" customFormat="1" x14ac:dyDescent="0.15">
      <c r="AO4824" s="31"/>
    </row>
    <row r="4825" spans="41:41" s="7" customFormat="1" x14ac:dyDescent="0.15">
      <c r="AO4825" s="31"/>
    </row>
    <row r="4826" spans="41:41" s="7" customFormat="1" x14ac:dyDescent="0.15">
      <c r="AO4826" s="31"/>
    </row>
    <row r="4827" spans="41:41" s="7" customFormat="1" x14ac:dyDescent="0.15">
      <c r="AO4827" s="31"/>
    </row>
    <row r="4828" spans="41:41" s="7" customFormat="1" x14ac:dyDescent="0.15">
      <c r="AO4828" s="31"/>
    </row>
    <row r="4829" spans="41:41" s="7" customFormat="1" x14ac:dyDescent="0.15">
      <c r="AO4829" s="31"/>
    </row>
    <row r="4830" spans="41:41" s="7" customFormat="1" x14ac:dyDescent="0.15">
      <c r="AO4830" s="31"/>
    </row>
    <row r="4831" spans="41:41" s="7" customFormat="1" x14ac:dyDescent="0.15">
      <c r="AO4831" s="31"/>
    </row>
    <row r="4832" spans="41:41" s="7" customFormat="1" x14ac:dyDescent="0.15">
      <c r="AO4832" s="31"/>
    </row>
    <row r="4833" spans="41:41" s="7" customFormat="1" x14ac:dyDescent="0.15">
      <c r="AO4833" s="31"/>
    </row>
    <row r="4834" spans="41:41" s="7" customFormat="1" x14ac:dyDescent="0.15">
      <c r="AO4834" s="31"/>
    </row>
    <row r="4835" spans="41:41" s="7" customFormat="1" x14ac:dyDescent="0.15">
      <c r="AO4835" s="31"/>
    </row>
    <row r="4836" spans="41:41" s="7" customFormat="1" x14ac:dyDescent="0.15">
      <c r="AO4836" s="31"/>
    </row>
    <row r="4837" spans="41:41" s="7" customFormat="1" x14ac:dyDescent="0.15">
      <c r="AO4837" s="31"/>
    </row>
    <row r="4838" spans="41:41" s="7" customFormat="1" x14ac:dyDescent="0.15">
      <c r="AO4838" s="31"/>
    </row>
    <row r="4839" spans="41:41" s="7" customFormat="1" x14ac:dyDescent="0.15">
      <c r="AO4839" s="31"/>
    </row>
    <row r="4840" spans="41:41" s="7" customFormat="1" x14ac:dyDescent="0.15">
      <c r="AO4840" s="31"/>
    </row>
    <row r="4841" spans="41:41" s="7" customFormat="1" x14ac:dyDescent="0.15">
      <c r="AO4841" s="31"/>
    </row>
    <row r="4842" spans="41:41" s="7" customFormat="1" x14ac:dyDescent="0.15">
      <c r="AO4842" s="31"/>
    </row>
    <row r="4843" spans="41:41" s="7" customFormat="1" x14ac:dyDescent="0.15">
      <c r="AO4843" s="31"/>
    </row>
    <row r="4844" spans="41:41" s="7" customFormat="1" x14ac:dyDescent="0.15">
      <c r="AO4844" s="31"/>
    </row>
    <row r="4845" spans="41:41" s="7" customFormat="1" x14ac:dyDescent="0.15">
      <c r="AO4845" s="31"/>
    </row>
    <row r="4846" spans="41:41" s="7" customFormat="1" x14ac:dyDescent="0.15">
      <c r="AO4846" s="31"/>
    </row>
    <row r="4847" spans="41:41" s="7" customFormat="1" x14ac:dyDescent="0.15">
      <c r="AO4847" s="31"/>
    </row>
    <row r="4848" spans="41:41" s="7" customFormat="1" x14ac:dyDescent="0.15">
      <c r="AO4848" s="31"/>
    </row>
    <row r="4849" spans="41:41" s="7" customFormat="1" x14ac:dyDescent="0.15">
      <c r="AO4849" s="31"/>
    </row>
    <row r="4850" spans="41:41" s="7" customFormat="1" x14ac:dyDescent="0.15">
      <c r="AO4850" s="31"/>
    </row>
    <row r="4851" spans="41:41" s="7" customFormat="1" x14ac:dyDescent="0.15">
      <c r="AO4851" s="31"/>
    </row>
    <row r="4852" spans="41:41" s="7" customFormat="1" x14ac:dyDescent="0.15">
      <c r="AO4852" s="31"/>
    </row>
    <row r="4853" spans="41:41" s="7" customFormat="1" x14ac:dyDescent="0.15">
      <c r="AO4853" s="31"/>
    </row>
    <row r="4854" spans="41:41" s="7" customFormat="1" x14ac:dyDescent="0.15">
      <c r="AO4854" s="31"/>
    </row>
    <row r="4855" spans="41:41" s="7" customFormat="1" x14ac:dyDescent="0.15">
      <c r="AO4855" s="31"/>
    </row>
    <row r="4856" spans="41:41" s="7" customFormat="1" x14ac:dyDescent="0.15">
      <c r="AO4856" s="31"/>
    </row>
    <row r="4857" spans="41:41" s="7" customFormat="1" x14ac:dyDescent="0.15">
      <c r="AO4857" s="31"/>
    </row>
    <row r="4858" spans="41:41" s="7" customFormat="1" x14ac:dyDescent="0.15">
      <c r="AO4858" s="31"/>
    </row>
    <row r="4859" spans="41:41" s="7" customFormat="1" x14ac:dyDescent="0.15">
      <c r="AO4859" s="31"/>
    </row>
    <row r="4860" spans="41:41" s="7" customFormat="1" x14ac:dyDescent="0.15">
      <c r="AO4860" s="31"/>
    </row>
    <row r="4861" spans="41:41" s="7" customFormat="1" x14ac:dyDescent="0.15">
      <c r="AO4861" s="31"/>
    </row>
    <row r="4862" spans="41:41" s="7" customFormat="1" x14ac:dyDescent="0.15">
      <c r="AO4862" s="31"/>
    </row>
    <row r="4863" spans="41:41" s="7" customFormat="1" x14ac:dyDescent="0.15">
      <c r="AO4863" s="31"/>
    </row>
    <row r="4864" spans="41:41" s="7" customFormat="1" x14ac:dyDescent="0.15">
      <c r="AO4864" s="31"/>
    </row>
    <row r="4865" spans="41:41" s="7" customFormat="1" x14ac:dyDescent="0.15">
      <c r="AO4865" s="31"/>
    </row>
    <row r="4866" spans="41:41" s="7" customFormat="1" x14ac:dyDescent="0.15">
      <c r="AO4866" s="31"/>
    </row>
    <row r="4867" spans="41:41" s="7" customFormat="1" x14ac:dyDescent="0.15">
      <c r="AO4867" s="31"/>
    </row>
    <row r="4868" spans="41:41" s="7" customFormat="1" x14ac:dyDescent="0.15">
      <c r="AO4868" s="31"/>
    </row>
    <row r="4869" spans="41:41" s="7" customFormat="1" x14ac:dyDescent="0.15">
      <c r="AO4869" s="31"/>
    </row>
    <row r="4870" spans="41:41" s="7" customFormat="1" x14ac:dyDescent="0.15">
      <c r="AO4870" s="31"/>
    </row>
    <row r="4871" spans="41:41" s="7" customFormat="1" x14ac:dyDescent="0.15">
      <c r="AO4871" s="31"/>
    </row>
    <row r="4872" spans="41:41" s="7" customFormat="1" x14ac:dyDescent="0.15">
      <c r="AO4872" s="31"/>
    </row>
    <row r="4873" spans="41:41" s="7" customFormat="1" x14ac:dyDescent="0.15">
      <c r="AO4873" s="31"/>
    </row>
    <row r="4874" spans="41:41" s="7" customFormat="1" x14ac:dyDescent="0.15">
      <c r="AO4874" s="31"/>
    </row>
    <row r="4875" spans="41:41" s="7" customFormat="1" x14ac:dyDescent="0.15">
      <c r="AO4875" s="31"/>
    </row>
    <row r="4876" spans="41:41" s="7" customFormat="1" x14ac:dyDescent="0.15">
      <c r="AO4876" s="31"/>
    </row>
    <row r="4877" spans="41:41" s="7" customFormat="1" x14ac:dyDescent="0.15">
      <c r="AO4877" s="31"/>
    </row>
    <row r="4878" spans="41:41" s="7" customFormat="1" x14ac:dyDescent="0.15">
      <c r="AO4878" s="31"/>
    </row>
    <row r="4879" spans="41:41" s="7" customFormat="1" x14ac:dyDescent="0.15">
      <c r="AO4879" s="31"/>
    </row>
    <row r="4880" spans="41:41" s="7" customFormat="1" x14ac:dyDescent="0.15">
      <c r="AO4880" s="31"/>
    </row>
    <row r="4881" spans="41:41" s="7" customFormat="1" x14ac:dyDescent="0.15">
      <c r="AO4881" s="31"/>
    </row>
    <row r="4882" spans="41:41" s="7" customFormat="1" x14ac:dyDescent="0.15">
      <c r="AO4882" s="31"/>
    </row>
    <row r="4883" spans="41:41" s="7" customFormat="1" x14ac:dyDescent="0.15">
      <c r="AO4883" s="31"/>
    </row>
    <row r="4884" spans="41:41" s="7" customFormat="1" x14ac:dyDescent="0.15">
      <c r="AO4884" s="31"/>
    </row>
    <row r="4885" spans="41:41" s="7" customFormat="1" x14ac:dyDescent="0.15">
      <c r="AO4885" s="31"/>
    </row>
    <row r="4886" spans="41:41" s="7" customFormat="1" x14ac:dyDescent="0.15">
      <c r="AO4886" s="31"/>
    </row>
    <row r="4887" spans="41:41" s="7" customFormat="1" x14ac:dyDescent="0.15">
      <c r="AO4887" s="31"/>
    </row>
    <row r="4888" spans="41:41" s="7" customFormat="1" x14ac:dyDescent="0.15">
      <c r="AO4888" s="31"/>
    </row>
    <row r="4889" spans="41:41" s="7" customFormat="1" x14ac:dyDescent="0.15">
      <c r="AO4889" s="31"/>
    </row>
    <row r="4890" spans="41:41" s="7" customFormat="1" x14ac:dyDescent="0.15">
      <c r="AO4890" s="31"/>
    </row>
    <row r="4891" spans="41:41" s="7" customFormat="1" x14ac:dyDescent="0.15">
      <c r="AO4891" s="31"/>
    </row>
    <row r="4892" spans="41:41" s="7" customFormat="1" x14ac:dyDescent="0.15">
      <c r="AO4892" s="31"/>
    </row>
    <row r="4893" spans="41:41" s="7" customFormat="1" x14ac:dyDescent="0.15">
      <c r="AO4893" s="31"/>
    </row>
    <row r="4894" spans="41:41" s="7" customFormat="1" x14ac:dyDescent="0.15">
      <c r="AO4894" s="31"/>
    </row>
    <row r="4895" spans="41:41" s="7" customFormat="1" x14ac:dyDescent="0.15">
      <c r="AO4895" s="31"/>
    </row>
    <row r="4896" spans="41:41" s="7" customFormat="1" x14ac:dyDescent="0.15">
      <c r="AO4896" s="31"/>
    </row>
    <row r="4897" spans="41:41" s="7" customFormat="1" x14ac:dyDescent="0.15">
      <c r="AO4897" s="31"/>
    </row>
    <row r="4898" spans="41:41" s="7" customFormat="1" x14ac:dyDescent="0.15">
      <c r="AO4898" s="31"/>
    </row>
    <row r="4899" spans="41:41" s="7" customFormat="1" x14ac:dyDescent="0.15">
      <c r="AO4899" s="31"/>
    </row>
    <row r="4900" spans="41:41" s="7" customFormat="1" x14ac:dyDescent="0.15">
      <c r="AO4900" s="31"/>
    </row>
    <row r="4901" spans="41:41" s="7" customFormat="1" x14ac:dyDescent="0.15">
      <c r="AO4901" s="31"/>
    </row>
  </sheetData>
  <sheetProtection formatCells="0" formatColumns="0" formatRows="0" insertColumns="0" insertRows="0" insertHyperlinks="0" deleteColumns="0" deleteRows="0" sort="0" autoFilter="0" pivotTables="0"/>
  <protectedRanges>
    <protectedRange sqref="A1:IV65000" name="Range1"/>
  </protectedRanges>
  <phoneticPr fontId="44" type="noConversion"/>
  <printOptions horizontalCentered="1" verticalCentered="1"/>
  <pageMargins left="0" right="0" top="0" bottom="0" header="0" footer="0"/>
  <pageSetup paperSize="17" scale="99"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0CFE00"/>
  </sheetPr>
  <dimension ref="A1:AW2"/>
  <sheetViews>
    <sheetView view="pageBreakPreview" zoomScale="85" zoomScaleNormal="70" zoomScaleSheetLayoutView="85" workbookViewId="0"/>
  </sheetViews>
  <sheetFormatPr baseColWidth="10" defaultColWidth="9.1640625" defaultRowHeight="12" x14ac:dyDescent="0.15"/>
  <cols>
    <col min="1" max="1" width="7.33203125" style="106" bestFit="1" customWidth="1"/>
    <col min="2" max="2" width="15.5" style="107" customWidth="1"/>
    <col min="3" max="3" width="14.5" style="107" bestFit="1" customWidth="1"/>
    <col min="4" max="4" width="9.6640625" style="107" bestFit="1" customWidth="1"/>
    <col min="5" max="5" width="6.1640625" style="106" bestFit="1" customWidth="1"/>
    <col min="6" max="6" width="10.6640625" style="107" customWidth="1"/>
    <col min="7" max="7" width="16.33203125" style="107" bestFit="1" customWidth="1"/>
    <col min="8" max="8" width="12.6640625" style="107" customWidth="1"/>
    <col min="9" max="9" width="16.33203125" style="107" customWidth="1"/>
    <col min="10" max="10" width="22" style="107" customWidth="1"/>
    <col min="11" max="11" width="14.33203125" style="107" customWidth="1"/>
    <col min="12" max="12" width="10.83203125" style="107" customWidth="1"/>
    <col min="13" max="13" width="10.5" style="107" customWidth="1"/>
    <col min="14" max="14" width="12.6640625" style="107" customWidth="1"/>
    <col min="15" max="15" width="19.6640625" style="107" customWidth="1"/>
    <col min="16" max="16" width="22.83203125" style="107" bestFit="1" customWidth="1"/>
    <col min="17" max="17" width="15" style="107" customWidth="1"/>
    <col min="18" max="18" width="10.33203125" style="107" customWidth="1"/>
    <col min="19" max="19" width="10.1640625" style="107" customWidth="1"/>
    <col min="20" max="20" width="19.6640625" style="107" customWidth="1"/>
    <col min="21" max="21" width="16.33203125" style="107" customWidth="1"/>
    <col min="22" max="22" width="6.5" style="106" bestFit="1" customWidth="1"/>
    <col min="23" max="23" width="8.5" style="106" bestFit="1" customWidth="1"/>
    <col min="24" max="24" width="7.1640625" style="106" bestFit="1" customWidth="1"/>
    <col min="25" max="25" width="10.33203125" style="106" bestFit="1" customWidth="1"/>
    <col min="26" max="26" width="14" style="107" bestFit="1" customWidth="1"/>
    <col min="27" max="27" width="13.5" style="107" customWidth="1"/>
    <col min="28" max="28" width="11.5" style="107" customWidth="1"/>
    <col min="29" max="29" width="9.83203125" style="106" bestFit="1" customWidth="1"/>
    <col min="30" max="30" width="9.6640625" style="107" customWidth="1"/>
    <col min="31" max="31" width="12.1640625" style="107" customWidth="1"/>
    <col min="32" max="32" width="10.5" style="106" customWidth="1"/>
    <col min="33" max="33" width="12" style="106" customWidth="1"/>
    <col min="34" max="34" width="12.5" style="106" customWidth="1"/>
    <col min="35" max="35" width="20.6640625" style="107" customWidth="1"/>
    <col min="36" max="36" width="14.1640625" style="107" bestFit="1" customWidth="1"/>
    <col min="37" max="37" width="8.1640625" style="106" customWidth="1"/>
    <col min="38" max="38" width="8.83203125" style="107" customWidth="1"/>
    <col min="39" max="39" width="20" style="107" customWidth="1"/>
    <col min="40" max="40" width="18.1640625" style="107" customWidth="1"/>
    <col min="41" max="41" width="18" style="107" bestFit="1" customWidth="1"/>
    <col min="42" max="42" width="15.5" style="107" bestFit="1" customWidth="1"/>
    <col min="43" max="43" width="15.5" style="107" customWidth="1"/>
    <col min="44" max="44" width="8.1640625" style="106" customWidth="1"/>
    <col min="45" max="45" width="9.33203125" style="107" customWidth="1"/>
    <col min="46" max="47" width="17.83203125" style="107" customWidth="1"/>
    <col min="48" max="48" width="7.1640625" style="106" customWidth="1"/>
    <col min="49" max="49" width="7.1640625" style="106" bestFit="1" customWidth="1"/>
    <col min="50" max="16384" width="9.1640625" style="108"/>
  </cols>
  <sheetData>
    <row r="1" spans="1:49" s="106" customFormat="1" x14ac:dyDescent="0.15">
      <c r="A1" s="106" t="str">
        <f>IF('Crash Data'!$CU19="","",'Crash Data'!$CU19)</f>
        <v/>
      </c>
      <c r="B1" s="107" t="str">
        <f>IF('Crash Data'!$O19="","",IF('Crash Data'!O19="Fatal Injury","Fatal Crash",IF('Crash Data'!O19="PDO/No Injury","PDO","Injury Crash")))</f>
        <v/>
      </c>
      <c r="C1" s="107" t="str">
        <f>IF('Crash Data'!$M19="","",'Crash Data'!$M19)</f>
        <v/>
      </c>
      <c r="D1" s="107" t="str">
        <f>IF('Crash Data'!$F19="","",'Crash Data'!$F19)</f>
        <v>19000115</v>
      </c>
      <c r="E1" s="106">
        <f>IF('Crash Data'!$K19="","",'Crash Data'!$K19)</f>
        <v>24</v>
      </c>
      <c r="F1" s="107" t="str">
        <f>IF('Crash Data'!$J19="","",'Crash Data'!$J19)</f>
        <v/>
      </c>
      <c r="G1" s="107" t="str">
        <f>IF('Crash Data'!$L19="","",'Crash Data'!$L19)</f>
        <v/>
      </c>
      <c r="H1" s="107" t="str">
        <f>IF('Crash Data'!$Q19="","",'Crash Data'!$Q19)</f>
        <v>Other / Unknown</v>
      </c>
      <c r="I1" s="107" t="str">
        <f>IF('Crash Data'!$R19="","",'Crash Data'!$R19)</f>
        <v/>
      </c>
      <c r="J1" s="107" t="str">
        <f>IF('Crash Data'!$S19="","",'Crash Data'!$S19)</f>
        <v/>
      </c>
      <c r="K1" s="107" t="str">
        <f>IF('Crash Data'!$T19="","",'Crash Data'!$T19)</f>
        <v/>
      </c>
      <c r="L1" s="107" t="str">
        <f>IF('Crash Data'!$W19="","",'Crash Data'!$W19)</f>
        <v/>
      </c>
      <c r="M1" s="107" t="str">
        <f>IF('Crash Data'!$X19="","",'Crash Data'!$X19)</f>
        <v/>
      </c>
      <c r="N1" s="107" t="str">
        <f>IF('Crash Data'!$U19="","",IF('Crash Data'!$U19="NOTHING STRUCK","",'Crash Data'!$U19))</f>
        <v/>
      </c>
      <c r="O1" s="107" t="str">
        <f>IF('Crash Data'!$AB19="","",IF('Crash Data'!$AB19="NO ALCOHOL DETECTED","",'Crash Data'!$AB19))</f>
        <v>No</v>
      </c>
      <c r="P1" s="107" t="str">
        <f>IF('Crash Data'!$AF19="","",IF('Crash Data'!$AF19="NO DRIVER ERRORS","",'Crash Data'!$AF19))</f>
        <v/>
      </c>
      <c r="Q1" s="107" t="str">
        <f>IF('Crash Data'!$AG19="","",'Crash Data'!$AG19)</f>
        <v/>
      </c>
      <c r="R1" s="107" t="str">
        <f>IF('Crash Data'!$AK19="","",'Crash Data'!$AK19)</f>
        <v/>
      </c>
      <c r="S1" s="107" t="str">
        <f>IF('Crash Data'!$AL19="","",'Crash Data'!$AL19)</f>
        <v/>
      </c>
      <c r="T1" s="107" t="str">
        <f>IF('Crash Data'!$AM19="","",IF('Crash Data'!$AM19="NO ALCOHOL DETECTED","",'Crash Data'!$AM19))</f>
        <v/>
      </c>
      <c r="U1" s="107" t="str">
        <f>IF('Crash Data'!$AR19="","",'Crash Data'!$AR19)</f>
        <v/>
      </c>
      <c r="V1" s="106">
        <f>IF('Crash Data'!$AS19="","",'Crash Data'!$AS19)</f>
        <v>76</v>
      </c>
      <c r="W1" s="106">
        <f>IF('Crash Data'!$AT19="","",'Crash Data'!$AT19)</f>
        <v>25</v>
      </c>
      <c r="X1" s="106">
        <f>IF('Crash Data'!$AU19="","",'Crash Data'!$AU19)</f>
        <v>39</v>
      </c>
      <c r="Y1" s="106">
        <f>IF('Crash Data'!$AV19="","",'Crash Data'!$AV19)</f>
        <v>80</v>
      </c>
      <c r="Z1" s="107">
        <f>IF('Crash Data'!$B19="","",'Crash Data'!$B19)</f>
        <v>2</v>
      </c>
      <c r="AA1" s="107">
        <f>IF('Crash Data'!$C19="","",'Crash Data'!$C19)</f>
        <v>34</v>
      </c>
      <c r="AB1" s="107">
        <f>IF('Crash Data'!$D19="","",'Crash Data'!$D19)</f>
        <v>7</v>
      </c>
      <c r="AC1" s="106">
        <f>IF('Crash Data'!$E19="","",'Crash Data'!$E19)</f>
        <v>10</v>
      </c>
      <c r="AD1" s="107" t="str">
        <f>IF('Crash Data'!$G19="","",'Crash Data'!$G19)</f>
        <v>616062</v>
      </c>
      <c r="AE1" s="107" t="str">
        <f>IF('Crash Data'!$H19="","",'Crash Data'!$H19)</f>
        <v>706971</v>
      </c>
      <c r="AF1" s="106" t="str">
        <f>IF('Crash Data'!$I19="","",'Crash Data'!$I19)</f>
        <v/>
      </c>
      <c r="AG1" s="106" t="str">
        <f>IF('Crash Data'!$AW19="","",'Crash Data'!$AW19)</f>
        <v/>
      </c>
      <c r="AH1" s="106">
        <f>IF('Crash Data'!$N19="","",'Crash Data'!$N19)</f>
        <v>40</v>
      </c>
      <c r="AI1" s="107" t="str">
        <f>IF('Crash Data'!$P19="","",'Crash Data'!$P19)</f>
        <v>Unknown</v>
      </c>
      <c r="AJ1" s="107" t="str">
        <f>IF('Crash Data'!$V19="","",'Crash Data'!$V19)</f>
        <v/>
      </c>
      <c r="AK1" s="106">
        <f>IF('Crash Data'!$Y19="","",'Crash Data'!$Y19)</f>
        <v>87</v>
      </c>
      <c r="AL1" s="107" t="str">
        <f>IF('Crash Data'!$Z19="","",'Crash Data'!$Z19)</f>
        <v/>
      </c>
      <c r="AM1" s="107" t="str">
        <f>IF('Crash Data'!$AA19="","",'Crash Data'!$AA19)</f>
        <v/>
      </c>
      <c r="AN1" s="107" t="str">
        <f>IF('Crash Data'!$AC19="","",IF('Crash Data'!$AC19="NO DRUGS DETECTED","",'Crash Data'!$AC19))</f>
        <v>No</v>
      </c>
      <c r="AO1" s="107">
        <f>IF('Crash Data'!$AD19="","",'Crash Data'!$AD19)</f>
        <v>114</v>
      </c>
      <c r="AP1" s="107">
        <f>IF('Crash Data'!$AE19="","",'Crash Data'!$AE19)</f>
        <v>70</v>
      </c>
      <c r="AQ1" s="107" t="str">
        <f>IF('Crash Data'!$AH19="","",'Crash Data'!$AH19)</f>
        <v/>
      </c>
      <c r="AR1" s="106">
        <f>IF('Crash Data'!$AI19="","",'Crash Data'!$AI19)</f>
        <v>115</v>
      </c>
      <c r="AS1" s="107" t="str">
        <f>IF('Crash Data'!$AJ19="","",'Crash Data'!$AJ19)</f>
        <v/>
      </c>
      <c r="AT1" s="107" t="str">
        <f>IF('Crash Data'!$AN19="","",IF('Crash Data'!$AN19="NO DRUGS DETECTED","",'Crash Data'!$AN19))</f>
        <v/>
      </c>
      <c r="AU1" s="107" t="str">
        <f>IF('Crash Data'!$AO19="","",IF('Crash Data'!$AO19="SPECIAL AREA - NOT STATED","",'Crash Data'!$AO19))</f>
        <v/>
      </c>
      <c r="AV1" s="106">
        <f>IF('Crash Data'!$BD19="","",'Crash Data'!$BD19)</f>
        <v>4</v>
      </c>
      <c r="AW1" s="106">
        <f>IF('Crash Data'!$BE19="","",'Crash Data'!$BE19)</f>
        <v>36</v>
      </c>
    </row>
    <row r="2" spans="1:49" s="113" customFormat="1" ht="24.75" customHeight="1" x14ac:dyDescent="0.15">
      <c r="A2" s="109" t="s">
        <v>276</v>
      </c>
      <c r="B2" s="110" t="s">
        <v>280</v>
      </c>
      <c r="C2" s="110" t="s">
        <v>279</v>
      </c>
      <c r="D2" s="110" t="s">
        <v>269</v>
      </c>
      <c r="E2" s="111" t="s">
        <v>277</v>
      </c>
      <c r="F2" s="109" t="s">
        <v>3</v>
      </c>
      <c r="G2" s="110" t="s">
        <v>278</v>
      </c>
      <c r="H2" s="109" t="s">
        <v>284</v>
      </c>
      <c r="I2" s="111" t="s">
        <v>126</v>
      </c>
      <c r="J2" s="110" t="s">
        <v>285</v>
      </c>
      <c r="K2" s="109" t="s">
        <v>122</v>
      </c>
      <c r="L2" s="109" t="s">
        <v>286</v>
      </c>
      <c r="M2" s="109" t="s">
        <v>287</v>
      </c>
      <c r="N2" s="109" t="s">
        <v>288</v>
      </c>
      <c r="O2" s="109" t="s">
        <v>292</v>
      </c>
      <c r="P2" s="110" t="s">
        <v>296</v>
      </c>
      <c r="Q2" s="109" t="s">
        <v>109</v>
      </c>
      <c r="R2" s="109" t="s">
        <v>299</v>
      </c>
      <c r="S2" s="109" t="s">
        <v>300</v>
      </c>
      <c r="T2" s="110" t="s">
        <v>301</v>
      </c>
      <c r="U2" s="110" t="s">
        <v>305</v>
      </c>
      <c r="V2" s="109" t="s">
        <v>306</v>
      </c>
      <c r="W2" s="109" t="s">
        <v>307</v>
      </c>
      <c r="X2" s="109" t="s">
        <v>308</v>
      </c>
      <c r="Y2" s="109" t="s">
        <v>309</v>
      </c>
      <c r="Z2" s="112" t="s">
        <v>310</v>
      </c>
      <c r="AA2" s="112" t="s">
        <v>268</v>
      </c>
      <c r="AB2" s="112" t="s">
        <v>275</v>
      </c>
      <c r="AC2" s="109" t="s">
        <v>311</v>
      </c>
      <c r="AD2" s="112" t="s">
        <v>24</v>
      </c>
      <c r="AE2" s="112" t="s">
        <v>270</v>
      </c>
      <c r="AF2" s="109" t="s">
        <v>271</v>
      </c>
      <c r="AG2" s="109" t="s">
        <v>304</v>
      </c>
      <c r="AH2" s="109" t="s">
        <v>272</v>
      </c>
      <c r="AI2" s="110" t="s">
        <v>281</v>
      </c>
      <c r="AJ2" s="110" t="s">
        <v>289</v>
      </c>
      <c r="AK2" s="109" t="s">
        <v>273</v>
      </c>
      <c r="AL2" s="110" t="s">
        <v>290</v>
      </c>
      <c r="AM2" s="110" t="s">
        <v>291</v>
      </c>
      <c r="AN2" s="110" t="s">
        <v>293</v>
      </c>
      <c r="AO2" s="110" t="s">
        <v>294</v>
      </c>
      <c r="AP2" s="110" t="s">
        <v>295</v>
      </c>
      <c r="AQ2" s="110" t="s">
        <v>297</v>
      </c>
      <c r="AR2" s="109" t="s">
        <v>274</v>
      </c>
      <c r="AS2" s="110" t="s">
        <v>298</v>
      </c>
      <c r="AT2" s="110" t="s">
        <v>302</v>
      </c>
      <c r="AU2" s="109" t="s">
        <v>303</v>
      </c>
      <c r="AV2" s="109" t="s">
        <v>283</v>
      </c>
      <c r="AW2" s="109" t="s">
        <v>282</v>
      </c>
    </row>
  </sheetData>
  <printOptions horizontalCentered="1"/>
  <pageMargins left="0.3" right="0.2" top="0.3" bottom="0.25" header="0" footer="0"/>
  <pageSetup paperSize="17" scale="65" orientation="landscape" r:id="rId1"/>
  <colBreaks count="1" manualBreakCount="1">
    <brk id="25"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indexed="43"/>
  </sheetPr>
  <dimension ref="A3:Z37"/>
  <sheetViews>
    <sheetView view="pageBreakPreview" topLeftCell="A9" zoomScale="85" zoomScaleNormal="70" zoomScaleSheetLayoutView="85" workbookViewId="0">
      <selection activeCell="A21" sqref="A21"/>
    </sheetView>
  </sheetViews>
  <sheetFormatPr baseColWidth="10" defaultColWidth="8.83203125" defaultRowHeight="16" x14ac:dyDescent="0.2"/>
  <cols>
    <col min="1" max="4" width="8.83203125" style="45" customWidth="1"/>
    <col min="5" max="5" width="20" style="45" customWidth="1"/>
    <col min="6" max="6" width="12.33203125" style="46" customWidth="1"/>
    <col min="7" max="7" width="7.5" style="45" customWidth="1"/>
    <col min="8" max="12" width="8.83203125" style="45" customWidth="1"/>
    <col min="13" max="13" width="4.33203125" style="45" customWidth="1"/>
    <col min="14" max="14" width="4" style="45" customWidth="1"/>
    <col min="15" max="16384" width="8.83203125" style="45"/>
  </cols>
  <sheetData>
    <row r="3" spans="1:26" ht="17" thickBot="1" x14ac:dyDescent="0.25"/>
    <row r="4" spans="1:26" ht="20.5" customHeight="1" thickBot="1" x14ac:dyDescent="0.25">
      <c r="B4" s="51" t="s">
        <v>187</v>
      </c>
      <c r="C4" s="695"/>
      <c r="D4" s="690"/>
      <c r="E4" s="691"/>
      <c r="P4" s="55" t="s">
        <v>199</v>
      </c>
      <c r="Q4" s="696"/>
      <c r="R4" s="697"/>
      <c r="T4" s="55" t="s">
        <v>199</v>
      </c>
      <c r="U4" s="696"/>
      <c r="V4" s="697"/>
      <c r="X4" s="55" t="s">
        <v>199</v>
      </c>
      <c r="Y4" s="696"/>
      <c r="Z4" s="697"/>
    </row>
    <row r="5" spans="1:26" ht="20.5" customHeight="1" thickBot="1" x14ac:dyDescent="0.25">
      <c r="B5" s="51" t="s">
        <v>198</v>
      </c>
      <c r="C5" s="692"/>
      <c r="D5" s="693"/>
      <c r="E5" s="694"/>
      <c r="P5" s="55" t="s">
        <v>197</v>
      </c>
      <c r="Q5" s="696"/>
      <c r="R5" s="697"/>
      <c r="T5" s="55" t="s">
        <v>197</v>
      </c>
      <c r="U5" s="696"/>
      <c r="V5" s="697"/>
      <c r="X5" s="55" t="s">
        <v>197</v>
      </c>
      <c r="Y5" s="696"/>
      <c r="Z5" s="697"/>
    </row>
    <row r="6" spans="1:26" ht="20.5" customHeight="1" thickBot="1" x14ac:dyDescent="0.25">
      <c r="B6" s="51" t="s">
        <v>196</v>
      </c>
      <c r="C6" s="695"/>
      <c r="D6" s="690"/>
      <c r="E6" s="691"/>
      <c r="G6" s="7" t="s">
        <v>1101</v>
      </c>
      <c r="P6" s="55" t="s">
        <v>195</v>
      </c>
      <c r="Q6" s="696"/>
      <c r="R6" s="697"/>
      <c r="T6" s="55" t="s">
        <v>195</v>
      </c>
      <c r="U6" s="696"/>
      <c r="V6" s="697"/>
      <c r="X6" s="55" t="s">
        <v>195</v>
      </c>
      <c r="Y6" s="696"/>
      <c r="Z6" s="697"/>
    </row>
    <row r="7" spans="1:26" ht="20.5" customHeight="1" thickBot="1" x14ac:dyDescent="0.25">
      <c r="B7" s="51" t="s">
        <v>194</v>
      </c>
      <c r="C7" s="689"/>
      <c r="D7" s="690"/>
      <c r="E7" s="691"/>
      <c r="T7" s="55" t="s">
        <v>193</v>
      </c>
      <c r="U7" s="696"/>
      <c r="V7" s="697"/>
      <c r="X7" s="55" t="s">
        <v>193</v>
      </c>
      <c r="Y7" s="696"/>
      <c r="Z7" s="697"/>
    </row>
    <row r="8" spans="1:26" ht="20.5" customHeight="1" thickBot="1" x14ac:dyDescent="0.25">
      <c r="B8" s="51" t="s">
        <v>183</v>
      </c>
      <c r="C8" s="689"/>
      <c r="D8" s="690"/>
      <c r="E8" s="691"/>
      <c r="P8" s="55" t="s">
        <v>191</v>
      </c>
      <c r="Q8" s="696">
        <f>SUM(Q4:R6)</f>
        <v>0</v>
      </c>
      <c r="R8" s="697"/>
      <c r="X8" s="55" t="s">
        <v>192</v>
      </c>
      <c r="Y8" s="696"/>
      <c r="Z8" s="697"/>
    </row>
    <row r="9" spans="1:26" ht="20.5" customHeight="1" thickBot="1" x14ac:dyDescent="0.25">
      <c r="T9" s="55" t="s">
        <v>191</v>
      </c>
      <c r="U9" s="696">
        <f>SUM(U4:V7)</f>
        <v>0</v>
      </c>
      <c r="V9" s="697"/>
    </row>
    <row r="10" spans="1:26" ht="21" customHeight="1" thickBot="1" x14ac:dyDescent="0.25">
      <c r="A10" s="19"/>
      <c r="X10" s="55" t="s">
        <v>191</v>
      </c>
      <c r="Y10" s="696">
        <f>SUM(Y4:Z8)</f>
        <v>0</v>
      </c>
      <c r="Z10" s="697"/>
    </row>
    <row r="11" spans="1:26" ht="17" thickBot="1" x14ac:dyDescent="0.25"/>
    <row r="12" spans="1:26" ht="18" customHeight="1" thickBot="1" x14ac:dyDescent="0.25">
      <c r="A12" s="19" t="s">
        <v>190</v>
      </c>
      <c r="F12" s="48"/>
    </row>
    <row r="13" spans="1:26" ht="18" customHeight="1" thickBot="1" x14ac:dyDescent="0.25">
      <c r="A13" s="19" t="s">
        <v>181</v>
      </c>
      <c r="F13" s="48"/>
    </row>
    <row r="14" spans="1:26" ht="18" customHeight="1" thickBot="1" x14ac:dyDescent="0.25">
      <c r="A14" s="19" t="s">
        <v>189</v>
      </c>
      <c r="F14" s="50"/>
    </row>
    <row r="15" spans="1:26" ht="18" customHeight="1" thickBot="1" x14ac:dyDescent="0.25">
      <c r="A15" s="19" t="s">
        <v>178</v>
      </c>
      <c r="F15" s="48">
        <v>365</v>
      </c>
    </row>
    <row r="16" spans="1:26" ht="17" thickBot="1" x14ac:dyDescent="0.2">
      <c r="F16" s="54"/>
    </row>
    <row r="17" spans="1:6" ht="24.75" customHeight="1" thickBot="1" x14ac:dyDescent="0.25">
      <c r="A17" s="19" t="s">
        <v>188</v>
      </c>
      <c r="F17" s="47" t="e">
        <f>(F12*1000000)/(F14*F13*F15)</f>
        <v>#DIV/0!</v>
      </c>
    </row>
    <row r="19" spans="1:6" s="52" customFormat="1" ht="24.75" customHeight="1" thickBot="1" x14ac:dyDescent="0.25">
      <c r="A19" s="53"/>
      <c r="F19" s="241" t="s">
        <v>855</v>
      </c>
    </row>
    <row r="20" spans="1:6" ht="17" thickTop="1" x14ac:dyDescent="0.2">
      <c r="A20" s="19"/>
    </row>
    <row r="21" spans="1:6" x14ac:dyDescent="0.2">
      <c r="A21" s="19"/>
    </row>
    <row r="22" spans="1:6" ht="17" thickBot="1" x14ac:dyDescent="0.25"/>
    <row r="23" spans="1:6" ht="19.5" customHeight="1" thickBot="1" x14ac:dyDescent="0.25">
      <c r="B23" s="51" t="s">
        <v>187</v>
      </c>
      <c r="C23" s="695"/>
      <c r="D23" s="690"/>
      <c r="E23" s="691"/>
    </row>
    <row r="24" spans="1:6" ht="19.5" customHeight="1" thickBot="1" x14ac:dyDescent="0.25">
      <c r="B24" s="51" t="s">
        <v>186</v>
      </c>
      <c r="C24" s="692"/>
      <c r="D24" s="693"/>
      <c r="E24" s="694"/>
    </row>
    <row r="25" spans="1:6" ht="19.5" customHeight="1" thickBot="1" x14ac:dyDescent="0.25">
      <c r="B25" s="51" t="s">
        <v>185</v>
      </c>
      <c r="C25" s="695"/>
      <c r="D25" s="690"/>
      <c r="E25" s="691"/>
    </row>
    <row r="26" spans="1:6" ht="19.5" customHeight="1" thickBot="1" x14ac:dyDescent="0.25">
      <c r="B26" s="51" t="s">
        <v>184</v>
      </c>
      <c r="C26" s="695"/>
      <c r="D26" s="690"/>
      <c r="E26" s="691"/>
    </row>
    <row r="27" spans="1:6" ht="19.5" customHeight="1" thickBot="1" x14ac:dyDescent="0.25">
      <c r="B27" s="51" t="s">
        <v>183</v>
      </c>
      <c r="C27" s="689"/>
      <c r="D27" s="690"/>
      <c r="E27" s="691"/>
    </row>
    <row r="29" spans="1:6" x14ac:dyDescent="0.2">
      <c r="A29" s="19"/>
    </row>
    <row r="30" spans="1:6" ht="12" customHeight="1" thickBot="1" x14ac:dyDescent="0.25">
      <c r="A30" s="19"/>
    </row>
    <row r="31" spans="1:6" ht="20.25" customHeight="1" thickBot="1" x14ac:dyDescent="0.25">
      <c r="A31" s="19" t="s">
        <v>182</v>
      </c>
      <c r="F31" s="48"/>
    </row>
    <row r="32" spans="1:6" ht="20.25" customHeight="1" thickBot="1" x14ac:dyDescent="0.25">
      <c r="A32" s="19" t="s">
        <v>181</v>
      </c>
      <c r="F32" s="48"/>
    </row>
    <row r="33" spans="1:11" ht="20.25" customHeight="1" thickBot="1" x14ac:dyDescent="0.25">
      <c r="A33" s="19" t="s">
        <v>180</v>
      </c>
      <c r="F33" s="50"/>
    </row>
    <row r="34" spans="1:11" ht="20.25" customHeight="1" thickBot="1" x14ac:dyDescent="0.25">
      <c r="A34" s="19" t="s">
        <v>179</v>
      </c>
      <c r="F34" s="49"/>
    </row>
    <row r="35" spans="1:11" ht="20.25" customHeight="1" thickBot="1" x14ac:dyDescent="0.25">
      <c r="A35" s="19" t="s">
        <v>178</v>
      </c>
      <c r="F35" s="48">
        <v>365</v>
      </c>
      <c r="I35" s="467"/>
      <c r="J35" s="468"/>
      <c r="K35" s="468"/>
    </row>
    <row r="36" spans="1:11" ht="17" thickBot="1" x14ac:dyDescent="0.25">
      <c r="I36" s="468"/>
      <c r="J36" s="468"/>
      <c r="K36" s="468"/>
    </row>
    <row r="37" spans="1:11" ht="27" customHeight="1" thickBot="1" x14ac:dyDescent="0.25">
      <c r="A37" s="19" t="s">
        <v>177</v>
      </c>
      <c r="F37" s="47" t="e">
        <f>(F31*1000000)/(F33*F35*F32*F34)</f>
        <v>#DIV/0!</v>
      </c>
      <c r="G37" s="241"/>
    </row>
  </sheetData>
  <mergeCells count="25">
    <mergeCell ref="C4:E4"/>
    <mergeCell ref="Y10:Z10"/>
    <mergeCell ref="Y8:Z8"/>
    <mergeCell ref="Y4:Z4"/>
    <mergeCell ref="Y5:Z5"/>
    <mergeCell ref="Y6:Z6"/>
    <mergeCell ref="Y7:Z7"/>
    <mergeCell ref="U4:V4"/>
    <mergeCell ref="U5:V5"/>
    <mergeCell ref="U6:V6"/>
    <mergeCell ref="U9:V9"/>
    <mergeCell ref="U7:V7"/>
    <mergeCell ref="Q4:R4"/>
    <mergeCell ref="Q5:R5"/>
    <mergeCell ref="Q6:R6"/>
    <mergeCell ref="Q8:R8"/>
    <mergeCell ref="C27:E27"/>
    <mergeCell ref="C5:E5"/>
    <mergeCell ref="C7:E7"/>
    <mergeCell ref="C6:E6"/>
    <mergeCell ref="C8:E8"/>
    <mergeCell ref="C23:E23"/>
    <mergeCell ref="C24:E24"/>
    <mergeCell ref="C25:E25"/>
    <mergeCell ref="C26:E26"/>
  </mergeCells>
  <phoneticPr fontId="44" type="noConversion"/>
  <printOptions horizontalCentered="1" verticalCentered="1"/>
  <pageMargins left="0.25" right="0.25" top="0.25" bottom="0.25" header="0" footer="0"/>
  <pageSetup orientation="landscape" horizontalDpi="200" verticalDpi="200" r:id="rId1"/>
  <headerFooter alignWithMargins="0"/>
  <rowBreaks count="1" manualBreakCount="1">
    <brk id="1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
    <tabColor indexed="54"/>
    <pageSetUpPr fitToPage="1"/>
  </sheetPr>
  <dimension ref="A1:K50"/>
  <sheetViews>
    <sheetView zoomScale="85" zoomScaleNormal="85" zoomScaleSheetLayoutView="85" workbookViewId="0">
      <selection activeCell="B7" sqref="B7"/>
    </sheetView>
  </sheetViews>
  <sheetFormatPr baseColWidth="10" defaultColWidth="22" defaultRowHeight="16" x14ac:dyDescent="0.2"/>
  <cols>
    <col min="1" max="2" width="22" style="56" customWidth="1"/>
    <col min="3" max="3" width="29.33203125" style="56" bestFit="1" customWidth="1"/>
    <col min="4" max="4" width="22" style="56" customWidth="1"/>
    <col min="5" max="5" width="28.5" style="56" customWidth="1"/>
    <col min="6" max="6" width="22.6640625" style="56" customWidth="1"/>
    <col min="7" max="7" width="24.33203125" style="56" customWidth="1"/>
    <col min="8" max="9" width="22" style="56" customWidth="1"/>
    <col min="10" max="10" width="30.1640625" style="56" hidden="1" customWidth="1"/>
    <col min="11" max="16384" width="22" style="56"/>
  </cols>
  <sheetData>
    <row r="1" spans="1:11" ht="22.5" customHeight="1" x14ac:dyDescent="0.2">
      <c r="A1" s="58" t="s">
        <v>219</v>
      </c>
      <c r="C1" s="56" t="s">
        <v>205</v>
      </c>
      <c r="H1" s="77"/>
      <c r="I1" s="77"/>
      <c r="K1" s="58"/>
    </row>
    <row r="2" spans="1:11" ht="16.5" customHeight="1" thickBot="1" x14ac:dyDescent="0.25">
      <c r="H2" s="77"/>
      <c r="I2" s="77"/>
      <c r="K2" s="58"/>
    </row>
    <row r="3" spans="1:11" ht="21" customHeight="1" thickTop="1" thickBot="1" x14ac:dyDescent="0.25">
      <c r="B3" s="80" t="s">
        <v>218</v>
      </c>
      <c r="C3" s="79">
        <f>IFERROR(C26/(A26+B26),0)</f>
        <v>52654.300519480523</v>
      </c>
      <c r="G3" s="77"/>
      <c r="H3" s="77"/>
      <c r="I3" s="77"/>
    </row>
    <row r="4" spans="1:11" ht="18" thickTop="1" thickBot="1" x14ac:dyDescent="0.25">
      <c r="C4" s="78"/>
      <c r="D4" s="698" t="s">
        <v>856</v>
      </c>
      <c r="E4" s="698"/>
      <c r="F4" s="698"/>
      <c r="G4" s="698"/>
      <c r="H4" s="698"/>
      <c r="I4" s="77"/>
    </row>
    <row r="5" spans="1:11" ht="17" thickBot="1" x14ac:dyDescent="0.25">
      <c r="A5" s="76" t="s">
        <v>217</v>
      </c>
      <c r="B5" s="76" t="s">
        <v>216</v>
      </c>
      <c r="C5" s="75" t="s">
        <v>215</v>
      </c>
      <c r="D5" s="75" t="s">
        <v>214</v>
      </c>
      <c r="E5" s="75" t="s">
        <v>176</v>
      </c>
      <c r="F5" s="74" t="s">
        <v>205</v>
      </c>
      <c r="G5" s="74" t="s">
        <v>204</v>
      </c>
      <c r="H5" s="74" t="s">
        <v>203</v>
      </c>
      <c r="I5" s="73"/>
    </row>
    <row r="6" spans="1:11" ht="18" thickTop="1" thickBot="1" x14ac:dyDescent="0.25">
      <c r="A6" s="72"/>
      <c r="B6" s="102">
        <f>IF(A$6:A$25="",COUNTIF('Full Crash Data'!G$21:G$1000000,E6),"")</f>
        <v>3</v>
      </c>
      <c r="C6" s="71">
        <f>IF(C$1=F$5,IF(A6="",B6*F6,A6*F6),IF(C$1=G$5,IF(A6="",B6*G6,A6*G6),IF(C$1=H$5,IF(A6="",B6*H6,A6*H6))))</f>
        <v>46554.06</v>
      </c>
      <c r="D6" s="70">
        <v>0</v>
      </c>
      <c r="E6" s="69" t="s">
        <v>401</v>
      </c>
      <c r="F6" s="62">
        <v>15518.02</v>
      </c>
      <c r="G6" s="62">
        <v>19221.91</v>
      </c>
      <c r="H6" s="62">
        <v>14544.32</v>
      </c>
    </row>
    <row r="7" spans="1:11" ht="17" thickBot="1" x14ac:dyDescent="0.25">
      <c r="A7" s="66"/>
      <c r="B7" s="103">
        <f>IF(A$6:A$25="",COUNTIF('Full Crash Data'!G$21:G$1000000,E7),"")</f>
        <v>14</v>
      </c>
      <c r="C7" s="65">
        <f t="shared" ref="C7:C25" si="0">IF(C$1=F$5,IF(A7="",B7*F7,A7*F7),IF(C$1=G$5,IF(A7="",B7*G7,A7*G7),IF(C$1=H$5,IF(A7="",B7*H7,A7*H7))))</f>
        <v>2062744.32</v>
      </c>
      <c r="D7" s="64">
        <v>1</v>
      </c>
      <c r="E7" s="63" t="s">
        <v>438</v>
      </c>
      <c r="F7" s="62">
        <v>147338.88</v>
      </c>
      <c r="G7" s="62">
        <v>65277.35</v>
      </c>
      <c r="H7" s="62">
        <v>121527.25</v>
      </c>
    </row>
    <row r="8" spans="1:11" ht="17" thickBot="1" x14ac:dyDescent="0.25">
      <c r="A8" s="66"/>
      <c r="B8" s="103">
        <f>IF(A$6:A$25="",COUNTIF('Full Crash Data'!G$21:G$1000000,E8),"")</f>
        <v>60</v>
      </c>
      <c r="C8" s="65">
        <f t="shared" si="0"/>
        <v>1994578.8000000003</v>
      </c>
      <c r="D8" s="64">
        <v>2</v>
      </c>
      <c r="E8" s="63" t="s">
        <v>390</v>
      </c>
      <c r="F8" s="62">
        <v>33242.980000000003</v>
      </c>
      <c r="G8" s="62">
        <v>20731.97</v>
      </c>
      <c r="H8" s="62">
        <v>25692.13</v>
      </c>
    </row>
    <row r="9" spans="1:11" ht="17" thickBot="1" x14ac:dyDescent="0.25">
      <c r="A9" s="66"/>
      <c r="B9" s="103">
        <f>IF(A$6:A$25="",COUNTIF('Full Crash Data'!G$21:G$1000000,E9),"")</f>
        <v>9</v>
      </c>
      <c r="C9" s="65">
        <f t="shared" si="0"/>
        <v>137319.38999999998</v>
      </c>
      <c r="D9" s="64">
        <v>3</v>
      </c>
      <c r="E9" s="63" t="s">
        <v>212</v>
      </c>
      <c r="F9" s="62">
        <v>15257.71</v>
      </c>
      <c r="G9" s="62">
        <v>11477.29</v>
      </c>
      <c r="H9" s="62">
        <v>13244.18</v>
      </c>
    </row>
    <row r="10" spans="1:11" ht="17" thickBot="1" x14ac:dyDescent="0.25">
      <c r="A10" s="66"/>
      <c r="B10" s="103">
        <f>IF(A$6:A$25="",COUNTIF('Full Crash Data'!G$21:G$1000000,E10),"")</f>
        <v>0</v>
      </c>
      <c r="C10" s="65">
        <f t="shared" si="0"/>
        <v>0</v>
      </c>
      <c r="D10" s="64">
        <v>4</v>
      </c>
      <c r="E10" s="63" t="s">
        <v>419</v>
      </c>
      <c r="F10" s="62">
        <v>464598.19</v>
      </c>
      <c r="G10" s="62">
        <v>88591.45</v>
      </c>
      <c r="H10" s="62">
        <v>634306.13</v>
      </c>
    </row>
    <row r="11" spans="1:11" ht="17" thickBot="1" x14ac:dyDescent="0.25">
      <c r="A11" s="66"/>
      <c r="B11" s="103">
        <f>IF(A$6:A$25="",COUNTIF('Full Crash Data'!G$21:G$1000000,E11),"")</f>
        <v>47</v>
      </c>
      <c r="C11" s="65">
        <f t="shared" si="0"/>
        <v>1384024.51</v>
      </c>
      <c r="D11" s="64">
        <v>5</v>
      </c>
      <c r="E11" s="63" t="s">
        <v>402</v>
      </c>
      <c r="F11" s="62">
        <v>29447.33</v>
      </c>
      <c r="G11" s="62">
        <v>15517.47</v>
      </c>
      <c r="H11" s="62">
        <v>19543.47</v>
      </c>
    </row>
    <row r="12" spans="1:11" ht="17" thickBot="1" x14ac:dyDescent="0.25">
      <c r="A12" s="66"/>
      <c r="B12" s="103">
        <f>IF(A$6:A$25="",COUNTIF('Full Crash Data'!G$21:G$1000000,E12),"")</f>
        <v>61</v>
      </c>
      <c r="C12" s="65">
        <f t="shared" si="0"/>
        <v>3946069.2600000002</v>
      </c>
      <c r="D12" s="64">
        <v>6</v>
      </c>
      <c r="E12" s="63" t="s">
        <v>211</v>
      </c>
      <c r="F12" s="62">
        <v>64689.66</v>
      </c>
      <c r="G12" s="62">
        <v>28416.17</v>
      </c>
      <c r="H12" s="62">
        <v>37371.360000000001</v>
      </c>
    </row>
    <row r="13" spans="1:11" ht="17" thickBot="1" x14ac:dyDescent="0.25">
      <c r="A13" s="66"/>
      <c r="B13" s="103">
        <f>IF(A$6:A$25="",COUNTIF('Full Crash Data'!G$21:G$1000000,E13),"")</f>
        <v>11</v>
      </c>
      <c r="C13" s="65">
        <f t="shared" si="0"/>
        <v>250005.91</v>
      </c>
      <c r="D13" s="64">
        <v>7</v>
      </c>
      <c r="E13" s="63" t="s">
        <v>210</v>
      </c>
      <c r="F13" s="62">
        <v>22727.81</v>
      </c>
      <c r="G13" s="62">
        <v>15219.87</v>
      </c>
      <c r="H13" s="62">
        <v>45010.27</v>
      </c>
    </row>
    <row r="14" spans="1:11" ht="17" thickBot="1" x14ac:dyDescent="0.25">
      <c r="A14" s="66"/>
      <c r="B14" s="103">
        <f>IF(A$6:A$25="",COUNTIF('Full Crash Data'!G$21:G$1000000,E14),"")</f>
        <v>5</v>
      </c>
      <c r="C14" s="65">
        <f t="shared" si="0"/>
        <v>1625809.65</v>
      </c>
      <c r="D14" s="64">
        <v>8</v>
      </c>
      <c r="E14" s="63" t="s">
        <v>209</v>
      </c>
      <c r="F14" s="62">
        <v>325161.93</v>
      </c>
      <c r="G14" s="62">
        <v>134803.69</v>
      </c>
      <c r="H14" s="62">
        <v>442345.67</v>
      </c>
      <c r="J14" s="68" t="s">
        <v>208</v>
      </c>
    </row>
    <row r="15" spans="1:11" ht="17" thickBot="1" x14ac:dyDescent="0.25">
      <c r="A15" s="66"/>
      <c r="B15" s="103">
        <f>IF(A$6:A$25="",COUNTIF('Full Crash Data'!G$21:G$1000000,E15),"")</f>
        <v>0</v>
      </c>
      <c r="C15" s="65">
        <f t="shared" si="0"/>
        <v>0</v>
      </c>
      <c r="D15" s="64">
        <v>9</v>
      </c>
      <c r="E15" s="63" t="s">
        <v>207</v>
      </c>
      <c r="F15" s="62">
        <v>12455.09</v>
      </c>
      <c r="G15" s="62">
        <v>11905.88</v>
      </c>
      <c r="H15" s="62">
        <v>13102.58</v>
      </c>
    </row>
    <row r="16" spans="1:11" ht="17" thickBot="1" x14ac:dyDescent="0.25">
      <c r="A16" s="66"/>
      <c r="B16" s="103">
        <f>IF(A$6:A$25="",COUNTIF('Full Crash Data'!G$21:G$1000000,E16),"")</f>
        <v>0</v>
      </c>
      <c r="C16" s="65">
        <f t="shared" si="0"/>
        <v>0</v>
      </c>
      <c r="D16" s="64">
        <v>10</v>
      </c>
      <c r="E16" s="63" t="s">
        <v>206</v>
      </c>
      <c r="F16" s="62">
        <v>193468.25</v>
      </c>
      <c r="G16" s="62">
        <v>140846.48000000001</v>
      </c>
      <c r="H16" s="62">
        <v>35259</v>
      </c>
      <c r="J16" s="67" t="s">
        <v>205</v>
      </c>
    </row>
    <row r="17" spans="1:10" ht="17" thickBot="1" x14ac:dyDescent="0.25">
      <c r="A17" s="66"/>
      <c r="B17" s="103">
        <f>IF(A$6:A$25="",COUNTIF('Full Crash Data'!G$21:G$1000000,E17),"")</f>
        <v>5</v>
      </c>
      <c r="C17" s="65">
        <f t="shared" si="0"/>
        <v>986851.64999999991</v>
      </c>
      <c r="D17" s="64">
        <v>11</v>
      </c>
      <c r="E17" s="63" t="s">
        <v>313</v>
      </c>
      <c r="F17" s="62">
        <v>197370.33</v>
      </c>
      <c r="G17" s="62">
        <v>75706.05</v>
      </c>
      <c r="H17" s="62">
        <v>61846.93</v>
      </c>
      <c r="J17" s="67" t="s">
        <v>204</v>
      </c>
    </row>
    <row r="18" spans="1:10" ht="17" thickBot="1" x14ac:dyDescent="0.25">
      <c r="A18" s="66"/>
      <c r="B18" s="103">
        <f>IF(A$6:A$25="",COUNTIF('Full Crash Data'!G$21:G$1000000,E18),"")</f>
        <v>0</v>
      </c>
      <c r="C18" s="65">
        <f t="shared" si="0"/>
        <v>0</v>
      </c>
      <c r="D18" s="64">
        <v>12</v>
      </c>
      <c r="E18" s="63" t="s">
        <v>497</v>
      </c>
      <c r="F18" s="62">
        <v>257549.21</v>
      </c>
      <c r="G18" s="62">
        <v>121840.17</v>
      </c>
      <c r="H18" s="62">
        <v>469682</v>
      </c>
      <c r="J18" s="67" t="s">
        <v>203</v>
      </c>
    </row>
    <row r="19" spans="1:10" ht="17" thickBot="1" x14ac:dyDescent="0.25">
      <c r="A19" s="66"/>
      <c r="B19" s="103">
        <f>IF(A$6:A$25="",COUNTIF('Full Crash Data'!G$21:G$1000000,E19),"")</f>
        <v>27</v>
      </c>
      <c r="C19" s="65">
        <f t="shared" si="0"/>
        <v>1241952.2100000002</v>
      </c>
      <c r="D19" s="64">
        <v>13</v>
      </c>
      <c r="E19" s="63" t="s">
        <v>416</v>
      </c>
      <c r="F19" s="62">
        <v>45998.23</v>
      </c>
      <c r="G19" s="62">
        <v>36910.9</v>
      </c>
      <c r="H19" s="62">
        <v>35748.53</v>
      </c>
    </row>
    <row r="20" spans="1:10" ht="17" thickBot="1" x14ac:dyDescent="0.25">
      <c r="A20" s="66"/>
      <c r="B20" s="103">
        <f>IF(A$6:A$25="",COUNTIF('Full Crash Data'!G$21:G$1000000,E20),"")</f>
        <v>1</v>
      </c>
      <c r="C20" s="65">
        <f t="shared" si="0"/>
        <v>19050.36</v>
      </c>
      <c r="D20" s="64">
        <v>14</v>
      </c>
      <c r="E20" s="63" t="s">
        <v>449</v>
      </c>
      <c r="F20" s="62">
        <v>19050.36</v>
      </c>
      <c r="G20" s="62">
        <v>18348.060000000001</v>
      </c>
      <c r="H20" s="62">
        <v>12300.35</v>
      </c>
    </row>
    <row r="21" spans="1:10" ht="17" thickBot="1" x14ac:dyDescent="0.25">
      <c r="A21" s="66"/>
      <c r="B21" s="103">
        <f>IF(A$6:A$25="",COUNTIF('Full Crash Data'!G$21:G$1000000,E21),"")</f>
        <v>0</v>
      </c>
      <c r="C21" s="65">
        <f t="shared" si="0"/>
        <v>0</v>
      </c>
      <c r="D21" s="64">
        <v>15</v>
      </c>
      <c r="E21" s="63" t="s">
        <v>498</v>
      </c>
      <c r="F21" s="62">
        <v>1818576</v>
      </c>
      <c r="G21" s="62">
        <v>1818576</v>
      </c>
      <c r="H21" s="62">
        <v>930020</v>
      </c>
    </row>
    <row r="22" spans="1:10" ht="17" thickBot="1" x14ac:dyDescent="0.25">
      <c r="A22" s="66"/>
      <c r="B22" s="103">
        <f>IF(A$6:A$25="",COUNTIF('Full Crash Data'!G$21:G$1000000,E22),"")</f>
        <v>0</v>
      </c>
      <c r="C22" s="65">
        <f t="shared" si="0"/>
        <v>0</v>
      </c>
      <c r="D22" s="64">
        <v>16</v>
      </c>
      <c r="E22" s="63" t="s">
        <v>202</v>
      </c>
      <c r="F22" s="62">
        <v>82686.44</v>
      </c>
      <c r="G22" s="62">
        <v>86712.55</v>
      </c>
      <c r="H22" s="62">
        <v>81157.03</v>
      </c>
    </row>
    <row r="23" spans="1:10" ht="17" thickBot="1" x14ac:dyDescent="0.25">
      <c r="A23" s="66"/>
      <c r="B23" s="103">
        <f>IF(A$6:A$25="",COUNTIF('Full Crash Data'!G$21:G$1000000,E23),"")</f>
        <v>3</v>
      </c>
      <c r="C23" s="65">
        <f t="shared" si="0"/>
        <v>69339.240000000005</v>
      </c>
      <c r="D23" s="64">
        <v>17</v>
      </c>
      <c r="E23" s="63" t="s">
        <v>409</v>
      </c>
      <c r="F23" s="62">
        <v>23113.08</v>
      </c>
      <c r="G23" s="62">
        <v>28373.41</v>
      </c>
      <c r="H23" s="62">
        <v>19220.36</v>
      </c>
    </row>
    <row r="24" spans="1:10" ht="17" thickBot="1" x14ac:dyDescent="0.25">
      <c r="A24" s="66"/>
      <c r="B24" s="103">
        <f>IF(A$6:A$25="",COUNTIF('Full Crash Data'!G$21:G$1000000,E24),"")</f>
        <v>51</v>
      </c>
      <c r="C24" s="65">
        <f t="shared" si="0"/>
        <v>2185359.69</v>
      </c>
      <c r="D24" s="64">
        <v>18</v>
      </c>
      <c r="E24" s="63" t="s">
        <v>230</v>
      </c>
      <c r="F24" s="62">
        <v>42850.19</v>
      </c>
      <c r="G24" s="62">
        <v>32022.57</v>
      </c>
      <c r="H24" s="62">
        <v>30427.85</v>
      </c>
    </row>
    <row r="25" spans="1:10" ht="17" thickBot="1" x14ac:dyDescent="0.25">
      <c r="A25" s="66"/>
      <c r="B25" s="103">
        <f>IF(A$6:A$25="",COUNTIF('Full Crash Data'!G$21:G$1000000,E25),"")</f>
        <v>11</v>
      </c>
      <c r="C25" s="65">
        <f t="shared" si="0"/>
        <v>267865.51</v>
      </c>
      <c r="D25" s="64">
        <v>19</v>
      </c>
      <c r="E25" s="63" t="s">
        <v>860</v>
      </c>
      <c r="F25" s="62">
        <v>24351.41</v>
      </c>
      <c r="G25" s="62">
        <v>17040.03</v>
      </c>
      <c r="H25" s="62">
        <v>21300.15</v>
      </c>
    </row>
    <row r="26" spans="1:10" ht="18" customHeight="1" x14ac:dyDescent="0.2">
      <c r="A26" s="61">
        <f>SUM(A6:A25)</f>
        <v>0</v>
      </c>
      <c r="B26" s="61">
        <f>SUM(B6:B25)</f>
        <v>308</v>
      </c>
      <c r="C26" s="60">
        <f>SUM(C6:C25)</f>
        <v>16217524.560000001</v>
      </c>
    </row>
    <row r="29" spans="1:10" ht="17" thickBot="1" x14ac:dyDescent="0.25"/>
    <row r="30" spans="1:10" ht="17" thickBot="1" x14ac:dyDescent="0.25">
      <c r="B30" s="59"/>
      <c r="C30" s="58" t="s">
        <v>201</v>
      </c>
      <c r="J30" s="57" t="s">
        <v>30</v>
      </c>
    </row>
    <row r="31" spans="1:10" x14ac:dyDescent="0.2">
      <c r="J31" s="19" t="s">
        <v>237</v>
      </c>
    </row>
    <row r="32" spans="1:10" x14ac:dyDescent="0.2">
      <c r="J32" s="19" t="s">
        <v>238</v>
      </c>
    </row>
    <row r="33" spans="10:10" x14ac:dyDescent="0.2">
      <c r="J33" s="104" t="s">
        <v>200</v>
      </c>
    </row>
    <row r="34" spans="10:10" x14ac:dyDescent="0.2">
      <c r="J34" s="19" t="s">
        <v>234</v>
      </c>
    </row>
    <row r="35" spans="10:10" x14ac:dyDescent="0.2">
      <c r="J35" s="19" t="s">
        <v>13</v>
      </c>
    </row>
    <row r="36" spans="10:10" x14ac:dyDescent="0.2">
      <c r="J36" s="19" t="s">
        <v>247</v>
      </c>
    </row>
    <row r="37" spans="10:10" x14ac:dyDescent="0.2">
      <c r="J37" s="19" t="s">
        <v>233</v>
      </c>
    </row>
    <row r="38" spans="10:10" x14ac:dyDescent="0.2">
      <c r="J38" s="19" t="s">
        <v>248</v>
      </c>
    </row>
    <row r="39" spans="10:10" x14ac:dyDescent="0.2">
      <c r="J39" s="19" t="s">
        <v>236</v>
      </c>
    </row>
    <row r="40" spans="10:10" x14ac:dyDescent="0.2">
      <c r="J40" s="19" t="s">
        <v>231</v>
      </c>
    </row>
    <row r="41" spans="10:10" x14ac:dyDescent="0.2">
      <c r="J41" s="19" t="s">
        <v>249</v>
      </c>
    </row>
    <row r="42" spans="10:10" x14ac:dyDescent="0.2">
      <c r="J42" s="19" t="s">
        <v>235</v>
      </c>
    </row>
    <row r="43" spans="10:10" x14ac:dyDescent="0.2">
      <c r="J43" s="19" t="s">
        <v>250</v>
      </c>
    </row>
    <row r="44" spans="10:10" x14ac:dyDescent="0.2">
      <c r="J44" s="19" t="s">
        <v>12</v>
      </c>
    </row>
    <row r="45" spans="10:10" x14ac:dyDescent="0.2">
      <c r="J45" s="19" t="s">
        <v>17</v>
      </c>
    </row>
    <row r="46" spans="10:10" x14ac:dyDescent="0.2">
      <c r="J46" s="19" t="s">
        <v>251</v>
      </c>
    </row>
    <row r="47" spans="10:10" x14ac:dyDescent="0.2">
      <c r="J47" s="19" t="s">
        <v>232</v>
      </c>
    </row>
    <row r="48" spans="10:10" x14ac:dyDescent="0.2">
      <c r="J48" s="19" t="s">
        <v>252</v>
      </c>
    </row>
    <row r="49" spans="10:10" x14ac:dyDescent="0.2">
      <c r="J49" s="19" t="s">
        <v>9</v>
      </c>
    </row>
    <row r="50" spans="10:10" x14ac:dyDescent="0.2">
      <c r="J50" s="19" t="s">
        <v>253</v>
      </c>
    </row>
  </sheetData>
  <sheetProtection selectLockedCells="1" selectUnlockedCells="1"/>
  <mergeCells count="1">
    <mergeCell ref="D4:H4"/>
  </mergeCells>
  <phoneticPr fontId="44" type="noConversion"/>
  <printOptions horizontalCentered="1" verticalCentered="1"/>
  <pageMargins left="0.25" right="0.25" top="0.5" bottom="0.5" header="0" footer="0"/>
  <pageSetup scale="70" orientation="landscape" horizontalDpi="200" verticalDpi="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8D5DE-8A04-4698-A2C7-897BF8FCAAFB}">
  <sheetPr codeName="Sheet38"/>
  <dimension ref="A4:AO107"/>
  <sheetViews>
    <sheetView topLeftCell="A5" workbookViewId="0">
      <selection activeCell="A22" sqref="A22:XFD70"/>
    </sheetView>
  </sheetViews>
  <sheetFormatPr baseColWidth="10" defaultColWidth="9.1640625" defaultRowHeight="15" x14ac:dyDescent="0.2"/>
  <cols>
    <col min="1" max="1" width="15.33203125" style="481" bestFit="1" customWidth="1"/>
    <col min="2" max="2" width="14.5" style="481" bestFit="1" customWidth="1"/>
    <col min="3" max="3" width="12.6640625" style="481" bestFit="1" customWidth="1"/>
    <col min="4" max="4" width="21.5" style="481" bestFit="1" customWidth="1"/>
    <col min="5" max="5" width="21.6640625" style="481" bestFit="1" customWidth="1"/>
    <col min="6" max="6" width="23.1640625" style="481" bestFit="1" customWidth="1"/>
    <col min="7" max="7" width="15.33203125" style="481" bestFit="1" customWidth="1"/>
    <col min="8" max="8" width="21.5" style="481" bestFit="1" customWidth="1"/>
    <col min="9" max="9" width="29.1640625" style="481" bestFit="1" customWidth="1"/>
    <col min="10" max="10" width="22.6640625" style="481" bestFit="1" customWidth="1"/>
    <col min="11" max="11" width="20.1640625" style="481" bestFit="1" customWidth="1"/>
    <col min="12" max="12" width="27.33203125" style="481" bestFit="1" customWidth="1"/>
    <col min="13" max="13" width="17.33203125" style="481" bestFit="1" customWidth="1"/>
    <col min="14" max="14" width="19.5" style="481" bestFit="1" customWidth="1"/>
    <col min="15" max="15" width="25.5" style="481" bestFit="1" customWidth="1"/>
    <col min="16" max="16" width="16.5" style="481" bestFit="1" customWidth="1"/>
    <col min="17" max="17" width="29.5" style="481" bestFit="1" customWidth="1"/>
    <col min="18" max="18" width="24.1640625" style="481" bestFit="1" customWidth="1"/>
    <col min="19" max="19" width="21.5" style="481" bestFit="1" customWidth="1"/>
    <col min="20" max="20" width="27.5" style="481" bestFit="1" customWidth="1"/>
    <col min="21" max="21" width="10.5" style="481" bestFit="1" customWidth="1"/>
    <col min="22" max="22" width="16.5" style="481" bestFit="1" customWidth="1"/>
    <col min="23" max="23" width="14.5" style="481" bestFit="1" customWidth="1"/>
    <col min="24" max="24" width="7.5" style="481" bestFit="1" customWidth="1"/>
    <col min="25" max="25" width="21.1640625" style="481" bestFit="1" customWidth="1"/>
    <col min="26" max="26" width="13.1640625" style="481" bestFit="1" customWidth="1"/>
    <col min="27" max="27" width="17" style="481" bestFit="1" customWidth="1"/>
    <col min="28" max="28" width="20.83203125" style="481" bestFit="1" customWidth="1"/>
    <col min="29" max="29" width="23.33203125" style="481" bestFit="1" customWidth="1"/>
    <col min="30" max="30" width="17.83203125" style="481" bestFit="1" customWidth="1"/>
    <col min="31" max="31" width="15.5" style="481" bestFit="1" customWidth="1"/>
    <col min="32" max="32" width="19" style="481" bestFit="1" customWidth="1"/>
    <col min="33" max="33" width="19.5" style="481" bestFit="1" customWidth="1"/>
    <col min="34" max="34" width="7.5" style="481" bestFit="1" customWidth="1"/>
    <col min="35" max="35" width="28.5" style="481" bestFit="1" customWidth="1"/>
    <col min="36" max="36" width="20.33203125" style="481" bestFit="1" customWidth="1"/>
    <col min="37" max="37" width="19.5" style="481" bestFit="1" customWidth="1"/>
    <col min="38" max="38" width="16.33203125" style="481" bestFit="1" customWidth="1"/>
    <col min="39" max="39" width="19.83203125" style="481" bestFit="1" customWidth="1"/>
    <col min="40" max="40" width="15.1640625" style="481" bestFit="1" customWidth="1"/>
    <col min="41" max="41" width="14.1640625" style="481" bestFit="1" customWidth="1"/>
    <col min="42" max="50" width="8.33203125" style="481" bestFit="1" customWidth="1"/>
    <col min="51" max="66" width="9.33203125" style="481" bestFit="1" customWidth="1"/>
    <col min="67" max="75" width="8.33203125" style="481" bestFit="1" customWidth="1"/>
    <col min="76" max="143" width="9.33203125" style="481" bestFit="1" customWidth="1"/>
    <col min="144" max="144" width="20.83203125" style="481" bestFit="1" customWidth="1"/>
    <col min="145" max="145" width="39.6640625" style="481" bestFit="1" customWidth="1"/>
    <col min="146" max="146" width="11.5" style="481" bestFit="1" customWidth="1"/>
    <col min="147" max="147" width="16.6640625" style="481" bestFit="1" customWidth="1"/>
    <col min="148" max="16384" width="9.1640625" style="481"/>
  </cols>
  <sheetData>
    <row r="4" spans="1:5" x14ac:dyDescent="0.2">
      <c r="A4" s="481" t="s">
        <v>6472</v>
      </c>
    </row>
    <row r="5" spans="1:5" x14ac:dyDescent="0.2">
      <c r="A5" s="481" t="s">
        <v>6473</v>
      </c>
      <c r="B5" s="481" t="s">
        <v>6474</v>
      </c>
    </row>
    <row r="6" spans="1:5" x14ac:dyDescent="0.2">
      <c r="A6" s="481" t="s">
        <v>275</v>
      </c>
      <c r="B6" s="482" t="str">
        <f>'Query-CAMTOOL'!B6</f>
        <v>SFRAUS00040**C</v>
      </c>
      <c r="D6" s="481" t="s">
        <v>6475</v>
      </c>
      <c r="E6" s="483" t="s">
        <v>6434</v>
      </c>
    </row>
    <row r="7" spans="1:5" x14ac:dyDescent="0.2">
      <c r="A7" s="481" t="s">
        <v>6476</v>
      </c>
      <c r="B7" s="482">
        <f>'Query-CAMTOOL'!B7</f>
        <v>5</v>
      </c>
      <c r="D7" s="481" t="s">
        <v>6432</v>
      </c>
      <c r="E7" s="481" t="s">
        <v>6477</v>
      </c>
    </row>
    <row r="8" spans="1:5" x14ac:dyDescent="0.2">
      <c r="A8" s="481" t="s">
        <v>6478</v>
      </c>
      <c r="B8" s="482">
        <f>'Query-CAMTOOL'!B8</f>
        <v>10</v>
      </c>
      <c r="D8" s="481" t="s">
        <v>262</v>
      </c>
      <c r="E8" s="481" t="s">
        <v>6479</v>
      </c>
    </row>
    <row r="9" spans="1:5" x14ac:dyDescent="0.2">
      <c r="A9" s="481" t="s">
        <v>6480</v>
      </c>
      <c r="B9" s="482">
        <f>'Query-CAMTOOL'!B9</f>
        <v>2015</v>
      </c>
      <c r="D9" s="481" t="s">
        <v>6434</v>
      </c>
      <c r="E9" s="481" t="str">
        <f>E7 &amp; E8</f>
        <v xml:space="preserve"> AND CRASH_TYPE_CD NOT IN (9)  AND ODPS_WORK_ZONE_IND = 'N' </v>
      </c>
    </row>
    <row r="10" spans="1:5" x14ac:dyDescent="0.2">
      <c r="A10" s="481" t="s">
        <v>6481</v>
      </c>
      <c r="B10" s="482">
        <f>'Query-CAMTOOL'!B10</f>
        <v>2019</v>
      </c>
    </row>
    <row r="11" spans="1:5" x14ac:dyDescent="0.2">
      <c r="A11" s="481" t="s">
        <v>6482</v>
      </c>
      <c r="B11" s="482" t="str">
        <f>'Query-CAMTOOL'!B11</f>
        <v>A</v>
      </c>
    </row>
    <row r="12" spans="1:5" x14ac:dyDescent="0.2">
      <c r="A12" s="481" t="s">
        <v>6483</v>
      </c>
      <c r="B12" s="482" t="str">
        <f>'Query-CAMTOOL'!B12</f>
        <v xml:space="preserve"> AND CRASH_TYPE_CD NOT IN (9) </v>
      </c>
    </row>
    <row r="20" spans="1:41" x14ac:dyDescent="0.2">
      <c r="A20" s="481" t="s">
        <v>254</v>
      </c>
      <c r="B20" s="481" t="s">
        <v>6476</v>
      </c>
      <c r="C20" s="481" t="s">
        <v>6478</v>
      </c>
      <c r="D20" s="481" t="s">
        <v>624</v>
      </c>
      <c r="E20" s="481" t="s">
        <v>6513</v>
      </c>
      <c r="F20" s="481" t="s">
        <v>6514</v>
      </c>
      <c r="G20" s="481" t="s">
        <v>6515</v>
      </c>
      <c r="H20" s="481" t="s">
        <v>629</v>
      </c>
      <c r="I20" s="481" t="s">
        <v>6516</v>
      </c>
      <c r="J20" s="481" t="s">
        <v>6517</v>
      </c>
      <c r="K20" s="481" t="s">
        <v>6518</v>
      </c>
      <c r="L20" s="481" t="s">
        <v>6519</v>
      </c>
      <c r="M20" s="481" t="s">
        <v>6520</v>
      </c>
      <c r="N20" s="481" t="s">
        <v>628</v>
      </c>
      <c r="O20" s="481" t="s">
        <v>634</v>
      </c>
      <c r="P20" s="481" t="s">
        <v>635</v>
      </c>
      <c r="Q20" s="481" t="s">
        <v>6521</v>
      </c>
      <c r="R20" s="481" t="s">
        <v>6522</v>
      </c>
      <c r="S20" s="481" t="s">
        <v>6523</v>
      </c>
      <c r="T20" s="481" t="s">
        <v>6524</v>
      </c>
      <c r="U20" s="481" t="s">
        <v>627</v>
      </c>
      <c r="V20" s="481" t="s">
        <v>631</v>
      </c>
      <c r="W20" s="481" t="s">
        <v>6525</v>
      </c>
      <c r="X20" s="481" t="s">
        <v>6526</v>
      </c>
      <c r="Y20" s="481" t="s">
        <v>6527</v>
      </c>
      <c r="Z20" s="481" t="s">
        <v>6528</v>
      </c>
      <c r="AA20" s="481" t="s">
        <v>6529</v>
      </c>
      <c r="AB20" s="481" t="s">
        <v>6530</v>
      </c>
      <c r="AC20" s="481" t="s">
        <v>633</v>
      </c>
      <c r="AD20" s="481" t="s">
        <v>6531</v>
      </c>
      <c r="AE20" s="481" t="s">
        <v>6532</v>
      </c>
      <c r="AF20" s="481" t="s">
        <v>6533</v>
      </c>
      <c r="AG20" s="481" t="s">
        <v>626</v>
      </c>
      <c r="AH20" s="481" t="s">
        <v>871</v>
      </c>
      <c r="AI20" s="481" t="s">
        <v>6534</v>
      </c>
      <c r="AJ20" s="481" t="s">
        <v>625</v>
      </c>
      <c r="AK20" s="481" t="s">
        <v>630</v>
      </c>
      <c r="AL20" s="481" t="s">
        <v>632</v>
      </c>
      <c r="AM20" s="481" t="s">
        <v>6535</v>
      </c>
      <c r="AN20" s="481" t="s">
        <v>6536</v>
      </c>
      <c r="AO20" s="481" t="s">
        <v>6537</v>
      </c>
    </row>
    <row r="21" spans="1:41" x14ac:dyDescent="0.2">
      <c r="A21" s="481" t="s">
        <v>6435</v>
      </c>
      <c r="B21" s="481">
        <v>0</v>
      </c>
      <c r="C21" s="481">
        <v>0.46</v>
      </c>
      <c r="D21" s="481">
        <v>0.46</v>
      </c>
      <c r="E21" s="481" t="s">
        <v>6538</v>
      </c>
      <c r="F21" s="481" t="s">
        <v>6538</v>
      </c>
      <c r="G21" s="481">
        <v>48</v>
      </c>
      <c r="H21" s="481">
        <v>48</v>
      </c>
      <c r="I21" s="481">
        <v>3</v>
      </c>
      <c r="J21" s="481" t="s">
        <v>6538</v>
      </c>
      <c r="K21" s="481">
        <v>24</v>
      </c>
      <c r="L21" s="481">
        <v>1</v>
      </c>
      <c r="M21" s="481" t="s">
        <v>315</v>
      </c>
      <c r="N21" s="481">
        <v>4</v>
      </c>
      <c r="O21" s="481" t="s">
        <v>6415</v>
      </c>
      <c r="P21" s="481">
        <v>3</v>
      </c>
      <c r="Q21" s="481">
        <v>3</v>
      </c>
      <c r="R21" s="481" t="s">
        <v>6538</v>
      </c>
      <c r="S21" s="481">
        <v>24</v>
      </c>
      <c r="T21" s="481">
        <v>1</v>
      </c>
      <c r="U21" s="481">
        <v>4</v>
      </c>
      <c r="V21" s="481">
        <v>12</v>
      </c>
      <c r="W21" s="481">
        <v>1</v>
      </c>
      <c r="X21" s="481" t="s">
        <v>6492</v>
      </c>
      <c r="Z21" s="481" t="s">
        <v>6437</v>
      </c>
      <c r="AA21" s="481" t="s">
        <v>6428</v>
      </c>
      <c r="AC21" s="481" t="s">
        <v>6415</v>
      </c>
      <c r="AD21" s="481">
        <v>0</v>
      </c>
      <c r="AE21" s="481" t="s">
        <v>6493</v>
      </c>
      <c r="AF21" s="481">
        <v>3</v>
      </c>
      <c r="AG21" s="481" t="s">
        <v>6538</v>
      </c>
      <c r="AJ21" s="481" t="s">
        <v>6415</v>
      </c>
      <c r="AK21" s="481" t="s">
        <v>259</v>
      </c>
      <c r="AL21" s="481">
        <v>55</v>
      </c>
      <c r="AM21" s="481">
        <v>9426</v>
      </c>
      <c r="AN21" s="481">
        <v>9616</v>
      </c>
      <c r="AO21" s="481">
        <v>2019</v>
      </c>
    </row>
    <row r="22" spans="1:41" x14ac:dyDescent="0.2">
      <c r="AN22" s="486"/>
    </row>
    <row r="23" spans="1:41" x14ac:dyDescent="0.2">
      <c r="AN23" s="486"/>
    </row>
    <row r="24" spans="1:41" x14ac:dyDescent="0.2">
      <c r="AN24" s="486"/>
    </row>
    <row r="25" spans="1:41" x14ac:dyDescent="0.2">
      <c r="AN25" s="486"/>
    </row>
    <row r="26" spans="1:41" x14ac:dyDescent="0.2">
      <c r="AN26" s="486"/>
    </row>
    <row r="27" spans="1:41" x14ac:dyDescent="0.2">
      <c r="AN27" s="486"/>
    </row>
    <row r="28" spans="1:41" x14ac:dyDescent="0.2">
      <c r="AN28" s="486"/>
    </row>
    <row r="29" spans="1:41" x14ac:dyDescent="0.2">
      <c r="AN29" s="486"/>
    </row>
    <row r="30" spans="1:41" x14ac:dyDescent="0.2">
      <c r="AN30" s="486"/>
    </row>
    <row r="31" spans="1:41" x14ac:dyDescent="0.2">
      <c r="AN31" s="486"/>
    </row>
    <row r="32" spans="1:41" x14ac:dyDescent="0.2">
      <c r="AN32" s="486"/>
    </row>
    <row r="33" spans="40:40" x14ac:dyDescent="0.2">
      <c r="AN33" s="486"/>
    </row>
    <row r="34" spans="40:40" x14ac:dyDescent="0.2">
      <c r="AN34" s="486"/>
    </row>
    <row r="35" spans="40:40" x14ac:dyDescent="0.2">
      <c r="AN35" s="486"/>
    </row>
    <row r="36" spans="40:40" x14ac:dyDescent="0.2">
      <c r="AN36" s="486"/>
    </row>
    <row r="37" spans="40:40" x14ac:dyDescent="0.2">
      <c r="AN37" s="486"/>
    </row>
    <row r="38" spans="40:40" x14ac:dyDescent="0.2">
      <c r="AN38" s="486"/>
    </row>
    <row r="39" spans="40:40" x14ac:dyDescent="0.2">
      <c r="AN39" s="486"/>
    </row>
    <row r="40" spans="40:40" x14ac:dyDescent="0.2">
      <c r="AN40" s="486"/>
    </row>
    <row r="41" spans="40:40" x14ac:dyDescent="0.2">
      <c r="AN41" s="486"/>
    </row>
    <row r="42" spans="40:40" x14ac:dyDescent="0.2">
      <c r="AN42" s="486"/>
    </row>
    <row r="43" spans="40:40" x14ac:dyDescent="0.2">
      <c r="AN43" s="486"/>
    </row>
    <row r="44" spans="40:40" x14ac:dyDescent="0.2">
      <c r="AN44" s="486"/>
    </row>
    <row r="45" spans="40:40" x14ac:dyDescent="0.2">
      <c r="AN45" s="486"/>
    </row>
    <row r="46" spans="40:40" x14ac:dyDescent="0.2">
      <c r="AN46" s="486"/>
    </row>
    <row r="47" spans="40:40" x14ac:dyDescent="0.2">
      <c r="AN47" s="486"/>
    </row>
    <row r="48" spans="40:40" x14ac:dyDescent="0.2">
      <c r="AN48" s="486"/>
    </row>
    <row r="49" spans="40:40" x14ac:dyDescent="0.2">
      <c r="AN49" s="486"/>
    </row>
    <row r="50" spans="40:40" x14ac:dyDescent="0.2">
      <c r="AN50" s="486"/>
    </row>
    <row r="51" spans="40:40" x14ac:dyDescent="0.2">
      <c r="AN51" s="486"/>
    </row>
    <row r="52" spans="40:40" x14ac:dyDescent="0.2">
      <c r="AN52" s="486"/>
    </row>
    <row r="53" spans="40:40" x14ac:dyDescent="0.2">
      <c r="AN53" s="486"/>
    </row>
    <row r="54" spans="40:40" x14ac:dyDescent="0.2">
      <c r="AN54" s="486"/>
    </row>
    <row r="55" spans="40:40" x14ac:dyDescent="0.2">
      <c r="AN55" s="486"/>
    </row>
    <row r="56" spans="40:40" x14ac:dyDescent="0.2">
      <c r="AN56" s="486"/>
    </row>
    <row r="57" spans="40:40" x14ac:dyDescent="0.2">
      <c r="AN57" s="486"/>
    </row>
    <row r="58" spans="40:40" x14ac:dyDescent="0.2">
      <c r="AN58" s="486"/>
    </row>
    <row r="59" spans="40:40" x14ac:dyDescent="0.2">
      <c r="AN59" s="486"/>
    </row>
    <row r="60" spans="40:40" x14ac:dyDescent="0.2">
      <c r="AN60" s="486"/>
    </row>
    <row r="61" spans="40:40" x14ac:dyDescent="0.2">
      <c r="AN61" s="486"/>
    </row>
    <row r="62" spans="40:40" x14ac:dyDescent="0.2">
      <c r="AN62" s="486"/>
    </row>
    <row r="63" spans="40:40" x14ac:dyDescent="0.2">
      <c r="AN63" s="486"/>
    </row>
    <row r="64" spans="40:40" x14ac:dyDescent="0.2">
      <c r="AN64" s="486"/>
    </row>
    <row r="65" spans="40:40" x14ac:dyDescent="0.2">
      <c r="AN65" s="486"/>
    </row>
    <row r="66" spans="40:40" x14ac:dyDescent="0.2">
      <c r="AN66" s="486"/>
    </row>
    <row r="67" spans="40:40" x14ac:dyDescent="0.2">
      <c r="AN67" s="486"/>
    </row>
    <row r="68" spans="40:40" x14ac:dyDescent="0.2">
      <c r="AN68" s="486"/>
    </row>
    <row r="69" spans="40:40" x14ac:dyDescent="0.2">
      <c r="AN69" s="486"/>
    </row>
    <row r="70" spans="40:40" x14ac:dyDescent="0.2">
      <c r="AN70" s="486"/>
    </row>
    <row r="71" spans="40:40" x14ac:dyDescent="0.2">
      <c r="AN71" s="486"/>
    </row>
    <row r="72" spans="40:40" x14ac:dyDescent="0.2">
      <c r="AN72" s="486"/>
    </row>
    <row r="73" spans="40:40" x14ac:dyDescent="0.2">
      <c r="AN73" s="486"/>
    </row>
    <row r="74" spans="40:40" x14ac:dyDescent="0.2">
      <c r="AN74" s="486"/>
    </row>
    <row r="75" spans="40:40" x14ac:dyDescent="0.2">
      <c r="AN75" s="486"/>
    </row>
    <row r="76" spans="40:40" x14ac:dyDescent="0.2">
      <c r="AN76" s="486"/>
    </row>
    <row r="77" spans="40:40" x14ac:dyDescent="0.2">
      <c r="AN77" s="486"/>
    </row>
    <row r="78" spans="40:40" x14ac:dyDescent="0.2">
      <c r="AN78" s="486"/>
    </row>
    <row r="79" spans="40:40" x14ac:dyDescent="0.2">
      <c r="AN79" s="486"/>
    </row>
    <row r="80" spans="40:40" x14ac:dyDescent="0.2">
      <c r="AN80" s="486"/>
    </row>
    <row r="81" spans="40:40" x14ac:dyDescent="0.2">
      <c r="AN81" s="486"/>
    </row>
    <row r="82" spans="40:40" x14ac:dyDescent="0.2">
      <c r="AN82" s="486"/>
    </row>
    <row r="83" spans="40:40" x14ac:dyDescent="0.2">
      <c r="AN83" s="486"/>
    </row>
    <row r="84" spans="40:40" x14ac:dyDescent="0.2">
      <c r="AN84" s="486"/>
    </row>
    <row r="85" spans="40:40" x14ac:dyDescent="0.2">
      <c r="AN85" s="486"/>
    </row>
    <row r="86" spans="40:40" x14ac:dyDescent="0.2">
      <c r="AN86" s="486"/>
    </row>
    <row r="87" spans="40:40" x14ac:dyDescent="0.2">
      <c r="AN87" s="486"/>
    </row>
    <row r="88" spans="40:40" x14ac:dyDescent="0.2">
      <c r="AN88" s="486"/>
    </row>
    <row r="89" spans="40:40" x14ac:dyDescent="0.2">
      <c r="AN89" s="486"/>
    </row>
    <row r="90" spans="40:40" x14ac:dyDescent="0.2">
      <c r="AN90" s="486"/>
    </row>
    <row r="91" spans="40:40" x14ac:dyDescent="0.2">
      <c r="AN91" s="486"/>
    </row>
    <row r="92" spans="40:40" x14ac:dyDescent="0.2">
      <c r="AN92" s="486"/>
    </row>
    <row r="93" spans="40:40" x14ac:dyDescent="0.2">
      <c r="AN93" s="486"/>
    </row>
    <row r="94" spans="40:40" x14ac:dyDescent="0.2">
      <c r="AN94" s="486"/>
    </row>
    <row r="95" spans="40:40" x14ac:dyDescent="0.2">
      <c r="AN95" s="486"/>
    </row>
    <row r="96" spans="40:40" x14ac:dyDescent="0.2">
      <c r="AN96" s="486"/>
    </row>
    <row r="97" spans="40:40" x14ac:dyDescent="0.2">
      <c r="AN97" s="486"/>
    </row>
    <row r="98" spans="40:40" x14ac:dyDescent="0.2">
      <c r="AN98" s="486"/>
    </row>
    <row r="99" spans="40:40" x14ac:dyDescent="0.2">
      <c r="AN99" s="486"/>
    </row>
    <row r="100" spans="40:40" x14ac:dyDescent="0.2">
      <c r="AN100" s="486"/>
    </row>
    <row r="101" spans="40:40" x14ac:dyDescent="0.2">
      <c r="AN101" s="486"/>
    </row>
    <row r="102" spans="40:40" x14ac:dyDescent="0.2">
      <c r="AN102" s="486"/>
    </row>
    <row r="103" spans="40:40" x14ac:dyDescent="0.2">
      <c r="AN103" s="486"/>
    </row>
    <row r="104" spans="40:40" x14ac:dyDescent="0.2">
      <c r="AN104" s="486"/>
    </row>
    <row r="105" spans="40:40" x14ac:dyDescent="0.2">
      <c r="AN105" s="486"/>
    </row>
    <row r="106" spans="40:40" x14ac:dyDescent="0.2">
      <c r="AN106" s="486"/>
    </row>
    <row r="107" spans="40:40" x14ac:dyDescent="0.2">
      <c r="AN107" s="486"/>
    </row>
  </sheetData>
  <pageMargins left="0.7" right="0.7" top="0.75" bottom="0.75" header="0.3" footer="0.3"/>
  <tableParts count="2">
    <tablePart r:id="rId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9438A-DB1C-4666-AEFA-AB88307F47DB}">
  <sheetPr codeName="Sheet20"/>
  <dimension ref="A1:K6767"/>
  <sheetViews>
    <sheetView zoomScaleNormal="100" workbookViewId="0">
      <selection activeCell="O23" sqref="O23"/>
    </sheetView>
  </sheetViews>
  <sheetFormatPr baseColWidth="10" defaultColWidth="9.1640625" defaultRowHeight="15" x14ac:dyDescent="0.2"/>
  <cols>
    <col min="1" max="1" width="15.83203125" style="538" bestFit="1" customWidth="1"/>
    <col min="2" max="2" width="18.5" style="538" bestFit="1" customWidth="1"/>
    <col min="3" max="3" width="15.5" style="538" bestFit="1" customWidth="1"/>
    <col min="4" max="4" width="16" style="538" bestFit="1" customWidth="1"/>
    <col min="5" max="5" width="24.1640625" style="538" bestFit="1" customWidth="1"/>
    <col min="6" max="6" width="19.6640625" style="538" bestFit="1" customWidth="1"/>
    <col min="7" max="7" width="14.5" style="538" bestFit="1" customWidth="1"/>
    <col min="8" max="16384" width="9.1640625" style="538"/>
  </cols>
  <sheetData>
    <row r="1" spans="1:11" x14ac:dyDescent="0.2">
      <c r="E1" s="538">
        <f>F1/G1</f>
        <v>37201.947229953985</v>
      </c>
      <c r="F1" s="538">
        <f>SUBTOTAL(9,F3:F72310)</f>
        <v>47794978492</v>
      </c>
      <c r="G1" s="538">
        <f>SUBTOTAL(9,G3:G72310)</f>
        <v>1284744</v>
      </c>
    </row>
    <row r="2" spans="1:11" x14ac:dyDescent="0.2">
      <c r="A2" s="538" t="s">
        <v>65</v>
      </c>
      <c r="B2" s="538" t="s">
        <v>328</v>
      </c>
      <c r="C2" s="538" t="s">
        <v>6641</v>
      </c>
      <c r="D2" s="538" t="s">
        <v>875</v>
      </c>
      <c r="E2" s="538" t="s">
        <v>321</v>
      </c>
      <c r="F2" s="538" t="s">
        <v>6642</v>
      </c>
      <c r="G2" s="538" t="s">
        <v>6643</v>
      </c>
      <c r="K2" s="538" t="s">
        <v>6675</v>
      </c>
    </row>
    <row r="3" spans="1:11" x14ac:dyDescent="0.2">
      <c r="A3" s="538">
        <v>2</v>
      </c>
      <c r="B3" s="538" t="s">
        <v>6656</v>
      </c>
      <c r="C3" s="538" t="s">
        <v>393</v>
      </c>
      <c r="D3" s="538" t="s">
        <v>393</v>
      </c>
      <c r="E3" s="538" t="s">
        <v>210</v>
      </c>
      <c r="F3" s="538">
        <v>1784108</v>
      </c>
      <c r="G3" s="538">
        <v>51</v>
      </c>
      <c r="K3" s="538" t="s">
        <v>6676</v>
      </c>
    </row>
    <row r="4" spans="1:11" x14ac:dyDescent="0.2">
      <c r="A4" s="538">
        <v>9</v>
      </c>
      <c r="B4" s="538" t="s">
        <v>6657</v>
      </c>
      <c r="C4" s="538" t="s">
        <v>393</v>
      </c>
      <c r="D4" s="538" t="s">
        <v>393</v>
      </c>
      <c r="E4" s="538" t="s">
        <v>416</v>
      </c>
      <c r="F4" s="538">
        <v>41092749</v>
      </c>
      <c r="G4" s="538">
        <v>843</v>
      </c>
      <c r="K4" s="538" t="s">
        <v>6677</v>
      </c>
    </row>
    <row r="5" spans="1:11" x14ac:dyDescent="0.2">
      <c r="A5" s="538">
        <v>6</v>
      </c>
      <c r="B5" s="538" t="s">
        <v>6429</v>
      </c>
      <c r="C5" s="538" t="s">
        <v>740</v>
      </c>
      <c r="D5" s="538" t="s">
        <v>740</v>
      </c>
      <c r="E5" s="538" t="s">
        <v>210</v>
      </c>
      <c r="F5" s="538">
        <v>74163</v>
      </c>
      <c r="G5" s="538">
        <v>1</v>
      </c>
      <c r="K5" s="538" t="s">
        <v>6678</v>
      </c>
    </row>
    <row r="6" spans="1:11" x14ac:dyDescent="0.2">
      <c r="A6" s="538">
        <v>3</v>
      </c>
      <c r="B6" s="538" t="s">
        <v>6603</v>
      </c>
      <c r="C6" s="538" t="s">
        <v>740</v>
      </c>
      <c r="D6" s="538" t="s">
        <v>393</v>
      </c>
      <c r="E6" s="538" t="s">
        <v>207</v>
      </c>
      <c r="F6" s="538">
        <v>79296</v>
      </c>
      <c r="G6" s="538">
        <v>7</v>
      </c>
    </row>
    <row r="7" spans="1:11" x14ac:dyDescent="0.2">
      <c r="A7" s="538">
        <v>11</v>
      </c>
      <c r="B7" s="538" t="s">
        <v>6610</v>
      </c>
      <c r="C7" s="538" t="s">
        <v>740</v>
      </c>
      <c r="D7" s="538" t="s">
        <v>740</v>
      </c>
      <c r="E7" s="538" t="s">
        <v>438</v>
      </c>
      <c r="F7" s="538">
        <v>1112341</v>
      </c>
      <c r="G7" s="538">
        <v>7</v>
      </c>
      <c r="K7" s="538" t="s">
        <v>6679</v>
      </c>
    </row>
    <row r="8" spans="1:11" x14ac:dyDescent="0.2">
      <c r="A8" s="538">
        <v>6</v>
      </c>
      <c r="B8" s="538" t="s">
        <v>6596</v>
      </c>
      <c r="C8" s="538" t="s">
        <v>393</v>
      </c>
      <c r="D8" s="538" t="s">
        <v>393</v>
      </c>
      <c r="E8" s="538" t="s">
        <v>313</v>
      </c>
      <c r="F8" s="538">
        <v>346920</v>
      </c>
      <c r="G8" s="538">
        <v>5</v>
      </c>
      <c r="K8" s="538" t="s">
        <v>6680</v>
      </c>
    </row>
    <row r="9" spans="1:11" x14ac:dyDescent="0.2">
      <c r="A9" s="538">
        <v>1</v>
      </c>
      <c r="B9" s="538" t="s">
        <v>6609</v>
      </c>
      <c r="C9" s="538" t="s">
        <v>740</v>
      </c>
      <c r="D9" s="538" t="s">
        <v>393</v>
      </c>
      <c r="E9" s="538" t="s">
        <v>230</v>
      </c>
      <c r="F9" s="538">
        <v>4174035</v>
      </c>
      <c r="G9" s="538">
        <v>105</v>
      </c>
    </row>
    <row r="10" spans="1:11" x14ac:dyDescent="0.2">
      <c r="A10" s="538">
        <v>10</v>
      </c>
      <c r="B10" s="538" t="s">
        <v>6587</v>
      </c>
      <c r="C10" s="538" t="s">
        <v>393</v>
      </c>
      <c r="D10" s="538" t="s">
        <v>393</v>
      </c>
      <c r="E10" s="538" t="s">
        <v>449</v>
      </c>
      <c r="F10" s="538">
        <v>666353</v>
      </c>
      <c r="G10" s="538">
        <v>16</v>
      </c>
      <c r="K10" s="538" t="s">
        <v>6722</v>
      </c>
    </row>
    <row r="11" spans="1:11" x14ac:dyDescent="0.2">
      <c r="A11" s="538">
        <v>4</v>
      </c>
      <c r="B11" s="538" t="s">
        <v>6562</v>
      </c>
      <c r="C11" s="538" t="s">
        <v>740</v>
      </c>
      <c r="D11" s="538" t="s">
        <v>393</v>
      </c>
      <c r="E11" s="538" t="s">
        <v>860</v>
      </c>
      <c r="F11" s="538">
        <v>1861686</v>
      </c>
      <c r="G11" s="538">
        <v>107</v>
      </c>
      <c r="K11" s="538" t="s">
        <v>6724</v>
      </c>
    </row>
    <row r="12" spans="1:11" x14ac:dyDescent="0.2">
      <c r="A12" s="538">
        <v>8</v>
      </c>
      <c r="B12" s="538" t="s">
        <v>6648</v>
      </c>
      <c r="C12" s="538" t="s">
        <v>740</v>
      </c>
      <c r="D12" s="538" t="s">
        <v>393</v>
      </c>
      <c r="E12" s="538" t="s">
        <v>212</v>
      </c>
      <c r="F12" s="538">
        <v>695964</v>
      </c>
      <c r="G12" s="538">
        <v>58</v>
      </c>
      <c r="K12" s="538" t="s">
        <v>6723</v>
      </c>
    </row>
    <row r="13" spans="1:11" x14ac:dyDescent="0.2">
      <c r="A13" s="538">
        <v>3</v>
      </c>
      <c r="B13" s="538" t="s">
        <v>1390</v>
      </c>
      <c r="C13" s="538" t="s">
        <v>740</v>
      </c>
      <c r="D13" s="538" t="s">
        <v>740</v>
      </c>
      <c r="E13" s="538" t="s">
        <v>402</v>
      </c>
      <c r="F13" s="538">
        <v>33984</v>
      </c>
      <c r="G13" s="538">
        <v>3</v>
      </c>
      <c r="K13" s="538" t="s">
        <v>6681</v>
      </c>
    </row>
    <row r="14" spans="1:11" x14ac:dyDescent="0.2">
      <c r="A14" s="538">
        <v>7</v>
      </c>
      <c r="B14" s="538" t="s">
        <v>6661</v>
      </c>
      <c r="C14" s="538" t="s">
        <v>740</v>
      </c>
      <c r="D14" s="538" t="s">
        <v>393</v>
      </c>
      <c r="E14" s="538" t="s">
        <v>390</v>
      </c>
      <c r="F14" s="538">
        <v>2524624</v>
      </c>
      <c r="G14" s="538">
        <v>73</v>
      </c>
    </row>
    <row r="15" spans="1:11" x14ac:dyDescent="0.2">
      <c r="A15" s="538">
        <v>6</v>
      </c>
      <c r="B15" s="538" t="s">
        <v>6565</v>
      </c>
      <c r="C15" s="538" t="s">
        <v>740</v>
      </c>
      <c r="D15" s="538" t="s">
        <v>740</v>
      </c>
      <c r="E15" s="538" t="s">
        <v>202</v>
      </c>
      <c r="F15" s="538">
        <v>209922</v>
      </c>
      <c r="G15" s="538">
        <v>4</v>
      </c>
      <c r="K15" s="538" t="s">
        <v>6682</v>
      </c>
    </row>
    <row r="16" spans="1:11" x14ac:dyDescent="0.2">
      <c r="A16" s="538">
        <v>4</v>
      </c>
      <c r="B16" s="538" t="s">
        <v>6562</v>
      </c>
      <c r="C16" s="538" t="s">
        <v>393</v>
      </c>
      <c r="D16" s="538" t="s">
        <v>740</v>
      </c>
      <c r="E16" s="538" t="s">
        <v>202</v>
      </c>
      <c r="F16" s="538">
        <v>1396426</v>
      </c>
      <c r="G16" s="538">
        <v>12</v>
      </c>
      <c r="K16" s="538" t="s">
        <v>6683</v>
      </c>
    </row>
    <row r="17" spans="1:11" x14ac:dyDescent="0.2">
      <c r="A17" s="538">
        <v>2</v>
      </c>
      <c r="B17" s="538" t="s">
        <v>6654</v>
      </c>
      <c r="C17" s="538" t="s">
        <v>740</v>
      </c>
      <c r="D17" s="538" t="s">
        <v>740</v>
      </c>
      <c r="E17" s="538" t="s">
        <v>390</v>
      </c>
      <c r="F17" s="538">
        <v>1104959</v>
      </c>
      <c r="G17" s="538">
        <v>18</v>
      </c>
      <c r="K17" s="538" t="s">
        <v>6684</v>
      </c>
    </row>
    <row r="18" spans="1:11" x14ac:dyDescent="0.2">
      <c r="A18" s="538">
        <v>6</v>
      </c>
      <c r="B18" s="538" t="s">
        <v>6565</v>
      </c>
      <c r="C18" s="538" t="s">
        <v>740</v>
      </c>
      <c r="D18" s="538" t="s">
        <v>393</v>
      </c>
      <c r="E18" s="538" t="s">
        <v>313</v>
      </c>
      <c r="F18" s="538">
        <v>431172</v>
      </c>
      <c r="G18" s="538">
        <v>9</v>
      </c>
      <c r="K18" s="538" t="s">
        <v>6685</v>
      </c>
    </row>
    <row r="19" spans="1:11" x14ac:dyDescent="0.2">
      <c r="A19" s="538">
        <v>11</v>
      </c>
      <c r="B19" s="538" t="s">
        <v>6592</v>
      </c>
      <c r="C19" s="538" t="s">
        <v>393</v>
      </c>
      <c r="D19" s="538" t="s">
        <v>393</v>
      </c>
      <c r="E19" s="538" t="s">
        <v>390</v>
      </c>
      <c r="F19" s="538">
        <v>2107362</v>
      </c>
      <c r="G19" s="538">
        <v>74</v>
      </c>
      <c r="K19" s="538" t="s">
        <v>6686</v>
      </c>
    </row>
    <row r="20" spans="1:11" x14ac:dyDescent="0.2">
      <c r="A20" s="538">
        <v>10</v>
      </c>
      <c r="B20" s="538" t="s">
        <v>6582</v>
      </c>
      <c r="C20" s="538" t="s">
        <v>393</v>
      </c>
      <c r="D20" s="538" t="s">
        <v>393</v>
      </c>
      <c r="E20" s="538" t="s">
        <v>207</v>
      </c>
      <c r="F20" s="538">
        <v>6350906</v>
      </c>
      <c r="G20" s="538">
        <v>262</v>
      </c>
      <c r="K20" s="538" t="s">
        <v>6687</v>
      </c>
    </row>
    <row r="21" spans="1:11" x14ac:dyDescent="0.2">
      <c r="A21" s="538">
        <v>7</v>
      </c>
      <c r="B21" s="538" t="s">
        <v>6604</v>
      </c>
      <c r="C21" s="538" t="s">
        <v>740</v>
      </c>
      <c r="D21" s="538" t="s">
        <v>393</v>
      </c>
      <c r="E21" s="538" t="s">
        <v>416</v>
      </c>
      <c r="F21" s="538">
        <v>2884642</v>
      </c>
      <c r="G21" s="538">
        <v>104</v>
      </c>
      <c r="K21" s="538" t="s">
        <v>6688</v>
      </c>
    </row>
    <row r="22" spans="1:11" x14ac:dyDescent="0.2">
      <c r="A22" s="538">
        <v>2</v>
      </c>
      <c r="B22" s="538" t="s">
        <v>6662</v>
      </c>
      <c r="C22" s="538" t="s">
        <v>393</v>
      </c>
      <c r="D22" s="538" t="s">
        <v>393</v>
      </c>
      <c r="E22" s="538" t="s">
        <v>313</v>
      </c>
      <c r="F22" s="538">
        <v>358248</v>
      </c>
      <c r="G22" s="538">
        <v>6</v>
      </c>
    </row>
    <row r="23" spans="1:11" x14ac:dyDescent="0.2">
      <c r="A23" s="538">
        <v>7</v>
      </c>
      <c r="B23" s="538" t="s">
        <v>6571</v>
      </c>
      <c r="C23" s="538" t="s">
        <v>740</v>
      </c>
      <c r="D23" s="538" t="s">
        <v>393</v>
      </c>
      <c r="E23" s="538" t="s">
        <v>230</v>
      </c>
      <c r="F23" s="538">
        <v>204966</v>
      </c>
      <c r="G23" s="538">
        <v>7</v>
      </c>
      <c r="K23" s="538" t="s">
        <v>6689</v>
      </c>
    </row>
    <row r="24" spans="1:11" x14ac:dyDescent="0.2">
      <c r="A24" s="538">
        <v>10</v>
      </c>
      <c r="B24" s="538" t="s">
        <v>6600</v>
      </c>
      <c r="C24" s="538" t="s">
        <v>740</v>
      </c>
      <c r="D24" s="538" t="s">
        <v>393</v>
      </c>
      <c r="E24" s="538" t="s">
        <v>202</v>
      </c>
      <c r="F24" s="538">
        <v>838397</v>
      </c>
      <c r="G24" s="538">
        <v>9</v>
      </c>
      <c r="K24" s="538" t="s">
        <v>6690</v>
      </c>
    </row>
    <row r="25" spans="1:11" x14ac:dyDescent="0.2">
      <c r="A25" s="538">
        <v>9</v>
      </c>
      <c r="B25" s="538" t="s">
        <v>6615</v>
      </c>
      <c r="C25" s="538" t="s">
        <v>740</v>
      </c>
      <c r="D25" s="538" t="s">
        <v>740</v>
      </c>
      <c r="E25" s="538" t="s">
        <v>390</v>
      </c>
      <c r="F25" s="538">
        <v>5853869</v>
      </c>
      <c r="G25" s="538">
        <v>178</v>
      </c>
    </row>
    <row r="26" spans="1:11" x14ac:dyDescent="0.2">
      <c r="A26" s="538">
        <v>3</v>
      </c>
      <c r="B26" s="538" t="s">
        <v>6603</v>
      </c>
      <c r="C26" s="538" t="s">
        <v>740</v>
      </c>
      <c r="D26" s="538" t="s">
        <v>393</v>
      </c>
      <c r="E26" s="538" t="s">
        <v>416</v>
      </c>
      <c r="F26" s="538">
        <v>2015041</v>
      </c>
      <c r="G26" s="538">
        <v>32</v>
      </c>
      <c r="K26" s="538" t="s">
        <v>6691</v>
      </c>
    </row>
    <row r="27" spans="1:11" x14ac:dyDescent="0.2">
      <c r="A27" s="538">
        <v>1</v>
      </c>
      <c r="B27" s="538" t="s">
        <v>1288</v>
      </c>
      <c r="C27" s="538" t="s">
        <v>740</v>
      </c>
      <c r="D27" s="538" t="s">
        <v>393</v>
      </c>
      <c r="E27" s="538" t="s">
        <v>416</v>
      </c>
      <c r="F27" s="538">
        <v>1047257</v>
      </c>
      <c r="G27" s="538">
        <v>24</v>
      </c>
      <c r="K27" s="538" t="s">
        <v>6692</v>
      </c>
    </row>
    <row r="28" spans="1:11" x14ac:dyDescent="0.2">
      <c r="A28" s="538">
        <v>8</v>
      </c>
      <c r="B28" s="538" t="s">
        <v>6570</v>
      </c>
      <c r="C28" s="538" t="s">
        <v>740</v>
      </c>
      <c r="D28" s="538" t="s">
        <v>393</v>
      </c>
      <c r="E28" s="538" t="s">
        <v>401</v>
      </c>
      <c r="F28" s="538">
        <v>118236</v>
      </c>
      <c r="G28" s="538">
        <v>7</v>
      </c>
      <c r="K28" s="538" t="s">
        <v>6693</v>
      </c>
    </row>
    <row r="29" spans="1:11" x14ac:dyDescent="0.2">
      <c r="A29" s="538">
        <v>2</v>
      </c>
      <c r="B29" s="538" t="s">
        <v>6055</v>
      </c>
      <c r="C29" s="538" t="s">
        <v>740</v>
      </c>
      <c r="D29" s="538" t="s">
        <v>393</v>
      </c>
      <c r="E29" s="538" t="s">
        <v>449</v>
      </c>
      <c r="F29" s="538">
        <v>108147</v>
      </c>
      <c r="G29" s="538">
        <v>4</v>
      </c>
      <c r="K29" s="538" t="s">
        <v>6694</v>
      </c>
    </row>
    <row r="30" spans="1:11" x14ac:dyDescent="0.2">
      <c r="A30" s="538">
        <v>4</v>
      </c>
      <c r="B30" s="538" t="s">
        <v>6559</v>
      </c>
      <c r="C30" s="538" t="s">
        <v>740</v>
      </c>
      <c r="D30" s="538" t="s">
        <v>393</v>
      </c>
      <c r="E30" s="538" t="s">
        <v>390</v>
      </c>
      <c r="F30" s="538">
        <v>263431759</v>
      </c>
      <c r="G30" s="538">
        <v>11288</v>
      </c>
      <c r="K30" s="538" t="s">
        <v>6695</v>
      </c>
    </row>
    <row r="31" spans="1:11" x14ac:dyDescent="0.2">
      <c r="A31" s="538">
        <v>5</v>
      </c>
      <c r="B31" s="538" t="s">
        <v>6650</v>
      </c>
      <c r="C31" s="538" t="s">
        <v>740</v>
      </c>
      <c r="D31" s="538" t="s">
        <v>393</v>
      </c>
      <c r="E31" s="538" t="s">
        <v>402</v>
      </c>
      <c r="F31" s="538">
        <v>22656</v>
      </c>
      <c r="G31" s="538">
        <v>2</v>
      </c>
      <c r="K31" s="538" t="s">
        <v>6696</v>
      </c>
    </row>
    <row r="32" spans="1:11" x14ac:dyDescent="0.2">
      <c r="A32" s="538">
        <v>2</v>
      </c>
      <c r="B32" s="538" t="s">
        <v>6573</v>
      </c>
      <c r="C32" s="538" t="s">
        <v>740</v>
      </c>
      <c r="D32" s="538" t="s">
        <v>740</v>
      </c>
      <c r="E32" s="538" t="s">
        <v>860</v>
      </c>
      <c r="F32" s="538">
        <v>33984</v>
      </c>
      <c r="G32" s="538">
        <v>3</v>
      </c>
      <c r="K32" s="538" t="s">
        <v>6697</v>
      </c>
    </row>
    <row r="33" spans="1:11" x14ac:dyDescent="0.2">
      <c r="A33" s="538">
        <v>2</v>
      </c>
      <c r="B33" s="538" t="s">
        <v>6656</v>
      </c>
      <c r="C33" s="538" t="s">
        <v>740</v>
      </c>
      <c r="D33" s="538" t="s">
        <v>393</v>
      </c>
      <c r="E33" s="538" t="s">
        <v>449</v>
      </c>
      <c r="F33" s="538">
        <v>33984</v>
      </c>
      <c r="G33" s="538">
        <v>3</v>
      </c>
      <c r="K33" s="538" t="s">
        <v>6698</v>
      </c>
    </row>
    <row r="34" spans="1:11" x14ac:dyDescent="0.2">
      <c r="A34" s="538">
        <v>10</v>
      </c>
      <c r="B34" s="538" t="s">
        <v>6611</v>
      </c>
      <c r="C34" s="538" t="s">
        <v>740</v>
      </c>
      <c r="D34" s="538" t="s">
        <v>393</v>
      </c>
      <c r="E34" s="538" t="s">
        <v>409</v>
      </c>
      <c r="F34" s="538">
        <v>72924</v>
      </c>
      <c r="G34" s="538">
        <v>3</v>
      </c>
      <c r="K34" s="538" t="s">
        <v>6699</v>
      </c>
    </row>
    <row r="35" spans="1:11" x14ac:dyDescent="0.2">
      <c r="A35" s="538">
        <v>7</v>
      </c>
      <c r="B35" s="538" t="s">
        <v>6588</v>
      </c>
      <c r="C35" s="538" t="s">
        <v>740</v>
      </c>
      <c r="D35" s="538" t="s">
        <v>393</v>
      </c>
      <c r="E35" s="538" t="s">
        <v>209</v>
      </c>
      <c r="F35" s="538">
        <v>2507351</v>
      </c>
      <c r="G35" s="538">
        <v>12</v>
      </c>
      <c r="K35" s="538" t="s">
        <v>6700</v>
      </c>
    </row>
    <row r="36" spans="1:11" x14ac:dyDescent="0.2">
      <c r="A36" s="538">
        <v>10</v>
      </c>
      <c r="B36" s="538" t="s">
        <v>6582</v>
      </c>
      <c r="C36" s="538" t="s">
        <v>740</v>
      </c>
      <c r="D36" s="538" t="s">
        <v>393</v>
      </c>
      <c r="E36" s="538" t="s">
        <v>211</v>
      </c>
      <c r="F36" s="538">
        <v>22656</v>
      </c>
      <c r="G36" s="538">
        <v>2</v>
      </c>
      <c r="K36" s="538" t="s">
        <v>6701</v>
      </c>
    </row>
    <row r="37" spans="1:11" x14ac:dyDescent="0.2">
      <c r="A37" s="538">
        <v>1</v>
      </c>
      <c r="B37" s="538" t="s">
        <v>6602</v>
      </c>
      <c r="C37" s="538" t="s">
        <v>740</v>
      </c>
      <c r="D37" s="538" t="s">
        <v>740</v>
      </c>
      <c r="E37" s="538" t="s">
        <v>449</v>
      </c>
      <c r="F37" s="538">
        <v>425331</v>
      </c>
      <c r="G37" s="538">
        <v>32</v>
      </c>
      <c r="K37" s="538" t="s">
        <v>6702</v>
      </c>
    </row>
    <row r="38" spans="1:11" x14ac:dyDescent="0.2">
      <c r="A38" s="538">
        <v>8</v>
      </c>
      <c r="B38" s="538" t="s">
        <v>6570</v>
      </c>
      <c r="C38" s="538" t="s">
        <v>740</v>
      </c>
      <c r="D38" s="538" t="s">
        <v>740</v>
      </c>
      <c r="E38" s="538" t="s">
        <v>209</v>
      </c>
      <c r="F38" s="538">
        <v>546701</v>
      </c>
      <c r="G38" s="538">
        <v>2</v>
      </c>
      <c r="K38" s="538" t="s">
        <v>6703</v>
      </c>
    </row>
    <row r="39" spans="1:11" x14ac:dyDescent="0.2">
      <c r="A39" s="538">
        <v>3</v>
      </c>
      <c r="B39" s="538" t="s">
        <v>6647</v>
      </c>
      <c r="C39" s="538" t="s">
        <v>393</v>
      </c>
      <c r="D39" s="538" t="s">
        <v>393</v>
      </c>
      <c r="E39" s="538" t="s">
        <v>212</v>
      </c>
      <c r="F39" s="538">
        <v>945482</v>
      </c>
      <c r="G39" s="538">
        <v>24</v>
      </c>
      <c r="K39" s="538" t="s">
        <v>6704</v>
      </c>
    </row>
    <row r="40" spans="1:11" x14ac:dyDescent="0.2">
      <c r="A40" s="538">
        <v>12</v>
      </c>
      <c r="B40" s="538" t="s">
        <v>6563</v>
      </c>
      <c r="C40" s="538" t="s">
        <v>740</v>
      </c>
      <c r="D40" s="538" t="s">
        <v>740</v>
      </c>
      <c r="E40" s="538" t="s">
        <v>409</v>
      </c>
      <c r="F40" s="538">
        <v>17507425</v>
      </c>
      <c r="G40" s="538">
        <v>400</v>
      </c>
      <c r="K40" s="538" t="s">
        <v>6705</v>
      </c>
    </row>
    <row r="41" spans="1:11" x14ac:dyDescent="0.2">
      <c r="A41" s="538">
        <v>4</v>
      </c>
      <c r="B41" s="538" t="s">
        <v>6593</v>
      </c>
      <c r="C41" s="538" t="s">
        <v>393</v>
      </c>
      <c r="D41" s="538" t="s">
        <v>393</v>
      </c>
      <c r="E41" s="538" t="s">
        <v>211</v>
      </c>
      <c r="F41" s="538">
        <v>24891501</v>
      </c>
      <c r="G41" s="538">
        <v>372</v>
      </c>
      <c r="K41" s="538" t="s">
        <v>6706</v>
      </c>
    </row>
    <row r="42" spans="1:11" x14ac:dyDescent="0.2">
      <c r="A42" s="538">
        <v>10</v>
      </c>
      <c r="B42" s="538" t="s">
        <v>6653</v>
      </c>
      <c r="C42" s="538" t="s">
        <v>393</v>
      </c>
      <c r="D42" s="538" t="s">
        <v>393</v>
      </c>
      <c r="E42" s="538" t="s">
        <v>209</v>
      </c>
      <c r="F42" s="538">
        <v>1500627</v>
      </c>
      <c r="G42" s="538">
        <v>4</v>
      </c>
      <c r="K42" s="538" t="s">
        <v>6707</v>
      </c>
    </row>
    <row r="43" spans="1:11" x14ac:dyDescent="0.2">
      <c r="A43" s="538">
        <v>9</v>
      </c>
      <c r="B43" s="538" t="s">
        <v>6657</v>
      </c>
      <c r="C43" s="538" t="s">
        <v>740</v>
      </c>
      <c r="D43" s="538" t="s">
        <v>393</v>
      </c>
      <c r="E43" s="538" t="s">
        <v>401</v>
      </c>
      <c r="F43" s="538">
        <v>210099</v>
      </c>
      <c r="G43" s="538">
        <v>13</v>
      </c>
      <c r="K43" s="538" t="s">
        <v>6708</v>
      </c>
    </row>
    <row r="44" spans="1:11" x14ac:dyDescent="0.2">
      <c r="A44" s="538">
        <v>1</v>
      </c>
      <c r="B44" s="538" t="s">
        <v>6602</v>
      </c>
      <c r="C44" s="538" t="s">
        <v>393</v>
      </c>
      <c r="D44" s="538" t="s">
        <v>740</v>
      </c>
      <c r="E44" s="538" t="s">
        <v>390</v>
      </c>
      <c r="F44" s="538">
        <v>2832021</v>
      </c>
      <c r="G44" s="538">
        <v>42</v>
      </c>
      <c r="K44" s="538" t="s">
        <v>6709</v>
      </c>
    </row>
    <row r="45" spans="1:11" x14ac:dyDescent="0.2">
      <c r="A45" s="538">
        <v>9</v>
      </c>
      <c r="B45" s="538" t="s">
        <v>6657</v>
      </c>
      <c r="C45" s="538" t="s">
        <v>393</v>
      </c>
      <c r="D45" s="538" t="s">
        <v>393</v>
      </c>
      <c r="E45" s="538" t="s">
        <v>390</v>
      </c>
      <c r="F45" s="538">
        <v>6765461</v>
      </c>
      <c r="G45" s="538">
        <v>112</v>
      </c>
      <c r="K45" s="538" t="s">
        <v>6710</v>
      </c>
    </row>
    <row r="46" spans="1:11" x14ac:dyDescent="0.2">
      <c r="A46" s="538">
        <v>4</v>
      </c>
      <c r="B46" s="538" t="s">
        <v>6562</v>
      </c>
      <c r="C46" s="538" t="s">
        <v>393</v>
      </c>
      <c r="D46" s="538" t="s">
        <v>393</v>
      </c>
      <c r="E46" s="538" t="s">
        <v>860</v>
      </c>
      <c r="F46" s="538">
        <v>2171332</v>
      </c>
      <c r="G46" s="538">
        <v>59</v>
      </c>
    </row>
    <row r="47" spans="1:11" x14ac:dyDescent="0.2">
      <c r="A47" s="538">
        <v>3</v>
      </c>
      <c r="B47" s="538" t="s">
        <v>1390</v>
      </c>
      <c r="C47" s="538" t="s">
        <v>393</v>
      </c>
      <c r="D47" s="538" t="s">
        <v>740</v>
      </c>
      <c r="E47" s="538" t="s">
        <v>207</v>
      </c>
      <c r="F47" s="538">
        <v>1169793</v>
      </c>
      <c r="G47" s="538">
        <v>61</v>
      </c>
      <c r="K47" s="538" t="s">
        <v>6918</v>
      </c>
    </row>
    <row r="48" spans="1:11" x14ac:dyDescent="0.2">
      <c r="A48" s="538">
        <v>11</v>
      </c>
      <c r="B48" s="538" t="s">
        <v>6584</v>
      </c>
      <c r="C48" s="538" t="s">
        <v>740</v>
      </c>
      <c r="D48" s="538" t="s">
        <v>740</v>
      </c>
      <c r="E48" s="538" t="s">
        <v>210</v>
      </c>
      <c r="F48" s="538">
        <v>72924</v>
      </c>
      <c r="G48" s="538">
        <v>3</v>
      </c>
      <c r="K48" s="538" t="s">
        <v>6919</v>
      </c>
    </row>
    <row r="49" spans="1:11" x14ac:dyDescent="0.2">
      <c r="A49" s="538">
        <v>8</v>
      </c>
      <c r="B49" s="538" t="s">
        <v>6570</v>
      </c>
      <c r="C49" s="538" t="s">
        <v>393</v>
      </c>
      <c r="D49" s="538" t="s">
        <v>393</v>
      </c>
      <c r="E49" s="538" t="s">
        <v>419</v>
      </c>
      <c r="F49" s="538">
        <v>11328</v>
      </c>
      <c r="G49" s="538">
        <v>1</v>
      </c>
      <c r="K49" s="538" t="s">
        <v>6920</v>
      </c>
    </row>
    <row r="50" spans="1:11" x14ac:dyDescent="0.2">
      <c r="A50" s="538">
        <v>8</v>
      </c>
      <c r="B50" s="538" t="s">
        <v>6567</v>
      </c>
      <c r="C50" s="538" t="s">
        <v>740</v>
      </c>
      <c r="D50" s="538" t="s">
        <v>740</v>
      </c>
      <c r="E50" s="538" t="s">
        <v>390</v>
      </c>
      <c r="F50" s="538">
        <v>85491</v>
      </c>
      <c r="G50" s="538">
        <v>2</v>
      </c>
      <c r="K50" s="538" t="s">
        <v>6921</v>
      </c>
    </row>
    <row r="51" spans="1:11" x14ac:dyDescent="0.2">
      <c r="A51" s="538">
        <v>11</v>
      </c>
      <c r="B51" s="538" t="s">
        <v>6584</v>
      </c>
      <c r="C51" s="538" t="s">
        <v>740</v>
      </c>
      <c r="D51" s="538" t="s">
        <v>393</v>
      </c>
      <c r="E51" s="538" t="s">
        <v>211</v>
      </c>
      <c r="F51" s="538">
        <v>4784914</v>
      </c>
      <c r="G51" s="538">
        <v>133</v>
      </c>
      <c r="K51" s="538" t="s">
        <v>6922</v>
      </c>
    </row>
    <row r="52" spans="1:11" x14ac:dyDescent="0.2">
      <c r="A52" s="538">
        <v>11</v>
      </c>
      <c r="B52" s="538" t="s">
        <v>6584</v>
      </c>
      <c r="C52" s="538" t="s">
        <v>740</v>
      </c>
      <c r="D52" s="538" t="s">
        <v>393</v>
      </c>
      <c r="E52" s="538" t="s">
        <v>402</v>
      </c>
      <c r="F52" s="538">
        <v>153459</v>
      </c>
      <c r="G52" s="538">
        <v>8</v>
      </c>
    </row>
    <row r="53" spans="1:11" x14ac:dyDescent="0.2">
      <c r="A53" s="538">
        <v>8</v>
      </c>
      <c r="B53" s="538" t="s">
        <v>6577</v>
      </c>
      <c r="C53" s="538" t="s">
        <v>393</v>
      </c>
      <c r="D53" s="538" t="s">
        <v>740</v>
      </c>
      <c r="E53" s="538" t="s">
        <v>207</v>
      </c>
      <c r="F53" s="538">
        <v>192399</v>
      </c>
      <c r="G53" s="538">
        <v>8</v>
      </c>
      <c r="K53" s="538" t="s">
        <v>6711</v>
      </c>
    </row>
    <row r="54" spans="1:11" x14ac:dyDescent="0.2">
      <c r="A54" s="538">
        <v>2</v>
      </c>
      <c r="B54" s="538" t="s">
        <v>6055</v>
      </c>
      <c r="C54" s="538" t="s">
        <v>740</v>
      </c>
      <c r="D54" s="538" t="s">
        <v>393</v>
      </c>
      <c r="E54" s="538" t="s">
        <v>209</v>
      </c>
      <c r="F54" s="538">
        <v>1303324</v>
      </c>
      <c r="G54" s="538">
        <v>8</v>
      </c>
    </row>
    <row r="55" spans="1:11" x14ac:dyDescent="0.2">
      <c r="A55" s="538">
        <v>12</v>
      </c>
      <c r="B55" s="538" t="s">
        <v>6616</v>
      </c>
      <c r="C55" s="538" t="s">
        <v>740</v>
      </c>
      <c r="D55" s="538" t="s">
        <v>393</v>
      </c>
      <c r="E55" s="538" t="s">
        <v>401</v>
      </c>
      <c r="F55" s="538">
        <v>22656</v>
      </c>
      <c r="G55" s="538">
        <v>2</v>
      </c>
      <c r="K55" s="538" t="s">
        <v>6712</v>
      </c>
    </row>
    <row r="56" spans="1:11" x14ac:dyDescent="0.2">
      <c r="A56" s="538">
        <v>3</v>
      </c>
      <c r="B56" s="538" t="s">
        <v>6591</v>
      </c>
      <c r="C56" s="538" t="s">
        <v>740</v>
      </c>
      <c r="D56" s="538" t="s">
        <v>740</v>
      </c>
      <c r="E56" s="538" t="s">
        <v>209</v>
      </c>
      <c r="F56" s="538">
        <v>570596</v>
      </c>
      <c r="G56" s="538">
        <v>2</v>
      </c>
      <c r="K56" s="538" t="s">
        <v>6923</v>
      </c>
    </row>
    <row r="57" spans="1:11" x14ac:dyDescent="0.2">
      <c r="A57" s="538">
        <v>8</v>
      </c>
      <c r="B57" s="538" t="s">
        <v>6570</v>
      </c>
      <c r="C57" s="538" t="s">
        <v>740</v>
      </c>
      <c r="D57" s="538" t="s">
        <v>740</v>
      </c>
      <c r="E57" s="538" t="s">
        <v>212</v>
      </c>
      <c r="F57" s="538">
        <v>67968</v>
      </c>
      <c r="G57" s="538">
        <v>6</v>
      </c>
      <c r="K57" s="538" t="s">
        <v>6713</v>
      </c>
    </row>
    <row r="58" spans="1:11" x14ac:dyDescent="0.2">
      <c r="A58" s="538">
        <v>3</v>
      </c>
      <c r="B58" s="538" t="s">
        <v>6603</v>
      </c>
      <c r="C58" s="538" t="s">
        <v>740</v>
      </c>
      <c r="D58" s="538" t="s">
        <v>393</v>
      </c>
      <c r="E58" s="538" t="s">
        <v>210</v>
      </c>
      <c r="F58" s="538">
        <v>56640</v>
      </c>
      <c r="G58" s="538">
        <v>5</v>
      </c>
      <c r="K58" s="538" t="s">
        <v>6677</v>
      </c>
    </row>
    <row r="59" spans="1:11" x14ac:dyDescent="0.2">
      <c r="A59" s="538">
        <v>4</v>
      </c>
      <c r="B59" s="538" t="s">
        <v>6574</v>
      </c>
      <c r="C59" s="538" t="s">
        <v>740</v>
      </c>
      <c r="D59" s="538" t="s">
        <v>393</v>
      </c>
      <c r="E59" s="538" t="s">
        <v>313</v>
      </c>
      <c r="F59" s="538">
        <v>18628460</v>
      </c>
      <c r="G59" s="538">
        <v>165</v>
      </c>
      <c r="K59" s="538" t="s">
        <v>6678</v>
      </c>
    </row>
    <row r="60" spans="1:11" x14ac:dyDescent="0.2">
      <c r="A60" s="538">
        <v>9</v>
      </c>
      <c r="B60" s="538" t="s">
        <v>6644</v>
      </c>
      <c r="C60" s="538" t="s">
        <v>393</v>
      </c>
      <c r="D60" s="538" t="s">
        <v>393</v>
      </c>
      <c r="E60" s="538" t="s">
        <v>211</v>
      </c>
      <c r="F60" s="538">
        <v>13181347</v>
      </c>
      <c r="G60" s="538">
        <v>209</v>
      </c>
      <c r="K60" s="538" t="s">
        <v>6714</v>
      </c>
    </row>
    <row r="61" spans="1:11" x14ac:dyDescent="0.2">
      <c r="A61" s="538">
        <v>4</v>
      </c>
      <c r="B61" s="538" t="s">
        <v>6590</v>
      </c>
      <c r="C61" s="538" t="s">
        <v>740</v>
      </c>
      <c r="D61" s="538" t="s">
        <v>393</v>
      </c>
      <c r="E61" s="538" t="s">
        <v>409</v>
      </c>
      <c r="F61" s="538">
        <v>3394121</v>
      </c>
      <c r="G61" s="538">
        <v>57</v>
      </c>
      <c r="K61" s="538" t="s">
        <v>6715</v>
      </c>
    </row>
    <row r="62" spans="1:11" x14ac:dyDescent="0.2">
      <c r="A62" s="538">
        <v>9</v>
      </c>
      <c r="B62" s="538" t="s">
        <v>6606</v>
      </c>
      <c r="C62" s="538" t="s">
        <v>740</v>
      </c>
      <c r="D62" s="538" t="s">
        <v>393</v>
      </c>
      <c r="E62" s="538" t="s">
        <v>402</v>
      </c>
      <c r="F62" s="538">
        <v>4527608</v>
      </c>
      <c r="G62" s="538">
        <v>211</v>
      </c>
      <c r="K62" s="538" t="s">
        <v>6716</v>
      </c>
    </row>
    <row r="63" spans="1:11" x14ac:dyDescent="0.2">
      <c r="A63" s="538">
        <v>11</v>
      </c>
      <c r="B63" s="538" t="s">
        <v>6592</v>
      </c>
      <c r="C63" s="538" t="s">
        <v>393</v>
      </c>
      <c r="D63" s="538" t="s">
        <v>740</v>
      </c>
      <c r="E63" s="538" t="s">
        <v>211</v>
      </c>
      <c r="F63" s="538">
        <v>546701</v>
      </c>
      <c r="G63" s="538">
        <v>2</v>
      </c>
      <c r="K63" s="538" t="s">
        <v>6717</v>
      </c>
    </row>
    <row r="64" spans="1:11" x14ac:dyDescent="0.2">
      <c r="A64" s="538">
        <v>2</v>
      </c>
      <c r="B64" s="538" t="s">
        <v>6654</v>
      </c>
      <c r="C64" s="538" t="s">
        <v>393</v>
      </c>
      <c r="D64" s="538" t="s">
        <v>740</v>
      </c>
      <c r="E64" s="538" t="s">
        <v>409</v>
      </c>
      <c r="F64" s="538">
        <v>90624</v>
      </c>
      <c r="G64" s="538">
        <v>8</v>
      </c>
      <c r="K64" s="538" t="s">
        <v>321</v>
      </c>
    </row>
    <row r="65" spans="1:7" x14ac:dyDescent="0.2">
      <c r="A65" s="538">
        <v>4</v>
      </c>
      <c r="B65" s="538" t="s">
        <v>6572</v>
      </c>
      <c r="C65" s="538" t="s">
        <v>740</v>
      </c>
      <c r="D65" s="538" t="s">
        <v>393</v>
      </c>
      <c r="E65" s="538" t="s">
        <v>211</v>
      </c>
      <c r="F65" s="538">
        <v>2663923</v>
      </c>
      <c r="G65" s="538">
        <v>61</v>
      </c>
    </row>
    <row r="66" spans="1:7" x14ac:dyDescent="0.2">
      <c r="A66" s="538">
        <v>7</v>
      </c>
      <c r="B66" s="538" t="s">
        <v>6588</v>
      </c>
      <c r="C66" s="538" t="s">
        <v>740</v>
      </c>
      <c r="D66" s="538" t="s">
        <v>393</v>
      </c>
      <c r="E66" s="538" t="s">
        <v>416</v>
      </c>
      <c r="F66" s="538">
        <v>5120069</v>
      </c>
      <c r="G66" s="538">
        <v>83</v>
      </c>
    </row>
    <row r="67" spans="1:7" x14ac:dyDescent="0.2">
      <c r="A67" s="538">
        <v>2</v>
      </c>
      <c r="B67" s="538" t="s">
        <v>6585</v>
      </c>
      <c r="C67" s="538" t="s">
        <v>740</v>
      </c>
      <c r="D67" s="538" t="s">
        <v>393</v>
      </c>
      <c r="E67" s="538" t="s">
        <v>390</v>
      </c>
      <c r="F67" s="538">
        <v>313113</v>
      </c>
      <c r="G67" s="538">
        <v>11</v>
      </c>
    </row>
    <row r="68" spans="1:7" x14ac:dyDescent="0.2">
      <c r="A68" s="538">
        <v>6</v>
      </c>
      <c r="B68" s="538" t="s">
        <v>6565</v>
      </c>
      <c r="C68" s="538" t="s">
        <v>393</v>
      </c>
      <c r="D68" s="538" t="s">
        <v>393</v>
      </c>
      <c r="E68" s="538" t="s">
        <v>202</v>
      </c>
      <c r="F68" s="538">
        <v>7019706</v>
      </c>
      <c r="G68" s="538">
        <v>62</v>
      </c>
    </row>
    <row r="69" spans="1:7" x14ac:dyDescent="0.2">
      <c r="A69" s="538">
        <v>6</v>
      </c>
      <c r="B69" s="538" t="s">
        <v>6433</v>
      </c>
      <c r="C69" s="538" t="s">
        <v>740</v>
      </c>
      <c r="D69" s="538" t="s">
        <v>393</v>
      </c>
      <c r="E69" s="538" t="s">
        <v>390</v>
      </c>
      <c r="F69" s="538">
        <v>85491</v>
      </c>
      <c r="G69" s="538">
        <v>2</v>
      </c>
    </row>
    <row r="70" spans="1:7" x14ac:dyDescent="0.2">
      <c r="A70" s="538">
        <v>4</v>
      </c>
      <c r="B70" s="538" t="s">
        <v>6559</v>
      </c>
      <c r="C70" s="538" t="s">
        <v>740</v>
      </c>
      <c r="D70" s="538" t="s">
        <v>393</v>
      </c>
      <c r="E70" s="538" t="s">
        <v>313</v>
      </c>
      <c r="F70" s="538">
        <v>29339064</v>
      </c>
      <c r="G70" s="538">
        <v>238</v>
      </c>
    </row>
    <row r="71" spans="1:7" x14ac:dyDescent="0.2">
      <c r="A71" s="538">
        <v>11</v>
      </c>
      <c r="B71" s="538" t="s">
        <v>6610</v>
      </c>
      <c r="C71" s="538" t="s">
        <v>740</v>
      </c>
      <c r="D71" s="538" t="s">
        <v>393</v>
      </c>
      <c r="E71" s="538" t="s">
        <v>449</v>
      </c>
      <c r="F71" s="538">
        <v>562152</v>
      </c>
      <c r="G71" s="538">
        <v>24</v>
      </c>
    </row>
    <row r="72" spans="1:7" x14ac:dyDescent="0.2">
      <c r="A72" s="538">
        <v>11</v>
      </c>
      <c r="B72" s="538" t="s">
        <v>6584</v>
      </c>
      <c r="C72" s="538" t="s">
        <v>740</v>
      </c>
      <c r="D72" s="538" t="s">
        <v>740</v>
      </c>
      <c r="E72" s="538" t="s">
        <v>401</v>
      </c>
      <c r="F72" s="538">
        <v>11328</v>
      </c>
      <c r="G72" s="538">
        <v>1</v>
      </c>
    </row>
    <row r="73" spans="1:7" x14ac:dyDescent="0.2">
      <c r="A73" s="538">
        <v>11</v>
      </c>
      <c r="B73" s="538" t="s">
        <v>6584</v>
      </c>
      <c r="C73" s="538" t="s">
        <v>740</v>
      </c>
      <c r="D73" s="538" t="s">
        <v>393</v>
      </c>
      <c r="E73" s="538" t="s">
        <v>860</v>
      </c>
      <c r="F73" s="538">
        <v>1199654</v>
      </c>
      <c r="G73" s="538">
        <v>43</v>
      </c>
    </row>
    <row r="74" spans="1:7" x14ac:dyDescent="0.2">
      <c r="A74" s="538">
        <v>10</v>
      </c>
      <c r="B74" s="538" t="s">
        <v>6582</v>
      </c>
      <c r="C74" s="538" t="s">
        <v>740</v>
      </c>
      <c r="D74" s="538" t="s">
        <v>393</v>
      </c>
      <c r="E74" s="538" t="s">
        <v>210</v>
      </c>
      <c r="F74" s="538">
        <v>11328</v>
      </c>
      <c r="G74" s="538">
        <v>1</v>
      </c>
    </row>
    <row r="75" spans="1:7" x14ac:dyDescent="0.2">
      <c r="A75" s="538">
        <v>8</v>
      </c>
      <c r="B75" s="538" t="s">
        <v>6577</v>
      </c>
      <c r="C75" s="538" t="s">
        <v>393</v>
      </c>
      <c r="D75" s="538" t="s">
        <v>740</v>
      </c>
      <c r="E75" s="538" t="s">
        <v>210</v>
      </c>
      <c r="F75" s="538">
        <v>119475</v>
      </c>
      <c r="G75" s="538">
        <v>5</v>
      </c>
    </row>
    <row r="76" spans="1:7" x14ac:dyDescent="0.2">
      <c r="A76" s="538">
        <v>7</v>
      </c>
      <c r="B76" s="538" t="s">
        <v>6571</v>
      </c>
      <c r="C76" s="538" t="s">
        <v>740</v>
      </c>
      <c r="D76" s="538" t="s">
        <v>740</v>
      </c>
      <c r="E76" s="538" t="s">
        <v>860</v>
      </c>
      <c r="F76" s="538">
        <v>530417</v>
      </c>
      <c r="G76" s="538">
        <v>4</v>
      </c>
    </row>
    <row r="77" spans="1:7" x14ac:dyDescent="0.2">
      <c r="A77" s="538">
        <v>5</v>
      </c>
      <c r="B77" s="538" t="s">
        <v>6598</v>
      </c>
      <c r="C77" s="538" t="s">
        <v>393</v>
      </c>
      <c r="D77" s="538" t="s">
        <v>740</v>
      </c>
      <c r="E77" s="538" t="s">
        <v>210</v>
      </c>
      <c r="F77" s="538">
        <v>193638</v>
      </c>
      <c r="G77" s="538">
        <v>6</v>
      </c>
    </row>
    <row r="78" spans="1:7" x14ac:dyDescent="0.2">
      <c r="A78" s="538">
        <v>1</v>
      </c>
      <c r="B78" s="538" t="s">
        <v>6602</v>
      </c>
      <c r="C78" s="538" t="s">
        <v>393</v>
      </c>
      <c r="D78" s="538" t="s">
        <v>393</v>
      </c>
      <c r="E78" s="538" t="s">
        <v>409</v>
      </c>
      <c r="F78" s="538">
        <v>2130549</v>
      </c>
      <c r="G78" s="538">
        <v>103</v>
      </c>
    </row>
    <row r="79" spans="1:7" x14ac:dyDescent="0.2">
      <c r="A79" s="538">
        <v>8</v>
      </c>
      <c r="B79" s="538" t="s">
        <v>6560</v>
      </c>
      <c r="C79" s="538" t="s">
        <v>740</v>
      </c>
      <c r="D79" s="538" t="s">
        <v>393</v>
      </c>
      <c r="E79" s="538" t="s">
        <v>212</v>
      </c>
      <c r="F79" s="538">
        <v>13818338</v>
      </c>
      <c r="G79" s="538">
        <v>1006</v>
      </c>
    </row>
    <row r="80" spans="1:7" x14ac:dyDescent="0.2">
      <c r="A80" s="538">
        <v>7</v>
      </c>
      <c r="B80" s="538" t="s">
        <v>6604</v>
      </c>
      <c r="C80" s="538" t="s">
        <v>740</v>
      </c>
      <c r="D80" s="538" t="s">
        <v>393</v>
      </c>
      <c r="E80" s="538" t="s">
        <v>449</v>
      </c>
      <c r="F80" s="538">
        <v>11328</v>
      </c>
      <c r="G80" s="538">
        <v>1</v>
      </c>
    </row>
    <row r="81" spans="1:7" x14ac:dyDescent="0.2">
      <c r="A81" s="538">
        <v>1</v>
      </c>
      <c r="B81" s="538" t="s">
        <v>6649</v>
      </c>
      <c r="C81" s="538" t="s">
        <v>393</v>
      </c>
      <c r="D81" s="538" t="s">
        <v>393</v>
      </c>
      <c r="E81" s="538" t="s">
        <v>207</v>
      </c>
      <c r="F81" s="538">
        <v>11352551</v>
      </c>
      <c r="G81" s="538">
        <v>902</v>
      </c>
    </row>
    <row r="82" spans="1:7" x14ac:dyDescent="0.2">
      <c r="A82" s="538">
        <v>8</v>
      </c>
      <c r="B82" s="538" t="s">
        <v>6577</v>
      </c>
      <c r="C82" s="538" t="s">
        <v>740</v>
      </c>
      <c r="D82" s="538" t="s">
        <v>393</v>
      </c>
      <c r="E82" s="538" t="s">
        <v>409</v>
      </c>
      <c r="F82" s="538">
        <v>34248023</v>
      </c>
      <c r="G82" s="538">
        <v>856</v>
      </c>
    </row>
    <row r="83" spans="1:7" x14ac:dyDescent="0.2">
      <c r="A83" s="538">
        <v>11</v>
      </c>
      <c r="B83" s="538" t="s">
        <v>6592</v>
      </c>
      <c r="C83" s="538" t="s">
        <v>740</v>
      </c>
      <c r="D83" s="538" t="s">
        <v>740</v>
      </c>
      <c r="E83" s="538" t="s">
        <v>210</v>
      </c>
      <c r="F83" s="538">
        <v>604580</v>
      </c>
      <c r="G83" s="538">
        <v>5</v>
      </c>
    </row>
    <row r="84" spans="1:7" x14ac:dyDescent="0.2">
      <c r="A84" s="538">
        <v>4</v>
      </c>
      <c r="B84" s="538" t="s">
        <v>6574</v>
      </c>
      <c r="C84" s="538" t="s">
        <v>740</v>
      </c>
      <c r="D84" s="538" t="s">
        <v>740</v>
      </c>
      <c r="E84" s="538" t="s">
        <v>230</v>
      </c>
      <c r="F84" s="538">
        <v>11328</v>
      </c>
      <c r="G84" s="538">
        <v>1</v>
      </c>
    </row>
    <row r="85" spans="1:7" x14ac:dyDescent="0.2">
      <c r="A85" s="538">
        <v>4</v>
      </c>
      <c r="B85" s="538" t="s">
        <v>6590</v>
      </c>
      <c r="C85" s="538" t="s">
        <v>740</v>
      </c>
      <c r="D85" s="538" t="s">
        <v>393</v>
      </c>
      <c r="E85" s="538" t="s">
        <v>390</v>
      </c>
      <c r="F85" s="538">
        <v>3149611</v>
      </c>
      <c r="G85" s="538">
        <v>97</v>
      </c>
    </row>
    <row r="86" spans="1:7" x14ac:dyDescent="0.2">
      <c r="A86" s="538">
        <v>2</v>
      </c>
      <c r="B86" s="538" t="s">
        <v>6585</v>
      </c>
      <c r="C86" s="538" t="s">
        <v>740</v>
      </c>
      <c r="D86" s="538" t="s">
        <v>740</v>
      </c>
      <c r="E86" s="538" t="s">
        <v>212</v>
      </c>
      <c r="F86" s="538">
        <v>22656</v>
      </c>
      <c r="G86" s="538">
        <v>2</v>
      </c>
    </row>
    <row r="87" spans="1:7" x14ac:dyDescent="0.2">
      <c r="A87" s="538">
        <v>7</v>
      </c>
      <c r="B87" s="538" t="s">
        <v>6564</v>
      </c>
      <c r="C87" s="538" t="s">
        <v>740</v>
      </c>
      <c r="D87" s="538" t="s">
        <v>740</v>
      </c>
      <c r="E87" s="538" t="s">
        <v>210</v>
      </c>
      <c r="F87" s="538">
        <v>950615</v>
      </c>
      <c r="G87" s="538">
        <v>30</v>
      </c>
    </row>
    <row r="88" spans="1:7" x14ac:dyDescent="0.2">
      <c r="A88" s="538">
        <v>2</v>
      </c>
      <c r="B88" s="538" t="s">
        <v>6585</v>
      </c>
      <c r="C88" s="538" t="s">
        <v>740</v>
      </c>
      <c r="D88" s="538" t="s">
        <v>393</v>
      </c>
      <c r="E88" s="538" t="s">
        <v>230</v>
      </c>
      <c r="F88" s="538">
        <v>1507457</v>
      </c>
      <c r="G88" s="538">
        <v>39</v>
      </c>
    </row>
    <row r="89" spans="1:7" x14ac:dyDescent="0.2">
      <c r="A89" s="538">
        <v>2</v>
      </c>
      <c r="B89" s="538" t="s">
        <v>6585</v>
      </c>
      <c r="C89" s="538" t="s">
        <v>740</v>
      </c>
      <c r="D89" s="538" t="s">
        <v>740</v>
      </c>
      <c r="E89" s="538" t="s">
        <v>401</v>
      </c>
      <c r="F89" s="538">
        <v>187443</v>
      </c>
      <c r="G89" s="538">
        <v>11</v>
      </c>
    </row>
    <row r="90" spans="1:7" x14ac:dyDescent="0.2">
      <c r="A90" s="538">
        <v>5</v>
      </c>
      <c r="B90" s="538" t="s">
        <v>6598</v>
      </c>
      <c r="C90" s="538" t="s">
        <v>393</v>
      </c>
      <c r="D90" s="538" t="s">
        <v>740</v>
      </c>
      <c r="E90" s="538" t="s">
        <v>202</v>
      </c>
      <c r="F90" s="538">
        <v>1137527</v>
      </c>
      <c r="G90" s="538">
        <v>14</v>
      </c>
    </row>
    <row r="91" spans="1:7" x14ac:dyDescent="0.2">
      <c r="A91" s="538">
        <v>8</v>
      </c>
      <c r="B91" s="538" t="s">
        <v>6567</v>
      </c>
      <c r="C91" s="538" t="s">
        <v>740</v>
      </c>
      <c r="D91" s="538" t="s">
        <v>393</v>
      </c>
      <c r="E91" s="538" t="s">
        <v>860</v>
      </c>
      <c r="F91" s="538">
        <v>9162301</v>
      </c>
      <c r="G91" s="538">
        <v>442</v>
      </c>
    </row>
    <row r="92" spans="1:7" x14ac:dyDescent="0.2">
      <c r="A92" s="538">
        <v>10</v>
      </c>
      <c r="B92" s="538" t="s">
        <v>6653</v>
      </c>
      <c r="C92" s="538" t="s">
        <v>393</v>
      </c>
      <c r="D92" s="538" t="s">
        <v>393</v>
      </c>
      <c r="E92" s="538" t="s">
        <v>402</v>
      </c>
      <c r="F92" s="538">
        <v>4516551</v>
      </c>
      <c r="G92" s="538">
        <v>67</v>
      </c>
    </row>
    <row r="93" spans="1:7" x14ac:dyDescent="0.2">
      <c r="A93" s="538">
        <v>9</v>
      </c>
      <c r="B93" s="538" t="s">
        <v>6644</v>
      </c>
      <c r="C93" s="538" t="s">
        <v>740</v>
      </c>
      <c r="D93" s="538" t="s">
        <v>393</v>
      </c>
      <c r="E93" s="538" t="s">
        <v>409</v>
      </c>
      <c r="F93" s="538">
        <v>1762462</v>
      </c>
      <c r="G93" s="538">
        <v>34</v>
      </c>
    </row>
    <row r="94" spans="1:7" x14ac:dyDescent="0.2">
      <c r="A94" s="538">
        <v>6</v>
      </c>
      <c r="B94" s="538" t="s">
        <v>1668</v>
      </c>
      <c r="C94" s="538" t="s">
        <v>740</v>
      </c>
      <c r="D94" s="538" t="s">
        <v>393</v>
      </c>
      <c r="E94" s="538" t="s">
        <v>202</v>
      </c>
      <c r="F94" s="538">
        <v>11328</v>
      </c>
      <c r="G94" s="538">
        <v>1</v>
      </c>
    </row>
    <row r="95" spans="1:7" x14ac:dyDescent="0.2">
      <c r="A95" s="538">
        <v>1</v>
      </c>
      <c r="B95" s="538" t="s">
        <v>6602</v>
      </c>
      <c r="C95" s="538" t="s">
        <v>393</v>
      </c>
      <c r="D95" s="538" t="s">
        <v>740</v>
      </c>
      <c r="E95" s="538" t="s">
        <v>416</v>
      </c>
      <c r="F95" s="538">
        <v>4323829</v>
      </c>
      <c r="G95" s="538">
        <v>123</v>
      </c>
    </row>
    <row r="96" spans="1:7" x14ac:dyDescent="0.2">
      <c r="A96" s="538">
        <v>3</v>
      </c>
      <c r="B96" s="538" t="s">
        <v>6605</v>
      </c>
      <c r="C96" s="538" t="s">
        <v>740</v>
      </c>
      <c r="D96" s="538" t="s">
        <v>393</v>
      </c>
      <c r="E96" s="538" t="s">
        <v>449</v>
      </c>
      <c r="F96" s="538">
        <v>11328</v>
      </c>
      <c r="G96" s="538">
        <v>1</v>
      </c>
    </row>
    <row r="97" spans="1:7" x14ac:dyDescent="0.2">
      <c r="A97" s="538">
        <v>3</v>
      </c>
      <c r="B97" s="538" t="s">
        <v>6561</v>
      </c>
      <c r="C97" s="538" t="s">
        <v>393</v>
      </c>
      <c r="D97" s="538" t="s">
        <v>393</v>
      </c>
      <c r="E97" s="538" t="s">
        <v>230</v>
      </c>
      <c r="F97" s="538">
        <v>16240105</v>
      </c>
      <c r="G97" s="538">
        <v>285</v>
      </c>
    </row>
    <row r="98" spans="1:7" x14ac:dyDescent="0.2">
      <c r="A98" s="538">
        <v>4</v>
      </c>
      <c r="B98" s="538" t="s">
        <v>6559</v>
      </c>
      <c r="C98" s="538" t="s">
        <v>740</v>
      </c>
      <c r="D98" s="538" t="s">
        <v>393</v>
      </c>
      <c r="E98" s="538" t="s">
        <v>401</v>
      </c>
      <c r="F98" s="538">
        <v>147264</v>
      </c>
      <c r="G98" s="538">
        <v>13</v>
      </c>
    </row>
    <row r="99" spans="1:7" x14ac:dyDescent="0.2">
      <c r="A99" s="538">
        <v>5</v>
      </c>
      <c r="B99" s="538" t="s">
        <v>6598</v>
      </c>
      <c r="C99" s="538" t="s">
        <v>740</v>
      </c>
      <c r="D99" s="538" t="s">
        <v>393</v>
      </c>
      <c r="E99" s="538" t="s">
        <v>211</v>
      </c>
      <c r="F99" s="538">
        <v>41377281</v>
      </c>
      <c r="G99" s="538">
        <v>1202</v>
      </c>
    </row>
    <row r="100" spans="1:7" x14ac:dyDescent="0.2">
      <c r="A100" s="538">
        <v>10</v>
      </c>
      <c r="B100" s="538" t="s">
        <v>6611</v>
      </c>
      <c r="C100" s="538" t="s">
        <v>393</v>
      </c>
      <c r="D100" s="538" t="s">
        <v>393</v>
      </c>
      <c r="E100" s="538" t="s">
        <v>202</v>
      </c>
      <c r="F100" s="538">
        <v>5565703</v>
      </c>
      <c r="G100" s="538">
        <v>56</v>
      </c>
    </row>
    <row r="101" spans="1:7" x14ac:dyDescent="0.2">
      <c r="A101" s="538">
        <v>11</v>
      </c>
      <c r="B101" s="538" t="s">
        <v>6612</v>
      </c>
      <c r="C101" s="538" t="s">
        <v>393</v>
      </c>
      <c r="D101" s="538" t="s">
        <v>740</v>
      </c>
      <c r="E101" s="538" t="s">
        <v>438</v>
      </c>
      <c r="F101" s="538">
        <v>108147</v>
      </c>
      <c r="G101" s="538">
        <v>4</v>
      </c>
    </row>
    <row r="102" spans="1:7" x14ac:dyDescent="0.2">
      <c r="A102" s="538">
        <v>1</v>
      </c>
      <c r="B102" s="538" t="s">
        <v>6595</v>
      </c>
      <c r="C102" s="538" t="s">
        <v>393</v>
      </c>
      <c r="D102" s="538" t="s">
        <v>740</v>
      </c>
      <c r="E102" s="538" t="s">
        <v>416</v>
      </c>
      <c r="F102" s="538">
        <v>1547407</v>
      </c>
      <c r="G102" s="538">
        <v>24</v>
      </c>
    </row>
    <row r="103" spans="1:7" x14ac:dyDescent="0.2">
      <c r="A103" s="538">
        <v>4</v>
      </c>
      <c r="B103" s="538" t="s">
        <v>6572</v>
      </c>
      <c r="C103" s="538" t="s">
        <v>740</v>
      </c>
      <c r="D103" s="538" t="s">
        <v>740</v>
      </c>
      <c r="E103" s="538" t="s">
        <v>390</v>
      </c>
      <c r="F103" s="538">
        <v>22656</v>
      </c>
      <c r="G103" s="538">
        <v>2</v>
      </c>
    </row>
    <row r="104" spans="1:7" x14ac:dyDescent="0.2">
      <c r="A104" s="538">
        <v>2</v>
      </c>
      <c r="B104" s="538" t="s">
        <v>6055</v>
      </c>
      <c r="C104" s="538" t="s">
        <v>393</v>
      </c>
      <c r="D104" s="538" t="s">
        <v>740</v>
      </c>
      <c r="E104" s="538" t="s">
        <v>438</v>
      </c>
      <c r="F104" s="538">
        <v>11328</v>
      </c>
      <c r="G104" s="538">
        <v>1</v>
      </c>
    </row>
    <row r="105" spans="1:7" x14ac:dyDescent="0.2">
      <c r="A105" s="538">
        <v>10</v>
      </c>
      <c r="B105" s="538" t="s">
        <v>6582</v>
      </c>
      <c r="C105" s="538" t="s">
        <v>393</v>
      </c>
      <c r="D105" s="538" t="s">
        <v>393</v>
      </c>
      <c r="E105" s="538" t="s">
        <v>390</v>
      </c>
      <c r="F105" s="538">
        <v>5361424</v>
      </c>
      <c r="G105" s="538">
        <v>103</v>
      </c>
    </row>
    <row r="106" spans="1:7" x14ac:dyDescent="0.2">
      <c r="A106" s="538">
        <v>1</v>
      </c>
      <c r="B106" s="538" t="s">
        <v>1288</v>
      </c>
      <c r="C106" s="538" t="s">
        <v>740</v>
      </c>
      <c r="D106" s="538" t="s">
        <v>393</v>
      </c>
      <c r="E106" s="538" t="s">
        <v>438</v>
      </c>
      <c r="F106" s="538">
        <v>2437082</v>
      </c>
      <c r="G106" s="538">
        <v>19</v>
      </c>
    </row>
    <row r="107" spans="1:7" x14ac:dyDescent="0.2">
      <c r="A107" s="538">
        <v>6</v>
      </c>
      <c r="B107" s="538" t="s">
        <v>6433</v>
      </c>
      <c r="C107" s="538" t="s">
        <v>393</v>
      </c>
      <c r="D107" s="538" t="s">
        <v>393</v>
      </c>
      <c r="E107" s="538" t="s">
        <v>209</v>
      </c>
      <c r="F107" s="538">
        <v>3312951</v>
      </c>
      <c r="G107" s="538">
        <v>12</v>
      </c>
    </row>
    <row r="108" spans="1:7" x14ac:dyDescent="0.2">
      <c r="A108" s="538">
        <v>7</v>
      </c>
      <c r="B108" s="538" t="s">
        <v>6580</v>
      </c>
      <c r="C108" s="538" t="s">
        <v>740</v>
      </c>
      <c r="D108" s="538" t="s">
        <v>393</v>
      </c>
      <c r="E108" s="538" t="s">
        <v>402</v>
      </c>
      <c r="F108" s="538">
        <v>11328</v>
      </c>
      <c r="G108" s="538">
        <v>1</v>
      </c>
    </row>
    <row r="109" spans="1:7" x14ac:dyDescent="0.2">
      <c r="A109" s="538">
        <v>1</v>
      </c>
      <c r="B109" s="538" t="s">
        <v>6649</v>
      </c>
      <c r="C109" s="538" t="s">
        <v>740</v>
      </c>
      <c r="D109" s="538" t="s">
        <v>393</v>
      </c>
      <c r="E109" s="538" t="s">
        <v>230</v>
      </c>
      <c r="F109" s="538">
        <v>11328</v>
      </c>
      <c r="G109" s="538">
        <v>1</v>
      </c>
    </row>
    <row r="110" spans="1:7" x14ac:dyDescent="0.2">
      <c r="A110" s="538">
        <v>7</v>
      </c>
      <c r="B110" s="538" t="s">
        <v>6661</v>
      </c>
      <c r="C110" s="538" t="s">
        <v>740</v>
      </c>
      <c r="D110" s="538" t="s">
        <v>393</v>
      </c>
      <c r="E110" s="538" t="s">
        <v>416</v>
      </c>
      <c r="F110" s="538">
        <v>6169575</v>
      </c>
      <c r="G110" s="538">
        <v>90</v>
      </c>
    </row>
    <row r="111" spans="1:7" x14ac:dyDescent="0.2">
      <c r="A111" s="538">
        <v>3</v>
      </c>
      <c r="B111" s="538" t="s">
        <v>6586</v>
      </c>
      <c r="C111" s="538" t="s">
        <v>740</v>
      </c>
      <c r="D111" s="538" t="s">
        <v>393</v>
      </c>
      <c r="E111" s="538" t="s">
        <v>390</v>
      </c>
      <c r="F111" s="538">
        <v>1035096</v>
      </c>
      <c r="G111" s="538">
        <v>52</v>
      </c>
    </row>
    <row r="112" spans="1:7" x14ac:dyDescent="0.2">
      <c r="A112" s="538">
        <v>4</v>
      </c>
      <c r="B112" s="538" t="s">
        <v>6574</v>
      </c>
      <c r="C112" s="538" t="s">
        <v>393</v>
      </c>
      <c r="D112" s="538" t="s">
        <v>393</v>
      </c>
      <c r="E112" s="538" t="s">
        <v>212</v>
      </c>
      <c r="F112" s="538">
        <v>2310506</v>
      </c>
      <c r="G112" s="538">
        <v>112</v>
      </c>
    </row>
    <row r="113" spans="1:7" x14ac:dyDescent="0.2">
      <c r="A113" s="538">
        <v>1</v>
      </c>
      <c r="B113" s="538" t="s">
        <v>6581</v>
      </c>
      <c r="C113" s="538" t="s">
        <v>740</v>
      </c>
      <c r="D113" s="538" t="s">
        <v>393</v>
      </c>
      <c r="E113" s="538" t="s">
        <v>209</v>
      </c>
      <c r="F113" s="538">
        <v>596969</v>
      </c>
      <c r="G113" s="538">
        <v>3</v>
      </c>
    </row>
    <row r="114" spans="1:7" x14ac:dyDescent="0.2">
      <c r="A114" s="538">
        <v>2</v>
      </c>
      <c r="B114" s="538" t="s">
        <v>6573</v>
      </c>
      <c r="C114" s="538" t="s">
        <v>740</v>
      </c>
      <c r="D114" s="538" t="s">
        <v>393</v>
      </c>
      <c r="E114" s="538" t="s">
        <v>207</v>
      </c>
      <c r="F114" s="538">
        <v>1954434</v>
      </c>
      <c r="G114" s="538">
        <v>158</v>
      </c>
    </row>
    <row r="115" spans="1:7" x14ac:dyDescent="0.2">
      <c r="A115" s="538">
        <v>4</v>
      </c>
      <c r="B115" s="538" t="s">
        <v>6590</v>
      </c>
      <c r="C115" s="538" t="s">
        <v>740</v>
      </c>
      <c r="D115" s="538" t="s">
        <v>740</v>
      </c>
      <c r="E115" s="538" t="s">
        <v>409</v>
      </c>
      <c r="F115" s="538">
        <v>108147</v>
      </c>
      <c r="G115" s="538">
        <v>4</v>
      </c>
    </row>
    <row r="116" spans="1:7" x14ac:dyDescent="0.2">
      <c r="A116" s="538">
        <v>2</v>
      </c>
      <c r="B116" s="538" t="s">
        <v>6654</v>
      </c>
      <c r="C116" s="538" t="s">
        <v>740</v>
      </c>
      <c r="D116" s="538" t="s">
        <v>740</v>
      </c>
      <c r="E116" s="538" t="s">
        <v>416</v>
      </c>
      <c r="F116" s="538">
        <v>1553779</v>
      </c>
      <c r="G116" s="538">
        <v>28</v>
      </c>
    </row>
    <row r="117" spans="1:7" x14ac:dyDescent="0.2">
      <c r="A117" s="538">
        <v>5</v>
      </c>
      <c r="B117" s="538" t="s">
        <v>6599</v>
      </c>
      <c r="C117" s="538" t="s">
        <v>740</v>
      </c>
      <c r="D117" s="538" t="s">
        <v>393</v>
      </c>
      <c r="E117" s="538" t="s">
        <v>211</v>
      </c>
      <c r="F117" s="538">
        <v>2168271</v>
      </c>
      <c r="G117" s="538">
        <v>27</v>
      </c>
    </row>
    <row r="118" spans="1:7" x14ac:dyDescent="0.2">
      <c r="A118" s="538">
        <v>10</v>
      </c>
      <c r="B118" s="538" t="s">
        <v>6597</v>
      </c>
      <c r="C118" s="538" t="s">
        <v>740</v>
      </c>
      <c r="D118" s="538" t="s">
        <v>393</v>
      </c>
      <c r="E118" s="538" t="s">
        <v>409</v>
      </c>
      <c r="F118" s="538">
        <v>253995</v>
      </c>
      <c r="G118" s="538">
        <v>10</v>
      </c>
    </row>
    <row r="119" spans="1:7" x14ac:dyDescent="0.2">
      <c r="A119" s="538">
        <v>6</v>
      </c>
      <c r="B119" s="538" t="s">
        <v>6596</v>
      </c>
      <c r="C119" s="538" t="s">
        <v>740</v>
      </c>
      <c r="D119" s="538" t="s">
        <v>393</v>
      </c>
      <c r="E119" s="538" t="s">
        <v>313</v>
      </c>
      <c r="F119" s="538">
        <v>50268</v>
      </c>
      <c r="G119" s="538">
        <v>1</v>
      </c>
    </row>
    <row r="120" spans="1:7" x14ac:dyDescent="0.2">
      <c r="A120" s="538">
        <v>5</v>
      </c>
      <c r="B120" s="538" t="s">
        <v>6568</v>
      </c>
      <c r="C120" s="538" t="s">
        <v>393</v>
      </c>
      <c r="D120" s="538" t="s">
        <v>393</v>
      </c>
      <c r="E120" s="538" t="s">
        <v>401</v>
      </c>
      <c r="F120" s="538">
        <v>244083</v>
      </c>
      <c r="G120" s="538">
        <v>16</v>
      </c>
    </row>
    <row r="121" spans="1:7" x14ac:dyDescent="0.2">
      <c r="A121" s="538">
        <v>3</v>
      </c>
      <c r="B121" s="538" t="s">
        <v>6603</v>
      </c>
      <c r="C121" s="538" t="s">
        <v>393</v>
      </c>
      <c r="D121" s="538" t="s">
        <v>393</v>
      </c>
      <c r="E121" s="538" t="s">
        <v>209</v>
      </c>
      <c r="F121" s="538">
        <v>2036000</v>
      </c>
      <c r="G121" s="538">
        <v>5</v>
      </c>
    </row>
    <row r="122" spans="1:7" x14ac:dyDescent="0.2">
      <c r="A122" s="538">
        <v>5</v>
      </c>
      <c r="B122" s="538" t="s">
        <v>6650</v>
      </c>
      <c r="C122" s="538" t="s">
        <v>740</v>
      </c>
      <c r="D122" s="538" t="s">
        <v>393</v>
      </c>
      <c r="E122" s="538" t="s">
        <v>401</v>
      </c>
      <c r="F122" s="538">
        <v>421260</v>
      </c>
      <c r="G122" s="538">
        <v>15</v>
      </c>
    </row>
    <row r="123" spans="1:7" x14ac:dyDescent="0.2">
      <c r="A123" s="538">
        <v>7</v>
      </c>
      <c r="B123" s="538" t="s">
        <v>6661</v>
      </c>
      <c r="C123" s="538" t="s">
        <v>393</v>
      </c>
      <c r="D123" s="538" t="s">
        <v>393</v>
      </c>
      <c r="E123" s="538" t="s">
        <v>438</v>
      </c>
      <c r="F123" s="538">
        <v>6322274</v>
      </c>
      <c r="G123" s="538">
        <v>53</v>
      </c>
    </row>
    <row r="124" spans="1:7" x14ac:dyDescent="0.2">
      <c r="A124" s="538">
        <v>4</v>
      </c>
      <c r="B124" s="538" t="s">
        <v>6562</v>
      </c>
      <c r="C124" s="538" t="s">
        <v>393</v>
      </c>
      <c r="D124" s="538" t="s">
        <v>740</v>
      </c>
      <c r="E124" s="538" t="s">
        <v>210</v>
      </c>
      <c r="F124" s="538">
        <v>395064</v>
      </c>
      <c r="G124" s="538">
        <v>28</v>
      </c>
    </row>
    <row r="125" spans="1:7" x14ac:dyDescent="0.2">
      <c r="A125" s="538">
        <v>7</v>
      </c>
      <c r="B125" s="538" t="s">
        <v>6588</v>
      </c>
      <c r="C125" s="538" t="s">
        <v>740</v>
      </c>
      <c r="D125" s="538" t="s">
        <v>393</v>
      </c>
      <c r="E125" s="538" t="s">
        <v>212</v>
      </c>
      <c r="F125" s="538">
        <v>310812</v>
      </c>
      <c r="G125" s="538">
        <v>24</v>
      </c>
    </row>
    <row r="126" spans="1:7" x14ac:dyDescent="0.2">
      <c r="A126" s="538">
        <v>3</v>
      </c>
      <c r="B126" s="538" t="s">
        <v>6586</v>
      </c>
      <c r="C126" s="538" t="s">
        <v>740</v>
      </c>
      <c r="D126" s="538" t="s">
        <v>393</v>
      </c>
      <c r="E126" s="538" t="s">
        <v>209</v>
      </c>
      <c r="F126" s="538">
        <v>1563462</v>
      </c>
      <c r="G126" s="538">
        <v>4</v>
      </c>
    </row>
    <row r="127" spans="1:7" x14ac:dyDescent="0.2">
      <c r="A127" s="538">
        <v>5</v>
      </c>
      <c r="B127" s="538" t="s">
        <v>6568</v>
      </c>
      <c r="C127" s="538" t="s">
        <v>740</v>
      </c>
      <c r="D127" s="538" t="s">
        <v>740</v>
      </c>
      <c r="E127" s="538" t="s">
        <v>207</v>
      </c>
      <c r="F127" s="538">
        <v>1376175</v>
      </c>
      <c r="G127" s="538">
        <v>80</v>
      </c>
    </row>
    <row r="128" spans="1:7" x14ac:dyDescent="0.2">
      <c r="A128" s="538">
        <v>7</v>
      </c>
      <c r="B128" s="538" t="s">
        <v>6588</v>
      </c>
      <c r="C128" s="538" t="s">
        <v>740</v>
      </c>
      <c r="D128" s="538" t="s">
        <v>393</v>
      </c>
      <c r="E128" s="538" t="s">
        <v>402</v>
      </c>
      <c r="F128" s="538">
        <v>1528645</v>
      </c>
      <c r="G128" s="538">
        <v>30</v>
      </c>
    </row>
    <row r="129" spans="1:7" x14ac:dyDescent="0.2">
      <c r="A129" s="538">
        <v>11</v>
      </c>
      <c r="B129" s="538" t="s">
        <v>6584</v>
      </c>
      <c r="C129" s="538" t="s">
        <v>393</v>
      </c>
      <c r="D129" s="538" t="s">
        <v>393</v>
      </c>
      <c r="E129" s="538" t="s">
        <v>860</v>
      </c>
      <c r="F129" s="538">
        <v>2706705</v>
      </c>
      <c r="G129" s="538">
        <v>60</v>
      </c>
    </row>
    <row r="130" spans="1:7" x14ac:dyDescent="0.2">
      <c r="A130" s="538">
        <v>5</v>
      </c>
      <c r="B130" s="538" t="s">
        <v>6650</v>
      </c>
      <c r="C130" s="538" t="s">
        <v>740</v>
      </c>
      <c r="D130" s="538" t="s">
        <v>740</v>
      </c>
      <c r="E130" s="538" t="s">
        <v>449</v>
      </c>
      <c r="F130" s="538">
        <v>226560</v>
      </c>
      <c r="G130" s="538">
        <v>20</v>
      </c>
    </row>
    <row r="131" spans="1:7" x14ac:dyDescent="0.2">
      <c r="A131" s="538">
        <v>3</v>
      </c>
      <c r="B131" s="538" t="s">
        <v>6603</v>
      </c>
      <c r="C131" s="538" t="s">
        <v>740</v>
      </c>
      <c r="D131" s="538" t="s">
        <v>393</v>
      </c>
      <c r="E131" s="538" t="s">
        <v>230</v>
      </c>
      <c r="F131" s="538">
        <v>861053</v>
      </c>
      <c r="G131" s="538">
        <v>11</v>
      </c>
    </row>
    <row r="132" spans="1:7" x14ac:dyDescent="0.2">
      <c r="A132" s="538">
        <v>4</v>
      </c>
      <c r="B132" s="538" t="s">
        <v>6572</v>
      </c>
      <c r="C132" s="538" t="s">
        <v>393</v>
      </c>
      <c r="D132" s="538" t="s">
        <v>393</v>
      </c>
      <c r="E132" s="538" t="s">
        <v>211</v>
      </c>
      <c r="F132" s="538">
        <v>27958151</v>
      </c>
      <c r="G132" s="538">
        <v>472</v>
      </c>
    </row>
    <row r="133" spans="1:7" x14ac:dyDescent="0.2">
      <c r="A133" s="538">
        <v>3</v>
      </c>
      <c r="B133" s="538" t="s">
        <v>6647</v>
      </c>
      <c r="C133" s="538" t="s">
        <v>740</v>
      </c>
      <c r="D133" s="538" t="s">
        <v>393</v>
      </c>
      <c r="E133" s="538" t="s">
        <v>313</v>
      </c>
      <c r="F133" s="538">
        <v>593304</v>
      </c>
      <c r="G133" s="538">
        <v>8</v>
      </c>
    </row>
    <row r="134" spans="1:7" x14ac:dyDescent="0.2">
      <c r="A134" s="538">
        <v>4</v>
      </c>
      <c r="B134" s="538" t="s">
        <v>6574</v>
      </c>
      <c r="C134" s="538" t="s">
        <v>740</v>
      </c>
      <c r="D134" s="538" t="s">
        <v>393</v>
      </c>
      <c r="E134" s="538" t="s">
        <v>419</v>
      </c>
      <c r="F134" s="538">
        <v>11328</v>
      </c>
      <c r="G134" s="538">
        <v>1</v>
      </c>
    </row>
    <row r="135" spans="1:7" x14ac:dyDescent="0.2">
      <c r="A135" s="538">
        <v>3</v>
      </c>
      <c r="B135" s="538" t="s">
        <v>6586</v>
      </c>
      <c r="C135" s="538" t="s">
        <v>740</v>
      </c>
      <c r="D135" s="538" t="s">
        <v>393</v>
      </c>
      <c r="E135" s="538" t="s">
        <v>438</v>
      </c>
      <c r="F135" s="538">
        <v>123192</v>
      </c>
      <c r="G135" s="538">
        <v>4</v>
      </c>
    </row>
    <row r="136" spans="1:7" x14ac:dyDescent="0.2">
      <c r="A136" s="538">
        <v>4</v>
      </c>
      <c r="B136" s="538" t="s">
        <v>6574</v>
      </c>
      <c r="C136" s="538" t="s">
        <v>740</v>
      </c>
      <c r="D136" s="538" t="s">
        <v>393</v>
      </c>
      <c r="E136" s="538" t="s">
        <v>212</v>
      </c>
      <c r="F136" s="538">
        <v>20217825</v>
      </c>
      <c r="G136" s="538">
        <v>1590</v>
      </c>
    </row>
    <row r="137" spans="1:7" x14ac:dyDescent="0.2">
      <c r="A137" s="538">
        <v>8</v>
      </c>
      <c r="B137" s="538" t="s">
        <v>6560</v>
      </c>
      <c r="C137" s="538" t="s">
        <v>740</v>
      </c>
      <c r="D137" s="538" t="s">
        <v>393</v>
      </c>
      <c r="E137" s="538" t="s">
        <v>313</v>
      </c>
      <c r="F137" s="538">
        <v>1597498</v>
      </c>
      <c r="G137" s="538">
        <v>11</v>
      </c>
    </row>
    <row r="138" spans="1:7" x14ac:dyDescent="0.2">
      <c r="A138" s="538">
        <v>11</v>
      </c>
      <c r="B138" s="538" t="s">
        <v>6584</v>
      </c>
      <c r="C138" s="538" t="s">
        <v>740</v>
      </c>
      <c r="D138" s="538" t="s">
        <v>393</v>
      </c>
      <c r="E138" s="538" t="s">
        <v>390</v>
      </c>
      <c r="F138" s="538">
        <v>6826432</v>
      </c>
      <c r="G138" s="538">
        <v>239</v>
      </c>
    </row>
    <row r="139" spans="1:7" x14ac:dyDescent="0.2">
      <c r="A139" s="538">
        <v>3</v>
      </c>
      <c r="B139" s="538" t="s">
        <v>6603</v>
      </c>
      <c r="C139" s="538" t="s">
        <v>740</v>
      </c>
      <c r="D139" s="538" t="s">
        <v>393</v>
      </c>
      <c r="E139" s="538" t="s">
        <v>416</v>
      </c>
      <c r="F139" s="538">
        <v>2400422</v>
      </c>
      <c r="G139" s="538">
        <v>84</v>
      </c>
    </row>
    <row r="140" spans="1:7" x14ac:dyDescent="0.2">
      <c r="A140" s="538">
        <v>1</v>
      </c>
      <c r="B140" s="538" t="s">
        <v>6581</v>
      </c>
      <c r="C140" s="538" t="s">
        <v>740</v>
      </c>
      <c r="D140" s="538" t="s">
        <v>740</v>
      </c>
      <c r="E140" s="538" t="s">
        <v>212</v>
      </c>
      <c r="F140" s="538">
        <v>33984</v>
      </c>
      <c r="G140" s="538">
        <v>3</v>
      </c>
    </row>
    <row r="141" spans="1:7" x14ac:dyDescent="0.2">
      <c r="A141" s="538">
        <v>8</v>
      </c>
      <c r="B141" s="538" t="s">
        <v>6570</v>
      </c>
      <c r="C141" s="538" t="s">
        <v>740</v>
      </c>
      <c r="D141" s="538" t="s">
        <v>740</v>
      </c>
      <c r="E141" s="538" t="s">
        <v>860</v>
      </c>
      <c r="F141" s="538">
        <v>11328</v>
      </c>
      <c r="G141" s="538">
        <v>1</v>
      </c>
    </row>
    <row r="142" spans="1:7" x14ac:dyDescent="0.2">
      <c r="A142" s="538">
        <v>4</v>
      </c>
      <c r="B142" s="538" t="s">
        <v>6562</v>
      </c>
      <c r="C142" s="538" t="s">
        <v>740</v>
      </c>
      <c r="D142" s="538" t="s">
        <v>740</v>
      </c>
      <c r="E142" s="538" t="s">
        <v>402</v>
      </c>
      <c r="F142" s="538">
        <v>227622</v>
      </c>
      <c r="G142" s="538">
        <v>9</v>
      </c>
    </row>
    <row r="143" spans="1:7" x14ac:dyDescent="0.2">
      <c r="A143" s="538">
        <v>10</v>
      </c>
      <c r="B143" s="538" t="s">
        <v>6582</v>
      </c>
      <c r="C143" s="538" t="s">
        <v>740</v>
      </c>
      <c r="D143" s="538" t="s">
        <v>393</v>
      </c>
      <c r="E143" s="538" t="s">
        <v>438</v>
      </c>
      <c r="F143" s="538">
        <v>2047557</v>
      </c>
      <c r="G143" s="538">
        <v>19</v>
      </c>
    </row>
    <row r="144" spans="1:7" x14ac:dyDescent="0.2">
      <c r="A144" s="538">
        <v>7</v>
      </c>
      <c r="B144" s="538" t="s">
        <v>6588</v>
      </c>
      <c r="C144" s="538" t="s">
        <v>740</v>
      </c>
      <c r="D144" s="538" t="s">
        <v>393</v>
      </c>
      <c r="E144" s="538" t="s">
        <v>449</v>
      </c>
      <c r="F144" s="538">
        <v>4617722</v>
      </c>
      <c r="G144" s="538">
        <v>114</v>
      </c>
    </row>
    <row r="145" spans="1:7" x14ac:dyDescent="0.2">
      <c r="A145" s="538">
        <v>6</v>
      </c>
      <c r="B145" s="538" t="s">
        <v>6596</v>
      </c>
      <c r="C145" s="538" t="s">
        <v>393</v>
      </c>
      <c r="D145" s="538" t="s">
        <v>740</v>
      </c>
      <c r="E145" s="538" t="s">
        <v>202</v>
      </c>
      <c r="F145" s="538">
        <v>741578</v>
      </c>
      <c r="G145" s="538">
        <v>6</v>
      </c>
    </row>
    <row r="146" spans="1:7" x14ac:dyDescent="0.2">
      <c r="A146" s="538">
        <v>4</v>
      </c>
      <c r="B146" s="538" t="s">
        <v>6562</v>
      </c>
      <c r="C146" s="538" t="s">
        <v>740</v>
      </c>
      <c r="D146" s="538" t="s">
        <v>740</v>
      </c>
      <c r="E146" s="538" t="s">
        <v>402</v>
      </c>
      <c r="F146" s="538">
        <v>6016605</v>
      </c>
      <c r="G146" s="538">
        <v>195</v>
      </c>
    </row>
    <row r="147" spans="1:7" x14ac:dyDescent="0.2">
      <c r="A147" s="538">
        <v>8</v>
      </c>
      <c r="B147" s="538" t="s">
        <v>6577</v>
      </c>
      <c r="C147" s="538" t="s">
        <v>740</v>
      </c>
      <c r="D147" s="538" t="s">
        <v>393</v>
      </c>
      <c r="E147" s="538" t="s">
        <v>409</v>
      </c>
      <c r="F147" s="538">
        <v>1775029</v>
      </c>
      <c r="G147" s="538">
        <v>33</v>
      </c>
    </row>
    <row r="148" spans="1:7" x14ac:dyDescent="0.2">
      <c r="A148" s="538">
        <v>7</v>
      </c>
      <c r="B148" s="538" t="s">
        <v>6579</v>
      </c>
      <c r="C148" s="538" t="s">
        <v>740</v>
      </c>
      <c r="D148" s="538" t="s">
        <v>393</v>
      </c>
      <c r="E148" s="538" t="s">
        <v>401</v>
      </c>
      <c r="F148" s="538">
        <v>553073</v>
      </c>
      <c r="G148" s="538">
        <v>6</v>
      </c>
    </row>
    <row r="149" spans="1:7" x14ac:dyDescent="0.2">
      <c r="A149" s="538">
        <v>4</v>
      </c>
      <c r="B149" s="538" t="s">
        <v>6559</v>
      </c>
      <c r="C149" s="538" t="s">
        <v>740</v>
      </c>
      <c r="D149" s="538" t="s">
        <v>740</v>
      </c>
      <c r="E149" s="538" t="s">
        <v>207</v>
      </c>
      <c r="F149" s="538">
        <v>45312</v>
      </c>
      <c r="G149" s="538">
        <v>4</v>
      </c>
    </row>
    <row r="150" spans="1:7" x14ac:dyDescent="0.2">
      <c r="A150" s="538">
        <v>8</v>
      </c>
      <c r="B150" s="538" t="s">
        <v>6570</v>
      </c>
      <c r="C150" s="538" t="s">
        <v>740</v>
      </c>
      <c r="D150" s="538" t="s">
        <v>740</v>
      </c>
      <c r="E150" s="538" t="s">
        <v>449</v>
      </c>
      <c r="F150" s="538">
        <v>992793</v>
      </c>
      <c r="G150" s="538">
        <v>71</v>
      </c>
    </row>
    <row r="151" spans="1:7" x14ac:dyDescent="0.2">
      <c r="A151" s="538">
        <v>4</v>
      </c>
      <c r="B151" s="538" t="s">
        <v>6574</v>
      </c>
      <c r="C151" s="538" t="s">
        <v>740</v>
      </c>
      <c r="D151" s="538" t="s">
        <v>740</v>
      </c>
      <c r="E151" s="538" t="s">
        <v>202</v>
      </c>
      <c r="F151" s="538">
        <v>5040294</v>
      </c>
      <c r="G151" s="538">
        <v>48</v>
      </c>
    </row>
    <row r="152" spans="1:7" x14ac:dyDescent="0.2">
      <c r="A152" s="538">
        <v>6</v>
      </c>
      <c r="B152" s="538" t="s">
        <v>6596</v>
      </c>
      <c r="C152" s="538" t="s">
        <v>393</v>
      </c>
      <c r="D152" s="538" t="s">
        <v>393</v>
      </c>
      <c r="E152" s="538" t="s">
        <v>212</v>
      </c>
      <c r="F152" s="538">
        <v>819156</v>
      </c>
      <c r="G152" s="538">
        <v>62</v>
      </c>
    </row>
    <row r="153" spans="1:7" x14ac:dyDescent="0.2">
      <c r="A153" s="538">
        <v>3</v>
      </c>
      <c r="B153" s="538" t="s">
        <v>6603</v>
      </c>
      <c r="C153" s="538" t="s">
        <v>740</v>
      </c>
      <c r="D153" s="538" t="s">
        <v>393</v>
      </c>
      <c r="E153" s="538" t="s">
        <v>212</v>
      </c>
      <c r="F153" s="538">
        <v>317184</v>
      </c>
      <c r="G153" s="538">
        <v>28</v>
      </c>
    </row>
    <row r="154" spans="1:7" x14ac:dyDescent="0.2">
      <c r="A154" s="538">
        <v>3</v>
      </c>
      <c r="B154" s="538" t="s">
        <v>6647</v>
      </c>
      <c r="C154" s="538" t="s">
        <v>393</v>
      </c>
      <c r="D154" s="538" t="s">
        <v>393</v>
      </c>
      <c r="E154" s="538" t="s">
        <v>207</v>
      </c>
      <c r="F154" s="538">
        <v>14326245</v>
      </c>
      <c r="G154" s="538">
        <v>850</v>
      </c>
    </row>
    <row r="155" spans="1:7" x14ac:dyDescent="0.2">
      <c r="A155" s="538">
        <v>8</v>
      </c>
      <c r="B155" s="538" t="s">
        <v>6583</v>
      </c>
      <c r="C155" s="538" t="s">
        <v>393</v>
      </c>
      <c r="D155" s="538" t="s">
        <v>393</v>
      </c>
      <c r="E155" s="538" t="s">
        <v>390</v>
      </c>
      <c r="F155" s="538">
        <v>20158843</v>
      </c>
      <c r="G155" s="538">
        <v>571</v>
      </c>
    </row>
    <row r="156" spans="1:7" x14ac:dyDescent="0.2">
      <c r="A156" s="538">
        <v>8</v>
      </c>
      <c r="B156" s="538" t="s">
        <v>6570</v>
      </c>
      <c r="C156" s="538" t="s">
        <v>393</v>
      </c>
      <c r="D156" s="538" t="s">
        <v>393</v>
      </c>
      <c r="E156" s="538" t="s">
        <v>449</v>
      </c>
      <c r="F156" s="538">
        <v>96819</v>
      </c>
      <c r="G156" s="538">
        <v>3</v>
      </c>
    </row>
    <row r="157" spans="1:7" x14ac:dyDescent="0.2">
      <c r="A157" s="538">
        <v>1</v>
      </c>
      <c r="B157" s="538" t="s">
        <v>6602</v>
      </c>
      <c r="C157" s="538" t="s">
        <v>740</v>
      </c>
      <c r="D157" s="538" t="s">
        <v>393</v>
      </c>
      <c r="E157" s="538" t="s">
        <v>402</v>
      </c>
      <c r="F157" s="538">
        <v>310635</v>
      </c>
      <c r="G157" s="538">
        <v>15</v>
      </c>
    </row>
    <row r="158" spans="1:7" x14ac:dyDescent="0.2">
      <c r="A158" s="538">
        <v>5</v>
      </c>
      <c r="B158" s="538" t="s">
        <v>6566</v>
      </c>
      <c r="C158" s="538" t="s">
        <v>740</v>
      </c>
      <c r="D158" s="538" t="s">
        <v>393</v>
      </c>
      <c r="E158" s="538" t="s">
        <v>212</v>
      </c>
      <c r="F158" s="538">
        <v>575729</v>
      </c>
      <c r="G158" s="538">
        <v>8</v>
      </c>
    </row>
    <row r="159" spans="1:7" x14ac:dyDescent="0.2">
      <c r="A159" s="538">
        <v>4</v>
      </c>
      <c r="B159" s="538" t="s">
        <v>6590</v>
      </c>
      <c r="C159" s="538" t="s">
        <v>393</v>
      </c>
      <c r="D159" s="538" t="s">
        <v>393</v>
      </c>
      <c r="E159" s="538" t="s">
        <v>202</v>
      </c>
      <c r="F159" s="538">
        <v>10982497</v>
      </c>
      <c r="G159" s="538">
        <v>69</v>
      </c>
    </row>
    <row r="160" spans="1:7" x14ac:dyDescent="0.2">
      <c r="A160" s="538">
        <v>8</v>
      </c>
      <c r="B160" s="538" t="s">
        <v>6583</v>
      </c>
      <c r="C160" s="538" t="s">
        <v>740</v>
      </c>
      <c r="D160" s="538" t="s">
        <v>393</v>
      </c>
      <c r="E160" s="538" t="s">
        <v>390</v>
      </c>
      <c r="F160" s="538">
        <v>169920</v>
      </c>
      <c r="G160" s="538">
        <v>15</v>
      </c>
    </row>
    <row r="161" spans="1:7" x14ac:dyDescent="0.2">
      <c r="A161" s="538">
        <v>8</v>
      </c>
      <c r="B161" s="538" t="s">
        <v>6570</v>
      </c>
      <c r="C161" s="538" t="s">
        <v>740</v>
      </c>
      <c r="D161" s="538" t="s">
        <v>740</v>
      </c>
      <c r="E161" s="538" t="s">
        <v>409</v>
      </c>
      <c r="F161" s="538">
        <v>480732</v>
      </c>
      <c r="G161" s="538">
        <v>39</v>
      </c>
    </row>
    <row r="162" spans="1:7" x14ac:dyDescent="0.2">
      <c r="A162" s="538">
        <v>10</v>
      </c>
      <c r="B162" s="538" t="s">
        <v>6582</v>
      </c>
      <c r="C162" s="538" t="s">
        <v>393</v>
      </c>
      <c r="D162" s="538" t="s">
        <v>393</v>
      </c>
      <c r="E162" s="538" t="s">
        <v>860</v>
      </c>
      <c r="F162" s="538">
        <v>1598914</v>
      </c>
      <c r="G162" s="538">
        <v>23</v>
      </c>
    </row>
    <row r="163" spans="1:7" x14ac:dyDescent="0.2">
      <c r="A163" s="538">
        <v>5</v>
      </c>
      <c r="B163" s="538" t="s">
        <v>6598</v>
      </c>
      <c r="C163" s="538" t="s">
        <v>740</v>
      </c>
      <c r="D163" s="538" t="s">
        <v>740</v>
      </c>
      <c r="E163" s="538" t="s">
        <v>438</v>
      </c>
      <c r="F163" s="538">
        <v>45312</v>
      </c>
      <c r="G163" s="538">
        <v>4</v>
      </c>
    </row>
    <row r="164" spans="1:7" x14ac:dyDescent="0.2">
      <c r="A164" s="538">
        <v>6</v>
      </c>
      <c r="B164" s="538" t="s">
        <v>6429</v>
      </c>
      <c r="C164" s="538" t="s">
        <v>393</v>
      </c>
      <c r="D164" s="538" t="s">
        <v>740</v>
      </c>
      <c r="E164" s="538" t="s">
        <v>409</v>
      </c>
      <c r="F164" s="538">
        <v>84252</v>
      </c>
      <c r="G164" s="538">
        <v>4</v>
      </c>
    </row>
    <row r="165" spans="1:7" x14ac:dyDescent="0.2">
      <c r="A165" s="538">
        <v>9</v>
      </c>
      <c r="B165" s="538" t="s">
        <v>6644</v>
      </c>
      <c r="C165" s="538" t="s">
        <v>393</v>
      </c>
      <c r="D165" s="538" t="s">
        <v>740</v>
      </c>
      <c r="E165" s="538" t="s">
        <v>402</v>
      </c>
      <c r="F165" s="538">
        <v>85491</v>
      </c>
      <c r="G165" s="538">
        <v>2</v>
      </c>
    </row>
    <row r="166" spans="1:7" x14ac:dyDescent="0.2">
      <c r="A166" s="538">
        <v>4</v>
      </c>
      <c r="B166" s="538" t="s">
        <v>6593</v>
      </c>
      <c r="C166" s="538" t="s">
        <v>740</v>
      </c>
      <c r="D166" s="538" t="s">
        <v>740</v>
      </c>
      <c r="E166" s="538" t="s">
        <v>860</v>
      </c>
      <c r="F166" s="538">
        <v>499140</v>
      </c>
      <c r="G166" s="538">
        <v>15</v>
      </c>
    </row>
    <row r="167" spans="1:7" x14ac:dyDescent="0.2">
      <c r="A167" s="538">
        <v>8</v>
      </c>
      <c r="B167" s="538" t="s">
        <v>6577</v>
      </c>
      <c r="C167" s="538" t="s">
        <v>740</v>
      </c>
      <c r="D167" s="538" t="s">
        <v>740</v>
      </c>
      <c r="E167" s="538" t="s">
        <v>416</v>
      </c>
      <c r="F167" s="538">
        <v>1046247</v>
      </c>
      <c r="G167" s="538">
        <v>39</v>
      </c>
    </row>
    <row r="168" spans="1:7" x14ac:dyDescent="0.2">
      <c r="A168" s="538">
        <v>2</v>
      </c>
      <c r="B168" s="538" t="s">
        <v>6585</v>
      </c>
      <c r="C168" s="538" t="s">
        <v>740</v>
      </c>
      <c r="D168" s="538" t="s">
        <v>393</v>
      </c>
      <c r="E168" s="538" t="s">
        <v>401</v>
      </c>
      <c r="F168" s="538">
        <v>22656</v>
      </c>
      <c r="G168" s="538">
        <v>2</v>
      </c>
    </row>
    <row r="169" spans="1:7" x14ac:dyDescent="0.2">
      <c r="A169" s="538">
        <v>11</v>
      </c>
      <c r="B169" s="538" t="s">
        <v>6659</v>
      </c>
      <c r="C169" s="538" t="s">
        <v>740</v>
      </c>
      <c r="D169" s="538" t="s">
        <v>393</v>
      </c>
      <c r="E169" s="538" t="s">
        <v>207</v>
      </c>
      <c r="F169" s="538">
        <v>11328</v>
      </c>
      <c r="G169" s="538">
        <v>1</v>
      </c>
    </row>
    <row r="170" spans="1:7" x14ac:dyDescent="0.2">
      <c r="A170" s="538">
        <v>10</v>
      </c>
      <c r="B170" s="538" t="s">
        <v>6597</v>
      </c>
      <c r="C170" s="538" t="s">
        <v>393</v>
      </c>
      <c r="D170" s="538" t="s">
        <v>393</v>
      </c>
      <c r="E170" s="538" t="s">
        <v>401</v>
      </c>
      <c r="F170" s="538">
        <v>198771</v>
      </c>
      <c r="G170" s="538">
        <v>12</v>
      </c>
    </row>
    <row r="171" spans="1:7" x14ac:dyDescent="0.2">
      <c r="A171" s="538">
        <v>5</v>
      </c>
      <c r="B171" s="538" t="s">
        <v>6651</v>
      </c>
      <c r="C171" s="538" t="s">
        <v>740</v>
      </c>
      <c r="D171" s="538" t="s">
        <v>393</v>
      </c>
      <c r="E171" s="538" t="s">
        <v>438</v>
      </c>
      <c r="F171" s="538">
        <v>1806358</v>
      </c>
      <c r="G171" s="538">
        <v>26</v>
      </c>
    </row>
    <row r="172" spans="1:7" x14ac:dyDescent="0.2">
      <c r="A172" s="538">
        <v>7</v>
      </c>
      <c r="B172" s="538" t="s">
        <v>6594</v>
      </c>
      <c r="C172" s="538" t="s">
        <v>740</v>
      </c>
      <c r="D172" s="538" t="s">
        <v>393</v>
      </c>
      <c r="E172" s="538" t="s">
        <v>211</v>
      </c>
      <c r="F172" s="538">
        <v>281607</v>
      </c>
      <c r="G172" s="538">
        <v>9</v>
      </c>
    </row>
    <row r="173" spans="1:7" x14ac:dyDescent="0.2">
      <c r="A173" s="538">
        <v>10</v>
      </c>
      <c r="B173" s="538" t="s">
        <v>6653</v>
      </c>
      <c r="C173" s="538" t="s">
        <v>740</v>
      </c>
      <c r="D173" s="538" t="s">
        <v>393</v>
      </c>
      <c r="E173" s="538" t="s">
        <v>449</v>
      </c>
      <c r="F173" s="538">
        <v>56640</v>
      </c>
      <c r="G173" s="538">
        <v>5</v>
      </c>
    </row>
    <row r="174" spans="1:7" x14ac:dyDescent="0.2">
      <c r="A174" s="538">
        <v>6</v>
      </c>
      <c r="B174" s="538" t="s">
        <v>6433</v>
      </c>
      <c r="C174" s="538" t="s">
        <v>740</v>
      </c>
      <c r="D174" s="538" t="s">
        <v>393</v>
      </c>
      <c r="E174" s="538" t="s">
        <v>416</v>
      </c>
      <c r="F174" s="538">
        <v>170982</v>
      </c>
      <c r="G174" s="538">
        <v>4</v>
      </c>
    </row>
    <row r="175" spans="1:7" x14ac:dyDescent="0.2">
      <c r="A175" s="538">
        <v>5</v>
      </c>
      <c r="B175" s="538" t="s">
        <v>6568</v>
      </c>
      <c r="C175" s="538" t="s">
        <v>393</v>
      </c>
      <c r="D175" s="538" t="s">
        <v>393</v>
      </c>
      <c r="E175" s="538" t="s">
        <v>210</v>
      </c>
      <c r="F175" s="538">
        <v>3810373</v>
      </c>
      <c r="G175" s="538">
        <v>71</v>
      </c>
    </row>
    <row r="176" spans="1:7" x14ac:dyDescent="0.2">
      <c r="A176" s="538">
        <v>4</v>
      </c>
      <c r="B176" s="538" t="s">
        <v>6574</v>
      </c>
      <c r="C176" s="538" t="s">
        <v>740</v>
      </c>
      <c r="D176" s="538" t="s">
        <v>740</v>
      </c>
      <c r="E176" s="538" t="s">
        <v>409</v>
      </c>
      <c r="F176" s="538">
        <v>50268</v>
      </c>
      <c r="G176" s="538">
        <v>1</v>
      </c>
    </row>
    <row r="177" spans="1:7" x14ac:dyDescent="0.2">
      <c r="A177" s="538">
        <v>2</v>
      </c>
      <c r="B177" s="538" t="s">
        <v>6585</v>
      </c>
      <c r="C177" s="538" t="s">
        <v>740</v>
      </c>
      <c r="D177" s="538" t="s">
        <v>393</v>
      </c>
      <c r="E177" s="538" t="s">
        <v>438</v>
      </c>
      <c r="F177" s="538">
        <v>5085325</v>
      </c>
      <c r="G177" s="538">
        <v>35</v>
      </c>
    </row>
    <row r="178" spans="1:7" x14ac:dyDescent="0.2">
      <c r="A178" s="538">
        <v>2</v>
      </c>
      <c r="B178" s="538" t="s">
        <v>6585</v>
      </c>
      <c r="C178" s="538" t="s">
        <v>740</v>
      </c>
      <c r="D178" s="538" t="s">
        <v>393</v>
      </c>
      <c r="E178" s="538" t="s">
        <v>206</v>
      </c>
      <c r="F178" s="538">
        <v>558029</v>
      </c>
      <c r="G178" s="538">
        <v>3</v>
      </c>
    </row>
    <row r="179" spans="1:7" x14ac:dyDescent="0.2">
      <c r="A179" s="538">
        <v>7</v>
      </c>
      <c r="B179" s="538" t="s">
        <v>6588</v>
      </c>
      <c r="C179" s="538" t="s">
        <v>393</v>
      </c>
      <c r="D179" s="538" t="s">
        <v>393</v>
      </c>
      <c r="E179" s="538" t="s">
        <v>860</v>
      </c>
      <c r="F179" s="538">
        <v>570825</v>
      </c>
      <c r="G179" s="538">
        <v>20</v>
      </c>
    </row>
    <row r="180" spans="1:7" x14ac:dyDescent="0.2">
      <c r="A180" s="538">
        <v>10</v>
      </c>
      <c r="B180" s="538" t="s">
        <v>6587</v>
      </c>
      <c r="C180" s="538" t="s">
        <v>740</v>
      </c>
      <c r="D180" s="538" t="s">
        <v>740</v>
      </c>
      <c r="E180" s="538" t="s">
        <v>210</v>
      </c>
      <c r="F180" s="538">
        <v>11328</v>
      </c>
      <c r="G180" s="538">
        <v>1</v>
      </c>
    </row>
    <row r="181" spans="1:7" x14ac:dyDescent="0.2">
      <c r="A181" s="538">
        <v>7</v>
      </c>
      <c r="B181" s="538" t="s">
        <v>6571</v>
      </c>
      <c r="C181" s="538" t="s">
        <v>740</v>
      </c>
      <c r="D181" s="538" t="s">
        <v>393</v>
      </c>
      <c r="E181" s="538" t="s">
        <v>207</v>
      </c>
      <c r="F181" s="538">
        <v>11328</v>
      </c>
      <c r="G181" s="538">
        <v>1</v>
      </c>
    </row>
    <row r="182" spans="1:7" x14ac:dyDescent="0.2">
      <c r="A182" s="538">
        <v>4</v>
      </c>
      <c r="B182" s="538" t="s">
        <v>6593</v>
      </c>
      <c r="C182" s="538" t="s">
        <v>740</v>
      </c>
      <c r="D182" s="538" t="s">
        <v>740</v>
      </c>
      <c r="E182" s="538" t="s">
        <v>401</v>
      </c>
      <c r="F182" s="538">
        <v>374886</v>
      </c>
      <c r="G182" s="538">
        <v>22</v>
      </c>
    </row>
    <row r="183" spans="1:7" x14ac:dyDescent="0.2">
      <c r="A183" s="538">
        <v>8</v>
      </c>
      <c r="B183" s="538" t="s">
        <v>6583</v>
      </c>
      <c r="C183" s="538" t="s">
        <v>740</v>
      </c>
      <c r="D183" s="538" t="s">
        <v>740</v>
      </c>
      <c r="E183" s="538" t="s">
        <v>230</v>
      </c>
      <c r="F183" s="538">
        <v>204966</v>
      </c>
      <c r="G183" s="538">
        <v>7</v>
      </c>
    </row>
    <row r="184" spans="1:7" x14ac:dyDescent="0.2">
      <c r="A184" s="538">
        <v>11</v>
      </c>
      <c r="B184" s="538" t="s">
        <v>6610</v>
      </c>
      <c r="C184" s="538" t="s">
        <v>740</v>
      </c>
      <c r="D184" s="538" t="s">
        <v>393</v>
      </c>
      <c r="E184" s="538" t="s">
        <v>209</v>
      </c>
      <c r="F184" s="538">
        <v>7341211</v>
      </c>
      <c r="G184" s="538">
        <v>42</v>
      </c>
    </row>
    <row r="185" spans="1:7" x14ac:dyDescent="0.2">
      <c r="A185" s="538">
        <v>2</v>
      </c>
      <c r="B185" s="538" t="s">
        <v>6573</v>
      </c>
      <c r="C185" s="538" t="s">
        <v>393</v>
      </c>
      <c r="D185" s="538" t="s">
        <v>393</v>
      </c>
      <c r="E185" s="538" t="s">
        <v>449</v>
      </c>
      <c r="F185" s="538">
        <v>790784</v>
      </c>
      <c r="G185" s="538">
        <v>18</v>
      </c>
    </row>
    <row r="186" spans="1:7" x14ac:dyDescent="0.2">
      <c r="A186" s="538">
        <v>11</v>
      </c>
      <c r="B186" s="538" t="s">
        <v>6592</v>
      </c>
      <c r="C186" s="538" t="s">
        <v>740</v>
      </c>
      <c r="D186" s="538" t="s">
        <v>393</v>
      </c>
      <c r="E186" s="538" t="s">
        <v>409</v>
      </c>
      <c r="F186" s="538">
        <v>1698617</v>
      </c>
      <c r="G186" s="538">
        <v>49</v>
      </c>
    </row>
    <row r="187" spans="1:7" x14ac:dyDescent="0.2">
      <c r="A187" s="538">
        <v>9</v>
      </c>
      <c r="B187" s="538" t="s">
        <v>6615</v>
      </c>
      <c r="C187" s="538" t="s">
        <v>740</v>
      </c>
      <c r="D187" s="538" t="s">
        <v>393</v>
      </c>
      <c r="E187" s="538" t="s">
        <v>207</v>
      </c>
      <c r="F187" s="538">
        <v>124608</v>
      </c>
      <c r="G187" s="538">
        <v>11</v>
      </c>
    </row>
    <row r="188" spans="1:7" x14ac:dyDescent="0.2">
      <c r="A188" s="538">
        <v>11</v>
      </c>
      <c r="B188" s="538" t="s">
        <v>6584</v>
      </c>
      <c r="C188" s="538" t="s">
        <v>740</v>
      </c>
      <c r="D188" s="538" t="s">
        <v>740</v>
      </c>
      <c r="E188" s="538" t="s">
        <v>409</v>
      </c>
      <c r="F188" s="538">
        <v>11328</v>
      </c>
      <c r="G188" s="538">
        <v>1</v>
      </c>
    </row>
    <row r="189" spans="1:7" x14ac:dyDescent="0.2">
      <c r="A189" s="538">
        <v>10</v>
      </c>
      <c r="B189" s="538" t="s">
        <v>6582</v>
      </c>
      <c r="C189" s="538" t="s">
        <v>393</v>
      </c>
      <c r="D189" s="538" t="s">
        <v>393</v>
      </c>
      <c r="E189" s="538" t="s">
        <v>212</v>
      </c>
      <c r="F189" s="538">
        <v>566223</v>
      </c>
      <c r="G189" s="538">
        <v>41</v>
      </c>
    </row>
    <row r="190" spans="1:7" x14ac:dyDescent="0.2">
      <c r="A190" s="538">
        <v>6</v>
      </c>
      <c r="B190" s="538" t="s">
        <v>6617</v>
      </c>
      <c r="C190" s="538" t="s">
        <v>393</v>
      </c>
      <c r="D190" s="538" t="s">
        <v>393</v>
      </c>
      <c r="E190" s="538" t="s">
        <v>860</v>
      </c>
      <c r="F190" s="538">
        <v>1628171</v>
      </c>
      <c r="G190" s="538">
        <v>42</v>
      </c>
    </row>
    <row r="191" spans="1:7" x14ac:dyDescent="0.2">
      <c r="A191" s="538">
        <v>3</v>
      </c>
      <c r="B191" s="538" t="s">
        <v>6647</v>
      </c>
      <c r="C191" s="538" t="s">
        <v>393</v>
      </c>
      <c r="D191" s="538" t="s">
        <v>393</v>
      </c>
      <c r="E191" s="538" t="s">
        <v>860</v>
      </c>
      <c r="F191" s="538">
        <v>300546</v>
      </c>
      <c r="G191" s="538">
        <v>12</v>
      </c>
    </row>
    <row r="192" spans="1:7" x14ac:dyDescent="0.2">
      <c r="A192" s="538">
        <v>4</v>
      </c>
      <c r="B192" s="538" t="s">
        <v>6559</v>
      </c>
      <c r="C192" s="538" t="s">
        <v>740</v>
      </c>
      <c r="D192" s="538" t="s">
        <v>740</v>
      </c>
      <c r="E192" s="538" t="s">
        <v>390</v>
      </c>
      <c r="F192" s="538">
        <v>13772485</v>
      </c>
      <c r="G192" s="538">
        <v>485</v>
      </c>
    </row>
    <row r="193" spans="1:7" x14ac:dyDescent="0.2">
      <c r="A193" s="538">
        <v>7</v>
      </c>
      <c r="B193" s="538" t="s">
        <v>6564</v>
      </c>
      <c r="C193" s="538" t="s">
        <v>393</v>
      </c>
      <c r="D193" s="538" t="s">
        <v>393</v>
      </c>
      <c r="E193" s="538" t="s">
        <v>390</v>
      </c>
      <c r="F193" s="538">
        <v>9231654</v>
      </c>
      <c r="G193" s="538">
        <v>298</v>
      </c>
    </row>
    <row r="194" spans="1:7" x14ac:dyDescent="0.2">
      <c r="A194" s="538">
        <v>6</v>
      </c>
      <c r="B194" s="538" t="s">
        <v>1668</v>
      </c>
      <c r="C194" s="538" t="s">
        <v>393</v>
      </c>
      <c r="D194" s="538" t="s">
        <v>740</v>
      </c>
      <c r="E194" s="538" t="s">
        <v>409</v>
      </c>
      <c r="F194" s="538">
        <v>294351</v>
      </c>
      <c r="G194" s="538">
        <v>17</v>
      </c>
    </row>
    <row r="195" spans="1:7" x14ac:dyDescent="0.2">
      <c r="A195" s="538">
        <v>5</v>
      </c>
      <c r="B195" s="538" t="s">
        <v>6566</v>
      </c>
      <c r="C195" s="538" t="s">
        <v>740</v>
      </c>
      <c r="D195" s="538" t="s">
        <v>393</v>
      </c>
      <c r="E195" s="538" t="s">
        <v>401</v>
      </c>
      <c r="F195" s="538">
        <v>22656</v>
      </c>
      <c r="G195" s="538">
        <v>2</v>
      </c>
    </row>
    <row r="196" spans="1:7" x14ac:dyDescent="0.2">
      <c r="A196" s="538">
        <v>5</v>
      </c>
      <c r="B196" s="538" t="s">
        <v>6651</v>
      </c>
      <c r="C196" s="538" t="s">
        <v>393</v>
      </c>
      <c r="D196" s="538" t="s">
        <v>393</v>
      </c>
      <c r="E196" s="538" t="s">
        <v>409</v>
      </c>
      <c r="F196" s="538">
        <v>3913210</v>
      </c>
      <c r="G196" s="538">
        <v>60</v>
      </c>
    </row>
    <row r="197" spans="1:7" x14ac:dyDescent="0.2">
      <c r="A197" s="538">
        <v>9</v>
      </c>
      <c r="B197" s="538" t="s">
        <v>6613</v>
      </c>
      <c r="C197" s="538" t="s">
        <v>393</v>
      </c>
      <c r="D197" s="538" t="s">
        <v>393</v>
      </c>
      <c r="E197" s="538" t="s">
        <v>211</v>
      </c>
      <c r="F197" s="538">
        <v>37515611</v>
      </c>
      <c r="G197" s="538">
        <v>437</v>
      </c>
    </row>
    <row r="198" spans="1:7" x14ac:dyDescent="0.2">
      <c r="A198" s="538">
        <v>6</v>
      </c>
      <c r="B198" s="538" t="s">
        <v>6429</v>
      </c>
      <c r="C198" s="538" t="s">
        <v>740</v>
      </c>
      <c r="D198" s="538" t="s">
        <v>740</v>
      </c>
      <c r="E198" s="538" t="s">
        <v>401</v>
      </c>
      <c r="F198" s="538">
        <v>3676946</v>
      </c>
      <c r="G198" s="538">
        <v>142</v>
      </c>
    </row>
    <row r="199" spans="1:7" x14ac:dyDescent="0.2">
      <c r="A199" s="538">
        <v>9</v>
      </c>
      <c r="B199" s="538" t="s">
        <v>6644</v>
      </c>
      <c r="C199" s="538" t="s">
        <v>740</v>
      </c>
      <c r="D199" s="538" t="s">
        <v>393</v>
      </c>
      <c r="E199" s="538" t="s">
        <v>210</v>
      </c>
      <c r="F199" s="538">
        <v>79296</v>
      </c>
      <c r="G199" s="538">
        <v>7</v>
      </c>
    </row>
    <row r="200" spans="1:7" x14ac:dyDescent="0.2">
      <c r="A200" s="538">
        <v>4</v>
      </c>
      <c r="B200" s="538" t="s">
        <v>6562</v>
      </c>
      <c r="C200" s="538" t="s">
        <v>740</v>
      </c>
      <c r="D200" s="538" t="s">
        <v>740</v>
      </c>
      <c r="E200" s="538" t="s">
        <v>202</v>
      </c>
      <c r="F200" s="538">
        <v>142131</v>
      </c>
      <c r="G200" s="538">
        <v>7</v>
      </c>
    </row>
    <row r="201" spans="1:7" x14ac:dyDescent="0.2">
      <c r="A201" s="538">
        <v>7</v>
      </c>
      <c r="B201" s="538" t="s">
        <v>6661</v>
      </c>
      <c r="C201" s="538" t="s">
        <v>393</v>
      </c>
      <c r="D201" s="538" t="s">
        <v>393</v>
      </c>
      <c r="E201" s="538" t="s">
        <v>402</v>
      </c>
      <c r="F201" s="538">
        <v>4974502</v>
      </c>
      <c r="G201" s="538">
        <v>99</v>
      </c>
    </row>
    <row r="202" spans="1:7" x14ac:dyDescent="0.2">
      <c r="A202" s="538">
        <v>1</v>
      </c>
      <c r="B202" s="538" t="s">
        <v>6602</v>
      </c>
      <c r="C202" s="538" t="s">
        <v>740</v>
      </c>
      <c r="D202" s="538" t="s">
        <v>393</v>
      </c>
      <c r="E202" s="538" t="s">
        <v>390</v>
      </c>
      <c r="F202" s="538">
        <v>255234</v>
      </c>
      <c r="G202" s="538">
        <v>8</v>
      </c>
    </row>
    <row r="203" spans="1:7" x14ac:dyDescent="0.2">
      <c r="A203" s="538">
        <v>10</v>
      </c>
      <c r="B203" s="538" t="s">
        <v>6587</v>
      </c>
      <c r="C203" s="538" t="s">
        <v>393</v>
      </c>
      <c r="D203" s="538" t="s">
        <v>740</v>
      </c>
      <c r="E203" s="538" t="s">
        <v>402</v>
      </c>
      <c r="F203" s="538">
        <v>203727</v>
      </c>
      <c r="G203" s="538">
        <v>9</v>
      </c>
    </row>
    <row r="204" spans="1:7" x14ac:dyDescent="0.2">
      <c r="A204" s="538">
        <v>8</v>
      </c>
      <c r="B204" s="538" t="s">
        <v>6570</v>
      </c>
      <c r="C204" s="538" t="s">
        <v>740</v>
      </c>
      <c r="D204" s="538" t="s">
        <v>740</v>
      </c>
      <c r="E204" s="538" t="s">
        <v>860</v>
      </c>
      <c r="F204" s="538">
        <v>249039</v>
      </c>
      <c r="G204" s="538">
        <v>13</v>
      </c>
    </row>
    <row r="205" spans="1:7" x14ac:dyDescent="0.2">
      <c r="A205" s="538">
        <v>5</v>
      </c>
      <c r="B205" s="538" t="s">
        <v>6598</v>
      </c>
      <c r="C205" s="538" t="s">
        <v>393</v>
      </c>
      <c r="D205" s="538" t="s">
        <v>393</v>
      </c>
      <c r="E205" s="538" t="s">
        <v>390</v>
      </c>
      <c r="F205" s="538">
        <v>10811400</v>
      </c>
      <c r="G205" s="538">
        <v>230</v>
      </c>
    </row>
    <row r="206" spans="1:7" x14ac:dyDescent="0.2">
      <c r="A206" s="538">
        <v>9</v>
      </c>
      <c r="B206" s="538" t="s">
        <v>6613</v>
      </c>
      <c r="C206" s="538" t="s">
        <v>740</v>
      </c>
      <c r="D206" s="538" t="s">
        <v>393</v>
      </c>
      <c r="E206" s="538" t="s">
        <v>402</v>
      </c>
      <c r="F206" s="538">
        <v>11328</v>
      </c>
      <c r="G206" s="538">
        <v>1</v>
      </c>
    </row>
    <row r="207" spans="1:7" x14ac:dyDescent="0.2">
      <c r="A207" s="538">
        <v>4</v>
      </c>
      <c r="B207" s="538" t="s">
        <v>6572</v>
      </c>
      <c r="C207" s="538" t="s">
        <v>393</v>
      </c>
      <c r="D207" s="538" t="s">
        <v>740</v>
      </c>
      <c r="E207" s="538" t="s">
        <v>449</v>
      </c>
      <c r="F207" s="538">
        <v>991731</v>
      </c>
      <c r="G207" s="538">
        <v>82</v>
      </c>
    </row>
    <row r="208" spans="1:7" x14ac:dyDescent="0.2">
      <c r="A208" s="538">
        <v>7</v>
      </c>
      <c r="B208" s="538" t="s">
        <v>6661</v>
      </c>
      <c r="C208" s="538" t="s">
        <v>393</v>
      </c>
      <c r="D208" s="538" t="s">
        <v>740</v>
      </c>
      <c r="E208" s="538" t="s">
        <v>401</v>
      </c>
      <c r="F208" s="538">
        <v>101952</v>
      </c>
      <c r="G208" s="538">
        <v>9</v>
      </c>
    </row>
    <row r="209" spans="1:7" x14ac:dyDescent="0.2">
      <c r="A209" s="538">
        <v>2</v>
      </c>
      <c r="B209" s="538" t="s">
        <v>6654</v>
      </c>
      <c r="C209" s="538" t="s">
        <v>393</v>
      </c>
      <c r="D209" s="538" t="s">
        <v>393</v>
      </c>
      <c r="E209" s="538" t="s">
        <v>209</v>
      </c>
      <c r="F209" s="538">
        <v>593252</v>
      </c>
      <c r="G209" s="538">
        <v>4</v>
      </c>
    </row>
    <row r="210" spans="1:7" x14ac:dyDescent="0.2">
      <c r="A210" s="538">
        <v>5</v>
      </c>
      <c r="B210" s="538" t="s">
        <v>6568</v>
      </c>
      <c r="C210" s="538" t="s">
        <v>740</v>
      </c>
      <c r="D210" s="538" t="s">
        <v>393</v>
      </c>
      <c r="E210" s="538" t="s">
        <v>438</v>
      </c>
      <c r="F210" s="538">
        <v>7131747</v>
      </c>
      <c r="G210" s="538">
        <v>74</v>
      </c>
    </row>
    <row r="211" spans="1:7" x14ac:dyDescent="0.2">
      <c r="A211" s="538">
        <v>5</v>
      </c>
      <c r="B211" s="538" t="s">
        <v>6599</v>
      </c>
      <c r="C211" s="538" t="s">
        <v>393</v>
      </c>
      <c r="D211" s="538" t="s">
        <v>740</v>
      </c>
      <c r="E211" s="538" t="s">
        <v>449</v>
      </c>
      <c r="F211" s="538">
        <v>45312</v>
      </c>
      <c r="G211" s="538">
        <v>4</v>
      </c>
    </row>
    <row r="212" spans="1:7" x14ac:dyDescent="0.2">
      <c r="A212" s="538">
        <v>6</v>
      </c>
      <c r="B212" s="538" t="s">
        <v>6596</v>
      </c>
      <c r="C212" s="538" t="s">
        <v>740</v>
      </c>
      <c r="D212" s="538" t="s">
        <v>393</v>
      </c>
      <c r="E212" s="538" t="s">
        <v>402</v>
      </c>
      <c r="F212" s="538">
        <v>96819</v>
      </c>
      <c r="G212" s="538">
        <v>3</v>
      </c>
    </row>
    <row r="213" spans="1:7" x14ac:dyDescent="0.2">
      <c r="A213" s="538">
        <v>6</v>
      </c>
      <c r="B213" s="538" t="s">
        <v>6596</v>
      </c>
      <c r="C213" s="538" t="s">
        <v>740</v>
      </c>
      <c r="D213" s="538" t="s">
        <v>393</v>
      </c>
      <c r="E213" s="538" t="s">
        <v>230</v>
      </c>
      <c r="F213" s="538">
        <v>741578</v>
      </c>
      <c r="G213" s="538">
        <v>6</v>
      </c>
    </row>
    <row r="214" spans="1:7" x14ac:dyDescent="0.2">
      <c r="A214" s="538">
        <v>8</v>
      </c>
      <c r="B214" s="538" t="s">
        <v>6583</v>
      </c>
      <c r="C214" s="538" t="s">
        <v>740</v>
      </c>
      <c r="D214" s="538" t="s">
        <v>393</v>
      </c>
      <c r="E214" s="538" t="s">
        <v>860</v>
      </c>
      <c r="F214" s="538">
        <v>56640</v>
      </c>
      <c r="G214" s="538">
        <v>5</v>
      </c>
    </row>
    <row r="215" spans="1:7" x14ac:dyDescent="0.2">
      <c r="A215" s="538">
        <v>7</v>
      </c>
      <c r="B215" s="538" t="s">
        <v>6594</v>
      </c>
      <c r="C215" s="538" t="s">
        <v>740</v>
      </c>
      <c r="D215" s="538" t="s">
        <v>740</v>
      </c>
      <c r="E215" s="538" t="s">
        <v>438</v>
      </c>
      <c r="F215" s="538">
        <v>22656</v>
      </c>
      <c r="G215" s="538">
        <v>2</v>
      </c>
    </row>
    <row r="216" spans="1:7" x14ac:dyDescent="0.2">
      <c r="A216" s="538">
        <v>10</v>
      </c>
      <c r="B216" s="538" t="s">
        <v>6664</v>
      </c>
      <c r="C216" s="538" t="s">
        <v>393</v>
      </c>
      <c r="D216" s="538" t="s">
        <v>393</v>
      </c>
      <c r="E216" s="538" t="s">
        <v>449</v>
      </c>
      <c r="F216" s="538">
        <v>33984</v>
      </c>
      <c r="G216" s="538">
        <v>3</v>
      </c>
    </row>
    <row r="217" spans="1:7" x14ac:dyDescent="0.2">
      <c r="A217" s="538">
        <v>3</v>
      </c>
      <c r="B217" s="538" t="s">
        <v>6561</v>
      </c>
      <c r="C217" s="538" t="s">
        <v>740</v>
      </c>
      <c r="D217" s="538" t="s">
        <v>393</v>
      </c>
      <c r="E217" s="538" t="s">
        <v>402</v>
      </c>
      <c r="F217" s="538">
        <v>11482053</v>
      </c>
      <c r="G217" s="538">
        <v>481</v>
      </c>
    </row>
    <row r="218" spans="1:7" x14ac:dyDescent="0.2">
      <c r="A218" s="538">
        <v>3</v>
      </c>
      <c r="B218" s="538" t="s">
        <v>6586</v>
      </c>
      <c r="C218" s="538" t="s">
        <v>740</v>
      </c>
      <c r="D218" s="538" t="s">
        <v>393</v>
      </c>
      <c r="E218" s="538" t="s">
        <v>202</v>
      </c>
      <c r="F218" s="538">
        <v>507761</v>
      </c>
      <c r="G218" s="538">
        <v>2</v>
      </c>
    </row>
    <row r="219" spans="1:7" x14ac:dyDescent="0.2">
      <c r="A219" s="538">
        <v>9</v>
      </c>
      <c r="B219" s="538" t="s">
        <v>6614</v>
      </c>
      <c r="C219" s="538" t="s">
        <v>393</v>
      </c>
      <c r="D219" s="538" t="s">
        <v>393</v>
      </c>
      <c r="E219" s="538" t="s">
        <v>416</v>
      </c>
      <c r="F219" s="538">
        <v>51327838</v>
      </c>
      <c r="G219" s="538">
        <v>801</v>
      </c>
    </row>
    <row r="220" spans="1:7" x14ac:dyDescent="0.2">
      <c r="A220" s="538">
        <v>1</v>
      </c>
      <c r="B220" s="538" t="s">
        <v>6602</v>
      </c>
      <c r="C220" s="538" t="s">
        <v>393</v>
      </c>
      <c r="D220" s="538" t="s">
        <v>740</v>
      </c>
      <c r="E220" s="538" t="s">
        <v>230</v>
      </c>
      <c r="F220" s="538">
        <v>186027</v>
      </c>
      <c r="G220" s="538">
        <v>4</v>
      </c>
    </row>
    <row r="221" spans="1:7" x14ac:dyDescent="0.2">
      <c r="A221" s="538">
        <v>6</v>
      </c>
      <c r="B221" s="538" t="s">
        <v>6596</v>
      </c>
      <c r="C221" s="538" t="s">
        <v>740</v>
      </c>
      <c r="D221" s="538" t="s">
        <v>393</v>
      </c>
      <c r="E221" s="538" t="s">
        <v>202</v>
      </c>
      <c r="F221" s="538">
        <v>570596</v>
      </c>
      <c r="G221" s="538">
        <v>2</v>
      </c>
    </row>
    <row r="222" spans="1:7" x14ac:dyDescent="0.2">
      <c r="A222" s="538">
        <v>5</v>
      </c>
      <c r="B222" s="538" t="s">
        <v>6568</v>
      </c>
      <c r="C222" s="538" t="s">
        <v>740</v>
      </c>
      <c r="D222" s="538" t="s">
        <v>740</v>
      </c>
      <c r="E222" s="538" t="s">
        <v>416</v>
      </c>
      <c r="F222" s="538">
        <v>12906268</v>
      </c>
      <c r="G222" s="538">
        <v>296</v>
      </c>
    </row>
    <row r="223" spans="1:7" x14ac:dyDescent="0.2">
      <c r="A223" s="538">
        <v>2</v>
      </c>
      <c r="B223" s="538" t="s">
        <v>6654</v>
      </c>
      <c r="C223" s="538" t="s">
        <v>740</v>
      </c>
      <c r="D223" s="538" t="s">
        <v>393</v>
      </c>
      <c r="E223" s="538" t="s">
        <v>230</v>
      </c>
      <c r="F223" s="538">
        <v>1112747</v>
      </c>
      <c r="G223" s="538">
        <v>34</v>
      </c>
    </row>
    <row r="224" spans="1:7" x14ac:dyDescent="0.2">
      <c r="A224" s="538">
        <v>7</v>
      </c>
      <c r="B224" s="538" t="s">
        <v>6564</v>
      </c>
      <c r="C224" s="538" t="s">
        <v>740</v>
      </c>
      <c r="D224" s="538" t="s">
        <v>393</v>
      </c>
      <c r="E224" s="538" t="s">
        <v>416</v>
      </c>
      <c r="F224" s="538">
        <v>20440919</v>
      </c>
      <c r="G224" s="538">
        <v>558</v>
      </c>
    </row>
    <row r="225" spans="1:7" x14ac:dyDescent="0.2">
      <c r="A225" s="538">
        <v>11</v>
      </c>
      <c r="B225" s="538" t="s">
        <v>6659</v>
      </c>
      <c r="C225" s="538" t="s">
        <v>393</v>
      </c>
      <c r="D225" s="538" t="s">
        <v>740</v>
      </c>
      <c r="E225" s="538" t="s">
        <v>210</v>
      </c>
      <c r="F225" s="538">
        <v>11328</v>
      </c>
      <c r="G225" s="538">
        <v>1</v>
      </c>
    </row>
    <row r="226" spans="1:7" x14ac:dyDescent="0.2">
      <c r="A226" s="538">
        <v>9</v>
      </c>
      <c r="B226" s="538" t="s">
        <v>6613</v>
      </c>
      <c r="C226" s="538" t="s">
        <v>393</v>
      </c>
      <c r="D226" s="538" t="s">
        <v>393</v>
      </c>
      <c r="E226" s="538" t="s">
        <v>313</v>
      </c>
      <c r="F226" s="538">
        <v>1351114</v>
      </c>
      <c r="G226" s="538">
        <v>8</v>
      </c>
    </row>
    <row r="227" spans="1:7" x14ac:dyDescent="0.2">
      <c r="A227" s="538">
        <v>9</v>
      </c>
      <c r="B227" s="538" t="s">
        <v>6644</v>
      </c>
      <c r="C227" s="538" t="s">
        <v>740</v>
      </c>
      <c r="D227" s="538" t="s">
        <v>393</v>
      </c>
      <c r="E227" s="538" t="s">
        <v>419</v>
      </c>
      <c r="F227" s="538">
        <v>11328</v>
      </c>
      <c r="G227" s="538">
        <v>1</v>
      </c>
    </row>
    <row r="228" spans="1:7" x14ac:dyDescent="0.2">
      <c r="A228" s="538">
        <v>6</v>
      </c>
      <c r="B228" s="538" t="s">
        <v>6433</v>
      </c>
      <c r="C228" s="538" t="s">
        <v>740</v>
      </c>
      <c r="D228" s="538" t="s">
        <v>393</v>
      </c>
      <c r="E228" s="538" t="s">
        <v>401</v>
      </c>
      <c r="F228" s="538">
        <v>255234</v>
      </c>
      <c r="G228" s="538">
        <v>8</v>
      </c>
    </row>
    <row r="229" spans="1:7" x14ac:dyDescent="0.2">
      <c r="A229" s="538">
        <v>10</v>
      </c>
      <c r="B229" s="538" t="s">
        <v>6652</v>
      </c>
      <c r="C229" s="538" t="s">
        <v>393</v>
      </c>
      <c r="D229" s="538" t="s">
        <v>393</v>
      </c>
      <c r="E229" s="538" t="s">
        <v>230</v>
      </c>
      <c r="F229" s="538">
        <v>164787</v>
      </c>
      <c r="G229" s="538">
        <v>9</v>
      </c>
    </row>
    <row r="230" spans="1:7" x14ac:dyDescent="0.2">
      <c r="A230" s="538">
        <v>8</v>
      </c>
      <c r="B230" s="538" t="s">
        <v>6570</v>
      </c>
      <c r="C230" s="538" t="s">
        <v>740</v>
      </c>
      <c r="D230" s="538" t="s">
        <v>740</v>
      </c>
      <c r="E230" s="538" t="s">
        <v>207</v>
      </c>
      <c r="F230" s="538">
        <v>679503</v>
      </c>
      <c r="G230" s="538">
        <v>51</v>
      </c>
    </row>
    <row r="231" spans="1:7" x14ac:dyDescent="0.2">
      <c r="A231" s="538">
        <v>7</v>
      </c>
      <c r="B231" s="538" t="s">
        <v>6579</v>
      </c>
      <c r="C231" s="538" t="s">
        <v>393</v>
      </c>
      <c r="D231" s="538" t="s">
        <v>393</v>
      </c>
      <c r="E231" s="538" t="s">
        <v>409</v>
      </c>
      <c r="F231" s="538">
        <v>723399</v>
      </c>
      <c r="G231" s="538">
        <v>48</v>
      </c>
    </row>
    <row r="232" spans="1:7" x14ac:dyDescent="0.2">
      <c r="A232" s="538">
        <v>3</v>
      </c>
      <c r="B232" s="538" t="s">
        <v>6561</v>
      </c>
      <c r="C232" s="538" t="s">
        <v>740</v>
      </c>
      <c r="D232" s="538" t="s">
        <v>740</v>
      </c>
      <c r="E232" s="538" t="s">
        <v>401</v>
      </c>
      <c r="F232" s="538">
        <v>147264</v>
      </c>
      <c r="G232" s="538">
        <v>13</v>
      </c>
    </row>
    <row r="233" spans="1:7" x14ac:dyDescent="0.2">
      <c r="A233" s="538">
        <v>12</v>
      </c>
      <c r="B233" s="538" t="s">
        <v>6563</v>
      </c>
      <c r="C233" s="538" t="s">
        <v>740</v>
      </c>
      <c r="D233" s="538" t="s">
        <v>393</v>
      </c>
      <c r="E233" s="538" t="s">
        <v>207</v>
      </c>
      <c r="F233" s="538">
        <v>255411</v>
      </c>
      <c r="G233" s="538">
        <v>17</v>
      </c>
    </row>
    <row r="234" spans="1:7" x14ac:dyDescent="0.2">
      <c r="A234" s="538">
        <v>11</v>
      </c>
      <c r="B234" s="538" t="s">
        <v>6584</v>
      </c>
      <c r="C234" s="538" t="s">
        <v>740</v>
      </c>
      <c r="D234" s="538" t="s">
        <v>393</v>
      </c>
      <c r="E234" s="538" t="s">
        <v>449</v>
      </c>
      <c r="F234" s="538">
        <v>11328</v>
      </c>
      <c r="G234" s="538">
        <v>1</v>
      </c>
    </row>
    <row r="235" spans="1:7" x14ac:dyDescent="0.2">
      <c r="A235" s="538">
        <v>6</v>
      </c>
      <c r="B235" s="538" t="s">
        <v>6433</v>
      </c>
      <c r="C235" s="538" t="s">
        <v>393</v>
      </c>
      <c r="D235" s="538" t="s">
        <v>740</v>
      </c>
      <c r="E235" s="538" t="s">
        <v>438</v>
      </c>
      <c r="F235" s="538">
        <v>1112341</v>
      </c>
      <c r="G235" s="538">
        <v>7</v>
      </c>
    </row>
    <row r="236" spans="1:7" x14ac:dyDescent="0.2">
      <c r="A236" s="538">
        <v>7</v>
      </c>
      <c r="B236" s="538" t="s">
        <v>6588</v>
      </c>
      <c r="C236" s="538" t="s">
        <v>740</v>
      </c>
      <c r="D236" s="538" t="s">
        <v>740</v>
      </c>
      <c r="E236" s="538" t="s">
        <v>409</v>
      </c>
      <c r="F236" s="538">
        <v>22656</v>
      </c>
      <c r="G236" s="538">
        <v>2</v>
      </c>
    </row>
    <row r="237" spans="1:7" x14ac:dyDescent="0.2">
      <c r="A237" s="538">
        <v>3</v>
      </c>
      <c r="B237" s="538" t="s">
        <v>6603</v>
      </c>
      <c r="C237" s="538" t="s">
        <v>740</v>
      </c>
      <c r="D237" s="538" t="s">
        <v>393</v>
      </c>
      <c r="E237" s="538" t="s">
        <v>390</v>
      </c>
      <c r="F237" s="538">
        <v>3729515</v>
      </c>
      <c r="G237" s="538">
        <v>135</v>
      </c>
    </row>
    <row r="238" spans="1:7" x14ac:dyDescent="0.2">
      <c r="A238" s="538">
        <v>3</v>
      </c>
      <c r="B238" s="538" t="s">
        <v>6647</v>
      </c>
      <c r="C238" s="538" t="s">
        <v>393</v>
      </c>
      <c r="D238" s="538" t="s">
        <v>393</v>
      </c>
      <c r="E238" s="538" t="s">
        <v>313</v>
      </c>
      <c r="F238" s="538">
        <v>1141192</v>
      </c>
      <c r="G238" s="538">
        <v>4</v>
      </c>
    </row>
    <row r="239" spans="1:7" x14ac:dyDescent="0.2">
      <c r="A239" s="538">
        <v>12</v>
      </c>
      <c r="B239" s="538" t="s">
        <v>6616</v>
      </c>
      <c r="C239" s="538" t="s">
        <v>393</v>
      </c>
      <c r="D239" s="538" t="s">
        <v>393</v>
      </c>
      <c r="E239" s="538" t="s">
        <v>230</v>
      </c>
      <c r="F239" s="538">
        <v>15183040</v>
      </c>
      <c r="G239" s="538">
        <v>275</v>
      </c>
    </row>
    <row r="240" spans="1:7" x14ac:dyDescent="0.2">
      <c r="A240" s="538">
        <v>8</v>
      </c>
      <c r="B240" s="538" t="s">
        <v>6583</v>
      </c>
      <c r="C240" s="538" t="s">
        <v>740</v>
      </c>
      <c r="D240" s="538" t="s">
        <v>393</v>
      </c>
      <c r="E240" s="538" t="s">
        <v>212</v>
      </c>
      <c r="F240" s="538">
        <v>135936</v>
      </c>
      <c r="G240" s="538">
        <v>12</v>
      </c>
    </row>
    <row r="241" spans="1:7" x14ac:dyDescent="0.2">
      <c r="A241" s="538">
        <v>9</v>
      </c>
      <c r="B241" s="538" t="s">
        <v>6644</v>
      </c>
      <c r="C241" s="538" t="s">
        <v>393</v>
      </c>
      <c r="D241" s="538" t="s">
        <v>393</v>
      </c>
      <c r="E241" s="538" t="s">
        <v>202</v>
      </c>
      <c r="F241" s="538">
        <v>11139798</v>
      </c>
      <c r="G241" s="538">
        <v>81</v>
      </c>
    </row>
    <row r="242" spans="1:7" x14ac:dyDescent="0.2">
      <c r="A242" s="538">
        <v>6</v>
      </c>
      <c r="B242" s="538" t="s">
        <v>1668</v>
      </c>
      <c r="C242" s="538" t="s">
        <v>740</v>
      </c>
      <c r="D242" s="538" t="s">
        <v>740</v>
      </c>
      <c r="E242" s="538" t="s">
        <v>207</v>
      </c>
      <c r="F242" s="538">
        <v>147264</v>
      </c>
      <c r="G242" s="538">
        <v>13</v>
      </c>
    </row>
    <row r="243" spans="1:7" x14ac:dyDescent="0.2">
      <c r="A243" s="538">
        <v>3</v>
      </c>
      <c r="B243" s="538" t="s">
        <v>1390</v>
      </c>
      <c r="C243" s="538" t="s">
        <v>740</v>
      </c>
      <c r="D243" s="538" t="s">
        <v>393</v>
      </c>
      <c r="E243" s="538" t="s">
        <v>210</v>
      </c>
      <c r="F243" s="538">
        <v>2474054</v>
      </c>
      <c r="G243" s="538">
        <v>123</v>
      </c>
    </row>
    <row r="244" spans="1:7" x14ac:dyDescent="0.2">
      <c r="A244" s="538">
        <v>8</v>
      </c>
      <c r="B244" s="538" t="s">
        <v>6577</v>
      </c>
      <c r="C244" s="538" t="s">
        <v>740</v>
      </c>
      <c r="D244" s="538" t="s">
        <v>393</v>
      </c>
      <c r="E244" s="538" t="s">
        <v>209</v>
      </c>
      <c r="F244" s="538">
        <v>256296665</v>
      </c>
      <c r="G244" s="538">
        <v>1785</v>
      </c>
    </row>
    <row r="245" spans="1:7" x14ac:dyDescent="0.2">
      <c r="A245" s="538">
        <v>3</v>
      </c>
      <c r="B245" s="538" t="s">
        <v>6586</v>
      </c>
      <c r="C245" s="538" t="s">
        <v>740</v>
      </c>
      <c r="D245" s="538" t="s">
        <v>740</v>
      </c>
      <c r="E245" s="538" t="s">
        <v>402</v>
      </c>
      <c r="F245" s="538">
        <v>22656</v>
      </c>
      <c r="G245" s="538">
        <v>2</v>
      </c>
    </row>
    <row r="246" spans="1:7" x14ac:dyDescent="0.2">
      <c r="A246" s="538">
        <v>4</v>
      </c>
      <c r="B246" s="538" t="s">
        <v>6593</v>
      </c>
      <c r="C246" s="538" t="s">
        <v>740</v>
      </c>
      <c r="D246" s="538" t="s">
        <v>393</v>
      </c>
      <c r="E246" s="538" t="s">
        <v>402</v>
      </c>
      <c r="F246" s="538">
        <v>31729146</v>
      </c>
      <c r="G246" s="538">
        <v>1262</v>
      </c>
    </row>
    <row r="247" spans="1:7" x14ac:dyDescent="0.2">
      <c r="A247" s="538">
        <v>9</v>
      </c>
      <c r="B247" s="538" t="s">
        <v>6644</v>
      </c>
      <c r="C247" s="538" t="s">
        <v>393</v>
      </c>
      <c r="D247" s="538" t="s">
        <v>393</v>
      </c>
      <c r="E247" s="538" t="s">
        <v>419</v>
      </c>
      <c r="F247" s="538">
        <v>22656</v>
      </c>
      <c r="G247" s="538">
        <v>2</v>
      </c>
    </row>
    <row r="248" spans="1:7" x14ac:dyDescent="0.2">
      <c r="A248" s="538">
        <v>10</v>
      </c>
      <c r="B248" s="538" t="s">
        <v>6597</v>
      </c>
      <c r="C248" s="538" t="s">
        <v>740</v>
      </c>
      <c r="D248" s="538" t="s">
        <v>393</v>
      </c>
      <c r="E248" s="538" t="s">
        <v>449</v>
      </c>
      <c r="F248" s="538">
        <v>22656</v>
      </c>
      <c r="G248" s="538">
        <v>2</v>
      </c>
    </row>
    <row r="249" spans="1:7" x14ac:dyDescent="0.2">
      <c r="A249" s="538">
        <v>8</v>
      </c>
      <c r="B249" s="538" t="s">
        <v>6570</v>
      </c>
      <c r="C249" s="538" t="s">
        <v>740</v>
      </c>
      <c r="D249" s="538" t="s">
        <v>740</v>
      </c>
      <c r="E249" s="538" t="s">
        <v>211</v>
      </c>
      <c r="F249" s="538">
        <v>1249568</v>
      </c>
      <c r="G249" s="538">
        <v>26</v>
      </c>
    </row>
    <row r="250" spans="1:7" x14ac:dyDescent="0.2">
      <c r="A250" s="538">
        <v>8</v>
      </c>
      <c r="B250" s="538" t="s">
        <v>6570</v>
      </c>
      <c r="C250" s="538" t="s">
        <v>740</v>
      </c>
      <c r="D250" s="538" t="s">
        <v>393</v>
      </c>
      <c r="E250" s="538" t="s">
        <v>207</v>
      </c>
      <c r="F250" s="538">
        <v>825528</v>
      </c>
      <c r="G250" s="538">
        <v>66</v>
      </c>
    </row>
    <row r="251" spans="1:7" x14ac:dyDescent="0.2">
      <c r="A251" s="538">
        <v>2</v>
      </c>
      <c r="B251" s="538" t="s">
        <v>6055</v>
      </c>
      <c r="C251" s="538" t="s">
        <v>740</v>
      </c>
      <c r="D251" s="538" t="s">
        <v>393</v>
      </c>
      <c r="E251" s="538" t="s">
        <v>211</v>
      </c>
      <c r="F251" s="538">
        <v>2582607</v>
      </c>
      <c r="G251" s="538">
        <v>84</v>
      </c>
    </row>
    <row r="252" spans="1:7" x14ac:dyDescent="0.2">
      <c r="A252" s="538">
        <v>7</v>
      </c>
      <c r="B252" s="538" t="s">
        <v>6564</v>
      </c>
      <c r="C252" s="538" t="s">
        <v>740</v>
      </c>
      <c r="D252" s="538" t="s">
        <v>740</v>
      </c>
      <c r="E252" s="538" t="s">
        <v>416</v>
      </c>
      <c r="F252" s="538">
        <v>9492323</v>
      </c>
      <c r="G252" s="538">
        <v>251</v>
      </c>
    </row>
    <row r="253" spans="1:7" x14ac:dyDescent="0.2">
      <c r="A253" s="538">
        <v>2</v>
      </c>
      <c r="B253" s="538" t="s">
        <v>6656</v>
      </c>
      <c r="C253" s="538" t="s">
        <v>740</v>
      </c>
      <c r="D253" s="538" t="s">
        <v>393</v>
      </c>
      <c r="E253" s="538" t="s">
        <v>211</v>
      </c>
      <c r="F253" s="538">
        <v>4416754</v>
      </c>
      <c r="G253" s="538">
        <v>123</v>
      </c>
    </row>
    <row r="254" spans="1:7" x14ac:dyDescent="0.2">
      <c r="A254" s="538">
        <v>3</v>
      </c>
      <c r="B254" s="538" t="s">
        <v>6561</v>
      </c>
      <c r="C254" s="538" t="s">
        <v>740</v>
      </c>
      <c r="D254" s="538" t="s">
        <v>740</v>
      </c>
      <c r="E254" s="538" t="s">
        <v>409</v>
      </c>
      <c r="F254" s="538">
        <v>491706</v>
      </c>
      <c r="G254" s="538">
        <v>22</v>
      </c>
    </row>
    <row r="255" spans="1:7" x14ac:dyDescent="0.2">
      <c r="A255" s="538">
        <v>3</v>
      </c>
      <c r="B255" s="538" t="s">
        <v>6591</v>
      </c>
      <c r="C255" s="538" t="s">
        <v>393</v>
      </c>
      <c r="D255" s="538" t="s">
        <v>393</v>
      </c>
      <c r="E255" s="538" t="s">
        <v>212</v>
      </c>
      <c r="F255" s="538">
        <v>612774</v>
      </c>
      <c r="G255" s="538">
        <v>43</v>
      </c>
    </row>
    <row r="256" spans="1:7" x14ac:dyDescent="0.2">
      <c r="A256" s="538">
        <v>6</v>
      </c>
      <c r="B256" s="538" t="s">
        <v>6596</v>
      </c>
      <c r="C256" s="538" t="s">
        <v>740</v>
      </c>
      <c r="D256" s="538" t="s">
        <v>393</v>
      </c>
      <c r="E256" s="538" t="s">
        <v>409</v>
      </c>
      <c r="F256" s="538">
        <v>74163</v>
      </c>
      <c r="G256" s="538">
        <v>1</v>
      </c>
    </row>
    <row r="257" spans="1:7" x14ac:dyDescent="0.2">
      <c r="A257" s="538">
        <v>7</v>
      </c>
      <c r="B257" s="538" t="s">
        <v>6571</v>
      </c>
      <c r="C257" s="538" t="s">
        <v>740</v>
      </c>
      <c r="D257" s="538" t="s">
        <v>393</v>
      </c>
      <c r="E257" s="538" t="s">
        <v>207</v>
      </c>
      <c r="F257" s="538">
        <v>1265904</v>
      </c>
      <c r="G257" s="538">
        <v>98</v>
      </c>
    </row>
    <row r="258" spans="1:7" x14ac:dyDescent="0.2">
      <c r="A258" s="538">
        <v>3</v>
      </c>
      <c r="B258" s="538" t="s">
        <v>6647</v>
      </c>
      <c r="C258" s="538" t="s">
        <v>740</v>
      </c>
      <c r="D258" s="538" t="s">
        <v>740</v>
      </c>
      <c r="E258" s="538" t="s">
        <v>202</v>
      </c>
      <c r="F258" s="538">
        <v>85491</v>
      </c>
      <c r="G258" s="538">
        <v>2</v>
      </c>
    </row>
    <row r="259" spans="1:7" x14ac:dyDescent="0.2">
      <c r="A259" s="538">
        <v>3</v>
      </c>
      <c r="B259" s="538" t="s">
        <v>6586</v>
      </c>
      <c r="C259" s="538" t="s">
        <v>393</v>
      </c>
      <c r="D259" s="538" t="s">
        <v>393</v>
      </c>
      <c r="E259" s="538" t="s">
        <v>211</v>
      </c>
      <c r="F259" s="538">
        <v>36253767</v>
      </c>
      <c r="G259" s="538">
        <v>504</v>
      </c>
    </row>
    <row r="260" spans="1:7" x14ac:dyDescent="0.2">
      <c r="A260" s="538">
        <v>11</v>
      </c>
      <c r="B260" s="538" t="s">
        <v>6558</v>
      </c>
      <c r="C260" s="538" t="s">
        <v>740</v>
      </c>
      <c r="D260" s="538" t="s">
        <v>393</v>
      </c>
      <c r="E260" s="538" t="s">
        <v>212</v>
      </c>
      <c r="F260" s="538">
        <v>33984</v>
      </c>
      <c r="G260" s="538">
        <v>3</v>
      </c>
    </row>
    <row r="261" spans="1:7" x14ac:dyDescent="0.2">
      <c r="A261" s="538">
        <v>8</v>
      </c>
      <c r="B261" s="538" t="s">
        <v>6658</v>
      </c>
      <c r="C261" s="538" t="s">
        <v>393</v>
      </c>
      <c r="D261" s="538" t="s">
        <v>393</v>
      </c>
      <c r="E261" s="538" t="s">
        <v>402</v>
      </c>
      <c r="F261" s="538">
        <v>6334820</v>
      </c>
      <c r="G261" s="538">
        <v>135</v>
      </c>
    </row>
    <row r="262" spans="1:7" x14ac:dyDescent="0.2">
      <c r="A262" s="538">
        <v>5</v>
      </c>
      <c r="B262" s="538" t="s">
        <v>6568</v>
      </c>
      <c r="C262" s="538" t="s">
        <v>740</v>
      </c>
      <c r="D262" s="538" t="s">
        <v>740</v>
      </c>
      <c r="E262" s="538" t="s">
        <v>207</v>
      </c>
      <c r="F262" s="538">
        <v>883053</v>
      </c>
      <c r="G262" s="538">
        <v>51</v>
      </c>
    </row>
    <row r="263" spans="1:7" x14ac:dyDescent="0.2">
      <c r="A263" s="538">
        <v>9</v>
      </c>
      <c r="B263" s="538" t="s">
        <v>6615</v>
      </c>
      <c r="C263" s="538" t="s">
        <v>393</v>
      </c>
      <c r="D263" s="538" t="s">
        <v>393</v>
      </c>
      <c r="E263" s="538" t="s">
        <v>210</v>
      </c>
      <c r="F263" s="538">
        <v>1280064</v>
      </c>
      <c r="G263" s="538">
        <v>48</v>
      </c>
    </row>
    <row r="264" spans="1:7" x14ac:dyDescent="0.2">
      <c r="A264" s="538">
        <v>9</v>
      </c>
      <c r="B264" s="538" t="s">
        <v>6615</v>
      </c>
      <c r="C264" s="538" t="s">
        <v>740</v>
      </c>
      <c r="D264" s="538" t="s">
        <v>740</v>
      </c>
      <c r="E264" s="538" t="s">
        <v>230</v>
      </c>
      <c r="F264" s="538">
        <v>158415</v>
      </c>
      <c r="G264" s="538">
        <v>5</v>
      </c>
    </row>
    <row r="265" spans="1:7" x14ac:dyDescent="0.2">
      <c r="A265" s="538">
        <v>5</v>
      </c>
      <c r="B265" s="538" t="s">
        <v>6566</v>
      </c>
      <c r="C265" s="538" t="s">
        <v>393</v>
      </c>
      <c r="D265" s="538" t="s">
        <v>393</v>
      </c>
      <c r="E265" s="538" t="s">
        <v>209</v>
      </c>
      <c r="F265" s="538">
        <v>4129879</v>
      </c>
      <c r="G265" s="538">
        <v>13</v>
      </c>
    </row>
    <row r="266" spans="1:7" x14ac:dyDescent="0.2">
      <c r="A266" s="538">
        <v>4</v>
      </c>
      <c r="B266" s="538" t="s">
        <v>6559</v>
      </c>
      <c r="C266" s="538" t="s">
        <v>740</v>
      </c>
      <c r="D266" s="538" t="s">
        <v>393</v>
      </c>
      <c r="E266" s="538" t="s">
        <v>230</v>
      </c>
      <c r="F266" s="538">
        <v>12225911</v>
      </c>
      <c r="G266" s="538">
        <v>372</v>
      </c>
    </row>
    <row r="267" spans="1:7" x14ac:dyDescent="0.2">
      <c r="A267" s="538">
        <v>7</v>
      </c>
      <c r="B267" s="538" t="s">
        <v>6604</v>
      </c>
      <c r="C267" s="538" t="s">
        <v>740</v>
      </c>
      <c r="D267" s="538" t="s">
        <v>393</v>
      </c>
      <c r="E267" s="538" t="s">
        <v>230</v>
      </c>
      <c r="F267" s="538">
        <v>1678210</v>
      </c>
      <c r="G267" s="538">
        <v>30</v>
      </c>
    </row>
    <row r="268" spans="1:7" x14ac:dyDescent="0.2">
      <c r="A268" s="538">
        <v>11</v>
      </c>
      <c r="B268" s="538" t="s">
        <v>6612</v>
      </c>
      <c r="C268" s="538" t="s">
        <v>740</v>
      </c>
      <c r="D268" s="538" t="s">
        <v>393</v>
      </c>
      <c r="E268" s="538" t="s">
        <v>401</v>
      </c>
      <c r="F268" s="538">
        <v>22656</v>
      </c>
      <c r="G268" s="538">
        <v>2</v>
      </c>
    </row>
    <row r="269" spans="1:7" x14ac:dyDescent="0.2">
      <c r="A269" s="538">
        <v>8</v>
      </c>
      <c r="B269" s="538" t="s">
        <v>6570</v>
      </c>
      <c r="C269" s="538" t="s">
        <v>740</v>
      </c>
      <c r="D269" s="538" t="s">
        <v>740</v>
      </c>
      <c r="E269" s="538" t="s">
        <v>402</v>
      </c>
      <c r="F269" s="538">
        <v>61596</v>
      </c>
      <c r="G269" s="538">
        <v>2</v>
      </c>
    </row>
    <row r="270" spans="1:7" x14ac:dyDescent="0.2">
      <c r="A270" s="538">
        <v>2</v>
      </c>
      <c r="B270" s="538" t="s">
        <v>6576</v>
      </c>
      <c r="C270" s="538" t="s">
        <v>393</v>
      </c>
      <c r="D270" s="538" t="s">
        <v>740</v>
      </c>
      <c r="E270" s="538" t="s">
        <v>416</v>
      </c>
      <c r="F270" s="538">
        <v>3223951</v>
      </c>
      <c r="G270" s="538">
        <v>102</v>
      </c>
    </row>
    <row r="271" spans="1:7" x14ac:dyDescent="0.2">
      <c r="A271" s="538">
        <v>11</v>
      </c>
      <c r="B271" s="538" t="s">
        <v>6584</v>
      </c>
      <c r="C271" s="538" t="s">
        <v>740</v>
      </c>
      <c r="D271" s="538" t="s">
        <v>393</v>
      </c>
      <c r="E271" s="538" t="s">
        <v>209</v>
      </c>
      <c r="F271" s="538">
        <v>148326</v>
      </c>
      <c r="G271" s="538">
        <v>2</v>
      </c>
    </row>
    <row r="272" spans="1:7" x14ac:dyDescent="0.2">
      <c r="A272" s="538">
        <v>3</v>
      </c>
      <c r="B272" s="538" t="s">
        <v>1390</v>
      </c>
      <c r="C272" s="538" t="s">
        <v>740</v>
      </c>
      <c r="D272" s="538" t="s">
        <v>740</v>
      </c>
      <c r="E272" s="538" t="s">
        <v>390</v>
      </c>
      <c r="F272" s="538">
        <v>1831492</v>
      </c>
      <c r="G272" s="538">
        <v>29</v>
      </c>
    </row>
    <row r="273" spans="1:7" x14ac:dyDescent="0.2">
      <c r="A273" s="538">
        <v>7</v>
      </c>
      <c r="B273" s="538" t="s">
        <v>6661</v>
      </c>
      <c r="C273" s="538" t="s">
        <v>393</v>
      </c>
      <c r="D273" s="538" t="s">
        <v>740</v>
      </c>
      <c r="E273" s="538" t="s">
        <v>212</v>
      </c>
      <c r="F273" s="538">
        <v>85491</v>
      </c>
      <c r="G273" s="538">
        <v>2</v>
      </c>
    </row>
    <row r="274" spans="1:7" x14ac:dyDescent="0.2">
      <c r="A274" s="538">
        <v>2</v>
      </c>
      <c r="B274" s="538" t="s">
        <v>6573</v>
      </c>
      <c r="C274" s="538" t="s">
        <v>740</v>
      </c>
      <c r="D274" s="538" t="s">
        <v>393</v>
      </c>
      <c r="E274" s="538" t="s">
        <v>416</v>
      </c>
      <c r="F274" s="538">
        <v>717860</v>
      </c>
      <c r="G274" s="538">
        <v>15</v>
      </c>
    </row>
    <row r="275" spans="1:7" x14ac:dyDescent="0.2">
      <c r="A275" s="538">
        <v>1</v>
      </c>
      <c r="B275" s="538" t="s">
        <v>6609</v>
      </c>
      <c r="C275" s="538" t="s">
        <v>740</v>
      </c>
      <c r="D275" s="538" t="s">
        <v>740</v>
      </c>
      <c r="E275" s="538" t="s">
        <v>212</v>
      </c>
      <c r="F275" s="538">
        <v>22656</v>
      </c>
      <c r="G275" s="538">
        <v>2</v>
      </c>
    </row>
    <row r="276" spans="1:7" x14ac:dyDescent="0.2">
      <c r="A276" s="538">
        <v>9</v>
      </c>
      <c r="B276" s="538" t="s">
        <v>6615</v>
      </c>
      <c r="C276" s="538" t="s">
        <v>393</v>
      </c>
      <c r="D276" s="538" t="s">
        <v>740</v>
      </c>
      <c r="E276" s="538" t="s">
        <v>202</v>
      </c>
      <c r="F276" s="538">
        <v>1323502</v>
      </c>
      <c r="G276" s="538">
        <v>9</v>
      </c>
    </row>
    <row r="277" spans="1:7" x14ac:dyDescent="0.2">
      <c r="A277" s="538">
        <v>4</v>
      </c>
      <c r="B277" s="538" t="s">
        <v>6559</v>
      </c>
      <c r="C277" s="538" t="s">
        <v>740</v>
      </c>
      <c r="D277" s="538" t="s">
        <v>740</v>
      </c>
      <c r="E277" s="538" t="s">
        <v>402</v>
      </c>
      <c r="F277" s="538">
        <v>271872</v>
      </c>
      <c r="G277" s="538">
        <v>24</v>
      </c>
    </row>
    <row r="278" spans="1:7" x14ac:dyDescent="0.2">
      <c r="A278" s="538">
        <v>5</v>
      </c>
      <c r="B278" s="538" t="s">
        <v>6568</v>
      </c>
      <c r="C278" s="538" t="s">
        <v>393</v>
      </c>
      <c r="D278" s="538" t="s">
        <v>740</v>
      </c>
      <c r="E278" s="538" t="s">
        <v>416</v>
      </c>
      <c r="F278" s="538">
        <v>14404094</v>
      </c>
      <c r="G278" s="538">
        <v>368</v>
      </c>
    </row>
    <row r="279" spans="1:7" x14ac:dyDescent="0.2">
      <c r="A279" s="538">
        <v>6</v>
      </c>
      <c r="B279" s="538" t="s">
        <v>6429</v>
      </c>
      <c r="C279" s="538" t="s">
        <v>393</v>
      </c>
      <c r="D279" s="538" t="s">
        <v>393</v>
      </c>
      <c r="E279" s="538" t="s">
        <v>209</v>
      </c>
      <c r="F279" s="538">
        <v>1637625</v>
      </c>
      <c r="G279" s="538">
        <v>5</v>
      </c>
    </row>
    <row r="280" spans="1:7" x14ac:dyDescent="0.2">
      <c r="A280" s="538">
        <v>3</v>
      </c>
      <c r="B280" s="538" t="s">
        <v>6591</v>
      </c>
      <c r="C280" s="538" t="s">
        <v>740</v>
      </c>
      <c r="D280" s="538" t="s">
        <v>393</v>
      </c>
      <c r="E280" s="538" t="s">
        <v>212</v>
      </c>
      <c r="F280" s="538">
        <v>451704</v>
      </c>
      <c r="G280" s="538">
        <v>33</v>
      </c>
    </row>
    <row r="281" spans="1:7" x14ac:dyDescent="0.2">
      <c r="A281" s="538">
        <v>6</v>
      </c>
      <c r="B281" s="538" t="s">
        <v>6429</v>
      </c>
      <c r="C281" s="538" t="s">
        <v>740</v>
      </c>
      <c r="D281" s="538" t="s">
        <v>393</v>
      </c>
      <c r="E281" s="538" t="s">
        <v>390</v>
      </c>
      <c r="F281" s="538">
        <v>607378894</v>
      </c>
      <c r="G281" s="538">
        <v>19258</v>
      </c>
    </row>
    <row r="282" spans="1:7" x14ac:dyDescent="0.2">
      <c r="A282" s="538">
        <v>9</v>
      </c>
      <c r="B282" s="538" t="s">
        <v>6645</v>
      </c>
      <c r="C282" s="538" t="s">
        <v>740</v>
      </c>
      <c r="D282" s="538" t="s">
        <v>393</v>
      </c>
      <c r="E282" s="538" t="s">
        <v>409</v>
      </c>
      <c r="F282" s="538">
        <v>22656</v>
      </c>
      <c r="G282" s="538">
        <v>2</v>
      </c>
    </row>
    <row r="283" spans="1:7" x14ac:dyDescent="0.2">
      <c r="A283" s="538">
        <v>7</v>
      </c>
      <c r="B283" s="538" t="s">
        <v>6604</v>
      </c>
      <c r="C283" s="538" t="s">
        <v>740</v>
      </c>
      <c r="D283" s="538" t="s">
        <v>393</v>
      </c>
      <c r="E283" s="538" t="s">
        <v>409</v>
      </c>
      <c r="F283" s="538">
        <v>90624</v>
      </c>
      <c r="G283" s="538">
        <v>8</v>
      </c>
    </row>
    <row r="284" spans="1:7" x14ac:dyDescent="0.2">
      <c r="A284" s="538">
        <v>7</v>
      </c>
      <c r="B284" s="538" t="s">
        <v>6661</v>
      </c>
      <c r="C284" s="538" t="s">
        <v>740</v>
      </c>
      <c r="D284" s="538" t="s">
        <v>740</v>
      </c>
      <c r="E284" s="538" t="s">
        <v>202</v>
      </c>
      <c r="F284" s="538">
        <v>148326</v>
      </c>
      <c r="G284" s="538">
        <v>2</v>
      </c>
    </row>
    <row r="285" spans="1:7" x14ac:dyDescent="0.2">
      <c r="A285" s="538">
        <v>1</v>
      </c>
      <c r="B285" s="538" t="s">
        <v>1288</v>
      </c>
      <c r="C285" s="538" t="s">
        <v>393</v>
      </c>
      <c r="D285" s="538" t="s">
        <v>393</v>
      </c>
      <c r="E285" s="538" t="s">
        <v>211</v>
      </c>
      <c r="F285" s="538">
        <v>13214238</v>
      </c>
      <c r="G285" s="538">
        <v>136</v>
      </c>
    </row>
    <row r="286" spans="1:7" x14ac:dyDescent="0.2">
      <c r="A286" s="538">
        <v>4</v>
      </c>
      <c r="B286" s="538" t="s">
        <v>6574</v>
      </c>
      <c r="C286" s="538" t="s">
        <v>740</v>
      </c>
      <c r="D286" s="538" t="s">
        <v>393</v>
      </c>
      <c r="E286" s="538" t="s">
        <v>211</v>
      </c>
      <c r="F286" s="538">
        <v>16851015</v>
      </c>
      <c r="G286" s="538">
        <v>450</v>
      </c>
    </row>
    <row r="287" spans="1:7" x14ac:dyDescent="0.2">
      <c r="A287" s="538">
        <v>3</v>
      </c>
      <c r="B287" s="538" t="s">
        <v>6578</v>
      </c>
      <c r="C287" s="538" t="s">
        <v>740</v>
      </c>
      <c r="D287" s="538" t="s">
        <v>393</v>
      </c>
      <c r="E287" s="538" t="s">
        <v>390</v>
      </c>
      <c r="F287" s="538">
        <v>501795</v>
      </c>
      <c r="G287" s="538">
        <v>25</v>
      </c>
    </row>
    <row r="288" spans="1:7" x14ac:dyDescent="0.2">
      <c r="A288" s="538">
        <v>3</v>
      </c>
      <c r="B288" s="538" t="s">
        <v>6647</v>
      </c>
      <c r="C288" s="538" t="s">
        <v>393</v>
      </c>
      <c r="D288" s="538" t="s">
        <v>740</v>
      </c>
      <c r="E288" s="538" t="s">
        <v>202</v>
      </c>
      <c r="F288" s="538">
        <v>134520</v>
      </c>
      <c r="G288" s="538">
        <v>5</v>
      </c>
    </row>
    <row r="289" spans="1:7" x14ac:dyDescent="0.2">
      <c r="A289" s="538">
        <v>8</v>
      </c>
      <c r="B289" s="538" t="s">
        <v>6560</v>
      </c>
      <c r="C289" s="538" t="s">
        <v>740</v>
      </c>
      <c r="D289" s="538" t="s">
        <v>393</v>
      </c>
      <c r="E289" s="538" t="s">
        <v>210</v>
      </c>
      <c r="F289" s="538">
        <v>13712305</v>
      </c>
      <c r="G289" s="538">
        <v>540</v>
      </c>
    </row>
    <row r="290" spans="1:7" x14ac:dyDescent="0.2">
      <c r="A290" s="538">
        <v>2</v>
      </c>
      <c r="B290" s="538" t="s">
        <v>6585</v>
      </c>
      <c r="C290" s="538" t="s">
        <v>393</v>
      </c>
      <c r="D290" s="538" t="s">
        <v>393</v>
      </c>
      <c r="E290" s="538" t="s">
        <v>212</v>
      </c>
      <c r="F290" s="538">
        <v>940047</v>
      </c>
      <c r="G290" s="538">
        <v>74</v>
      </c>
    </row>
    <row r="291" spans="1:7" x14ac:dyDescent="0.2">
      <c r="A291" s="538">
        <v>3</v>
      </c>
      <c r="B291" s="538" t="s">
        <v>6647</v>
      </c>
      <c r="C291" s="538" t="s">
        <v>740</v>
      </c>
      <c r="D291" s="538" t="s">
        <v>740</v>
      </c>
      <c r="E291" s="538" t="s">
        <v>402</v>
      </c>
      <c r="F291" s="538">
        <v>187443</v>
      </c>
      <c r="G291" s="538">
        <v>11</v>
      </c>
    </row>
    <row r="292" spans="1:7" x14ac:dyDescent="0.2">
      <c r="A292" s="538">
        <v>4</v>
      </c>
      <c r="B292" s="538" t="s">
        <v>6562</v>
      </c>
      <c r="C292" s="538" t="s">
        <v>393</v>
      </c>
      <c r="D292" s="538" t="s">
        <v>740</v>
      </c>
      <c r="E292" s="538" t="s">
        <v>401</v>
      </c>
      <c r="F292" s="538">
        <v>266739</v>
      </c>
      <c r="G292" s="538">
        <v>18</v>
      </c>
    </row>
    <row r="293" spans="1:7" x14ac:dyDescent="0.2">
      <c r="A293" s="538">
        <v>5</v>
      </c>
      <c r="B293" s="538" t="s">
        <v>6568</v>
      </c>
      <c r="C293" s="538" t="s">
        <v>740</v>
      </c>
      <c r="D293" s="538" t="s">
        <v>393</v>
      </c>
      <c r="E293" s="538" t="s">
        <v>402</v>
      </c>
      <c r="F293" s="538">
        <v>435420</v>
      </c>
      <c r="G293" s="538">
        <v>35</v>
      </c>
    </row>
    <row r="294" spans="1:7" x14ac:dyDescent="0.2">
      <c r="A294" s="538">
        <v>1</v>
      </c>
      <c r="B294" s="538" t="s">
        <v>6609</v>
      </c>
      <c r="C294" s="538" t="s">
        <v>740</v>
      </c>
      <c r="D294" s="538" t="s">
        <v>740</v>
      </c>
      <c r="E294" s="538" t="s">
        <v>416</v>
      </c>
      <c r="F294" s="538">
        <v>1525157</v>
      </c>
      <c r="G294" s="538">
        <v>44</v>
      </c>
    </row>
    <row r="295" spans="1:7" x14ac:dyDescent="0.2">
      <c r="A295" s="538">
        <v>7</v>
      </c>
      <c r="B295" s="538" t="s">
        <v>6588</v>
      </c>
      <c r="C295" s="538" t="s">
        <v>393</v>
      </c>
      <c r="D295" s="538" t="s">
        <v>393</v>
      </c>
      <c r="E295" s="538" t="s">
        <v>401</v>
      </c>
      <c r="F295" s="538">
        <v>300546</v>
      </c>
      <c r="G295" s="538">
        <v>12</v>
      </c>
    </row>
    <row r="296" spans="1:7" x14ac:dyDescent="0.2">
      <c r="A296" s="538">
        <v>4</v>
      </c>
      <c r="B296" s="538" t="s">
        <v>6590</v>
      </c>
      <c r="C296" s="538" t="s">
        <v>740</v>
      </c>
      <c r="D296" s="538" t="s">
        <v>393</v>
      </c>
      <c r="E296" s="538" t="s">
        <v>212</v>
      </c>
      <c r="F296" s="538">
        <v>612774</v>
      </c>
      <c r="G296" s="538">
        <v>43</v>
      </c>
    </row>
    <row r="297" spans="1:7" x14ac:dyDescent="0.2">
      <c r="A297" s="538">
        <v>8</v>
      </c>
      <c r="B297" s="538" t="s">
        <v>6648</v>
      </c>
      <c r="C297" s="538" t="s">
        <v>740</v>
      </c>
      <c r="D297" s="538" t="s">
        <v>740</v>
      </c>
      <c r="E297" s="538" t="s">
        <v>390</v>
      </c>
      <c r="F297" s="538">
        <v>90624</v>
      </c>
      <c r="G297" s="538">
        <v>8</v>
      </c>
    </row>
    <row r="298" spans="1:7" x14ac:dyDescent="0.2">
      <c r="A298" s="538">
        <v>8</v>
      </c>
      <c r="B298" s="538" t="s">
        <v>6560</v>
      </c>
      <c r="C298" s="538" t="s">
        <v>740</v>
      </c>
      <c r="D298" s="538" t="s">
        <v>393</v>
      </c>
      <c r="E298" s="538" t="s">
        <v>401</v>
      </c>
      <c r="F298" s="538">
        <v>1595020</v>
      </c>
      <c r="G298" s="538">
        <v>15</v>
      </c>
    </row>
    <row r="299" spans="1:7" x14ac:dyDescent="0.2">
      <c r="A299" s="538">
        <v>3</v>
      </c>
      <c r="B299" s="538" t="s">
        <v>1390</v>
      </c>
      <c r="C299" s="538" t="s">
        <v>740</v>
      </c>
      <c r="D299" s="538" t="s">
        <v>393</v>
      </c>
      <c r="E299" s="538" t="s">
        <v>230</v>
      </c>
      <c r="F299" s="538">
        <v>85491</v>
      </c>
      <c r="G299" s="538">
        <v>2</v>
      </c>
    </row>
    <row r="300" spans="1:7" x14ac:dyDescent="0.2">
      <c r="A300" s="538">
        <v>9</v>
      </c>
      <c r="B300" s="538" t="s">
        <v>948</v>
      </c>
      <c r="C300" s="538" t="s">
        <v>393</v>
      </c>
      <c r="D300" s="538" t="s">
        <v>393</v>
      </c>
      <c r="E300" s="538" t="s">
        <v>409</v>
      </c>
      <c r="F300" s="538">
        <v>2545583</v>
      </c>
      <c r="G300" s="538">
        <v>41</v>
      </c>
    </row>
    <row r="301" spans="1:7" x14ac:dyDescent="0.2">
      <c r="A301" s="538">
        <v>3</v>
      </c>
      <c r="B301" s="538" t="s">
        <v>6561</v>
      </c>
      <c r="C301" s="538" t="s">
        <v>393</v>
      </c>
      <c r="D301" s="538" t="s">
        <v>740</v>
      </c>
      <c r="E301" s="538" t="s">
        <v>211</v>
      </c>
      <c r="F301" s="538">
        <v>22656</v>
      </c>
      <c r="G301" s="538">
        <v>2</v>
      </c>
    </row>
    <row r="302" spans="1:7" x14ac:dyDescent="0.2">
      <c r="A302" s="538">
        <v>5</v>
      </c>
      <c r="B302" s="538" t="s">
        <v>6650</v>
      </c>
      <c r="C302" s="538" t="s">
        <v>740</v>
      </c>
      <c r="D302" s="538" t="s">
        <v>740</v>
      </c>
      <c r="E302" s="538" t="s">
        <v>402</v>
      </c>
      <c r="F302" s="538">
        <v>5182831</v>
      </c>
      <c r="G302" s="538">
        <v>152</v>
      </c>
    </row>
    <row r="303" spans="1:7" x14ac:dyDescent="0.2">
      <c r="A303" s="538">
        <v>5</v>
      </c>
      <c r="B303" s="538" t="s">
        <v>6599</v>
      </c>
      <c r="C303" s="538" t="s">
        <v>740</v>
      </c>
      <c r="D303" s="538" t="s">
        <v>393</v>
      </c>
      <c r="E303" s="538" t="s">
        <v>211</v>
      </c>
      <c r="F303" s="538">
        <v>45312</v>
      </c>
      <c r="G303" s="538">
        <v>4</v>
      </c>
    </row>
    <row r="304" spans="1:7" x14ac:dyDescent="0.2">
      <c r="A304" s="538">
        <v>4</v>
      </c>
      <c r="B304" s="538" t="s">
        <v>6562</v>
      </c>
      <c r="C304" s="538" t="s">
        <v>740</v>
      </c>
      <c r="D304" s="538" t="s">
        <v>740</v>
      </c>
      <c r="E304" s="538" t="s">
        <v>409</v>
      </c>
      <c r="F304" s="538">
        <v>72924</v>
      </c>
      <c r="G304" s="538">
        <v>3</v>
      </c>
    </row>
    <row r="305" spans="1:7" x14ac:dyDescent="0.2">
      <c r="A305" s="538">
        <v>5</v>
      </c>
      <c r="B305" s="538" t="s">
        <v>6566</v>
      </c>
      <c r="C305" s="538" t="s">
        <v>393</v>
      </c>
      <c r="D305" s="538" t="s">
        <v>393</v>
      </c>
      <c r="E305" s="538" t="s">
        <v>313</v>
      </c>
      <c r="F305" s="538">
        <v>730250</v>
      </c>
      <c r="G305" s="538">
        <v>5</v>
      </c>
    </row>
    <row r="306" spans="1:7" x14ac:dyDescent="0.2">
      <c r="A306" s="538">
        <v>8</v>
      </c>
      <c r="B306" s="538" t="s">
        <v>6658</v>
      </c>
      <c r="C306" s="538" t="s">
        <v>393</v>
      </c>
      <c r="D306" s="538" t="s">
        <v>740</v>
      </c>
      <c r="E306" s="538" t="s">
        <v>401</v>
      </c>
      <c r="F306" s="538">
        <v>67968</v>
      </c>
      <c r="G306" s="538">
        <v>6</v>
      </c>
    </row>
    <row r="307" spans="1:7" x14ac:dyDescent="0.2">
      <c r="A307" s="538">
        <v>9</v>
      </c>
      <c r="B307" s="538" t="s">
        <v>6645</v>
      </c>
      <c r="C307" s="538" t="s">
        <v>393</v>
      </c>
      <c r="D307" s="538" t="s">
        <v>393</v>
      </c>
      <c r="E307" s="538" t="s">
        <v>416</v>
      </c>
      <c r="F307" s="538">
        <v>62066366</v>
      </c>
      <c r="G307" s="538">
        <v>1007</v>
      </c>
    </row>
    <row r="308" spans="1:7" x14ac:dyDescent="0.2">
      <c r="A308" s="538">
        <v>6</v>
      </c>
      <c r="B308" s="538" t="s">
        <v>6617</v>
      </c>
      <c r="C308" s="538" t="s">
        <v>393</v>
      </c>
      <c r="D308" s="538" t="s">
        <v>740</v>
      </c>
      <c r="E308" s="538" t="s">
        <v>209</v>
      </c>
      <c r="F308" s="538">
        <v>496433</v>
      </c>
      <c r="G308" s="538">
        <v>1</v>
      </c>
    </row>
    <row r="309" spans="1:7" x14ac:dyDescent="0.2">
      <c r="A309" s="538">
        <v>2</v>
      </c>
      <c r="B309" s="538" t="s">
        <v>6608</v>
      </c>
      <c r="C309" s="538" t="s">
        <v>740</v>
      </c>
      <c r="D309" s="538" t="s">
        <v>393</v>
      </c>
      <c r="E309" s="538" t="s">
        <v>449</v>
      </c>
      <c r="F309" s="538">
        <v>277890</v>
      </c>
      <c r="G309" s="538">
        <v>10</v>
      </c>
    </row>
    <row r="310" spans="1:7" x14ac:dyDescent="0.2">
      <c r="A310" s="538">
        <v>3</v>
      </c>
      <c r="B310" s="538" t="s">
        <v>6561</v>
      </c>
      <c r="C310" s="538" t="s">
        <v>740</v>
      </c>
      <c r="D310" s="538" t="s">
        <v>393</v>
      </c>
      <c r="E310" s="538" t="s">
        <v>449</v>
      </c>
      <c r="F310" s="538">
        <v>176115</v>
      </c>
      <c r="G310" s="538">
        <v>10</v>
      </c>
    </row>
    <row r="311" spans="1:7" x14ac:dyDescent="0.2">
      <c r="A311" s="538">
        <v>9</v>
      </c>
      <c r="B311" s="538" t="s">
        <v>6606</v>
      </c>
      <c r="C311" s="538" t="s">
        <v>740</v>
      </c>
      <c r="D311" s="538" t="s">
        <v>740</v>
      </c>
      <c r="E311" s="538" t="s">
        <v>860</v>
      </c>
      <c r="F311" s="538">
        <v>333291</v>
      </c>
      <c r="G311" s="538">
        <v>17</v>
      </c>
    </row>
    <row r="312" spans="1:7" x14ac:dyDescent="0.2">
      <c r="A312" s="538">
        <v>3</v>
      </c>
      <c r="B312" s="538" t="s">
        <v>6647</v>
      </c>
      <c r="C312" s="538" t="s">
        <v>740</v>
      </c>
      <c r="D312" s="538" t="s">
        <v>740</v>
      </c>
      <c r="E312" s="538" t="s">
        <v>449</v>
      </c>
      <c r="F312" s="538">
        <v>33984</v>
      </c>
      <c r="G312" s="538">
        <v>3</v>
      </c>
    </row>
    <row r="313" spans="1:7" x14ac:dyDescent="0.2">
      <c r="A313" s="538">
        <v>2</v>
      </c>
      <c r="B313" s="538" t="s">
        <v>6576</v>
      </c>
      <c r="C313" s="538" t="s">
        <v>393</v>
      </c>
      <c r="D313" s="538" t="s">
        <v>393</v>
      </c>
      <c r="E313" s="538" t="s">
        <v>438</v>
      </c>
      <c r="F313" s="538">
        <v>4353836</v>
      </c>
      <c r="G313" s="538">
        <v>32</v>
      </c>
    </row>
    <row r="314" spans="1:7" x14ac:dyDescent="0.2">
      <c r="A314" s="538">
        <v>2</v>
      </c>
      <c r="B314" s="538" t="s">
        <v>6576</v>
      </c>
      <c r="C314" s="538" t="s">
        <v>393</v>
      </c>
      <c r="D314" s="538" t="s">
        <v>393</v>
      </c>
      <c r="E314" s="538" t="s">
        <v>206</v>
      </c>
      <c r="F314" s="538">
        <v>33984</v>
      </c>
      <c r="G314" s="538">
        <v>3</v>
      </c>
    </row>
    <row r="315" spans="1:7" x14ac:dyDescent="0.2">
      <c r="A315" s="538">
        <v>5</v>
      </c>
      <c r="B315" s="538" t="s">
        <v>6599</v>
      </c>
      <c r="C315" s="538" t="s">
        <v>393</v>
      </c>
      <c r="D315" s="538" t="s">
        <v>393</v>
      </c>
      <c r="E315" s="538" t="s">
        <v>202</v>
      </c>
      <c r="F315" s="538">
        <v>10261149</v>
      </c>
      <c r="G315" s="538">
        <v>73</v>
      </c>
    </row>
    <row r="316" spans="1:7" x14ac:dyDescent="0.2">
      <c r="A316" s="538">
        <v>4</v>
      </c>
      <c r="B316" s="538" t="s">
        <v>6559</v>
      </c>
      <c r="C316" s="538" t="s">
        <v>740</v>
      </c>
      <c r="D316" s="538" t="s">
        <v>393</v>
      </c>
      <c r="E316" s="538" t="s">
        <v>212</v>
      </c>
      <c r="F316" s="538">
        <v>33938532</v>
      </c>
      <c r="G316" s="538">
        <v>2419</v>
      </c>
    </row>
    <row r="317" spans="1:7" x14ac:dyDescent="0.2">
      <c r="A317" s="538">
        <v>6</v>
      </c>
      <c r="B317" s="538" t="s">
        <v>6575</v>
      </c>
      <c r="C317" s="538" t="s">
        <v>393</v>
      </c>
      <c r="D317" s="538" t="s">
        <v>393</v>
      </c>
      <c r="E317" s="538" t="s">
        <v>202</v>
      </c>
      <c r="F317" s="538">
        <v>7664413</v>
      </c>
      <c r="G317" s="538">
        <v>56</v>
      </c>
    </row>
    <row r="318" spans="1:7" x14ac:dyDescent="0.2">
      <c r="A318" s="538">
        <v>3</v>
      </c>
      <c r="B318" s="538" t="s">
        <v>6586</v>
      </c>
      <c r="C318" s="538" t="s">
        <v>740</v>
      </c>
      <c r="D318" s="538" t="s">
        <v>393</v>
      </c>
      <c r="E318" s="538" t="s">
        <v>402</v>
      </c>
      <c r="F318" s="538">
        <v>6200029</v>
      </c>
      <c r="G318" s="538">
        <v>338</v>
      </c>
    </row>
    <row r="319" spans="1:7" x14ac:dyDescent="0.2">
      <c r="A319" s="538">
        <v>8</v>
      </c>
      <c r="B319" s="538" t="s">
        <v>6658</v>
      </c>
      <c r="C319" s="538" t="s">
        <v>393</v>
      </c>
      <c r="D319" s="538" t="s">
        <v>740</v>
      </c>
      <c r="E319" s="538" t="s">
        <v>212</v>
      </c>
      <c r="F319" s="538">
        <v>67968</v>
      </c>
      <c r="G319" s="538">
        <v>6</v>
      </c>
    </row>
    <row r="320" spans="1:7" x14ac:dyDescent="0.2">
      <c r="A320" s="538">
        <v>7</v>
      </c>
      <c r="B320" s="538" t="s">
        <v>6564</v>
      </c>
      <c r="C320" s="538" t="s">
        <v>393</v>
      </c>
      <c r="D320" s="538" t="s">
        <v>393</v>
      </c>
      <c r="E320" s="538" t="s">
        <v>202</v>
      </c>
      <c r="F320" s="538">
        <v>7196727</v>
      </c>
      <c r="G320" s="538">
        <v>44</v>
      </c>
    </row>
    <row r="321" spans="1:7" x14ac:dyDescent="0.2">
      <c r="A321" s="538">
        <v>3</v>
      </c>
      <c r="B321" s="538" t="s">
        <v>6647</v>
      </c>
      <c r="C321" s="538" t="s">
        <v>740</v>
      </c>
      <c r="D321" s="538" t="s">
        <v>393</v>
      </c>
      <c r="E321" s="538" t="s">
        <v>202</v>
      </c>
      <c r="F321" s="538">
        <v>1870203</v>
      </c>
      <c r="G321" s="538">
        <v>11</v>
      </c>
    </row>
    <row r="322" spans="1:7" x14ac:dyDescent="0.2">
      <c r="A322" s="538">
        <v>12</v>
      </c>
      <c r="B322" s="538" t="s">
        <v>6569</v>
      </c>
      <c r="C322" s="538" t="s">
        <v>740</v>
      </c>
      <c r="D322" s="538" t="s">
        <v>393</v>
      </c>
      <c r="E322" s="538" t="s">
        <v>401</v>
      </c>
      <c r="F322" s="538">
        <v>549585</v>
      </c>
      <c r="G322" s="538">
        <v>25</v>
      </c>
    </row>
    <row r="323" spans="1:7" x14ac:dyDescent="0.2">
      <c r="A323" s="538">
        <v>8</v>
      </c>
      <c r="B323" s="538" t="s">
        <v>6658</v>
      </c>
      <c r="C323" s="538" t="s">
        <v>740</v>
      </c>
      <c r="D323" s="538" t="s">
        <v>393</v>
      </c>
      <c r="E323" s="538" t="s">
        <v>402</v>
      </c>
      <c r="F323" s="538">
        <v>621041</v>
      </c>
      <c r="G323" s="538">
        <v>12</v>
      </c>
    </row>
    <row r="324" spans="1:7" x14ac:dyDescent="0.2">
      <c r="A324" s="538">
        <v>12</v>
      </c>
      <c r="B324" s="538" t="s">
        <v>6616</v>
      </c>
      <c r="C324" s="538" t="s">
        <v>393</v>
      </c>
      <c r="D324" s="538" t="s">
        <v>740</v>
      </c>
      <c r="E324" s="538" t="s">
        <v>390</v>
      </c>
      <c r="F324" s="538">
        <v>2193405</v>
      </c>
      <c r="G324" s="538">
        <v>25</v>
      </c>
    </row>
    <row r="325" spans="1:7" x14ac:dyDescent="0.2">
      <c r="A325" s="538">
        <v>10</v>
      </c>
      <c r="B325" s="538" t="s">
        <v>6652</v>
      </c>
      <c r="C325" s="538" t="s">
        <v>393</v>
      </c>
      <c r="D325" s="538" t="s">
        <v>740</v>
      </c>
      <c r="E325" s="538" t="s">
        <v>390</v>
      </c>
      <c r="F325" s="538">
        <v>676265</v>
      </c>
      <c r="G325" s="538">
        <v>10</v>
      </c>
    </row>
    <row r="326" spans="1:7" x14ac:dyDescent="0.2">
      <c r="A326" s="538">
        <v>2</v>
      </c>
      <c r="B326" s="538" t="s">
        <v>6573</v>
      </c>
      <c r="C326" s="538" t="s">
        <v>740</v>
      </c>
      <c r="D326" s="538" t="s">
        <v>740</v>
      </c>
      <c r="E326" s="538" t="s">
        <v>438</v>
      </c>
      <c r="F326" s="538">
        <v>1333591</v>
      </c>
      <c r="G326" s="538">
        <v>12</v>
      </c>
    </row>
    <row r="327" spans="1:7" x14ac:dyDescent="0.2">
      <c r="A327" s="538">
        <v>9</v>
      </c>
      <c r="B327" s="538" t="s">
        <v>6606</v>
      </c>
      <c r="C327" s="538" t="s">
        <v>740</v>
      </c>
      <c r="D327" s="538" t="s">
        <v>740</v>
      </c>
      <c r="E327" s="538" t="s">
        <v>210</v>
      </c>
      <c r="F327" s="538">
        <v>108147</v>
      </c>
      <c r="G327" s="538">
        <v>4</v>
      </c>
    </row>
    <row r="328" spans="1:7" x14ac:dyDescent="0.2">
      <c r="A328" s="538">
        <v>4</v>
      </c>
      <c r="B328" s="538" t="s">
        <v>6572</v>
      </c>
      <c r="C328" s="538" t="s">
        <v>740</v>
      </c>
      <c r="D328" s="538" t="s">
        <v>740</v>
      </c>
      <c r="E328" s="538" t="s">
        <v>416</v>
      </c>
      <c r="F328" s="538">
        <v>35309284</v>
      </c>
      <c r="G328" s="538">
        <v>813</v>
      </c>
    </row>
    <row r="329" spans="1:7" x14ac:dyDescent="0.2">
      <c r="A329" s="538">
        <v>1</v>
      </c>
      <c r="B329" s="538" t="s">
        <v>6595</v>
      </c>
      <c r="C329" s="538" t="s">
        <v>740</v>
      </c>
      <c r="D329" s="538" t="s">
        <v>393</v>
      </c>
      <c r="E329" s="538" t="s">
        <v>438</v>
      </c>
      <c r="F329" s="538">
        <v>938933</v>
      </c>
      <c r="G329" s="538">
        <v>11</v>
      </c>
    </row>
    <row r="330" spans="1:7" x14ac:dyDescent="0.2">
      <c r="A330" s="538">
        <v>3</v>
      </c>
      <c r="B330" s="538" t="s">
        <v>6561</v>
      </c>
      <c r="C330" s="538" t="s">
        <v>740</v>
      </c>
      <c r="D330" s="538" t="s">
        <v>393</v>
      </c>
      <c r="E330" s="538" t="s">
        <v>207</v>
      </c>
      <c r="F330" s="538">
        <v>119475</v>
      </c>
      <c r="G330" s="538">
        <v>5</v>
      </c>
    </row>
    <row r="331" spans="1:7" x14ac:dyDescent="0.2">
      <c r="A331" s="538">
        <v>12</v>
      </c>
      <c r="B331" s="538" t="s">
        <v>6616</v>
      </c>
      <c r="C331" s="538" t="s">
        <v>740</v>
      </c>
      <c r="D331" s="538" t="s">
        <v>740</v>
      </c>
      <c r="E331" s="538" t="s">
        <v>207</v>
      </c>
      <c r="F331" s="538">
        <v>509583</v>
      </c>
      <c r="G331" s="538">
        <v>36</v>
      </c>
    </row>
    <row r="332" spans="1:7" x14ac:dyDescent="0.2">
      <c r="A332" s="538">
        <v>8</v>
      </c>
      <c r="B332" s="538" t="s">
        <v>6570</v>
      </c>
      <c r="C332" s="538" t="s">
        <v>740</v>
      </c>
      <c r="D332" s="538" t="s">
        <v>393</v>
      </c>
      <c r="E332" s="538" t="s">
        <v>211</v>
      </c>
      <c r="F332" s="538">
        <v>57601372</v>
      </c>
      <c r="G332" s="538">
        <v>1599</v>
      </c>
    </row>
    <row r="333" spans="1:7" x14ac:dyDescent="0.2">
      <c r="A333" s="538">
        <v>6</v>
      </c>
      <c r="B333" s="538" t="s">
        <v>6433</v>
      </c>
      <c r="C333" s="538" t="s">
        <v>740</v>
      </c>
      <c r="D333" s="538" t="s">
        <v>393</v>
      </c>
      <c r="E333" s="538" t="s">
        <v>409</v>
      </c>
      <c r="F333" s="538">
        <v>11328</v>
      </c>
      <c r="G333" s="538">
        <v>1</v>
      </c>
    </row>
    <row r="334" spans="1:7" x14ac:dyDescent="0.2">
      <c r="A334" s="538">
        <v>10</v>
      </c>
      <c r="B334" s="538" t="s">
        <v>6652</v>
      </c>
      <c r="C334" s="538" t="s">
        <v>740</v>
      </c>
      <c r="D334" s="538" t="s">
        <v>740</v>
      </c>
      <c r="E334" s="538" t="s">
        <v>390</v>
      </c>
      <c r="F334" s="538">
        <v>615908</v>
      </c>
      <c r="G334" s="538">
        <v>6</v>
      </c>
    </row>
    <row r="335" spans="1:7" x14ac:dyDescent="0.2">
      <c r="A335" s="538">
        <v>10</v>
      </c>
      <c r="B335" s="538" t="s">
        <v>6597</v>
      </c>
      <c r="C335" s="538" t="s">
        <v>740</v>
      </c>
      <c r="D335" s="538" t="s">
        <v>393</v>
      </c>
      <c r="E335" s="538" t="s">
        <v>390</v>
      </c>
      <c r="F335" s="538">
        <v>14235975</v>
      </c>
      <c r="G335" s="538">
        <v>555</v>
      </c>
    </row>
    <row r="336" spans="1:7" x14ac:dyDescent="0.2">
      <c r="A336" s="538">
        <v>6</v>
      </c>
      <c r="B336" s="538" t="s">
        <v>1668</v>
      </c>
      <c r="C336" s="538" t="s">
        <v>740</v>
      </c>
      <c r="D336" s="538" t="s">
        <v>393</v>
      </c>
      <c r="E336" s="538" t="s">
        <v>230</v>
      </c>
      <c r="F336" s="538">
        <v>11328</v>
      </c>
      <c r="G336" s="538">
        <v>1</v>
      </c>
    </row>
    <row r="337" spans="1:7" x14ac:dyDescent="0.2">
      <c r="A337" s="538">
        <v>9</v>
      </c>
      <c r="B337" s="538" t="s">
        <v>6657</v>
      </c>
      <c r="C337" s="538" t="s">
        <v>740</v>
      </c>
      <c r="D337" s="538" t="s">
        <v>740</v>
      </c>
      <c r="E337" s="538" t="s">
        <v>390</v>
      </c>
      <c r="F337" s="538">
        <v>301785</v>
      </c>
      <c r="G337" s="538">
        <v>10</v>
      </c>
    </row>
    <row r="338" spans="1:7" x14ac:dyDescent="0.2">
      <c r="A338" s="538">
        <v>4</v>
      </c>
      <c r="B338" s="538" t="s">
        <v>6562</v>
      </c>
      <c r="C338" s="538" t="s">
        <v>393</v>
      </c>
      <c r="D338" s="538" t="s">
        <v>393</v>
      </c>
      <c r="E338" s="538" t="s">
        <v>390</v>
      </c>
      <c r="F338" s="538">
        <v>22296087</v>
      </c>
      <c r="G338" s="538">
        <v>464</v>
      </c>
    </row>
    <row r="339" spans="1:7" x14ac:dyDescent="0.2">
      <c r="A339" s="538">
        <v>3</v>
      </c>
      <c r="B339" s="538" t="s">
        <v>6578</v>
      </c>
      <c r="C339" s="538" t="s">
        <v>393</v>
      </c>
      <c r="D339" s="538" t="s">
        <v>393</v>
      </c>
      <c r="E339" s="538" t="s">
        <v>211</v>
      </c>
      <c r="F339" s="538">
        <v>18043079</v>
      </c>
      <c r="G339" s="538">
        <v>263</v>
      </c>
    </row>
    <row r="340" spans="1:7" x14ac:dyDescent="0.2">
      <c r="A340" s="538">
        <v>4</v>
      </c>
      <c r="B340" s="538" t="s">
        <v>6574</v>
      </c>
      <c r="C340" s="538" t="s">
        <v>740</v>
      </c>
      <c r="D340" s="538" t="s">
        <v>393</v>
      </c>
      <c r="E340" s="538" t="s">
        <v>202</v>
      </c>
      <c r="F340" s="538">
        <v>593252</v>
      </c>
      <c r="G340" s="538">
        <v>4</v>
      </c>
    </row>
    <row r="341" spans="1:7" x14ac:dyDescent="0.2">
      <c r="A341" s="538">
        <v>7</v>
      </c>
      <c r="B341" s="538" t="s">
        <v>6604</v>
      </c>
      <c r="C341" s="538" t="s">
        <v>740</v>
      </c>
      <c r="D341" s="538" t="s">
        <v>740</v>
      </c>
      <c r="E341" s="538" t="s">
        <v>860</v>
      </c>
      <c r="F341" s="538">
        <v>124431</v>
      </c>
      <c r="G341" s="538">
        <v>2</v>
      </c>
    </row>
    <row r="342" spans="1:7" x14ac:dyDescent="0.2">
      <c r="A342" s="538">
        <v>5</v>
      </c>
      <c r="B342" s="538" t="s">
        <v>6566</v>
      </c>
      <c r="C342" s="538" t="s">
        <v>393</v>
      </c>
      <c r="D342" s="538" t="s">
        <v>393</v>
      </c>
      <c r="E342" s="538" t="s">
        <v>419</v>
      </c>
      <c r="F342" s="538">
        <v>11328</v>
      </c>
      <c r="G342" s="538">
        <v>1</v>
      </c>
    </row>
    <row r="343" spans="1:7" x14ac:dyDescent="0.2">
      <c r="A343" s="538">
        <v>11</v>
      </c>
      <c r="B343" s="538" t="s">
        <v>6610</v>
      </c>
      <c r="C343" s="538" t="s">
        <v>740</v>
      </c>
      <c r="D343" s="538" t="s">
        <v>393</v>
      </c>
      <c r="E343" s="538" t="s">
        <v>313</v>
      </c>
      <c r="F343" s="538">
        <v>6404985</v>
      </c>
      <c r="G343" s="538">
        <v>50</v>
      </c>
    </row>
    <row r="344" spans="1:7" x14ac:dyDescent="0.2">
      <c r="A344" s="538">
        <v>4</v>
      </c>
      <c r="B344" s="538" t="s">
        <v>6562</v>
      </c>
      <c r="C344" s="538" t="s">
        <v>740</v>
      </c>
      <c r="D344" s="538" t="s">
        <v>393</v>
      </c>
      <c r="E344" s="538" t="s">
        <v>313</v>
      </c>
      <c r="F344" s="538">
        <v>159654</v>
      </c>
      <c r="G344" s="538">
        <v>3</v>
      </c>
    </row>
    <row r="345" spans="1:7" x14ac:dyDescent="0.2">
      <c r="A345" s="538">
        <v>4</v>
      </c>
      <c r="B345" s="538" t="s">
        <v>6574</v>
      </c>
      <c r="C345" s="538" t="s">
        <v>740</v>
      </c>
      <c r="D345" s="538" t="s">
        <v>393</v>
      </c>
      <c r="E345" s="538" t="s">
        <v>860</v>
      </c>
      <c r="F345" s="538">
        <v>27141722</v>
      </c>
      <c r="G345" s="538">
        <v>1179</v>
      </c>
    </row>
    <row r="346" spans="1:7" x14ac:dyDescent="0.2">
      <c r="A346" s="538">
        <v>7</v>
      </c>
      <c r="B346" s="538" t="s">
        <v>6579</v>
      </c>
      <c r="C346" s="538" t="s">
        <v>393</v>
      </c>
      <c r="D346" s="538" t="s">
        <v>393</v>
      </c>
      <c r="E346" s="538" t="s">
        <v>202</v>
      </c>
      <c r="F346" s="538">
        <v>3672667</v>
      </c>
      <c r="G346" s="538">
        <v>29</v>
      </c>
    </row>
    <row r="347" spans="1:7" x14ac:dyDescent="0.2">
      <c r="A347" s="538">
        <v>8</v>
      </c>
      <c r="B347" s="538" t="s">
        <v>6583</v>
      </c>
      <c r="C347" s="538" t="s">
        <v>740</v>
      </c>
      <c r="D347" s="538" t="s">
        <v>393</v>
      </c>
      <c r="E347" s="538" t="s">
        <v>210</v>
      </c>
      <c r="F347" s="538">
        <v>142131</v>
      </c>
      <c r="G347" s="538">
        <v>7</v>
      </c>
    </row>
    <row r="348" spans="1:7" x14ac:dyDescent="0.2">
      <c r="A348" s="538">
        <v>8</v>
      </c>
      <c r="B348" s="538" t="s">
        <v>6570</v>
      </c>
      <c r="C348" s="538" t="s">
        <v>393</v>
      </c>
      <c r="D348" s="538" t="s">
        <v>740</v>
      </c>
      <c r="E348" s="538" t="s">
        <v>409</v>
      </c>
      <c r="F348" s="538">
        <v>315768</v>
      </c>
      <c r="G348" s="538">
        <v>21</v>
      </c>
    </row>
    <row r="349" spans="1:7" x14ac:dyDescent="0.2">
      <c r="A349" s="538">
        <v>6</v>
      </c>
      <c r="B349" s="538" t="s">
        <v>6433</v>
      </c>
      <c r="C349" s="538" t="s">
        <v>740</v>
      </c>
      <c r="D349" s="538" t="s">
        <v>393</v>
      </c>
      <c r="E349" s="538" t="s">
        <v>212</v>
      </c>
      <c r="F349" s="538">
        <v>1244081</v>
      </c>
      <c r="G349" s="538">
        <v>67</v>
      </c>
    </row>
    <row r="350" spans="1:7" x14ac:dyDescent="0.2">
      <c r="A350" s="538">
        <v>9</v>
      </c>
      <c r="B350" s="538" t="s">
        <v>6614</v>
      </c>
      <c r="C350" s="538" t="s">
        <v>393</v>
      </c>
      <c r="D350" s="538" t="s">
        <v>393</v>
      </c>
      <c r="E350" s="538" t="s">
        <v>313</v>
      </c>
      <c r="F350" s="538">
        <v>85491</v>
      </c>
      <c r="G350" s="538">
        <v>2</v>
      </c>
    </row>
    <row r="351" spans="1:7" x14ac:dyDescent="0.2">
      <c r="A351" s="538">
        <v>7</v>
      </c>
      <c r="B351" s="538" t="s">
        <v>6579</v>
      </c>
      <c r="C351" s="538" t="s">
        <v>740</v>
      </c>
      <c r="D351" s="538" t="s">
        <v>740</v>
      </c>
      <c r="E351" s="538" t="s">
        <v>390</v>
      </c>
      <c r="F351" s="538">
        <v>1744814</v>
      </c>
      <c r="G351" s="538">
        <v>33</v>
      </c>
    </row>
    <row r="352" spans="1:7" x14ac:dyDescent="0.2">
      <c r="A352" s="538">
        <v>8</v>
      </c>
      <c r="B352" s="538" t="s">
        <v>6560</v>
      </c>
      <c r="C352" s="538" t="s">
        <v>740</v>
      </c>
      <c r="D352" s="538" t="s">
        <v>393</v>
      </c>
      <c r="E352" s="538" t="s">
        <v>209</v>
      </c>
      <c r="F352" s="538">
        <v>6558319</v>
      </c>
      <c r="G352" s="538">
        <v>48</v>
      </c>
    </row>
    <row r="353" spans="1:7" x14ac:dyDescent="0.2">
      <c r="A353" s="538">
        <v>4</v>
      </c>
      <c r="B353" s="538" t="s">
        <v>6562</v>
      </c>
      <c r="C353" s="538" t="s">
        <v>740</v>
      </c>
      <c r="D353" s="538" t="s">
        <v>393</v>
      </c>
      <c r="E353" s="538" t="s">
        <v>449</v>
      </c>
      <c r="F353" s="538">
        <v>11328</v>
      </c>
      <c r="G353" s="538">
        <v>1</v>
      </c>
    </row>
    <row r="354" spans="1:7" x14ac:dyDescent="0.2">
      <c r="A354" s="538">
        <v>1</v>
      </c>
      <c r="B354" s="538" t="s">
        <v>6595</v>
      </c>
      <c r="C354" s="538" t="s">
        <v>740</v>
      </c>
      <c r="D354" s="538" t="s">
        <v>393</v>
      </c>
      <c r="E354" s="538" t="s">
        <v>209</v>
      </c>
      <c r="F354" s="538">
        <v>695027</v>
      </c>
      <c r="G354" s="538">
        <v>4</v>
      </c>
    </row>
    <row r="355" spans="1:7" x14ac:dyDescent="0.2">
      <c r="A355" s="538">
        <v>1</v>
      </c>
      <c r="B355" s="538" t="s">
        <v>6609</v>
      </c>
      <c r="C355" s="538" t="s">
        <v>740</v>
      </c>
      <c r="D355" s="538" t="s">
        <v>393</v>
      </c>
      <c r="E355" s="538" t="s">
        <v>210</v>
      </c>
      <c r="F355" s="538">
        <v>3366207</v>
      </c>
      <c r="G355" s="538">
        <v>114</v>
      </c>
    </row>
    <row r="356" spans="1:7" x14ac:dyDescent="0.2">
      <c r="A356" s="538">
        <v>3</v>
      </c>
      <c r="B356" s="538" t="s">
        <v>6578</v>
      </c>
      <c r="C356" s="538" t="s">
        <v>740</v>
      </c>
      <c r="D356" s="538" t="s">
        <v>393</v>
      </c>
      <c r="E356" s="538" t="s">
        <v>401</v>
      </c>
      <c r="F356" s="538">
        <v>356124</v>
      </c>
      <c r="G356" s="538">
        <v>28</v>
      </c>
    </row>
    <row r="357" spans="1:7" x14ac:dyDescent="0.2">
      <c r="A357" s="538">
        <v>2</v>
      </c>
      <c r="B357" s="538" t="s">
        <v>6656</v>
      </c>
      <c r="C357" s="538" t="s">
        <v>740</v>
      </c>
      <c r="D357" s="538" t="s">
        <v>393</v>
      </c>
      <c r="E357" s="538" t="s">
        <v>402</v>
      </c>
      <c r="F357" s="538">
        <v>22656</v>
      </c>
      <c r="G357" s="538">
        <v>2</v>
      </c>
    </row>
    <row r="358" spans="1:7" x14ac:dyDescent="0.2">
      <c r="A358" s="538">
        <v>6</v>
      </c>
      <c r="B358" s="538" t="s">
        <v>6565</v>
      </c>
      <c r="C358" s="538" t="s">
        <v>740</v>
      </c>
      <c r="D358" s="538" t="s">
        <v>740</v>
      </c>
      <c r="E358" s="538" t="s">
        <v>390</v>
      </c>
      <c r="F358" s="538">
        <v>1948947</v>
      </c>
      <c r="G358" s="538">
        <v>74</v>
      </c>
    </row>
    <row r="359" spans="1:7" x14ac:dyDescent="0.2">
      <c r="A359" s="538">
        <v>1</v>
      </c>
      <c r="B359" s="538" t="s">
        <v>6602</v>
      </c>
      <c r="C359" s="538" t="s">
        <v>740</v>
      </c>
      <c r="D359" s="538" t="s">
        <v>740</v>
      </c>
      <c r="E359" s="538" t="s">
        <v>209</v>
      </c>
      <c r="F359" s="538">
        <v>1489299</v>
      </c>
      <c r="G359" s="538">
        <v>3</v>
      </c>
    </row>
    <row r="360" spans="1:7" x14ac:dyDescent="0.2">
      <c r="A360" s="538">
        <v>8</v>
      </c>
      <c r="B360" s="538" t="s">
        <v>6583</v>
      </c>
      <c r="C360" s="538" t="s">
        <v>740</v>
      </c>
      <c r="D360" s="538" t="s">
        <v>393</v>
      </c>
      <c r="E360" s="538" t="s">
        <v>409</v>
      </c>
      <c r="F360" s="538">
        <v>6904364</v>
      </c>
      <c r="G360" s="538">
        <v>298</v>
      </c>
    </row>
    <row r="361" spans="1:7" x14ac:dyDescent="0.2">
      <c r="A361" s="538">
        <v>4</v>
      </c>
      <c r="B361" s="538" t="s">
        <v>6590</v>
      </c>
      <c r="C361" s="538" t="s">
        <v>393</v>
      </c>
      <c r="D361" s="538" t="s">
        <v>393</v>
      </c>
      <c r="E361" s="538" t="s">
        <v>210</v>
      </c>
      <c r="F361" s="538">
        <v>6602746</v>
      </c>
      <c r="G361" s="538">
        <v>77</v>
      </c>
    </row>
    <row r="362" spans="1:7" x14ac:dyDescent="0.2">
      <c r="A362" s="538">
        <v>3</v>
      </c>
      <c r="B362" s="538" t="s">
        <v>6647</v>
      </c>
      <c r="C362" s="538" t="s">
        <v>740</v>
      </c>
      <c r="D362" s="538" t="s">
        <v>393</v>
      </c>
      <c r="E362" s="538" t="s">
        <v>209</v>
      </c>
      <c r="F362" s="538">
        <v>1886487</v>
      </c>
      <c r="G362" s="538">
        <v>9</v>
      </c>
    </row>
    <row r="363" spans="1:7" x14ac:dyDescent="0.2">
      <c r="A363" s="538">
        <v>11</v>
      </c>
      <c r="B363" s="538" t="s">
        <v>6612</v>
      </c>
      <c r="C363" s="538" t="s">
        <v>740</v>
      </c>
      <c r="D363" s="538" t="s">
        <v>393</v>
      </c>
      <c r="E363" s="538" t="s">
        <v>860</v>
      </c>
      <c r="F363" s="538">
        <v>1423788</v>
      </c>
      <c r="G363" s="538">
        <v>76</v>
      </c>
    </row>
    <row r="364" spans="1:7" x14ac:dyDescent="0.2">
      <c r="A364" s="538">
        <v>8</v>
      </c>
      <c r="B364" s="538" t="s">
        <v>6583</v>
      </c>
      <c r="C364" s="538" t="s">
        <v>740</v>
      </c>
      <c r="D364" s="538" t="s">
        <v>393</v>
      </c>
      <c r="E364" s="538" t="s">
        <v>449</v>
      </c>
      <c r="F364" s="538">
        <v>561267</v>
      </c>
      <c r="G364" s="538">
        <v>44</v>
      </c>
    </row>
    <row r="365" spans="1:7" x14ac:dyDescent="0.2">
      <c r="A365" s="538">
        <v>12</v>
      </c>
      <c r="B365" s="538" t="s">
        <v>6563</v>
      </c>
      <c r="C365" s="538" t="s">
        <v>740</v>
      </c>
      <c r="D365" s="538" t="s">
        <v>740</v>
      </c>
      <c r="E365" s="538" t="s">
        <v>449</v>
      </c>
      <c r="F365" s="538">
        <v>11328</v>
      </c>
      <c r="G365" s="538">
        <v>1</v>
      </c>
    </row>
    <row r="366" spans="1:7" x14ac:dyDescent="0.2">
      <c r="A366" s="538">
        <v>9</v>
      </c>
      <c r="B366" s="538" t="s">
        <v>6645</v>
      </c>
      <c r="C366" s="538" t="s">
        <v>740</v>
      </c>
      <c r="D366" s="538" t="s">
        <v>393</v>
      </c>
      <c r="E366" s="538" t="s">
        <v>438</v>
      </c>
      <c r="F366" s="538">
        <v>530417</v>
      </c>
      <c r="G366" s="538">
        <v>4</v>
      </c>
    </row>
    <row r="367" spans="1:7" x14ac:dyDescent="0.2">
      <c r="A367" s="538">
        <v>6</v>
      </c>
      <c r="B367" s="538" t="s">
        <v>6607</v>
      </c>
      <c r="C367" s="538" t="s">
        <v>393</v>
      </c>
      <c r="D367" s="538" t="s">
        <v>393</v>
      </c>
      <c r="E367" s="538" t="s">
        <v>390</v>
      </c>
      <c r="F367" s="538">
        <v>8417558</v>
      </c>
      <c r="G367" s="538">
        <v>181</v>
      </c>
    </row>
    <row r="368" spans="1:7" x14ac:dyDescent="0.2">
      <c r="A368" s="538">
        <v>4</v>
      </c>
      <c r="B368" s="538" t="s">
        <v>6590</v>
      </c>
      <c r="C368" s="538" t="s">
        <v>740</v>
      </c>
      <c r="D368" s="538" t="s">
        <v>393</v>
      </c>
      <c r="E368" s="538" t="s">
        <v>438</v>
      </c>
      <c r="F368" s="538">
        <v>1356247</v>
      </c>
      <c r="G368" s="538">
        <v>14</v>
      </c>
    </row>
    <row r="369" spans="1:7" x14ac:dyDescent="0.2">
      <c r="A369" s="538">
        <v>1</v>
      </c>
      <c r="B369" s="538" t="s">
        <v>6602</v>
      </c>
      <c r="C369" s="538" t="s">
        <v>740</v>
      </c>
      <c r="D369" s="538" t="s">
        <v>740</v>
      </c>
      <c r="E369" s="538" t="s">
        <v>202</v>
      </c>
      <c r="F369" s="538">
        <v>524274</v>
      </c>
      <c r="G369" s="538">
        <v>13</v>
      </c>
    </row>
    <row r="370" spans="1:7" x14ac:dyDescent="0.2">
      <c r="A370" s="538">
        <v>8</v>
      </c>
      <c r="B370" s="538" t="s">
        <v>6560</v>
      </c>
      <c r="C370" s="538" t="s">
        <v>393</v>
      </c>
      <c r="D370" s="538" t="s">
        <v>740</v>
      </c>
      <c r="E370" s="538" t="s">
        <v>416</v>
      </c>
      <c r="F370" s="538">
        <v>56640</v>
      </c>
      <c r="G370" s="538">
        <v>5</v>
      </c>
    </row>
    <row r="371" spans="1:7" x14ac:dyDescent="0.2">
      <c r="A371" s="538">
        <v>3</v>
      </c>
      <c r="B371" s="538" t="s">
        <v>6578</v>
      </c>
      <c r="C371" s="538" t="s">
        <v>393</v>
      </c>
      <c r="D371" s="538" t="s">
        <v>393</v>
      </c>
      <c r="E371" s="538" t="s">
        <v>209</v>
      </c>
      <c r="F371" s="538">
        <v>3137065</v>
      </c>
      <c r="G371" s="538">
        <v>15</v>
      </c>
    </row>
    <row r="372" spans="1:7" x14ac:dyDescent="0.2">
      <c r="A372" s="538">
        <v>7</v>
      </c>
      <c r="B372" s="538" t="s">
        <v>6604</v>
      </c>
      <c r="C372" s="538" t="s">
        <v>393</v>
      </c>
      <c r="D372" s="538" t="s">
        <v>393</v>
      </c>
      <c r="E372" s="538" t="s">
        <v>409</v>
      </c>
      <c r="F372" s="538">
        <v>1479793</v>
      </c>
      <c r="G372" s="538">
        <v>36</v>
      </c>
    </row>
    <row r="373" spans="1:7" x14ac:dyDescent="0.2">
      <c r="A373" s="538">
        <v>4</v>
      </c>
      <c r="B373" s="538" t="s">
        <v>6559</v>
      </c>
      <c r="C373" s="538" t="s">
        <v>740</v>
      </c>
      <c r="D373" s="538" t="s">
        <v>393</v>
      </c>
      <c r="E373" s="538" t="s">
        <v>409</v>
      </c>
      <c r="F373" s="538">
        <v>1050141</v>
      </c>
      <c r="G373" s="538">
        <v>47</v>
      </c>
    </row>
    <row r="374" spans="1:7" x14ac:dyDescent="0.2">
      <c r="A374" s="538">
        <v>1</v>
      </c>
      <c r="B374" s="538" t="s">
        <v>6646</v>
      </c>
      <c r="C374" s="538" t="s">
        <v>740</v>
      </c>
      <c r="D374" s="538" t="s">
        <v>393</v>
      </c>
      <c r="E374" s="538" t="s">
        <v>860</v>
      </c>
      <c r="F374" s="538">
        <v>145848</v>
      </c>
      <c r="G374" s="538">
        <v>6</v>
      </c>
    </row>
    <row r="375" spans="1:7" x14ac:dyDescent="0.2">
      <c r="A375" s="538">
        <v>4</v>
      </c>
      <c r="B375" s="538" t="s">
        <v>6572</v>
      </c>
      <c r="C375" s="538" t="s">
        <v>740</v>
      </c>
      <c r="D375" s="538" t="s">
        <v>740</v>
      </c>
      <c r="E375" s="538" t="s">
        <v>210</v>
      </c>
      <c r="F375" s="538">
        <v>510468</v>
      </c>
      <c r="G375" s="538">
        <v>16</v>
      </c>
    </row>
    <row r="376" spans="1:7" x14ac:dyDescent="0.2">
      <c r="A376" s="538">
        <v>11</v>
      </c>
      <c r="B376" s="538" t="s">
        <v>6584</v>
      </c>
      <c r="C376" s="538" t="s">
        <v>740</v>
      </c>
      <c r="D376" s="538" t="s">
        <v>393</v>
      </c>
      <c r="E376" s="538" t="s">
        <v>212</v>
      </c>
      <c r="F376" s="538">
        <v>849423</v>
      </c>
      <c r="G376" s="538">
        <v>66</v>
      </c>
    </row>
    <row r="377" spans="1:7" x14ac:dyDescent="0.2">
      <c r="A377" s="538">
        <v>4</v>
      </c>
      <c r="B377" s="538" t="s">
        <v>6593</v>
      </c>
      <c r="C377" s="538" t="s">
        <v>740</v>
      </c>
      <c r="D377" s="538" t="s">
        <v>393</v>
      </c>
      <c r="E377" s="538" t="s">
        <v>401</v>
      </c>
      <c r="F377" s="538">
        <v>1780162</v>
      </c>
      <c r="G377" s="538">
        <v>39</v>
      </c>
    </row>
    <row r="378" spans="1:7" x14ac:dyDescent="0.2">
      <c r="A378" s="538">
        <v>2</v>
      </c>
      <c r="B378" s="538" t="s">
        <v>6576</v>
      </c>
      <c r="C378" s="538" t="s">
        <v>393</v>
      </c>
      <c r="D378" s="538" t="s">
        <v>740</v>
      </c>
      <c r="E378" s="538" t="s">
        <v>207</v>
      </c>
      <c r="F378" s="538">
        <v>373647</v>
      </c>
      <c r="G378" s="538">
        <v>24</v>
      </c>
    </row>
    <row r="379" spans="1:7" x14ac:dyDescent="0.2">
      <c r="A379" s="538">
        <v>11</v>
      </c>
      <c r="B379" s="538" t="s">
        <v>6660</v>
      </c>
      <c r="C379" s="538" t="s">
        <v>740</v>
      </c>
      <c r="D379" s="538" t="s">
        <v>393</v>
      </c>
      <c r="E379" s="538" t="s">
        <v>207</v>
      </c>
      <c r="F379" s="538">
        <v>11328</v>
      </c>
      <c r="G379" s="538">
        <v>1</v>
      </c>
    </row>
    <row r="380" spans="1:7" x14ac:dyDescent="0.2">
      <c r="A380" s="538">
        <v>4</v>
      </c>
      <c r="B380" s="538" t="s">
        <v>6590</v>
      </c>
      <c r="C380" s="538" t="s">
        <v>393</v>
      </c>
      <c r="D380" s="538" t="s">
        <v>740</v>
      </c>
      <c r="E380" s="538" t="s">
        <v>211</v>
      </c>
      <c r="F380" s="538">
        <v>998051</v>
      </c>
      <c r="G380" s="538">
        <v>12</v>
      </c>
    </row>
    <row r="381" spans="1:7" x14ac:dyDescent="0.2">
      <c r="A381" s="538">
        <v>10</v>
      </c>
      <c r="B381" s="538" t="s">
        <v>6653</v>
      </c>
      <c r="C381" s="538" t="s">
        <v>740</v>
      </c>
      <c r="D381" s="538" t="s">
        <v>393</v>
      </c>
      <c r="E381" s="538" t="s">
        <v>202</v>
      </c>
      <c r="F381" s="538">
        <v>108147</v>
      </c>
      <c r="G381" s="538">
        <v>4</v>
      </c>
    </row>
    <row r="382" spans="1:7" x14ac:dyDescent="0.2">
      <c r="A382" s="538">
        <v>10</v>
      </c>
      <c r="B382" s="538" t="s">
        <v>6582</v>
      </c>
      <c r="C382" s="538" t="s">
        <v>740</v>
      </c>
      <c r="D382" s="538" t="s">
        <v>393</v>
      </c>
      <c r="E382" s="538" t="s">
        <v>230</v>
      </c>
      <c r="F382" s="538">
        <v>11328</v>
      </c>
      <c r="G382" s="538">
        <v>1</v>
      </c>
    </row>
    <row r="383" spans="1:7" x14ac:dyDescent="0.2">
      <c r="A383" s="538">
        <v>7</v>
      </c>
      <c r="B383" s="538" t="s">
        <v>6579</v>
      </c>
      <c r="C383" s="538" t="s">
        <v>740</v>
      </c>
      <c r="D383" s="538" t="s">
        <v>393</v>
      </c>
      <c r="E383" s="538" t="s">
        <v>212</v>
      </c>
      <c r="F383" s="538">
        <v>67968</v>
      </c>
      <c r="G383" s="538">
        <v>6</v>
      </c>
    </row>
    <row r="384" spans="1:7" x14ac:dyDescent="0.2">
      <c r="A384" s="538">
        <v>7</v>
      </c>
      <c r="B384" s="538" t="s">
        <v>6571</v>
      </c>
      <c r="C384" s="538" t="s">
        <v>740</v>
      </c>
      <c r="D384" s="538" t="s">
        <v>393</v>
      </c>
      <c r="E384" s="538" t="s">
        <v>416</v>
      </c>
      <c r="F384" s="538">
        <v>4389496</v>
      </c>
      <c r="G384" s="538">
        <v>142</v>
      </c>
    </row>
    <row r="385" spans="1:7" x14ac:dyDescent="0.2">
      <c r="A385" s="538">
        <v>7</v>
      </c>
      <c r="B385" s="538" t="s">
        <v>6588</v>
      </c>
      <c r="C385" s="538" t="s">
        <v>393</v>
      </c>
      <c r="D385" s="538" t="s">
        <v>393</v>
      </c>
      <c r="E385" s="538" t="s">
        <v>212</v>
      </c>
      <c r="F385" s="538">
        <v>983360</v>
      </c>
      <c r="G385" s="538">
        <v>35</v>
      </c>
    </row>
    <row r="386" spans="1:7" x14ac:dyDescent="0.2">
      <c r="A386" s="538">
        <v>4</v>
      </c>
      <c r="B386" s="538" t="s">
        <v>6590</v>
      </c>
      <c r="C386" s="538" t="s">
        <v>393</v>
      </c>
      <c r="D386" s="538" t="s">
        <v>740</v>
      </c>
      <c r="E386" s="538" t="s">
        <v>202</v>
      </c>
      <c r="F386" s="538">
        <v>2428461</v>
      </c>
      <c r="G386" s="538">
        <v>27</v>
      </c>
    </row>
    <row r="387" spans="1:7" x14ac:dyDescent="0.2">
      <c r="A387" s="538">
        <v>3</v>
      </c>
      <c r="B387" s="538" t="s">
        <v>6586</v>
      </c>
      <c r="C387" s="538" t="s">
        <v>740</v>
      </c>
      <c r="D387" s="538" t="s">
        <v>393</v>
      </c>
      <c r="E387" s="538" t="s">
        <v>230</v>
      </c>
      <c r="F387" s="538">
        <v>45341915</v>
      </c>
      <c r="G387" s="538">
        <v>1060</v>
      </c>
    </row>
    <row r="388" spans="1:7" x14ac:dyDescent="0.2">
      <c r="A388" s="538">
        <v>2</v>
      </c>
      <c r="B388" s="538" t="s">
        <v>6573</v>
      </c>
      <c r="C388" s="538" t="s">
        <v>740</v>
      </c>
      <c r="D388" s="538" t="s">
        <v>740</v>
      </c>
      <c r="E388" s="538" t="s">
        <v>209</v>
      </c>
      <c r="F388" s="538">
        <v>74163</v>
      </c>
      <c r="G388" s="538">
        <v>1</v>
      </c>
    </row>
    <row r="389" spans="1:7" x14ac:dyDescent="0.2">
      <c r="A389" s="538">
        <v>7</v>
      </c>
      <c r="B389" s="538" t="s">
        <v>6571</v>
      </c>
      <c r="C389" s="538" t="s">
        <v>740</v>
      </c>
      <c r="D389" s="538" t="s">
        <v>393</v>
      </c>
      <c r="E389" s="538" t="s">
        <v>401</v>
      </c>
      <c r="F389" s="538">
        <v>11328</v>
      </c>
      <c r="G389" s="538">
        <v>1</v>
      </c>
    </row>
    <row r="390" spans="1:7" x14ac:dyDescent="0.2">
      <c r="A390" s="538">
        <v>3</v>
      </c>
      <c r="B390" s="538" t="s">
        <v>6561</v>
      </c>
      <c r="C390" s="538" t="s">
        <v>740</v>
      </c>
      <c r="D390" s="538" t="s">
        <v>393</v>
      </c>
      <c r="E390" s="538" t="s">
        <v>212</v>
      </c>
      <c r="F390" s="538">
        <v>169920</v>
      </c>
      <c r="G390" s="538">
        <v>15</v>
      </c>
    </row>
    <row r="391" spans="1:7" x14ac:dyDescent="0.2">
      <c r="A391" s="538">
        <v>5</v>
      </c>
      <c r="B391" s="538" t="s">
        <v>6598</v>
      </c>
      <c r="C391" s="538" t="s">
        <v>393</v>
      </c>
      <c r="D391" s="538" t="s">
        <v>740</v>
      </c>
      <c r="E391" s="538" t="s">
        <v>230</v>
      </c>
      <c r="F391" s="538">
        <v>85491</v>
      </c>
      <c r="G391" s="538">
        <v>2</v>
      </c>
    </row>
    <row r="392" spans="1:7" x14ac:dyDescent="0.2">
      <c r="A392" s="538">
        <v>9</v>
      </c>
      <c r="B392" s="538" t="s">
        <v>6614</v>
      </c>
      <c r="C392" s="538" t="s">
        <v>740</v>
      </c>
      <c r="D392" s="538" t="s">
        <v>393</v>
      </c>
      <c r="E392" s="538" t="s">
        <v>202</v>
      </c>
      <c r="F392" s="538">
        <v>427455</v>
      </c>
      <c r="G392" s="538">
        <v>10</v>
      </c>
    </row>
    <row r="393" spans="1:7" x14ac:dyDescent="0.2">
      <c r="A393" s="538">
        <v>12</v>
      </c>
      <c r="B393" s="538" t="s">
        <v>6563</v>
      </c>
      <c r="C393" s="538" t="s">
        <v>393</v>
      </c>
      <c r="D393" s="538" t="s">
        <v>393</v>
      </c>
      <c r="E393" s="538" t="s">
        <v>416</v>
      </c>
      <c r="F393" s="538">
        <v>2826055</v>
      </c>
      <c r="G393" s="538">
        <v>65</v>
      </c>
    </row>
    <row r="394" spans="1:7" x14ac:dyDescent="0.2">
      <c r="A394" s="538">
        <v>7</v>
      </c>
      <c r="B394" s="538" t="s">
        <v>6594</v>
      </c>
      <c r="C394" s="538" t="s">
        <v>740</v>
      </c>
      <c r="D394" s="538" t="s">
        <v>393</v>
      </c>
      <c r="E394" s="538" t="s">
        <v>207</v>
      </c>
      <c r="F394" s="538">
        <v>11328</v>
      </c>
      <c r="G394" s="538">
        <v>1</v>
      </c>
    </row>
    <row r="395" spans="1:7" x14ac:dyDescent="0.2">
      <c r="A395" s="538">
        <v>9</v>
      </c>
      <c r="B395" s="538" t="s">
        <v>6606</v>
      </c>
      <c r="C395" s="538" t="s">
        <v>740</v>
      </c>
      <c r="D395" s="538" t="s">
        <v>740</v>
      </c>
      <c r="E395" s="538" t="s">
        <v>402</v>
      </c>
      <c r="F395" s="538">
        <v>11328</v>
      </c>
      <c r="G395" s="538">
        <v>1</v>
      </c>
    </row>
    <row r="396" spans="1:7" x14ac:dyDescent="0.2">
      <c r="A396" s="538">
        <v>12</v>
      </c>
      <c r="B396" s="538" t="s">
        <v>6563</v>
      </c>
      <c r="C396" s="538" t="s">
        <v>740</v>
      </c>
      <c r="D396" s="538" t="s">
        <v>393</v>
      </c>
      <c r="E396" s="538" t="s">
        <v>860</v>
      </c>
      <c r="F396" s="538">
        <v>1647693</v>
      </c>
      <c r="G396" s="538">
        <v>86</v>
      </c>
    </row>
    <row r="397" spans="1:7" x14ac:dyDescent="0.2">
      <c r="A397" s="538">
        <v>10</v>
      </c>
      <c r="B397" s="538" t="s">
        <v>6664</v>
      </c>
      <c r="C397" s="538" t="s">
        <v>393</v>
      </c>
      <c r="D397" s="538" t="s">
        <v>393</v>
      </c>
      <c r="E397" s="538" t="s">
        <v>402</v>
      </c>
      <c r="F397" s="538">
        <v>1806535</v>
      </c>
      <c r="G397" s="538">
        <v>35</v>
      </c>
    </row>
    <row r="398" spans="1:7" x14ac:dyDescent="0.2">
      <c r="A398" s="538">
        <v>7</v>
      </c>
      <c r="B398" s="538" t="s">
        <v>6661</v>
      </c>
      <c r="C398" s="538" t="s">
        <v>740</v>
      </c>
      <c r="D398" s="538" t="s">
        <v>393</v>
      </c>
      <c r="E398" s="538" t="s">
        <v>212</v>
      </c>
      <c r="F398" s="538">
        <v>1934256</v>
      </c>
      <c r="G398" s="538">
        <v>157</v>
      </c>
    </row>
    <row r="399" spans="1:7" x14ac:dyDescent="0.2">
      <c r="A399" s="538">
        <v>11</v>
      </c>
      <c r="B399" s="538" t="s">
        <v>6612</v>
      </c>
      <c r="C399" s="538" t="s">
        <v>393</v>
      </c>
      <c r="D399" s="538" t="s">
        <v>393</v>
      </c>
      <c r="E399" s="538" t="s">
        <v>402</v>
      </c>
      <c r="F399" s="538">
        <v>3131432</v>
      </c>
      <c r="G399" s="538">
        <v>134</v>
      </c>
    </row>
    <row r="400" spans="1:7" x14ac:dyDescent="0.2">
      <c r="A400" s="538">
        <v>9</v>
      </c>
      <c r="B400" s="538" t="s">
        <v>6615</v>
      </c>
      <c r="C400" s="538" t="s">
        <v>740</v>
      </c>
      <c r="D400" s="538" t="s">
        <v>740</v>
      </c>
      <c r="E400" s="538" t="s">
        <v>416</v>
      </c>
      <c r="F400" s="538">
        <v>5759143</v>
      </c>
      <c r="G400" s="538">
        <v>126</v>
      </c>
    </row>
    <row r="401" spans="1:7" x14ac:dyDescent="0.2">
      <c r="A401" s="538">
        <v>5</v>
      </c>
      <c r="B401" s="538" t="s">
        <v>6568</v>
      </c>
      <c r="C401" s="538" t="s">
        <v>740</v>
      </c>
      <c r="D401" s="538" t="s">
        <v>740</v>
      </c>
      <c r="E401" s="538" t="s">
        <v>390</v>
      </c>
      <c r="F401" s="538">
        <v>6728322</v>
      </c>
      <c r="G401" s="538">
        <v>229</v>
      </c>
    </row>
    <row r="402" spans="1:7" x14ac:dyDescent="0.2">
      <c r="A402" s="538">
        <v>11</v>
      </c>
      <c r="B402" s="538" t="s">
        <v>6612</v>
      </c>
      <c r="C402" s="538" t="s">
        <v>740</v>
      </c>
      <c r="D402" s="538" t="s">
        <v>740</v>
      </c>
      <c r="E402" s="538" t="s">
        <v>449</v>
      </c>
      <c r="F402" s="538">
        <v>459315</v>
      </c>
      <c r="G402" s="538">
        <v>35</v>
      </c>
    </row>
    <row r="403" spans="1:7" x14ac:dyDescent="0.2">
      <c r="A403" s="538">
        <v>3</v>
      </c>
      <c r="B403" s="538" t="s">
        <v>6586</v>
      </c>
      <c r="C403" s="538" t="s">
        <v>740</v>
      </c>
      <c r="D403" s="538" t="s">
        <v>740</v>
      </c>
      <c r="E403" s="538" t="s">
        <v>210</v>
      </c>
      <c r="F403" s="538">
        <v>1173937</v>
      </c>
      <c r="G403" s="538">
        <v>9</v>
      </c>
    </row>
    <row r="404" spans="1:7" x14ac:dyDescent="0.2">
      <c r="A404" s="538">
        <v>3</v>
      </c>
      <c r="B404" s="538" t="s">
        <v>6561</v>
      </c>
      <c r="C404" s="538" t="s">
        <v>393</v>
      </c>
      <c r="D404" s="538" t="s">
        <v>393</v>
      </c>
      <c r="E404" s="538" t="s">
        <v>202</v>
      </c>
      <c r="F404" s="538">
        <v>7795164</v>
      </c>
      <c r="G404" s="538">
        <v>58</v>
      </c>
    </row>
    <row r="405" spans="1:7" x14ac:dyDescent="0.2">
      <c r="A405" s="538">
        <v>11</v>
      </c>
      <c r="B405" s="538" t="s">
        <v>6584</v>
      </c>
      <c r="C405" s="538" t="s">
        <v>740</v>
      </c>
      <c r="D405" s="538" t="s">
        <v>393</v>
      </c>
      <c r="E405" s="538" t="s">
        <v>402</v>
      </c>
      <c r="F405" s="538">
        <v>2039217</v>
      </c>
      <c r="G405" s="538">
        <v>124</v>
      </c>
    </row>
    <row r="406" spans="1:7" x14ac:dyDescent="0.2">
      <c r="A406" s="538">
        <v>1</v>
      </c>
      <c r="B406" s="538" t="s">
        <v>6609</v>
      </c>
      <c r="C406" s="538" t="s">
        <v>740</v>
      </c>
      <c r="D406" s="538" t="s">
        <v>393</v>
      </c>
      <c r="E406" s="538" t="s">
        <v>438</v>
      </c>
      <c r="F406" s="538">
        <v>1355237</v>
      </c>
      <c r="G406" s="538">
        <v>29</v>
      </c>
    </row>
    <row r="407" spans="1:7" x14ac:dyDescent="0.2">
      <c r="A407" s="538">
        <v>1</v>
      </c>
      <c r="B407" s="538" t="s">
        <v>6609</v>
      </c>
      <c r="C407" s="538" t="s">
        <v>740</v>
      </c>
      <c r="D407" s="538" t="s">
        <v>393</v>
      </c>
      <c r="E407" s="538" t="s">
        <v>206</v>
      </c>
      <c r="F407" s="538">
        <v>11328</v>
      </c>
      <c r="G407" s="538">
        <v>1</v>
      </c>
    </row>
    <row r="408" spans="1:7" x14ac:dyDescent="0.2">
      <c r="A408" s="538">
        <v>8</v>
      </c>
      <c r="B408" s="538" t="s">
        <v>6658</v>
      </c>
      <c r="C408" s="538" t="s">
        <v>393</v>
      </c>
      <c r="D408" s="538" t="s">
        <v>740</v>
      </c>
      <c r="E408" s="538" t="s">
        <v>207</v>
      </c>
      <c r="F408" s="538">
        <v>934914</v>
      </c>
      <c r="G408" s="538">
        <v>68</v>
      </c>
    </row>
    <row r="409" spans="1:7" x14ac:dyDescent="0.2">
      <c r="A409" s="538">
        <v>7</v>
      </c>
      <c r="B409" s="538" t="s">
        <v>6571</v>
      </c>
      <c r="C409" s="538" t="s">
        <v>740</v>
      </c>
      <c r="D409" s="538" t="s">
        <v>393</v>
      </c>
      <c r="E409" s="538" t="s">
        <v>401</v>
      </c>
      <c r="F409" s="538">
        <v>108147</v>
      </c>
      <c r="G409" s="538">
        <v>4</v>
      </c>
    </row>
    <row r="410" spans="1:7" x14ac:dyDescent="0.2">
      <c r="A410" s="538">
        <v>7</v>
      </c>
      <c r="B410" s="538" t="s">
        <v>6588</v>
      </c>
      <c r="C410" s="538" t="s">
        <v>740</v>
      </c>
      <c r="D410" s="538" t="s">
        <v>393</v>
      </c>
      <c r="E410" s="538" t="s">
        <v>402</v>
      </c>
      <c r="F410" s="538">
        <v>144625496</v>
      </c>
      <c r="G410" s="538">
        <v>5967</v>
      </c>
    </row>
    <row r="411" spans="1:7" x14ac:dyDescent="0.2">
      <c r="A411" s="538">
        <v>3</v>
      </c>
      <c r="B411" s="538" t="s">
        <v>1390</v>
      </c>
      <c r="C411" s="538" t="s">
        <v>740</v>
      </c>
      <c r="D411" s="538" t="s">
        <v>393</v>
      </c>
      <c r="E411" s="538" t="s">
        <v>210</v>
      </c>
      <c r="F411" s="538">
        <v>22656</v>
      </c>
      <c r="G411" s="538">
        <v>2</v>
      </c>
    </row>
    <row r="412" spans="1:7" x14ac:dyDescent="0.2">
      <c r="A412" s="538">
        <v>2</v>
      </c>
      <c r="B412" s="538" t="s">
        <v>6585</v>
      </c>
      <c r="C412" s="538" t="s">
        <v>740</v>
      </c>
      <c r="D412" s="538" t="s">
        <v>393</v>
      </c>
      <c r="E412" s="538" t="s">
        <v>860</v>
      </c>
      <c r="F412" s="538">
        <v>780695</v>
      </c>
      <c r="G412" s="538">
        <v>15</v>
      </c>
    </row>
    <row r="413" spans="1:7" x14ac:dyDescent="0.2">
      <c r="A413" s="538">
        <v>10</v>
      </c>
      <c r="B413" s="538" t="s">
        <v>6652</v>
      </c>
      <c r="C413" s="538" t="s">
        <v>393</v>
      </c>
      <c r="D413" s="538" t="s">
        <v>393</v>
      </c>
      <c r="E413" s="538" t="s">
        <v>438</v>
      </c>
      <c r="F413" s="538">
        <v>2516149</v>
      </c>
      <c r="G413" s="538">
        <v>8</v>
      </c>
    </row>
    <row r="414" spans="1:7" x14ac:dyDescent="0.2">
      <c r="A414" s="538">
        <v>6</v>
      </c>
      <c r="B414" s="538" t="s">
        <v>6565</v>
      </c>
      <c r="C414" s="538" t="s">
        <v>393</v>
      </c>
      <c r="D414" s="538" t="s">
        <v>393</v>
      </c>
      <c r="E414" s="538" t="s">
        <v>449</v>
      </c>
      <c r="F414" s="538">
        <v>575729</v>
      </c>
      <c r="G414" s="538">
        <v>8</v>
      </c>
    </row>
    <row r="415" spans="1:7" x14ac:dyDescent="0.2">
      <c r="A415" s="538">
        <v>3</v>
      </c>
      <c r="B415" s="538" t="s">
        <v>6603</v>
      </c>
      <c r="C415" s="538" t="s">
        <v>740</v>
      </c>
      <c r="D415" s="538" t="s">
        <v>393</v>
      </c>
      <c r="E415" s="538" t="s">
        <v>202</v>
      </c>
      <c r="F415" s="538">
        <v>108147</v>
      </c>
      <c r="G415" s="538">
        <v>4</v>
      </c>
    </row>
    <row r="416" spans="1:7" x14ac:dyDescent="0.2">
      <c r="A416" s="538">
        <v>2</v>
      </c>
      <c r="B416" s="538" t="s">
        <v>6576</v>
      </c>
      <c r="C416" s="538" t="s">
        <v>393</v>
      </c>
      <c r="D416" s="538" t="s">
        <v>393</v>
      </c>
      <c r="E416" s="538" t="s">
        <v>409</v>
      </c>
      <c r="F416" s="538">
        <v>2404264</v>
      </c>
      <c r="G416" s="538">
        <v>83</v>
      </c>
    </row>
    <row r="417" spans="1:7" x14ac:dyDescent="0.2">
      <c r="A417" s="538">
        <v>10</v>
      </c>
      <c r="B417" s="538" t="s">
        <v>6600</v>
      </c>
      <c r="C417" s="538" t="s">
        <v>393</v>
      </c>
      <c r="D417" s="538" t="s">
        <v>393</v>
      </c>
      <c r="E417" s="538" t="s">
        <v>419</v>
      </c>
      <c r="F417" s="538">
        <v>11328</v>
      </c>
      <c r="G417" s="538">
        <v>1</v>
      </c>
    </row>
    <row r="418" spans="1:7" x14ac:dyDescent="0.2">
      <c r="A418" s="538">
        <v>7</v>
      </c>
      <c r="B418" s="538" t="s">
        <v>6579</v>
      </c>
      <c r="C418" s="538" t="s">
        <v>740</v>
      </c>
      <c r="D418" s="538" t="s">
        <v>393</v>
      </c>
      <c r="E418" s="538" t="s">
        <v>207</v>
      </c>
      <c r="F418" s="538">
        <v>5861834</v>
      </c>
      <c r="G418" s="538">
        <v>393</v>
      </c>
    </row>
    <row r="419" spans="1:7" x14ac:dyDescent="0.2">
      <c r="A419" s="538">
        <v>6</v>
      </c>
      <c r="B419" s="538" t="s">
        <v>6429</v>
      </c>
      <c r="C419" s="538" t="s">
        <v>740</v>
      </c>
      <c r="D419" s="538" t="s">
        <v>740</v>
      </c>
      <c r="E419" s="538" t="s">
        <v>210</v>
      </c>
      <c r="F419" s="538">
        <v>11619176</v>
      </c>
      <c r="G419" s="538">
        <v>212</v>
      </c>
    </row>
    <row r="420" spans="1:7" x14ac:dyDescent="0.2">
      <c r="A420" s="538">
        <v>6</v>
      </c>
      <c r="B420" s="538" t="s">
        <v>6429</v>
      </c>
      <c r="C420" s="538" t="s">
        <v>740</v>
      </c>
      <c r="D420" s="538" t="s">
        <v>393</v>
      </c>
      <c r="E420" s="538" t="s">
        <v>409</v>
      </c>
      <c r="F420" s="538">
        <v>61596</v>
      </c>
      <c r="G420" s="538">
        <v>2</v>
      </c>
    </row>
    <row r="421" spans="1:7" x14ac:dyDescent="0.2">
      <c r="A421" s="538">
        <v>10</v>
      </c>
      <c r="B421" s="538" t="s">
        <v>6597</v>
      </c>
      <c r="C421" s="538" t="s">
        <v>740</v>
      </c>
      <c r="D421" s="538" t="s">
        <v>393</v>
      </c>
      <c r="E421" s="538" t="s">
        <v>402</v>
      </c>
      <c r="F421" s="538">
        <v>1443789</v>
      </c>
      <c r="G421" s="538">
        <v>68</v>
      </c>
    </row>
    <row r="422" spans="1:7" x14ac:dyDescent="0.2">
      <c r="A422" s="538">
        <v>2</v>
      </c>
      <c r="B422" s="538" t="s">
        <v>6662</v>
      </c>
      <c r="C422" s="538" t="s">
        <v>740</v>
      </c>
      <c r="D422" s="538" t="s">
        <v>393</v>
      </c>
      <c r="E422" s="538" t="s">
        <v>416</v>
      </c>
      <c r="F422" s="538">
        <v>61596</v>
      </c>
      <c r="G422" s="538">
        <v>2</v>
      </c>
    </row>
    <row r="423" spans="1:7" x14ac:dyDescent="0.2">
      <c r="A423" s="538">
        <v>6</v>
      </c>
      <c r="B423" s="538" t="s">
        <v>6575</v>
      </c>
      <c r="C423" s="538" t="s">
        <v>740</v>
      </c>
      <c r="D423" s="538" t="s">
        <v>740</v>
      </c>
      <c r="E423" s="538" t="s">
        <v>409</v>
      </c>
      <c r="F423" s="538">
        <v>429048</v>
      </c>
      <c r="G423" s="538">
        <v>31</v>
      </c>
    </row>
    <row r="424" spans="1:7" x14ac:dyDescent="0.2">
      <c r="A424" s="538">
        <v>6</v>
      </c>
      <c r="B424" s="538" t="s">
        <v>6433</v>
      </c>
      <c r="C424" s="538" t="s">
        <v>740</v>
      </c>
      <c r="D424" s="538" t="s">
        <v>393</v>
      </c>
      <c r="E424" s="538" t="s">
        <v>207</v>
      </c>
      <c r="F424" s="538">
        <v>294351</v>
      </c>
      <c r="G424" s="538">
        <v>17</v>
      </c>
    </row>
    <row r="425" spans="1:7" x14ac:dyDescent="0.2">
      <c r="A425" s="538">
        <v>7</v>
      </c>
      <c r="B425" s="538" t="s">
        <v>6564</v>
      </c>
      <c r="C425" s="538" t="s">
        <v>393</v>
      </c>
      <c r="D425" s="538" t="s">
        <v>393</v>
      </c>
      <c r="E425" s="538" t="s">
        <v>416</v>
      </c>
      <c r="F425" s="538">
        <v>41992972</v>
      </c>
      <c r="G425" s="538">
        <v>784</v>
      </c>
    </row>
    <row r="426" spans="1:7" x14ac:dyDescent="0.2">
      <c r="A426" s="538">
        <v>6</v>
      </c>
      <c r="B426" s="538" t="s">
        <v>6565</v>
      </c>
      <c r="C426" s="538" t="s">
        <v>393</v>
      </c>
      <c r="D426" s="538" t="s">
        <v>740</v>
      </c>
      <c r="E426" s="538" t="s">
        <v>211</v>
      </c>
      <c r="F426" s="538">
        <v>580685</v>
      </c>
      <c r="G426" s="538">
        <v>5</v>
      </c>
    </row>
    <row r="427" spans="1:7" x14ac:dyDescent="0.2">
      <c r="A427" s="538">
        <v>6</v>
      </c>
      <c r="B427" s="538" t="s">
        <v>6607</v>
      </c>
      <c r="C427" s="538" t="s">
        <v>393</v>
      </c>
      <c r="D427" s="538" t="s">
        <v>393</v>
      </c>
      <c r="E427" s="538" t="s">
        <v>860</v>
      </c>
      <c r="F427" s="538">
        <v>328335</v>
      </c>
      <c r="G427" s="538">
        <v>20</v>
      </c>
    </row>
    <row r="428" spans="1:7" x14ac:dyDescent="0.2">
      <c r="A428" s="538">
        <v>3</v>
      </c>
      <c r="B428" s="538" t="s">
        <v>6578</v>
      </c>
      <c r="C428" s="538" t="s">
        <v>740</v>
      </c>
      <c r="D428" s="538" t="s">
        <v>393</v>
      </c>
      <c r="E428" s="538" t="s">
        <v>402</v>
      </c>
      <c r="F428" s="538">
        <v>870486</v>
      </c>
      <c r="G428" s="538">
        <v>52</v>
      </c>
    </row>
    <row r="429" spans="1:7" x14ac:dyDescent="0.2">
      <c r="A429" s="538">
        <v>8</v>
      </c>
      <c r="B429" s="538" t="s">
        <v>6560</v>
      </c>
      <c r="C429" s="538" t="s">
        <v>740</v>
      </c>
      <c r="D429" s="538" t="s">
        <v>393</v>
      </c>
      <c r="E429" s="538" t="s">
        <v>212</v>
      </c>
      <c r="F429" s="538">
        <v>469404</v>
      </c>
      <c r="G429" s="538">
        <v>38</v>
      </c>
    </row>
    <row r="430" spans="1:7" x14ac:dyDescent="0.2">
      <c r="A430" s="538">
        <v>3</v>
      </c>
      <c r="B430" s="538" t="s">
        <v>6603</v>
      </c>
      <c r="C430" s="538" t="s">
        <v>393</v>
      </c>
      <c r="D430" s="538" t="s">
        <v>393</v>
      </c>
      <c r="E430" s="538" t="s">
        <v>202</v>
      </c>
      <c r="F430" s="538">
        <v>7653314</v>
      </c>
      <c r="G430" s="538">
        <v>68</v>
      </c>
    </row>
    <row r="431" spans="1:7" x14ac:dyDescent="0.2">
      <c r="A431" s="538">
        <v>3</v>
      </c>
      <c r="B431" s="538" t="s">
        <v>6591</v>
      </c>
      <c r="C431" s="538" t="s">
        <v>393</v>
      </c>
      <c r="D431" s="538" t="s">
        <v>740</v>
      </c>
      <c r="E431" s="538" t="s">
        <v>209</v>
      </c>
      <c r="F431" s="538">
        <v>496433</v>
      </c>
      <c r="G431" s="538">
        <v>1</v>
      </c>
    </row>
    <row r="432" spans="1:7" x14ac:dyDescent="0.2">
      <c r="A432" s="538">
        <v>1</v>
      </c>
      <c r="B432" s="538" t="s">
        <v>6609</v>
      </c>
      <c r="C432" s="538" t="s">
        <v>393</v>
      </c>
      <c r="D432" s="538" t="s">
        <v>393</v>
      </c>
      <c r="E432" s="538" t="s">
        <v>313</v>
      </c>
      <c r="F432" s="538">
        <v>843353</v>
      </c>
      <c r="G432" s="538">
        <v>6</v>
      </c>
    </row>
    <row r="433" spans="1:7" x14ac:dyDescent="0.2">
      <c r="A433" s="538">
        <v>8</v>
      </c>
      <c r="B433" s="538" t="s">
        <v>6648</v>
      </c>
      <c r="C433" s="538" t="s">
        <v>393</v>
      </c>
      <c r="D433" s="538" t="s">
        <v>740</v>
      </c>
      <c r="E433" s="538" t="s">
        <v>402</v>
      </c>
      <c r="F433" s="538">
        <v>3344363</v>
      </c>
      <c r="G433" s="538">
        <v>166</v>
      </c>
    </row>
    <row r="434" spans="1:7" x14ac:dyDescent="0.2">
      <c r="A434" s="538">
        <v>1</v>
      </c>
      <c r="B434" s="538" t="s">
        <v>6602</v>
      </c>
      <c r="C434" s="538" t="s">
        <v>740</v>
      </c>
      <c r="D434" s="538" t="s">
        <v>393</v>
      </c>
      <c r="E434" s="538" t="s">
        <v>211</v>
      </c>
      <c r="F434" s="538">
        <v>626226</v>
      </c>
      <c r="G434" s="538">
        <v>27</v>
      </c>
    </row>
    <row r="435" spans="1:7" x14ac:dyDescent="0.2">
      <c r="A435" s="538">
        <v>10</v>
      </c>
      <c r="B435" s="538" t="s">
        <v>6587</v>
      </c>
      <c r="C435" s="538" t="s">
        <v>393</v>
      </c>
      <c r="D435" s="538" t="s">
        <v>740</v>
      </c>
      <c r="E435" s="538" t="s">
        <v>409</v>
      </c>
      <c r="F435" s="538">
        <v>33984</v>
      </c>
      <c r="G435" s="538">
        <v>3</v>
      </c>
    </row>
    <row r="436" spans="1:7" x14ac:dyDescent="0.2">
      <c r="A436" s="538">
        <v>3</v>
      </c>
      <c r="B436" s="538" t="s">
        <v>6603</v>
      </c>
      <c r="C436" s="538" t="s">
        <v>740</v>
      </c>
      <c r="D436" s="538" t="s">
        <v>393</v>
      </c>
      <c r="E436" s="538" t="s">
        <v>860</v>
      </c>
      <c r="F436" s="538">
        <v>96819</v>
      </c>
      <c r="G436" s="538">
        <v>3</v>
      </c>
    </row>
    <row r="437" spans="1:7" x14ac:dyDescent="0.2">
      <c r="A437" s="538">
        <v>7</v>
      </c>
      <c r="B437" s="538" t="s">
        <v>6571</v>
      </c>
      <c r="C437" s="538" t="s">
        <v>393</v>
      </c>
      <c r="D437" s="538" t="s">
        <v>393</v>
      </c>
      <c r="E437" s="538" t="s">
        <v>409</v>
      </c>
      <c r="F437" s="538">
        <v>1925958</v>
      </c>
      <c r="G437" s="538">
        <v>36</v>
      </c>
    </row>
    <row r="438" spans="1:7" x14ac:dyDescent="0.2">
      <c r="A438" s="538">
        <v>10</v>
      </c>
      <c r="B438" s="538" t="s">
        <v>6597</v>
      </c>
      <c r="C438" s="538" t="s">
        <v>393</v>
      </c>
      <c r="D438" s="538" t="s">
        <v>393</v>
      </c>
      <c r="E438" s="538" t="s">
        <v>202</v>
      </c>
      <c r="F438" s="538">
        <v>13893304</v>
      </c>
      <c r="G438" s="538">
        <v>78</v>
      </c>
    </row>
    <row r="439" spans="1:7" x14ac:dyDescent="0.2">
      <c r="A439" s="538">
        <v>5</v>
      </c>
      <c r="B439" s="538" t="s">
        <v>6589</v>
      </c>
      <c r="C439" s="538" t="s">
        <v>740</v>
      </c>
      <c r="D439" s="538" t="s">
        <v>393</v>
      </c>
      <c r="E439" s="538" t="s">
        <v>211</v>
      </c>
      <c r="F439" s="538">
        <v>61596</v>
      </c>
      <c r="G439" s="538">
        <v>2</v>
      </c>
    </row>
    <row r="440" spans="1:7" x14ac:dyDescent="0.2">
      <c r="A440" s="538">
        <v>7</v>
      </c>
      <c r="B440" s="538" t="s">
        <v>6604</v>
      </c>
      <c r="C440" s="538" t="s">
        <v>740</v>
      </c>
      <c r="D440" s="538" t="s">
        <v>393</v>
      </c>
      <c r="E440" s="538" t="s">
        <v>438</v>
      </c>
      <c r="F440" s="538">
        <v>215055</v>
      </c>
      <c r="G440" s="538">
        <v>10</v>
      </c>
    </row>
    <row r="441" spans="1:7" x14ac:dyDescent="0.2">
      <c r="A441" s="538">
        <v>8</v>
      </c>
      <c r="B441" s="538" t="s">
        <v>6560</v>
      </c>
      <c r="C441" s="538" t="s">
        <v>740</v>
      </c>
      <c r="D441" s="538" t="s">
        <v>740</v>
      </c>
      <c r="E441" s="538" t="s">
        <v>230</v>
      </c>
      <c r="F441" s="538">
        <v>788358</v>
      </c>
      <c r="G441" s="538">
        <v>26</v>
      </c>
    </row>
    <row r="442" spans="1:7" x14ac:dyDescent="0.2">
      <c r="A442" s="538">
        <v>2</v>
      </c>
      <c r="B442" s="538" t="s">
        <v>6656</v>
      </c>
      <c r="C442" s="538" t="s">
        <v>393</v>
      </c>
      <c r="D442" s="538" t="s">
        <v>740</v>
      </c>
      <c r="E442" s="538" t="s">
        <v>207</v>
      </c>
      <c r="F442" s="538">
        <v>1439364</v>
      </c>
      <c r="G442" s="538">
        <v>98</v>
      </c>
    </row>
    <row r="443" spans="1:7" x14ac:dyDescent="0.2">
      <c r="A443" s="538">
        <v>2</v>
      </c>
      <c r="B443" s="538" t="s">
        <v>6654</v>
      </c>
      <c r="C443" s="538" t="s">
        <v>740</v>
      </c>
      <c r="D443" s="538" t="s">
        <v>393</v>
      </c>
      <c r="E443" s="538" t="s">
        <v>390</v>
      </c>
      <c r="F443" s="538">
        <v>22656</v>
      </c>
      <c r="G443" s="538">
        <v>2</v>
      </c>
    </row>
    <row r="444" spans="1:7" x14ac:dyDescent="0.2">
      <c r="A444" s="538">
        <v>10</v>
      </c>
      <c r="B444" s="538" t="s">
        <v>6597</v>
      </c>
      <c r="C444" s="538" t="s">
        <v>740</v>
      </c>
      <c r="D444" s="538" t="s">
        <v>393</v>
      </c>
      <c r="E444" s="538" t="s">
        <v>860</v>
      </c>
      <c r="F444" s="538">
        <v>1406442</v>
      </c>
      <c r="G444" s="538">
        <v>89</v>
      </c>
    </row>
    <row r="445" spans="1:7" x14ac:dyDescent="0.2">
      <c r="A445" s="538">
        <v>10</v>
      </c>
      <c r="B445" s="538" t="s">
        <v>6601</v>
      </c>
      <c r="C445" s="538" t="s">
        <v>393</v>
      </c>
      <c r="D445" s="538" t="s">
        <v>393</v>
      </c>
      <c r="E445" s="538" t="s">
        <v>211</v>
      </c>
      <c r="F445" s="538">
        <v>4528941</v>
      </c>
      <c r="G445" s="538">
        <v>62</v>
      </c>
    </row>
    <row r="446" spans="1:7" x14ac:dyDescent="0.2">
      <c r="A446" s="538">
        <v>3</v>
      </c>
      <c r="B446" s="538" t="s">
        <v>6561</v>
      </c>
      <c r="C446" s="538" t="s">
        <v>740</v>
      </c>
      <c r="D446" s="538" t="s">
        <v>393</v>
      </c>
      <c r="E446" s="538" t="s">
        <v>211</v>
      </c>
      <c r="F446" s="538">
        <v>36394783</v>
      </c>
      <c r="G446" s="538">
        <v>1111</v>
      </c>
    </row>
    <row r="447" spans="1:7" x14ac:dyDescent="0.2">
      <c r="A447" s="538">
        <v>10</v>
      </c>
      <c r="B447" s="538" t="s">
        <v>6587</v>
      </c>
      <c r="C447" s="538" t="s">
        <v>393</v>
      </c>
      <c r="D447" s="538" t="s">
        <v>740</v>
      </c>
      <c r="E447" s="538" t="s">
        <v>211</v>
      </c>
      <c r="F447" s="538">
        <v>85491</v>
      </c>
      <c r="G447" s="538">
        <v>2</v>
      </c>
    </row>
    <row r="448" spans="1:7" x14ac:dyDescent="0.2">
      <c r="A448" s="538">
        <v>11</v>
      </c>
      <c r="B448" s="538" t="s">
        <v>6610</v>
      </c>
      <c r="C448" s="538" t="s">
        <v>393</v>
      </c>
      <c r="D448" s="538" t="s">
        <v>740</v>
      </c>
      <c r="E448" s="538" t="s">
        <v>449</v>
      </c>
      <c r="F448" s="538">
        <v>237888</v>
      </c>
      <c r="G448" s="538">
        <v>21</v>
      </c>
    </row>
    <row r="449" spans="1:7" x14ac:dyDescent="0.2">
      <c r="A449" s="538">
        <v>6</v>
      </c>
      <c r="B449" s="538" t="s">
        <v>6617</v>
      </c>
      <c r="C449" s="538" t="s">
        <v>740</v>
      </c>
      <c r="D449" s="538" t="s">
        <v>393</v>
      </c>
      <c r="E449" s="538" t="s">
        <v>416</v>
      </c>
      <c r="F449" s="538">
        <v>22656</v>
      </c>
      <c r="G449" s="538">
        <v>2</v>
      </c>
    </row>
    <row r="450" spans="1:7" x14ac:dyDescent="0.2">
      <c r="A450" s="538">
        <v>8</v>
      </c>
      <c r="B450" s="538" t="s">
        <v>6567</v>
      </c>
      <c r="C450" s="538" t="s">
        <v>740</v>
      </c>
      <c r="D450" s="538" t="s">
        <v>393</v>
      </c>
      <c r="E450" s="538" t="s">
        <v>230</v>
      </c>
      <c r="F450" s="538">
        <v>56640</v>
      </c>
      <c r="G450" s="538">
        <v>5</v>
      </c>
    </row>
    <row r="451" spans="1:7" x14ac:dyDescent="0.2">
      <c r="A451" s="538">
        <v>4</v>
      </c>
      <c r="B451" s="538" t="s">
        <v>6572</v>
      </c>
      <c r="C451" s="538" t="s">
        <v>740</v>
      </c>
      <c r="D451" s="538" t="s">
        <v>393</v>
      </c>
      <c r="E451" s="538" t="s">
        <v>402</v>
      </c>
      <c r="F451" s="538">
        <v>250278</v>
      </c>
      <c r="G451" s="538">
        <v>11</v>
      </c>
    </row>
    <row r="452" spans="1:7" x14ac:dyDescent="0.2">
      <c r="A452" s="538">
        <v>4</v>
      </c>
      <c r="B452" s="538" t="s">
        <v>6559</v>
      </c>
      <c r="C452" s="538" t="s">
        <v>740</v>
      </c>
      <c r="D452" s="538" t="s">
        <v>393</v>
      </c>
      <c r="E452" s="538" t="s">
        <v>212</v>
      </c>
      <c r="F452" s="538">
        <v>3153432</v>
      </c>
      <c r="G452" s="538">
        <v>244</v>
      </c>
    </row>
    <row r="453" spans="1:7" x14ac:dyDescent="0.2">
      <c r="A453" s="538">
        <v>5</v>
      </c>
      <c r="B453" s="538" t="s">
        <v>6650</v>
      </c>
      <c r="C453" s="538" t="s">
        <v>740</v>
      </c>
      <c r="D453" s="538" t="s">
        <v>393</v>
      </c>
      <c r="E453" s="538" t="s">
        <v>209</v>
      </c>
      <c r="F453" s="538">
        <v>2457083</v>
      </c>
      <c r="G453" s="538">
        <v>11</v>
      </c>
    </row>
    <row r="454" spans="1:7" x14ac:dyDescent="0.2">
      <c r="A454" s="538">
        <v>4</v>
      </c>
      <c r="B454" s="538" t="s">
        <v>6590</v>
      </c>
      <c r="C454" s="538" t="s">
        <v>393</v>
      </c>
      <c r="D454" s="538" t="s">
        <v>393</v>
      </c>
      <c r="E454" s="538" t="s">
        <v>230</v>
      </c>
      <c r="F454" s="538">
        <v>6862863</v>
      </c>
      <c r="G454" s="538">
        <v>151</v>
      </c>
    </row>
    <row r="455" spans="1:7" x14ac:dyDescent="0.2">
      <c r="A455" s="538">
        <v>4</v>
      </c>
      <c r="B455" s="538" t="s">
        <v>6562</v>
      </c>
      <c r="C455" s="538" t="s">
        <v>740</v>
      </c>
      <c r="D455" s="538" t="s">
        <v>393</v>
      </c>
      <c r="E455" s="538" t="s">
        <v>419</v>
      </c>
      <c r="F455" s="538">
        <v>50268</v>
      </c>
      <c r="G455" s="538">
        <v>1</v>
      </c>
    </row>
    <row r="456" spans="1:7" x14ac:dyDescent="0.2">
      <c r="A456" s="538">
        <v>3</v>
      </c>
      <c r="B456" s="538" t="s">
        <v>6603</v>
      </c>
      <c r="C456" s="538" t="s">
        <v>740</v>
      </c>
      <c r="D456" s="538" t="s">
        <v>393</v>
      </c>
      <c r="E456" s="538" t="s">
        <v>212</v>
      </c>
      <c r="F456" s="538">
        <v>45312</v>
      </c>
      <c r="G456" s="538">
        <v>4</v>
      </c>
    </row>
    <row r="457" spans="1:7" x14ac:dyDescent="0.2">
      <c r="A457" s="538">
        <v>8</v>
      </c>
      <c r="B457" s="538" t="s">
        <v>6560</v>
      </c>
      <c r="C457" s="538" t="s">
        <v>740</v>
      </c>
      <c r="D457" s="538" t="s">
        <v>393</v>
      </c>
      <c r="E457" s="538" t="s">
        <v>230</v>
      </c>
      <c r="F457" s="538">
        <v>25670176</v>
      </c>
      <c r="G457" s="538">
        <v>457</v>
      </c>
    </row>
    <row r="458" spans="1:7" x14ac:dyDescent="0.2">
      <c r="A458" s="538">
        <v>11</v>
      </c>
      <c r="B458" s="538" t="s">
        <v>6558</v>
      </c>
      <c r="C458" s="538" t="s">
        <v>740</v>
      </c>
      <c r="D458" s="538" t="s">
        <v>393</v>
      </c>
      <c r="E458" s="538" t="s">
        <v>230</v>
      </c>
      <c r="F458" s="538">
        <v>570596</v>
      </c>
      <c r="G458" s="538">
        <v>2</v>
      </c>
    </row>
    <row r="459" spans="1:7" x14ac:dyDescent="0.2">
      <c r="A459" s="538">
        <v>7</v>
      </c>
      <c r="B459" s="538" t="s">
        <v>6564</v>
      </c>
      <c r="C459" s="538" t="s">
        <v>740</v>
      </c>
      <c r="D459" s="538" t="s">
        <v>740</v>
      </c>
      <c r="E459" s="538" t="s">
        <v>438</v>
      </c>
      <c r="F459" s="538">
        <v>119475</v>
      </c>
      <c r="G459" s="538">
        <v>5</v>
      </c>
    </row>
    <row r="460" spans="1:7" x14ac:dyDescent="0.2">
      <c r="A460" s="538">
        <v>7</v>
      </c>
      <c r="B460" s="538" t="s">
        <v>6588</v>
      </c>
      <c r="C460" s="538" t="s">
        <v>740</v>
      </c>
      <c r="D460" s="538" t="s">
        <v>393</v>
      </c>
      <c r="E460" s="538" t="s">
        <v>207</v>
      </c>
      <c r="F460" s="538">
        <v>1358069</v>
      </c>
      <c r="G460" s="538">
        <v>48</v>
      </c>
    </row>
    <row r="461" spans="1:7" x14ac:dyDescent="0.2">
      <c r="A461" s="538">
        <v>6</v>
      </c>
      <c r="B461" s="538" t="s">
        <v>6433</v>
      </c>
      <c r="C461" s="538" t="s">
        <v>393</v>
      </c>
      <c r="D461" s="538" t="s">
        <v>393</v>
      </c>
      <c r="E461" s="538" t="s">
        <v>419</v>
      </c>
      <c r="F461" s="538">
        <v>286740</v>
      </c>
      <c r="G461" s="538">
        <v>15</v>
      </c>
    </row>
    <row r="462" spans="1:7" x14ac:dyDescent="0.2">
      <c r="A462" s="538">
        <v>4</v>
      </c>
      <c r="B462" s="538" t="s">
        <v>6574</v>
      </c>
      <c r="C462" s="538" t="s">
        <v>740</v>
      </c>
      <c r="D462" s="538" t="s">
        <v>393</v>
      </c>
      <c r="E462" s="538" t="s">
        <v>390</v>
      </c>
      <c r="F462" s="538">
        <v>184939160</v>
      </c>
      <c r="G462" s="538">
        <v>7720</v>
      </c>
    </row>
    <row r="463" spans="1:7" x14ac:dyDescent="0.2">
      <c r="A463" s="538">
        <v>3</v>
      </c>
      <c r="B463" s="538" t="s">
        <v>6591</v>
      </c>
      <c r="C463" s="538" t="s">
        <v>740</v>
      </c>
      <c r="D463" s="538" t="s">
        <v>393</v>
      </c>
      <c r="E463" s="538" t="s">
        <v>207</v>
      </c>
      <c r="F463" s="538">
        <v>367452</v>
      </c>
      <c r="G463" s="538">
        <v>29</v>
      </c>
    </row>
    <row r="464" spans="1:7" x14ac:dyDescent="0.2">
      <c r="A464" s="538">
        <v>8</v>
      </c>
      <c r="B464" s="538" t="s">
        <v>6560</v>
      </c>
      <c r="C464" s="538" t="s">
        <v>740</v>
      </c>
      <c r="D464" s="538" t="s">
        <v>393</v>
      </c>
      <c r="E464" s="538" t="s">
        <v>207</v>
      </c>
      <c r="F464" s="538">
        <v>113280</v>
      </c>
      <c r="G464" s="538">
        <v>10</v>
      </c>
    </row>
    <row r="465" spans="1:7" x14ac:dyDescent="0.2">
      <c r="A465" s="538">
        <v>1</v>
      </c>
      <c r="B465" s="538" t="s">
        <v>6646</v>
      </c>
      <c r="C465" s="538" t="s">
        <v>740</v>
      </c>
      <c r="D465" s="538" t="s">
        <v>393</v>
      </c>
      <c r="E465" s="538" t="s">
        <v>210</v>
      </c>
      <c r="F465" s="538">
        <v>22656</v>
      </c>
      <c r="G465" s="538">
        <v>2</v>
      </c>
    </row>
    <row r="466" spans="1:7" x14ac:dyDescent="0.2">
      <c r="A466" s="538">
        <v>1</v>
      </c>
      <c r="B466" s="538" t="s">
        <v>6581</v>
      </c>
      <c r="C466" s="538" t="s">
        <v>740</v>
      </c>
      <c r="D466" s="538" t="s">
        <v>393</v>
      </c>
      <c r="E466" s="538" t="s">
        <v>402</v>
      </c>
      <c r="F466" s="538">
        <v>23694439</v>
      </c>
      <c r="G466" s="538">
        <v>938</v>
      </c>
    </row>
    <row r="467" spans="1:7" x14ac:dyDescent="0.2">
      <c r="A467" s="538">
        <v>8</v>
      </c>
      <c r="B467" s="538" t="s">
        <v>6583</v>
      </c>
      <c r="C467" s="538" t="s">
        <v>393</v>
      </c>
      <c r="D467" s="538" t="s">
        <v>393</v>
      </c>
      <c r="E467" s="538" t="s">
        <v>416</v>
      </c>
      <c r="F467" s="538">
        <v>84139350</v>
      </c>
      <c r="G467" s="538">
        <v>1530</v>
      </c>
    </row>
    <row r="468" spans="1:7" x14ac:dyDescent="0.2">
      <c r="A468" s="538">
        <v>8</v>
      </c>
      <c r="B468" s="538" t="s">
        <v>6648</v>
      </c>
      <c r="C468" s="538" t="s">
        <v>740</v>
      </c>
      <c r="D468" s="538" t="s">
        <v>393</v>
      </c>
      <c r="E468" s="538" t="s">
        <v>207</v>
      </c>
      <c r="F468" s="538">
        <v>1563264</v>
      </c>
      <c r="G468" s="538">
        <v>138</v>
      </c>
    </row>
    <row r="469" spans="1:7" x14ac:dyDescent="0.2">
      <c r="A469" s="538">
        <v>3</v>
      </c>
      <c r="B469" s="538" t="s">
        <v>1390</v>
      </c>
      <c r="C469" s="538" t="s">
        <v>740</v>
      </c>
      <c r="D469" s="538" t="s">
        <v>393</v>
      </c>
      <c r="E469" s="538" t="s">
        <v>202</v>
      </c>
      <c r="F469" s="538">
        <v>1089685</v>
      </c>
      <c r="G469" s="538">
        <v>5</v>
      </c>
    </row>
    <row r="470" spans="1:7" x14ac:dyDescent="0.2">
      <c r="A470" s="538">
        <v>1</v>
      </c>
      <c r="B470" s="538" t="s">
        <v>6581</v>
      </c>
      <c r="C470" s="538" t="s">
        <v>740</v>
      </c>
      <c r="D470" s="538" t="s">
        <v>740</v>
      </c>
      <c r="E470" s="538" t="s">
        <v>860</v>
      </c>
      <c r="F470" s="538">
        <v>22656</v>
      </c>
      <c r="G470" s="538">
        <v>2</v>
      </c>
    </row>
    <row r="471" spans="1:7" x14ac:dyDescent="0.2">
      <c r="A471" s="538">
        <v>1</v>
      </c>
      <c r="B471" s="538" t="s">
        <v>6595</v>
      </c>
      <c r="C471" s="538" t="s">
        <v>740</v>
      </c>
      <c r="D471" s="538" t="s">
        <v>393</v>
      </c>
      <c r="E471" s="538" t="s">
        <v>449</v>
      </c>
      <c r="F471" s="538">
        <v>56640</v>
      </c>
      <c r="G471" s="538">
        <v>5</v>
      </c>
    </row>
    <row r="472" spans="1:7" x14ac:dyDescent="0.2">
      <c r="A472" s="538">
        <v>3</v>
      </c>
      <c r="B472" s="538" t="s">
        <v>6603</v>
      </c>
      <c r="C472" s="538" t="s">
        <v>740</v>
      </c>
      <c r="D472" s="538" t="s">
        <v>393</v>
      </c>
      <c r="E472" s="538" t="s">
        <v>390</v>
      </c>
      <c r="F472" s="538">
        <v>1455950</v>
      </c>
      <c r="G472" s="538">
        <v>45</v>
      </c>
    </row>
    <row r="473" spans="1:7" x14ac:dyDescent="0.2">
      <c r="A473" s="538">
        <v>1</v>
      </c>
      <c r="B473" s="538" t="s">
        <v>6663</v>
      </c>
      <c r="C473" s="538" t="s">
        <v>393</v>
      </c>
      <c r="D473" s="538" t="s">
        <v>740</v>
      </c>
      <c r="E473" s="538" t="s">
        <v>210</v>
      </c>
      <c r="F473" s="538">
        <v>11328</v>
      </c>
      <c r="G473" s="538">
        <v>1</v>
      </c>
    </row>
    <row r="474" spans="1:7" x14ac:dyDescent="0.2">
      <c r="A474" s="538">
        <v>10</v>
      </c>
      <c r="B474" s="538" t="s">
        <v>6653</v>
      </c>
      <c r="C474" s="538" t="s">
        <v>740</v>
      </c>
      <c r="D474" s="538" t="s">
        <v>393</v>
      </c>
      <c r="E474" s="538" t="s">
        <v>860</v>
      </c>
      <c r="F474" s="538">
        <v>11328</v>
      </c>
      <c r="G474" s="538">
        <v>1</v>
      </c>
    </row>
    <row r="475" spans="1:7" x14ac:dyDescent="0.2">
      <c r="A475" s="538">
        <v>3</v>
      </c>
      <c r="B475" s="538" t="s">
        <v>6586</v>
      </c>
      <c r="C475" s="538" t="s">
        <v>740</v>
      </c>
      <c r="D475" s="538" t="s">
        <v>393</v>
      </c>
      <c r="E475" s="538" t="s">
        <v>202</v>
      </c>
      <c r="F475" s="538">
        <v>7671795</v>
      </c>
      <c r="G475" s="538">
        <v>45</v>
      </c>
    </row>
    <row r="476" spans="1:7" x14ac:dyDescent="0.2">
      <c r="A476" s="538">
        <v>7</v>
      </c>
      <c r="B476" s="538" t="s">
        <v>6580</v>
      </c>
      <c r="C476" s="538" t="s">
        <v>393</v>
      </c>
      <c r="D476" s="538" t="s">
        <v>393</v>
      </c>
      <c r="E476" s="538" t="s">
        <v>390</v>
      </c>
      <c r="F476" s="538">
        <v>10100516</v>
      </c>
      <c r="G476" s="538">
        <v>177</v>
      </c>
    </row>
    <row r="477" spans="1:7" x14ac:dyDescent="0.2">
      <c r="A477" s="538">
        <v>1</v>
      </c>
      <c r="B477" s="538" t="s">
        <v>6609</v>
      </c>
      <c r="C477" s="538" t="s">
        <v>393</v>
      </c>
      <c r="D477" s="538" t="s">
        <v>393</v>
      </c>
      <c r="E477" s="538" t="s">
        <v>207</v>
      </c>
      <c r="F477" s="538">
        <v>24819846</v>
      </c>
      <c r="G477" s="538">
        <v>1797</v>
      </c>
    </row>
    <row r="478" spans="1:7" x14ac:dyDescent="0.2">
      <c r="A478" s="538">
        <v>10</v>
      </c>
      <c r="B478" s="538" t="s">
        <v>6653</v>
      </c>
      <c r="C478" s="538" t="s">
        <v>740</v>
      </c>
      <c r="D478" s="538" t="s">
        <v>393</v>
      </c>
      <c r="E478" s="538" t="s">
        <v>210</v>
      </c>
      <c r="F478" s="538">
        <v>33984</v>
      </c>
      <c r="G478" s="538">
        <v>3</v>
      </c>
    </row>
    <row r="479" spans="1:7" x14ac:dyDescent="0.2">
      <c r="A479" s="538">
        <v>7</v>
      </c>
      <c r="B479" s="538" t="s">
        <v>6579</v>
      </c>
      <c r="C479" s="538" t="s">
        <v>740</v>
      </c>
      <c r="D479" s="538" t="s">
        <v>393</v>
      </c>
      <c r="E479" s="538" t="s">
        <v>313</v>
      </c>
      <c r="F479" s="538">
        <v>14055363</v>
      </c>
      <c r="G479" s="538">
        <v>81</v>
      </c>
    </row>
    <row r="480" spans="1:7" x14ac:dyDescent="0.2">
      <c r="A480" s="538">
        <v>2</v>
      </c>
      <c r="B480" s="538" t="s">
        <v>6662</v>
      </c>
      <c r="C480" s="538" t="s">
        <v>393</v>
      </c>
      <c r="D480" s="538" t="s">
        <v>740</v>
      </c>
      <c r="E480" s="538" t="s">
        <v>449</v>
      </c>
      <c r="F480" s="538">
        <v>215232</v>
      </c>
      <c r="G480" s="538">
        <v>19</v>
      </c>
    </row>
    <row r="481" spans="1:7" x14ac:dyDescent="0.2">
      <c r="A481" s="538">
        <v>1</v>
      </c>
      <c r="B481" s="538" t="s">
        <v>6649</v>
      </c>
      <c r="C481" s="538" t="s">
        <v>393</v>
      </c>
      <c r="D481" s="538" t="s">
        <v>393</v>
      </c>
      <c r="E481" s="538" t="s">
        <v>390</v>
      </c>
      <c r="F481" s="538">
        <v>3512586</v>
      </c>
      <c r="G481" s="538">
        <v>82</v>
      </c>
    </row>
    <row r="482" spans="1:7" x14ac:dyDescent="0.2">
      <c r="A482" s="538">
        <v>2</v>
      </c>
      <c r="B482" s="538" t="s">
        <v>6576</v>
      </c>
      <c r="C482" s="538" t="s">
        <v>740</v>
      </c>
      <c r="D482" s="538" t="s">
        <v>393</v>
      </c>
      <c r="E482" s="538" t="s">
        <v>212</v>
      </c>
      <c r="F482" s="538">
        <v>1748708</v>
      </c>
      <c r="G482" s="538">
        <v>106</v>
      </c>
    </row>
    <row r="483" spans="1:7" x14ac:dyDescent="0.2">
      <c r="A483" s="538">
        <v>11</v>
      </c>
      <c r="B483" s="538" t="s">
        <v>6584</v>
      </c>
      <c r="C483" s="538" t="s">
        <v>740</v>
      </c>
      <c r="D483" s="538" t="s">
        <v>740</v>
      </c>
      <c r="E483" s="538" t="s">
        <v>860</v>
      </c>
      <c r="F483" s="538">
        <v>22656</v>
      </c>
      <c r="G483" s="538">
        <v>2</v>
      </c>
    </row>
    <row r="484" spans="1:7" x14ac:dyDescent="0.2">
      <c r="A484" s="538">
        <v>7</v>
      </c>
      <c r="B484" s="538" t="s">
        <v>6655</v>
      </c>
      <c r="C484" s="538" t="s">
        <v>740</v>
      </c>
      <c r="D484" s="538" t="s">
        <v>393</v>
      </c>
      <c r="E484" s="538" t="s">
        <v>207</v>
      </c>
      <c r="F484" s="538">
        <v>2220996</v>
      </c>
      <c r="G484" s="538">
        <v>167</v>
      </c>
    </row>
    <row r="485" spans="1:7" x14ac:dyDescent="0.2">
      <c r="A485" s="538">
        <v>1</v>
      </c>
      <c r="B485" s="538" t="s">
        <v>6581</v>
      </c>
      <c r="C485" s="538" t="s">
        <v>740</v>
      </c>
      <c r="D485" s="538" t="s">
        <v>740</v>
      </c>
      <c r="E485" s="538" t="s">
        <v>390</v>
      </c>
      <c r="F485" s="538">
        <v>3905932</v>
      </c>
      <c r="G485" s="538">
        <v>99</v>
      </c>
    </row>
    <row r="486" spans="1:7" x14ac:dyDescent="0.2">
      <c r="A486" s="538">
        <v>5</v>
      </c>
      <c r="B486" s="538" t="s">
        <v>6598</v>
      </c>
      <c r="C486" s="538" t="s">
        <v>393</v>
      </c>
      <c r="D486" s="538" t="s">
        <v>740</v>
      </c>
      <c r="E486" s="538" t="s">
        <v>416</v>
      </c>
      <c r="F486" s="538">
        <v>8349486</v>
      </c>
      <c r="G486" s="538">
        <v>222</v>
      </c>
    </row>
    <row r="487" spans="1:7" x14ac:dyDescent="0.2">
      <c r="A487" s="538">
        <v>6</v>
      </c>
      <c r="B487" s="538" t="s">
        <v>6429</v>
      </c>
      <c r="C487" s="538" t="s">
        <v>393</v>
      </c>
      <c r="D487" s="538" t="s">
        <v>393</v>
      </c>
      <c r="E487" s="538" t="s">
        <v>449</v>
      </c>
      <c r="F487" s="538">
        <v>72924</v>
      </c>
      <c r="G487" s="538">
        <v>3</v>
      </c>
    </row>
    <row r="488" spans="1:7" x14ac:dyDescent="0.2">
      <c r="A488" s="538">
        <v>6</v>
      </c>
      <c r="B488" s="538" t="s">
        <v>6565</v>
      </c>
      <c r="C488" s="538" t="s">
        <v>740</v>
      </c>
      <c r="D488" s="538" t="s">
        <v>740</v>
      </c>
      <c r="E488" s="538" t="s">
        <v>207</v>
      </c>
      <c r="F488" s="538">
        <v>595074</v>
      </c>
      <c r="G488" s="538">
        <v>38</v>
      </c>
    </row>
    <row r="489" spans="1:7" x14ac:dyDescent="0.2">
      <c r="A489" s="538">
        <v>3</v>
      </c>
      <c r="B489" s="538" t="s">
        <v>6591</v>
      </c>
      <c r="C489" s="538" t="s">
        <v>740</v>
      </c>
      <c r="D489" s="538" t="s">
        <v>393</v>
      </c>
      <c r="E489" s="538" t="s">
        <v>313</v>
      </c>
      <c r="F489" s="538">
        <v>596969</v>
      </c>
      <c r="G489" s="538">
        <v>3</v>
      </c>
    </row>
    <row r="490" spans="1:7" x14ac:dyDescent="0.2">
      <c r="A490" s="538">
        <v>6</v>
      </c>
      <c r="B490" s="538" t="s">
        <v>6575</v>
      </c>
      <c r="C490" s="538" t="s">
        <v>393</v>
      </c>
      <c r="D490" s="538" t="s">
        <v>740</v>
      </c>
      <c r="E490" s="538" t="s">
        <v>211</v>
      </c>
      <c r="F490" s="538">
        <v>119475</v>
      </c>
      <c r="G490" s="538">
        <v>5</v>
      </c>
    </row>
    <row r="491" spans="1:7" x14ac:dyDescent="0.2">
      <c r="A491" s="538">
        <v>1</v>
      </c>
      <c r="B491" s="538" t="s">
        <v>1288</v>
      </c>
      <c r="C491" s="538" t="s">
        <v>740</v>
      </c>
      <c r="D491" s="538" t="s">
        <v>393</v>
      </c>
      <c r="E491" s="538" t="s">
        <v>860</v>
      </c>
      <c r="F491" s="538">
        <v>85491</v>
      </c>
      <c r="G491" s="538">
        <v>2</v>
      </c>
    </row>
    <row r="492" spans="1:7" x14ac:dyDescent="0.2">
      <c r="A492" s="538">
        <v>8</v>
      </c>
      <c r="B492" s="538" t="s">
        <v>6560</v>
      </c>
      <c r="C492" s="538" t="s">
        <v>740</v>
      </c>
      <c r="D492" s="538" t="s">
        <v>393</v>
      </c>
      <c r="E492" s="538" t="s">
        <v>390</v>
      </c>
      <c r="F492" s="538">
        <v>1256346</v>
      </c>
      <c r="G492" s="538">
        <v>57</v>
      </c>
    </row>
    <row r="493" spans="1:7" x14ac:dyDescent="0.2">
      <c r="A493" s="538">
        <v>2</v>
      </c>
      <c r="B493" s="538" t="s">
        <v>6585</v>
      </c>
      <c r="C493" s="538" t="s">
        <v>393</v>
      </c>
      <c r="D493" s="538" t="s">
        <v>393</v>
      </c>
      <c r="E493" s="538" t="s">
        <v>207</v>
      </c>
      <c r="F493" s="538">
        <v>16084417</v>
      </c>
      <c r="G493" s="538">
        <v>1139</v>
      </c>
    </row>
    <row r="494" spans="1:7" x14ac:dyDescent="0.2">
      <c r="A494" s="538">
        <v>3</v>
      </c>
      <c r="B494" s="538" t="s">
        <v>6561</v>
      </c>
      <c r="C494" s="538" t="s">
        <v>740</v>
      </c>
      <c r="D494" s="538" t="s">
        <v>740</v>
      </c>
      <c r="E494" s="538" t="s">
        <v>212</v>
      </c>
      <c r="F494" s="538">
        <v>22656</v>
      </c>
      <c r="G494" s="538">
        <v>2</v>
      </c>
    </row>
    <row r="495" spans="1:7" x14ac:dyDescent="0.2">
      <c r="A495" s="538">
        <v>9</v>
      </c>
      <c r="B495" s="538" t="s">
        <v>6657</v>
      </c>
      <c r="C495" s="538" t="s">
        <v>740</v>
      </c>
      <c r="D495" s="538" t="s">
        <v>740</v>
      </c>
      <c r="E495" s="538" t="s">
        <v>860</v>
      </c>
      <c r="F495" s="538">
        <v>22656</v>
      </c>
      <c r="G495" s="538">
        <v>2</v>
      </c>
    </row>
    <row r="496" spans="1:7" x14ac:dyDescent="0.2">
      <c r="A496" s="538">
        <v>12</v>
      </c>
      <c r="B496" s="538" t="s">
        <v>6563</v>
      </c>
      <c r="C496" s="538" t="s">
        <v>740</v>
      </c>
      <c r="D496" s="538" t="s">
        <v>740</v>
      </c>
      <c r="E496" s="538" t="s">
        <v>211</v>
      </c>
      <c r="F496" s="538">
        <v>10796740</v>
      </c>
      <c r="G496" s="538">
        <v>290</v>
      </c>
    </row>
    <row r="497" spans="1:7" x14ac:dyDescent="0.2">
      <c r="A497" s="538">
        <v>11</v>
      </c>
      <c r="B497" s="538" t="s">
        <v>6584</v>
      </c>
      <c r="C497" s="538" t="s">
        <v>740</v>
      </c>
      <c r="D497" s="538" t="s">
        <v>393</v>
      </c>
      <c r="E497" s="538" t="s">
        <v>416</v>
      </c>
      <c r="F497" s="538">
        <v>7958139</v>
      </c>
      <c r="G497" s="538">
        <v>193</v>
      </c>
    </row>
    <row r="498" spans="1:7" x14ac:dyDescent="0.2">
      <c r="A498" s="538">
        <v>7</v>
      </c>
      <c r="B498" s="538" t="s">
        <v>6661</v>
      </c>
      <c r="C498" s="538" t="s">
        <v>740</v>
      </c>
      <c r="D498" s="538" t="s">
        <v>393</v>
      </c>
      <c r="E498" s="538" t="s">
        <v>202</v>
      </c>
      <c r="F498" s="538">
        <v>1152520</v>
      </c>
      <c r="G498" s="538">
        <v>5</v>
      </c>
    </row>
    <row r="499" spans="1:7" x14ac:dyDescent="0.2">
      <c r="A499" s="538">
        <v>3</v>
      </c>
      <c r="B499" s="538" t="s">
        <v>6578</v>
      </c>
      <c r="C499" s="538" t="s">
        <v>740</v>
      </c>
      <c r="D499" s="538" t="s">
        <v>393</v>
      </c>
      <c r="E499" s="538" t="s">
        <v>207</v>
      </c>
      <c r="F499" s="538">
        <v>378780</v>
      </c>
      <c r="G499" s="538">
        <v>30</v>
      </c>
    </row>
    <row r="500" spans="1:7" x14ac:dyDescent="0.2">
      <c r="A500" s="538">
        <v>11</v>
      </c>
      <c r="B500" s="538" t="s">
        <v>6592</v>
      </c>
      <c r="C500" s="538" t="s">
        <v>393</v>
      </c>
      <c r="D500" s="538" t="s">
        <v>393</v>
      </c>
      <c r="E500" s="538" t="s">
        <v>207</v>
      </c>
      <c r="F500" s="538">
        <v>4232976</v>
      </c>
      <c r="G500" s="538">
        <v>167</v>
      </c>
    </row>
    <row r="501" spans="1:7" x14ac:dyDescent="0.2">
      <c r="A501" s="538">
        <v>9</v>
      </c>
      <c r="B501" s="538" t="s">
        <v>6644</v>
      </c>
      <c r="C501" s="538" t="s">
        <v>393</v>
      </c>
      <c r="D501" s="538" t="s">
        <v>740</v>
      </c>
      <c r="E501" s="538" t="s">
        <v>438</v>
      </c>
      <c r="F501" s="538">
        <v>496433</v>
      </c>
      <c r="G501" s="538">
        <v>1</v>
      </c>
    </row>
    <row r="502" spans="1:7" x14ac:dyDescent="0.2">
      <c r="A502" s="538">
        <v>7</v>
      </c>
      <c r="B502" s="538" t="s">
        <v>6661</v>
      </c>
      <c r="C502" s="538" t="s">
        <v>740</v>
      </c>
      <c r="D502" s="538" t="s">
        <v>393</v>
      </c>
      <c r="E502" s="538" t="s">
        <v>230</v>
      </c>
      <c r="F502" s="538">
        <v>744285</v>
      </c>
      <c r="G502" s="538">
        <v>20</v>
      </c>
    </row>
    <row r="503" spans="1:7" x14ac:dyDescent="0.2">
      <c r="A503" s="538">
        <v>6</v>
      </c>
      <c r="B503" s="538" t="s">
        <v>6575</v>
      </c>
      <c r="C503" s="538" t="s">
        <v>393</v>
      </c>
      <c r="D503" s="538" t="s">
        <v>740</v>
      </c>
      <c r="E503" s="538" t="s">
        <v>860</v>
      </c>
      <c r="F503" s="538">
        <v>311874</v>
      </c>
      <c r="G503" s="538">
        <v>13</v>
      </c>
    </row>
    <row r="504" spans="1:7" x14ac:dyDescent="0.2">
      <c r="A504" s="538">
        <v>7</v>
      </c>
      <c r="B504" s="538" t="s">
        <v>6588</v>
      </c>
      <c r="C504" s="538" t="s">
        <v>393</v>
      </c>
      <c r="D504" s="538" t="s">
        <v>393</v>
      </c>
      <c r="E504" s="538" t="s">
        <v>313</v>
      </c>
      <c r="F504" s="538">
        <v>1300846</v>
      </c>
      <c r="G504" s="538">
        <v>7</v>
      </c>
    </row>
    <row r="505" spans="1:7" x14ac:dyDescent="0.2">
      <c r="A505" s="538">
        <v>3</v>
      </c>
      <c r="B505" s="538" t="s">
        <v>1390</v>
      </c>
      <c r="C505" s="538" t="s">
        <v>740</v>
      </c>
      <c r="D505" s="538" t="s">
        <v>393</v>
      </c>
      <c r="E505" s="538" t="s">
        <v>209</v>
      </c>
      <c r="F505" s="538">
        <v>74163</v>
      </c>
      <c r="G505" s="538">
        <v>1</v>
      </c>
    </row>
    <row r="506" spans="1:7" x14ac:dyDescent="0.2">
      <c r="A506" s="538">
        <v>3</v>
      </c>
      <c r="B506" s="538" t="s">
        <v>6605</v>
      </c>
      <c r="C506" s="538" t="s">
        <v>393</v>
      </c>
      <c r="D506" s="538" t="s">
        <v>740</v>
      </c>
      <c r="E506" s="538" t="s">
        <v>416</v>
      </c>
      <c r="F506" s="538">
        <v>4580177</v>
      </c>
      <c r="G506" s="538">
        <v>199</v>
      </c>
    </row>
    <row r="507" spans="1:7" x14ac:dyDescent="0.2">
      <c r="A507" s="538">
        <v>8</v>
      </c>
      <c r="B507" s="538" t="s">
        <v>6567</v>
      </c>
      <c r="C507" s="538" t="s">
        <v>393</v>
      </c>
      <c r="D507" s="538" t="s">
        <v>740</v>
      </c>
      <c r="E507" s="538" t="s">
        <v>401</v>
      </c>
      <c r="F507" s="538">
        <v>79296</v>
      </c>
      <c r="G507" s="538">
        <v>7</v>
      </c>
    </row>
    <row r="508" spans="1:7" x14ac:dyDescent="0.2">
      <c r="A508" s="538">
        <v>6</v>
      </c>
      <c r="B508" s="538" t="s">
        <v>6596</v>
      </c>
      <c r="C508" s="538" t="s">
        <v>740</v>
      </c>
      <c r="D508" s="538" t="s">
        <v>393</v>
      </c>
      <c r="E508" s="538" t="s">
        <v>210</v>
      </c>
      <c r="F508" s="538">
        <v>158592</v>
      </c>
      <c r="G508" s="538">
        <v>14</v>
      </c>
    </row>
    <row r="509" spans="1:7" x14ac:dyDescent="0.2">
      <c r="A509" s="538">
        <v>2</v>
      </c>
      <c r="B509" s="538" t="s">
        <v>6576</v>
      </c>
      <c r="C509" s="538" t="s">
        <v>740</v>
      </c>
      <c r="D509" s="538" t="s">
        <v>393</v>
      </c>
      <c r="E509" s="538" t="s">
        <v>402</v>
      </c>
      <c r="F509" s="538">
        <v>11328</v>
      </c>
      <c r="G509" s="538">
        <v>1</v>
      </c>
    </row>
    <row r="510" spans="1:7" x14ac:dyDescent="0.2">
      <c r="A510" s="538">
        <v>10</v>
      </c>
      <c r="B510" s="538" t="s">
        <v>6611</v>
      </c>
      <c r="C510" s="538" t="s">
        <v>740</v>
      </c>
      <c r="D510" s="538" t="s">
        <v>393</v>
      </c>
      <c r="E510" s="538" t="s">
        <v>402</v>
      </c>
      <c r="F510" s="538">
        <v>33984</v>
      </c>
      <c r="G510" s="538">
        <v>3</v>
      </c>
    </row>
    <row r="511" spans="1:7" x14ac:dyDescent="0.2">
      <c r="A511" s="538">
        <v>3</v>
      </c>
      <c r="B511" s="538" t="s">
        <v>6578</v>
      </c>
      <c r="C511" s="538" t="s">
        <v>740</v>
      </c>
      <c r="D511" s="538" t="s">
        <v>393</v>
      </c>
      <c r="E511" s="538" t="s">
        <v>438</v>
      </c>
      <c r="F511" s="538">
        <v>50268</v>
      </c>
      <c r="G511" s="538">
        <v>1</v>
      </c>
    </row>
    <row r="512" spans="1:7" x14ac:dyDescent="0.2">
      <c r="A512" s="538">
        <v>9</v>
      </c>
      <c r="B512" s="538" t="s">
        <v>6645</v>
      </c>
      <c r="C512" s="538" t="s">
        <v>740</v>
      </c>
      <c r="D512" s="538" t="s">
        <v>393</v>
      </c>
      <c r="E512" s="538" t="s">
        <v>209</v>
      </c>
      <c r="F512" s="538">
        <v>2533724</v>
      </c>
      <c r="G512" s="538">
        <v>13</v>
      </c>
    </row>
    <row r="513" spans="1:7" x14ac:dyDescent="0.2">
      <c r="A513" s="538">
        <v>7</v>
      </c>
      <c r="B513" s="538" t="s">
        <v>6604</v>
      </c>
      <c r="C513" s="538" t="s">
        <v>393</v>
      </c>
      <c r="D513" s="538" t="s">
        <v>393</v>
      </c>
      <c r="E513" s="538" t="s">
        <v>438</v>
      </c>
      <c r="F513" s="538">
        <v>4823896</v>
      </c>
      <c r="G513" s="538">
        <v>32</v>
      </c>
    </row>
    <row r="514" spans="1:7" x14ac:dyDescent="0.2">
      <c r="A514" s="538">
        <v>4</v>
      </c>
      <c r="B514" s="538" t="s">
        <v>6559</v>
      </c>
      <c r="C514" s="538" t="s">
        <v>393</v>
      </c>
      <c r="D514" s="538" t="s">
        <v>740</v>
      </c>
      <c r="E514" s="538" t="s">
        <v>449</v>
      </c>
      <c r="F514" s="538">
        <v>135936</v>
      </c>
      <c r="G514" s="538">
        <v>12</v>
      </c>
    </row>
    <row r="515" spans="1:7" x14ac:dyDescent="0.2">
      <c r="A515" s="538">
        <v>6</v>
      </c>
      <c r="B515" s="538" t="s">
        <v>1668</v>
      </c>
      <c r="C515" s="538" t="s">
        <v>740</v>
      </c>
      <c r="D515" s="538" t="s">
        <v>740</v>
      </c>
      <c r="E515" s="538" t="s">
        <v>390</v>
      </c>
      <c r="F515" s="538">
        <v>401082</v>
      </c>
      <c r="G515" s="538">
        <v>14</v>
      </c>
    </row>
    <row r="516" spans="1:7" x14ac:dyDescent="0.2">
      <c r="A516" s="538">
        <v>4</v>
      </c>
      <c r="B516" s="538" t="s">
        <v>6572</v>
      </c>
      <c r="C516" s="538" t="s">
        <v>393</v>
      </c>
      <c r="D516" s="538" t="s">
        <v>740</v>
      </c>
      <c r="E516" s="538" t="s">
        <v>209</v>
      </c>
      <c r="F516" s="538">
        <v>570596</v>
      </c>
      <c r="G516" s="538">
        <v>2</v>
      </c>
    </row>
    <row r="517" spans="1:7" x14ac:dyDescent="0.2">
      <c r="A517" s="538">
        <v>12</v>
      </c>
      <c r="B517" s="538" t="s">
        <v>6569</v>
      </c>
      <c r="C517" s="538" t="s">
        <v>393</v>
      </c>
      <c r="D517" s="538" t="s">
        <v>740</v>
      </c>
      <c r="E517" s="538" t="s">
        <v>210</v>
      </c>
      <c r="F517" s="538">
        <v>627236</v>
      </c>
      <c r="G517" s="538">
        <v>7</v>
      </c>
    </row>
    <row r="518" spans="1:7" x14ac:dyDescent="0.2">
      <c r="A518" s="538">
        <v>7</v>
      </c>
      <c r="B518" s="538" t="s">
        <v>6594</v>
      </c>
      <c r="C518" s="538" t="s">
        <v>740</v>
      </c>
      <c r="D518" s="538" t="s">
        <v>393</v>
      </c>
      <c r="E518" s="538" t="s">
        <v>402</v>
      </c>
      <c r="F518" s="538">
        <v>95580</v>
      </c>
      <c r="G518" s="538">
        <v>5</v>
      </c>
    </row>
    <row r="519" spans="1:7" x14ac:dyDescent="0.2">
      <c r="A519" s="538">
        <v>12</v>
      </c>
      <c r="B519" s="538" t="s">
        <v>6569</v>
      </c>
      <c r="C519" s="538" t="s">
        <v>740</v>
      </c>
      <c r="D519" s="538" t="s">
        <v>393</v>
      </c>
      <c r="E519" s="538" t="s">
        <v>202</v>
      </c>
      <c r="F519" s="538">
        <v>992866</v>
      </c>
      <c r="G519" s="538">
        <v>2</v>
      </c>
    </row>
    <row r="520" spans="1:7" x14ac:dyDescent="0.2">
      <c r="A520" s="538">
        <v>9</v>
      </c>
      <c r="B520" s="538" t="s">
        <v>6644</v>
      </c>
      <c r="C520" s="538" t="s">
        <v>740</v>
      </c>
      <c r="D520" s="538" t="s">
        <v>393</v>
      </c>
      <c r="E520" s="538" t="s">
        <v>207</v>
      </c>
      <c r="F520" s="538">
        <v>11328</v>
      </c>
      <c r="G520" s="538">
        <v>1</v>
      </c>
    </row>
    <row r="521" spans="1:7" x14ac:dyDescent="0.2">
      <c r="A521" s="538">
        <v>7</v>
      </c>
      <c r="B521" s="538" t="s">
        <v>6580</v>
      </c>
      <c r="C521" s="538" t="s">
        <v>740</v>
      </c>
      <c r="D521" s="538" t="s">
        <v>393</v>
      </c>
      <c r="E521" s="538" t="s">
        <v>313</v>
      </c>
      <c r="F521" s="538">
        <v>1819935</v>
      </c>
      <c r="G521" s="538">
        <v>10</v>
      </c>
    </row>
    <row r="522" spans="1:7" x14ac:dyDescent="0.2">
      <c r="A522" s="538">
        <v>12</v>
      </c>
      <c r="B522" s="538" t="s">
        <v>6616</v>
      </c>
      <c r="C522" s="538" t="s">
        <v>393</v>
      </c>
      <c r="D522" s="538" t="s">
        <v>393</v>
      </c>
      <c r="E522" s="538" t="s">
        <v>401</v>
      </c>
      <c r="F522" s="538">
        <v>1304917</v>
      </c>
      <c r="G522" s="538">
        <v>24</v>
      </c>
    </row>
    <row r="523" spans="1:7" x14ac:dyDescent="0.2">
      <c r="A523" s="538">
        <v>11</v>
      </c>
      <c r="B523" s="538" t="s">
        <v>6584</v>
      </c>
      <c r="C523" s="538" t="s">
        <v>740</v>
      </c>
      <c r="D523" s="538" t="s">
        <v>740</v>
      </c>
      <c r="E523" s="538" t="s">
        <v>390</v>
      </c>
      <c r="F523" s="538">
        <v>1680209</v>
      </c>
      <c r="G523" s="538">
        <v>73</v>
      </c>
    </row>
    <row r="524" spans="1:7" x14ac:dyDescent="0.2">
      <c r="A524" s="538">
        <v>11</v>
      </c>
      <c r="B524" s="538" t="s">
        <v>6610</v>
      </c>
      <c r="C524" s="538" t="s">
        <v>393</v>
      </c>
      <c r="D524" s="538" t="s">
        <v>740</v>
      </c>
      <c r="E524" s="538" t="s">
        <v>313</v>
      </c>
      <c r="F524" s="538">
        <v>496433</v>
      </c>
      <c r="G524" s="538">
        <v>1</v>
      </c>
    </row>
    <row r="525" spans="1:7" x14ac:dyDescent="0.2">
      <c r="A525" s="538">
        <v>3</v>
      </c>
      <c r="B525" s="538" t="s">
        <v>6561</v>
      </c>
      <c r="C525" s="538" t="s">
        <v>393</v>
      </c>
      <c r="D525" s="538" t="s">
        <v>740</v>
      </c>
      <c r="E525" s="538" t="s">
        <v>449</v>
      </c>
      <c r="F525" s="538">
        <v>283200</v>
      </c>
      <c r="G525" s="538">
        <v>25</v>
      </c>
    </row>
    <row r="526" spans="1:7" x14ac:dyDescent="0.2">
      <c r="A526" s="538">
        <v>1</v>
      </c>
      <c r="B526" s="538" t="s">
        <v>6646</v>
      </c>
      <c r="C526" s="538" t="s">
        <v>740</v>
      </c>
      <c r="D526" s="538" t="s">
        <v>393</v>
      </c>
      <c r="E526" s="538" t="s">
        <v>202</v>
      </c>
      <c r="F526" s="538">
        <v>570596</v>
      </c>
      <c r="G526" s="538">
        <v>2</v>
      </c>
    </row>
    <row r="527" spans="1:7" x14ac:dyDescent="0.2">
      <c r="A527" s="538">
        <v>1</v>
      </c>
      <c r="B527" s="538" t="s">
        <v>6649</v>
      </c>
      <c r="C527" s="538" t="s">
        <v>393</v>
      </c>
      <c r="D527" s="538" t="s">
        <v>393</v>
      </c>
      <c r="E527" s="538" t="s">
        <v>212</v>
      </c>
      <c r="F527" s="538">
        <v>503388</v>
      </c>
      <c r="G527" s="538">
        <v>41</v>
      </c>
    </row>
    <row r="528" spans="1:7" x14ac:dyDescent="0.2">
      <c r="A528" s="538">
        <v>6</v>
      </c>
      <c r="B528" s="538" t="s">
        <v>6607</v>
      </c>
      <c r="C528" s="538" t="s">
        <v>393</v>
      </c>
      <c r="D528" s="538" t="s">
        <v>393</v>
      </c>
      <c r="E528" s="538" t="s">
        <v>230</v>
      </c>
      <c r="F528" s="538">
        <v>5610234</v>
      </c>
      <c r="G528" s="538">
        <v>93</v>
      </c>
    </row>
    <row r="529" spans="1:7" x14ac:dyDescent="0.2">
      <c r="A529" s="538">
        <v>2</v>
      </c>
      <c r="B529" s="538" t="s">
        <v>6585</v>
      </c>
      <c r="C529" s="538" t="s">
        <v>740</v>
      </c>
      <c r="D529" s="538" t="s">
        <v>393</v>
      </c>
      <c r="E529" s="538" t="s">
        <v>402</v>
      </c>
      <c r="F529" s="538">
        <v>4583259</v>
      </c>
      <c r="G529" s="538">
        <v>153</v>
      </c>
    </row>
    <row r="530" spans="1:7" x14ac:dyDescent="0.2">
      <c r="A530" s="538">
        <v>8</v>
      </c>
      <c r="B530" s="538" t="s">
        <v>6567</v>
      </c>
      <c r="C530" s="538" t="s">
        <v>393</v>
      </c>
      <c r="D530" s="538" t="s">
        <v>740</v>
      </c>
      <c r="E530" s="538" t="s">
        <v>390</v>
      </c>
      <c r="F530" s="538">
        <v>4341498</v>
      </c>
      <c r="G530" s="538">
        <v>46</v>
      </c>
    </row>
    <row r="531" spans="1:7" x14ac:dyDescent="0.2">
      <c r="A531" s="538">
        <v>3</v>
      </c>
      <c r="B531" s="538" t="s">
        <v>6561</v>
      </c>
      <c r="C531" s="538" t="s">
        <v>740</v>
      </c>
      <c r="D531" s="538" t="s">
        <v>740</v>
      </c>
      <c r="E531" s="538" t="s">
        <v>207</v>
      </c>
      <c r="F531" s="538">
        <v>892736</v>
      </c>
      <c r="G531" s="538">
        <v>27</v>
      </c>
    </row>
    <row r="532" spans="1:7" x14ac:dyDescent="0.2">
      <c r="A532" s="538">
        <v>12</v>
      </c>
      <c r="B532" s="538" t="s">
        <v>6569</v>
      </c>
      <c r="C532" s="538" t="s">
        <v>740</v>
      </c>
      <c r="D532" s="538" t="s">
        <v>393</v>
      </c>
      <c r="E532" s="538" t="s">
        <v>390</v>
      </c>
      <c r="F532" s="538">
        <v>2851595</v>
      </c>
      <c r="G532" s="538">
        <v>90</v>
      </c>
    </row>
    <row r="533" spans="1:7" x14ac:dyDescent="0.2">
      <c r="A533" s="538">
        <v>8</v>
      </c>
      <c r="B533" s="538" t="s">
        <v>6658</v>
      </c>
      <c r="C533" s="538" t="s">
        <v>740</v>
      </c>
      <c r="D533" s="538" t="s">
        <v>393</v>
      </c>
      <c r="E533" s="538" t="s">
        <v>209</v>
      </c>
      <c r="F533" s="538">
        <v>1847547</v>
      </c>
      <c r="G533" s="538">
        <v>9</v>
      </c>
    </row>
    <row r="534" spans="1:7" x14ac:dyDescent="0.2">
      <c r="A534" s="538">
        <v>6</v>
      </c>
      <c r="B534" s="538" t="s">
        <v>6433</v>
      </c>
      <c r="C534" s="538" t="s">
        <v>740</v>
      </c>
      <c r="D534" s="538" t="s">
        <v>393</v>
      </c>
      <c r="E534" s="538" t="s">
        <v>210</v>
      </c>
      <c r="F534" s="538">
        <v>1574363</v>
      </c>
      <c r="G534" s="538">
        <v>56</v>
      </c>
    </row>
    <row r="535" spans="1:7" x14ac:dyDescent="0.2">
      <c r="A535" s="538">
        <v>9</v>
      </c>
      <c r="B535" s="538" t="s">
        <v>6615</v>
      </c>
      <c r="C535" s="538" t="s">
        <v>740</v>
      </c>
      <c r="D535" s="538" t="s">
        <v>393</v>
      </c>
      <c r="E535" s="538" t="s">
        <v>860</v>
      </c>
      <c r="F535" s="538">
        <v>85491</v>
      </c>
      <c r="G535" s="538">
        <v>2</v>
      </c>
    </row>
    <row r="536" spans="1:7" x14ac:dyDescent="0.2">
      <c r="A536" s="538">
        <v>10</v>
      </c>
      <c r="B536" s="538" t="s">
        <v>6653</v>
      </c>
      <c r="C536" s="538" t="s">
        <v>740</v>
      </c>
      <c r="D536" s="538" t="s">
        <v>393</v>
      </c>
      <c r="E536" s="538" t="s">
        <v>409</v>
      </c>
      <c r="F536" s="538">
        <v>654848</v>
      </c>
      <c r="G536" s="538">
        <v>6</v>
      </c>
    </row>
    <row r="537" spans="1:7" x14ac:dyDescent="0.2">
      <c r="A537" s="538">
        <v>9</v>
      </c>
      <c r="B537" s="538" t="s">
        <v>6615</v>
      </c>
      <c r="C537" s="538" t="s">
        <v>740</v>
      </c>
      <c r="D537" s="538" t="s">
        <v>393</v>
      </c>
      <c r="E537" s="538" t="s">
        <v>409</v>
      </c>
      <c r="F537" s="538">
        <v>989378</v>
      </c>
      <c r="G537" s="538">
        <v>21</v>
      </c>
    </row>
    <row r="538" spans="1:7" x14ac:dyDescent="0.2">
      <c r="A538" s="538">
        <v>5</v>
      </c>
      <c r="B538" s="538" t="s">
        <v>6599</v>
      </c>
      <c r="C538" s="538" t="s">
        <v>740</v>
      </c>
      <c r="D538" s="538" t="s">
        <v>740</v>
      </c>
      <c r="E538" s="538" t="s">
        <v>449</v>
      </c>
      <c r="F538" s="538">
        <v>22656</v>
      </c>
      <c r="G538" s="538">
        <v>2</v>
      </c>
    </row>
    <row r="539" spans="1:7" x14ac:dyDescent="0.2">
      <c r="A539" s="538">
        <v>4</v>
      </c>
      <c r="B539" s="538" t="s">
        <v>6593</v>
      </c>
      <c r="C539" s="538" t="s">
        <v>393</v>
      </c>
      <c r="D539" s="538" t="s">
        <v>393</v>
      </c>
      <c r="E539" s="538" t="s">
        <v>402</v>
      </c>
      <c r="F539" s="538">
        <v>8088161</v>
      </c>
      <c r="G539" s="538">
        <v>232</v>
      </c>
    </row>
    <row r="540" spans="1:7" x14ac:dyDescent="0.2">
      <c r="A540" s="538">
        <v>6</v>
      </c>
      <c r="B540" s="538" t="s">
        <v>6575</v>
      </c>
      <c r="C540" s="538" t="s">
        <v>393</v>
      </c>
      <c r="D540" s="538" t="s">
        <v>740</v>
      </c>
      <c r="E540" s="538" t="s">
        <v>209</v>
      </c>
      <c r="F540" s="538">
        <v>581924</v>
      </c>
      <c r="G540" s="538">
        <v>3</v>
      </c>
    </row>
    <row r="541" spans="1:7" x14ac:dyDescent="0.2">
      <c r="A541" s="538">
        <v>6</v>
      </c>
      <c r="B541" s="538" t="s">
        <v>6429</v>
      </c>
      <c r="C541" s="538" t="s">
        <v>740</v>
      </c>
      <c r="D541" s="538" t="s">
        <v>393</v>
      </c>
      <c r="E541" s="538" t="s">
        <v>409</v>
      </c>
      <c r="F541" s="538">
        <v>579852</v>
      </c>
      <c r="G541" s="538">
        <v>29</v>
      </c>
    </row>
    <row r="542" spans="1:7" x14ac:dyDescent="0.2">
      <c r="A542" s="538">
        <v>6</v>
      </c>
      <c r="B542" s="538" t="s">
        <v>1668</v>
      </c>
      <c r="C542" s="538" t="s">
        <v>393</v>
      </c>
      <c r="D542" s="538" t="s">
        <v>393</v>
      </c>
      <c r="E542" s="538" t="s">
        <v>860</v>
      </c>
      <c r="F542" s="538">
        <v>1656793</v>
      </c>
      <c r="G542" s="538">
        <v>26</v>
      </c>
    </row>
    <row r="543" spans="1:7" x14ac:dyDescent="0.2">
      <c r="A543" s="538">
        <v>9</v>
      </c>
      <c r="B543" s="538" t="s">
        <v>6606</v>
      </c>
      <c r="C543" s="538" t="s">
        <v>740</v>
      </c>
      <c r="D543" s="538" t="s">
        <v>740</v>
      </c>
      <c r="E543" s="538" t="s">
        <v>401</v>
      </c>
      <c r="F543" s="538">
        <v>113280</v>
      </c>
      <c r="G543" s="538">
        <v>10</v>
      </c>
    </row>
    <row r="544" spans="1:7" x14ac:dyDescent="0.2">
      <c r="A544" s="538">
        <v>4</v>
      </c>
      <c r="B544" s="538" t="s">
        <v>6590</v>
      </c>
      <c r="C544" s="538" t="s">
        <v>393</v>
      </c>
      <c r="D544" s="538" t="s">
        <v>740</v>
      </c>
      <c r="E544" s="538" t="s">
        <v>449</v>
      </c>
      <c r="F544" s="538">
        <v>689009</v>
      </c>
      <c r="G544" s="538">
        <v>18</v>
      </c>
    </row>
    <row r="545" spans="1:7" x14ac:dyDescent="0.2">
      <c r="A545" s="538">
        <v>3</v>
      </c>
      <c r="B545" s="538" t="s">
        <v>1390</v>
      </c>
      <c r="C545" s="538" t="s">
        <v>740</v>
      </c>
      <c r="D545" s="538" t="s">
        <v>393</v>
      </c>
      <c r="E545" s="538" t="s">
        <v>207</v>
      </c>
      <c r="F545" s="538">
        <v>33984</v>
      </c>
      <c r="G545" s="538">
        <v>3</v>
      </c>
    </row>
    <row r="546" spans="1:7" x14ac:dyDescent="0.2">
      <c r="A546" s="538">
        <v>3</v>
      </c>
      <c r="B546" s="538" t="s">
        <v>6578</v>
      </c>
      <c r="C546" s="538" t="s">
        <v>393</v>
      </c>
      <c r="D546" s="538" t="s">
        <v>740</v>
      </c>
      <c r="E546" s="538" t="s">
        <v>409</v>
      </c>
      <c r="F546" s="538">
        <v>351168</v>
      </c>
      <c r="G546" s="538">
        <v>31</v>
      </c>
    </row>
    <row r="547" spans="1:7" x14ac:dyDescent="0.2">
      <c r="A547" s="538">
        <v>11</v>
      </c>
      <c r="B547" s="538" t="s">
        <v>6610</v>
      </c>
      <c r="C547" s="538" t="s">
        <v>740</v>
      </c>
      <c r="D547" s="538" t="s">
        <v>393</v>
      </c>
      <c r="E547" s="538" t="s">
        <v>416</v>
      </c>
      <c r="F547" s="538">
        <v>872381</v>
      </c>
      <c r="G547" s="538">
        <v>12</v>
      </c>
    </row>
    <row r="548" spans="1:7" x14ac:dyDescent="0.2">
      <c r="A548" s="538">
        <v>4</v>
      </c>
      <c r="B548" s="538" t="s">
        <v>6590</v>
      </c>
      <c r="C548" s="538" t="s">
        <v>393</v>
      </c>
      <c r="D548" s="538" t="s">
        <v>393</v>
      </c>
      <c r="E548" s="538" t="s">
        <v>401</v>
      </c>
      <c r="F548" s="538">
        <v>700337</v>
      </c>
      <c r="G548" s="538">
        <v>19</v>
      </c>
    </row>
    <row r="549" spans="1:7" x14ac:dyDescent="0.2">
      <c r="A549" s="538">
        <v>6</v>
      </c>
      <c r="B549" s="538" t="s">
        <v>6607</v>
      </c>
      <c r="C549" s="538" t="s">
        <v>740</v>
      </c>
      <c r="D549" s="538" t="s">
        <v>393</v>
      </c>
      <c r="E549" s="538" t="s">
        <v>390</v>
      </c>
      <c r="F549" s="538">
        <v>33984</v>
      </c>
      <c r="G549" s="538">
        <v>3</v>
      </c>
    </row>
    <row r="550" spans="1:7" x14ac:dyDescent="0.2">
      <c r="A550" s="538">
        <v>6</v>
      </c>
      <c r="B550" s="538" t="s">
        <v>1668</v>
      </c>
      <c r="C550" s="538" t="s">
        <v>740</v>
      </c>
      <c r="D550" s="538" t="s">
        <v>393</v>
      </c>
      <c r="E550" s="538" t="s">
        <v>438</v>
      </c>
      <c r="F550" s="538">
        <v>1381433</v>
      </c>
      <c r="G550" s="538">
        <v>21</v>
      </c>
    </row>
    <row r="551" spans="1:7" x14ac:dyDescent="0.2">
      <c r="A551" s="538">
        <v>6</v>
      </c>
      <c r="B551" s="538" t="s">
        <v>1668</v>
      </c>
      <c r="C551" s="538" t="s">
        <v>740</v>
      </c>
      <c r="D551" s="538" t="s">
        <v>393</v>
      </c>
      <c r="E551" s="538" t="s">
        <v>206</v>
      </c>
      <c r="F551" s="538">
        <v>22656</v>
      </c>
      <c r="G551" s="538">
        <v>2</v>
      </c>
    </row>
    <row r="552" spans="1:7" x14ac:dyDescent="0.2">
      <c r="A552" s="538">
        <v>1</v>
      </c>
      <c r="B552" s="538" t="s">
        <v>6602</v>
      </c>
      <c r="C552" s="538" t="s">
        <v>393</v>
      </c>
      <c r="D552" s="538" t="s">
        <v>393</v>
      </c>
      <c r="E552" s="538" t="s">
        <v>206</v>
      </c>
      <c r="F552" s="538">
        <v>1101013</v>
      </c>
      <c r="G552" s="538">
        <v>6</v>
      </c>
    </row>
    <row r="553" spans="1:7" x14ac:dyDescent="0.2">
      <c r="A553" s="538">
        <v>1</v>
      </c>
      <c r="B553" s="538" t="s">
        <v>6602</v>
      </c>
      <c r="C553" s="538" t="s">
        <v>393</v>
      </c>
      <c r="D553" s="538" t="s">
        <v>393</v>
      </c>
      <c r="E553" s="538" t="s">
        <v>438</v>
      </c>
      <c r="F553" s="538">
        <v>5384632</v>
      </c>
      <c r="G553" s="538">
        <v>49</v>
      </c>
    </row>
    <row r="554" spans="1:7" x14ac:dyDescent="0.2">
      <c r="A554" s="538">
        <v>8</v>
      </c>
      <c r="B554" s="538" t="s">
        <v>6560</v>
      </c>
      <c r="C554" s="538" t="s">
        <v>740</v>
      </c>
      <c r="D554" s="538" t="s">
        <v>393</v>
      </c>
      <c r="E554" s="538" t="s">
        <v>438</v>
      </c>
      <c r="F554" s="538">
        <v>7867536</v>
      </c>
      <c r="G554" s="538">
        <v>107</v>
      </c>
    </row>
    <row r="555" spans="1:7" x14ac:dyDescent="0.2">
      <c r="A555" s="538">
        <v>8</v>
      </c>
      <c r="B555" s="538" t="s">
        <v>6560</v>
      </c>
      <c r="C555" s="538" t="s">
        <v>740</v>
      </c>
      <c r="D555" s="538" t="s">
        <v>393</v>
      </c>
      <c r="E555" s="538" t="s">
        <v>206</v>
      </c>
      <c r="F555" s="538">
        <v>124431</v>
      </c>
      <c r="G555" s="538">
        <v>2</v>
      </c>
    </row>
    <row r="556" spans="1:7" x14ac:dyDescent="0.2">
      <c r="A556" s="538">
        <v>1</v>
      </c>
      <c r="B556" s="538" t="s">
        <v>6581</v>
      </c>
      <c r="C556" s="538" t="s">
        <v>740</v>
      </c>
      <c r="D556" s="538" t="s">
        <v>740</v>
      </c>
      <c r="E556" s="538" t="s">
        <v>416</v>
      </c>
      <c r="F556" s="538">
        <v>9171901</v>
      </c>
      <c r="G556" s="538">
        <v>252</v>
      </c>
    </row>
    <row r="557" spans="1:7" x14ac:dyDescent="0.2">
      <c r="A557" s="538">
        <v>3</v>
      </c>
      <c r="B557" s="538" t="s">
        <v>6647</v>
      </c>
      <c r="C557" s="538" t="s">
        <v>740</v>
      </c>
      <c r="D557" s="538" t="s">
        <v>393</v>
      </c>
      <c r="E557" s="538" t="s">
        <v>202</v>
      </c>
      <c r="F557" s="538">
        <v>644759</v>
      </c>
      <c r="G557" s="538">
        <v>3</v>
      </c>
    </row>
    <row r="558" spans="1:7" x14ac:dyDescent="0.2">
      <c r="A558" s="538">
        <v>2</v>
      </c>
      <c r="B558" s="538" t="s">
        <v>6585</v>
      </c>
      <c r="C558" s="538" t="s">
        <v>740</v>
      </c>
      <c r="D558" s="538" t="s">
        <v>393</v>
      </c>
      <c r="E558" s="538" t="s">
        <v>212</v>
      </c>
      <c r="F558" s="538">
        <v>373647</v>
      </c>
      <c r="G558" s="538">
        <v>24</v>
      </c>
    </row>
    <row r="559" spans="1:7" x14ac:dyDescent="0.2">
      <c r="A559" s="538">
        <v>3</v>
      </c>
      <c r="B559" s="538" t="s">
        <v>6603</v>
      </c>
      <c r="C559" s="538" t="s">
        <v>740</v>
      </c>
      <c r="D559" s="538" t="s">
        <v>393</v>
      </c>
      <c r="E559" s="538" t="s">
        <v>401</v>
      </c>
      <c r="F559" s="538">
        <v>61596</v>
      </c>
      <c r="G559" s="538">
        <v>2</v>
      </c>
    </row>
    <row r="560" spans="1:7" x14ac:dyDescent="0.2">
      <c r="A560" s="538">
        <v>6</v>
      </c>
      <c r="B560" s="538" t="s">
        <v>6596</v>
      </c>
      <c r="C560" s="538" t="s">
        <v>740</v>
      </c>
      <c r="D560" s="538" t="s">
        <v>393</v>
      </c>
      <c r="E560" s="538" t="s">
        <v>207</v>
      </c>
      <c r="F560" s="538">
        <v>956331</v>
      </c>
      <c r="G560" s="538">
        <v>72</v>
      </c>
    </row>
    <row r="561" spans="1:7" x14ac:dyDescent="0.2">
      <c r="A561" s="538">
        <v>12</v>
      </c>
      <c r="B561" s="538" t="s">
        <v>6616</v>
      </c>
      <c r="C561" s="538" t="s">
        <v>740</v>
      </c>
      <c r="D561" s="538" t="s">
        <v>393</v>
      </c>
      <c r="E561" s="538" t="s">
        <v>209</v>
      </c>
      <c r="F561" s="538">
        <v>245145</v>
      </c>
      <c r="G561" s="538">
        <v>5</v>
      </c>
    </row>
    <row r="562" spans="1:7" x14ac:dyDescent="0.2">
      <c r="A562" s="538">
        <v>6</v>
      </c>
      <c r="B562" s="538" t="s">
        <v>6565</v>
      </c>
      <c r="C562" s="538" t="s">
        <v>740</v>
      </c>
      <c r="D562" s="538" t="s">
        <v>393</v>
      </c>
      <c r="E562" s="538" t="s">
        <v>207</v>
      </c>
      <c r="F562" s="538">
        <v>1393167</v>
      </c>
      <c r="G562" s="538">
        <v>114</v>
      </c>
    </row>
    <row r="563" spans="1:7" x14ac:dyDescent="0.2">
      <c r="A563" s="538">
        <v>10</v>
      </c>
      <c r="B563" s="538" t="s">
        <v>6582</v>
      </c>
      <c r="C563" s="538" t="s">
        <v>393</v>
      </c>
      <c r="D563" s="538" t="s">
        <v>740</v>
      </c>
      <c r="E563" s="538" t="s">
        <v>202</v>
      </c>
      <c r="F563" s="538">
        <v>108147</v>
      </c>
      <c r="G563" s="538">
        <v>4</v>
      </c>
    </row>
    <row r="564" spans="1:7" x14ac:dyDescent="0.2">
      <c r="A564" s="538">
        <v>6</v>
      </c>
      <c r="B564" s="538" t="s">
        <v>6596</v>
      </c>
      <c r="C564" s="538" t="s">
        <v>393</v>
      </c>
      <c r="D564" s="538" t="s">
        <v>393</v>
      </c>
      <c r="E564" s="538" t="s">
        <v>207</v>
      </c>
      <c r="F564" s="538">
        <v>11825464</v>
      </c>
      <c r="G564" s="538">
        <v>713</v>
      </c>
    </row>
    <row r="565" spans="1:7" x14ac:dyDescent="0.2">
      <c r="A565" s="538">
        <v>5</v>
      </c>
      <c r="B565" s="538" t="s">
        <v>6568</v>
      </c>
      <c r="C565" s="538" t="s">
        <v>740</v>
      </c>
      <c r="D565" s="538" t="s">
        <v>740</v>
      </c>
      <c r="E565" s="538" t="s">
        <v>212</v>
      </c>
      <c r="F565" s="538">
        <v>158592</v>
      </c>
      <c r="G565" s="538">
        <v>14</v>
      </c>
    </row>
    <row r="566" spans="1:7" x14ac:dyDescent="0.2">
      <c r="A566" s="538">
        <v>8</v>
      </c>
      <c r="B566" s="538" t="s">
        <v>6570</v>
      </c>
      <c r="C566" s="538" t="s">
        <v>740</v>
      </c>
      <c r="D566" s="538" t="s">
        <v>393</v>
      </c>
      <c r="E566" s="538" t="s">
        <v>211</v>
      </c>
      <c r="F566" s="538">
        <v>2182306</v>
      </c>
      <c r="G566" s="538">
        <v>42</v>
      </c>
    </row>
    <row r="567" spans="1:7" x14ac:dyDescent="0.2">
      <c r="A567" s="538">
        <v>9</v>
      </c>
      <c r="B567" s="538" t="s">
        <v>6645</v>
      </c>
      <c r="C567" s="538" t="s">
        <v>740</v>
      </c>
      <c r="D567" s="538" t="s">
        <v>393</v>
      </c>
      <c r="E567" s="538" t="s">
        <v>212</v>
      </c>
      <c r="F567" s="538">
        <v>577551</v>
      </c>
      <c r="G567" s="538">
        <v>42</v>
      </c>
    </row>
    <row r="568" spans="1:7" x14ac:dyDescent="0.2">
      <c r="A568" s="538">
        <v>4</v>
      </c>
      <c r="B568" s="538" t="s">
        <v>6559</v>
      </c>
      <c r="C568" s="538" t="s">
        <v>740</v>
      </c>
      <c r="D568" s="538" t="s">
        <v>393</v>
      </c>
      <c r="E568" s="538" t="s">
        <v>230</v>
      </c>
      <c r="F568" s="538">
        <v>2547332</v>
      </c>
      <c r="G568" s="538">
        <v>74</v>
      </c>
    </row>
    <row r="569" spans="1:7" x14ac:dyDescent="0.2">
      <c r="A569" s="538">
        <v>9</v>
      </c>
      <c r="B569" s="538" t="s">
        <v>6645</v>
      </c>
      <c r="C569" s="538" t="s">
        <v>740</v>
      </c>
      <c r="D569" s="538" t="s">
        <v>393</v>
      </c>
      <c r="E569" s="538" t="s">
        <v>202</v>
      </c>
      <c r="F569" s="538">
        <v>96819</v>
      </c>
      <c r="G569" s="538">
        <v>3</v>
      </c>
    </row>
    <row r="570" spans="1:7" x14ac:dyDescent="0.2">
      <c r="A570" s="538">
        <v>2</v>
      </c>
      <c r="B570" s="538" t="s">
        <v>6608</v>
      </c>
      <c r="C570" s="538" t="s">
        <v>740</v>
      </c>
      <c r="D570" s="538" t="s">
        <v>393</v>
      </c>
      <c r="E570" s="538" t="s">
        <v>402</v>
      </c>
      <c r="F570" s="538">
        <v>6879657</v>
      </c>
      <c r="G570" s="538">
        <v>324</v>
      </c>
    </row>
    <row r="571" spans="1:7" x14ac:dyDescent="0.2">
      <c r="A571" s="538">
        <v>12</v>
      </c>
      <c r="B571" s="538" t="s">
        <v>6616</v>
      </c>
      <c r="C571" s="538" t="s">
        <v>393</v>
      </c>
      <c r="D571" s="538" t="s">
        <v>393</v>
      </c>
      <c r="E571" s="538" t="s">
        <v>212</v>
      </c>
      <c r="F571" s="538">
        <v>2120991</v>
      </c>
      <c r="G571" s="538">
        <v>127</v>
      </c>
    </row>
    <row r="572" spans="1:7" x14ac:dyDescent="0.2">
      <c r="A572" s="538">
        <v>4</v>
      </c>
      <c r="B572" s="538" t="s">
        <v>6559</v>
      </c>
      <c r="C572" s="538" t="s">
        <v>740</v>
      </c>
      <c r="D572" s="538" t="s">
        <v>740</v>
      </c>
      <c r="E572" s="538" t="s">
        <v>202</v>
      </c>
      <c r="F572" s="538">
        <v>9399263</v>
      </c>
      <c r="G572" s="538">
        <v>91</v>
      </c>
    </row>
    <row r="573" spans="1:7" x14ac:dyDescent="0.2">
      <c r="A573" s="538">
        <v>7</v>
      </c>
      <c r="B573" s="538" t="s">
        <v>6594</v>
      </c>
      <c r="C573" s="538" t="s">
        <v>740</v>
      </c>
      <c r="D573" s="538" t="s">
        <v>393</v>
      </c>
      <c r="E573" s="538" t="s">
        <v>211</v>
      </c>
      <c r="F573" s="538">
        <v>16891444</v>
      </c>
      <c r="G573" s="538">
        <v>458</v>
      </c>
    </row>
    <row r="574" spans="1:7" x14ac:dyDescent="0.2">
      <c r="A574" s="538">
        <v>5</v>
      </c>
      <c r="B574" s="538" t="s">
        <v>6651</v>
      </c>
      <c r="C574" s="538" t="s">
        <v>740</v>
      </c>
      <c r="D574" s="538" t="s">
        <v>393</v>
      </c>
      <c r="E574" s="538" t="s">
        <v>230</v>
      </c>
      <c r="F574" s="538">
        <v>50268</v>
      </c>
      <c r="G574" s="538">
        <v>1</v>
      </c>
    </row>
    <row r="575" spans="1:7" x14ac:dyDescent="0.2">
      <c r="A575" s="538">
        <v>8</v>
      </c>
      <c r="B575" s="538" t="s">
        <v>6567</v>
      </c>
      <c r="C575" s="538" t="s">
        <v>393</v>
      </c>
      <c r="D575" s="538" t="s">
        <v>393</v>
      </c>
      <c r="E575" s="538" t="s">
        <v>438</v>
      </c>
      <c r="F575" s="538">
        <v>10055298</v>
      </c>
      <c r="G575" s="538">
        <v>91</v>
      </c>
    </row>
    <row r="576" spans="1:7" x14ac:dyDescent="0.2">
      <c r="A576" s="538">
        <v>3</v>
      </c>
      <c r="B576" s="538" t="s">
        <v>6603</v>
      </c>
      <c r="C576" s="538" t="s">
        <v>740</v>
      </c>
      <c r="D576" s="538" t="s">
        <v>393</v>
      </c>
      <c r="E576" s="538" t="s">
        <v>207</v>
      </c>
      <c r="F576" s="538">
        <v>203904</v>
      </c>
      <c r="G576" s="538">
        <v>18</v>
      </c>
    </row>
    <row r="577" spans="1:7" x14ac:dyDescent="0.2">
      <c r="A577" s="538">
        <v>4</v>
      </c>
      <c r="B577" s="538" t="s">
        <v>6574</v>
      </c>
      <c r="C577" s="538" t="s">
        <v>740</v>
      </c>
      <c r="D577" s="538" t="s">
        <v>740</v>
      </c>
      <c r="E577" s="538" t="s">
        <v>438</v>
      </c>
      <c r="F577" s="538">
        <v>11328</v>
      </c>
      <c r="G577" s="538">
        <v>1</v>
      </c>
    </row>
    <row r="578" spans="1:7" x14ac:dyDescent="0.2">
      <c r="A578" s="538">
        <v>5</v>
      </c>
      <c r="B578" s="538" t="s">
        <v>6650</v>
      </c>
      <c r="C578" s="538" t="s">
        <v>393</v>
      </c>
      <c r="D578" s="538" t="s">
        <v>393</v>
      </c>
      <c r="E578" s="538" t="s">
        <v>390</v>
      </c>
      <c r="F578" s="538">
        <v>2480655</v>
      </c>
      <c r="G578" s="538">
        <v>75</v>
      </c>
    </row>
    <row r="579" spans="1:7" x14ac:dyDescent="0.2">
      <c r="A579" s="538">
        <v>12</v>
      </c>
      <c r="B579" s="538" t="s">
        <v>6616</v>
      </c>
      <c r="C579" s="538" t="s">
        <v>740</v>
      </c>
      <c r="D579" s="538" t="s">
        <v>393</v>
      </c>
      <c r="E579" s="538" t="s">
        <v>313</v>
      </c>
      <c r="F579" s="538">
        <v>170982</v>
      </c>
      <c r="G579" s="538">
        <v>4</v>
      </c>
    </row>
    <row r="580" spans="1:7" x14ac:dyDescent="0.2">
      <c r="A580" s="538">
        <v>3</v>
      </c>
      <c r="B580" s="538" t="s">
        <v>1390</v>
      </c>
      <c r="C580" s="538" t="s">
        <v>740</v>
      </c>
      <c r="D580" s="538" t="s">
        <v>393</v>
      </c>
      <c r="E580" s="538" t="s">
        <v>401</v>
      </c>
      <c r="F580" s="538">
        <v>96819</v>
      </c>
      <c r="G580" s="538">
        <v>3</v>
      </c>
    </row>
    <row r="581" spans="1:7" x14ac:dyDescent="0.2">
      <c r="A581" s="538">
        <v>9</v>
      </c>
      <c r="B581" s="538" t="s">
        <v>6657</v>
      </c>
      <c r="C581" s="538" t="s">
        <v>740</v>
      </c>
      <c r="D581" s="538" t="s">
        <v>393</v>
      </c>
      <c r="E581" s="538" t="s">
        <v>402</v>
      </c>
      <c r="F581" s="538">
        <v>74163</v>
      </c>
      <c r="G581" s="538">
        <v>1</v>
      </c>
    </row>
    <row r="582" spans="1:7" x14ac:dyDescent="0.2">
      <c r="A582" s="538">
        <v>6</v>
      </c>
      <c r="B582" s="538" t="s">
        <v>6565</v>
      </c>
      <c r="C582" s="538" t="s">
        <v>740</v>
      </c>
      <c r="D582" s="538" t="s">
        <v>393</v>
      </c>
      <c r="E582" s="538" t="s">
        <v>212</v>
      </c>
      <c r="F582" s="538">
        <v>67968</v>
      </c>
      <c r="G582" s="538">
        <v>6</v>
      </c>
    </row>
    <row r="583" spans="1:7" x14ac:dyDescent="0.2">
      <c r="A583" s="538">
        <v>2</v>
      </c>
      <c r="B583" s="538" t="s">
        <v>6585</v>
      </c>
      <c r="C583" s="538" t="s">
        <v>393</v>
      </c>
      <c r="D583" s="538" t="s">
        <v>393</v>
      </c>
      <c r="E583" s="538" t="s">
        <v>860</v>
      </c>
      <c r="F583" s="538">
        <v>1084958</v>
      </c>
      <c r="G583" s="538">
        <v>26</v>
      </c>
    </row>
    <row r="584" spans="1:7" x14ac:dyDescent="0.2">
      <c r="A584" s="538">
        <v>4</v>
      </c>
      <c r="B584" s="538" t="s">
        <v>6574</v>
      </c>
      <c r="C584" s="538" t="s">
        <v>740</v>
      </c>
      <c r="D584" s="538" t="s">
        <v>393</v>
      </c>
      <c r="E584" s="538" t="s">
        <v>207</v>
      </c>
      <c r="F584" s="538">
        <v>19601657</v>
      </c>
      <c r="G584" s="538">
        <v>1344</v>
      </c>
    </row>
    <row r="585" spans="1:7" x14ac:dyDescent="0.2">
      <c r="A585" s="538">
        <v>7</v>
      </c>
      <c r="B585" s="538" t="s">
        <v>6588</v>
      </c>
      <c r="C585" s="538" t="s">
        <v>393</v>
      </c>
      <c r="D585" s="538" t="s">
        <v>740</v>
      </c>
      <c r="E585" s="538" t="s">
        <v>209</v>
      </c>
      <c r="F585" s="538">
        <v>496433</v>
      </c>
      <c r="G585" s="538">
        <v>1</v>
      </c>
    </row>
    <row r="586" spans="1:7" x14ac:dyDescent="0.2">
      <c r="A586" s="538">
        <v>11</v>
      </c>
      <c r="B586" s="538" t="s">
        <v>6584</v>
      </c>
      <c r="C586" s="538" t="s">
        <v>740</v>
      </c>
      <c r="D586" s="538" t="s">
        <v>393</v>
      </c>
      <c r="E586" s="538" t="s">
        <v>402</v>
      </c>
      <c r="F586" s="538">
        <v>1276295</v>
      </c>
      <c r="G586" s="538">
        <v>45</v>
      </c>
    </row>
    <row r="587" spans="1:7" x14ac:dyDescent="0.2">
      <c r="A587" s="538">
        <v>5</v>
      </c>
      <c r="B587" s="538" t="s">
        <v>6650</v>
      </c>
      <c r="C587" s="538" t="s">
        <v>393</v>
      </c>
      <c r="D587" s="538" t="s">
        <v>393</v>
      </c>
      <c r="E587" s="538" t="s">
        <v>416</v>
      </c>
      <c r="F587" s="538">
        <v>33744021</v>
      </c>
      <c r="G587" s="538">
        <v>747</v>
      </c>
    </row>
    <row r="588" spans="1:7" x14ac:dyDescent="0.2">
      <c r="A588" s="538">
        <v>10</v>
      </c>
      <c r="B588" s="538" t="s">
        <v>6652</v>
      </c>
      <c r="C588" s="538" t="s">
        <v>393</v>
      </c>
      <c r="D588" s="538" t="s">
        <v>393</v>
      </c>
      <c r="E588" s="538" t="s">
        <v>401</v>
      </c>
      <c r="F588" s="538">
        <v>56640</v>
      </c>
      <c r="G588" s="538">
        <v>5</v>
      </c>
    </row>
    <row r="589" spans="1:7" x14ac:dyDescent="0.2">
      <c r="A589" s="538">
        <v>2</v>
      </c>
      <c r="B589" s="538" t="s">
        <v>6585</v>
      </c>
      <c r="C589" s="538" t="s">
        <v>740</v>
      </c>
      <c r="D589" s="538" t="s">
        <v>393</v>
      </c>
      <c r="E589" s="538" t="s">
        <v>419</v>
      </c>
      <c r="F589" s="538">
        <v>22656</v>
      </c>
      <c r="G589" s="538">
        <v>2</v>
      </c>
    </row>
    <row r="590" spans="1:7" x14ac:dyDescent="0.2">
      <c r="A590" s="538">
        <v>2</v>
      </c>
      <c r="B590" s="538" t="s">
        <v>6576</v>
      </c>
      <c r="C590" s="538" t="s">
        <v>740</v>
      </c>
      <c r="D590" s="538" t="s">
        <v>393</v>
      </c>
      <c r="E590" s="538" t="s">
        <v>207</v>
      </c>
      <c r="F590" s="538">
        <v>756977</v>
      </c>
      <c r="G590" s="538">
        <v>24</v>
      </c>
    </row>
    <row r="591" spans="1:7" x14ac:dyDescent="0.2">
      <c r="A591" s="538">
        <v>5</v>
      </c>
      <c r="B591" s="538" t="s">
        <v>6650</v>
      </c>
      <c r="C591" s="538" t="s">
        <v>740</v>
      </c>
      <c r="D591" s="538" t="s">
        <v>393</v>
      </c>
      <c r="E591" s="538" t="s">
        <v>211</v>
      </c>
      <c r="F591" s="538">
        <v>134520</v>
      </c>
      <c r="G591" s="538">
        <v>5</v>
      </c>
    </row>
    <row r="592" spans="1:7" x14ac:dyDescent="0.2">
      <c r="A592" s="538">
        <v>3</v>
      </c>
      <c r="B592" s="538" t="s">
        <v>6561</v>
      </c>
      <c r="C592" s="538" t="s">
        <v>740</v>
      </c>
      <c r="D592" s="538" t="s">
        <v>393</v>
      </c>
      <c r="E592" s="538" t="s">
        <v>416</v>
      </c>
      <c r="F592" s="538">
        <v>7861268</v>
      </c>
      <c r="G592" s="538">
        <v>191</v>
      </c>
    </row>
    <row r="593" spans="1:7" x14ac:dyDescent="0.2">
      <c r="A593" s="538">
        <v>2</v>
      </c>
      <c r="B593" s="538" t="s">
        <v>6573</v>
      </c>
      <c r="C593" s="538" t="s">
        <v>740</v>
      </c>
      <c r="D593" s="538" t="s">
        <v>393</v>
      </c>
      <c r="E593" s="538" t="s">
        <v>202</v>
      </c>
      <c r="F593" s="538">
        <v>170982</v>
      </c>
      <c r="G593" s="538">
        <v>4</v>
      </c>
    </row>
    <row r="594" spans="1:7" x14ac:dyDescent="0.2">
      <c r="A594" s="538">
        <v>2</v>
      </c>
      <c r="B594" s="538" t="s">
        <v>6585</v>
      </c>
      <c r="C594" s="538" t="s">
        <v>740</v>
      </c>
      <c r="D594" s="538" t="s">
        <v>393</v>
      </c>
      <c r="E594" s="538" t="s">
        <v>209</v>
      </c>
      <c r="F594" s="538">
        <v>3039007</v>
      </c>
      <c r="G594" s="538">
        <v>14</v>
      </c>
    </row>
    <row r="595" spans="1:7" x14ac:dyDescent="0.2">
      <c r="A595" s="538">
        <v>8</v>
      </c>
      <c r="B595" s="538" t="s">
        <v>6648</v>
      </c>
      <c r="C595" s="538" t="s">
        <v>740</v>
      </c>
      <c r="D595" s="538" t="s">
        <v>740</v>
      </c>
      <c r="E595" s="538" t="s">
        <v>230</v>
      </c>
      <c r="F595" s="538">
        <v>11328</v>
      </c>
      <c r="G595" s="538">
        <v>1</v>
      </c>
    </row>
    <row r="596" spans="1:7" x14ac:dyDescent="0.2">
      <c r="A596" s="538">
        <v>3</v>
      </c>
      <c r="B596" s="538" t="s">
        <v>6561</v>
      </c>
      <c r="C596" s="538" t="s">
        <v>740</v>
      </c>
      <c r="D596" s="538" t="s">
        <v>393</v>
      </c>
      <c r="E596" s="538" t="s">
        <v>860</v>
      </c>
      <c r="F596" s="538">
        <v>56640</v>
      </c>
      <c r="G596" s="538">
        <v>5</v>
      </c>
    </row>
    <row r="597" spans="1:7" x14ac:dyDescent="0.2">
      <c r="A597" s="538">
        <v>8</v>
      </c>
      <c r="B597" s="538" t="s">
        <v>6560</v>
      </c>
      <c r="C597" s="538" t="s">
        <v>740</v>
      </c>
      <c r="D597" s="538" t="s">
        <v>740</v>
      </c>
      <c r="E597" s="538" t="s">
        <v>401</v>
      </c>
      <c r="F597" s="538">
        <v>493299</v>
      </c>
      <c r="G597" s="538">
        <v>38</v>
      </c>
    </row>
    <row r="598" spans="1:7" x14ac:dyDescent="0.2">
      <c r="A598" s="538">
        <v>6</v>
      </c>
      <c r="B598" s="538" t="s">
        <v>6429</v>
      </c>
      <c r="C598" s="538" t="s">
        <v>740</v>
      </c>
      <c r="D598" s="538" t="s">
        <v>740</v>
      </c>
      <c r="E598" s="538" t="s">
        <v>230</v>
      </c>
      <c r="F598" s="538">
        <v>12889599</v>
      </c>
      <c r="G598" s="538">
        <v>198</v>
      </c>
    </row>
    <row r="599" spans="1:7" x14ac:dyDescent="0.2">
      <c r="A599" s="538">
        <v>4</v>
      </c>
      <c r="B599" s="538" t="s">
        <v>6559</v>
      </c>
      <c r="C599" s="538" t="s">
        <v>740</v>
      </c>
      <c r="D599" s="538" t="s">
        <v>740</v>
      </c>
      <c r="E599" s="538" t="s">
        <v>860</v>
      </c>
      <c r="F599" s="538">
        <v>11328</v>
      </c>
      <c r="G599" s="538">
        <v>1</v>
      </c>
    </row>
    <row r="600" spans="1:7" x14ac:dyDescent="0.2">
      <c r="A600" s="538">
        <v>12</v>
      </c>
      <c r="B600" s="538" t="s">
        <v>6569</v>
      </c>
      <c r="C600" s="538" t="s">
        <v>740</v>
      </c>
      <c r="D600" s="538" t="s">
        <v>393</v>
      </c>
      <c r="E600" s="538" t="s">
        <v>416</v>
      </c>
      <c r="F600" s="538">
        <v>1020051</v>
      </c>
      <c r="G600" s="538">
        <v>52</v>
      </c>
    </row>
    <row r="601" spans="1:7" x14ac:dyDescent="0.2">
      <c r="A601" s="538">
        <v>8</v>
      </c>
      <c r="B601" s="538" t="s">
        <v>6567</v>
      </c>
      <c r="C601" s="538" t="s">
        <v>393</v>
      </c>
      <c r="D601" s="538" t="s">
        <v>740</v>
      </c>
      <c r="E601" s="538" t="s">
        <v>416</v>
      </c>
      <c r="F601" s="538">
        <v>3271335</v>
      </c>
      <c r="G601" s="538">
        <v>80</v>
      </c>
    </row>
    <row r="602" spans="1:7" x14ac:dyDescent="0.2">
      <c r="A602" s="538">
        <v>3</v>
      </c>
      <c r="B602" s="538" t="s">
        <v>6578</v>
      </c>
      <c r="C602" s="538" t="s">
        <v>740</v>
      </c>
      <c r="D602" s="538" t="s">
        <v>393</v>
      </c>
      <c r="E602" s="538" t="s">
        <v>390</v>
      </c>
      <c r="F602" s="538">
        <v>289218</v>
      </c>
      <c r="G602" s="538">
        <v>11</v>
      </c>
    </row>
    <row r="603" spans="1:7" x14ac:dyDescent="0.2">
      <c r="A603" s="538">
        <v>6</v>
      </c>
      <c r="B603" s="538" t="s">
        <v>1668</v>
      </c>
      <c r="C603" s="538" t="s">
        <v>740</v>
      </c>
      <c r="D603" s="538" t="s">
        <v>740</v>
      </c>
      <c r="E603" s="538" t="s">
        <v>416</v>
      </c>
      <c r="F603" s="538">
        <v>915215</v>
      </c>
      <c r="G603" s="538">
        <v>20</v>
      </c>
    </row>
    <row r="604" spans="1:7" x14ac:dyDescent="0.2">
      <c r="A604" s="538">
        <v>3</v>
      </c>
      <c r="B604" s="538" t="s">
        <v>6578</v>
      </c>
      <c r="C604" s="538" t="s">
        <v>740</v>
      </c>
      <c r="D604" s="538" t="s">
        <v>740</v>
      </c>
      <c r="E604" s="538" t="s">
        <v>390</v>
      </c>
      <c r="F604" s="538">
        <v>10646561</v>
      </c>
      <c r="G604" s="538">
        <v>222</v>
      </c>
    </row>
    <row r="605" spans="1:7" x14ac:dyDescent="0.2">
      <c r="A605" s="538">
        <v>1</v>
      </c>
      <c r="B605" s="538" t="s">
        <v>6646</v>
      </c>
      <c r="C605" s="538" t="s">
        <v>393</v>
      </c>
      <c r="D605" s="538" t="s">
        <v>393</v>
      </c>
      <c r="E605" s="538" t="s">
        <v>390</v>
      </c>
      <c r="F605" s="538">
        <v>3802866</v>
      </c>
      <c r="G605" s="538">
        <v>82</v>
      </c>
    </row>
    <row r="606" spans="1:7" x14ac:dyDescent="0.2">
      <c r="A606" s="538">
        <v>6</v>
      </c>
      <c r="B606" s="538" t="s">
        <v>6575</v>
      </c>
      <c r="C606" s="538" t="s">
        <v>740</v>
      </c>
      <c r="D606" s="538" t="s">
        <v>393</v>
      </c>
      <c r="E606" s="538" t="s">
        <v>449</v>
      </c>
      <c r="F606" s="538">
        <v>588702</v>
      </c>
      <c r="G606" s="538">
        <v>34</v>
      </c>
    </row>
    <row r="607" spans="1:7" x14ac:dyDescent="0.2">
      <c r="A607" s="538">
        <v>10</v>
      </c>
      <c r="B607" s="538" t="s">
        <v>6582</v>
      </c>
      <c r="C607" s="538" t="s">
        <v>393</v>
      </c>
      <c r="D607" s="538" t="s">
        <v>393</v>
      </c>
      <c r="E607" s="538" t="s">
        <v>313</v>
      </c>
      <c r="F607" s="538">
        <v>496433</v>
      </c>
      <c r="G607" s="538">
        <v>1</v>
      </c>
    </row>
    <row r="608" spans="1:7" x14ac:dyDescent="0.2">
      <c r="A608" s="538">
        <v>9</v>
      </c>
      <c r="B608" s="538" t="s">
        <v>6614</v>
      </c>
      <c r="C608" s="538" t="s">
        <v>740</v>
      </c>
      <c r="D608" s="538" t="s">
        <v>393</v>
      </c>
      <c r="E608" s="538" t="s">
        <v>211</v>
      </c>
      <c r="F608" s="538">
        <v>12674523</v>
      </c>
      <c r="G608" s="538">
        <v>276</v>
      </c>
    </row>
    <row r="609" spans="1:7" x14ac:dyDescent="0.2">
      <c r="A609" s="538">
        <v>4</v>
      </c>
      <c r="B609" s="538" t="s">
        <v>6590</v>
      </c>
      <c r="C609" s="538" t="s">
        <v>740</v>
      </c>
      <c r="D609" s="538" t="s">
        <v>740</v>
      </c>
      <c r="E609" s="538" t="s">
        <v>202</v>
      </c>
      <c r="F609" s="538">
        <v>11328</v>
      </c>
      <c r="G609" s="538">
        <v>1</v>
      </c>
    </row>
    <row r="610" spans="1:7" x14ac:dyDescent="0.2">
      <c r="A610" s="538">
        <v>11</v>
      </c>
      <c r="B610" s="538" t="s">
        <v>6612</v>
      </c>
      <c r="C610" s="538" t="s">
        <v>740</v>
      </c>
      <c r="D610" s="538" t="s">
        <v>393</v>
      </c>
      <c r="E610" s="538" t="s">
        <v>419</v>
      </c>
      <c r="F610" s="538">
        <v>33984</v>
      </c>
      <c r="G610" s="538">
        <v>3</v>
      </c>
    </row>
    <row r="611" spans="1:7" x14ac:dyDescent="0.2">
      <c r="A611" s="538">
        <v>2</v>
      </c>
      <c r="B611" s="538" t="s">
        <v>6573</v>
      </c>
      <c r="C611" s="538" t="s">
        <v>740</v>
      </c>
      <c r="D611" s="538" t="s">
        <v>393</v>
      </c>
      <c r="E611" s="538" t="s">
        <v>402</v>
      </c>
      <c r="F611" s="538">
        <v>9252290</v>
      </c>
      <c r="G611" s="538">
        <v>470</v>
      </c>
    </row>
    <row r="612" spans="1:7" x14ac:dyDescent="0.2">
      <c r="A612" s="538">
        <v>3</v>
      </c>
      <c r="B612" s="538" t="s">
        <v>6647</v>
      </c>
      <c r="C612" s="538" t="s">
        <v>740</v>
      </c>
      <c r="D612" s="538" t="s">
        <v>740</v>
      </c>
      <c r="E612" s="538" t="s">
        <v>449</v>
      </c>
      <c r="F612" s="538">
        <v>79296</v>
      </c>
      <c r="G612" s="538">
        <v>7</v>
      </c>
    </row>
    <row r="613" spans="1:7" x14ac:dyDescent="0.2">
      <c r="A613" s="538">
        <v>11</v>
      </c>
      <c r="B613" s="538" t="s">
        <v>6592</v>
      </c>
      <c r="C613" s="538" t="s">
        <v>393</v>
      </c>
      <c r="D613" s="538" t="s">
        <v>740</v>
      </c>
      <c r="E613" s="538" t="s">
        <v>202</v>
      </c>
      <c r="F613" s="538">
        <v>50268</v>
      </c>
      <c r="G613" s="538">
        <v>1</v>
      </c>
    </row>
    <row r="614" spans="1:7" x14ac:dyDescent="0.2">
      <c r="A614" s="538">
        <v>5</v>
      </c>
      <c r="B614" s="538" t="s">
        <v>6651</v>
      </c>
      <c r="C614" s="538" t="s">
        <v>740</v>
      </c>
      <c r="D614" s="538" t="s">
        <v>393</v>
      </c>
      <c r="E614" s="538" t="s">
        <v>438</v>
      </c>
      <c r="F614" s="538">
        <v>50268</v>
      </c>
      <c r="G614" s="538">
        <v>1</v>
      </c>
    </row>
    <row r="615" spans="1:7" x14ac:dyDescent="0.2">
      <c r="A615" s="538">
        <v>11</v>
      </c>
      <c r="B615" s="538" t="s">
        <v>6610</v>
      </c>
      <c r="C615" s="538" t="s">
        <v>740</v>
      </c>
      <c r="D615" s="538" t="s">
        <v>393</v>
      </c>
      <c r="E615" s="538" t="s">
        <v>390</v>
      </c>
      <c r="F615" s="538">
        <v>357186</v>
      </c>
      <c r="G615" s="538">
        <v>17</v>
      </c>
    </row>
    <row r="616" spans="1:7" x14ac:dyDescent="0.2">
      <c r="A616" s="538">
        <v>10</v>
      </c>
      <c r="B616" s="538" t="s">
        <v>6664</v>
      </c>
      <c r="C616" s="538" t="s">
        <v>393</v>
      </c>
      <c r="D616" s="538" t="s">
        <v>393</v>
      </c>
      <c r="E616" s="538" t="s">
        <v>438</v>
      </c>
      <c r="F616" s="538">
        <v>4033341</v>
      </c>
      <c r="G616" s="538">
        <v>27</v>
      </c>
    </row>
    <row r="617" spans="1:7" x14ac:dyDescent="0.2">
      <c r="A617" s="538">
        <v>10</v>
      </c>
      <c r="B617" s="538" t="s">
        <v>6611</v>
      </c>
      <c r="C617" s="538" t="s">
        <v>393</v>
      </c>
      <c r="D617" s="538" t="s">
        <v>740</v>
      </c>
      <c r="E617" s="538" t="s">
        <v>211</v>
      </c>
      <c r="F617" s="538">
        <v>50268</v>
      </c>
      <c r="G617" s="538">
        <v>1</v>
      </c>
    </row>
    <row r="618" spans="1:7" x14ac:dyDescent="0.2">
      <c r="A618" s="538">
        <v>10</v>
      </c>
      <c r="B618" s="538" t="s">
        <v>6600</v>
      </c>
      <c r="C618" s="538" t="s">
        <v>393</v>
      </c>
      <c r="D618" s="538" t="s">
        <v>393</v>
      </c>
      <c r="E618" s="538" t="s">
        <v>209</v>
      </c>
      <c r="F618" s="538">
        <v>644759</v>
      </c>
      <c r="G618" s="538">
        <v>3</v>
      </c>
    </row>
    <row r="619" spans="1:7" x14ac:dyDescent="0.2">
      <c r="A619" s="538">
        <v>9</v>
      </c>
      <c r="B619" s="538" t="s">
        <v>948</v>
      </c>
      <c r="C619" s="538" t="s">
        <v>393</v>
      </c>
      <c r="D619" s="538" t="s">
        <v>393</v>
      </c>
      <c r="E619" s="538" t="s">
        <v>402</v>
      </c>
      <c r="F619" s="538">
        <v>3136159</v>
      </c>
      <c r="G619" s="538">
        <v>113</v>
      </c>
    </row>
    <row r="620" spans="1:7" x14ac:dyDescent="0.2">
      <c r="A620" s="538">
        <v>7</v>
      </c>
      <c r="B620" s="538" t="s">
        <v>6579</v>
      </c>
      <c r="C620" s="538" t="s">
        <v>740</v>
      </c>
      <c r="D620" s="538" t="s">
        <v>393</v>
      </c>
      <c r="E620" s="538" t="s">
        <v>860</v>
      </c>
      <c r="F620" s="538">
        <v>10290447</v>
      </c>
      <c r="G620" s="538">
        <v>419</v>
      </c>
    </row>
    <row r="621" spans="1:7" x14ac:dyDescent="0.2">
      <c r="A621" s="538">
        <v>7</v>
      </c>
      <c r="B621" s="538" t="s">
        <v>6588</v>
      </c>
      <c r="C621" s="538" t="s">
        <v>740</v>
      </c>
      <c r="D621" s="538" t="s">
        <v>393</v>
      </c>
      <c r="E621" s="538" t="s">
        <v>211</v>
      </c>
      <c r="F621" s="538">
        <v>2930839</v>
      </c>
      <c r="G621" s="538">
        <v>88</v>
      </c>
    </row>
    <row r="622" spans="1:7" x14ac:dyDescent="0.2">
      <c r="A622" s="538">
        <v>8</v>
      </c>
      <c r="B622" s="538" t="s">
        <v>6577</v>
      </c>
      <c r="C622" s="538" t="s">
        <v>740</v>
      </c>
      <c r="D622" s="538" t="s">
        <v>740</v>
      </c>
      <c r="E622" s="538" t="s">
        <v>212</v>
      </c>
      <c r="F622" s="538">
        <v>22656</v>
      </c>
      <c r="G622" s="538">
        <v>2</v>
      </c>
    </row>
    <row r="623" spans="1:7" x14ac:dyDescent="0.2">
      <c r="A623" s="538">
        <v>3</v>
      </c>
      <c r="B623" s="538" t="s">
        <v>6578</v>
      </c>
      <c r="C623" s="538" t="s">
        <v>740</v>
      </c>
      <c r="D623" s="538" t="s">
        <v>740</v>
      </c>
      <c r="E623" s="538" t="s">
        <v>202</v>
      </c>
      <c r="F623" s="538">
        <v>965535</v>
      </c>
      <c r="G623" s="538">
        <v>25</v>
      </c>
    </row>
    <row r="624" spans="1:7" x14ac:dyDescent="0.2">
      <c r="A624" s="538">
        <v>3</v>
      </c>
      <c r="B624" s="538" t="s">
        <v>6647</v>
      </c>
      <c r="C624" s="538" t="s">
        <v>740</v>
      </c>
      <c r="D624" s="538" t="s">
        <v>393</v>
      </c>
      <c r="E624" s="538" t="s">
        <v>210</v>
      </c>
      <c r="F624" s="538">
        <v>973677</v>
      </c>
      <c r="G624" s="538">
        <v>59</v>
      </c>
    </row>
    <row r="625" spans="1:7" x14ac:dyDescent="0.2">
      <c r="A625" s="538">
        <v>3</v>
      </c>
      <c r="B625" s="538" t="s">
        <v>1390</v>
      </c>
      <c r="C625" s="538" t="s">
        <v>740</v>
      </c>
      <c r="D625" s="538" t="s">
        <v>393</v>
      </c>
      <c r="E625" s="538" t="s">
        <v>212</v>
      </c>
      <c r="F625" s="538">
        <v>1666101</v>
      </c>
      <c r="G625" s="538">
        <v>127</v>
      </c>
    </row>
    <row r="626" spans="1:7" x14ac:dyDescent="0.2">
      <c r="A626" s="538">
        <v>7</v>
      </c>
      <c r="B626" s="538" t="s">
        <v>6571</v>
      </c>
      <c r="C626" s="538" t="s">
        <v>393</v>
      </c>
      <c r="D626" s="538" t="s">
        <v>393</v>
      </c>
      <c r="E626" s="538" t="s">
        <v>202</v>
      </c>
      <c r="F626" s="538">
        <v>7017353</v>
      </c>
      <c r="G626" s="538">
        <v>66</v>
      </c>
    </row>
    <row r="627" spans="1:7" x14ac:dyDescent="0.2">
      <c r="A627" s="538">
        <v>6</v>
      </c>
      <c r="B627" s="538" t="s">
        <v>6565</v>
      </c>
      <c r="C627" s="538" t="s">
        <v>740</v>
      </c>
      <c r="D627" s="538" t="s">
        <v>740</v>
      </c>
      <c r="E627" s="538" t="s">
        <v>401</v>
      </c>
      <c r="F627" s="538">
        <v>124608</v>
      </c>
      <c r="G627" s="538">
        <v>11</v>
      </c>
    </row>
    <row r="628" spans="1:7" x14ac:dyDescent="0.2">
      <c r="A628" s="538">
        <v>4</v>
      </c>
      <c r="B628" s="538" t="s">
        <v>6590</v>
      </c>
      <c r="C628" s="538" t="s">
        <v>740</v>
      </c>
      <c r="D628" s="538" t="s">
        <v>393</v>
      </c>
      <c r="E628" s="538" t="s">
        <v>401</v>
      </c>
      <c r="F628" s="538">
        <v>119475</v>
      </c>
      <c r="G628" s="538">
        <v>5</v>
      </c>
    </row>
    <row r="629" spans="1:7" x14ac:dyDescent="0.2">
      <c r="A629" s="538">
        <v>11</v>
      </c>
      <c r="B629" s="538" t="s">
        <v>6592</v>
      </c>
      <c r="C629" s="538" t="s">
        <v>740</v>
      </c>
      <c r="D629" s="538" t="s">
        <v>393</v>
      </c>
      <c r="E629" s="538" t="s">
        <v>390</v>
      </c>
      <c r="F629" s="538">
        <v>123192</v>
      </c>
      <c r="G629" s="538">
        <v>4</v>
      </c>
    </row>
    <row r="630" spans="1:7" x14ac:dyDescent="0.2">
      <c r="A630" s="538">
        <v>5</v>
      </c>
      <c r="B630" s="538" t="s">
        <v>6599</v>
      </c>
      <c r="C630" s="538" t="s">
        <v>740</v>
      </c>
      <c r="D630" s="538" t="s">
        <v>393</v>
      </c>
      <c r="E630" s="538" t="s">
        <v>438</v>
      </c>
      <c r="F630" s="538">
        <v>8613612</v>
      </c>
      <c r="G630" s="538">
        <v>79</v>
      </c>
    </row>
    <row r="631" spans="1:7" x14ac:dyDescent="0.2">
      <c r="A631" s="538">
        <v>11</v>
      </c>
      <c r="B631" s="538" t="s">
        <v>6612</v>
      </c>
      <c r="C631" s="538" t="s">
        <v>393</v>
      </c>
      <c r="D631" s="538" t="s">
        <v>740</v>
      </c>
      <c r="E631" s="538" t="s">
        <v>409</v>
      </c>
      <c r="F631" s="538">
        <v>910436</v>
      </c>
      <c r="G631" s="538">
        <v>32</v>
      </c>
    </row>
    <row r="632" spans="1:7" x14ac:dyDescent="0.2">
      <c r="A632" s="538">
        <v>10</v>
      </c>
      <c r="B632" s="538" t="s">
        <v>6582</v>
      </c>
      <c r="C632" s="538" t="s">
        <v>740</v>
      </c>
      <c r="D632" s="538" t="s">
        <v>740</v>
      </c>
      <c r="E632" s="538" t="s">
        <v>210</v>
      </c>
      <c r="F632" s="538">
        <v>507761</v>
      </c>
      <c r="G632" s="538">
        <v>2</v>
      </c>
    </row>
    <row r="633" spans="1:7" x14ac:dyDescent="0.2">
      <c r="A633" s="538">
        <v>9</v>
      </c>
      <c r="B633" s="538" t="s">
        <v>6615</v>
      </c>
      <c r="C633" s="538" t="s">
        <v>740</v>
      </c>
      <c r="D633" s="538" t="s">
        <v>740</v>
      </c>
      <c r="E633" s="538" t="s">
        <v>207</v>
      </c>
      <c r="F633" s="538">
        <v>2189792</v>
      </c>
      <c r="G633" s="538">
        <v>109</v>
      </c>
    </row>
    <row r="634" spans="1:7" x14ac:dyDescent="0.2">
      <c r="A634" s="538">
        <v>3</v>
      </c>
      <c r="B634" s="538" t="s">
        <v>1390</v>
      </c>
      <c r="C634" s="538" t="s">
        <v>740</v>
      </c>
      <c r="D634" s="538" t="s">
        <v>393</v>
      </c>
      <c r="E634" s="538" t="s">
        <v>416</v>
      </c>
      <c r="F634" s="538">
        <v>85491</v>
      </c>
      <c r="G634" s="538">
        <v>2</v>
      </c>
    </row>
    <row r="635" spans="1:7" x14ac:dyDescent="0.2">
      <c r="A635" s="538">
        <v>9</v>
      </c>
      <c r="B635" s="538" t="s">
        <v>6606</v>
      </c>
      <c r="C635" s="538" t="s">
        <v>393</v>
      </c>
      <c r="D635" s="538" t="s">
        <v>740</v>
      </c>
      <c r="E635" s="538" t="s">
        <v>207</v>
      </c>
      <c r="F635" s="538">
        <v>368514</v>
      </c>
      <c r="G635" s="538">
        <v>18</v>
      </c>
    </row>
    <row r="636" spans="1:7" x14ac:dyDescent="0.2">
      <c r="A636" s="538">
        <v>6</v>
      </c>
      <c r="B636" s="538" t="s">
        <v>6433</v>
      </c>
      <c r="C636" s="538" t="s">
        <v>393</v>
      </c>
      <c r="D636" s="538" t="s">
        <v>740</v>
      </c>
      <c r="E636" s="538" t="s">
        <v>211</v>
      </c>
      <c r="F636" s="538">
        <v>962828</v>
      </c>
      <c r="G636" s="538">
        <v>11</v>
      </c>
    </row>
    <row r="637" spans="1:7" x14ac:dyDescent="0.2">
      <c r="A637" s="538">
        <v>8</v>
      </c>
      <c r="B637" s="538" t="s">
        <v>6583</v>
      </c>
      <c r="C637" s="538" t="s">
        <v>740</v>
      </c>
      <c r="D637" s="538" t="s">
        <v>393</v>
      </c>
      <c r="E637" s="538" t="s">
        <v>211</v>
      </c>
      <c r="F637" s="538">
        <v>86744475</v>
      </c>
      <c r="G637" s="538">
        <v>2580</v>
      </c>
    </row>
    <row r="638" spans="1:7" x14ac:dyDescent="0.2">
      <c r="A638" s="538">
        <v>4</v>
      </c>
      <c r="B638" s="538" t="s">
        <v>6559</v>
      </c>
      <c r="C638" s="538" t="s">
        <v>740</v>
      </c>
      <c r="D638" s="538" t="s">
        <v>740</v>
      </c>
      <c r="E638" s="538" t="s">
        <v>409</v>
      </c>
      <c r="F638" s="538">
        <v>22656</v>
      </c>
      <c r="G638" s="538">
        <v>2</v>
      </c>
    </row>
    <row r="639" spans="1:7" x14ac:dyDescent="0.2">
      <c r="A639" s="538">
        <v>2</v>
      </c>
      <c r="B639" s="538" t="s">
        <v>6656</v>
      </c>
      <c r="C639" s="538" t="s">
        <v>393</v>
      </c>
      <c r="D639" s="538" t="s">
        <v>740</v>
      </c>
      <c r="E639" s="538" t="s">
        <v>230</v>
      </c>
      <c r="F639" s="538">
        <v>11328</v>
      </c>
      <c r="G639" s="538">
        <v>1</v>
      </c>
    </row>
    <row r="640" spans="1:7" x14ac:dyDescent="0.2">
      <c r="A640" s="538">
        <v>1</v>
      </c>
      <c r="B640" s="538" t="s">
        <v>6609</v>
      </c>
      <c r="C640" s="538" t="s">
        <v>393</v>
      </c>
      <c r="D640" s="538" t="s">
        <v>393</v>
      </c>
      <c r="E640" s="538" t="s">
        <v>416</v>
      </c>
      <c r="F640" s="538">
        <v>32985389</v>
      </c>
      <c r="G640" s="538">
        <v>478</v>
      </c>
    </row>
    <row r="641" spans="1:7" x14ac:dyDescent="0.2">
      <c r="A641" s="538">
        <v>11</v>
      </c>
      <c r="B641" s="538" t="s">
        <v>6592</v>
      </c>
      <c r="C641" s="538" t="s">
        <v>740</v>
      </c>
      <c r="D641" s="538" t="s">
        <v>740</v>
      </c>
      <c r="E641" s="538" t="s">
        <v>401</v>
      </c>
      <c r="F641" s="538">
        <v>197532</v>
      </c>
      <c r="G641" s="538">
        <v>14</v>
      </c>
    </row>
    <row r="642" spans="1:7" x14ac:dyDescent="0.2">
      <c r="A642" s="538">
        <v>7</v>
      </c>
      <c r="B642" s="538" t="s">
        <v>6594</v>
      </c>
      <c r="C642" s="538" t="s">
        <v>393</v>
      </c>
      <c r="D642" s="538" t="s">
        <v>740</v>
      </c>
      <c r="E642" s="538" t="s">
        <v>390</v>
      </c>
      <c r="F642" s="538">
        <v>3433342</v>
      </c>
      <c r="G642" s="538">
        <v>79</v>
      </c>
    </row>
    <row r="643" spans="1:7" x14ac:dyDescent="0.2">
      <c r="A643" s="538">
        <v>11</v>
      </c>
      <c r="B643" s="538" t="s">
        <v>6558</v>
      </c>
      <c r="C643" s="538" t="s">
        <v>393</v>
      </c>
      <c r="D643" s="538" t="s">
        <v>393</v>
      </c>
      <c r="E643" s="538" t="s">
        <v>210</v>
      </c>
      <c r="F643" s="538">
        <v>607641</v>
      </c>
      <c r="G643" s="538">
        <v>37</v>
      </c>
    </row>
    <row r="644" spans="1:7" x14ac:dyDescent="0.2">
      <c r="A644" s="538">
        <v>2</v>
      </c>
      <c r="B644" s="538" t="s">
        <v>6585</v>
      </c>
      <c r="C644" s="538" t="s">
        <v>740</v>
      </c>
      <c r="D644" s="538" t="s">
        <v>393</v>
      </c>
      <c r="E644" s="538" t="s">
        <v>449</v>
      </c>
      <c r="F644" s="538">
        <v>56640</v>
      </c>
      <c r="G644" s="538">
        <v>5</v>
      </c>
    </row>
    <row r="645" spans="1:7" x14ac:dyDescent="0.2">
      <c r="A645" s="538">
        <v>7</v>
      </c>
      <c r="B645" s="538" t="s">
        <v>6588</v>
      </c>
      <c r="C645" s="538" t="s">
        <v>740</v>
      </c>
      <c r="D645" s="538" t="s">
        <v>393</v>
      </c>
      <c r="E645" s="538" t="s">
        <v>211</v>
      </c>
      <c r="F645" s="538">
        <v>437353773</v>
      </c>
      <c r="G645" s="538">
        <v>9476</v>
      </c>
    </row>
    <row r="646" spans="1:7" x14ac:dyDescent="0.2">
      <c r="A646" s="538">
        <v>4</v>
      </c>
      <c r="B646" s="538" t="s">
        <v>6562</v>
      </c>
      <c r="C646" s="538" t="s">
        <v>740</v>
      </c>
      <c r="D646" s="538" t="s">
        <v>740</v>
      </c>
      <c r="E646" s="538" t="s">
        <v>211</v>
      </c>
      <c r="F646" s="538">
        <v>281607</v>
      </c>
      <c r="G646" s="538">
        <v>9</v>
      </c>
    </row>
    <row r="647" spans="1:7" x14ac:dyDescent="0.2">
      <c r="A647" s="538">
        <v>3</v>
      </c>
      <c r="B647" s="538" t="s">
        <v>6605</v>
      </c>
      <c r="C647" s="538" t="s">
        <v>740</v>
      </c>
      <c r="D647" s="538" t="s">
        <v>740</v>
      </c>
      <c r="E647" s="538" t="s">
        <v>202</v>
      </c>
      <c r="F647" s="538">
        <v>11328</v>
      </c>
      <c r="G647" s="538">
        <v>1</v>
      </c>
    </row>
    <row r="648" spans="1:7" x14ac:dyDescent="0.2">
      <c r="A648" s="538">
        <v>3</v>
      </c>
      <c r="B648" s="538" t="s">
        <v>6561</v>
      </c>
      <c r="C648" s="538" t="s">
        <v>740</v>
      </c>
      <c r="D648" s="538" t="s">
        <v>393</v>
      </c>
      <c r="E648" s="538" t="s">
        <v>212</v>
      </c>
      <c r="F648" s="538">
        <v>215232</v>
      </c>
      <c r="G648" s="538">
        <v>19</v>
      </c>
    </row>
    <row r="649" spans="1:7" x14ac:dyDescent="0.2">
      <c r="A649" s="538">
        <v>4</v>
      </c>
      <c r="B649" s="538" t="s">
        <v>6562</v>
      </c>
      <c r="C649" s="538" t="s">
        <v>740</v>
      </c>
      <c r="D649" s="538" t="s">
        <v>740</v>
      </c>
      <c r="E649" s="538" t="s">
        <v>211</v>
      </c>
      <c r="F649" s="538">
        <v>22656</v>
      </c>
      <c r="G649" s="538">
        <v>2</v>
      </c>
    </row>
    <row r="650" spans="1:7" x14ac:dyDescent="0.2">
      <c r="A650" s="538">
        <v>8</v>
      </c>
      <c r="B650" s="538" t="s">
        <v>6567</v>
      </c>
      <c r="C650" s="538" t="s">
        <v>740</v>
      </c>
      <c r="D650" s="538" t="s">
        <v>393</v>
      </c>
      <c r="E650" s="538" t="s">
        <v>207</v>
      </c>
      <c r="F650" s="538">
        <v>8978575</v>
      </c>
      <c r="G650" s="538">
        <v>610</v>
      </c>
    </row>
    <row r="651" spans="1:7" x14ac:dyDescent="0.2">
      <c r="A651" s="538">
        <v>4</v>
      </c>
      <c r="B651" s="538" t="s">
        <v>6593</v>
      </c>
      <c r="C651" s="538" t="s">
        <v>740</v>
      </c>
      <c r="D651" s="538" t="s">
        <v>393</v>
      </c>
      <c r="E651" s="538" t="s">
        <v>209</v>
      </c>
      <c r="F651" s="538">
        <v>50268</v>
      </c>
      <c r="G651" s="538">
        <v>1</v>
      </c>
    </row>
    <row r="652" spans="1:7" x14ac:dyDescent="0.2">
      <c r="A652" s="538">
        <v>1</v>
      </c>
      <c r="B652" s="538" t="s">
        <v>6649</v>
      </c>
      <c r="C652" s="538" t="s">
        <v>740</v>
      </c>
      <c r="D652" s="538" t="s">
        <v>393</v>
      </c>
      <c r="E652" s="538" t="s">
        <v>212</v>
      </c>
      <c r="F652" s="538">
        <v>192576</v>
      </c>
      <c r="G652" s="538">
        <v>17</v>
      </c>
    </row>
    <row r="653" spans="1:7" x14ac:dyDescent="0.2">
      <c r="A653" s="538">
        <v>10</v>
      </c>
      <c r="B653" s="538" t="s">
        <v>6587</v>
      </c>
      <c r="C653" s="538" t="s">
        <v>393</v>
      </c>
      <c r="D653" s="538" t="s">
        <v>393</v>
      </c>
      <c r="E653" s="538" t="s">
        <v>419</v>
      </c>
      <c r="F653" s="538">
        <v>507761</v>
      </c>
      <c r="G653" s="538">
        <v>2</v>
      </c>
    </row>
    <row r="654" spans="1:7" x14ac:dyDescent="0.2">
      <c r="A654" s="538">
        <v>3</v>
      </c>
      <c r="B654" s="538" t="s">
        <v>6561</v>
      </c>
      <c r="C654" s="538" t="s">
        <v>740</v>
      </c>
      <c r="D654" s="538" t="s">
        <v>393</v>
      </c>
      <c r="E654" s="538" t="s">
        <v>210</v>
      </c>
      <c r="F654" s="538">
        <v>45312</v>
      </c>
      <c r="G654" s="538">
        <v>4</v>
      </c>
    </row>
    <row r="655" spans="1:7" x14ac:dyDescent="0.2">
      <c r="A655" s="538">
        <v>2</v>
      </c>
      <c r="B655" s="538" t="s">
        <v>6573</v>
      </c>
      <c r="C655" s="538" t="s">
        <v>393</v>
      </c>
      <c r="D655" s="538" t="s">
        <v>393</v>
      </c>
      <c r="E655" s="538" t="s">
        <v>313</v>
      </c>
      <c r="F655" s="538">
        <v>1191460</v>
      </c>
      <c r="G655" s="538">
        <v>5</v>
      </c>
    </row>
    <row r="656" spans="1:7" x14ac:dyDescent="0.2">
      <c r="A656" s="538">
        <v>4</v>
      </c>
      <c r="B656" s="538" t="s">
        <v>6562</v>
      </c>
      <c r="C656" s="538" t="s">
        <v>393</v>
      </c>
      <c r="D656" s="538" t="s">
        <v>393</v>
      </c>
      <c r="E656" s="538" t="s">
        <v>212</v>
      </c>
      <c r="F656" s="538">
        <v>1521971</v>
      </c>
      <c r="G656" s="538">
        <v>77</v>
      </c>
    </row>
    <row r="657" spans="1:7" x14ac:dyDescent="0.2">
      <c r="A657" s="538">
        <v>9</v>
      </c>
      <c r="B657" s="538" t="s">
        <v>6614</v>
      </c>
      <c r="C657" s="538" t="s">
        <v>393</v>
      </c>
      <c r="D657" s="538" t="s">
        <v>393</v>
      </c>
      <c r="E657" s="538" t="s">
        <v>390</v>
      </c>
      <c r="F657" s="538">
        <v>7158526</v>
      </c>
      <c r="G657" s="538">
        <v>97</v>
      </c>
    </row>
    <row r="658" spans="1:7" x14ac:dyDescent="0.2">
      <c r="A658" s="538">
        <v>3</v>
      </c>
      <c r="B658" s="538" t="s">
        <v>1390</v>
      </c>
      <c r="C658" s="538" t="s">
        <v>740</v>
      </c>
      <c r="D658" s="538" t="s">
        <v>393</v>
      </c>
      <c r="E658" s="538" t="s">
        <v>202</v>
      </c>
      <c r="F658" s="538">
        <v>1322263</v>
      </c>
      <c r="G658" s="538">
        <v>11</v>
      </c>
    </row>
    <row r="659" spans="1:7" x14ac:dyDescent="0.2">
      <c r="A659" s="538">
        <v>3</v>
      </c>
      <c r="B659" s="538" t="s">
        <v>6578</v>
      </c>
      <c r="C659" s="538" t="s">
        <v>740</v>
      </c>
      <c r="D659" s="538" t="s">
        <v>393</v>
      </c>
      <c r="E659" s="538" t="s">
        <v>416</v>
      </c>
      <c r="F659" s="538">
        <v>328158</v>
      </c>
      <c r="G659" s="538">
        <v>11</v>
      </c>
    </row>
    <row r="660" spans="1:7" x14ac:dyDescent="0.2">
      <c r="A660" s="538">
        <v>8</v>
      </c>
      <c r="B660" s="538" t="s">
        <v>6567</v>
      </c>
      <c r="C660" s="538" t="s">
        <v>393</v>
      </c>
      <c r="D660" s="538" t="s">
        <v>393</v>
      </c>
      <c r="E660" s="538" t="s">
        <v>212</v>
      </c>
      <c r="F660" s="538">
        <v>1253337</v>
      </c>
      <c r="G660" s="538">
        <v>94</v>
      </c>
    </row>
    <row r="661" spans="1:7" x14ac:dyDescent="0.2">
      <c r="A661" s="538">
        <v>2</v>
      </c>
      <c r="B661" s="538" t="s">
        <v>6662</v>
      </c>
      <c r="C661" s="538" t="s">
        <v>740</v>
      </c>
      <c r="D661" s="538" t="s">
        <v>393</v>
      </c>
      <c r="E661" s="538" t="s">
        <v>202</v>
      </c>
      <c r="F661" s="538">
        <v>643520</v>
      </c>
      <c r="G661" s="538">
        <v>5</v>
      </c>
    </row>
    <row r="662" spans="1:7" x14ac:dyDescent="0.2">
      <c r="A662" s="538">
        <v>1</v>
      </c>
      <c r="B662" s="538" t="s">
        <v>1288</v>
      </c>
      <c r="C662" s="538" t="s">
        <v>740</v>
      </c>
      <c r="D662" s="538" t="s">
        <v>393</v>
      </c>
      <c r="E662" s="538" t="s">
        <v>212</v>
      </c>
      <c r="F662" s="538">
        <v>11328</v>
      </c>
      <c r="G662" s="538">
        <v>1</v>
      </c>
    </row>
    <row r="663" spans="1:7" x14ac:dyDescent="0.2">
      <c r="A663" s="538">
        <v>2</v>
      </c>
      <c r="B663" s="538" t="s">
        <v>6654</v>
      </c>
      <c r="C663" s="538" t="s">
        <v>740</v>
      </c>
      <c r="D663" s="538" t="s">
        <v>393</v>
      </c>
      <c r="E663" s="538" t="s">
        <v>401</v>
      </c>
      <c r="F663" s="538">
        <v>250278</v>
      </c>
      <c r="G663" s="538">
        <v>11</v>
      </c>
    </row>
    <row r="664" spans="1:7" x14ac:dyDescent="0.2">
      <c r="A664" s="538">
        <v>5</v>
      </c>
      <c r="B664" s="538" t="s">
        <v>6598</v>
      </c>
      <c r="C664" s="538" t="s">
        <v>740</v>
      </c>
      <c r="D664" s="538" t="s">
        <v>393</v>
      </c>
      <c r="E664" s="538" t="s">
        <v>402</v>
      </c>
      <c r="F664" s="538">
        <v>14816056</v>
      </c>
      <c r="G664" s="538">
        <v>847</v>
      </c>
    </row>
    <row r="665" spans="1:7" x14ac:dyDescent="0.2">
      <c r="A665" s="538">
        <v>1</v>
      </c>
      <c r="B665" s="538" t="s">
        <v>1288</v>
      </c>
      <c r="C665" s="538" t="s">
        <v>740</v>
      </c>
      <c r="D665" s="538" t="s">
        <v>393</v>
      </c>
      <c r="E665" s="538" t="s">
        <v>416</v>
      </c>
      <c r="F665" s="538">
        <v>33984</v>
      </c>
      <c r="G665" s="538">
        <v>3</v>
      </c>
    </row>
    <row r="666" spans="1:7" x14ac:dyDescent="0.2">
      <c r="A666" s="538">
        <v>1</v>
      </c>
      <c r="B666" s="538" t="s">
        <v>1288</v>
      </c>
      <c r="C666" s="538" t="s">
        <v>393</v>
      </c>
      <c r="D666" s="538" t="s">
        <v>393</v>
      </c>
      <c r="E666" s="538" t="s">
        <v>202</v>
      </c>
      <c r="F666" s="538">
        <v>5375886</v>
      </c>
      <c r="G666" s="538">
        <v>57</v>
      </c>
    </row>
    <row r="667" spans="1:7" x14ac:dyDescent="0.2">
      <c r="A667" s="538">
        <v>12</v>
      </c>
      <c r="B667" s="538" t="s">
        <v>6616</v>
      </c>
      <c r="C667" s="538" t="s">
        <v>740</v>
      </c>
      <c r="D667" s="538" t="s">
        <v>393</v>
      </c>
      <c r="E667" s="538" t="s">
        <v>449</v>
      </c>
      <c r="F667" s="538">
        <v>45312</v>
      </c>
      <c r="G667" s="538">
        <v>4</v>
      </c>
    </row>
    <row r="668" spans="1:7" x14ac:dyDescent="0.2">
      <c r="A668" s="538">
        <v>8</v>
      </c>
      <c r="B668" s="538" t="s">
        <v>6648</v>
      </c>
      <c r="C668" s="538" t="s">
        <v>740</v>
      </c>
      <c r="D668" s="538" t="s">
        <v>740</v>
      </c>
      <c r="E668" s="538" t="s">
        <v>202</v>
      </c>
      <c r="F668" s="538">
        <v>11328</v>
      </c>
      <c r="G668" s="538">
        <v>1</v>
      </c>
    </row>
    <row r="669" spans="1:7" x14ac:dyDescent="0.2">
      <c r="A669" s="538">
        <v>6</v>
      </c>
      <c r="B669" s="538" t="s">
        <v>6433</v>
      </c>
      <c r="C669" s="538" t="s">
        <v>740</v>
      </c>
      <c r="D669" s="538" t="s">
        <v>393</v>
      </c>
      <c r="E669" s="538" t="s">
        <v>230</v>
      </c>
      <c r="F669" s="538">
        <v>903887</v>
      </c>
      <c r="G669" s="538">
        <v>19</v>
      </c>
    </row>
    <row r="670" spans="1:7" x14ac:dyDescent="0.2">
      <c r="A670" s="538">
        <v>11</v>
      </c>
      <c r="B670" s="538" t="s">
        <v>6659</v>
      </c>
      <c r="C670" s="538" t="s">
        <v>740</v>
      </c>
      <c r="D670" s="538" t="s">
        <v>393</v>
      </c>
      <c r="E670" s="538" t="s">
        <v>390</v>
      </c>
      <c r="F670" s="538">
        <v>96819</v>
      </c>
      <c r="G670" s="538">
        <v>3</v>
      </c>
    </row>
    <row r="671" spans="1:7" x14ac:dyDescent="0.2">
      <c r="A671" s="538">
        <v>1</v>
      </c>
      <c r="B671" s="538" t="s">
        <v>6595</v>
      </c>
      <c r="C671" s="538" t="s">
        <v>740</v>
      </c>
      <c r="D671" s="538" t="s">
        <v>393</v>
      </c>
      <c r="E671" s="538" t="s">
        <v>402</v>
      </c>
      <c r="F671" s="538">
        <v>1228682</v>
      </c>
      <c r="G671" s="538">
        <v>49</v>
      </c>
    </row>
    <row r="672" spans="1:7" x14ac:dyDescent="0.2">
      <c r="A672" s="538">
        <v>6</v>
      </c>
      <c r="B672" s="538" t="s">
        <v>6565</v>
      </c>
      <c r="C672" s="538" t="s">
        <v>393</v>
      </c>
      <c r="D672" s="538" t="s">
        <v>740</v>
      </c>
      <c r="E672" s="538" t="s">
        <v>402</v>
      </c>
      <c r="F672" s="538">
        <v>2175861</v>
      </c>
      <c r="G672" s="538">
        <v>107</v>
      </c>
    </row>
    <row r="673" spans="1:7" x14ac:dyDescent="0.2">
      <c r="A673" s="538">
        <v>3</v>
      </c>
      <c r="B673" s="538" t="s">
        <v>6561</v>
      </c>
      <c r="C673" s="538" t="s">
        <v>393</v>
      </c>
      <c r="D673" s="538" t="s">
        <v>393</v>
      </c>
      <c r="E673" s="538" t="s">
        <v>416</v>
      </c>
      <c r="F673" s="538">
        <v>67460910</v>
      </c>
      <c r="G673" s="538">
        <v>1165</v>
      </c>
    </row>
    <row r="674" spans="1:7" x14ac:dyDescent="0.2">
      <c r="A674" s="538">
        <v>3</v>
      </c>
      <c r="B674" s="538" t="s">
        <v>6578</v>
      </c>
      <c r="C674" s="538" t="s">
        <v>740</v>
      </c>
      <c r="D674" s="538" t="s">
        <v>393</v>
      </c>
      <c r="E674" s="538" t="s">
        <v>402</v>
      </c>
      <c r="F674" s="538">
        <v>11328</v>
      </c>
      <c r="G674" s="538">
        <v>1</v>
      </c>
    </row>
    <row r="675" spans="1:7" x14ac:dyDescent="0.2">
      <c r="A675" s="538">
        <v>1</v>
      </c>
      <c r="B675" s="538" t="s">
        <v>6649</v>
      </c>
      <c r="C675" s="538" t="s">
        <v>740</v>
      </c>
      <c r="D675" s="538" t="s">
        <v>393</v>
      </c>
      <c r="E675" s="538" t="s">
        <v>210</v>
      </c>
      <c r="F675" s="538">
        <v>11328</v>
      </c>
      <c r="G675" s="538">
        <v>1</v>
      </c>
    </row>
    <row r="676" spans="1:7" x14ac:dyDescent="0.2">
      <c r="A676" s="538">
        <v>5</v>
      </c>
      <c r="B676" s="538" t="s">
        <v>6598</v>
      </c>
      <c r="C676" s="538" t="s">
        <v>740</v>
      </c>
      <c r="D676" s="538" t="s">
        <v>740</v>
      </c>
      <c r="E676" s="538" t="s">
        <v>210</v>
      </c>
      <c r="F676" s="538">
        <v>507761</v>
      </c>
      <c r="G676" s="538">
        <v>2</v>
      </c>
    </row>
    <row r="677" spans="1:7" x14ac:dyDescent="0.2">
      <c r="A677" s="538">
        <v>9</v>
      </c>
      <c r="B677" s="538" t="s">
        <v>6606</v>
      </c>
      <c r="C677" s="538" t="s">
        <v>393</v>
      </c>
      <c r="D677" s="538" t="s">
        <v>393</v>
      </c>
      <c r="E677" s="538" t="s">
        <v>212</v>
      </c>
      <c r="F677" s="538">
        <v>625164</v>
      </c>
      <c r="G677" s="538">
        <v>33</v>
      </c>
    </row>
    <row r="678" spans="1:7" x14ac:dyDescent="0.2">
      <c r="A678" s="538">
        <v>8</v>
      </c>
      <c r="B678" s="538" t="s">
        <v>6567</v>
      </c>
      <c r="C678" s="538" t="s">
        <v>740</v>
      </c>
      <c r="D678" s="538" t="s">
        <v>393</v>
      </c>
      <c r="E678" s="538" t="s">
        <v>313</v>
      </c>
      <c r="F678" s="538">
        <v>8693949</v>
      </c>
      <c r="G678" s="538">
        <v>83</v>
      </c>
    </row>
    <row r="679" spans="1:7" x14ac:dyDescent="0.2">
      <c r="A679" s="538">
        <v>2</v>
      </c>
      <c r="B679" s="538" t="s">
        <v>6576</v>
      </c>
      <c r="C679" s="538" t="s">
        <v>393</v>
      </c>
      <c r="D679" s="538" t="s">
        <v>740</v>
      </c>
      <c r="E679" s="538" t="s">
        <v>390</v>
      </c>
      <c r="F679" s="538">
        <v>2739044</v>
      </c>
      <c r="G679" s="538">
        <v>38</v>
      </c>
    </row>
    <row r="680" spans="1:7" x14ac:dyDescent="0.2">
      <c r="A680" s="538">
        <v>3</v>
      </c>
      <c r="B680" s="538" t="s">
        <v>6647</v>
      </c>
      <c r="C680" s="538" t="s">
        <v>740</v>
      </c>
      <c r="D680" s="538" t="s">
        <v>393</v>
      </c>
      <c r="E680" s="538" t="s">
        <v>401</v>
      </c>
      <c r="F680" s="538">
        <v>158415</v>
      </c>
      <c r="G680" s="538">
        <v>5</v>
      </c>
    </row>
    <row r="681" spans="1:7" x14ac:dyDescent="0.2">
      <c r="A681" s="538">
        <v>11</v>
      </c>
      <c r="B681" s="538" t="s">
        <v>6612</v>
      </c>
      <c r="C681" s="538" t="s">
        <v>393</v>
      </c>
      <c r="D681" s="538" t="s">
        <v>393</v>
      </c>
      <c r="E681" s="538" t="s">
        <v>211</v>
      </c>
      <c r="F681" s="538">
        <v>6772874</v>
      </c>
      <c r="G681" s="538">
        <v>188</v>
      </c>
    </row>
    <row r="682" spans="1:7" x14ac:dyDescent="0.2">
      <c r="A682" s="538">
        <v>6</v>
      </c>
      <c r="B682" s="538" t="s">
        <v>6565</v>
      </c>
      <c r="C682" s="538" t="s">
        <v>740</v>
      </c>
      <c r="D682" s="538" t="s">
        <v>393</v>
      </c>
      <c r="E682" s="538" t="s">
        <v>210</v>
      </c>
      <c r="F682" s="538">
        <v>33984</v>
      </c>
      <c r="G682" s="538">
        <v>3</v>
      </c>
    </row>
    <row r="683" spans="1:7" x14ac:dyDescent="0.2">
      <c r="A683" s="538">
        <v>12</v>
      </c>
      <c r="B683" s="538" t="s">
        <v>6563</v>
      </c>
      <c r="C683" s="538" t="s">
        <v>393</v>
      </c>
      <c r="D683" s="538" t="s">
        <v>393</v>
      </c>
      <c r="E683" s="538" t="s">
        <v>202</v>
      </c>
      <c r="F683" s="538">
        <v>148326</v>
      </c>
      <c r="G683" s="538">
        <v>2</v>
      </c>
    </row>
    <row r="684" spans="1:7" x14ac:dyDescent="0.2">
      <c r="A684" s="538">
        <v>8</v>
      </c>
      <c r="B684" s="538" t="s">
        <v>6570</v>
      </c>
      <c r="C684" s="538" t="s">
        <v>740</v>
      </c>
      <c r="D684" s="538" t="s">
        <v>393</v>
      </c>
      <c r="E684" s="538" t="s">
        <v>409</v>
      </c>
      <c r="F684" s="538">
        <v>593252</v>
      </c>
      <c r="G684" s="538">
        <v>4</v>
      </c>
    </row>
    <row r="685" spans="1:7" x14ac:dyDescent="0.2">
      <c r="A685" s="538">
        <v>1</v>
      </c>
      <c r="B685" s="538" t="s">
        <v>6595</v>
      </c>
      <c r="C685" s="538" t="s">
        <v>393</v>
      </c>
      <c r="D685" s="538" t="s">
        <v>393</v>
      </c>
      <c r="E685" s="538" t="s">
        <v>210</v>
      </c>
      <c r="F685" s="538">
        <v>803351</v>
      </c>
      <c r="G685" s="538">
        <v>17</v>
      </c>
    </row>
    <row r="686" spans="1:7" x14ac:dyDescent="0.2">
      <c r="A686" s="538">
        <v>10</v>
      </c>
      <c r="B686" s="538" t="s">
        <v>6652</v>
      </c>
      <c r="C686" s="538" t="s">
        <v>393</v>
      </c>
      <c r="D686" s="538" t="s">
        <v>740</v>
      </c>
      <c r="E686" s="538" t="s">
        <v>207</v>
      </c>
      <c r="F686" s="538">
        <v>1043238</v>
      </c>
      <c r="G686" s="538">
        <v>81</v>
      </c>
    </row>
    <row r="687" spans="1:7" x14ac:dyDescent="0.2">
      <c r="A687" s="538">
        <v>3</v>
      </c>
      <c r="B687" s="538" t="s">
        <v>6561</v>
      </c>
      <c r="C687" s="538" t="s">
        <v>740</v>
      </c>
      <c r="D687" s="538" t="s">
        <v>393</v>
      </c>
      <c r="E687" s="538" t="s">
        <v>438</v>
      </c>
      <c r="F687" s="538">
        <v>11738464</v>
      </c>
      <c r="G687" s="538">
        <v>118</v>
      </c>
    </row>
    <row r="688" spans="1:7" x14ac:dyDescent="0.2">
      <c r="A688" s="538">
        <v>2</v>
      </c>
      <c r="B688" s="538" t="s">
        <v>6608</v>
      </c>
      <c r="C688" s="538" t="s">
        <v>393</v>
      </c>
      <c r="D688" s="538" t="s">
        <v>393</v>
      </c>
      <c r="E688" s="538" t="s">
        <v>390</v>
      </c>
      <c r="F688" s="538">
        <v>7870878</v>
      </c>
      <c r="G688" s="538">
        <v>166</v>
      </c>
    </row>
    <row r="689" spans="1:7" x14ac:dyDescent="0.2">
      <c r="A689" s="538">
        <v>12</v>
      </c>
      <c r="B689" s="538" t="s">
        <v>6616</v>
      </c>
      <c r="C689" s="538" t="s">
        <v>393</v>
      </c>
      <c r="D689" s="538" t="s">
        <v>393</v>
      </c>
      <c r="E689" s="538" t="s">
        <v>210</v>
      </c>
      <c r="F689" s="538">
        <v>5517028</v>
      </c>
      <c r="G689" s="538">
        <v>71</v>
      </c>
    </row>
    <row r="690" spans="1:7" x14ac:dyDescent="0.2">
      <c r="A690" s="538">
        <v>5</v>
      </c>
      <c r="B690" s="538" t="s">
        <v>6589</v>
      </c>
      <c r="C690" s="538" t="s">
        <v>740</v>
      </c>
      <c r="D690" s="538" t="s">
        <v>393</v>
      </c>
      <c r="E690" s="538" t="s">
        <v>402</v>
      </c>
      <c r="F690" s="538">
        <v>4523485</v>
      </c>
      <c r="G690" s="538">
        <v>255</v>
      </c>
    </row>
    <row r="691" spans="1:7" x14ac:dyDescent="0.2">
      <c r="A691" s="538">
        <v>11</v>
      </c>
      <c r="B691" s="538" t="s">
        <v>6612</v>
      </c>
      <c r="C691" s="538" t="s">
        <v>393</v>
      </c>
      <c r="D691" s="538" t="s">
        <v>740</v>
      </c>
      <c r="E691" s="538" t="s">
        <v>212</v>
      </c>
      <c r="F691" s="538">
        <v>56640</v>
      </c>
      <c r="G691" s="538">
        <v>5</v>
      </c>
    </row>
    <row r="692" spans="1:7" x14ac:dyDescent="0.2">
      <c r="A692" s="538">
        <v>4</v>
      </c>
      <c r="B692" s="538" t="s">
        <v>6574</v>
      </c>
      <c r="C692" s="538" t="s">
        <v>740</v>
      </c>
      <c r="D692" s="538" t="s">
        <v>393</v>
      </c>
      <c r="E692" s="538" t="s">
        <v>409</v>
      </c>
      <c r="F692" s="538">
        <v>11328</v>
      </c>
      <c r="G692" s="538">
        <v>1</v>
      </c>
    </row>
    <row r="693" spans="1:7" x14ac:dyDescent="0.2">
      <c r="A693" s="538">
        <v>9</v>
      </c>
      <c r="B693" s="538" t="s">
        <v>6615</v>
      </c>
      <c r="C693" s="538" t="s">
        <v>393</v>
      </c>
      <c r="D693" s="538" t="s">
        <v>393</v>
      </c>
      <c r="E693" s="538" t="s">
        <v>390</v>
      </c>
      <c r="F693" s="538">
        <v>12840757</v>
      </c>
      <c r="G693" s="538">
        <v>294</v>
      </c>
    </row>
    <row r="694" spans="1:7" x14ac:dyDescent="0.2">
      <c r="A694" s="538">
        <v>4</v>
      </c>
      <c r="B694" s="538" t="s">
        <v>6559</v>
      </c>
      <c r="C694" s="538" t="s">
        <v>393</v>
      </c>
      <c r="D694" s="538" t="s">
        <v>393</v>
      </c>
      <c r="E694" s="538" t="s">
        <v>209</v>
      </c>
      <c r="F694" s="538">
        <v>497724</v>
      </c>
      <c r="G694" s="538">
        <v>8</v>
      </c>
    </row>
    <row r="695" spans="1:7" x14ac:dyDescent="0.2">
      <c r="A695" s="538">
        <v>11</v>
      </c>
      <c r="B695" s="538" t="s">
        <v>6584</v>
      </c>
      <c r="C695" s="538" t="s">
        <v>740</v>
      </c>
      <c r="D695" s="538" t="s">
        <v>393</v>
      </c>
      <c r="E695" s="538" t="s">
        <v>313</v>
      </c>
      <c r="F695" s="538">
        <v>1167565</v>
      </c>
      <c r="G695" s="538">
        <v>5</v>
      </c>
    </row>
    <row r="696" spans="1:7" x14ac:dyDescent="0.2">
      <c r="A696" s="538">
        <v>2</v>
      </c>
      <c r="B696" s="538" t="s">
        <v>6576</v>
      </c>
      <c r="C696" s="538" t="s">
        <v>740</v>
      </c>
      <c r="D696" s="538" t="s">
        <v>740</v>
      </c>
      <c r="E696" s="538" t="s">
        <v>401</v>
      </c>
      <c r="F696" s="538">
        <v>22656</v>
      </c>
      <c r="G696" s="538">
        <v>2</v>
      </c>
    </row>
    <row r="697" spans="1:7" x14ac:dyDescent="0.2">
      <c r="A697" s="538">
        <v>3</v>
      </c>
      <c r="B697" s="538" t="s">
        <v>6591</v>
      </c>
      <c r="C697" s="538" t="s">
        <v>740</v>
      </c>
      <c r="D697" s="538" t="s">
        <v>393</v>
      </c>
      <c r="E697" s="538" t="s">
        <v>212</v>
      </c>
      <c r="F697" s="538">
        <v>11328</v>
      </c>
      <c r="G697" s="538">
        <v>1</v>
      </c>
    </row>
    <row r="698" spans="1:7" x14ac:dyDescent="0.2">
      <c r="A698" s="538">
        <v>4</v>
      </c>
      <c r="B698" s="538" t="s">
        <v>6559</v>
      </c>
      <c r="C698" s="538" t="s">
        <v>740</v>
      </c>
      <c r="D698" s="538" t="s">
        <v>740</v>
      </c>
      <c r="E698" s="538" t="s">
        <v>210</v>
      </c>
      <c r="F698" s="538">
        <v>100536</v>
      </c>
      <c r="G698" s="538">
        <v>2</v>
      </c>
    </row>
    <row r="699" spans="1:7" x14ac:dyDescent="0.2">
      <c r="A699" s="538">
        <v>6</v>
      </c>
      <c r="B699" s="538" t="s">
        <v>1668</v>
      </c>
      <c r="C699" s="538" t="s">
        <v>740</v>
      </c>
      <c r="D699" s="538" t="s">
        <v>740</v>
      </c>
      <c r="E699" s="538" t="s">
        <v>212</v>
      </c>
      <c r="F699" s="538">
        <v>33984</v>
      </c>
      <c r="G699" s="538">
        <v>3</v>
      </c>
    </row>
    <row r="700" spans="1:7" x14ac:dyDescent="0.2">
      <c r="A700" s="538">
        <v>6</v>
      </c>
      <c r="B700" s="538" t="s">
        <v>6429</v>
      </c>
      <c r="C700" s="538" t="s">
        <v>740</v>
      </c>
      <c r="D700" s="538" t="s">
        <v>740</v>
      </c>
      <c r="E700" s="538" t="s">
        <v>202</v>
      </c>
      <c r="F700" s="538">
        <v>20564486</v>
      </c>
      <c r="G700" s="538">
        <v>207</v>
      </c>
    </row>
    <row r="701" spans="1:7" x14ac:dyDescent="0.2">
      <c r="A701" s="538">
        <v>4</v>
      </c>
      <c r="B701" s="538" t="s">
        <v>6593</v>
      </c>
      <c r="C701" s="538" t="s">
        <v>393</v>
      </c>
      <c r="D701" s="538" t="s">
        <v>740</v>
      </c>
      <c r="E701" s="538" t="s">
        <v>438</v>
      </c>
      <c r="F701" s="538">
        <v>519089</v>
      </c>
      <c r="G701" s="538">
        <v>3</v>
      </c>
    </row>
    <row r="702" spans="1:7" x14ac:dyDescent="0.2">
      <c r="A702" s="538">
        <v>5</v>
      </c>
      <c r="B702" s="538" t="s">
        <v>6598</v>
      </c>
      <c r="C702" s="538" t="s">
        <v>393</v>
      </c>
      <c r="D702" s="538" t="s">
        <v>393</v>
      </c>
      <c r="E702" s="538" t="s">
        <v>207</v>
      </c>
      <c r="F702" s="538">
        <v>8738563</v>
      </c>
      <c r="G702" s="538">
        <v>546</v>
      </c>
    </row>
    <row r="703" spans="1:7" x14ac:dyDescent="0.2">
      <c r="A703" s="538">
        <v>3</v>
      </c>
      <c r="B703" s="538" t="s">
        <v>6578</v>
      </c>
      <c r="C703" s="538" t="s">
        <v>393</v>
      </c>
      <c r="D703" s="538" t="s">
        <v>393</v>
      </c>
      <c r="E703" s="538" t="s">
        <v>402</v>
      </c>
      <c r="F703" s="538">
        <v>6273557</v>
      </c>
      <c r="G703" s="538">
        <v>154</v>
      </c>
    </row>
    <row r="704" spans="1:7" x14ac:dyDescent="0.2">
      <c r="A704" s="538">
        <v>8</v>
      </c>
      <c r="B704" s="538" t="s">
        <v>6560</v>
      </c>
      <c r="C704" s="538" t="s">
        <v>740</v>
      </c>
      <c r="D704" s="538" t="s">
        <v>393</v>
      </c>
      <c r="E704" s="538" t="s">
        <v>416</v>
      </c>
      <c r="F704" s="538">
        <v>3369164</v>
      </c>
      <c r="G704" s="538">
        <v>68</v>
      </c>
    </row>
    <row r="705" spans="1:7" x14ac:dyDescent="0.2">
      <c r="A705" s="538">
        <v>12</v>
      </c>
      <c r="B705" s="538" t="s">
        <v>6616</v>
      </c>
      <c r="C705" s="538" t="s">
        <v>740</v>
      </c>
      <c r="D705" s="538" t="s">
        <v>740</v>
      </c>
      <c r="E705" s="538" t="s">
        <v>390</v>
      </c>
      <c r="F705" s="538">
        <v>350814</v>
      </c>
      <c r="G705" s="538">
        <v>13</v>
      </c>
    </row>
    <row r="706" spans="1:7" x14ac:dyDescent="0.2">
      <c r="A706" s="538">
        <v>8</v>
      </c>
      <c r="B706" s="538" t="s">
        <v>6567</v>
      </c>
      <c r="C706" s="538" t="s">
        <v>393</v>
      </c>
      <c r="D706" s="538" t="s">
        <v>393</v>
      </c>
      <c r="E706" s="538" t="s">
        <v>401</v>
      </c>
      <c r="F706" s="538">
        <v>881408</v>
      </c>
      <c r="G706" s="538">
        <v>26</v>
      </c>
    </row>
    <row r="707" spans="1:7" x14ac:dyDescent="0.2">
      <c r="A707" s="538">
        <v>7</v>
      </c>
      <c r="B707" s="538" t="s">
        <v>6594</v>
      </c>
      <c r="C707" s="538" t="s">
        <v>740</v>
      </c>
      <c r="D707" s="538" t="s">
        <v>740</v>
      </c>
      <c r="E707" s="538" t="s">
        <v>230</v>
      </c>
      <c r="F707" s="538">
        <v>170982</v>
      </c>
      <c r="G707" s="538">
        <v>4</v>
      </c>
    </row>
    <row r="708" spans="1:7" x14ac:dyDescent="0.2">
      <c r="A708" s="538">
        <v>5</v>
      </c>
      <c r="B708" s="538" t="s">
        <v>6599</v>
      </c>
      <c r="C708" s="538" t="s">
        <v>393</v>
      </c>
      <c r="D708" s="538" t="s">
        <v>393</v>
      </c>
      <c r="E708" s="538" t="s">
        <v>401</v>
      </c>
      <c r="F708" s="538">
        <v>310635</v>
      </c>
      <c r="G708" s="538">
        <v>15</v>
      </c>
    </row>
    <row r="709" spans="1:7" x14ac:dyDescent="0.2">
      <c r="A709" s="538">
        <v>3</v>
      </c>
      <c r="B709" s="538" t="s">
        <v>1390</v>
      </c>
      <c r="C709" s="538" t="s">
        <v>740</v>
      </c>
      <c r="D709" s="538" t="s">
        <v>393</v>
      </c>
      <c r="E709" s="538" t="s">
        <v>438</v>
      </c>
      <c r="F709" s="538">
        <v>4008384</v>
      </c>
      <c r="G709" s="538">
        <v>43</v>
      </c>
    </row>
    <row r="710" spans="1:7" x14ac:dyDescent="0.2">
      <c r="A710" s="538">
        <v>3</v>
      </c>
      <c r="B710" s="538" t="s">
        <v>6561</v>
      </c>
      <c r="C710" s="538" t="s">
        <v>740</v>
      </c>
      <c r="D710" s="538" t="s">
        <v>393</v>
      </c>
      <c r="E710" s="538" t="s">
        <v>390</v>
      </c>
      <c r="F710" s="538">
        <v>237711</v>
      </c>
      <c r="G710" s="538">
        <v>12</v>
      </c>
    </row>
    <row r="711" spans="1:7" x14ac:dyDescent="0.2">
      <c r="A711" s="538">
        <v>3</v>
      </c>
      <c r="B711" s="538" t="s">
        <v>1390</v>
      </c>
      <c r="C711" s="538" t="s">
        <v>740</v>
      </c>
      <c r="D711" s="538" t="s">
        <v>393</v>
      </c>
      <c r="E711" s="538" t="s">
        <v>419</v>
      </c>
      <c r="F711" s="538">
        <v>11328</v>
      </c>
      <c r="G711" s="538">
        <v>1</v>
      </c>
    </row>
    <row r="712" spans="1:7" x14ac:dyDescent="0.2">
      <c r="A712" s="538">
        <v>6</v>
      </c>
      <c r="B712" s="538" t="s">
        <v>6607</v>
      </c>
      <c r="C712" s="538" t="s">
        <v>393</v>
      </c>
      <c r="D712" s="538" t="s">
        <v>393</v>
      </c>
      <c r="E712" s="538" t="s">
        <v>210</v>
      </c>
      <c r="F712" s="538">
        <v>1176644</v>
      </c>
      <c r="G712" s="538">
        <v>23</v>
      </c>
    </row>
    <row r="713" spans="1:7" x14ac:dyDescent="0.2">
      <c r="A713" s="538">
        <v>3</v>
      </c>
      <c r="B713" s="538" t="s">
        <v>6591</v>
      </c>
      <c r="C713" s="538" t="s">
        <v>740</v>
      </c>
      <c r="D713" s="538" t="s">
        <v>393</v>
      </c>
      <c r="E713" s="538" t="s">
        <v>202</v>
      </c>
      <c r="F713" s="538">
        <v>74163</v>
      </c>
      <c r="G713" s="538">
        <v>1</v>
      </c>
    </row>
    <row r="714" spans="1:7" x14ac:dyDescent="0.2">
      <c r="A714" s="538">
        <v>5</v>
      </c>
      <c r="B714" s="538" t="s">
        <v>6599</v>
      </c>
      <c r="C714" s="538" t="s">
        <v>740</v>
      </c>
      <c r="D714" s="538" t="s">
        <v>393</v>
      </c>
      <c r="E714" s="538" t="s">
        <v>402</v>
      </c>
      <c r="F714" s="538">
        <v>11328</v>
      </c>
      <c r="G714" s="538">
        <v>1</v>
      </c>
    </row>
    <row r="715" spans="1:7" x14ac:dyDescent="0.2">
      <c r="A715" s="538">
        <v>7</v>
      </c>
      <c r="B715" s="538" t="s">
        <v>6655</v>
      </c>
      <c r="C715" s="538" t="s">
        <v>393</v>
      </c>
      <c r="D715" s="538" t="s">
        <v>740</v>
      </c>
      <c r="E715" s="538" t="s">
        <v>207</v>
      </c>
      <c r="F715" s="538">
        <v>134520</v>
      </c>
      <c r="G715" s="538">
        <v>5</v>
      </c>
    </row>
    <row r="716" spans="1:7" x14ac:dyDescent="0.2">
      <c r="A716" s="538">
        <v>6</v>
      </c>
      <c r="B716" s="538" t="s">
        <v>6617</v>
      </c>
      <c r="C716" s="538" t="s">
        <v>740</v>
      </c>
      <c r="D716" s="538" t="s">
        <v>393</v>
      </c>
      <c r="E716" s="538" t="s">
        <v>416</v>
      </c>
      <c r="F716" s="538">
        <v>11328</v>
      </c>
      <c r="G716" s="538">
        <v>1</v>
      </c>
    </row>
    <row r="717" spans="1:7" x14ac:dyDescent="0.2">
      <c r="A717" s="538">
        <v>11</v>
      </c>
      <c r="B717" s="538" t="s">
        <v>6592</v>
      </c>
      <c r="C717" s="538" t="s">
        <v>740</v>
      </c>
      <c r="D717" s="538" t="s">
        <v>393</v>
      </c>
      <c r="E717" s="538" t="s">
        <v>860</v>
      </c>
      <c r="F717" s="538">
        <v>22656</v>
      </c>
      <c r="G717" s="538">
        <v>2</v>
      </c>
    </row>
    <row r="718" spans="1:7" x14ac:dyDescent="0.2">
      <c r="A718" s="538">
        <v>12</v>
      </c>
      <c r="B718" s="538" t="s">
        <v>6563</v>
      </c>
      <c r="C718" s="538" t="s">
        <v>740</v>
      </c>
      <c r="D718" s="538" t="s">
        <v>393</v>
      </c>
      <c r="E718" s="538" t="s">
        <v>313</v>
      </c>
      <c r="F718" s="538">
        <v>111569094</v>
      </c>
      <c r="G718" s="538">
        <v>1038</v>
      </c>
    </row>
    <row r="719" spans="1:7" x14ac:dyDescent="0.2">
      <c r="A719" s="538">
        <v>1</v>
      </c>
      <c r="B719" s="538" t="s">
        <v>6649</v>
      </c>
      <c r="C719" s="538" t="s">
        <v>740</v>
      </c>
      <c r="D719" s="538" t="s">
        <v>393</v>
      </c>
      <c r="E719" s="538" t="s">
        <v>401</v>
      </c>
      <c r="F719" s="538">
        <v>61596</v>
      </c>
      <c r="G719" s="538">
        <v>2</v>
      </c>
    </row>
    <row r="720" spans="1:7" x14ac:dyDescent="0.2">
      <c r="A720" s="538">
        <v>8</v>
      </c>
      <c r="B720" s="538" t="s">
        <v>6648</v>
      </c>
      <c r="C720" s="538" t="s">
        <v>740</v>
      </c>
      <c r="D720" s="538" t="s">
        <v>740</v>
      </c>
      <c r="E720" s="538" t="s">
        <v>416</v>
      </c>
      <c r="F720" s="538">
        <v>956633</v>
      </c>
      <c r="G720" s="538">
        <v>16</v>
      </c>
    </row>
    <row r="721" spans="1:7" x14ac:dyDescent="0.2">
      <c r="A721" s="538">
        <v>4</v>
      </c>
      <c r="B721" s="538" t="s">
        <v>6562</v>
      </c>
      <c r="C721" s="538" t="s">
        <v>740</v>
      </c>
      <c r="D721" s="538" t="s">
        <v>393</v>
      </c>
      <c r="E721" s="538" t="s">
        <v>209</v>
      </c>
      <c r="F721" s="538">
        <v>14777773</v>
      </c>
      <c r="G721" s="538">
        <v>76</v>
      </c>
    </row>
    <row r="722" spans="1:7" x14ac:dyDescent="0.2">
      <c r="A722" s="538">
        <v>5</v>
      </c>
      <c r="B722" s="538" t="s">
        <v>6568</v>
      </c>
      <c r="C722" s="538" t="s">
        <v>740</v>
      </c>
      <c r="D722" s="538" t="s">
        <v>393</v>
      </c>
      <c r="E722" s="538" t="s">
        <v>211</v>
      </c>
      <c r="F722" s="538">
        <v>656493</v>
      </c>
      <c r="G722" s="538">
        <v>31</v>
      </c>
    </row>
    <row r="723" spans="1:7" x14ac:dyDescent="0.2">
      <c r="A723" s="538">
        <v>3</v>
      </c>
      <c r="B723" s="538" t="s">
        <v>1390</v>
      </c>
      <c r="C723" s="538" t="s">
        <v>740</v>
      </c>
      <c r="D723" s="538" t="s">
        <v>740</v>
      </c>
      <c r="E723" s="538" t="s">
        <v>313</v>
      </c>
      <c r="F723" s="538">
        <v>74163</v>
      </c>
      <c r="G723" s="538">
        <v>1</v>
      </c>
    </row>
    <row r="724" spans="1:7" x14ac:dyDescent="0.2">
      <c r="A724" s="538">
        <v>3</v>
      </c>
      <c r="B724" s="538" t="s">
        <v>6591</v>
      </c>
      <c r="C724" s="538" t="s">
        <v>393</v>
      </c>
      <c r="D724" s="538" t="s">
        <v>393</v>
      </c>
      <c r="E724" s="538" t="s">
        <v>202</v>
      </c>
      <c r="F724" s="538">
        <v>6681407</v>
      </c>
      <c r="G724" s="538">
        <v>39</v>
      </c>
    </row>
    <row r="725" spans="1:7" x14ac:dyDescent="0.2">
      <c r="A725" s="538">
        <v>10</v>
      </c>
      <c r="B725" s="538" t="s">
        <v>6587</v>
      </c>
      <c r="C725" s="538" t="s">
        <v>740</v>
      </c>
      <c r="D725" s="538" t="s">
        <v>740</v>
      </c>
      <c r="E725" s="538" t="s">
        <v>438</v>
      </c>
      <c r="F725" s="538">
        <v>74163</v>
      </c>
      <c r="G725" s="538">
        <v>1</v>
      </c>
    </row>
    <row r="726" spans="1:7" x14ac:dyDescent="0.2">
      <c r="A726" s="538">
        <v>3</v>
      </c>
      <c r="B726" s="538" t="s">
        <v>6605</v>
      </c>
      <c r="C726" s="538" t="s">
        <v>393</v>
      </c>
      <c r="D726" s="538" t="s">
        <v>393</v>
      </c>
      <c r="E726" s="538" t="s">
        <v>416</v>
      </c>
      <c r="F726" s="538">
        <v>52113374</v>
      </c>
      <c r="G726" s="538">
        <v>888</v>
      </c>
    </row>
    <row r="727" spans="1:7" x14ac:dyDescent="0.2">
      <c r="A727" s="538">
        <v>2</v>
      </c>
      <c r="B727" s="538" t="s">
        <v>6573</v>
      </c>
      <c r="C727" s="538" t="s">
        <v>740</v>
      </c>
      <c r="D727" s="538" t="s">
        <v>740</v>
      </c>
      <c r="E727" s="538" t="s">
        <v>449</v>
      </c>
      <c r="F727" s="538">
        <v>130803</v>
      </c>
      <c r="G727" s="538">
        <v>6</v>
      </c>
    </row>
    <row r="728" spans="1:7" x14ac:dyDescent="0.2">
      <c r="A728" s="538">
        <v>11</v>
      </c>
      <c r="B728" s="538" t="s">
        <v>6610</v>
      </c>
      <c r="C728" s="538" t="s">
        <v>740</v>
      </c>
      <c r="D728" s="538" t="s">
        <v>393</v>
      </c>
      <c r="E728" s="538" t="s">
        <v>211</v>
      </c>
      <c r="F728" s="538">
        <v>26842311</v>
      </c>
      <c r="G728" s="538">
        <v>897</v>
      </c>
    </row>
    <row r="729" spans="1:7" x14ac:dyDescent="0.2">
      <c r="A729" s="538">
        <v>6</v>
      </c>
      <c r="B729" s="538" t="s">
        <v>6429</v>
      </c>
      <c r="C729" s="538" t="s">
        <v>740</v>
      </c>
      <c r="D729" s="538" t="s">
        <v>393</v>
      </c>
      <c r="E729" s="538" t="s">
        <v>416</v>
      </c>
      <c r="F729" s="538">
        <v>426378802</v>
      </c>
      <c r="G729" s="538">
        <v>9339</v>
      </c>
    </row>
    <row r="730" spans="1:7" x14ac:dyDescent="0.2">
      <c r="A730" s="538">
        <v>5</v>
      </c>
      <c r="B730" s="538" t="s">
        <v>6650</v>
      </c>
      <c r="C730" s="538" t="s">
        <v>393</v>
      </c>
      <c r="D730" s="538" t="s">
        <v>393</v>
      </c>
      <c r="E730" s="538" t="s">
        <v>212</v>
      </c>
      <c r="F730" s="538">
        <v>552240</v>
      </c>
      <c r="G730" s="538">
        <v>35</v>
      </c>
    </row>
    <row r="731" spans="1:7" x14ac:dyDescent="0.2">
      <c r="A731" s="538">
        <v>3</v>
      </c>
      <c r="B731" s="538" t="s">
        <v>6586</v>
      </c>
      <c r="C731" s="538" t="s">
        <v>740</v>
      </c>
      <c r="D731" s="538" t="s">
        <v>740</v>
      </c>
      <c r="E731" s="538" t="s">
        <v>449</v>
      </c>
      <c r="F731" s="538">
        <v>1213158</v>
      </c>
      <c r="G731" s="538">
        <v>96</v>
      </c>
    </row>
    <row r="732" spans="1:7" x14ac:dyDescent="0.2">
      <c r="A732" s="538">
        <v>10</v>
      </c>
      <c r="B732" s="538" t="s">
        <v>6597</v>
      </c>
      <c r="C732" s="538" t="s">
        <v>740</v>
      </c>
      <c r="D732" s="538" t="s">
        <v>393</v>
      </c>
      <c r="E732" s="538" t="s">
        <v>211</v>
      </c>
      <c r="F732" s="538">
        <v>6769230</v>
      </c>
      <c r="G732" s="538">
        <v>125</v>
      </c>
    </row>
    <row r="733" spans="1:7" x14ac:dyDescent="0.2">
      <c r="A733" s="538">
        <v>10</v>
      </c>
      <c r="B733" s="538" t="s">
        <v>6587</v>
      </c>
      <c r="C733" s="538" t="s">
        <v>393</v>
      </c>
      <c r="D733" s="538" t="s">
        <v>393</v>
      </c>
      <c r="E733" s="538" t="s">
        <v>209</v>
      </c>
      <c r="F733" s="538">
        <v>2356547</v>
      </c>
      <c r="G733" s="538">
        <v>9</v>
      </c>
    </row>
    <row r="734" spans="1:7" x14ac:dyDescent="0.2">
      <c r="A734" s="538">
        <v>4</v>
      </c>
      <c r="B734" s="538" t="s">
        <v>6562</v>
      </c>
      <c r="C734" s="538" t="s">
        <v>740</v>
      </c>
      <c r="D734" s="538" t="s">
        <v>393</v>
      </c>
      <c r="E734" s="538" t="s">
        <v>390</v>
      </c>
      <c r="F734" s="538">
        <v>23183481</v>
      </c>
      <c r="G734" s="538">
        <v>947</v>
      </c>
    </row>
    <row r="735" spans="1:7" x14ac:dyDescent="0.2">
      <c r="A735" s="538">
        <v>4</v>
      </c>
      <c r="B735" s="538" t="s">
        <v>6559</v>
      </c>
      <c r="C735" s="538" t="s">
        <v>393</v>
      </c>
      <c r="D735" s="538" t="s">
        <v>393</v>
      </c>
      <c r="E735" s="538" t="s">
        <v>449</v>
      </c>
      <c r="F735" s="538">
        <v>108147</v>
      </c>
      <c r="G735" s="538">
        <v>4</v>
      </c>
    </row>
    <row r="736" spans="1:7" x14ac:dyDescent="0.2">
      <c r="A736" s="538">
        <v>3</v>
      </c>
      <c r="B736" s="538" t="s">
        <v>6647</v>
      </c>
      <c r="C736" s="538" t="s">
        <v>740</v>
      </c>
      <c r="D736" s="538" t="s">
        <v>740</v>
      </c>
      <c r="E736" s="538" t="s">
        <v>211</v>
      </c>
      <c r="F736" s="538">
        <v>45312</v>
      </c>
      <c r="G736" s="538">
        <v>4</v>
      </c>
    </row>
    <row r="737" spans="1:7" x14ac:dyDescent="0.2">
      <c r="A737" s="538">
        <v>8</v>
      </c>
      <c r="B737" s="538" t="s">
        <v>6583</v>
      </c>
      <c r="C737" s="538" t="s">
        <v>740</v>
      </c>
      <c r="D737" s="538" t="s">
        <v>740</v>
      </c>
      <c r="E737" s="538" t="s">
        <v>210</v>
      </c>
      <c r="F737" s="538">
        <v>140892</v>
      </c>
      <c r="G737" s="538">
        <v>9</v>
      </c>
    </row>
    <row r="738" spans="1:7" x14ac:dyDescent="0.2">
      <c r="A738" s="538">
        <v>1</v>
      </c>
      <c r="B738" s="538" t="s">
        <v>6663</v>
      </c>
      <c r="C738" s="538" t="s">
        <v>393</v>
      </c>
      <c r="D738" s="538" t="s">
        <v>740</v>
      </c>
      <c r="E738" s="538" t="s">
        <v>401</v>
      </c>
      <c r="F738" s="538">
        <v>90624</v>
      </c>
      <c r="G738" s="538">
        <v>8</v>
      </c>
    </row>
    <row r="739" spans="1:7" x14ac:dyDescent="0.2">
      <c r="A739" s="538">
        <v>1</v>
      </c>
      <c r="B739" s="538" t="s">
        <v>6609</v>
      </c>
      <c r="C739" s="538" t="s">
        <v>393</v>
      </c>
      <c r="D739" s="538" t="s">
        <v>740</v>
      </c>
      <c r="E739" s="538" t="s">
        <v>202</v>
      </c>
      <c r="F739" s="538">
        <v>148326</v>
      </c>
      <c r="G739" s="538">
        <v>2</v>
      </c>
    </row>
    <row r="740" spans="1:7" x14ac:dyDescent="0.2">
      <c r="A740" s="538">
        <v>10</v>
      </c>
      <c r="B740" s="538" t="s">
        <v>6652</v>
      </c>
      <c r="C740" s="538" t="s">
        <v>393</v>
      </c>
      <c r="D740" s="538" t="s">
        <v>740</v>
      </c>
      <c r="E740" s="538" t="s">
        <v>212</v>
      </c>
      <c r="F740" s="538">
        <v>11328</v>
      </c>
      <c r="G740" s="538">
        <v>1</v>
      </c>
    </row>
    <row r="741" spans="1:7" x14ac:dyDescent="0.2">
      <c r="A741" s="538">
        <v>11</v>
      </c>
      <c r="B741" s="538" t="s">
        <v>6592</v>
      </c>
      <c r="C741" s="538" t="s">
        <v>740</v>
      </c>
      <c r="D741" s="538" t="s">
        <v>393</v>
      </c>
      <c r="E741" s="538" t="s">
        <v>209</v>
      </c>
      <c r="F741" s="538">
        <v>74163</v>
      </c>
      <c r="G741" s="538">
        <v>1</v>
      </c>
    </row>
    <row r="742" spans="1:7" x14ac:dyDescent="0.2">
      <c r="A742" s="538">
        <v>11</v>
      </c>
      <c r="B742" s="538" t="s">
        <v>6584</v>
      </c>
      <c r="C742" s="538" t="s">
        <v>740</v>
      </c>
      <c r="D742" s="538" t="s">
        <v>393</v>
      </c>
      <c r="E742" s="538" t="s">
        <v>212</v>
      </c>
      <c r="F742" s="538">
        <v>581268</v>
      </c>
      <c r="G742" s="538">
        <v>41</v>
      </c>
    </row>
    <row r="743" spans="1:7" x14ac:dyDescent="0.2">
      <c r="A743" s="538">
        <v>7</v>
      </c>
      <c r="B743" s="538" t="s">
        <v>6655</v>
      </c>
      <c r="C743" s="538" t="s">
        <v>393</v>
      </c>
      <c r="D743" s="538" t="s">
        <v>393</v>
      </c>
      <c r="E743" s="538" t="s">
        <v>206</v>
      </c>
      <c r="F743" s="538">
        <v>11328</v>
      </c>
      <c r="G743" s="538">
        <v>1</v>
      </c>
    </row>
    <row r="744" spans="1:7" x14ac:dyDescent="0.2">
      <c r="A744" s="538">
        <v>7</v>
      </c>
      <c r="B744" s="538" t="s">
        <v>6655</v>
      </c>
      <c r="C744" s="538" t="s">
        <v>393</v>
      </c>
      <c r="D744" s="538" t="s">
        <v>393</v>
      </c>
      <c r="E744" s="538" t="s">
        <v>438</v>
      </c>
      <c r="F744" s="538">
        <v>4550129</v>
      </c>
      <c r="G744" s="538">
        <v>43</v>
      </c>
    </row>
    <row r="745" spans="1:7" x14ac:dyDescent="0.2">
      <c r="A745" s="538">
        <v>12</v>
      </c>
      <c r="B745" s="538" t="s">
        <v>6569</v>
      </c>
      <c r="C745" s="538" t="s">
        <v>740</v>
      </c>
      <c r="D745" s="538" t="s">
        <v>740</v>
      </c>
      <c r="E745" s="538" t="s">
        <v>449</v>
      </c>
      <c r="F745" s="538">
        <v>1095224</v>
      </c>
      <c r="G745" s="538">
        <v>38</v>
      </c>
    </row>
    <row r="746" spans="1:7" x14ac:dyDescent="0.2">
      <c r="A746" s="538">
        <v>4</v>
      </c>
      <c r="B746" s="538" t="s">
        <v>6559</v>
      </c>
      <c r="C746" s="538" t="s">
        <v>740</v>
      </c>
      <c r="D746" s="538" t="s">
        <v>393</v>
      </c>
      <c r="E746" s="538" t="s">
        <v>438</v>
      </c>
      <c r="F746" s="538">
        <v>8481799</v>
      </c>
      <c r="G746" s="538">
        <v>98</v>
      </c>
    </row>
    <row r="747" spans="1:7" x14ac:dyDescent="0.2">
      <c r="A747" s="538">
        <v>4</v>
      </c>
      <c r="B747" s="538" t="s">
        <v>6559</v>
      </c>
      <c r="C747" s="538" t="s">
        <v>740</v>
      </c>
      <c r="D747" s="538" t="s">
        <v>393</v>
      </c>
      <c r="E747" s="538" t="s">
        <v>206</v>
      </c>
      <c r="F747" s="538">
        <v>11328</v>
      </c>
      <c r="G747" s="538">
        <v>1</v>
      </c>
    </row>
    <row r="748" spans="1:7" x14ac:dyDescent="0.2">
      <c r="A748" s="538">
        <v>10</v>
      </c>
      <c r="B748" s="538" t="s">
        <v>6611</v>
      </c>
      <c r="C748" s="538" t="s">
        <v>740</v>
      </c>
      <c r="D748" s="538" t="s">
        <v>393</v>
      </c>
      <c r="E748" s="538" t="s">
        <v>211</v>
      </c>
      <c r="F748" s="538">
        <v>740339</v>
      </c>
      <c r="G748" s="538">
        <v>8</v>
      </c>
    </row>
    <row r="749" spans="1:7" x14ac:dyDescent="0.2">
      <c r="A749" s="538">
        <v>3</v>
      </c>
      <c r="B749" s="538" t="s">
        <v>6586</v>
      </c>
      <c r="C749" s="538" t="s">
        <v>740</v>
      </c>
      <c r="D749" s="538" t="s">
        <v>393</v>
      </c>
      <c r="E749" s="538" t="s">
        <v>230</v>
      </c>
      <c r="F749" s="538">
        <v>153459</v>
      </c>
      <c r="G749" s="538">
        <v>8</v>
      </c>
    </row>
    <row r="750" spans="1:7" x14ac:dyDescent="0.2">
      <c r="A750" s="538">
        <v>10</v>
      </c>
      <c r="B750" s="538" t="s">
        <v>6664</v>
      </c>
      <c r="C750" s="538" t="s">
        <v>393</v>
      </c>
      <c r="D750" s="538" t="s">
        <v>393</v>
      </c>
      <c r="E750" s="538" t="s">
        <v>211</v>
      </c>
      <c r="F750" s="538">
        <v>4491240</v>
      </c>
      <c r="G750" s="538">
        <v>55</v>
      </c>
    </row>
    <row r="751" spans="1:7" x14ac:dyDescent="0.2">
      <c r="A751" s="538">
        <v>10</v>
      </c>
      <c r="B751" s="538" t="s">
        <v>6652</v>
      </c>
      <c r="C751" s="538" t="s">
        <v>740</v>
      </c>
      <c r="D751" s="538" t="s">
        <v>740</v>
      </c>
      <c r="E751" s="538" t="s">
        <v>207</v>
      </c>
      <c r="F751" s="538">
        <v>441792</v>
      </c>
      <c r="G751" s="538">
        <v>39</v>
      </c>
    </row>
    <row r="752" spans="1:7" x14ac:dyDescent="0.2">
      <c r="A752" s="538">
        <v>2</v>
      </c>
      <c r="B752" s="538" t="s">
        <v>6585</v>
      </c>
      <c r="C752" s="538" t="s">
        <v>740</v>
      </c>
      <c r="D752" s="538" t="s">
        <v>393</v>
      </c>
      <c r="E752" s="538" t="s">
        <v>207</v>
      </c>
      <c r="F752" s="538">
        <v>487104</v>
      </c>
      <c r="G752" s="538">
        <v>43</v>
      </c>
    </row>
    <row r="753" spans="1:7" x14ac:dyDescent="0.2">
      <c r="A753" s="538">
        <v>3</v>
      </c>
      <c r="B753" s="538" t="s">
        <v>1390</v>
      </c>
      <c r="C753" s="538" t="s">
        <v>740</v>
      </c>
      <c r="D753" s="538" t="s">
        <v>740</v>
      </c>
      <c r="E753" s="538" t="s">
        <v>207</v>
      </c>
      <c r="F753" s="538">
        <v>622863</v>
      </c>
      <c r="G753" s="538">
        <v>46</v>
      </c>
    </row>
    <row r="754" spans="1:7" x14ac:dyDescent="0.2">
      <c r="A754" s="538">
        <v>10</v>
      </c>
      <c r="B754" s="538" t="s">
        <v>6652</v>
      </c>
      <c r="C754" s="538" t="s">
        <v>393</v>
      </c>
      <c r="D754" s="538" t="s">
        <v>740</v>
      </c>
      <c r="E754" s="538" t="s">
        <v>416</v>
      </c>
      <c r="F754" s="538">
        <v>2810958</v>
      </c>
      <c r="G754" s="538">
        <v>56</v>
      </c>
    </row>
    <row r="755" spans="1:7" x14ac:dyDescent="0.2">
      <c r="A755" s="538">
        <v>10</v>
      </c>
      <c r="B755" s="538" t="s">
        <v>6597</v>
      </c>
      <c r="C755" s="538" t="s">
        <v>740</v>
      </c>
      <c r="D755" s="538" t="s">
        <v>393</v>
      </c>
      <c r="E755" s="538" t="s">
        <v>313</v>
      </c>
      <c r="F755" s="538">
        <v>1823881</v>
      </c>
      <c r="G755" s="538">
        <v>22</v>
      </c>
    </row>
    <row r="756" spans="1:7" x14ac:dyDescent="0.2">
      <c r="A756" s="538">
        <v>11</v>
      </c>
      <c r="B756" s="538" t="s">
        <v>6660</v>
      </c>
      <c r="C756" s="538" t="s">
        <v>393</v>
      </c>
      <c r="D756" s="538" t="s">
        <v>393</v>
      </c>
      <c r="E756" s="538" t="s">
        <v>209</v>
      </c>
      <c r="F756" s="538">
        <v>4602469</v>
      </c>
      <c r="G756" s="538">
        <v>18</v>
      </c>
    </row>
    <row r="757" spans="1:7" x14ac:dyDescent="0.2">
      <c r="A757" s="538">
        <v>3</v>
      </c>
      <c r="B757" s="538" t="s">
        <v>6586</v>
      </c>
      <c r="C757" s="538" t="s">
        <v>740</v>
      </c>
      <c r="D757" s="538" t="s">
        <v>740</v>
      </c>
      <c r="E757" s="538" t="s">
        <v>212</v>
      </c>
      <c r="F757" s="538">
        <v>339840</v>
      </c>
      <c r="G757" s="538">
        <v>30</v>
      </c>
    </row>
    <row r="758" spans="1:7" x14ac:dyDescent="0.2">
      <c r="A758" s="538">
        <v>8</v>
      </c>
      <c r="B758" s="538" t="s">
        <v>6570</v>
      </c>
      <c r="C758" s="538" t="s">
        <v>740</v>
      </c>
      <c r="D758" s="538" t="s">
        <v>740</v>
      </c>
      <c r="E758" s="538" t="s">
        <v>390</v>
      </c>
      <c r="F758" s="538">
        <v>7207815</v>
      </c>
      <c r="G758" s="538">
        <v>205</v>
      </c>
    </row>
    <row r="759" spans="1:7" x14ac:dyDescent="0.2">
      <c r="A759" s="538">
        <v>6</v>
      </c>
      <c r="B759" s="538" t="s">
        <v>6596</v>
      </c>
      <c r="C759" s="538" t="s">
        <v>740</v>
      </c>
      <c r="D759" s="538" t="s">
        <v>393</v>
      </c>
      <c r="E759" s="538" t="s">
        <v>416</v>
      </c>
      <c r="F759" s="538">
        <v>2147031</v>
      </c>
      <c r="G759" s="538">
        <v>32</v>
      </c>
    </row>
    <row r="760" spans="1:7" x14ac:dyDescent="0.2">
      <c r="A760" s="538">
        <v>4</v>
      </c>
      <c r="B760" s="538" t="s">
        <v>6559</v>
      </c>
      <c r="C760" s="538" t="s">
        <v>393</v>
      </c>
      <c r="D760" s="538" t="s">
        <v>740</v>
      </c>
      <c r="E760" s="538" t="s">
        <v>402</v>
      </c>
      <c r="F760" s="538">
        <v>3073553</v>
      </c>
      <c r="G760" s="538">
        <v>131</v>
      </c>
    </row>
    <row r="761" spans="1:7" x14ac:dyDescent="0.2">
      <c r="A761" s="538">
        <v>7</v>
      </c>
      <c r="B761" s="538" t="s">
        <v>6661</v>
      </c>
      <c r="C761" s="538" t="s">
        <v>393</v>
      </c>
      <c r="D761" s="538" t="s">
        <v>740</v>
      </c>
      <c r="E761" s="538" t="s">
        <v>230</v>
      </c>
      <c r="F761" s="538">
        <v>135759</v>
      </c>
      <c r="G761" s="538">
        <v>3</v>
      </c>
    </row>
    <row r="762" spans="1:7" x14ac:dyDescent="0.2">
      <c r="A762" s="538">
        <v>11</v>
      </c>
      <c r="B762" s="538" t="s">
        <v>6612</v>
      </c>
      <c r="C762" s="538" t="s">
        <v>393</v>
      </c>
      <c r="D762" s="538" t="s">
        <v>740</v>
      </c>
      <c r="E762" s="538" t="s">
        <v>401</v>
      </c>
      <c r="F762" s="538">
        <v>221427</v>
      </c>
      <c r="G762" s="538">
        <v>14</v>
      </c>
    </row>
    <row r="763" spans="1:7" x14ac:dyDescent="0.2">
      <c r="A763" s="538">
        <v>1</v>
      </c>
      <c r="B763" s="538" t="s">
        <v>6646</v>
      </c>
      <c r="C763" s="538" t="s">
        <v>740</v>
      </c>
      <c r="D763" s="538" t="s">
        <v>393</v>
      </c>
      <c r="E763" s="538" t="s">
        <v>230</v>
      </c>
      <c r="F763" s="538">
        <v>402321</v>
      </c>
      <c r="G763" s="538">
        <v>12</v>
      </c>
    </row>
    <row r="764" spans="1:7" x14ac:dyDescent="0.2">
      <c r="A764" s="538">
        <v>3</v>
      </c>
      <c r="B764" s="538" t="s">
        <v>6561</v>
      </c>
      <c r="C764" s="538" t="s">
        <v>740</v>
      </c>
      <c r="D764" s="538" t="s">
        <v>393</v>
      </c>
      <c r="E764" s="538" t="s">
        <v>207</v>
      </c>
      <c r="F764" s="538">
        <v>892913</v>
      </c>
      <c r="G764" s="538">
        <v>36</v>
      </c>
    </row>
    <row r="765" spans="1:7" x14ac:dyDescent="0.2">
      <c r="A765" s="538">
        <v>12</v>
      </c>
      <c r="B765" s="538" t="s">
        <v>6616</v>
      </c>
      <c r="C765" s="538" t="s">
        <v>393</v>
      </c>
      <c r="D765" s="538" t="s">
        <v>740</v>
      </c>
      <c r="E765" s="538" t="s">
        <v>416</v>
      </c>
      <c r="F765" s="538">
        <v>1529936</v>
      </c>
      <c r="G765" s="538">
        <v>32</v>
      </c>
    </row>
    <row r="766" spans="1:7" x14ac:dyDescent="0.2">
      <c r="A766" s="538">
        <v>5</v>
      </c>
      <c r="B766" s="538" t="s">
        <v>6651</v>
      </c>
      <c r="C766" s="538" t="s">
        <v>740</v>
      </c>
      <c r="D766" s="538" t="s">
        <v>393</v>
      </c>
      <c r="E766" s="538" t="s">
        <v>402</v>
      </c>
      <c r="F766" s="538">
        <v>3124196</v>
      </c>
      <c r="G766" s="538">
        <v>72</v>
      </c>
    </row>
    <row r="767" spans="1:7" x14ac:dyDescent="0.2">
      <c r="A767" s="538">
        <v>11</v>
      </c>
      <c r="B767" s="538" t="s">
        <v>6659</v>
      </c>
      <c r="C767" s="538" t="s">
        <v>393</v>
      </c>
      <c r="D767" s="538" t="s">
        <v>393</v>
      </c>
      <c r="E767" s="538" t="s">
        <v>409</v>
      </c>
      <c r="F767" s="538">
        <v>1761171</v>
      </c>
      <c r="G767" s="538">
        <v>27</v>
      </c>
    </row>
    <row r="768" spans="1:7" x14ac:dyDescent="0.2">
      <c r="A768" s="538">
        <v>8</v>
      </c>
      <c r="B768" s="538" t="s">
        <v>6583</v>
      </c>
      <c r="C768" s="538" t="s">
        <v>393</v>
      </c>
      <c r="D768" s="538" t="s">
        <v>393</v>
      </c>
      <c r="E768" s="538" t="s">
        <v>860</v>
      </c>
      <c r="F768" s="538">
        <v>5041231</v>
      </c>
      <c r="G768" s="538">
        <v>107</v>
      </c>
    </row>
    <row r="769" spans="1:7" x14ac:dyDescent="0.2">
      <c r="A769" s="538">
        <v>10</v>
      </c>
      <c r="B769" s="538" t="s">
        <v>6652</v>
      </c>
      <c r="C769" s="538" t="s">
        <v>740</v>
      </c>
      <c r="D769" s="538" t="s">
        <v>393</v>
      </c>
      <c r="E769" s="538" t="s">
        <v>210</v>
      </c>
      <c r="F769" s="538">
        <v>192399</v>
      </c>
      <c r="G769" s="538">
        <v>8</v>
      </c>
    </row>
    <row r="770" spans="1:7" x14ac:dyDescent="0.2">
      <c r="A770" s="538">
        <v>12</v>
      </c>
      <c r="B770" s="538" t="s">
        <v>6616</v>
      </c>
      <c r="C770" s="538" t="s">
        <v>393</v>
      </c>
      <c r="D770" s="538" t="s">
        <v>740</v>
      </c>
      <c r="E770" s="538" t="s">
        <v>202</v>
      </c>
      <c r="F770" s="538">
        <v>604580</v>
      </c>
      <c r="G770" s="538">
        <v>5</v>
      </c>
    </row>
    <row r="771" spans="1:7" x14ac:dyDescent="0.2">
      <c r="A771" s="538">
        <v>3</v>
      </c>
      <c r="B771" s="538" t="s">
        <v>6586</v>
      </c>
      <c r="C771" s="538" t="s">
        <v>740</v>
      </c>
      <c r="D771" s="538" t="s">
        <v>740</v>
      </c>
      <c r="E771" s="538" t="s">
        <v>209</v>
      </c>
      <c r="F771" s="538">
        <v>1175176</v>
      </c>
      <c r="G771" s="538">
        <v>7</v>
      </c>
    </row>
    <row r="772" spans="1:7" x14ac:dyDescent="0.2">
      <c r="A772" s="538">
        <v>3</v>
      </c>
      <c r="B772" s="538" t="s">
        <v>6586</v>
      </c>
      <c r="C772" s="538" t="s">
        <v>740</v>
      </c>
      <c r="D772" s="538" t="s">
        <v>393</v>
      </c>
      <c r="E772" s="538" t="s">
        <v>401</v>
      </c>
      <c r="F772" s="538">
        <v>50268</v>
      </c>
      <c r="G772" s="538">
        <v>1</v>
      </c>
    </row>
    <row r="773" spans="1:7" x14ac:dyDescent="0.2">
      <c r="A773" s="538">
        <v>7</v>
      </c>
      <c r="B773" s="538" t="s">
        <v>6579</v>
      </c>
      <c r="C773" s="538" t="s">
        <v>393</v>
      </c>
      <c r="D773" s="538" t="s">
        <v>740</v>
      </c>
      <c r="E773" s="538" t="s">
        <v>402</v>
      </c>
      <c r="F773" s="538">
        <v>13638642</v>
      </c>
      <c r="G773" s="538">
        <v>409</v>
      </c>
    </row>
    <row r="774" spans="1:7" x14ac:dyDescent="0.2">
      <c r="A774" s="538">
        <v>9</v>
      </c>
      <c r="B774" s="538" t="s">
        <v>6657</v>
      </c>
      <c r="C774" s="538" t="s">
        <v>740</v>
      </c>
      <c r="D774" s="538" t="s">
        <v>393</v>
      </c>
      <c r="E774" s="538" t="s">
        <v>230</v>
      </c>
      <c r="F774" s="538">
        <v>3792954</v>
      </c>
      <c r="G774" s="538">
        <v>88</v>
      </c>
    </row>
    <row r="775" spans="1:7" x14ac:dyDescent="0.2">
      <c r="A775" s="538">
        <v>8</v>
      </c>
      <c r="B775" s="538" t="s">
        <v>6567</v>
      </c>
      <c r="C775" s="538" t="s">
        <v>393</v>
      </c>
      <c r="D775" s="538" t="s">
        <v>393</v>
      </c>
      <c r="E775" s="538" t="s">
        <v>210</v>
      </c>
      <c r="F775" s="538">
        <v>2437186</v>
      </c>
      <c r="G775" s="538">
        <v>97</v>
      </c>
    </row>
    <row r="776" spans="1:7" x14ac:dyDescent="0.2">
      <c r="A776" s="538">
        <v>12</v>
      </c>
      <c r="B776" s="538" t="s">
        <v>6616</v>
      </c>
      <c r="C776" s="538" t="s">
        <v>393</v>
      </c>
      <c r="D776" s="538" t="s">
        <v>393</v>
      </c>
      <c r="E776" s="538" t="s">
        <v>207</v>
      </c>
      <c r="F776" s="538">
        <v>16382152</v>
      </c>
      <c r="G776" s="538">
        <v>999</v>
      </c>
    </row>
    <row r="777" spans="1:7" x14ac:dyDescent="0.2">
      <c r="A777" s="538">
        <v>7</v>
      </c>
      <c r="B777" s="538" t="s">
        <v>6604</v>
      </c>
      <c r="C777" s="538" t="s">
        <v>740</v>
      </c>
      <c r="D777" s="538" t="s">
        <v>740</v>
      </c>
      <c r="E777" s="538" t="s">
        <v>409</v>
      </c>
      <c r="F777" s="538">
        <v>22656</v>
      </c>
      <c r="G777" s="538">
        <v>2</v>
      </c>
    </row>
    <row r="778" spans="1:7" x14ac:dyDescent="0.2">
      <c r="A778" s="538">
        <v>12</v>
      </c>
      <c r="B778" s="538" t="s">
        <v>6563</v>
      </c>
      <c r="C778" s="538" t="s">
        <v>740</v>
      </c>
      <c r="D778" s="538" t="s">
        <v>393</v>
      </c>
      <c r="E778" s="538" t="s">
        <v>419</v>
      </c>
      <c r="F778" s="538">
        <v>3218641</v>
      </c>
      <c r="G778" s="538">
        <v>97</v>
      </c>
    </row>
    <row r="779" spans="1:7" x14ac:dyDescent="0.2">
      <c r="A779" s="538">
        <v>3</v>
      </c>
      <c r="B779" s="538" t="s">
        <v>6591</v>
      </c>
      <c r="C779" s="538" t="s">
        <v>740</v>
      </c>
      <c r="D779" s="538" t="s">
        <v>740</v>
      </c>
      <c r="E779" s="538" t="s">
        <v>202</v>
      </c>
      <c r="F779" s="538">
        <v>581924</v>
      </c>
      <c r="G779" s="538">
        <v>3</v>
      </c>
    </row>
    <row r="780" spans="1:7" x14ac:dyDescent="0.2">
      <c r="A780" s="538">
        <v>9</v>
      </c>
      <c r="B780" s="538" t="s">
        <v>6606</v>
      </c>
      <c r="C780" s="538" t="s">
        <v>740</v>
      </c>
      <c r="D780" s="538" t="s">
        <v>740</v>
      </c>
      <c r="E780" s="538" t="s">
        <v>207</v>
      </c>
      <c r="F780" s="538">
        <v>1572645</v>
      </c>
      <c r="G780" s="538">
        <v>105</v>
      </c>
    </row>
    <row r="781" spans="1:7" x14ac:dyDescent="0.2">
      <c r="A781" s="538">
        <v>7</v>
      </c>
      <c r="B781" s="538" t="s">
        <v>6579</v>
      </c>
      <c r="C781" s="538" t="s">
        <v>740</v>
      </c>
      <c r="D781" s="538" t="s">
        <v>393</v>
      </c>
      <c r="E781" s="538" t="s">
        <v>230</v>
      </c>
      <c r="F781" s="538">
        <v>3830249</v>
      </c>
      <c r="G781" s="538">
        <v>63</v>
      </c>
    </row>
    <row r="782" spans="1:7" x14ac:dyDescent="0.2">
      <c r="A782" s="538">
        <v>7</v>
      </c>
      <c r="B782" s="538" t="s">
        <v>6594</v>
      </c>
      <c r="C782" s="538" t="s">
        <v>740</v>
      </c>
      <c r="D782" s="538" t="s">
        <v>393</v>
      </c>
      <c r="E782" s="538" t="s">
        <v>230</v>
      </c>
      <c r="F782" s="538">
        <v>72924</v>
      </c>
      <c r="G782" s="538">
        <v>3</v>
      </c>
    </row>
    <row r="783" spans="1:7" x14ac:dyDescent="0.2">
      <c r="A783" s="538">
        <v>1</v>
      </c>
      <c r="B783" s="538" t="s">
        <v>6646</v>
      </c>
      <c r="C783" s="538" t="s">
        <v>393</v>
      </c>
      <c r="D783" s="538" t="s">
        <v>393</v>
      </c>
      <c r="E783" s="538" t="s">
        <v>212</v>
      </c>
      <c r="F783" s="538">
        <v>1350229</v>
      </c>
      <c r="G783" s="538">
        <v>28</v>
      </c>
    </row>
    <row r="784" spans="1:7" x14ac:dyDescent="0.2">
      <c r="A784" s="538">
        <v>5</v>
      </c>
      <c r="B784" s="538" t="s">
        <v>6589</v>
      </c>
      <c r="C784" s="538" t="s">
        <v>740</v>
      </c>
      <c r="D784" s="538" t="s">
        <v>393</v>
      </c>
      <c r="E784" s="538" t="s">
        <v>209</v>
      </c>
      <c r="F784" s="538">
        <v>2347749</v>
      </c>
      <c r="G784" s="538">
        <v>18</v>
      </c>
    </row>
    <row r="785" spans="1:7" x14ac:dyDescent="0.2">
      <c r="A785" s="538">
        <v>5</v>
      </c>
      <c r="B785" s="538" t="s">
        <v>6568</v>
      </c>
      <c r="C785" s="538" t="s">
        <v>740</v>
      </c>
      <c r="D785" s="538" t="s">
        <v>740</v>
      </c>
      <c r="E785" s="538" t="s">
        <v>390</v>
      </c>
      <c r="F785" s="538">
        <v>5984162</v>
      </c>
      <c r="G785" s="538">
        <v>144</v>
      </c>
    </row>
    <row r="786" spans="1:7" x14ac:dyDescent="0.2">
      <c r="A786" s="538">
        <v>3</v>
      </c>
      <c r="B786" s="538" t="s">
        <v>6605</v>
      </c>
      <c r="C786" s="538" t="s">
        <v>740</v>
      </c>
      <c r="D786" s="538" t="s">
        <v>393</v>
      </c>
      <c r="E786" s="538" t="s">
        <v>212</v>
      </c>
      <c r="F786" s="538">
        <v>1058460</v>
      </c>
      <c r="G786" s="538">
        <v>90</v>
      </c>
    </row>
    <row r="787" spans="1:7" x14ac:dyDescent="0.2">
      <c r="A787" s="538">
        <v>3</v>
      </c>
      <c r="B787" s="538" t="s">
        <v>1390</v>
      </c>
      <c r="C787" s="538" t="s">
        <v>393</v>
      </c>
      <c r="D787" s="538" t="s">
        <v>393</v>
      </c>
      <c r="E787" s="538" t="s">
        <v>409</v>
      </c>
      <c r="F787" s="538">
        <v>1247850</v>
      </c>
      <c r="G787" s="538">
        <v>70</v>
      </c>
    </row>
    <row r="788" spans="1:7" x14ac:dyDescent="0.2">
      <c r="A788" s="538">
        <v>3</v>
      </c>
      <c r="B788" s="538" t="s">
        <v>6591</v>
      </c>
      <c r="C788" s="538" t="s">
        <v>740</v>
      </c>
      <c r="D788" s="538" t="s">
        <v>740</v>
      </c>
      <c r="E788" s="538" t="s">
        <v>449</v>
      </c>
      <c r="F788" s="538">
        <v>646758</v>
      </c>
      <c r="G788" s="538">
        <v>46</v>
      </c>
    </row>
    <row r="789" spans="1:7" x14ac:dyDescent="0.2">
      <c r="A789" s="538">
        <v>9</v>
      </c>
      <c r="B789" s="538" t="s">
        <v>6657</v>
      </c>
      <c r="C789" s="538" t="s">
        <v>740</v>
      </c>
      <c r="D789" s="538" t="s">
        <v>393</v>
      </c>
      <c r="E789" s="538" t="s">
        <v>416</v>
      </c>
      <c r="F789" s="538">
        <v>16594584</v>
      </c>
      <c r="G789" s="538">
        <v>273</v>
      </c>
    </row>
    <row r="790" spans="1:7" x14ac:dyDescent="0.2">
      <c r="A790" s="538">
        <v>7</v>
      </c>
      <c r="B790" s="538" t="s">
        <v>6571</v>
      </c>
      <c r="C790" s="538" t="s">
        <v>740</v>
      </c>
      <c r="D790" s="538" t="s">
        <v>393</v>
      </c>
      <c r="E790" s="538" t="s">
        <v>438</v>
      </c>
      <c r="F790" s="538">
        <v>2321501</v>
      </c>
      <c r="G790" s="538">
        <v>17</v>
      </c>
    </row>
    <row r="791" spans="1:7" x14ac:dyDescent="0.2">
      <c r="A791" s="538">
        <v>10</v>
      </c>
      <c r="B791" s="538" t="s">
        <v>6653</v>
      </c>
      <c r="C791" s="538" t="s">
        <v>393</v>
      </c>
      <c r="D791" s="538" t="s">
        <v>740</v>
      </c>
      <c r="E791" s="538" t="s">
        <v>212</v>
      </c>
      <c r="F791" s="538">
        <v>135936</v>
      </c>
      <c r="G791" s="538">
        <v>12</v>
      </c>
    </row>
    <row r="792" spans="1:7" x14ac:dyDescent="0.2">
      <c r="A792" s="538">
        <v>4</v>
      </c>
      <c r="B792" s="538" t="s">
        <v>6562</v>
      </c>
      <c r="C792" s="538" t="s">
        <v>740</v>
      </c>
      <c r="D792" s="538" t="s">
        <v>393</v>
      </c>
      <c r="E792" s="538" t="s">
        <v>409</v>
      </c>
      <c r="F792" s="538">
        <v>11328</v>
      </c>
      <c r="G792" s="538">
        <v>1</v>
      </c>
    </row>
    <row r="793" spans="1:7" x14ac:dyDescent="0.2">
      <c r="A793" s="538">
        <v>2</v>
      </c>
      <c r="B793" s="538" t="s">
        <v>6656</v>
      </c>
      <c r="C793" s="538" t="s">
        <v>740</v>
      </c>
      <c r="D793" s="538" t="s">
        <v>740</v>
      </c>
      <c r="E793" s="538" t="s">
        <v>449</v>
      </c>
      <c r="F793" s="538">
        <v>11328</v>
      </c>
      <c r="G793" s="538">
        <v>1</v>
      </c>
    </row>
    <row r="794" spans="1:7" x14ac:dyDescent="0.2">
      <c r="A794" s="538">
        <v>8</v>
      </c>
      <c r="B794" s="538" t="s">
        <v>6658</v>
      </c>
      <c r="C794" s="538" t="s">
        <v>740</v>
      </c>
      <c r="D794" s="538" t="s">
        <v>393</v>
      </c>
      <c r="E794" s="538" t="s">
        <v>438</v>
      </c>
      <c r="F794" s="538">
        <v>111864</v>
      </c>
      <c r="G794" s="538">
        <v>3</v>
      </c>
    </row>
    <row r="795" spans="1:7" x14ac:dyDescent="0.2">
      <c r="A795" s="538">
        <v>10</v>
      </c>
      <c r="B795" s="538" t="s">
        <v>6653</v>
      </c>
      <c r="C795" s="538" t="s">
        <v>393</v>
      </c>
      <c r="D795" s="538" t="s">
        <v>393</v>
      </c>
      <c r="E795" s="538" t="s">
        <v>449</v>
      </c>
      <c r="F795" s="538">
        <v>231339</v>
      </c>
      <c r="G795" s="538">
        <v>8</v>
      </c>
    </row>
    <row r="796" spans="1:7" x14ac:dyDescent="0.2">
      <c r="A796" s="538">
        <v>1</v>
      </c>
      <c r="B796" s="538" t="s">
        <v>6609</v>
      </c>
      <c r="C796" s="538" t="s">
        <v>740</v>
      </c>
      <c r="D796" s="538" t="s">
        <v>393</v>
      </c>
      <c r="E796" s="538" t="s">
        <v>401</v>
      </c>
      <c r="F796" s="538">
        <v>785651</v>
      </c>
      <c r="G796" s="538">
        <v>12</v>
      </c>
    </row>
    <row r="797" spans="1:7" x14ac:dyDescent="0.2">
      <c r="A797" s="538">
        <v>5</v>
      </c>
      <c r="B797" s="538" t="s">
        <v>6599</v>
      </c>
      <c r="C797" s="538" t="s">
        <v>740</v>
      </c>
      <c r="D797" s="538" t="s">
        <v>393</v>
      </c>
      <c r="E797" s="538" t="s">
        <v>416</v>
      </c>
      <c r="F797" s="538">
        <v>18416997</v>
      </c>
      <c r="G797" s="538">
        <v>369</v>
      </c>
    </row>
    <row r="798" spans="1:7" x14ac:dyDescent="0.2">
      <c r="A798" s="538">
        <v>8</v>
      </c>
      <c r="B798" s="538" t="s">
        <v>6570</v>
      </c>
      <c r="C798" s="538" t="s">
        <v>740</v>
      </c>
      <c r="D798" s="538" t="s">
        <v>393</v>
      </c>
      <c r="E798" s="538" t="s">
        <v>416</v>
      </c>
      <c r="F798" s="538">
        <v>15575959</v>
      </c>
      <c r="G798" s="538">
        <v>408</v>
      </c>
    </row>
    <row r="799" spans="1:7" x14ac:dyDescent="0.2">
      <c r="A799" s="538">
        <v>2</v>
      </c>
      <c r="B799" s="538" t="s">
        <v>6585</v>
      </c>
      <c r="C799" s="538" t="s">
        <v>740</v>
      </c>
      <c r="D799" s="538" t="s">
        <v>393</v>
      </c>
      <c r="E799" s="538" t="s">
        <v>210</v>
      </c>
      <c r="F799" s="538">
        <v>213816</v>
      </c>
      <c r="G799" s="538">
        <v>12</v>
      </c>
    </row>
    <row r="800" spans="1:7" x14ac:dyDescent="0.2">
      <c r="A800" s="538">
        <v>5</v>
      </c>
      <c r="B800" s="538" t="s">
        <v>6599</v>
      </c>
      <c r="C800" s="538" t="s">
        <v>740</v>
      </c>
      <c r="D800" s="538" t="s">
        <v>393</v>
      </c>
      <c r="E800" s="538" t="s">
        <v>390</v>
      </c>
      <c r="F800" s="538">
        <v>23221078</v>
      </c>
      <c r="G800" s="538">
        <v>936</v>
      </c>
    </row>
    <row r="801" spans="1:7" x14ac:dyDescent="0.2">
      <c r="A801" s="538">
        <v>10</v>
      </c>
      <c r="B801" s="538" t="s">
        <v>6597</v>
      </c>
      <c r="C801" s="538" t="s">
        <v>740</v>
      </c>
      <c r="D801" s="538" t="s">
        <v>393</v>
      </c>
      <c r="E801" s="538" t="s">
        <v>202</v>
      </c>
      <c r="F801" s="538">
        <v>1412710</v>
      </c>
      <c r="G801" s="538">
        <v>10</v>
      </c>
    </row>
    <row r="802" spans="1:7" x14ac:dyDescent="0.2">
      <c r="A802" s="538">
        <v>10</v>
      </c>
      <c r="B802" s="538" t="s">
        <v>6597</v>
      </c>
      <c r="C802" s="538" t="s">
        <v>740</v>
      </c>
      <c r="D802" s="538" t="s">
        <v>393</v>
      </c>
      <c r="E802" s="538" t="s">
        <v>209</v>
      </c>
      <c r="F802" s="538">
        <v>1043134</v>
      </c>
      <c r="G802" s="538">
        <v>3</v>
      </c>
    </row>
    <row r="803" spans="1:7" x14ac:dyDescent="0.2">
      <c r="A803" s="538">
        <v>3</v>
      </c>
      <c r="B803" s="538" t="s">
        <v>1390</v>
      </c>
      <c r="C803" s="538" t="s">
        <v>740</v>
      </c>
      <c r="D803" s="538" t="s">
        <v>393</v>
      </c>
      <c r="E803" s="538" t="s">
        <v>211</v>
      </c>
      <c r="F803" s="538">
        <v>4208019</v>
      </c>
      <c r="G803" s="538">
        <v>113</v>
      </c>
    </row>
    <row r="804" spans="1:7" x14ac:dyDescent="0.2">
      <c r="A804" s="538">
        <v>1</v>
      </c>
      <c r="B804" s="538" t="s">
        <v>6663</v>
      </c>
      <c r="C804" s="538" t="s">
        <v>393</v>
      </c>
      <c r="D804" s="538" t="s">
        <v>393</v>
      </c>
      <c r="E804" s="538" t="s">
        <v>402</v>
      </c>
      <c r="F804" s="538">
        <v>2129560</v>
      </c>
      <c r="G804" s="538">
        <v>45</v>
      </c>
    </row>
    <row r="805" spans="1:7" x14ac:dyDescent="0.2">
      <c r="A805" s="538">
        <v>5</v>
      </c>
      <c r="B805" s="538" t="s">
        <v>6650</v>
      </c>
      <c r="C805" s="538" t="s">
        <v>740</v>
      </c>
      <c r="D805" s="538" t="s">
        <v>740</v>
      </c>
      <c r="E805" s="538" t="s">
        <v>211</v>
      </c>
      <c r="F805" s="538">
        <v>208683</v>
      </c>
      <c r="G805" s="538">
        <v>6</v>
      </c>
    </row>
    <row r="806" spans="1:7" x14ac:dyDescent="0.2">
      <c r="A806" s="538">
        <v>12</v>
      </c>
      <c r="B806" s="538" t="s">
        <v>6616</v>
      </c>
      <c r="C806" s="538" t="s">
        <v>740</v>
      </c>
      <c r="D806" s="538" t="s">
        <v>393</v>
      </c>
      <c r="E806" s="538" t="s">
        <v>230</v>
      </c>
      <c r="F806" s="538">
        <v>4550035</v>
      </c>
      <c r="G806" s="538">
        <v>135</v>
      </c>
    </row>
    <row r="807" spans="1:7" x14ac:dyDescent="0.2">
      <c r="A807" s="538">
        <v>6</v>
      </c>
      <c r="B807" s="538" t="s">
        <v>6607</v>
      </c>
      <c r="C807" s="538" t="s">
        <v>740</v>
      </c>
      <c r="D807" s="538" t="s">
        <v>393</v>
      </c>
      <c r="E807" s="538" t="s">
        <v>230</v>
      </c>
      <c r="F807" s="538">
        <v>108147</v>
      </c>
      <c r="G807" s="538">
        <v>4</v>
      </c>
    </row>
    <row r="808" spans="1:7" x14ac:dyDescent="0.2">
      <c r="A808" s="538">
        <v>2</v>
      </c>
      <c r="B808" s="538" t="s">
        <v>6576</v>
      </c>
      <c r="C808" s="538" t="s">
        <v>740</v>
      </c>
      <c r="D808" s="538" t="s">
        <v>393</v>
      </c>
      <c r="E808" s="538" t="s">
        <v>401</v>
      </c>
      <c r="F808" s="538">
        <v>22656</v>
      </c>
      <c r="G808" s="538">
        <v>2</v>
      </c>
    </row>
    <row r="809" spans="1:7" x14ac:dyDescent="0.2">
      <c r="A809" s="538">
        <v>3</v>
      </c>
      <c r="B809" s="538" t="s">
        <v>6586</v>
      </c>
      <c r="C809" s="538" t="s">
        <v>393</v>
      </c>
      <c r="D809" s="538" t="s">
        <v>393</v>
      </c>
      <c r="E809" s="538" t="s">
        <v>419</v>
      </c>
      <c r="F809" s="538">
        <v>45312</v>
      </c>
      <c r="G809" s="538">
        <v>4</v>
      </c>
    </row>
    <row r="810" spans="1:7" x14ac:dyDescent="0.2">
      <c r="A810" s="538">
        <v>4</v>
      </c>
      <c r="B810" s="538" t="s">
        <v>6562</v>
      </c>
      <c r="C810" s="538" t="s">
        <v>740</v>
      </c>
      <c r="D810" s="538" t="s">
        <v>393</v>
      </c>
      <c r="E810" s="538" t="s">
        <v>416</v>
      </c>
      <c r="F810" s="538">
        <v>74163</v>
      </c>
      <c r="G810" s="538">
        <v>1</v>
      </c>
    </row>
    <row r="811" spans="1:7" x14ac:dyDescent="0.2">
      <c r="A811" s="538">
        <v>5</v>
      </c>
      <c r="B811" s="538" t="s">
        <v>6598</v>
      </c>
      <c r="C811" s="538" t="s">
        <v>740</v>
      </c>
      <c r="D811" s="538" t="s">
        <v>740</v>
      </c>
      <c r="E811" s="538" t="s">
        <v>212</v>
      </c>
      <c r="F811" s="538">
        <v>33984</v>
      </c>
      <c r="G811" s="538">
        <v>3</v>
      </c>
    </row>
    <row r="812" spans="1:7" x14ac:dyDescent="0.2">
      <c r="A812" s="538">
        <v>11</v>
      </c>
      <c r="B812" s="538" t="s">
        <v>6612</v>
      </c>
      <c r="C812" s="538" t="s">
        <v>740</v>
      </c>
      <c r="D812" s="538" t="s">
        <v>740</v>
      </c>
      <c r="E812" s="538" t="s">
        <v>209</v>
      </c>
      <c r="F812" s="538">
        <v>570596</v>
      </c>
      <c r="G812" s="538">
        <v>2</v>
      </c>
    </row>
    <row r="813" spans="1:7" x14ac:dyDescent="0.2">
      <c r="A813" s="538">
        <v>10</v>
      </c>
      <c r="B813" s="538" t="s">
        <v>6582</v>
      </c>
      <c r="C813" s="538" t="s">
        <v>393</v>
      </c>
      <c r="D813" s="538" t="s">
        <v>393</v>
      </c>
      <c r="E813" s="538" t="s">
        <v>416</v>
      </c>
      <c r="F813" s="538">
        <v>60140044</v>
      </c>
      <c r="G813" s="538">
        <v>933</v>
      </c>
    </row>
    <row r="814" spans="1:7" x14ac:dyDescent="0.2">
      <c r="A814" s="538">
        <v>7</v>
      </c>
      <c r="B814" s="538" t="s">
        <v>6564</v>
      </c>
      <c r="C814" s="538" t="s">
        <v>740</v>
      </c>
      <c r="D814" s="538" t="s">
        <v>393</v>
      </c>
      <c r="E814" s="538" t="s">
        <v>211</v>
      </c>
      <c r="F814" s="538">
        <v>12252586</v>
      </c>
      <c r="G814" s="538">
        <v>312</v>
      </c>
    </row>
    <row r="815" spans="1:7" x14ac:dyDescent="0.2">
      <c r="A815" s="538">
        <v>5</v>
      </c>
      <c r="B815" s="538" t="s">
        <v>6598</v>
      </c>
      <c r="C815" s="538" t="s">
        <v>740</v>
      </c>
      <c r="D815" s="538" t="s">
        <v>740</v>
      </c>
      <c r="E815" s="538" t="s">
        <v>401</v>
      </c>
      <c r="F815" s="538">
        <v>260544</v>
      </c>
      <c r="G815" s="538">
        <v>23</v>
      </c>
    </row>
    <row r="816" spans="1:7" x14ac:dyDescent="0.2">
      <c r="A816" s="538">
        <v>4</v>
      </c>
      <c r="B816" s="538" t="s">
        <v>6559</v>
      </c>
      <c r="C816" s="538" t="s">
        <v>740</v>
      </c>
      <c r="D816" s="538" t="s">
        <v>740</v>
      </c>
      <c r="E816" s="538" t="s">
        <v>860</v>
      </c>
      <c r="F816" s="538">
        <v>249039</v>
      </c>
      <c r="G816" s="538">
        <v>13</v>
      </c>
    </row>
    <row r="817" spans="1:7" x14ac:dyDescent="0.2">
      <c r="A817" s="538">
        <v>7</v>
      </c>
      <c r="B817" s="538" t="s">
        <v>6580</v>
      </c>
      <c r="C817" s="538" t="s">
        <v>740</v>
      </c>
      <c r="D817" s="538" t="s">
        <v>393</v>
      </c>
      <c r="E817" s="538" t="s">
        <v>438</v>
      </c>
      <c r="F817" s="538">
        <v>11328</v>
      </c>
      <c r="G817" s="538">
        <v>1</v>
      </c>
    </row>
    <row r="818" spans="1:7" x14ac:dyDescent="0.2">
      <c r="A818" s="538">
        <v>2</v>
      </c>
      <c r="B818" s="538" t="s">
        <v>6573</v>
      </c>
      <c r="C818" s="538" t="s">
        <v>740</v>
      </c>
      <c r="D818" s="538" t="s">
        <v>393</v>
      </c>
      <c r="E818" s="538" t="s">
        <v>211</v>
      </c>
      <c r="F818" s="538">
        <v>36966108</v>
      </c>
      <c r="G818" s="538">
        <v>886</v>
      </c>
    </row>
    <row r="819" spans="1:7" x14ac:dyDescent="0.2">
      <c r="A819" s="538">
        <v>11</v>
      </c>
      <c r="B819" s="538" t="s">
        <v>6592</v>
      </c>
      <c r="C819" s="538" t="s">
        <v>740</v>
      </c>
      <c r="D819" s="538" t="s">
        <v>740</v>
      </c>
      <c r="E819" s="538" t="s">
        <v>207</v>
      </c>
      <c r="F819" s="538">
        <v>2674470</v>
      </c>
      <c r="G819" s="538">
        <v>160</v>
      </c>
    </row>
    <row r="820" spans="1:7" x14ac:dyDescent="0.2">
      <c r="A820" s="538">
        <v>12</v>
      </c>
      <c r="B820" s="538" t="s">
        <v>6563</v>
      </c>
      <c r="C820" s="538" t="s">
        <v>740</v>
      </c>
      <c r="D820" s="538" t="s">
        <v>393</v>
      </c>
      <c r="E820" s="538" t="s">
        <v>390</v>
      </c>
      <c r="F820" s="538">
        <v>796910685</v>
      </c>
      <c r="G820" s="538">
        <v>28695</v>
      </c>
    </row>
    <row r="821" spans="1:7" x14ac:dyDescent="0.2">
      <c r="A821" s="538">
        <v>1</v>
      </c>
      <c r="B821" s="538" t="s">
        <v>6649</v>
      </c>
      <c r="C821" s="538" t="s">
        <v>740</v>
      </c>
      <c r="D821" s="538" t="s">
        <v>393</v>
      </c>
      <c r="E821" s="538" t="s">
        <v>860</v>
      </c>
      <c r="F821" s="538">
        <v>11328</v>
      </c>
      <c r="G821" s="538">
        <v>1</v>
      </c>
    </row>
    <row r="822" spans="1:7" x14ac:dyDescent="0.2">
      <c r="A822" s="538">
        <v>5</v>
      </c>
      <c r="B822" s="538" t="s">
        <v>6589</v>
      </c>
      <c r="C822" s="538" t="s">
        <v>740</v>
      </c>
      <c r="D822" s="538" t="s">
        <v>393</v>
      </c>
      <c r="E822" s="538" t="s">
        <v>419</v>
      </c>
      <c r="F822" s="538">
        <v>11328</v>
      </c>
      <c r="G822" s="538">
        <v>1</v>
      </c>
    </row>
    <row r="823" spans="1:7" x14ac:dyDescent="0.2">
      <c r="A823" s="538">
        <v>9</v>
      </c>
      <c r="B823" s="538" t="s">
        <v>6615</v>
      </c>
      <c r="C823" s="538" t="s">
        <v>393</v>
      </c>
      <c r="D823" s="538" t="s">
        <v>393</v>
      </c>
      <c r="E823" s="538" t="s">
        <v>401</v>
      </c>
      <c r="F823" s="538">
        <v>423915</v>
      </c>
      <c r="G823" s="538">
        <v>25</v>
      </c>
    </row>
    <row r="824" spans="1:7" x14ac:dyDescent="0.2">
      <c r="A824" s="538">
        <v>2</v>
      </c>
      <c r="B824" s="538" t="s">
        <v>6585</v>
      </c>
      <c r="C824" s="538" t="s">
        <v>740</v>
      </c>
      <c r="D824" s="538" t="s">
        <v>393</v>
      </c>
      <c r="E824" s="538" t="s">
        <v>211</v>
      </c>
      <c r="F824" s="538">
        <v>16598686</v>
      </c>
      <c r="G824" s="538">
        <v>322</v>
      </c>
    </row>
    <row r="825" spans="1:7" x14ac:dyDescent="0.2">
      <c r="A825" s="538">
        <v>3</v>
      </c>
      <c r="B825" s="538" t="s">
        <v>6578</v>
      </c>
      <c r="C825" s="538" t="s">
        <v>740</v>
      </c>
      <c r="D825" s="538" t="s">
        <v>740</v>
      </c>
      <c r="E825" s="538" t="s">
        <v>860</v>
      </c>
      <c r="F825" s="538">
        <v>182310</v>
      </c>
      <c r="G825" s="538">
        <v>5</v>
      </c>
    </row>
    <row r="826" spans="1:7" x14ac:dyDescent="0.2">
      <c r="A826" s="538">
        <v>8</v>
      </c>
      <c r="B826" s="538" t="s">
        <v>6577</v>
      </c>
      <c r="C826" s="538" t="s">
        <v>393</v>
      </c>
      <c r="D826" s="538" t="s">
        <v>740</v>
      </c>
      <c r="E826" s="538" t="s">
        <v>230</v>
      </c>
      <c r="F826" s="538">
        <v>45312</v>
      </c>
      <c r="G826" s="538">
        <v>4</v>
      </c>
    </row>
    <row r="827" spans="1:7" x14ac:dyDescent="0.2">
      <c r="A827" s="538">
        <v>11</v>
      </c>
      <c r="B827" s="538" t="s">
        <v>6612</v>
      </c>
      <c r="C827" s="538" t="s">
        <v>740</v>
      </c>
      <c r="D827" s="538" t="s">
        <v>393</v>
      </c>
      <c r="E827" s="538" t="s">
        <v>860</v>
      </c>
      <c r="F827" s="538">
        <v>33984</v>
      </c>
      <c r="G827" s="538">
        <v>3</v>
      </c>
    </row>
    <row r="828" spans="1:7" x14ac:dyDescent="0.2">
      <c r="A828" s="538">
        <v>6</v>
      </c>
      <c r="B828" s="538" t="s">
        <v>6433</v>
      </c>
      <c r="C828" s="538" t="s">
        <v>393</v>
      </c>
      <c r="D828" s="538" t="s">
        <v>393</v>
      </c>
      <c r="E828" s="538" t="s">
        <v>211</v>
      </c>
      <c r="F828" s="538">
        <v>33177351</v>
      </c>
      <c r="G828" s="538">
        <v>402</v>
      </c>
    </row>
    <row r="829" spans="1:7" x14ac:dyDescent="0.2">
      <c r="A829" s="538">
        <v>1</v>
      </c>
      <c r="B829" s="538" t="s">
        <v>6581</v>
      </c>
      <c r="C829" s="538" t="s">
        <v>740</v>
      </c>
      <c r="D829" s="538" t="s">
        <v>393</v>
      </c>
      <c r="E829" s="538" t="s">
        <v>402</v>
      </c>
      <c r="F829" s="538">
        <v>1047257</v>
      </c>
      <c r="G829" s="538">
        <v>24</v>
      </c>
    </row>
    <row r="830" spans="1:7" x14ac:dyDescent="0.2">
      <c r="A830" s="538">
        <v>7</v>
      </c>
      <c r="B830" s="538" t="s">
        <v>6604</v>
      </c>
      <c r="C830" s="538" t="s">
        <v>740</v>
      </c>
      <c r="D830" s="538" t="s">
        <v>740</v>
      </c>
      <c r="E830" s="538" t="s">
        <v>390</v>
      </c>
      <c r="F830" s="538">
        <v>237711</v>
      </c>
      <c r="G830" s="538">
        <v>12</v>
      </c>
    </row>
    <row r="831" spans="1:7" x14ac:dyDescent="0.2">
      <c r="A831" s="538">
        <v>9</v>
      </c>
      <c r="B831" s="538" t="s">
        <v>6615</v>
      </c>
      <c r="C831" s="538" t="s">
        <v>393</v>
      </c>
      <c r="D831" s="538" t="s">
        <v>393</v>
      </c>
      <c r="E831" s="538" t="s">
        <v>212</v>
      </c>
      <c r="F831" s="538">
        <v>899514</v>
      </c>
      <c r="G831" s="538">
        <v>58</v>
      </c>
    </row>
    <row r="832" spans="1:7" x14ac:dyDescent="0.2">
      <c r="A832" s="538">
        <v>8</v>
      </c>
      <c r="B832" s="538" t="s">
        <v>6570</v>
      </c>
      <c r="C832" s="538" t="s">
        <v>740</v>
      </c>
      <c r="D832" s="538" t="s">
        <v>393</v>
      </c>
      <c r="E832" s="538" t="s">
        <v>230</v>
      </c>
      <c r="F832" s="538">
        <v>10273653</v>
      </c>
      <c r="G832" s="538">
        <v>256</v>
      </c>
    </row>
    <row r="833" spans="1:7" x14ac:dyDescent="0.2">
      <c r="A833" s="538">
        <v>5</v>
      </c>
      <c r="B833" s="538" t="s">
        <v>6599</v>
      </c>
      <c r="C833" s="538" t="s">
        <v>740</v>
      </c>
      <c r="D833" s="538" t="s">
        <v>393</v>
      </c>
      <c r="E833" s="538" t="s">
        <v>230</v>
      </c>
      <c r="F833" s="538">
        <v>12808866</v>
      </c>
      <c r="G833" s="538">
        <v>257</v>
      </c>
    </row>
    <row r="834" spans="1:7" x14ac:dyDescent="0.2">
      <c r="A834" s="538">
        <v>8</v>
      </c>
      <c r="B834" s="538" t="s">
        <v>6658</v>
      </c>
      <c r="C834" s="538" t="s">
        <v>393</v>
      </c>
      <c r="D834" s="538" t="s">
        <v>740</v>
      </c>
      <c r="E834" s="538" t="s">
        <v>210</v>
      </c>
      <c r="F834" s="538">
        <v>1665414</v>
      </c>
      <c r="G834" s="538">
        <v>13</v>
      </c>
    </row>
    <row r="835" spans="1:7" x14ac:dyDescent="0.2">
      <c r="A835" s="538">
        <v>3</v>
      </c>
      <c r="B835" s="538" t="s">
        <v>6605</v>
      </c>
      <c r="C835" s="538" t="s">
        <v>740</v>
      </c>
      <c r="D835" s="538" t="s">
        <v>393</v>
      </c>
      <c r="E835" s="538" t="s">
        <v>401</v>
      </c>
      <c r="F835" s="538">
        <v>33984</v>
      </c>
      <c r="G835" s="538">
        <v>3</v>
      </c>
    </row>
    <row r="836" spans="1:7" x14ac:dyDescent="0.2">
      <c r="A836" s="538">
        <v>2</v>
      </c>
      <c r="B836" s="538" t="s">
        <v>6656</v>
      </c>
      <c r="C836" s="538" t="s">
        <v>740</v>
      </c>
      <c r="D836" s="538" t="s">
        <v>393</v>
      </c>
      <c r="E836" s="538" t="s">
        <v>209</v>
      </c>
      <c r="F836" s="538">
        <v>3126924</v>
      </c>
      <c r="G836" s="538">
        <v>8</v>
      </c>
    </row>
    <row r="837" spans="1:7" x14ac:dyDescent="0.2">
      <c r="A837" s="538">
        <v>4</v>
      </c>
      <c r="B837" s="538" t="s">
        <v>6572</v>
      </c>
      <c r="C837" s="538" t="s">
        <v>740</v>
      </c>
      <c r="D837" s="538" t="s">
        <v>393</v>
      </c>
      <c r="E837" s="538" t="s">
        <v>202</v>
      </c>
      <c r="F837" s="538">
        <v>22656</v>
      </c>
      <c r="G837" s="538">
        <v>2</v>
      </c>
    </row>
    <row r="838" spans="1:7" x14ac:dyDescent="0.2">
      <c r="A838" s="538">
        <v>11</v>
      </c>
      <c r="B838" s="538" t="s">
        <v>6612</v>
      </c>
      <c r="C838" s="538" t="s">
        <v>393</v>
      </c>
      <c r="D838" s="538" t="s">
        <v>740</v>
      </c>
      <c r="E838" s="538" t="s">
        <v>210</v>
      </c>
      <c r="F838" s="538">
        <v>614669</v>
      </c>
      <c r="G838" s="538">
        <v>8</v>
      </c>
    </row>
    <row r="839" spans="1:7" x14ac:dyDescent="0.2">
      <c r="A839" s="538">
        <v>3</v>
      </c>
      <c r="B839" s="538" t="s">
        <v>6647</v>
      </c>
      <c r="C839" s="538" t="s">
        <v>740</v>
      </c>
      <c r="D839" s="538" t="s">
        <v>393</v>
      </c>
      <c r="E839" s="538" t="s">
        <v>230</v>
      </c>
      <c r="F839" s="538">
        <v>1195354</v>
      </c>
      <c r="G839" s="538">
        <v>13</v>
      </c>
    </row>
    <row r="840" spans="1:7" x14ac:dyDescent="0.2">
      <c r="A840" s="538">
        <v>7</v>
      </c>
      <c r="B840" s="538" t="s">
        <v>6661</v>
      </c>
      <c r="C840" s="538" t="s">
        <v>740</v>
      </c>
      <c r="D840" s="538" t="s">
        <v>393</v>
      </c>
      <c r="E840" s="538" t="s">
        <v>390</v>
      </c>
      <c r="F840" s="538">
        <v>8324029</v>
      </c>
      <c r="G840" s="538">
        <v>363</v>
      </c>
    </row>
    <row r="841" spans="1:7" x14ac:dyDescent="0.2">
      <c r="A841" s="538">
        <v>7</v>
      </c>
      <c r="B841" s="538" t="s">
        <v>6571</v>
      </c>
      <c r="C841" s="538" t="s">
        <v>740</v>
      </c>
      <c r="D841" s="538" t="s">
        <v>393</v>
      </c>
      <c r="E841" s="538" t="s">
        <v>230</v>
      </c>
      <c r="F841" s="538">
        <v>50268</v>
      </c>
      <c r="G841" s="538">
        <v>1</v>
      </c>
    </row>
    <row r="842" spans="1:7" x14ac:dyDescent="0.2">
      <c r="A842" s="538">
        <v>7</v>
      </c>
      <c r="B842" s="538" t="s">
        <v>6580</v>
      </c>
      <c r="C842" s="538" t="s">
        <v>393</v>
      </c>
      <c r="D842" s="538" t="s">
        <v>393</v>
      </c>
      <c r="E842" s="538" t="s">
        <v>860</v>
      </c>
      <c r="F842" s="538">
        <v>2604524</v>
      </c>
      <c r="G842" s="538">
        <v>33</v>
      </c>
    </row>
    <row r="843" spans="1:7" x14ac:dyDescent="0.2">
      <c r="A843" s="538">
        <v>6</v>
      </c>
      <c r="B843" s="538" t="s">
        <v>1668</v>
      </c>
      <c r="C843" s="538" t="s">
        <v>393</v>
      </c>
      <c r="D843" s="538" t="s">
        <v>740</v>
      </c>
      <c r="E843" s="538" t="s">
        <v>209</v>
      </c>
      <c r="F843" s="538">
        <v>496433</v>
      </c>
      <c r="G843" s="538">
        <v>1</v>
      </c>
    </row>
    <row r="844" spans="1:7" x14ac:dyDescent="0.2">
      <c r="A844" s="538">
        <v>8</v>
      </c>
      <c r="B844" s="538" t="s">
        <v>6567</v>
      </c>
      <c r="C844" s="538" t="s">
        <v>740</v>
      </c>
      <c r="D844" s="538" t="s">
        <v>740</v>
      </c>
      <c r="E844" s="538" t="s">
        <v>202</v>
      </c>
      <c r="F844" s="538">
        <v>2931089</v>
      </c>
      <c r="G844" s="538">
        <v>23</v>
      </c>
    </row>
    <row r="845" spans="1:7" x14ac:dyDescent="0.2">
      <c r="A845" s="538">
        <v>11</v>
      </c>
      <c r="B845" s="538" t="s">
        <v>6558</v>
      </c>
      <c r="C845" s="538" t="s">
        <v>393</v>
      </c>
      <c r="D845" s="538" t="s">
        <v>393</v>
      </c>
      <c r="E845" s="538" t="s">
        <v>207</v>
      </c>
      <c r="F845" s="538">
        <v>6261188</v>
      </c>
      <c r="G845" s="538">
        <v>156</v>
      </c>
    </row>
    <row r="846" spans="1:7" x14ac:dyDescent="0.2">
      <c r="A846" s="538">
        <v>10</v>
      </c>
      <c r="B846" s="538" t="s">
        <v>6664</v>
      </c>
      <c r="C846" s="538" t="s">
        <v>740</v>
      </c>
      <c r="D846" s="538" t="s">
        <v>393</v>
      </c>
      <c r="E846" s="538" t="s">
        <v>212</v>
      </c>
      <c r="F846" s="538">
        <v>45312</v>
      </c>
      <c r="G846" s="538">
        <v>4</v>
      </c>
    </row>
    <row r="847" spans="1:7" x14ac:dyDescent="0.2">
      <c r="A847" s="538">
        <v>7</v>
      </c>
      <c r="B847" s="538" t="s">
        <v>6579</v>
      </c>
      <c r="C847" s="538" t="s">
        <v>740</v>
      </c>
      <c r="D847" s="538" t="s">
        <v>393</v>
      </c>
      <c r="E847" s="538" t="s">
        <v>416</v>
      </c>
      <c r="F847" s="538">
        <v>271695</v>
      </c>
      <c r="G847" s="538">
        <v>15</v>
      </c>
    </row>
    <row r="848" spans="1:7" x14ac:dyDescent="0.2">
      <c r="A848" s="538">
        <v>11</v>
      </c>
      <c r="B848" s="538" t="s">
        <v>6592</v>
      </c>
      <c r="C848" s="538" t="s">
        <v>740</v>
      </c>
      <c r="D848" s="538" t="s">
        <v>393</v>
      </c>
      <c r="E848" s="538" t="s">
        <v>210</v>
      </c>
      <c r="F848" s="538">
        <v>61596</v>
      </c>
      <c r="G848" s="538">
        <v>2</v>
      </c>
    </row>
    <row r="849" spans="1:7" x14ac:dyDescent="0.2">
      <c r="A849" s="538">
        <v>10</v>
      </c>
      <c r="B849" s="538" t="s">
        <v>6597</v>
      </c>
      <c r="C849" s="538" t="s">
        <v>393</v>
      </c>
      <c r="D849" s="538" t="s">
        <v>740</v>
      </c>
      <c r="E849" s="538" t="s">
        <v>449</v>
      </c>
      <c r="F849" s="538">
        <v>67968</v>
      </c>
      <c r="G849" s="538">
        <v>6</v>
      </c>
    </row>
    <row r="850" spans="1:7" x14ac:dyDescent="0.2">
      <c r="A850" s="538">
        <v>6</v>
      </c>
      <c r="B850" s="538" t="s">
        <v>6433</v>
      </c>
      <c r="C850" s="538" t="s">
        <v>393</v>
      </c>
      <c r="D850" s="538" t="s">
        <v>393</v>
      </c>
      <c r="E850" s="538" t="s">
        <v>449</v>
      </c>
      <c r="F850" s="538">
        <v>378603</v>
      </c>
      <c r="G850" s="538">
        <v>21</v>
      </c>
    </row>
    <row r="851" spans="1:7" x14ac:dyDescent="0.2">
      <c r="A851" s="538">
        <v>3</v>
      </c>
      <c r="B851" s="538" t="s">
        <v>6603</v>
      </c>
      <c r="C851" s="538" t="s">
        <v>740</v>
      </c>
      <c r="D851" s="538" t="s">
        <v>393</v>
      </c>
      <c r="E851" s="538" t="s">
        <v>438</v>
      </c>
      <c r="F851" s="538">
        <v>3276947</v>
      </c>
      <c r="G851" s="538">
        <v>39</v>
      </c>
    </row>
    <row r="852" spans="1:7" x14ac:dyDescent="0.2">
      <c r="A852" s="538">
        <v>8</v>
      </c>
      <c r="B852" s="538" t="s">
        <v>6567</v>
      </c>
      <c r="C852" s="538" t="s">
        <v>393</v>
      </c>
      <c r="D852" s="538" t="s">
        <v>393</v>
      </c>
      <c r="E852" s="538" t="s">
        <v>230</v>
      </c>
      <c r="F852" s="538">
        <v>8649043</v>
      </c>
      <c r="G852" s="538">
        <v>171</v>
      </c>
    </row>
    <row r="853" spans="1:7" x14ac:dyDescent="0.2">
      <c r="A853" s="538">
        <v>2</v>
      </c>
      <c r="B853" s="538" t="s">
        <v>6055</v>
      </c>
      <c r="C853" s="538" t="s">
        <v>393</v>
      </c>
      <c r="D853" s="538" t="s">
        <v>740</v>
      </c>
      <c r="E853" s="538" t="s">
        <v>402</v>
      </c>
      <c r="F853" s="538">
        <v>681627</v>
      </c>
      <c r="G853" s="538">
        <v>29</v>
      </c>
    </row>
    <row r="854" spans="1:7" x14ac:dyDescent="0.2">
      <c r="A854" s="538">
        <v>1</v>
      </c>
      <c r="B854" s="538" t="s">
        <v>6646</v>
      </c>
      <c r="C854" s="538" t="s">
        <v>393</v>
      </c>
      <c r="D854" s="538" t="s">
        <v>393</v>
      </c>
      <c r="E854" s="538" t="s">
        <v>860</v>
      </c>
      <c r="F854" s="538">
        <v>227622</v>
      </c>
      <c r="G854" s="538">
        <v>9</v>
      </c>
    </row>
    <row r="855" spans="1:7" x14ac:dyDescent="0.2">
      <c r="A855" s="538">
        <v>3</v>
      </c>
      <c r="B855" s="538" t="s">
        <v>1390</v>
      </c>
      <c r="C855" s="538" t="s">
        <v>393</v>
      </c>
      <c r="D855" s="538" t="s">
        <v>740</v>
      </c>
      <c r="E855" s="538" t="s">
        <v>210</v>
      </c>
      <c r="F855" s="538">
        <v>1180309</v>
      </c>
      <c r="G855" s="538">
        <v>13</v>
      </c>
    </row>
    <row r="856" spans="1:7" x14ac:dyDescent="0.2">
      <c r="A856" s="538">
        <v>11</v>
      </c>
      <c r="B856" s="538" t="s">
        <v>6584</v>
      </c>
      <c r="C856" s="538" t="s">
        <v>740</v>
      </c>
      <c r="D856" s="538" t="s">
        <v>393</v>
      </c>
      <c r="E856" s="538" t="s">
        <v>438</v>
      </c>
      <c r="F856" s="538">
        <v>3876394</v>
      </c>
      <c r="G856" s="538">
        <v>48</v>
      </c>
    </row>
    <row r="857" spans="1:7" x14ac:dyDescent="0.2">
      <c r="A857" s="538">
        <v>10</v>
      </c>
      <c r="B857" s="538" t="s">
        <v>6653</v>
      </c>
      <c r="C857" s="538" t="s">
        <v>393</v>
      </c>
      <c r="D857" s="538" t="s">
        <v>740</v>
      </c>
      <c r="E857" s="538" t="s">
        <v>401</v>
      </c>
      <c r="F857" s="538">
        <v>33984</v>
      </c>
      <c r="G857" s="538">
        <v>3</v>
      </c>
    </row>
    <row r="858" spans="1:7" x14ac:dyDescent="0.2">
      <c r="A858" s="538">
        <v>7</v>
      </c>
      <c r="B858" s="538" t="s">
        <v>6579</v>
      </c>
      <c r="C858" s="538" t="s">
        <v>740</v>
      </c>
      <c r="D858" s="538" t="s">
        <v>393</v>
      </c>
      <c r="E858" s="538" t="s">
        <v>390</v>
      </c>
      <c r="F858" s="538">
        <v>242667</v>
      </c>
      <c r="G858" s="538">
        <v>9</v>
      </c>
    </row>
    <row r="859" spans="1:7" x14ac:dyDescent="0.2">
      <c r="A859" s="538">
        <v>3</v>
      </c>
      <c r="B859" s="538" t="s">
        <v>6603</v>
      </c>
      <c r="C859" s="538" t="s">
        <v>740</v>
      </c>
      <c r="D859" s="538" t="s">
        <v>393</v>
      </c>
      <c r="E859" s="538" t="s">
        <v>230</v>
      </c>
      <c r="F859" s="538">
        <v>1247090</v>
      </c>
      <c r="G859" s="538">
        <v>25</v>
      </c>
    </row>
    <row r="860" spans="1:7" x14ac:dyDescent="0.2">
      <c r="A860" s="538">
        <v>1</v>
      </c>
      <c r="B860" s="538" t="s">
        <v>6581</v>
      </c>
      <c r="C860" s="538" t="s">
        <v>393</v>
      </c>
      <c r="D860" s="538" t="s">
        <v>740</v>
      </c>
      <c r="E860" s="538" t="s">
        <v>860</v>
      </c>
      <c r="F860" s="538">
        <v>519089</v>
      </c>
      <c r="G860" s="538">
        <v>3</v>
      </c>
    </row>
    <row r="861" spans="1:7" x14ac:dyDescent="0.2">
      <c r="A861" s="538">
        <v>1</v>
      </c>
      <c r="B861" s="538" t="s">
        <v>6663</v>
      </c>
      <c r="C861" s="538" t="s">
        <v>393</v>
      </c>
      <c r="D861" s="538" t="s">
        <v>740</v>
      </c>
      <c r="E861" s="538" t="s">
        <v>860</v>
      </c>
      <c r="F861" s="538">
        <v>85491</v>
      </c>
      <c r="G861" s="538">
        <v>2</v>
      </c>
    </row>
    <row r="862" spans="1:7" x14ac:dyDescent="0.2">
      <c r="A862" s="538">
        <v>7</v>
      </c>
      <c r="B862" s="538" t="s">
        <v>6594</v>
      </c>
      <c r="C862" s="538" t="s">
        <v>740</v>
      </c>
      <c r="D862" s="538" t="s">
        <v>740</v>
      </c>
      <c r="E862" s="538" t="s">
        <v>401</v>
      </c>
      <c r="F862" s="538">
        <v>181248</v>
      </c>
      <c r="G862" s="538">
        <v>16</v>
      </c>
    </row>
    <row r="863" spans="1:7" x14ac:dyDescent="0.2">
      <c r="A863" s="538">
        <v>10</v>
      </c>
      <c r="B863" s="538" t="s">
        <v>6653</v>
      </c>
      <c r="C863" s="538" t="s">
        <v>393</v>
      </c>
      <c r="D863" s="538" t="s">
        <v>393</v>
      </c>
      <c r="E863" s="538" t="s">
        <v>211</v>
      </c>
      <c r="F863" s="538">
        <v>6578476</v>
      </c>
      <c r="G863" s="538">
        <v>132</v>
      </c>
    </row>
    <row r="864" spans="1:7" x14ac:dyDescent="0.2">
      <c r="A864" s="538">
        <v>2</v>
      </c>
      <c r="B864" s="538" t="s">
        <v>6654</v>
      </c>
      <c r="C864" s="538" t="s">
        <v>393</v>
      </c>
      <c r="D864" s="538" t="s">
        <v>393</v>
      </c>
      <c r="E864" s="538" t="s">
        <v>449</v>
      </c>
      <c r="F864" s="538">
        <v>130803</v>
      </c>
      <c r="G864" s="538">
        <v>6</v>
      </c>
    </row>
    <row r="865" spans="1:7" x14ac:dyDescent="0.2">
      <c r="A865" s="538">
        <v>7</v>
      </c>
      <c r="B865" s="538" t="s">
        <v>6661</v>
      </c>
      <c r="C865" s="538" t="s">
        <v>740</v>
      </c>
      <c r="D865" s="538" t="s">
        <v>393</v>
      </c>
      <c r="E865" s="538" t="s">
        <v>416</v>
      </c>
      <c r="F865" s="538">
        <v>6049246</v>
      </c>
      <c r="G865" s="538">
        <v>187</v>
      </c>
    </row>
    <row r="866" spans="1:7" x14ac:dyDescent="0.2">
      <c r="A866" s="538">
        <v>6</v>
      </c>
      <c r="B866" s="538" t="s">
        <v>6596</v>
      </c>
      <c r="C866" s="538" t="s">
        <v>740</v>
      </c>
      <c r="D866" s="538" t="s">
        <v>393</v>
      </c>
      <c r="E866" s="538" t="s">
        <v>207</v>
      </c>
      <c r="F866" s="538">
        <v>1390814</v>
      </c>
      <c r="G866" s="538">
        <v>53</v>
      </c>
    </row>
    <row r="867" spans="1:7" x14ac:dyDescent="0.2">
      <c r="A867" s="538">
        <v>3</v>
      </c>
      <c r="B867" s="538" t="s">
        <v>6647</v>
      </c>
      <c r="C867" s="538" t="s">
        <v>393</v>
      </c>
      <c r="D867" s="538" t="s">
        <v>393</v>
      </c>
      <c r="E867" s="538" t="s">
        <v>390</v>
      </c>
      <c r="F867" s="538">
        <v>2578609</v>
      </c>
      <c r="G867" s="538">
        <v>68</v>
      </c>
    </row>
    <row r="868" spans="1:7" x14ac:dyDescent="0.2">
      <c r="A868" s="538">
        <v>7</v>
      </c>
      <c r="B868" s="538" t="s">
        <v>6604</v>
      </c>
      <c r="C868" s="538" t="s">
        <v>740</v>
      </c>
      <c r="D868" s="538" t="s">
        <v>393</v>
      </c>
      <c r="E868" s="538" t="s">
        <v>211</v>
      </c>
      <c r="F868" s="538">
        <v>147087</v>
      </c>
      <c r="G868" s="538">
        <v>4</v>
      </c>
    </row>
    <row r="869" spans="1:7" x14ac:dyDescent="0.2">
      <c r="A869" s="538">
        <v>7</v>
      </c>
      <c r="B869" s="538" t="s">
        <v>6564</v>
      </c>
      <c r="C869" s="538" t="s">
        <v>393</v>
      </c>
      <c r="D869" s="538" t="s">
        <v>393</v>
      </c>
      <c r="E869" s="538" t="s">
        <v>313</v>
      </c>
      <c r="F869" s="538">
        <v>284085</v>
      </c>
      <c r="G869" s="538">
        <v>5</v>
      </c>
    </row>
    <row r="870" spans="1:7" x14ac:dyDescent="0.2">
      <c r="A870" s="538">
        <v>1</v>
      </c>
      <c r="B870" s="538" t="s">
        <v>6646</v>
      </c>
      <c r="C870" s="538" t="s">
        <v>740</v>
      </c>
      <c r="D870" s="538" t="s">
        <v>393</v>
      </c>
      <c r="E870" s="538" t="s">
        <v>313</v>
      </c>
      <c r="F870" s="538">
        <v>1078357</v>
      </c>
      <c r="G870" s="538">
        <v>4</v>
      </c>
    </row>
    <row r="871" spans="1:7" x14ac:dyDescent="0.2">
      <c r="A871" s="538">
        <v>10</v>
      </c>
      <c r="B871" s="538" t="s">
        <v>6587</v>
      </c>
      <c r="C871" s="538" t="s">
        <v>740</v>
      </c>
      <c r="D871" s="538" t="s">
        <v>393</v>
      </c>
      <c r="E871" s="538" t="s">
        <v>409</v>
      </c>
      <c r="F871" s="538">
        <v>836096</v>
      </c>
      <c r="G871" s="538">
        <v>22</v>
      </c>
    </row>
    <row r="872" spans="1:7" x14ac:dyDescent="0.2">
      <c r="A872" s="538">
        <v>6</v>
      </c>
      <c r="B872" s="538" t="s">
        <v>6575</v>
      </c>
      <c r="C872" s="538" t="s">
        <v>740</v>
      </c>
      <c r="D872" s="538" t="s">
        <v>393</v>
      </c>
      <c r="E872" s="538" t="s">
        <v>449</v>
      </c>
      <c r="F872" s="538">
        <v>11328</v>
      </c>
      <c r="G872" s="538">
        <v>1</v>
      </c>
    </row>
    <row r="873" spans="1:7" x14ac:dyDescent="0.2">
      <c r="A873" s="538">
        <v>6</v>
      </c>
      <c r="B873" s="538" t="s">
        <v>6617</v>
      </c>
      <c r="C873" s="538" t="s">
        <v>393</v>
      </c>
      <c r="D873" s="538" t="s">
        <v>393</v>
      </c>
      <c r="E873" s="538" t="s">
        <v>419</v>
      </c>
      <c r="F873" s="538">
        <v>22656</v>
      </c>
      <c r="G873" s="538">
        <v>2</v>
      </c>
    </row>
    <row r="874" spans="1:7" x14ac:dyDescent="0.2">
      <c r="A874" s="538">
        <v>1</v>
      </c>
      <c r="B874" s="538" t="s">
        <v>6595</v>
      </c>
      <c r="C874" s="538" t="s">
        <v>393</v>
      </c>
      <c r="D874" s="538" t="s">
        <v>393</v>
      </c>
      <c r="E874" s="538" t="s">
        <v>207</v>
      </c>
      <c r="F874" s="538">
        <v>15349659</v>
      </c>
      <c r="G874" s="538">
        <v>948</v>
      </c>
    </row>
    <row r="875" spans="1:7" x14ac:dyDescent="0.2">
      <c r="A875" s="538">
        <v>6</v>
      </c>
      <c r="B875" s="538" t="s">
        <v>6575</v>
      </c>
      <c r="C875" s="538" t="s">
        <v>393</v>
      </c>
      <c r="D875" s="538" t="s">
        <v>393</v>
      </c>
      <c r="E875" s="538" t="s">
        <v>416</v>
      </c>
      <c r="F875" s="538">
        <v>45315220</v>
      </c>
      <c r="G875" s="538">
        <v>810</v>
      </c>
    </row>
    <row r="876" spans="1:7" x14ac:dyDescent="0.2">
      <c r="A876" s="538">
        <v>5</v>
      </c>
      <c r="B876" s="538" t="s">
        <v>6599</v>
      </c>
      <c r="C876" s="538" t="s">
        <v>740</v>
      </c>
      <c r="D876" s="538" t="s">
        <v>393</v>
      </c>
      <c r="E876" s="538" t="s">
        <v>409</v>
      </c>
      <c r="F876" s="538">
        <v>74163</v>
      </c>
      <c r="G876" s="538">
        <v>1</v>
      </c>
    </row>
    <row r="877" spans="1:7" x14ac:dyDescent="0.2">
      <c r="A877" s="538">
        <v>7</v>
      </c>
      <c r="B877" s="538" t="s">
        <v>6594</v>
      </c>
      <c r="C877" s="538" t="s">
        <v>393</v>
      </c>
      <c r="D877" s="538" t="s">
        <v>740</v>
      </c>
      <c r="E877" s="538" t="s">
        <v>860</v>
      </c>
      <c r="F877" s="538">
        <v>22656</v>
      </c>
      <c r="G877" s="538">
        <v>2</v>
      </c>
    </row>
    <row r="878" spans="1:7" x14ac:dyDescent="0.2">
      <c r="A878" s="538">
        <v>7</v>
      </c>
      <c r="B878" s="538" t="s">
        <v>6604</v>
      </c>
      <c r="C878" s="538" t="s">
        <v>393</v>
      </c>
      <c r="D878" s="538" t="s">
        <v>740</v>
      </c>
      <c r="E878" s="538" t="s">
        <v>416</v>
      </c>
      <c r="F878" s="538">
        <v>4088898</v>
      </c>
      <c r="G878" s="538">
        <v>121</v>
      </c>
    </row>
    <row r="879" spans="1:7" x14ac:dyDescent="0.2">
      <c r="A879" s="538">
        <v>12</v>
      </c>
      <c r="B879" s="538" t="s">
        <v>6569</v>
      </c>
      <c r="C879" s="538" t="s">
        <v>393</v>
      </c>
      <c r="D879" s="538" t="s">
        <v>393</v>
      </c>
      <c r="E879" s="538" t="s">
        <v>409</v>
      </c>
      <c r="F879" s="538">
        <v>906365</v>
      </c>
      <c r="G879" s="538">
        <v>15</v>
      </c>
    </row>
    <row r="880" spans="1:7" x14ac:dyDescent="0.2">
      <c r="A880" s="538">
        <v>2</v>
      </c>
      <c r="B880" s="538" t="s">
        <v>6573</v>
      </c>
      <c r="C880" s="538" t="s">
        <v>393</v>
      </c>
      <c r="D880" s="538" t="s">
        <v>393</v>
      </c>
      <c r="E880" s="538" t="s">
        <v>419</v>
      </c>
      <c r="F880" s="538">
        <v>45312</v>
      </c>
      <c r="G880" s="538">
        <v>4</v>
      </c>
    </row>
    <row r="881" spans="1:7" x14ac:dyDescent="0.2">
      <c r="A881" s="538">
        <v>2</v>
      </c>
      <c r="B881" s="538" t="s">
        <v>6656</v>
      </c>
      <c r="C881" s="538" t="s">
        <v>393</v>
      </c>
      <c r="D881" s="538" t="s">
        <v>393</v>
      </c>
      <c r="E881" s="538" t="s">
        <v>230</v>
      </c>
      <c r="F881" s="538">
        <v>4822615</v>
      </c>
      <c r="G881" s="538">
        <v>120</v>
      </c>
    </row>
    <row r="882" spans="1:7" x14ac:dyDescent="0.2">
      <c r="A882" s="538">
        <v>10</v>
      </c>
      <c r="B882" s="538" t="s">
        <v>6582</v>
      </c>
      <c r="C882" s="538" t="s">
        <v>740</v>
      </c>
      <c r="D882" s="538" t="s">
        <v>740</v>
      </c>
      <c r="E882" s="538" t="s">
        <v>212</v>
      </c>
      <c r="F882" s="538">
        <v>11328</v>
      </c>
      <c r="G882" s="538">
        <v>1</v>
      </c>
    </row>
    <row r="883" spans="1:7" x14ac:dyDescent="0.2">
      <c r="A883" s="538">
        <v>7</v>
      </c>
      <c r="B883" s="538" t="s">
        <v>6594</v>
      </c>
      <c r="C883" s="538" t="s">
        <v>393</v>
      </c>
      <c r="D883" s="538" t="s">
        <v>393</v>
      </c>
      <c r="E883" s="538" t="s">
        <v>313</v>
      </c>
      <c r="F883" s="538">
        <v>159654</v>
      </c>
      <c r="G883" s="538">
        <v>3</v>
      </c>
    </row>
    <row r="884" spans="1:7" x14ac:dyDescent="0.2">
      <c r="A884" s="538">
        <v>12</v>
      </c>
      <c r="B884" s="538" t="s">
        <v>6563</v>
      </c>
      <c r="C884" s="538" t="s">
        <v>740</v>
      </c>
      <c r="D884" s="538" t="s">
        <v>393</v>
      </c>
      <c r="E884" s="538" t="s">
        <v>202</v>
      </c>
      <c r="F884" s="538">
        <v>204966</v>
      </c>
      <c r="G884" s="538">
        <v>7</v>
      </c>
    </row>
    <row r="885" spans="1:7" x14ac:dyDescent="0.2">
      <c r="A885" s="538">
        <v>2</v>
      </c>
      <c r="B885" s="538" t="s">
        <v>6654</v>
      </c>
      <c r="C885" s="538" t="s">
        <v>393</v>
      </c>
      <c r="D885" s="538" t="s">
        <v>393</v>
      </c>
      <c r="E885" s="538" t="s">
        <v>211</v>
      </c>
      <c r="F885" s="538">
        <v>29318043</v>
      </c>
      <c r="G885" s="538">
        <v>236</v>
      </c>
    </row>
    <row r="886" spans="1:7" x14ac:dyDescent="0.2">
      <c r="A886" s="538">
        <v>4</v>
      </c>
      <c r="B886" s="538" t="s">
        <v>6559</v>
      </c>
      <c r="C886" s="538" t="s">
        <v>740</v>
      </c>
      <c r="D886" s="538" t="s">
        <v>740</v>
      </c>
      <c r="E886" s="538" t="s">
        <v>390</v>
      </c>
      <c r="F886" s="538">
        <v>387276</v>
      </c>
      <c r="G886" s="538">
        <v>17</v>
      </c>
    </row>
    <row r="887" spans="1:7" x14ac:dyDescent="0.2">
      <c r="A887" s="538">
        <v>11</v>
      </c>
      <c r="B887" s="538" t="s">
        <v>6584</v>
      </c>
      <c r="C887" s="538" t="s">
        <v>393</v>
      </c>
      <c r="D887" s="538" t="s">
        <v>740</v>
      </c>
      <c r="E887" s="538" t="s">
        <v>449</v>
      </c>
      <c r="F887" s="538">
        <v>79296</v>
      </c>
      <c r="G887" s="538">
        <v>7</v>
      </c>
    </row>
    <row r="888" spans="1:7" x14ac:dyDescent="0.2">
      <c r="A888" s="538">
        <v>8</v>
      </c>
      <c r="B888" s="538" t="s">
        <v>6567</v>
      </c>
      <c r="C888" s="538" t="s">
        <v>393</v>
      </c>
      <c r="D888" s="538" t="s">
        <v>740</v>
      </c>
      <c r="E888" s="538" t="s">
        <v>438</v>
      </c>
      <c r="F888" s="538">
        <v>108147</v>
      </c>
      <c r="G888" s="538">
        <v>4</v>
      </c>
    </row>
    <row r="889" spans="1:7" x14ac:dyDescent="0.2">
      <c r="A889" s="538">
        <v>1</v>
      </c>
      <c r="B889" s="538" t="s">
        <v>1288</v>
      </c>
      <c r="C889" s="538" t="s">
        <v>393</v>
      </c>
      <c r="D889" s="538" t="s">
        <v>393</v>
      </c>
      <c r="E889" s="538" t="s">
        <v>860</v>
      </c>
      <c r="F889" s="538">
        <v>436305</v>
      </c>
      <c r="G889" s="538">
        <v>15</v>
      </c>
    </row>
    <row r="890" spans="1:7" x14ac:dyDescent="0.2">
      <c r="A890" s="538">
        <v>10</v>
      </c>
      <c r="B890" s="538" t="s">
        <v>6582</v>
      </c>
      <c r="C890" s="538" t="s">
        <v>740</v>
      </c>
      <c r="D890" s="538" t="s">
        <v>393</v>
      </c>
      <c r="E890" s="538" t="s">
        <v>409</v>
      </c>
      <c r="F890" s="538">
        <v>625997</v>
      </c>
      <c r="G890" s="538">
        <v>9</v>
      </c>
    </row>
    <row r="891" spans="1:7" x14ac:dyDescent="0.2">
      <c r="A891" s="538">
        <v>4</v>
      </c>
      <c r="B891" s="538" t="s">
        <v>6572</v>
      </c>
      <c r="C891" s="538" t="s">
        <v>393</v>
      </c>
      <c r="D891" s="538" t="s">
        <v>393</v>
      </c>
      <c r="E891" s="538" t="s">
        <v>390</v>
      </c>
      <c r="F891" s="538">
        <v>19885961</v>
      </c>
      <c r="G891" s="538">
        <v>557</v>
      </c>
    </row>
    <row r="892" spans="1:7" x14ac:dyDescent="0.2">
      <c r="A892" s="538">
        <v>1</v>
      </c>
      <c r="B892" s="538" t="s">
        <v>6602</v>
      </c>
      <c r="C892" s="538" t="s">
        <v>393</v>
      </c>
      <c r="D892" s="538" t="s">
        <v>740</v>
      </c>
      <c r="E892" s="538" t="s">
        <v>207</v>
      </c>
      <c r="F892" s="538">
        <v>1974081</v>
      </c>
      <c r="G892" s="538">
        <v>137</v>
      </c>
    </row>
    <row r="893" spans="1:7" x14ac:dyDescent="0.2">
      <c r="A893" s="538">
        <v>8</v>
      </c>
      <c r="B893" s="538" t="s">
        <v>6583</v>
      </c>
      <c r="C893" s="538" t="s">
        <v>740</v>
      </c>
      <c r="D893" s="538" t="s">
        <v>393</v>
      </c>
      <c r="E893" s="538" t="s">
        <v>438</v>
      </c>
      <c r="F893" s="538">
        <v>34459102</v>
      </c>
      <c r="G893" s="538">
        <v>359</v>
      </c>
    </row>
    <row r="894" spans="1:7" x14ac:dyDescent="0.2">
      <c r="A894" s="538">
        <v>4</v>
      </c>
      <c r="B894" s="538" t="s">
        <v>6572</v>
      </c>
      <c r="C894" s="538" t="s">
        <v>740</v>
      </c>
      <c r="D894" s="538" t="s">
        <v>393</v>
      </c>
      <c r="E894" s="538" t="s">
        <v>416</v>
      </c>
      <c r="F894" s="538">
        <v>1454534</v>
      </c>
      <c r="G894" s="538">
        <v>33</v>
      </c>
    </row>
    <row r="895" spans="1:7" x14ac:dyDescent="0.2">
      <c r="A895" s="538">
        <v>2</v>
      </c>
      <c r="B895" s="538" t="s">
        <v>6662</v>
      </c>
      <c r="C895" s="538" t="s">
        <v>393</v>
      </c>
      <c r="D895" s="538" t="s">
        <v>393</v>
      </c>
      <c r="E895" s="538" t="s">
        <v>209</v>
      </c>
      <c r="F895" s="538">
        <v>1921710</v>
      </c>
      <c r="G895" s="538">
        <v>10</v>
      </c>
    </row>
    <row r="896" spans="1:7" x14ac:dyDescent="0.2">
      <c r="A896" s="538">
        <v>12</v>
      </c>
      <c r="B896" s="538" t="s">
        <v>6616</v>
      </c>
      <c r="C896" s="538" t="s">
        <v>740</v>
      </c>
      <c r="D896" s="538" t="s">
        <v>393</v>
      </c>
      <c r="E896" s="538" t="s">
        <v>211</v>
      </c>
      <c r="F896" s="538">
        <v>6681896</v>
      </c>
      <c r="G896" s="538">
        <v>167</v>
      </c>
    </row>
    <row r="897" spans="1:7" x14ac:dyDescent="0.2">
      <c r="A897" s="538">
        <v>11</v>
      </c>
      <c r="B897" s="538" t="s">
        <v>6610</v>
      </c>
      <c r="C897" s="538" t="s">
        <v>740</v>
      </c>
      <c r="D897" s="538" t="s">
        <v>740</v>
      </c>
      <c r="E897" s="538" t="s">
        <v>409</v>
      </c>
      <c r="F897" s="538">
        <v>577374</v>
      </c>
      <c r="G897" s="538">
        <v>33</v>
      </c>
    </row>
    <row r="898" spans="1:7" x14ac:dyDescent="0.2">
      <c r="A898" s="538">
        <v>4</v>
      </c>
      <c r="B898" s="538" t="s">
        <v>6574</v>
      </c>
      <c r="C898" s="538" t="s">
        <v>740</v>
      </c>
      <c r="D898" s="538" t="s">
        <v>393</v>
      </c>
      <c r="E898" s="538" t="s">
        <v>402</v>
      </c>
      <c r="F898" s="538">
        <v>2074919</v>
      </c>
      <c r="G898" s="538">
        <v>83</v>
      </c>
    </row>
    <row r="899" spans="1:7" x14ac:dyDescent="0.2">
      <c r="A899" s="538">
        <v>11</v>
      </c>
      <c r="B899" s="538" t="s">
        <v>6660</v>
      </c>
      <c r="C899" s="538" t="s">
        <v>393</v>
      </c>
      <c r="D899" s="538" t="s">
        <v>393</v>
      </c>
      <c r="E899" s="538" t="s">
        <v>449</v>
      </c>
      <c r="F899" s="538">
        <v>152220</v>
      </c>
      <c r="G899" s="538">
        <v>10</v>
      </c>
    </row>
    <row r="900" spans="1:7" x14ac:dyDescent="0.2">
      <c r="A900" s="538">
        <v>4</v>
      </c>
      <c r="B900" s="538" t="s">
        <v>6562</v>
      </c>
      <c r="C900" s="538" t="s">
        <v>393</v>
      </c>
      <c r="D900" s="538" t="s">
        <v>740</v>
      </c>
      <c r="E900" s="538" t="s">
        <v>860</v>
      </c>
      <c r="F900" s="538">
        <v>148326</v>
      </c>
      <c r="G900" s="538">
        <v>2</v>
      </c>
    </row>
    <row r="901" spans="1:7" x14ac:dyDescent="0.2">
      <c r="A901" s="538">
        <v>7</v>
      </c>
      <c r="B901" s="538" t="s">
        <v>6579</v>
      </c>
      <c r="C901" s="538" t="s">
        <v>740</v>
      </c>
      <c r="D901" s="538" t="s">
        <v>740</v>
      </c>
      <c r="E901" s="538" t="s">
        <v>401</v>
      </c>
      <c r="F901" s="538">
        <v>289395</v>
      </c>
      <c r="G901" s="538">
        <v>20</v>
      </c>
    </row>
    <row r="902" spans="1:7" x14ac:dyDescent="0.2">
      <c r="A902" s="538">
        <v>9</v>
      </c>
      <c r="B902" s="538" t="s">
        <v>6657</v>
      </c>
      <c r="C902" s="538" t="s">
        <v>740</v>
      </c>
      <c r="D902" s="538" t="s">
        <v>393</v>
      </c>
      <c r="E902" s="538" t="s">
        <v>207</v>
      </c>
      <c r="F902" s="538">
        <v>2271795</v>
      </c>
      <c r="G902" s="538">
        <v>195</v>
      </c>
    </row>
    <row r="903" spans="1:7" x14ac:dyDescent="0.2">
      <c r="A903" s="538">
        <v>10</v>
      </c>
      <c r="B903" s="538" t="s">
        <v>6653</v>
      </c>
      <c r="C903" s="538" t="s">
        <v>740</v>
      </c>
      <c r="D903" s="538" t="s">
        <v>393</v>
      </c>
      <c r="E903" s="538" t="s">
        <v>390</v>
      </c>
      <c r="F903" s="538">
        <v>11328</v>
      </c>
      <c r="G903" s="538">
        <v>1</v>
      </c>
    </row>
    <row r="904" spans="1:7" x14ac:dyDescent="0.2">
      <c r="A904" s="538">
        <v>4</v>
      </c>
      <c r="B904" s="538" t="s">
        <v>6574</v>
      </c>
      <c r="C904" s="538" t="s">
        <v>393</v>
      </c>
      <c r="D904" s="538" t="s">
        <v>393</v>
      </c>
      <c r="E904" s="538" t="s">
        <v>402</v>
      </c>
      <c r="F904" s="538">
        <v>9596930</v>
      </c>
      <c r="G904" s="538">
        <v>275</v>
      </c>
    </row>
    <row r="905" spans="1:7" x14ac:dyDescent="0.2">
      <c r="A905" s="538">
        <v>3</v>
      </c>
      <c r="B905" s="538" t="s">
        <v>6647</v>
      </c>
      <c r="C905" s="538" t="s">
        <v>740</v>
      </c>
      <c r="D905" s="538" t="s">
        <v>393</v>
      </c>
      <c r="E905" s="538" t="s">
        <v>409</v>
      </c>
      <c r="F905" s="538">
        <v>61596</v>
      </c>
      <c r="G905" s="538">
        <v>2</v>
      </c>
    </row>
    <row r="906" spans="1:7" x14ac:dyDescent="0.2">
      <c r="A906" s="538">
        <v>9</v>
      </c>
      <c r="B906" s="538" t="s">
        <v>6645</v>
      </c>
      <c r="C906" s="538" t="s">
        <v>740</v>
      </c>
      <c r="D906" s="538" t="s">
        <v>393</v>
      </c>
      <c r="E906" s="538" t="s">
        <v>211</v>
      </c>
      <c r="F906" s="538">
        <v>1611887</v>
      </c>
      <c r="G906" s="538">
        <v>49</v>
      </c>
    </row>
    <row r="907" spans="1:7" x14ac:dyDescent="0.2">
      <c r="A907" s="538">
        <v>7</v>
      </c>
      <c r="B907" s="538" t="s">
        <v>6588</v>
      </c>
      <c r="C907" s="538" t="s">
        <v>740</v>
      </c>
      <c r="D907" s="538" t="s">
        <v>393</v>
      </c>
      <c r="E907" s="538" t="s">
        <v>401</v>
      </c>
      <c r="F907" s="538">
        <v>56640</v>
      </c>
      <c r="G907" s="538">
        <v>5</v>
      </c>
    </row>
    <row r="908" spans="1:7" x14ac:dyDescent="0.2">
      <c r="A908" s="538">
        <v>11</v>
      </c>
      <c r="B908" s="538" t="s">
        <v>6612</v>
      </c>
      <c r="C908" s="538" t="s">
        <v>740</v>
      </c>
      <c r="D908" s="538" t="s">
        <v>393</v>
      </c>
      <c r="E908" s="538" t="s">
        <v>207</v>
      </c>
      <c r="F908" s="538">
        <v>1420425</v>
      </c>
      <c r="G908" s="538">
        <v>95</v>
      </c>
    </row>
    <row r="909" spans="1:7" x14ac:dyDescent="0.2">
      <c r="A909" s="538">
        <v>11</v>
      </c>
      <c r="B909" s="538" t="s">
        <v>6584</v>
      </c>
      <c r="C909" s="538" t="s">
        <v>740</v>
      </c>
      <c r="D909" s="538" t="s">
        <v>740</v>
      </c>
      <c r="E909" s="538" t="s">
        <v>416</v>
      </c>
      <c r="F909" s="538">
        <v>4509117</v>
      </c>
      <c r="G909" s="538">
        <v>74</v>
      </c>
    </row>
    <row r="910" spans="1:7" x14ac:dyDescent="0.2">
      <c r="A910" s="538">
        <v>3</v>
      </c>
      <c r="B910" s="538" t="s">
        <v>6591</v>
      </c>
      <c r="C910" s="538" t="s">
        <v>740</v>
      </c>
      <c r="D910" s="538" t="s">
        <v>393</v>
      </c>
      <c r="E910" s="538" t="s">
        <v>230</v>
      </c>
      <c r="F910" s="538">
        <v>22656</v>
      </c>
      <c r="G910" s="538">
        <v>2</v>
      </c>
    </row>
    <row r="911" spans="1:7" x14ac:dyDescent="0.2">
      <c r="A911" s="538">
        <v>3</v>
      </c>
      <c r="B911" s="538" t="s">
        <v>6586</v>
      </c>
      <c r="C911" s="538" t="s">
        <v>740</v>
      </c>
      <c r="D911" s="538" t="s">
        <v>393</v>
      </c>
      <c r="E911" s="538" t="s">
        <v>438</v>
      </c>
      <c r="F911" s="538">
        <v>7401974</v>
      </c>
      <c r="G911" s="538">
        <v>73</v>
      </c>
    </row>
    <row r="912" spans="1:7" x14ac:dyDescent="0.2">
      <c r="A912" s="538">
        <v>3</v>
      </c>
      <c r="B912" s="538" t="s">
        <v>6586</v>
      </c>
      <c r="C912" s="538" t="s">
        <v>740</v>
      </c>
      <c r="D912" s="538" t="s">
        <v>393</v>
      </c>
      <c r="E912" s="538" t="s">
        <v>206</v>
      </c>
      <c r="F912" s="538">
        <v>85491</v>
      </c>
      <c r="G912" s="538">
        <v>2</v>
      </c>
    </row>
    <row r="913" spans="1:7" x14ac:dyDescent="0.2">
      <c r="A913" s="538">
        <v>7</v>
      </c>
      <c r="B913" s="538" t="s">
        <v>6579</v>
      </c>
      <c r="C913" s="538" t="s">
        <v>393</v>
      </c>
      <c r="D913" s="538" t="s">
        <v>740</v>
      </c>
      <c r="E913" s="538" t="s">
        <v>409</v>
      </c>
      <c r="F913" s="538">
        <v>844467</v>
      </c>
      <c r="G913" s="538">
        <v>69</v>
      </c>
    </row>
    <row r="914" spans="1:7" x14ac:dyDescent="0.2">
      <c r="A914" s="538">
        <v>6</v>
      </c>
      <c r="B914" s="538" t="s">
        <v>6575</v>
      </c>
      <c r="C914" s="538" t="s">
        <v>740</v>
      </c>
      <c r="D914" s="538" t="s">
        <v>393</v>
      </c>
      <c r="E914" s="538" t="s">
        <v>209</v>
      </c>
      <c r="F914" s="538">
        <v>967784</v>
      </c>
      <c r="G914" s="538">
        <v>8</v>
      </c>
    </row>
    <row r="915" spans="1:7" x14ac:dyDescent="0.2">
      <c r="A915" s="538">
        <v>2</v>
      </c>
      <c r="B915" s="538" t="s">
        <v>6573</v>
      </c>
      <c r="C915" s="538" t="s">
        <v>740</v>
      </c>
      <c r="D915" s="538" t="s">
        <v>393</v>
      </c>
      <c r="E915" s="538" t="s">
        <v>230</v>
      </c>
      <c r="F915" s="538">
        <v>169743</v>
      </c>
      <c r="G915" s="538">
        <v>6</v>
      </c>
    </row>
    <row r="916" spans="1:7" x14ac:dyDescent="0.2">
      <c r="A916" s="538">
        <v>3</v>
      </c>
      <c r="B916" s="538" t="s">
        <v>6591</v>
      </c>
      <c r="C916" s="538" t="s">
        <v>393</v>
      </c>
      <c r="D916" s="538" t="s">
        <v>740</v>
      </c>
      <c r="E916" s="538" t="s">
        <v>409</v>
      </c>
      <c r="F916" s="538">
        <v>768888</v>
      </c>
      <c r="G916" s="538">
        <v>61</v>
      </c>
    </row>
    <row r="917" spans="1:7" x14ac:dyDescent="0.2">
      <c r="A917" s="538">
        <v>7</v>
      </c>
      <c r="B917" s="538" t="s">
        <v>6580</v>
      </c>
      <c r="C917" s="538" t="s">
        <v>740</v>
      </c>
      <c r="D917" s="538" t="s">
        <v>393</v>
      </c>
      <c r="E917" s="538" t="s">
        <v>207</v>
      </c>
      <c r="F917" s="538">
        <v>537372</v>
      </c>
      <c r="G917" s="538">
        <v>44</v>
      </c>
    </row>
    <row r="918" spans="1:7" x14ac:dyDescent="0.2">
      <c r="A918" s="538">
        <v>7</v>
      </c>
      <c r="B918" s="538" t="s">
        <v>6604</v>
      </c>
      <c r="C918" s="538" t="s">
        <v>740</v>
      </c>
      <c r="D918" s="538" t="s">
        <v>393</v>
      </c>
      <c r="E918" s="538" t="s">
        <v>207</v>
      </c>
      <c r="F918" s="538">
        <v>1127667</v>
      </c>
      <c r="G918" s="538">
        <v>94</v>
      </c>
    </row>
    <row r="919" spans="1:7" x14ac:dyDescent="0.2">
      <c r="A919" s="538">
        <v>10</v>
      </c>
      <c r="B919" s="538" t="s">
        <v>6600</v>
      </c>
      <c r="C919" s="538" t="s">
        <v>740</v>
      </c>
      <c r="D919" s="538" t="s">
        <v>393</v>
      </c>
      <c r="E919" s="538" t="s">
        <v>210</v>
      </c>
      <c r="F919" s="538">
        <v>1480855</v>
      </c>
      <c r="G919" s="538">
        <v>25</v>
      </c>
    </row>
    <row r="920" spans="1:7" x14ac:dyDescent="0.2">
      <c r="A920" s="538">
        <v>3</v>
      </c>
      <c r="B920" s="538" t="s">
        <v>6591</v>
      </c>
      <c r="C920" s="538" t="s">
        <v>740</v>
      </c>
      <c r="D920" s="538" t="s">
        <v>393</v>
      </c>
      <c r="E920" s="538" t="s">
        <v>860</v>
      </c>
      <c r="F920" s="538">
        <v>661220</v>
      </c>
      <c r="G920" s="538">
        <v>10</v>
      </c>
    </row>
    <row r="921" spans="1:7" x14ac:dyDescent="0.2">
      <c r="A921" s="538">
        <v>8</v>
      </c>
      <c r="B921" s="538" t="s">
        <v>6648</v>
      </c>
      <c r="C921" s="538" t="s">
        <v>393</v>
      </c>
      <c r="D921" s="538" t="s">
        <v>393</v>
      </c>
      <c r="E921" s="538" t="s">
        <v>449</v>
      </c>
      <c r="F921" s="538">
        <v>181248</v>
      </c>
      <c r="G921" s="538">
        <v>16</v>
      </c>
    </row>
    <row r="922" spans="1:7" x14ac:dyDescent="0.2">
      <c r="A922" s="538">
        <v>7</v>
      </c>
      <c r="B922" s="538" t="s">
        <v>6564</v>
      </c>
      <c r="C922" s="538" t="s">
        <v>740</v>
      </c>
      <c r="D922" s="538" t="s">
        <v>393</v>
      </c>
      <c r="E922" s="538" t="s">
        <v>313</v>
      </c>
      <c r="F922" s="538">
        <v>4866657</v>
      </c>
      <c r="G922" s="538">
        <v>39</v>
      </c>
    </row>
    <row r="923" spans="1:7" x14ac:dyDescent="0.2">
      <c r="A923" s="538">
        <v>6</v>
      </c>
      <c r="B923" s="538" t="s">
        <v>6429</v>
      </c>
      <c r="C923" s="538" t="s">
        <v>740</v>
      </c>
      <c r="D923" s="538" t="s">
        <v>393</v>
      </c>
      <c r="E923" s="538" t="s">
        <v>212</v>
      </c>
      <c r="F923" s="538">
        <v>56013733</v>
      </c>
      <c r="G923" s="538">
        <v>3711</v>
      </c>
    </row>
    <row r="924" spans="1:7" x14ac:dyDescent="0.2">
      <c r="A924" s="538">
        <v>8</v>
      </c>
      <c r="B924" s="538" t="s">
        <v>6648</v>
      </c>
      <c r="C924" s="538" t="s">
        <v>740</v>
      </c>
      <c r="D924" s="538" t="s">
        <v>393</v>
      </c>
      <c r="E924" s="538" t="s">
        <v>401</v>
      </c>
      <c r="F924" s="538">
        <v>22656</v>
      </c>
      <c r="G924" s="538">
        <v>2</v>
      </c>
    </row>
    <row r="925" spans="1:7" x14ac:dyDescent="0.2">
      <c r="A925" s="538">
        <v>11</v>
      </c>
      <c r="B925" s="538" t="s">
        <v>6610</v>
      </c>
      <c r="C925" s="538" t="s">
        <v>393</v>
      </c>
      <c r="D925" s="538" t="s">
        <v>740</v>
      </c>
      <c r="E925" s="538" t="s">
        <v>416</v>
      </c>
      <c r="F925" s="538">
        <v>9235090</v>
      </c>
      <c r="G925" s="538">
        <v>185</v>
      </c>
    </row>
    <row r="926" spans="1:7" x14ac:dyDescent="0.2">
      <c r="A926" s="538">
        <v>2</v>
      </c>
      <c r="B926" s="538" t="s">
        <v>6662</v>
      </c>
      <c r="C926" s="538" t="s">
        <v>740</v>
      </c>
      <c r="D926" s="538" t="s">
        <v>393</v>
      </c>
      <c r="E926" s="538" t="s">
        <v>449</v>
      </c>
      <c r="F926" s="538">
        <v>11328</v>
      </c>
      <c r="G926" s="538">
        <v>1</v>
      </c>
    </row>
    <row r="927" spans="1:7" x14ac:dyDescent="0.2">
      <c r="A927" s="538">
        <v>5</v>
      </c>
      <c r="B927" s="538" t="s">
        <v>6599</v>
      </c>
      <c r="C927" s="538" t="s">
        <v>393</v>
      </c>
      <c r="D927" s="538" t="s">
        <v>393</v>
      </c>
      <c r="E927" s="538" t="s">
        <v>860</v>
      </c>
      <c r="F927" s="538">
        <v>2621037</v>
      </c>
      <c r="G927" s="538">
        <v>49</v>
      </c>
    </row>
    <row r="928" spans="1:7" x14ac:dyDescent="0.2">
      <c r="A928" s="538">
        <v>4</v>
      </c>
      <c r="B928" s="538" t="s">
        <v>6572</v>
      </c>
      <c r="C928" s="538" t="s">
        <v>393</v>
      </c>
      <c r="D928" s="538" t="s">
        <v>740</v>
      </c>
      <c r="E928" s="538" t="s">
        <v>402</v>
      </c>
      <c r="F928" s="538">
        <v>8981834</v>
      </c>
      <c r="G928" s="538">
        <v>388</v>
      </c>
    </row>
    <row r="929" spans="1:7" x14ac:dyDescent="0.2">
      <c r="A929" s="538">
        <v>9</v>
      </c>
      <c r="B929" s="538" t="s">
        <v>6657</v>
      </c>
      <c r="C929" s="538" t="s">
        <v>393</v>
      </c>
      <c r="D929" s="538" t="s">
        <v>740</v>
      </c>
      <c r="E929" s="538" t="s">
        <v>207</v>
      </c>
      <c r="F929" s="538">
        <v>368514</v>
      </c>
      <c r="G929" s="538">
        <v>18</v>
      </c>
    </row>
    <row r="930" spans="1:7" x14ac:dyDescent="0.2">
      <c r="A930" s="538">
        <v>10</v>
      </c>
      <c r="B930" s="538" t="s">
        <v>6587</v>
      </c>
      <c r="C930" s="538" t="s">
        <v>740</v>
      </c>
      <c r="D930" s="538" t="s">
        <v>393</v>
      </c>
      <c r="E930" s="538" t="s">
        <v>313</v>
      </c>
      <c r="F930" s="538">
        <v>730250</v>
      </c>
      <c r="G930" s="538">
        <v>5</v>
      </c>
    </row>
    <row r="931" spans="1:7" x14ac:dyDescent="0.2">
      <c r="A931" s="538">
        <v>2</v>
      </c>
      <c r="B931" s="538" t="s">
        <v>6573</v>
      </c>
      <c r="C931" s="538" t="s">
        <v>740</v>
      </c>
      <c r="D931" s="538" t="s">
        <v>393</v>
      </c>
      <c r="E931" s="538" t="s">
        <v>860</v>
      </c>
      <c r="F931" s="538">
        <v>575729</v>
      </c>
      <c r="G931" s="538">
        <v>8</v>
      </c>
    </row>
    <row r="932" spans="1:7" x14ac:dyDescent="0.2">
      <c r="A932" s="538">
        <v>11</v>
      </c>
      <c r="B932" s="538" t="s">
        <v>6610</v>
      </c>
      <c r="C932" s="538" t="s">
        <v>393</v>
      </c>
      <c r="D932" s="538" t="s">
        <v>393</v>
      </c>
      <c r="E932" s="538" t="s">
        <v>860</v>
      </c>
      <c r="F932" s="538">
        <v>1126782</v>
      </c>
      <c r="G932" s="538">
        <v>49</v>
      </c>
    </row>
    <row r="933" spans="1:7" x14ac:dyDescent="0.2">
      <c r="A933" s="538">
        <v>2</v>
      </c>
      <c r="B933" s="538" t="s">
        <v>6573</v>
      </c>
      <c r="C933" s="538" t="s">
        <v>740</v>
      </c>
      <c r="D933" s="538" t="s">
        <v>740</v>
      </c>
      <c r="E933" s="538" t="s">
        <v>402</v>
      </c>
      <c r="F933" s="538">
        <v>1722689</v>
      </c>
      <c r="G933" s="538">
        <v>63</v>
      </c>
    </row>
    <row r="934" spans="1:7" x14ac:dyDescent="0.2">
      <c r="A934" s="538">
        <v>4</v>
      </c>
      <c r="B934" s="538" t="s">
        <v>6572</v>
      </c>
      <c r="C934" s="538" t="s">
        <v>740</v>
      </c>
      <c r="D934" s="538" t="s">
        <v>393</v>
      </c>
      <c r="E934" s="538" t="s">
        <v>402</v>
      </c>
      <c r="F934" s="538">
        <v>293112</v>
      </c>
      <c r="G934" s="538">
        <v>19</v>
      </c>
    </row>
    <row r="935" spans="1:7" x14ac:dyDescent="0.2">
      <c r="A935" s="538">
        <v>12</v>
      </c>
      <c r="B935" s="538" t="s">
        <v>6616</v>
      </c>
      <c r="C935" s="538" t="s">
        <v>740</v>
      </c>
      <c r="D935" s="538" t="s">
        <v>393</v>
      </c>
      <c r="E935" s="538" t="s">
        <v>212</v>
      </c>
      <c r="F935" s="538">
        <v>789951</v>
      </c>
      <c r="G935" s="538">
        <v>47</v>
      </c>
    </row>
    <row r="936" spans="1:7" x14ac:dyDescent="0.2">
      <c r="A936" s="538">
        <v>5</v>
      </c>
      <c r="B936" s="538" t="s">
        <v>6568</v>
      </c>
      <c r="C936" s="538" t="s">
        <v>393</v>
      </c>
      <c r="D936" s="538" t="s">
        <v>393</v>
      </c>
      <c r="E936" s="538" t="s">
        <v>212</v>
      </c>
      <c r="F936" s="538">
        <v>1613178</v>
      </c>
      <c r="G936" s="538">
        <v>121</v>
      </c>
    </row>
    <row r="937" spans="1:7" x14ac:dyDescent="0.2">
      <c r="A937" s="538">
        <v>3</v>
      </c>
      <c r="B937" s="538" t="s">
        <v>6586</v>
      </c>
      <c r="C937" s="538" t="s">
        <v>740</v>
      </c>
      <c r="D937" s="538" t="s">
        <v>740</v>
      </c>
      <c r="E937" s="538" t="s">
        <v>409</v>
      </c>
      <c r="F937" s="538">
        <v>412587</v>
      </c>
      <c r="G937" s="538">
        <v>24</v>
      </c>
    </row>
    <row r="938" spans="1:7" x14ac:dyDescent="0.2">
      <c r="A938" s="538">
        <v>12</v>
      </c>
      <c r="B938" s="538" t="s">
        <v>6569</v>
      </c>
      <c r="C938" s="538" t="s">
        <v>740</v>
      </c>
      <c r="D938" s="538" t="s">
        <v>740</v>
      </c>
      <c r="E938" s="538" t="s">
        <v>209</v>
      </c>
      <c r="F938" s="538">
        <v>11328</v>
      </c>
      <c r="G938" s="538">
        <v>1</v>
      </c>
    </row>
    <row r="939" spans="1:7" x14ac:dyDescent="0.2">
      <c r="A939" s="538">
        <v>6</v>
      </c>
      <c r="B939" s="538" t="s">
        <v>6596</v>
      </c>
      <c r="C939" s="538" t="s">
        <v>740</v>
      </c>
      <c r="D939" s="538" t="s">
        <v>393</v>
      </c>
      <c r="E939" s="538" t="s">
        <v>390</v>
      </c>
      <c r="F939" s="538">
        <v>5999186</v>
      </c>
      <c r="G939" s="538">
        <v>217</v>
      </c>
    </row>
    <row r="940" spans="1:7" x14ac:dyDescent="0.2">
      <c r="A940" s="538">
        <v>7</v>
      </c>
      <c r="B940" s="538" t="s">
        <v>6579</v>
      </c>
      <c r="C940" s="538" t="s">
        <v>393</v>
      </c>
      <c r="D940" s="538" t="s">
        <v>740</v>
      </c>
      <c r="E940" s="538" t="s">
        <v>438</v>
      </c>
      <c r="F940" s="538">
        <v>746711</v>
      </c>
      <c r="G940" s="538">
        <v>12</v>
      </c>
    </row>
    <row r="941" spans="1:7" x14ac:dyDescent="0.2">
      <c r="A941" s="538">
        <v>3</v>
      </c>
      <c r="B941" s="538" t="s">
        <v>6647</v>
      </c>
      <c r="C941" s="538" t="s">
        <v>740</v>
      </c>
      <c r="D941" s="538" t="s">
        <v>740</v>
      </c>
      <c r="E941" s="538" t="s">
        <v>409</v>
      </c>
      <c r="F941" s="538">
        <v>45312</v>
      </c>
      <c r="G941" s="538">
        <v>4</v>
      </c>
    </row>
    <row r="942" spans="1:7" x14ac:dyDescent="0.2">
      <c r="A942" s="538">
        <v>2</v>
      </c>
      <c r="B942" s="538" t="s">
        <v>6573</v>
      </c>
      <c r="C942" s="538" t="s">
        <v>740</v>
      </c>
      <c r="D942" s="538" t="s">
        <v>393</v>
      </c>
      <c r="E942" s="538" t="s">
        <v>209</v>
      </c>
      <c r="F942" s="538">
        <v>4634183</v>
      </c>
      <c r="G942" s="538">
        <v>46</v>
      </c>
    </row>
    <row r="943" spans="1:7" x14ac:dyDescent="0.2">
      <c r="A943" s="538">
        <v>11</v>
      </c>
      <c r="B943" s="538" t="s">
        <v>6592</v>
      </c>
      <c r="C943" s="538" t="s">
        <v>740</v>
      </c>
      <c r="D943" s="538" t="s">
        <v>740</v>
      </c>
      <c r="E943" s="538" t="s">
        <v>416</v>
      </c>
      <c r="F943" s="538">
        <v>19558064</v>
      </c>
      <c r="G943" s="538">
        <v>363</v>
      </c>
    </row>
    <row r="944" spans="1:7" x14ac:dyDescent="0.2">
      <c r="A944" s="538">
        <v>2</v>
      </c>
      <c r="B944" s="538" t="s">
        <v>6585</v>
      </c>
      <c r="C944" s="538" t="s">
        <v>740</v>
      </c>
      <c r="D944" s="538" t="s">
        <v>740</v>
      </c>
      <c r="E944" s="538" t="s">
        <v>210</v>
      </c>
      <c r="F944" s="538">
        <v>11328</v>
      </c>
      <c r="G944" s="538">
        <v>1</v>
      </c>
    </row>
    <row r="945" spans="1:7" x14ac:dyDescent="0.2">
      <c r="A945" s="538">
        <v>4</v>
      </c>
      <c r="B945" s="538" t="s">
        <v>6562</v>
      </c>
      <c r="C945" s="538" t="s">
        <v>740</v>
      </c>
      <c r="D945" s="538" t="s">
        <v>393</v>
      </c>
      <c r="E945" s="538" t="s">
        <v>209</v>
      </c>
      <c r="F945" s="538">
        <v>124431</v>
      </c>
      <c r="G945" s="538">
        <v>2</v>
      </c>
    </row>
    <row r="946" spans="1:7" x14ac:dyDescent="0.2">
      <c r="A946" s="538">
        <v>6</v>
      </c>
      <c r="B946" s="538" t="s">
        <v>6429</v>
      </c>
      <c r="C946" s="538" t="s">
        <v>393</v>
      </c>
      <c r="D946" s="538" t="s">
        <v>740</v>
      </c>
      <c r="E946" s="538" t="s">
        <v>449</v>
      </c>
      <c r="F946" s="538">
        <v>130803</v>
      </c>
      <c r="G946" s="538">
        <v>6</v>
      </c>
    </row>
    <row r="947" spans="1:7" x14ac:dyDescent="0.2">
      <c r="A947" s="538">
        <v>6</v>
      </c>
      <c r="B947" s="538" t="s">
        <v>6429</v>
      </c>
      <c r="C947" s="538" t="s">
        <v>740</v>
      </c>
      <c r="D947" s="538" t="s">
        <v>740</v>
      </c>
      <c r="E947" s="538" t="s">
        <v>860</v>
      </c>
      <c r="F947" s="538">
        <v>7149655</v>
      </c>
      <c r="G947" s="538">
        <v>170</v>
      </c>
    </row>
    <row r="948" spans="1:7" x14ac:dyDescent="0.2">
      <c r="A948" s="538">
        <v>5</v>
      </c>
      <c r="B948" s="538" t="s">
        <v>6598</v>
      </c>
      <c r="C948" s="538" t="s">
        <v>740</v>
      </c>
      <c r="D948" s="538" t="s">
        <v>740</v>
      </c>
      <c r="E948" s="538" t="s">
        <v>409</v>
      </c>
      <c r="F948" s="538">
        <v>446571</v>
      </c>
      <c r="G948" s="538">
        <v>27</v>
      </c>
    </row>
    <row r="949" spans="1:7" x14ac:dyDescent="0.2">
      <c r="A949" s="538">
        <v>12</v>
      </c>
      <c r="B949" s="538" t="s">
        <v>6563</v>
      </c>
      <c r="C949" s="538" t="s">
        <v>393</v>
      </c>
      <c r="D949" s="538" t="s">
        <v>393</v>
      </c>
      <c r="E949" s="538" t="s">
        <v>860</v>
      </c>
      <c r="F949" s="538">
        <v>553073</v>
      </c>
      <c r="G949" s="538">
        <v>6</v>
      </c>
    </row>
    <row r="950" spans="1:7" x14ac:dyDescent="0.2">
      <c r="A950" s="538">
        <v>5</v>
      </c>
      <c r="B950" s="538" t="s">
        <v>6650</v>
      </c>
      <c r="C950" s="538" t="s">
        <v>393</v>
      </c>
      <c r="D950" s="538" t="s">
        <v>740</v>
      </c>
      <c r="E950" s="538" t="s">
        <v>202</v>
      </c>
      <c r="F950" s="538">
        <v>489051</v>
      </c>
      <c r="G950" s="538">
        <v>12</v>
      </c>
    </row>
    <row r="951" spans="1:7" x14ac:dyDescent="0.2">
      <c r="A951" s="538">
        <v>4</v>
      </c>
      <c r="B951" s="538" t="s">
        <v>6574</v>
      </c>
      <c r="C951" s="538" t="s">
        <v>740</v>
      </c>
      <c r="D951" s="538" t="s">
        <v>393</v>
      </c>
      <c r="E951" s="538" t="s">
        <v>202</v>
      </c>
      <c r="F951" s="538">
        <v>10711364</v>
      </c>
      <c r="G951" s="538">
        <v>98</v>
      </c>
    </row>
    <row r="952" spans="1:7" x14ac:dyDescent="0.2">
      <c r="A952" s="538">
        <v>5</v>
      </c>
      <c r="B952" s="538" t="s">
        <v>6599</v>
      </c>
      <c r="C952" s="538" t="s">
        <v>393</v>
      </c>
      <c r="D952" s="538" t="s">
        <v>740</v>
      </c>
      <c r="E952" s="538" t="s">
        <v>209</v>
      </c>
      <c r="F952" s="538">
        <v>496433</v>
      </c>
      <c r="G952" s="538">
        <v>1</v>
      </c>
    </row>
    <row r="953" spans="1:7" x14ac:dyDescent="0.2">
      <c r="A953" s="538">
        <v>2</v>
      </c>
      <c r="B953" s="538" t="s">
        <v>6576</v>
      </c>
      <c r="C953" s="538" t="s">
        <v>740</v>
      </c>
      <c r="D953" s="538" t="s">
        <v>393</v>
      </c>
      <c r="E953" s="538" t="s">
        <v>390</v>
      </c>
      <c r="F953" s="538">
        <v>1297358</v>
      </c>
      <c r="G953" s="538">
        <v>26</v>
      </c>
    </row>
    <row r="954" spans="1:7" x14ac:dyDescent="0.2">
      <c r="A954" s="538">
        <v>1</v>
      </c>
      <c r="B954" s="538" t="s">
        <v>6581</v>
      </c>
      <c r="C954" s="538" t="s">
        <v>740</v>
      </c>
      <c r="D954" s="538" t="s">
        <v>393</v>
      </c>
      <c r="E954" s="538" t="s">
        <v>449</v>
      </c>
      <c r="F954" s="538">
        <v>72924</v>
      </c>
      <c r="G954" s="538">
        <v>3</v>
      </c>
    </row>
    <row r="955" spans="1:7" x14ac:dyDescent="0.2">
      <c r="A955" s="538">
        <v>6</v>
      </c>
      <c r="B955" s="538" t="s">
        <v>6565</v>
      </c>
      <c r="C955" s="538" t="s">
        <v>740</v>
      </c>
      <c r="D955" s="538" t="s">
        <v>393</v>
      </c>
      <c r="E955" s="538" t="s">
        <v>212</v>
      </c>
      <c r="F955" s="538">
        <v>124608</v>
      </c>
      <c r="G955" s="538">
        <v>11</v>
      </c>
    </row>
    <row r="956" spans="1:7" x14ac:dyDescent="0.2">
      <c r="A956" s="538">
        <v>7</v>
      </c>
      <c r="B956" s="538" t="s">
        <v>6579</v>
      </c>
      <c r="C956" s="538" t="s">
        <v>740</v>
      </c>
      <c r="D956" s="538" t="s">
        <v>393</v>
      </c>
      <c r="E956" s="538" t="s">
        <v>390</v>
      </c>
      <c r="F956" s="538">
        <v>59918697</v>
      </c>
      <c r="G956" s="538">
        <v>1929</v>
      </c>
    </row>
    <row r="957" spans="1:7" x14ac:dyDescent="0.2">
      <c r="A957" s="538">
        <v>8</v>
      </c>
      <c r="B957" s="538" t="s">
        <v>6658</v>
      </c>
      <c r="C957" s="538" t="s">
        <v>393</v>
      </c>
      <c r="D957" s="538" t="s">
        <v>393</v>
      </c>
      <c r="E957" s="538" t="s">
        <v>449</v>
      </c>
      <c r="F957" s="538">
        <v>238950</v>
      </c>
      <c r="G957" s="538">
        <v>10</v>
      </c>
    </row>
    <row r="958" spans="1:7" x14ac:dyDescent="0.2">
      <c r="A958" s="538">
        <v>5</v>
      </c>
      <c r="B958" s="538" t="s">
        <v>6598</v>
      </c>
      <c r="C958" s="538" t="s">
        <v>740</v>
      </c>
      <c r="D958" s="538" t="s">
        <v>740</v>
      </c>
      <c r="E958" s="538" t="s">
        <v>230</v>
      </c>
      <c r="F958" s="538">
        <v>106908</v>
      </c>
      <c r="G958" s="538">
        <v>6</v>
      </c>
    </row>
    <row r="959" spans="1:7" x14ac:dyDescent="0.2">
      <c r="A959" s="538">
        <v>6</v>
      </c>
      <c r="B959" s="538" t="s">
        <v>6429</v>
      </c>
      <c r="C959" s="538" t="s">
        <v>740</v>
      </c>
      <c r="D959" s="538" t="s">
        <v>393</v>
      </c>
      <c r="E959" s="538" t="s">
        <v>438</v>
      </c>
      <c r="F959" s="538">
        <v>1364920</v>
      </c>
      <c r="G959" s="538">
        <v>10</v>
      </c>
    </row>
    <row r="960" spans="1:7" x14ac:dyDescent="0.2">
      <c r="A960" s="538">
        <v>4</v>
      </c>
      <c r="B960" s="538" t="s">
        <v>6562</v>
      </c>
      <c r="C960" s="538" t="s">
        <v>740</v>
      </c>
      <c r="D960" s="538" t="s">
        <v>393</v>
      </c>
      <c r="E960" s="538" t="s">
        <v>402</v>
      </c>
      <c r="F960" s="538">
        <v>174876</v>
      </c>
      <c r="G960" s="538">
        <v>12</v>
      </c>
    </row>
    <row r="961" spans="1:7" x14ac:dyDescent="0.2">
      <c r="A961" s="538">
        <v>3</v>
      </c>
      <c r="B961" s="538" t="s">
        <v>6561</v>
      </c>
      <c r="C961" s="538" t="s">
        <v>740</v>
      </c>
      <c r="D961" s="538" t="s">
        <v>393</v>
      </c>
      <c r="E961" s="538" t="s">
        <v>212</v>
      </c>
      <c r="F961" s="538">
        <v>1823631</v>
      </c>
      <c r="G961" s="538">
        <v>152</v>
      </c>
    </row>
    <row r="962" spans="1:7" x14ac:dyDescent="0.2">
      <c r="A962" s="538">
        <v>9</v>
      </c>
      <c r="B962" s="538" t="s">
        <v>6645</v>
      </c>
      <c r="C962" s="538" t="s">
        <v>740</v>
      </c>
      <c r="D962" s="538" t="s">
        <v>393</v>
      </c>
      <c r="E962" s="538" t="s">
        <v>207</v>
      </c>
      <c r="F962" s="538">
        <v>786411</v>
      </c>
      <c r="G962" s="538">
        <v>57</v>
      </c>
    </row>
    <row r="963" spans="1:7" x14ac:dyDescent="0.2">
      <c r="A963" s="538">
        <v>2</v>
      </c>
      <c r="B963" s="538" t="s">
        <v>6055</v>
      </c>
      <c r="C963" s="538" t="s">
        <v>740</v>
      </c>
      <c r="D963" s="538" t="s">
        <v>740</v>
      </c>
      <c r="E963" s="538" t="s">
        <v>402</v>
      </c>
      <c r="F963" s="538">
        <v>227622</v>
      </c>
      <c r="G963" s="538">
        <v>9</v>
      </c>
    </row>
    <row r="964" spans="1:7" x14ac:dyDescent="0.2">
      <c r="A964" s="538">
        <v>8</v>
      </c>
      <c r="B964" s="538" t="s">
        <v>6577</v>
      </c>
      <c r="C964" s="538" t="s">
        <v>393</v>
      </c>
      <c r="D964" s="538" t="s">
        <v>740</v>
      </c>
      <c r="E964" s="538" t="s">
        <v>416</v>
      </c>
      <c r="F964" s="538">
        <v>2550591</v>
      </c>
      <c r="G964" s="538">
        <v>42</v>
      </c>
    </row>
    <row r="965" spans="1:7" x14ac:dyDescent="0.2">
      <c r="A965" s="538">
        <v>6</v>
      </c>
      <c r="B965" s="538" t="s">
        <v>6429</v>
      </c>
      <c r="C965" s="538" t="s">
        <v>740</v>
      </c>
      <c r="D965" s="538" t="s">
        <v>393</v>
      </c>
      <c r="E965" s="538" t="s">
        <v>449</v>
      </c>
      <c r="F965" s="538">
        <v>277890</v>
      </c>
      <c r="G965" s="538">
        <v>10</v>
      </c>
    </row>
    <row r="966" spans="1:7" x14ac:dyDescent="0.2">
      <c r="A966" s="538">
        <v>11</v>
      </c>
      <c r="B966" s="538" t="s">
        <v>6610</v>
      </c>
      <c r="C966" s="538" t="s">
        <v>393</v>
      </c>
      <c r="D966" s="538" t="s">
        <v>740</v>
      </c>
      <c r="E966" s="538" t="s">
        <v>390</v>
      </c>
      <c r="F966" s="538">
        <v>2863527</v>
      </c>
      <c r="G966" s="538">
        <v>44</v>
      </c>
    </row>
    <row r="967" spans="1:7" x14ac:dyDescent="0.2">
      <c r="A967" s="538">
        <v>10</v>
      </c>
      <c r="B967" s="538" t="s">
        <v>6587</v>
      </c>
      <c r="C967" s="538" t="s">
        <v>740</v>
      </c>
      <c r="D967" s="538" t="s">
        <v>393</v>
      </c>
      <c r="E967" s="538" t="s">
        <v>209</v>
      </c>
      <c r="F967" s="538">
        <v>3001410</v>
      </c>
      <c r="G967" s="538">
        <v>25</v>
      </c>
    </row>
    <row r="968" spans="1:7" x14ac:dyDescent="0.2">
      <c r="A968" s="538">
        <v>12</v>
      </c>
      <c r="B968" s="538" t="s">
        <v>6569</v>
      </c>
      <c r="C968" s="538" t="s">
        <v>740</v>
      </c>
      <c r="D968" s="538" t="s">
        <v>393</v>
      </c>
      <c r="E968" s="538" t="s">
        <v>860</v>
      </c>
      <c r="F968" s="538">
        <v>14075290</v>
      </c>
      <c r="G968" s="538">
        <v>705</v>
      </c>
    </row>
    <row r="969" spans="1:7" x14ac:dyDescent="0.2">
      <c r="A969" s="538">
        <v>7</v>
      </c>
      <c r="B969" s="538" t="s">
        <v>6594</v>
      </c>
      <c r="C969" s="538" t="s">
        <v>740</v>
      </c>
      <c r="D969" s="538" t="s">
        <v>393</v>
      </c>
      <c r="E969" s="538" t="s">
        <v>402</v>
      </c>
      <c r="F969" s="538">
        <v>7526134</v>
      </c>
      <c r="G969" s="538">
        <v>343</v>
      </c>
    </row>
    <row r="970" spans="1:7" x14ac:dyDescent="0.2">
      <c r="A970" s="538">
        <v>2</v>
      </c>
      <c r="B970" s="538" t="s">
        <v>6585</v>
      </c>
      <c r="C970" s="538" t="s">
        <v>740</v>
      </c>
      <c r="D970" s="538" t="s">
        <v>393</v>
      </c>
      <c r="E970" s="538" t="s">
        <v>416</v>
      </c>
      <c r="F970" s="538">
        <v>614669</v>
      </c>
      <c r="G970" s="538">
        <v>8</v>
      </c>
    </row>
    <row r="971" spans="1:7" x14ac:dyDescent="0.2">
      <c r="A971" s="538">
        <v>7</v>
      </c>
      <c r="B971" s="538" t="s">
        <v>6580</v>
      </c>
      <c r="C971" s="538" t="s">
        <v>393</v>
      </c>
      <c r="D971" s="538" t="s">
        <v>740</v>
      </c>
      <c r="E971" s="538" t="s">
        <v>207</v>
      </c>
      <c r="F971" s="538">
        <v>11328</v>
      </c>
      <c r="G971" s="538">
        <v>1</v>
      </c>
    </row>
    <row r="972" spans="1:7" x14ac:dyDescent="0.2">
      <c r="A972" s="538">
        <v>4</v>
      </c>
      <c r="B972" s="538" t="s">
        <v>6559</v>
      </c>
      <c r="C972" s="538" t="s">
        <v>740</v>
      </c>
      <c r="D972" s="538" t="s">
        <v>393</v>
      </c>
      <c r="E972" s="538" t="s">
        <v>401</v>
      </c>
      <c r="F972" s="538">
        <v>11328</v>
      </c>
      <c r="G972" s="538">
        <v>1</v>
      </c>
    </row>
    <row r="973" spans="1:7" x14ac:dyDescent="0.2">
      <c r="A973" s="538">
        <v>7</v>
      </c>
      <c r="B973" s="538" t="s">
        <v>6588</v>
      </c>
      <c r="C973" s="538" t="s">
        <v>740</v>
      </c>
      <c r="D973" s="538" t="s">
        <v>393</v>
      </c>
      <c r="E973" s="538" t="s">
        <v>402</v>
      </c>
      <c r="F973" s="538">
        <v>2161826</v>
      </c>
      <c r="G973" s="538">
        <v>92</v>
      </c>
    </row>
    <row r="974" spans="1:7" x14ac:dyDescent="0.2">
      <c r="A974" s="538">
        <v>7</v>
      </c>
      <c r="B974" s="538" t="s">
        <v>6604</v>
      </c>
      <c r="C974" s="538" t="s">
        <v>393</v>
      </c>
      <c r="D974" s="538" t="s">
        <v>740</v>
      </c>
      <c r="E974" s="538" t="s">
        <v>212</v>
      </c>
      <c r="F974" s="538">
        <v>67968</v>
      </c>
      <c r="G974" s="538">
        <v>6</v>
      </c>
    </row>
    <row r="975" spans="1:7" x14ac:dyDescent="0.2">
      <c r="A975" s="538">
        <v>12</v>
      </c>
      <c r="B975" s="538" t="s">
        <v>6569</v>
      </c>
      <c r="C975" s="538" t="s">
        <v>393</v>
      </c>
      <c r="D975" s="538" t="s">
        <v>740</v>
      </c>
      <c r="E975" s="538" t="s">
        <v>211</v>
      </c>
      <c r="F975" s="538">
        <v>1298368</v>
      </c>
      <c r="G975" s="538">
        <v>11</v>
      </c>
    </row>
    <row r="976" spans="1:7" x14ac:dyDescent="0.2">
      <c r="A976" s="538">
        <v>4</v>
      </c>
      <c r="B976" s="538" t="s">
        <v>6559</v>
      </c>
      <c r="C976" s="538" t="s">
        <v>740</v>
      </c>
      <c r="D976" s="538" t="s">
        <v>740</v>
      </c>
      <c r="E976" s="538" t="s">
        <v>449</v>
      </c>
      <c r="F976" s="538">
        <v>22656</v>
      </c>
      <c r="G976" s="538">
        <v>2</v>
      </c>
    </row>
    <row r="977" spans="1:7" x14ac:dyDescent="0.2">
      <c r="A977" s="538">
        <v>1</v>
      </c>
      <c r="B977" s="538" t="s">
        <v>6581</v>
      </c>
      <c r="C977" s="538" t="s">
        <v>740</v>
      </c>
      <c r="D977" s="538" t="s">
        <v>740</v>
      </c>
      <c r="E977" s="538" t="s">
        <v>207</v>
      </c>
      <c r="F977" s="538">
        <v>1561494</v>
      </c>
      <c r="G977" s="538">
        <v>113</v>
      </c>
    </row>
    <row r="978" spans="1:7" x14ac:dyDescent="0.2">
      <c r="A978" s="538">
        <v>12</v>
      </c>
      <c r="B978" s="538" t="s">
        <v>6563</v>
      </c>
      <c r="C978" s="538" t="s">
        <v>740</v>
      </c>
      <c r="D978" s="538" t="s">
        <v>740</v>
      </c>
      <c r="E978" s="538" t="s">
        <v>390</v>
      </c>
      <c r="F978" s="538">
        <v>1602204</v>
      </c>
      <c r="G978" s="538">
        <v>78</v>
      </c>
    </row>
    <row r="979" spans="1:7" x14ac:dyDescent="0.2">
      <c r="A979" s="538">
        <v>2</v>
      </c>
      <c r="B979" s="538" t="s">
        <v>6573</v>
      </c>
      <c r="C979" s="538" t="s">
        <v>740</v>
      </c>
      <c r="D979" s="538" t="s">
        <v>393</v>
      </c>
      <c r="E979" s="538" t="s">
        <v>419</v>
      </c>
      <c r="F979" s="538">
        <v>33984</v>
      </c>
      <c r="G979" s="538">
        <v>3</v>
      </c>
    </row>
    <row r="980" spans="1:7" x14ac:dyDescent="0.2">
      <c r="A980" s="538">
        <v>3</v>
      </c>
      <c r="B980" s="538" t="s">
        <v>1390</v>
      </c>
      <c r="C980" s="538" t="s">
        <v>393</v>
      </c>
      <c r="D980" s="538" t="s">
        <v>393</v>
      </c>
      <c r="E980" s="538" t="s">
        <v>211</v>
      </c>
      <c r="F980" s="538">
        <v>61797451</v>
      </c>
      <c r="G980" s="538">
        <v>727</v>
      </c>
    </row>
    <row r="981" spans="1:7" x14ac:dyDescent="0.2">
      <c r="A981" s="538">
        <v>6</v>
      </c>
      <c r="B981" s="538" t="s">
        <v>6429</v>
      </c>
      <c r="C981" s="538" t="s">
        <v>740</v>
      </c>
      <c r="D981" s="538" t="s">
        <v>393</v>
      </c>
      <c r="E981" s="538" t="s">
        <v>401</v>
      </c>
      <c r="F981" s="538">
        <v>19707202</v>
      </c>
      <c r="G981" s="538">
        <v>484</v>
      </c>
    </row>
    <row r="982" spans="1:7" x14ac:dyDescent="0.2">
      <c r="A982" s="538">
        <v>2</v>
      </c>
      <c r="B982" s="538" t="s">
        <v>6573</v>
      </c>
      <c r="C982" s="538" t="s">
        <v>740</v>
      </c>
      <c r="D982" s="538" t="s">
        <v>393</v>
      </c>
      <c r="E982" s="538" t="s">
        <v>390</v>
      </c>
      <c r="F982" s="538">
        <v>15138019</v>
      </c>
      <c r="G982" s="538">
        <v>613</v>
      </c>
    </row>
    <row r="983" spans="1:7" x14ac:dyDescent="0.2">
      <c r="A983" s="538">
        <v>8</v>
      </c>
      <c r="B983" s="538" t="s">
        <v>6560</v>
      </c>
      <c r="C983" s="538" t="s">
        <v>740</v>
      </c>
      <c r="D983" s="538" t="s">
        <v>393</v>
      </c>
      <c r="E983" s="538" t="s">
        <v>212</v>
      </c>
      <c r="F983" s="538">
        <v>1263603</v>
      </c>
      <c r="G983" s="538">
        <v>106</v>
      </c>
    </row>
    <row r="984" spans="1:7" x14ac:dyDescent="0.2">
      <c r="A984" s="538">
        <v>9</v>
      </c>
      <c r="B984" s="538" t="s">
        <v>948</v>
      </c>
      <c r="C984" s="538" t="s">
        <v>393</v>
      </c>
      <c r="D984" s="538" t="s">
        <v>393</v>
      </c>
      <c r="E984" s="538" t="s">
        <v>202</v>
      </c>
      <c r="F984" s="538">
        <v>7252232</v>
      </c>
      <c r="G984" s="538">
        <v>59</v>
      </c>
    </row>
    <row r="985" spans="1:7" x14ac:dyDescent="0.2">
      <c r="A985" s="538">
        <v>7</v>
      </c>
      <c r="B985" s="538" t="s">
        <v>6604</v>
      </c>
      <c r="C985" s="538" t="s">
        <v>740</v>
      </c>
      <c r="D985" s="538" t="s">
        <v>393</v>
      </c>
      <c r="E985" s="538" t="s">
        <v>409</v>
      </c>
      <c r="F985" s="538">
        <v>181071</v>
      </c>
      <c r="G985" s="538">
        <v>7</v>
      </c>
    </row>
    <row r="986" spans="1:7" x14ac:dyDescent="0.2">
      <c r="A986" s="538">
        <v>12</v>
      </c>
      <c r="B986" s="538" t="s">
        <v>6563</v>
      </c>
      <c r="C986" s="538" t="s">
        <v>740</v>
      </c>
      <c r="D986" s="538" t="s">
        <v>740</v>
      </c>
      <c r="E986" s="538" t="s">
        <v>211</v>
      </c>
      <c r="F986" s="538">
        <v>134520</v>
      </c>
      <c r="G986" s="538">
        <v>5</v>
      </c>
    </row>
    <row r="987" spans="1:7" x14ac:dyDescent="0.2">
      <c r="A987" s="538">
        <v>1</v>
      </c>
      <c r="B987" s="538" t="s">
        <v>6646</v>
      </c>
      <c r="C987" s="538" t="s">
        <v>740</v>
      </c>
      <c r="D987" s="538" t="s">
        <v>393</v>
      </c>
      <c r="E987" s="538" t="s">
        <v>401</v>
      </c>
      <c r="F987" s="538">
        <v>192399</v>
      </c>
      <c r="G987" s="538">
        <v>8</v>
      </c>
    </row>
    <row r="988" spans="1:7" x14ac:dyDescent="0.2">
      <c r="A988" s="538">
        <v>6</v>
      </c>
      <c r="B988" s="538" t="s">
        <v>6433</v>
      </c>
      <c r="C988" s="538" t="s">
        <v>393</v>
      </c>
      <c r="D988" s="538" t="s">
        <v>740</v>
      </c>
      <c r="E988" s="538" t="s">
        <v>402</v>
      </c>
      <c r="F988" s="538">
        <v>11302231</v>
      </c>
      <c r="G988" s="538">
        <v>507</v>
      </c>
    </row>
    <row r="989" spans="1:7" x14ac:dyDescent="0.2">
      <c r="A989" s="538">
        <v>1</v>
      </c>
      <c r="B989" s="538" t="s">
        <v>1288</v>
      </c>
      <c r="C989" s="538" t="s">
        <v>740</v>
      </c>
      <c r="D989" s="538" t="s">
        <v>393</v>
      </c>
      <c r="E989" s="538" t="s">
        <v>209</v>
      </c>
      <c r="F989" s="538">
        <v>4144976</v>
      </c>
      <c r="G989" s="538">
        <v>17</v>
      </c>
    </row>
    <row r="990" spans="1:7" x14ac:dyDescent="0.2">
      <c r="A990" s="538">
        <v>4</v>
      </c>
      <c r="B990" s="538" t="s">
        <v>6562</v>
      </c>
      <c r="C990" s="538" t="s">
        <v>740</v>
      </c>
      <c r="D990" s="538" t="s">
        <v>740</v>
      </c>
      <c r="E990" s="538" t="s">
        <v>449</v>
      </c>
      <c r="F990" s="538">
        <v>278067</v>
      </c>
      <c r="G990" s="538">
        <v>19</v>
      </c>
    </row>
    <row r="991" spans="1:7" x14ac:dyDescent="0.2">
      <c r="A991" s="538">
        <v>2</v>
      </c>
      <c r="B991" s="538" t="s">
        <v>6055</v>
      </c>
      <c r="C991" s="538" t="s">
        <v>740</v>
      </c>
      <c r="D991" s="538" t="s">
        <v>393</v>
      </c>
      <c r="E991" s="538" t="s">
        <v>419</v>
      </c>
      <c r="F991" s="538">
        <v>124608</v>
      </c>
      <c r="G991" s="538">
        <v>11</v>
      </c>
    </row>
    <row r="992" spans="1:7" x14ac:dyDescent="0.2">
      <c r="A992" s="538">
        <v>4</v>
      </c>
      <c r="B992" s="538" t="s">
        <v>6572</v>
      </c>
      <c r="C992" s="538" t="s">
        <v>740</v>
      </c>
      <c r="D992" s="538" t="s">
        <v>393</v>
      </c>
      <c r="E992" s="538" t="s">
        <v>212</v>
      </c>
      <c r="F992" s="538">
        <v>11328</v>
      </c>
      <c r="G992" s="538">
        <v>1</v>
      </c>
    </row>
    <row r="993" spans="1:7" x14ac:dyDescent="0.2">
      <c r="A993" s="538">
        <v>2</v>
      </c>
      <c r="B993" s="538" t="s">
        <v>6576</v>
      </c>
      <c r="C993" s="538" t="s">
        <v>740</v>
      </c>
      <c r="D993" s="538" t="s">
        <v>393</v>
      </c>
      <c r="E993" s="538" t="s">
        <v>210</v>
      </c>
      <c r="F993" s="538">
        <v>108147</v>
      </c>
      <c r="G993" s="538">
        <v>4</v>
      </c>
    </row>
    <row r="994" spans="1:7" x14ac:dyDescent="0.2">
      <c r="A994" s="538">
        <v>3</v>
      </c>
      <c r="B994" s="538" t="s">
        <v>6603</v>
      </c>
      <c r="C994" s="538" t="s">
        <v>740</v>
      </c>
      <c r="D994" s="538" t="s">
        <v>393</v>
      </c>
      <c r="E994" s="538" t="s">
        <v>390</v>
      </c>
      <c r="F994" s="538">
        <v>22656</v>
      </c>
      <c r="G994" s="538">
        <v>2</v>
      </c>
    </row>
    <row r="995" spans="1:7" x14ac:dyDescent="0.2">
      <c r="A995" s="538">
        <v>7</v>
      </c>
      <c r="B995" s="538" t="s">
        <v>6594</v>
      </c>
      <c r="C995" s="538" t="s">
        <v>740</v>
      </c>
      <c r="D995" s="538" t="s">
        <v>393</v>
      </c>
      <c r="E995" s="538" t="s">
        <v>209</v>
      </c>
      <c r="F995" s="538">
        <v>4603760</v>
      </c>
      <c r="G995" s="538">
        <v>25</v>
      </c>
    </row>
    <row r="996" spans="1:7" x14ac:dyDescent="0.2">
      <c r="A996" s="538">
        <v>2</v>
      </c>
      <c r="B996" s="538" t="s">
        <v>6576</v>
      </c>
      <c r="C996" s="538" t="s">
        <v>393</v>
      </c>
      <c r="D996" s="538" t="s">
        <v>740</v>
      </c>
      <c r="E996" s="538" t="s">
        <v>230</v>
      </c>
      <c r="F996" s="538">
        <v>74163</v>
      </c>
      <c r="G996" s="538">
        <v>1</v>
      </c>
    </row>
    <row r="997" spans="1:7" x14ac:dyDescent="0.2">
      <c r="A997" s="538">
        <v>7</v>
      </c>
      <c r="B997" s="538" t="s">
        <v>6588</v>
      </c>
      <c r="C997" s="538" t="s">
        <v>740</v>
      </c>
      <c r="D997" s="538" t="s">
        <v>740</v>
      </c>
      <c r="E997" s="538" t="s">
        <v>209</v>
      </c>
      <c r="F997" s="538">
        <v>9491449</v>
      </c>
      <c r="G997" s="538">
        <v>33</v>
      </c>
    </row>
    <row r="998" spans="1:7" x14ac:dyDescent="0.2">
      <c r="A998" s="538">
        <v>2</v>
      </c>
      <c r="B998" s="538" t="s">
        <v>6585</v>
      </c>
      <c r="C998" s="538" t="s">
        <v>740</v>
      </c>
      <c r="D998" s="538" t="s">
        <v>393</v>
      </c>
      <c r="E998" s="538" t="s">
        <v>210</v>
      </c>
      <c r="F998" s="538">
        <v>74163</v>
      </c>
      <c r="G998" s="538">
        <v>1</v>
      </c>
    </row>
    <row r="999" spans="1:7" x14ac:dyDescent="0.2">
      <c r="A999" s="538">
        <v>4</v>
      </c>
      <c r="B999" s="538" t="s">
        <v>6562</v>
      </c>
      <c r="C999" s="538" t="s">
        <v>740</v>
      </c>
      <c r="D999" s="538" t="s">
        <v>393</v>
      </c>
      <c r="E999" s="538" t="s">
        <v>313</v>
      </c>
      <c r="F999" s="538">
        <v>74163</v>
      </c>
      <c r="G999" s="538">
        <v>1</v>
      </c>
    </row>
    <row r="1000" spans="1:7" x14ac:dyDescent="0.2">
      <c r="A1000" s="538">
        <v>2</v>
      </c>
      <c r="B1000" s="538" t="s">
        <v>6656</v>
      </c>
      <c r="C1000" s="538" t="s">
        <v>393</v>
      </c>
      <c r="D1000" s="538" t="s">
        <v>393</v>
      </c>
      <c r="E1000" s="538" t="s">
        <v>212</v>
      </c>
      <c r="F1000" s="538">
        <v>1816905</v>
      </c>
      <c r="G1000" s="538">
        <v>130</v>
      </c>
    </row>
    <row r="1001" spans="1:7" x14ac:dyDescent="0.2">
      <c r="A1001" s="538">
        <v>4</v>
      </c>
      <c r="B1001" s="538" t="s">
        <v>6574</v>
      </c>
      <c r="C1001" s="538" t="s">
        <v>393</v>
      </c>
      <c r="D1001" s="538" t="s">
        <v>393</v>
      </c>
      <c r="E1001" s="538" t="s">
        <v>210</v>
      </c>
      <c r="F1001" s="538">
        <v>1751540</v>
      </c>
      <c r="G1001" s="538">
        <v>55</v>
      </c>
    </row>
    <row r="1002" spans="1:7" x14ac:dyDescent="0.2">
      <c r="A1002" s="538">
        <v>4</v>
      </c>
      <c r="B1002" s="538" t="s">
        <v>6559</v>
      </c>
      <c r="C1002" s="538" t="s">
        <v>740</v>
      </c>
      <c r="D1002" s="538" t="s">
        <v>740</v>
      </c>
      <c r="E1002" s="538" t="s">
        <v>212</v>
      </c>
      <c r="F1002" s="538">
        <v>429048</v>
      </c>
      <c r="G1002" s="538">
        <v>31</v>
      </c>
    </row>
    <row r="1003" spans="1:7" x14ac:dyDescent="0.2">
      <c r="A1003" s="538">
        <v>3</v>
      </c>
      <c r="B1003" s="538" t="s">
        <v>6603</v>
      </c>
      <c r="C1003" s="538" t="s">
        <v>740</v>
      </c>
      <c r="D1003" s="538" t="s">
        <v>393</v>
      </c>
      <c r="E1003" s="538" t="s">
        <v>416</v>
      </c>
      <c r="F1003" s="538">
        <v>271695</v>
      </c>
      <c r="G1003" s="538">
        <v>15</v>
      </c>
    </row>
    <row r="1004" spans="1:7" x14ac:dyDescent="0.2">
      <c r="A1004" s="538">
        <v>2</v>
      </c>
      <c r="B1004" s="538" t="s">
        <v>6573</v>
      </c>
      <c r="C1004" s="538" t="s">
        <v>740</v>
      </c>
      <c r="D1004" s="538" t="s">
        <v>740</v>
      </c>
      <c r="E1004" s="538" t="s">
        <v>210</v>
      </c>
      <c r="F1004" s="538">
        <v>739100</v>
      </c>
      <c r="G1004" s="538">
        <v>10</v>
      </c>
    </row>
    <row r="1005" spans="1:7" x14ac:dyDescent="0.2">
      <c r="A1005" s="538">
        <v>2</v>
      </c>
      <c r="B1005" s="538" t="s">
        <v>6055</v>
      </c>
      <c r="C1005" s="538" t="s">
        <v>393</v>
      </c>
      <c r="D1005" s="538" t="s">
        <v>393</v>
      </c>
      <c r="E1005" s="538" t="s">
        <v>449</v>
      </c>
      <c r="F1005" s="538">
        <v>84252</v>
      </c>
      <c r="G1005" s="538">
        <v>4</v>
      </c>
    </row>
    <row r="1006" spans="1:7" x14ac:dyDescent="0.2">
      <c r="A1006" s="538">
        <v>9</v>
      </c>
      <c r="B1006" s="538" t="s">
        <v>6606</v>
      </c>
      <c r="C1006" s="538" t="s">
        <v>393</v>
      </c>
      <c r="D1006" s="538" t="s">
        <v>393</v>
      </c>
      <c r="E1006" s="538" t="s">
        <v>409</v>
      </c>
      <c r="F1006" s="538">
        <v>67968</v>
      </c>
      <c r="G1006" s="538">
        <v>6</v>
      </c>
    </row>
    <row r="1007" spans="1:7" x14ac:dyDescent="0.2">
      <c r="A1007" s="538">
        <v>7</v>
      </c>
      <c r="B1007" s="538" t="s">
        <v>6594</v>
      </c>
      <c r="C1007" s="538" t="s">
        <v>740</v>
      </c>
      <c r="D1007" s="538" t="s">
        <v>393</v>
      </c>
      <c r="E1007" s="538" t="s">
        <v>438</v>
      </c>
      <c r="F1007" s="538">
        <v>507761</v>
      </c>
      <c r="G1007" s="538">
        <v>2</v>
      </c>
    </row>
    <row r="1008" spans="1:7" x14ac:dyDescent="0.2">
      <c r="A1008" s="538">
        <v>4</v>
      </c>
      <c r="B1008" s="538" t="s">
        <v>6559</v>
      </c>
      <c r="C1008" s="538" t="s">
        <v>740</v>
      </c>
      <c r="D1008" s="538" t="s">
        <v>740</v>
      </c>
      <c r="E1008" s="538" t="s">
        <v>313</v>
      </c>
      <c r="F1008" s="538">
        <v>644759</v>
      </c>
      <c r="G1008" s="538">
        <v>3</v>
      </c>
    </row>
    <row r="1009" spans="1:7" x14ac:dyDescent="0.2">
      <c r="A1009" s="538">
        <v>4</v>
      </c>
      <c r="B1009" s="538" t="s">
        <v>6559</v>
      </c>
      <c r="C1009" s="538" t="s">
        <v>740</v>
      </c>
      <c r="D1009" s="538" t="s">
        <v>393</v>
      </c>
      <c r="E1009" s="538" t="s">
        <v>416</v>
      </c>
      <c r="F1009" s="538">
        <v>226040684</v>
      </c>
      <c r="G1009" s="538">
        <v>5343</v>
      </c>
    </row>
    <row r="1010" spans="1:7" x14ac:dyDescent="0.2">
      <c r="A1010" s="538">
        <v>11</v>
      </c>
      <c r="B1010" s="538" t="s">
        <v>6612</v>
      </c>
      <c r="C1010" s="538" t="s">
        <v>393</v>
      </c>
      <c r="D1010" s="538" t="s">
        <v>393</v>
      </c>
      <c r="E1010" s="538" t="s">
        <v>438</v>
      </c>
      <c r="F1010" s="538">
        <v>8960428</v>
      </c>
      <c r="G1010" s="538">
        <v>71</v>
      </c>
    </row>
    <row r="1011" spans="1:7" x14ac:dyDescent="0.2">
      <c r="A1011" s="538">
        <v>3</v>
      </c>
      <c r="B1011" s="538" t="s">
        <v>6647</v>
      </c>
      <c r="C1011" s="538" t="s">
        <v>393</v>
      </c>
      <c r="D1011" s="538" t="s">
        <v>393</v>
      </c>
      <c r="E1011" s="538" t="s">
        <v>401</v>
      </c>
      <c r="F1011" s="538">
        <v>893798</v>
      </c>
      <c r="G1011" s="538">
        <v>16</v>
      </c>
    </row>
    <row r="1012" spans="1:7" x14ac:dyDescent="0.2">
      <c r="A1012" s="538">
        <v>4</v>
      </c>
      <c r="B1012" s="538" t="s">
        <v>6572</v>
      </c>
      <c r="C1012" s="538" t="s">
        <v>740</v>
      </c>
      <c r="D1012" s="538" t="s">
        <v>393</v>
      </c>
      <c r="E1012" s="538" t="s">
        <v>390</v>
      </c>
      <c r="F1012" s="538">
        <v>822342</v>
      </c>
      <c r="G1012" s="538">
        <v>29</v>
      </c>
    </row>
    <row r="1013" spans="1:7" x14ac:dyDescent="0.2">
      <c r="A1013" s="538">
        <v>3</v>
      </c>
      <c r="B1013" s="538" t="s">
        <v>1390</v>
      </c>
      <c r="C1013" s="538" t="s">
        <v>740</v>
      </c>
      <c r="D1013" s="538" t="s">
        <v>393</v>
      </c>
      <c r="E1013" s="538" t="s">
        <v>860</v>
      </c>
      <c r="F1013" s="538">
        <v>609713</v>
      </c>
      <c r="G1013" s="538">
        <v>11</v>
      </c>
    </row>
    <row r="1014" spans="1:7" x14ac:dyDescent="0.2">
      <c r="A1014" s="538">
        <v>3</v>
      </c>
      <c r="B1014" s="538" t="s">
        <v>6603</v>
      </c>
      <c r="C1014" s="538" t="s">
        <v>740</v>
      </c>
      <c r="D1014" s="538" t="s">
        <v>393</v>
      </c>
      <c r="E1014" s="538" t="s">
        <v>402</v>
      </c>
      <c r="F1014" s="538">
        <v>2120585</v>
      </c>
      <c r="G1014" s="538">
        <v>100</v>
      </c>
    </row>
    <row r="1015" spans="1:7" x14ac:dyDescent="0.2">
      <c r="A1015" s="538">
        <v>12</v>
      </c>
      <c r="B1015" s="538" t="s">
        <v>6616</v>
      </c>
      <c r="C1015" s="538" t="s">
        <v>740</v>
      </c>
      <c r="D1015" s="538" t="s">
        <v>393</v>
      </c>
      <c r="E1015" s="538" t="s">
        <v>207</v>
      </c>
      <c r="F1015" s="538">
        <v>980403</v>
      </c>
      <c r="G1015" s="538">
        <v>81</v>
      </c>
    </row>
    <row r="1016" spans="1:7" x14ac:dyDescent="0.2">
      <c r="A1016" s="538">
        <v>7</v>
      </c>
      <c r="B1016" s="538" t="s">
        <v>6604</v>
      </c>
      <c r="C1016" s="538" t="s">
        <v>740</v>
      </c>
      <c r="D1016" s="538" t="s">
        <v>740</v>
      </c>
      <c r="E1016" s="538" t="s">
        <v>401</v>
      </c>
      <c r="F1016" s="538">
        <v>90624</v>
      </c>
      <c r="G1016" s="538">
        <v>8</v>
      </c>
    </row>
    <row r="1017" spans="1:7" x14ac:dyDescent="0.2">
      <c r="A1017" s="538">
        <v>4</v>
      </c>
      <c r="B1017" s="538" t="s">
        <v>6559</v>
      </c>
      <c r="C1017" s="538" t="s">
        <v>740</v>
      </c>
      <c r="D1017" s="538" t="s">
        <v>393</v>
      </c>
      <c r="E1017" s="538" t="s">
        <v>207</v>
      </c>
      <c r="F1017" s="538">
        <v>3092721</v>
      </c>
      <c r="G1017" s="538">
        <v>222</v>
      </c>
    </row>
    <row r="1018" spans="1:7" x14ac:dyDescent="0.2">
      <c r="A1018" s="538">
        <v>5</v>
      </c>
      <c r="B1018" s="538" t="s">
        <v>6651</v>
      </c>
      <c r="C1018" s="538" t="s">
        <v>393</v>
      </c>
      <c r="D1018" s="538" t="s">
        <v>393</v>
      </c>
      <c r="E1018" s="538" t="s">
        <v>449</v>
      </c>
      <c r="F1018" s="538">
        <v>101952</v>
      </c>
      <c r="G1018" s="538">
        <v>9</v>
      </c>
    </row>
    <row r="1019" spans="1:7" x14ac:dyDescent="0.2">
      <c r="A1019" s="538">
        <v>2</v>
      </c>
      <c r="B1019" s="538" t="s">
        <v>6576</v>
      </c>
      <c r="C1019" s="538" t="s">
        <v>740</v>
      </c>
      <c r="D1019" s="538" t="s">
        <v>393</v>
      </c>
      <c r="E1019" s="538" t="s">
        <v>416</v>
      </c>
      <c r="F1019" s="538">
        <v>1818925</v>
      </c>
      <c r="G1019" s="538">
        <v>30</v>
      </c>
    </row>
    <row r="1020" spans="1:7" x14ac:dyDescent="0.2">
      <c r="A1020" s="538">
        <v>10</v>
      </c>
      <c r="B1020" s="538" t="s">
        <v>6597</v>
      </c>
      <c r="C1020" s="538" t="s">
        <v>740</v>
      </c>
      <c r="D1020" s="538" t="s">
        <v>393</v>
      </c>
      <c r="E1020" s="538" t="s">
        <v>230</v>
      </c>
      <c r="F1020" s="538">
        <v>6930779</v>
      </c>
      <c r="G1020" s="538">
        <v>158</v>
      </c>
    </row>
    <row r="1021" spans="1:7" x14ac:dyDescent="0.2">
      <c r="A1021" s="538">
        <v>10</v>
      </c>
      <c r="B1021" s="538" t="s">
        <v>6597</v>
      </c>
      <c r="C1021" s="538" t="s">
        <v>393</v>
      </c>
      <c r="D1021" s="538" t="s">
        <v>393</v>
      </c>
      <c r="E1021" s="538" t="s">
        <v>212</v>
      </c>
      <c r="F1021" s="538">
        <v>650475</v>
      </c>
      <c r="G1021" s="538">
        <v>45</v>
      </c>
    </row>
    <row r="1022" spans="1:7" x14ac:dyDescent="0.2">
      <c r="A1022" s="538">
        <v>3</v>
      </c>
      <c r="B1022" s="538" t="s">
        <v>6586</v>
      </c>
      <c r="C1022" s="538" t="s">
        <v>740</v>
      </c>
      <c r="D1022" s="538" t="s">
        <v>740</v>
      </c>
      <c r="E1022" s="538" t="s">
        <v>202</v>
      </c>
      <c r="F1022" s="538">
        <v>3119594</v>
      </c>
      <c r="G1022" s="538">
        <v>28</v>
      </c>
    </row>
    <row r="1023" spans="1:7" x14ac:dyDescent="0.2">
      <c r="A1023" s="538">
        <v>4</v>
      </c>
      <c r="B1023" s="538" t="s">
        <v>6590</v>
      </c>
      <c r="C1023" s="538" t="s">
        <v>740</v>
      </c>
      <c r="D1023" s="538" t="s">
        <v>393</v>
      </c>
      <c r="E1023" s="538" t="s">
        <v>416</v>
      </c>
      <c r="F1023" s="538">
        <v>7299720</v>
      </c>
      <c r="G1023" s="538">
        <v>120</v>
      </c>
    </row>
    <row r="1024" spans="1:7" x14ac:dyDescent="0.2">
      <c r="A1024" s="538">
        <v>6</v>
      </c>
      <c r="B1024" s="538" t="s">
        <v>6575</v>
      </c>
      <c r="C1024" s="538" t="s">
        <v>740</v>
      </c>
      <c r="D1024" s="538" t="s">
        <v>393</v>
      </c>
      <c r="E1024" s="538" t="s">
        <v>860</v>
      </c>
      <c r="F1024" s="538">
        <v>9350754</v>
      </c>
      <c r="G1024" s="538">
        <v>368</v>
      </c>
    </row>
    <row r="1025" spans="1:7" x14ac:dyDescent="0.2">
      <c r="A1025" s="538">
        <v>6</v>
      </c>
      <c r="B1025" s="538" t="s">
        <v>6617</v>
      </c>
      <c r="C1025" s="538" t="s">
        <v>393</v>
      </c>
      <c r="D1025" s="538" t="s">
        <v>740</v>
      </c>
      <c r="E1025" s="538" t="s">
        <v>409</v>
      </c>
      <c r="F1025" s="538">
        <v>695964</v>
      </c>
      <c r="G1025" s="538">
        <v>58</v>
      </c>
    </row>
    <row r="1026" spans="1:7" x14ac:dyDescent="0.2">
      <c r="A1026" s="538">
        <v>7</v>
      </c>
      <c r="B1026" s="538" t="s">
        <v>6564</v>
      </c>
      <c r="C1026" s="538" t="s">
        <v>393</v>
      </c>
      <c r="D1026" s="538" t="s">
        <v>740</v>
      </c>
      <c r="E1026" s="538" t="s">
        <v>449</v>
      </c>
      <c r="F1026" s="538">
        <v>33984</v>
      </c>
      <c r="G1026" s="538">
        <v>3</v>
      </c>
    </row>
    <row r="1027" spans="1:7" x14ac:dyDescent="0.2">
      <c r="A1027" s="538">
        <v>11</v>
      </c>
      <c r="B1027" s="538" t="s">
        <v>6584</v>
      </c>
      <c r="C1027" s="538" t="s">
        <v>740</v>
      </c>
      <c r="D1027" s="538" t="s">
        <v>393</v>
      </c>
      <c r="E1027" s="538" t="s">
        <v>211</v>
      </c>
      <c r="F1027" s="538">
        <v>176115</v>
      </c>
      <c r="G1027" s="538">
        <v>10</v>
      </c>
    </row>
    <row r="1028" spans="1:7" x14ac:dyDescent="0.2">
      <c r="A1028" s="538">
        <v>10</v>
      </c>
      <c r="B1028" s="538" t="s">
        <v>6587</v>
      </c>
      <c r="C1028" s="538" t="s">
        <v>740</v>
      </c>
      <c r="D1028" s="538" t="s">
        <v>393</v>
      </c>
      <c r="E1028" s="538" t="s">
        <v>212</v>
      </c>
      <c r="F1028" s="538">
        <v>266739</v>
      </c>
      <c r="G1028" s="538">
        <v>18</v>
      </c>
    </row>
    <row r="1029" spans="1:7" x14ac:dyDescent="0.2">
      <c r="A1029" s="538">
        <v>10</v>
      </c>
      <c r="B1029" s="538" t="s">
        <v>6653</v>
      </c>
      <c r="C1029" s="538" t="s">
        <v>740</v>
      </c>
      <c r="D1029" s="538" t="s">
        <v>740</v>
      </c>
      <c r="E1029" s="538" t="s">
        <v>449</v>
      </c>
      <c r="F1029" s="538">
        <v>33984</v>
      </c>
      <c r="G1029" s="538">
        <v>3</v>
      </c>
    </row>
    <row r="1030" spans="1:7" x14ac:dyDescent="0.2">
      <c r="A1030" s="538">
        <v>3</v>
      </c>
      <c r="B1030" s="538" t="s">
        <v>6578</v>
      </c>
      <c r="C1030" s="538" t="s">
        <v>393</v>
      </c>
      <c r="D1030" s="538" t="s">
        <v>393</v>
      </c>
      <c r="E1030" s="538" t="s">
        <v>313</v>
      </c>
      <c r="F1030" s="538">
        <v>2160431</v>
      </c>
      <c r="G1030" s="538">
        <v>7</v>
      </c>
    </row>
    <row r="1031" spans="1:7" x14ac:dyDescent="0.2">
      <c r="A1031" s="538">
        <v>3</v>
      </c>
      <c r="B1031" s="538" t="s">
        <v>6591</v>
      </c>
      <c r="C1031" s="538" t="s">
        <v>740</v>
      </c>
      <c r="D1031" s="538" t="s">
        <v>740</v>
      </c>
      <c r="E1031" s="538" t="s">
        <v>401</v>
      </c>
      <c r="F1031" s="538">
        <v>22656</v>
      </c>
      <c r="G1031" s="538">
        <v>2</v>
      </c>
    </row>
    <row r="1032" spans="1:7" x14ac:dyDescent="0.2">
      <c r="A1032" s="538">
        <v>3</v>
      </c>
      <c r="B1032" s="538" t="s">
        <v>6561</v>
      </c>
      <c r="C1032" s="538" t="s">
        <v>740</v>
      </c>
      <c r="D1032" s="538" t="s">
        <v>393</v>
      </c>
      <c r="E1032" s="538" t="s">
        <v>860</v>
      </c>
      <c r="F1032" s="538">
        <v>1923230</v>
      </c>
      <c r="G1032" s="538">
        <v>100</v>
      </c>
    </row>
    <row r="1033" spans="1:7" x14ac:dyDescent="0.2">
      <c r="A1033" s="538">
        <v>7</v>
      </c>
      <c r="B1033" s="538" t="s">
        <v>6655</v>
      </c>
      <c r="C1033" s="538" t="s">
        <v>740</v>
      </c>
      <c r="D1033" s="538" t="s">
        <v>393</v>
      </c>
      <c r="E1033" s="538" t="s">
        <v>402</v>
      </c>
      <c r="F1033" s="538">
        <v>2154569</v>
      </c>
      <c r="G1033" s="538">
        <v>108</v>
      </c>
    </row>
    <row r="1034" spans="1:7" x14ac:dyDescent="0.2">
      <c r="A1034" s="538">
        <v>1</v>
      </c>
      <c r="B1034" s="538" t="s">
        <v>6609</v>
      </c>
      <c r="C1034" s="538" t="s">
        <v>740</v>
      </c>
      <c r="D1034" s="538" t="s">
        <v>393</v>
      </c>
      <c r="E1034" s="538" t="s">
        <v>416</v>
      </c>
      <c r="F1034" s="538">
        <v>8533160</v>
      </c>
      <c r="G1034" s="538">
        <v>240</v>
      </c>
    </row>
    <row r="1035" spans="1:7" x14ac:dyDescent="0.2">
      <c r="A1035" s="538">
        <v>12</v>
      </c>
      <c r="B1035" s="538" t="s">
        <v>6563</v>
      </c>
      <c r="C1035" s="538" t="s">
        <v>740</v>
      </c>
      <c r="D1035" s="538" t="s">
        <v>393</v>
      </c>
      <c r="E1035" s="538" t="s">
        <v>313</v>
      </c>
      <c r="F1035" s="538">
        <v>1177706</v>
      </c>
      <c r="G1035" s="538">
        <v>12</v>
      </c>
    </row>
    <row r="1036" spans="1:7" x14ac:dyDescent="0.2">
      <c r="A1036" s="538">
        <v>9</v>
      </c>
      <c r="B1036" s="538" t="s">
        <v>6615</v>
      </c>
      <c r="C1036" s="538" t="s">
        <v>740</v>
      </c>
      <c r="D1036" s="538" t="s">
        <v>393</v>
      </c>
      <c r="E1036" s="538" t="s">
        <v>202</v>
      </c>
      <c r="F1036" s="538">
        <v>50268</v>
      </c>
      <c r="G1036" s="538">
        <v>1</v>
      </c>
    </row>
    <row r="1037" spans="1:7" x14ac:dyDescent="0.2">
      <c r="A1037" s="538">
        <v>8</v>
      </c>
      <c r="B1037" s="538" t="s">
        <v>6567</v>
      </c>
      <c r="C1037" s="538" t="s">
        <v>393</v>
      </c>
      <c r="D1037" s="538" t="s">
        <v>393</v>
      </c>
      <c r="E1037" s="538" t="s">
        <v>211</v>
      </c>
      <c r="F1037" s="538">
        <v>15013578</v>
      </c>
      <c r="G1037" s="538">
        <v>286</v>
      </c>
    </row>
    <row r="1038" spans="1:7" x14ac:dyDescent="0.2">
      <c r="A1038" s="538">
        <v>12</v>
      </c>
      <c r="B1038" s="538" t="s">
        <v>6563</v>
      </c>
      <c r="C1038" s="538" t="s">
        <v>740</v>
      </c>
      <c r="D1038" s="538" t="s">
        <v>393</v>
      </c>
      <c r="E1038" s="538" t="s">
        <v>212</v>
      </c>
      <c r="F1038" s="538">
        <v>6494255</v>
      </c>
      <c r="G1038" s="538">
        <v>485</v>
      </c>
    </row>
    <row r="1039" spans="1:7" x14ac:dyDescent="0.2">
      <c r="A1039" s="538">
        <v>8</v>
      </c>
      <c r="B1039" s="538" t="s">
        <v>6560</v>
      </c>
      <c r="C1039" s="538" t="s">
        <v>740</v>
      </c>
      <c r="D1039" s="538" t="s">
        <v>393</v>
      </c>
      <c r="E1039" s="538" t="s">
        <v>210</v>
      </c>
      <c r="F1039" s="538">
        <v>41958736</v>
      </c>
      <c r="G1039" s="538">
        <v>1997</v>
      </c>
    </row>
    <row r="1040" spans="1:7" x14ac:dyDescent="0.2">
      <c r="A1040" s="538">
        <v>7</v>
      </c>
      <c r="B1040" s="538" t="s">
        <v>6594</v>
      </c>
      <c r="C1040" s="538" t="s">
        <v>740</v>
      </c>
      <c r="D1040" s="538" t="s">
        <v>393</v>
      </c>
      <c r="E1040" s="538" t="s">
        <v>860</v>
      </c>
      <c r="F1040" s="538">
        <v>11328</v>
      </c>
      <c r="G1040" s="538">
        <v>1</v>
      </c>
    </row>
    <row r="1041" spans="1:7" x14ac:dyDescent="0.2">
      <c r="A1041" s="538">
        <v>10</v>
      </c>
      <c r="B1041" s="538" t="s">
        <v>6600</v>
      </c>
      <c r="C1041" s="538" t="s">
        <v>740</v>
      </c>
      <c r="D1041" s="538" t="s">
        <v>393</v>
      </c>
      <c r="E1041" s="538" t="s">
        <v>212</v>
      </c>
      <c r="F1041" s="538">
        <v>464448</v>
      </c>
      <c r="G1041" s="538">
        <v>41</v>
      </c>
    </row>
    <row r="1042" spans="1:7" x14ac:dyDescent="0.2">
      <c r="A1042" s="538">
        <v>7</v>
      </c>
      <c r="B1042" s="538" t="s">
        <v>6588</v>
      </c>
      <c r="C1042" s="538" t="s">
        <v>740</v>
      </c>
      <c r="D1042" s="538" t="s">
        <v>740</v>
      </c>
      <c r="E1042" s="538" t="s">
        <v>449</v>
      </c>
      <c r="F1042" s="538">
        <v>11328</v>
      </c>
      <c r="G1042" s="538">
        <v>1</v>
      </c>
    </row>
    <row r="1043" spans="1:7" x14ac:dyDescent="0.2">
      <c r="A1043" s="538">
        <v>3</v>
      </c>
      <c r="B1043" s="538" t="s">
        <v>6586</v>
      </c>
      <c r="C1043" s="538" t="s">
        <v>740</v>
      </c>
      <c r="D1043" s="538" t="s">
        <v>393</v>
      </c>
      <c r="E1043" s="538" t="s">
        <v>416</v>
      </c>
      <c r="F1043" s="538">
        <v>1458251</v>
      </c>
      <c r="G1043" s="538">
        <v>32</v>
      </c>
    </row>
    <row r="1044" spans="1:7" x14ac:dyDescent="0.2">
      <c r="A1044" s="538">
        <v>1</v>
      </c>
      <c r="B1044" s="538" t="s">
        <v>1288</v>
      </c>
      <c r="C1044" s="538" t="s">
        <v>393</v>
      </c>
      <c r="D1044" s="538" t="s">
        <v>393</v>
      </c>
      <c r="E1044" s="538" t="s">
        <v>419</v>
      </c>
      <c r="F1044" s="538">
        <v>11328</v>
      </c>
      <c r="G1044" s="538">
        <v>1</v>
      </c>
    </row>
    <row r="1045" spans="1:7" x14ac:dyDescent="0.2">
      <c r="A1045" s="538">
        <v>6</v>
      </c>
      <c r="B1045" s="538" t="s">
        <v>6596</v>
      </c>
      <c r="C1045" s="538" t="s">
        <v>740</v>
      </c>
      <c r="D1045" s="538" t="s">
        <v>393</v>
      </c>
      <c r="E1045" s="538" t="s">
        <v>202</v>
      </c>
      <c r="F1045" s="538">
        <v>570596</v>
      </c>
      <c r="G1045" s="538">
        <v>2</v>
      </c>
    </row>
    <row r="1046" spans="1:7" x14ac:dyDescent="0.2">
      <c r="A1046" s="538">
        <v>7</v>
      </c>
      <c r="B1046" s="538" t="s">
        <v>6571</v>
      </c>
      <c r="C1046" s="538" t="s">
        <v>740</v>
      </c>
      <c r="D1046" s="538" t="s">
        <v>393</v>
      </c>
      <c r="E1046" s="538" t="s">
        <v>210</v>
      </c>
      <c r="F1046" s="538">
        <v>79296</v>
      </c>
      <c r="G1046" s="538">
        <v>7</v>
      </c>
    </row>
    <row r="1047" spans="1:7" x14ac:dyDescent="0.2">
      <c r="A1047" s="538">
        <v>2</v>
      </c>
      <c r="B1047" s="538" t="s">
        <v>6055</v>
      </c>
      <c r="C1047" s="538" t="s">
        <v>740</v>
      </c>
      <c r="D1047" s="538" t="s">
        <v>393</v>
      </c>
      <c r="E1047" s="538" t="s">
        <v>438</v>
      </c>
      <c r="F1047" s="538">
        <v>84878253</v>
      </c>
      <c r="G1047" s="538">
        <v>1016</v>
      </c>
    </row>
    <row r="1048" spans="1:7" x14ac:dyDescent="0.2">
      <c r="A1048" s="538">
        <v>2</v>
      </c>
      <c r="B1048" s="538" t="s">
        <v>6055</v>
      </c>
      <c r="C1048" s="538" t="s">
        <v>740</v>
      </c>
      <c r="D1048" s="538" t="s">
        <v>393</v>
      </c>
      <c r="E1048" s="538" t="s">
        <v>206</v>
      </c>
      <c r="F1048" s="538">
        <v>3503049</v>
      </c>
      <c r="G1048" s="538">
        <v>33</v>
      </c>
    </row>
    <row r="1049" spans="1:7" x14ac:dyDescent="0.2">
      <c r="A1049" s="538">
        <v>4</v>
      </c>
      <c r="B1049" s="538" t="s">
        <v>6559</v>
      </c>
      <c r="C1049" s="538" t="s">
        <v>740</v>
      </c>
      <c r="D1049" s="538" t="s">
        <v>393</v>
      </c>
      <c r="E1049" s="538" t="s">
        <v>390</v>
      </c>
      <c r="F1049" s="538">
        <v>39155191</v>
      </c>
      <c r="G1049" s="538">
        <v>1697</v>
      </c>
    </row>
    <row r="1050" spans="1:7" x14ac:dyDescent="0.2">
      <c r="A1050" s="538">
        <v>5</v>
      </c>
      <c r="B1050" s="538" t="s">
        <v>6598</v>
      </c>
      <c r="C1050" s="538" t="s">
        <v>393</v>
      </c>
      <c r="D1050" s="538" t="s">
        <v>740</v>
      </c>
      <c r="E1050" s="538" t="s">
        <v>390</v>
      </c>
      <c r="F1050" s="538">
        <v>5476776</v>
      </c>
      <c r="G1050" s="538">
        <v>82</v>
      </c>
    </row>
    <row r="1051" spans="1:7" x14ac:dyDescent="0.2">
      <c r="A1051" s="538">
        <v>2</v>
      </c>
      <c r="B1051" s="538" t="s">
        <v>6576</v>
      </c>
      <c r="C1051" s="538" t="s">
        <v>740</v>
      </c>
      <c r="D1051" s="538" t="s">
        <v>393</v>
      </c>
      <c r="E1051" s="538" t="s">
        <v>230</v>
      </c>
      <c r="F1051" s="538">
        <v>4157397</v>
      </c>
      <c r="G1051" s="538">
        <v>84</v>
      </c>
    </row>
    <row r="1052" spans="1:7" x14ac:dyDescent="0.2">
      <c r="A1052" s="538">
        <v>1</v>
      </c>
      <c r="B1052" s="538" t="s">
        <v>6646</v>
      </c>
      <c r="C1052" s="538" t="s">
        <v>740</v>
      </c>
      <c r="D1052" s="538" t="s">
        <v>393</v>
      </c>
      <c r="E1052" s="538" t="s">
        <v>210</v>
      </c>
      <c r="F1052" s="538">
        <v>958049</v>
      </c>
      <c r="G1052" s="538">
        <v>28</v>
      </c>
    </row>
    <row r="1053" spans="1:7" x14ac:dyDescent="0.2">
      <c r="A1053" s="538">
        <v>3</v>
      </c>
      <c r="B1053" s="538" t="s">
        <v>1390</v>
      </c>
      <c r="C1053" s="538" t="s">
        <v>393</v>
      </c>
      <c r="D1053" s="538" t="s">
        <v>393</v>
      </c>
      <c r="E1053" s="538" t="s">
        <v>438</v>
      </c>
      <c r="F1053" s="538">
        <v>14568788</v>
      </c>
      <c r="G1053" s="538">
        <v>116</v>
      </c>
    </row>
    <row r="1054" spans="1:7" x14ac:dyDescent="0.2">
      <c r="A1054" s="538">
        <v>3</v>
      </c>
      <c r="B1054" s="538" t="s">
        <v>1390</v>
      </c>
      <c r="C1054" s="538" t="s">
        <v>393</v>
      </c>
      <c r="D1054" s="538" t="s">
        <v>393</v>
      </c>
      <c r="E1054" s="538" t="s">
        <v>206</v>
      </c>
      <c r="F1054" s="538">
        <v>604580</v>
      </c>
      <c r="G1054" s="538">
        <v>5</v>
      </c>
    </row>
    <row r="1055" spans="1:7" x14ac:dyDescent="0.2">
      <c r="A1055" s="538">
        <v>1</v>
      </c>
      <c r="B1055" s="538" t="s">
        <v>6581</v>
      </c>
      <c r="C1055" s="538" t="s">
        <v>393</v>
      </c>
      <c r="D1055" s="538" t="s">
        <v>740</v>
      </c>
      <c r="E1055" s="538" t="s">
        <v>416</v>
      </c>
      <c r="F1055" s="538">
        <v>7643381</v>
      </c>
      <c r="G1055" s="538">
        <v>157</v>
      </c>
    </row>
    <row r="1056" spans="1:7" x14ac:dyDescent="0.2">
      <c r="A1056" s="538">
        <v>6</v>
      </c>
      <c r="B1056" s="538" t="s">
        <v>6617</v>
      </c>
      <c r="C1056" s="538" t="s">
        <v>393</v>
      </c>
      <c r="D1056" s="538" t="s">
        <v>393</v>
      </c>
      <c r="E1056" s="538" t="s">
        <v>207</v>
      </c>
      <c r="F1056" s="538">
        <v>12427545</v>
      </c>
      <c r="G1056" s="538">
        <v>795</v>
      </c>
    </row>
    <row r="1057" spans="1:7" x14ac:dyDescent="0.2">
      <c r="A1057" s="538">
        <v>5</v>
      </c>
      <c r="B1057" s="538" t="s">
        <v>6598</v>
      </c>
      <c r="C1057" s="538" t="s">
        <v>740</v>
      </c>
      <c r="D1057" s="538" t="s">
        <v>393</v>
      </c>
      <c r="E1057" s="538" t="s">
        <v>209</v>
      </c>
      <c r="F1057" s="538">
        <v>12281802</v>
      </c>
      <c r="G1057" s="538">
        <v>74</v>
      </c>
    </row>
    <row r="1058" spans="1:7" x14ac:dyDescent="0.2">
      <c r="A1058" s="538">
        <v>3</v>
      </c>
      <c r="B1058" s="538" t="s">
        <v>1390</v>
      </c>
      <c r="C1058" s="538" t="s">
        <v>740</v>
      </c>
      <c r="D1058" s="538" t="s">
        <v>393</v>
      </c>
      <c r="E1058" s="538" t="s">
        <v>230</v>
      </c>
      <c r="F1058" s="538">
        <v>8253677</v>
      </c>
      <c r="G1058" s="538">
        <v>204</v>
      </c>
    </row>
    <row r="1059" spans="1:7" x14ac:dyDescent="0.2">
      <c r="A1059" s="538">
        <v>1</v>
      </c>
      <c r="B1059" s="538" t="s">
        <v>6649</v>
      </c>
      <c r="C1059" s="538" t="s">
        <v>393</v>
      </c>
      <c r="D1059" s="538" t="s">
        <v>393</v>
      </c>
      <c r="E1059" s="538" t="s">
        <v>401</v>
      </c>
      <c r="F1059" s="538">
        <v>33984</v>
      </c>
      <c r="G1059" s="538">
        <v>3</v>
      </c>
    </row>
    <row r="1060" spans="1:7" x14ac:dyDescent="0.2">
      <c r="A1060" s="538">
        <v>8</v>
      </c>
      <c r="B1060" s="538" t="s">
        <v>6560</v>
      </c>
      <c r="C1060" s="538" t="s">
        <v>393</v>
      </c>
      <c r="D1060" s="538" t="s">
        <v>393</v>
      </c>
      <c r="E1060" s="538" t="s">
        <v>209</v>
      </c>
      <c r="F1060" s="538">
        <v>2145386</v>
      </c>
      <c r="G1060" s="538">
        <v>7</v>
      </c>
    </row>
    <row r="1061" spans="1:7" x14ac:dyDescent="0.2">
      <c r="A1061" s="538">
        <v>7</v>
      </c>
      <c r="B1061" s="538" t="s">
        <v>6579</v>
      </c>
      <c r="C1061" s="538" t="s">
        <v>393</v>
      </c>
      <c r="D1061" s="538" t="s">
        <v>740</v>
      </c>
      <c r="E1061" s="538" t="s">
        <v>209</v>
      </c>
      <c r="F1061" s="538">
        <v>992866</v>
      </c>
      <c r="G1061" s="538">
        <v>2</v>
      </c>
    </row>
    <row r="1062" spans="1:7" x14ac:dyDescent="0.2">
      <c r="A1062" s="538">
        <v>4</v>
      </c>
      <c r="B1062" s="538" t="s">
        <v>6590</v>
      </c>
      <c r="C1062" s="538" t="s">
        <v>740</v>
      </c>
      <c r="D1062" s="538" t="s">
        <v>393</v>
      </c>
      <c r="E1062" s="538" t="s">
        <v>313</v>
      </c>
      <c r="F1062" s="538">
        <v>74163</v>
      </c>
      <c r="G1062" s="538">
        <v>1</v>
      </c>
    </row>
    <row r="1063" spans="1:7" x14ac:dyDescent="0.2">
      <c r="A1063" s="538">
        <v>9</v>
      </c>
      <c r="B1063" s="538" t="s">
        <v>6657</v>
      </c>
      <c r="C1063" s="538" t="s">
        <v>393</v>
      </c>
      <c r="D1063" s="538" t="s">
        <v>393</v>
      </c>
      <c r="E1063" s="538" t="s">
        <v>860</v>
      </c>
      <c r="F1063" s="538">
        <v>358425</v>
      </c>
      <c r="G1063" s="538">
        <v>15</v>
      </c>
    </row>
    <row r="1064" spans="1:7" x14ac:dyDescent="0.2">
      <c r="A1064" s="538">
        <v>10</v>
      </c>
      <c r="B1064" s="538" t="s">
        <v>6587</v>
      </c>
      <c r="C1064" s="538" t="s">
        <v>740</v>
      </c>
      <c r="D1064" s="538" t="s">
        <v>740</v>
      </c>
      <c r="E1064" s="538" t="s">
        <v>416</v>
      </c>
      <c r="F1064" s="538">
        <v>1414532</v>
      </c>
      <c r="G1064" s="538">
        <v>44</v>
      </c>
    </row>
    <row r="1065" spans="1:7" x14ac:dyDescent="0.2">
      <c r="A1065" s="538">
        <v>4</v>
      </c>
      <c r="B1065" s="538" t="s">
        <v>6562</v>
      </c>
      <c r="C1065" s="538" t="s">
        <v>740</v>
      </c>
      <c r="D1065" s="538" t="s">
        <v>393</v>
      </c>
      <c r="E1065" s="538" t="s">
        <v>416</v>
      </c>
      <c r="F1065" s="538">
        <v>11326720</v>
      </c>
      <c r="G1065" s="538">
        <v>235</v>
      </c>
    </row>
    <row r="1066" spans="1:7" x14ac:dyDescent="0.2">
      <c r="A1066" s="538">
        <v>4</v>
      </c>
      <c r="B1066" s="538" t="s">
        <v>6572</v>
      </c>
      <c r="C1066" s="538" t="s">
        <v>740</v>
      </c>
      <c r="D1066" s="538" t="s">
        <v>393</v>
      </c>
      <c r="E1066" s="538" t="s">
        <v>211</v>
      </c>
      <c r="F1066" s="538">
        <v>161418290</v>
      </c>
      <c r="G1066" s="538">
        <v>4010</v>
      </c>
    </row>
    <row r="1067" spans="1:7" x14ac:dyDescent="0.2">
      <c r="A1067" s="538">
        <v>5</v>
      </c>
      <c r="B1067" s="538" t="s">
        <v>6568</v>
      </c>
      <c r="C1067" s="538" t="s">
        <v>740</v>
      </c>
      <c r="D1067" s="538" t="s">
        <v>393</v>
      </c>
      <c r="E1067" s="538" t="s">
        <v>409</v>
      </c>
      <c r="F1067" s="538">
        <v>164787</v>
      </c>
      <c r="G1067" s="538">
        <v>9</v>
      </c>
    </row>
    <row r="1068" spans="1:7" x14ac:dyDescent="0.2">
      <c r="A1068" s="538">
        <v>3</v>
      </c>
      <c r="B1068" s="538" t="s">
        <v>6586</v>
      </c>
      <c r="C1068" s="538" t="s">
        <v>740</v>
      </c>
      <c r="D1068" s="538" t="s">
        <v>393</v>
      </c>
      <c r="E1068" s="538" t="s">
        <v>210</v>
      </c>
      <c r="F1068" s="538">
        <v>28333880</v>
      </c>
      <c r="G1068" s="538">
        <v>1065</v>
      </c>
    </row>
    <row r="1069" spans="1:7" x14ac:dyDescent="0.2">
      <c r="A1069" s="538">
        <v>6</v>
      </c>
      <c r="B1069" s="538" t="s">
        <v>6429</v>
      </c>
      <c r="C1069" s="538" t="s">
        <v>740</v>
      </c>
      <c r="D1069" s="538" t="s">
        <v>393</v>
      </c>
      <c r="E1069" s="538" t="s">
        <v>402</v>
      </c>
      <c r="F1069" s="538">
        <v>67968</v>
      </c>
      <c r="G1069" s="538">
        <v>6</v>
      </c>
    </row>
    <row r="1070" spans="1:7" x14ac:dyDescent="0.2">
      <c r="A1070" s="538">
        <v>3</v>
      </c>
      <c r="B1070" s="538" t="s">
        <v>6561</v>
      </c>
      <c r="C1070" s="538" t="s">
        <v>393</v>
      </c>
      <c r="D1070" s="538" t="s">
        <v>393</v>
      </c>
      <c r="E1070" s="538" t="s">
        <v>210</v>
      </c>
      <c r="F1070" s="538">
        <v>3896697</v>
      </c>
      <c r="G1070" s="538">
        <v>49</v>
      </c>
    </row>
    <row r="1071" spans="1:7" x14ac:dyDescent="0.2">
      <c r="A1071" s="538">
        <v>2</v>
      </c>
      <c r="B1071" s="538" t="s">
        <v>6573</v>
      </c>
      <c r="C1071" s="538" t="s">
        <v>393</v>
      </c>
      <c r="D1071" s="538" t="s">
        <v>393</v>
      </c>
      <c r="E1071" s="538" t="s">
        <v>211</v>
      </c>
      <c r="F1071" s="538">
        <v>55157942</v>
      </c>
      <c r="G1071" s="538">
        <v>554</v>
      </c>
    </row>
    <row r="1072" spans="1:7" x14ac:dyDescent="0.2">
      <c r="A1072" s="538">
        <v>7</v>
      </c>
      <c r="B1072" s="538" t="s">
        <v>6564</v>
      </c>
      <c r="C1072" s="538" t="s">
        <v>740</v>
      </c>
      <c r="D1072" s="538" t="s">
        <v>393</v>
      </c>
      <c r="E1072" s="538" t="s">
        <v>212</v>
      </c>
      <c r="F1072" s="538">
        <v>90624</v>
      </c>
      <c r="G1072" s="538">
        <v>8</v>
      </c>
    </row>
    <row r="1073" spans="1:7" x14ac:dyDescent="0.2">
      <c r="A1073" s="538">
        <v>3</v>
      </c>
      <c r="B1073" s="538" t="s">
        <v>1390</v>
      </c>
      <c r="C1073" s="538" t="s">
        <v>740</v>
      </c>
      <c r="D1073" s="538" t="s">
        <v>393</v>
      </c>
      <c r="E1073" s="538" t="s">
        <v>390</v>
      </c>
      <c r="F1073" s="538">
        <v>17052576</v>
      </c>
      <c r="G1073" s="538">
        <v>657</v>
      </c>
    </row>
    <row r="1074" spans="1:7" x14ac:dyDescent="0.2">
      <c r="A1074" s="538">
        <v>10</v>
      </c>
      <c r="B1074" s="538" t="s">
        <v>6597</v>
      </c>
      <c r="C1074" s="538" t="s">
        <v>393</v>
      </c>
      <c r="D1074" s="538" t="s">
        <v>393</v>
      </c>
      <c r="E1074" s="538" t="s">
        <v>210</v>
      </c>
      <c r="F1074" s="538">
        <v>1234877</v>
      </c>
      <c r="G1074" s="538">
        <v>44</v>
      </c>
    </row>
    <row r="1075" spans="1:7" x14ac:dyDescent="0.2">
      <c r="A1075" s="538">
        <v>4</v>
      </c>
      <c r="B1075" s="538" t="s">
        <v>6559</v>
      </c>
      <c r="C1075" s="538" t="s">
        <v>740</v>
      </c>
      <c r="D1075" s="538" t="s">
        <v>393</v>
      </c>
      <c r="E1075" s="538" t="s">
        <v>230</v>
      </c>
      <c r="F1075" s="538">
        <v>67968</v>
      </c>
      <c r="G1075" s="538">
        <v>6</v>
      </c>
    </row>
    <row r="1076" spans="1:7" x14ac:dyDescent="0.2">
      <c r="A1076" s="538">
        <v>3</v>
      </c>
      <c r="B1076" s="538" t="s">
        <v>6586</v>
      </c>
      <c r="C1076" s="538" t="s">
        <v>740</v>
      </c>
      <c r="D1076" s="538" t="s">
        <v>393</v>
      </c>
      <c r="E1076" s="538" t="s">
        <v>210</v>
      </c>
      <c r="F1076" s="538">
        <v>362319</v>
      </c>
      <c r="G1076" s="538">
        <v>23</v>
      </c>
    </row>
    <row r="1077" spans="1:7" x14ac:dyDescent="0.2">
      <c r="A1077" s="538">
        <v>12</v>
      </c>
      <c r="B1077" s="538" t="s">
        <v>6563</v>
      </c>
      <c r="C1077" s="538" t="s">
        <v>740</v>
      </c>
      <c r="D1077" s="538" t="s">
        <v>740</v>
      </c>
      <c r="E1077" s="538" t="s">
        <v>402</v>
      </c>
      <c r="F1077" s="538">
        <v>246083422</v>
      </c>
      <c r="G1077" s="538">
        <v>7479</v>
      </c>
    </row>
    <row r="1078" spans="1:7" x14ac:dyDescent="0.2">
      <c r="A1078" s="538">
        <v>11</v>
      </c>
      <c r="B1078" s="538" t="s">
        <v>6584</v>
      </c>
      <c r="C1078" s="538" t="s">
        <v>740</v>
      </c>
      <c r="D1078" s="538" t="s">
        <v>740</v>
      </c>
      <c r="E1078" s="538" t="s">
        <v>390</v>
      </c>
      <c r="F1078" s="538">
        <v>169743</v>
      </c>
      <c r="G1078" s="538">
        <v>6</v>
      </c>
    </row>
    <row r="1079" spans="1:7" x14ac:dyDescent="0.2">
      <c r="A1079" s="538">
        <v>3</v>
      </c>
      <c r="B1079" s="538" t="s">
        <v>6591</v>
      </c>
      <c r="C1079" s="538" t="s">
        <v>393</v>
      </c>
      <c r="D1079" s="538" t="s">
        <v>393</v>
      </c>
      <c r="E1079" s="538" t="s">
        <v>401</v>
      </c>
      <c r="F1079" s="538">
        <v>572241</v>
      </c>
      <c r="G1079" s="538">
        <v>27</v>
      </c>
    </row>
    <row r="1080" spans="1:7" x14ac:dyDescent="0.2">
      <c r="A1080" s="538">
        <v>5</v>
      </c>
      <c r="B1080" s="538" t="s">
        <v>6589</v>
      </c>
      <c r="C1080" s="538" t="s">
        <v>740</v>
      </c>
      <c r="D1080" s="538" t="s">
        <v>393</v>
      </c>
      <c r="E1080" s="538" t="s">
        <v>211</v>
      </c>
      <c r="F1080" s="538">
        <v>13791351</v>
      </c>
      <c r="G1080" s="538">
        <v>432</v>
      </c>
    </row>
    <row r="1081" spans="1:7" x14ac:dyDescent="0.2">
      <c r="A1081" s="538">
        <v>11</v>
      </c>
      <c r="B1081" s="538" t="s">
        <v>6610</v>
      </c>
      <c r="C1081" s="538" t="s">
        <v>740</v>
      </c>
      <c r="D1081" s="538" t="s">
        <v>393</v>
      </c>
      <c r="E1081" s="538" t="s">
        <v>230</v>
      </c>
      <c r="F1081" s="538">
        <v>67968</v>
      </c>
      <c r="G1081" s="538">
        <v>6</v>
      </c>
    </row>
    <row r="1082" spans="1:7" x14ac:dyDescent="0.2">
      <c r="A1082" s="538">
        <v>8</v>
      </c>
      <c r="B1082" s="538" t="s">
        <v>6570</v>
      </c>
      <c r="C1082" s="538" t="s">
        <v>740</v>
      </c>
      <c r="D1082" s="538" t="s">
        <v>393</v>
      </c>
      <c r="E1082" s="538" t="s">
        <v>449</v>
      </c>
      <c r="F1082" s="538">
        <v>11328</v>
      </c>
      <c r="G1082" s="538">
        <v>1</v>
      </c>
    </row>
    <row r="1083" spans="1:7" x14ac:dyDescent="0.2">
      <c r="A1083" s="538">
        <v>4</v>
      </c>
      <c r="B1083" s="538" t="s">
        <v>6572</v>
      </c>
      <c r="C1083" s="538" t="s">
        <v>740</v>
      </c>
      <c r="D1083" s="538" t="s">
        <v>740</v>
      </c>
      <c r="E1083" s="538" t="s">
        <v>390</v>
      </c>
      <c r="F1083" s="538">
        <v>13886327</v>
      </c>
      <c r="G1083" s="538">
        <v>479</v>
      </c>
    </row>
    <row r="1084" spans="1:7" x14ac:dyDescent="0.2">
      <c r="A1084" s="538">
        <v>6</v>
      </c>
      <c r="B1084" s="538" t="s">
        <v>1668</v>
      </c>
      <c r="C1084" s="538" t="s">
        <v>393</v>
      </c>
      <c r="D1084" s="538" t="s">
        <v>740</v>
      </c>
      <c r="E1084" s="538" t="s">
        <v>211</v>
      </c>
      <c r="F1084" s="538">
        <v>1300846</v>
      </c>
      <c r="G1084" s="538">
        <v>7</v>
      </c>
    </row>
    <row r="1085" spans="1:7" x14ac:dyDescent="0.2">
      <c r="A1085" s="538">
        <v>5</v>
      </c>
      <c r="B1085" s="538" t="s">
        <v>6566</v>
      </c>
      <c r="C1085" s="538" t="s">
        <v>393</v>
      </c>
      <c r="D1085" s="538" t="s">
        <v>393</v>
      </c>
      <c r="E1085" s="538" t="s">
        <v>202</v>
      </c>
      <c r="F1085" s="538">
        <v>11950635</v>
      </c>
      <c r="G1085" s="538">
        <v>95</v>
      </c>
    </row>
    <row r="1086" spans="1:7" x14ac:dyDescent="0.2">
      <c r="A1086" s="538">
        <v>8</v>
      </c>
      <c r="B1086" s="538" t="s">
        <v>6583</v>
      </c>
      <c r="C1086" s="538" t="s">
        <v>740</v>
      </c>
      <c r="D1086" s="538" t="s">
        <v>740</v>
      </c>
      <c r="E1086" s="538" t="s">
        <v>390</v>
      </c>
      <c r="F1086" s="538">
        <v>23401483</v>
      </c>
      <c r="G1086" s="538">
        <v>681</v>
      </c>
    </row>
    <row r="1087" spans="1:7" x14ac:dyDescent="0.2">
      <c r="A1087" s="538">
        <v>6</v>
      </c>
      <c r="B1087" s="538" t="s">
        <v>6596</v>
      </c>
      <c r="C1087" s="538" t="s">
        <v>393</v>
      </c>
      <c r="D1087" s="538" t="s">
        <v>393</v>
      </c>
      <c r="E1087" s="538" t="s">
        <v>416</v>
      </c>
      <c r="F1087" s="538">
        <v>56837817</v>
      </c>
      <c r="G1087" s="538">
        <v>864</v>
      </c>
    </row>
    <row r="1088" spans="1:7" x14ac:dyDescent="0.2">
      <c r="A1088" s="538">
        <v>5</v>
      </c>
      <c r="B1088" s="538" t="s">
        <v>6599</v>
      </c>
      <c r="C1088" s="538" t="s">
        <v>740</v>
      </c>
      <c r="D1088" s="538" t="s">
        <v>393</v>
      </c>
      <c r="E1088" s="538" t="s">
        <v>438</v>
      </c>
      <c r="F1088" s="538">
        <v>22656</v>
      </c>
      <c r="G1088" s="538">
        <v>2</v>
      </c>
    </row>
    <row r="1089" spans="1:7" x14ac:dyDescent="0.2">
      <c r="A1089" s="538">
        <v>12</v>
      </c>
      <c r="B1089" s="538" t="s">
        <v>6569</v>
      </c>
      <c r="C1089" s="538" t="s">
        <v>740</v>
      </c>
      <c r="D1089" s="538" t="s">
        <v>740</v>
      </c>
      <c r="E1089" s="538" t="s">
        <v>211</v>
      </c>
      <c r="F1089" s="538">
        <v>1655783</v>
      </c>
      <c r="G1089" s="538">
        <v>46</v>
      </c>
    </row>
    <row r="1090" spans="1:7" x14ac:dyDescent="0.2">
      <c r="A1090" s="538">
        <v>9</v>
      </c>
      <c r="B1090" s="538" t="s">
        <v>6606</v>
      </c>
      <c r="C1090" s="538" t="s">
        <v>740</v>
      </c>
      <c r="D1090" s="538" t="s">
        <v>393</v>
      </c>
      <c r="E1090" s="538" t="s">
        <v>210</v>
      </c>
      <c r="F1090" s="538">
        <v>3664910</v>
      </c>
      <c r="G1090" s="538">
        <v>175</v>
      </c>
    </row>
    <row r="1091" spans="1:7" x14ac:dyDescent="0.2">
      <c r="A1091" s="538">
        <v>7</v>
      </c>
      <c r="B1091" s="538" t="s">
        <v>6594</v>
      </c>
      <c r="C1091" s="538" t="s">
        <v>740</v>
      </c>
      <c r="D1091" s="538" t="s">
        <v>393</v>
      </c>
      <c r="E1091" s="538" t="s">
        <v>409</v>
      </c>
      <c r="F1091" s="538">
        <v>108147</v>
      </c>
      <c r="G1091" s="538">
        <v>4</v>
      </c>
    </row>
    <row r="1092" spans="1:7" x14ac:dyDescent="0.2">
      <c r="A1092" s="538">
        <v>2</v>
      </c>
      <c r="B1092" s="538" t="s">
        <v>6055</v>
      </c>
      <c r="C1092" s="538" t="s">
        <v>740</v>
      </c>
      <c r="D1092" s="538" t="s">
        <v>740</v>
      </c>
      <c r="E1092" s="538" t="s">
        <v>212</v>
      </c>
      <c r="F1092" s="538">
        <v>771189</v>
      </c>
      <c r="G1092" s="538">
        <v>48</v>
      </c>
    </row>
    <row r="1093" spans="1:7" x14ac:dyDescent="0.2">
      <c r="A1093" s="538">
        <v>3</v>
      </c>
      <c r="B1093" s="538" t="s">
        <v>6605</v>
      </c>
      <c r="C1093" s="538" t="s">
        <v>393</v>
      </c>
      <c r="D1093" s="538" t="s">
        <v>740</v>
      </c>
      <c r="E1093" s="538" t="s">
        <v>390</v>
      </c>
      <c r="F1093" s="538">
        <v>2666453</v>
      </c>
      <c r="G1093" s="538">
        <v>66</v>
      </c>
    </row>
    <row r="1094" spans="1:7" x14ac:dyDescent="0.2">
      <c r="A1094" s="538">
        <v>5</v>
      </c>
      <c r="B1094" s="538" t="s">
        <v>6598</v>
      </c>
      <c r="C1094" s="538" t="s">
        <v>393</v>
      </c>
      <c r="D1094" s="538" t="s">
        <v>393</v>
      </c>
      <c r="E1094" s="538" t="s">
        <v>401</v>
      </c>
      <c r="F1094" s="538">
        <v>135936</v>
      </c>
      <c r="G1094" s="538">
        <v>12</v>
      </c>
    </row>
    <row r="1095" spans="1:7" x14ac:dyDescent="0.2">
      <c r="A1095" s="538">
        <v>5</v>
      </c>
      <c r="B1095" s="538" t="s">
        <v>6650</v>
      </c>
      <c r="C1095" s="538" t="s">
        <v>740</v>
      </c>
      <c r="D1095" s="538" t="s">
        <v>393</v>
      </c>
      <c r="E1095" s="538" t="s">
        <v>230</v>
      </c>
      <c r="F1095" s="538">
        <v>7678427</v>
      </c>
      <c r="G1095" s="538">
        <v>154</v>
      </c>
    </row>
    <row r="1096" spans="1:7" x14ac:dyDescent="0.2">
      <c r="A1096" s="538">
        <v>10</v>
      </c>
      <c r="B1096" s="538" t="s">
        <v>6600</v>
      </c>
      <c r="C1096" s="538" t="s">
        <v>740</v>
      </c>
      <c r="D1096" s="538" t="s">
        <v>393</v>
      </c>
      <c r="E1096" s="538" t="s">
        <v>401</v>
      </c>
      <c r="F1096" s="538">
        <v>581924</v>
      </c>
      <c r="G1096" s="538">
        <v>3</v>
      </c>
    </row>
    <row r="1097" spans="1:7" x14ac:dyDescent="0.2">
      <c r="A1097" s="538">
        <v>4</v>
      </c>
      <c r="B1097" s="538" t="s">
        <v>6559</v>
      </c>
      <c r="C1097" s="538" t="s">
        <v>393</v>
      </c>
      <c r="D1097" s="538" t="s">
        <v>393</v>
      </c>
      <c r="E1097" s="538" t="s">
        <v>211</v>
      </c>
      <c r="F1097" s="538">
        <v>4436245</v>
      </c>
      <c r="G1097" s="538">
        <v>80</v>
      </c>
    </row>
    <row r="1098" spans="1:7" x14ac:dyDescent="0.2">
      <c r="A1098" s="538">
        <v>9</v>
      </c>
      <c r="B1098" s="538" t="s">
        <v>6613</v>
      </c>
      <c r="C1098" s="538" t="s">
        <v>740</v>
      </c>
      <c r="D1098" s="538" t="s">
        <v>393</v>
      </c>
      <c r="E1098" s="538" t="s">
        <v>212</v>
      </c>
      <c r="F1098" s="538">
        <v>22656</v>
      </c>
      <c r="G1098" s="538">
        <v>2</v>
      </c>
    </row>
    <row r="1099" spans="1:7" x14ac:dyDescent="0.2">
      <c r="A1099" s="538">
        <v>4</v>
      </c>
      <c r="B1099" s="538" t="s">
        <v>6572</v>
      </c>
      <c r="C1099" s="538" t="s">
        <v>740</v>
      </c>
      <c r="D1099" s="538" t="s">
        <v>740</v>
      </c>
      <c r="E1099" s="538" t="s">
        <v>860</v>
      </c>
      <c r="F1099" s="538">
        <v>357186</v>
      </c>
      <c r="G1099" s="538">
        <v>17</v>
      </c>
    </row>
    <row r="1100" spans="1:7" x14ac:dyDescent="0.2">
      <c r="A1100" s="538">
        <v>3</v>
      </c>
      <c r="B1100" s="538" t="s">
        <v>6561</v>
      </c>
      <c r="C1100" s="538" t="s">
        <v>740</v>
      </c>
      <c r="D1100" s="538" t="s">
        <v>393</v>
      </c>
      <c r="E1100" s="538" t="s">
        <v>401</v>
      </c>
      <c r="F1100" s="538">
        <v>496433</v>
      </c>
      <c r="G1100" s="538">
        <v>1</v>
      </c>
    </row>
    <row r="1101" spans="1:7" x14ac:dyDescent="0.2">
      <c r="A1101" s="538">
        <v>6</v>
      </c>
      <c r="B1101" s="538" t="s">
        <v>6565</v>
      </c>
      <c r="C1101" s="538" t="s">
        <v>740</v>
      </c>
      <c r="D1101" s="538" t="s">
        <v>393</v>
      </c>
      <c r="E1101" s="538" t="s">
        <v>230</v>
      </c>
      <c r="F1101" s="538">
        <v>11328</v>
      </c>
      <c r="G1101" s="538">
        <v>1</v>
      </c>
    </row>
    <row r="1102" spans="1:7" x14ac:dyDescent="0.2">
      <c r="A1102" s="538">
        <v>8</v>
      </c>
      <c r="B1102" s="538" t="s">
        <v>6567</v>
      </c>
      <c r="C1102" s="538" t="s">
        <v>393</v>
      </c>
      <c r="D1102" s="538" t="s">
        <v>393</v>
      </c>
      <c r="E1102" s="538" t="s">
        <v>409</v>
      </c>
      <c r="F1102" s="538">
        <v>2830303</v>
      </c>
      <c r="G1102" s="538">
        <v>81</v>
      </c>
    </row>
    <row r="1103" spans="1:7" x14ac:dyDescent="0.2">
      <c r="A1103" s="538">
        <v>1</v>
      </c>
      <c r="B1103" s="538" t="s">
        <v>6595</v>
      </c>
      <c r="C1103" s="538" t="s">
        <v>393</v>
      </c>
      <c r="D1103" s="538" t="s">
        <v>393</v>
      </c>
      <c r="E1103" s="538" t="s">
        <v>230</v>
      </c>
      <c r="F1103" s="538">
        <v>1035929</v>
      </c>
      <c r="G1103" s="538">
        <v>23</v>
      </c>
    </row>
    <row r="1104" spans="1:7" x14ac:dyDescent="0.2">
      <c r="A1104" s="538">
        <v>10</v>
      </c>
      <c r="B1104" s="538" t="s">
        <v>6653</v>
      </c>
      <c r="C1104" s="538" t="s">
        <v>740</v>
      </c>
      <c r="D1104" s="538" t="s">
        <v>393</v>
      </c>
      <c r="E1104" s="538" t="s">
        <v>211</v>
      </c>
      <c r="F1104" s="538">
        <v>11328</v>
      </c>
      <c r="G1104" s="538">
        <v>1</v>
      </c>
    </row>
    <row r="1105" spans="1:7" x14ac:dyDescent="0.2">
      <c r="A1105" s="538">
        <v>3</v>
      </c>
      <c r="B1105" s="538" t="s">
        <v>6591</v>
      </c>
      <c r="C1105" s="538" t="s">
        <v>740</v>
      </c>
      <c r="D1105" s="538" t="s">
        <v>393</v>
      </c>
      <c r="E1105" s="538" t="s">
        <v>212</v>
      </c>
      <c r="F1105" s="538">
        <v>5259201</v>
      </c>
      <c r="G1105" s="538">
        <v>362</v>
      </c>
    </row>
    <row r="1106" spans="1:7" x14ac:dyDescent="0.2">
      <c r="A1106" s="538">
        <v>6</v>
      </c>
      <c r="B1106" s="538" t="s">
        <v>6596</v>
      </c>
      <c r="C1106" s="538" t="s">
        <v>740</v>
      </c>
      <c r="D1106" s="538" t="s">
        <v>393</v>
      </c>
      <c r="E1106" s="538" t="s">
        <v>230</v>
      </c>
      <c r="F1106" s="538">
        <v>2695481</v>
      </c>
      <c r="G1106" s="538">
        <v>67</v>
      </c>
    </row>
    <row r="1107" spans="1:7" x14ac:dyDescent="0.2">
      <c r="A1107" s="538">
        <v>11</v>
      </c>
      <c r="B1107" s="538" t="s">
        <v>6584</v>
      </c>
      <c r="C1107" s="538" t="s">
        <v>393</v>
      </c>
      <c r="D1107" s="538" t="s">
        <v>393</v>
      </c>
      <c r="E1107" s="538" t="s">
        <v>212</v>
      </c>
      <c r="F1107" s="538">
        <v>1405203</v>
      </c>
      <c r="G1107" s="538">
        <v>86</v>
      </c>
    </row>
    <row r="1108" spans="1:7" x14ac:dyDescent="0.2">
      <c r="A1108" s="538">
        <v>3</v>
      </c>
      <c r="B1108" s="538" t="s">
        <v>6561</v>
      </c>
      <c r="C1108" s="538" t="s">
        <v>740</v>
      </c>
      <c r="D1108" s="538" t="s">
        <v>393</v>
      </c>
      <c r="E1108" s="538" t="s">
        <v>230</v>
      </c>
      <c r="F1108" s="538">
        <v>553125</v>
      </c>
      <c r="G1108" s="538">
        <v>15</v>
      </c>
    </row>
    <row r="1109" spans="1:7" x14ac:dyDescent="0.2">
      <c r="A1109" s="538">
        <v>3</v>
      </c>
      <c r="B1109" s="538" t="s">
        <v>6586</v>
      </c>
      <c r="C1109" s="538" t="s">
        <v>740</v>
      </c>
      <c r="D1109" s="538" t="s">
        <v>393</v>
      </c>
      <c r="E1109" s="538" t="s">
        <v>209</v>
      </c>
      <c r="F1109" s="538">
        <v>3124498</v>
      </c>
      <c r="G1109" s="538">
        <v>16</v>
      </c>
    </row>
    <row r="1110" spans="1:7" x14ac:dyDescent="0.2">
      <c r="A1110" s="538">
        <v>5</v>
      </c>
      <c r="B1110" s="538" t="s">
        <v>6599</v>
      </c>
      <c r="C1110" s="538" t="s">
        <v>740</v>
      </c>
      <c r="D1110" s="538" t="s">
        <v>393</v>
      </c>
      <c r="E1110" s="538" t="s">
        <v>207</v>
      </c>
      <c r="F1110" s="538">
        <v>2069661</v>
      </c>
      <c r="G1110" s="538">
        <v>142</v>
      </c>
    </row>
    <row r="1111" spans="1:7" x14ac:dyDescent="0.2">
      <c r="A1111" s="538">
        <v>5</v>
      </c>
      <c r="B1111" s="538" t="s">
        <v>6599</v>
      </c>
      <c r="C1111" s="538" t="s">
        <v>740</v>
      </c>
      <c r="D1111" s="538" t="s">
        <v>740</v>
      </c>
      <c r="E1111" s="538" t="s">
        <v>409</v>
      </c>
      <c r="F1111" s="538">
        <v>541745</v>
      </c>
      <c r="G1111" s="538">
        <v>5</v>
      </c>
    </row>
    <row r="1112" spans="1:7" x14ac:dyDescent="0.2">
      <c r="A1112" s="538">
        <v>4</v>
      </c>
      <c r="B1112" s="538" t="s">
        <v>6572</v>
      </c>
      <c r="C1112" s="538" t="s">
        <v>393</v>
      </c>
      <c r="D1112" s="538" t="s">
        <v>393</v>
      </c>
      <c r="E1112" s="538" t="s">
        <v>449</v>
      </c>
      <c r="F1112" s="538">
        <v>841052</v>
      </c>
      <c r="G1112" s="538">
        <v>19</v>
      </c>
    </row>
    <row r="1113" spans="1:7" x14ac:dyDescent="0.2">
      <c r="A1113" s="538">
        <v>10</v>
      </c>
      <c r="B1113" s="538" t="s">
        <v>6597</v>
      </c>
      <c r="C1113" s="538" t="s">
        <v>393</v>
      </c>
      <c r="D1113" s="538" t="s">
        <v>393</v>
      </c>
      <c r="E1113" s="538" t="s">
        <v>416</v>
      </c>
      <c r="F1113" s="538">
        <v>49984230</v>
      </c>
      <c r="G1113" s="538">
        <v>920</v>
      </c>
    </row>
    <row r="1114" spans="1:7" x14ac:dyDescent="0.2">
      <c r="A1114" s="538">
        <v>12</v>
      </c>
      <c r="B1114" s="538" t="s">
        <v>6616</v>
      </c>
      <c r="C1114" s="538" t="s">
        <v>740</v>
      </c>
      <c r="D1114" s="538" t="s">
        <v>393</v>
      </c>
      <c r="E1114" s="538" t="s">
        <v>207</v>
      </c>
      <c r="F1114" s="538">
        <v>3193736</v>
      </c>
      <c r="G1114" s="538">
        <v>177</v>
      </c>
    </row>
    <row r="1115" spans="1:7" x14ac:dyDescent="0.2">
      <c r="A1115" s="538">
        <v>7</v>
      </c>
      <c r="B1115" s="538" t="s">
        <v>6579</v>
      </c>
      <c r="C1115" s="538" t="s">
        <v>740</v>
      </c>
      <c r="D1115" s="538" t="s">
        <v>740</v>
      </c>
      <c r="E1115" s="538" t="s">
        <v>390</v>
      </c>
      <c r="F1115" s="538">
        <v>4341529</v>
      </c>
      <c r="G1115" s="538">
        <v>133</v>
      </c>
    </row>
    <row r="1116" spans="1:7" x14ac:dyDescent="0.2">
      <c r="A1116" s="538">
        <v>9</v>
      </c>
      <c r="B1116" s="538" t="s">
        <v>6644</v>
      </c>
      <c r="C1116" s="538" t="s">
        <v>740</v>
      </c>
      <c r="D1116" s="538" t="s">
        <v>393</v>
      </c>
      <c r="E1116" s="538" t="s">
        <v>202</v>
      </c>
      <c r="F1116" s="538">
        <v>3226450</v>
      </c>
      <c r="G1116" s="538">
        <v>25</v>
      </c>
    </row>
    <row r="1117" spans="1:7" x14ac:dyDescent="0.2">
      <c r="A1117" s="538">
        <v>2</v>
      </c>
      <c r="B1117" s="538" t="s">
        <v>6654</v>
      </c>
      <c r="C1117" s="538" t="s">
        <v>740</v>
      </c>
      <c r="D1117" s="538" t="s">
        <v>740</v>
      </c>
      <c r="E1117" s="538" t="s">
        <v>230</v>
      </c>
      <c r="F1117" s="538">
        <v>570596</v>
      </c>
      <c r="G1117" s="538">
        <v>2</v>
      </c>
    </row>
    <row r="1118" spans="1:7" x14ac:dyDescent="0.2">
      <c r="A1118" s="538">
        <v>12</v>
      </c>
      <c r="B1118" s="538" t="s">
        <v>6616</v>
      </c>
      <c r="C1118" s="538" t="s">
        <v>393</v>
      </c>
      <c r="D1118" s="538" t="s">
        <v>393</v>
      </c>
      <c r="E1118" s="538" t="s">
        <v>390</v>
      </c>
      <c r="F1118" s="538">
        <v>30907689</v>
      </c>
      <c r="G1118" s="538">
        <v>813</v>
      </c>
    </row>
    <row r="1119" spans="1:7" x14ac:dyDescent="0.2">
      <c r="A1119" s="538">
        <v>4</v>
      </c>
      <c r="B1119" s="538" t="s">
        <v>6562</v>
      </c>
      <c r="C1119" s="538" t="s">
        <v>740</v>
      </c>
      <c r="D1119" s="538" t="s">
        <v>393</v>
      </c>
      <c r="E1119" s="538" t="s">
        <v>438</v>
      </c>
      <c r="F1119" s="538">
        <v>22656</v>
      </c>
      <c r="G1119" s="538">
        <v>2</v>
      </c>
    </row>
    <row r="1120" spans="1:7" x14ac:dyDescent="0.2">
      <c r="A1120" s="538">
        <v>10</v>
      </c>
      <c r="B1120" s="538" t="s">
        <v>6664</v>
      </c>
      <c r="C1120" s="538" t="s">
        <v>740</v>
      </c>
      <c r="D1120" s="538" t="s">
        <v>393</v>
      </c>
      <c r="E1120" s="538" t="s">
        <v>416</v>
      </c>
      <c r="F1120" s="538">
        <v>363381</v>
      </c>
      <c r="G1120" s="538">
        <v>12</v>
      </c>
    </row>
    <row r="1121" spans="1:7" x14ac:dyDescent="0.2">
      <c r="A1121" s="538">
        <v>11</v>
      </c>
      <c r="B1121" s="538" t="s">
        <v>6584</v>
      </c>
      <c r="C1121" s="538" t="s">
        <v>740</v>
      </c>
      <c r="D1121" s="538" t="s">
        <v>393</v>
      </c>
      <c r="E1121" s="538" t="s">
        <v>409</v>
      </c>
      <c r="F1121" s="538">
        <v>61596</v>
      </c>
      <c r="G1121" s="538">
        <v>2</v>
      </c>
    </row>
    <row r="1122" spans="1:7" x14ac:dyDescent="0.2">
      <c r="A1122" s="538">
        <v>2</v>
      </c>
      <c r="B1122" s="538" t="s">
        <v>6576</v>
      </c>
      <c r="C1122" s="538" t="s">
        <v>740</v>
      </c>
      <c r="D1122" s="538" t="s">
        <v>393</v>
      </c>
      <c r="E1122" s="538" t="s">
        <v>416</v>
      </c>
      <c r="F1122" s="538">
        <v>6583911</v>
      </c>
      <c r="G1122" s="538">
        <v>147</v>
      </c>
    </row>
    <row r="1123" spans="1:7" x14ac:dyDescent="0.2">
      <c r="A1123" s="538">
        <v>4</v>
      </c>
      <c r="B1123" s="538" t="s">
        <v>6574</v>
      </c>
      <c r="C1123" s="538" t="s">
        <v>740</v>
      </c>
      <c r="D1123" s="538" t="s">
        <v>740</v>
      </c>
      <c r="E1123" s="538" t="s">
        <v>419</v>
      </c>
      <c r="F1123" s="538">
        <v>11328</v>
      </c>
      <c r="G1123" s="538">
        <v>1</v>
      </c>
    </row>
    <row r="1124" spans="1:7" x14ac:dyDescent="0.2">
      <c r="A1124" s="538">
        <v>1</v>
      </c>
      <c r="B1124" s="538" t="s">
        <v>6595</v>
      </c>
      <c r="C1124" s="538" t="s">
        <v>393</v>
      </c>
      <c r="D1124" s="538" t="s">
        <v>393</v>
      </c>
      <c r="E1124" s="538" t="s">
        <v>416</v>
      </c>
      <c r="F1124" s="538">
        <v>25504713</v>
      </c>
      <c r="G1124" s="538">
        <v>341</v>
      </c>
    </row>
    <row r="1125" spans="1:7" x14ac:dyDescent="0.2">
      <c r="A1125" s="538">
        <v>9</v>
      </c>
      <c r="B1125" s="538" t="s">
        <v>6615</v>
      </c>
      <c r="C1125" s="538" t="s">
        <v>393</v>
      </c>
      <c r="D1125" s="538" t="s">
        <v>740</v>
      </c>
      <c r="E1125" s="538" t="s">
        <v>207</v>
      </c>
      <c r="F1125" s="538">
        <v>2399058</v>
      </c>
      <c r="G1125" s="538">
        <v>151</v>
      </c>
    </row>
    <row r="1126" spans="1:7" x14ac:dyDescent="0.2">
      <c r="A1126" s="538">
        <v>3</v>
      </c>
      <c r="B1126" s="538" t="s">
        <v>6561</v>
      </c>
      <c r="C1126" s="538" t="s">
        <v>740</v>
      </c>
      <c r="D1126" s="538" t="s">
        <v>740</v>
      </c>
      <c r="E1126" s="538" t="s">
        <v>416</v>
      </c>
      <c r="F1126" s="538">
        <v>3052563</v>
      </c>
      <c r="G1126" s="538">
        <v>76</v>
      </c>
    </row>
    <row r="1127" spans="1:7" x14ac:dyDescent="0.2">
      <c r="A1127" s="538">
        <v>6</v>
      </c>
      <c r="B1127" s="538" t="s">
        <v>6429</v>
      </c>
      <c r="C1127" s="538" t="s">
        <v>740</v>
      </c>
      <c r="D1127" s="538" t="s">
        <v>740</v>
      </c>
      <c r="E1127" s="538" t="s">
        <v>401</v>
      </c>
      <c r="F1127" s="538">
        <v>11328</v>
      </c>
      <c r="G1127" s="538">
        <v>1</v>
      </c>
    </row>
    <row r="1128" spans="1:7" x14ac:dyDescent="0.2">
      <c r="A1128" s="538">
        <v>6</v>
      </c>
      <c r="B1128" s="538" t="s">
        <v>6575</v>
      </c>
      <c r="C1128" s="538" t="s">
        <v>393</v>
      </c>
      <c r="D1128" s="538" t="s">
        <v>393</v>
      </c>
      <c r="E1128" s="538" t="s">
        <v>207</v>
      </c>
      <c r="F1128" s="538">
        <v>14051822</v>
      </c>
      <c r="G1128" s="538">
        <v>779</v>
      </c>
    </row>
    <row r="1129" spans="1:7" x14ac:dyDescent="0.2">
      <c r="A1129" s="538">
        <v>8</v>
      </c>
      <c r="B1129" s="538" t="s">
        <v>6560</v>
      </c>
      <c r="C1129" s="538" t="s">
        <v>740</v>
      </c>
      <c r="D1129" s="538" t="s">
        <v>393</v>
      </c>
      <c r="E1129" s="538" t="s">
        <v>212</v>
      </c>
      <c r="F1129" s="538">
        <v>2722968</v>
      </c>
      <c r="G1129" s="538">
        <v>201</v>
      </c>
    </row>
    <row r="1130" spans="1:7" x14ac:dyDescent="0.2">
      <c r="A1130" s="538">
        <v>10</v>
      </c>
      <c r="B1130" s="538" t="s">
        <v>6582</v>
      </c>
      <c r="C1130" s="538" t="s">
        <v>740</v>
      </c>
      <c r="D1130" s="538" t="s">
        <v>393</v>
      </c>
      <c r="E1130" s="538" t="s">
        <v>402</v>
      </c>
      <c r="F1130" s="538">
        <v>22656</v>
      </c>
      <c r="G1130" s="538">
        <v>2</v>
      </c>
    </row>
    <row r="1131" spans="1:7" x14ac:dyDescent="0.2">
      <c r="A1131" s="538">
        <v>1</v>
      </c>
      <c r="B1131" s="538" t="s">
        <v>6646</v>
      </c>
      <c r="C1131" s="538" t="s">
        <v>740</v>
      </c>
      <c r="D1131" s="538" t="s">
        <v>393</v>
      </c>
      <c r="E1131" s="538" t="s">
        <v>212</v>
      </c>
      <c r="F1131" s="538">
        <v>215232</v>
      </c>
      <c r="G1131" s="538">
        <v>19</v>
      </c>
    </row>
    <row r="1132" spans="1:7" x14ac:dyDescent="0.2">
      <c r="A1132" s="538">
        <v>1</v>
      </c>
      <c r="B1132" s="538" t="s">
        <v>6649</v>
      </c>
      <c r="C1132" s="538" t="s">
        <v>393</v>
      </c>
      <c r="D1132" s="538" t="s">
        <v>393</v>
      </c>
      <c r="E1132" s="538" t="s">
        <v>416</v>
      </c>
      <c r="F1132" s="538">
        <v>21206965</v>
      </c>
      <c r="G1132" s="538">
        <v>360</v>
      </c>
    </row>
    <row r="1133" spans="1:7" x14ac:dyDescent="0.2">
      <c r="A1133" s="538">
        <v>6</v>
      </c>
      <c r="B1133" s="538" t="s">
        <v>6565</v>
      </c>
      <c r="C1133" s="538" t="s">
        <v>740</v>
      </c>
      <c r="D1133" s="538" t="s">
        <v>740</v>
      </c>
      <c r="E1133" s="538" t="s">
        <v>390</v>
      </c>
      <c r="F1133" s="538">
        <v>3210426</v>
      </c>
      <c r="G1133" s="538">
        <v>142</v>
      </c>
    </row>
    <row r="1134" spans="1:7" x14ac:dyDescent="0.2">
      <c r="A1134" s="538">
        <v>6</v>
      </c>
      <c r="B1134" s="538" t="s">
        <v>6575</v>
      </c>
      <c r="C1134" s="538" t="s">
        <v>393</v>
      </c>
      <c r="D1134" s="538" t="s">
        <v>393</v>
      </c>
      <c r="E1134" s="538" t="s">
        <v>313</v>
      </c>
      <c r="F1134" s="538">
        <v>1449172</v>
      </c>
      <c r="G1134" s="538">
        <v>9</v>
      </c>
    </row>
    <row r="1135" spans="1:7" x14ac:dyDescent="0.2">
      <c r="A1135" s="538">
        <v>4</v>
      </c>
      <c r="B1135" s="538" t="s">
        <v>6559</v>
      </c>
      <c r="C1135" s="538" t="s">
        <v>740</v>
      </c>
      <c r="D1135" s="538" t="s">
        <v>740</v>
      </c>
      <c r="E1135" s="538" t="s">
        <v>230</v>
      </c>
      <c r="F1135" s="538">
        <v>732905</v>
      </c>
      <c r="G1135" s="538">
        <v>15</v>
      </c>
    </row>
    <row r="1136" spans="1:7" x14ac:dyDescent="0.2">
      <c r="A1136" s="538">
        <v>9</v>
      </c>
      <c r="B1136" s="538" t="s">
        <v>6606</v>
      </c>
      <c r="C1136" s="538" t="s">
        <v>393</v>
      </c>
      <c r="D1136" s="538" t="s">
        <v>740</v>
      </c>
      <c r="E1136" s="538" t="s">
        <v>390</v>
      </c>
      <c r="F1136" s="538">
        <v>496433</v>
      </c>
      <c r="G1136" s="538">
        <v>1</v>
      </c>
    </row>
    <row r="1137" spans="1:7" x14ac:dyDescent="0.2">
      <c r="A1137" s="538">
        <v>7</v>
      </c>
      <c r="B1137" s="538" t="s">
        <v>6564</v>
      </c>
      <c r="C1137" s="538" t="s">
        <v>393</v>
      </c>
      <c r="D1137" s="538" t="s">
        <v>393</v>
      </c>
      <c r="E1137" s="538" t="s">
        <v>230</v>
      </c>
      <c r="F1137" s="538">
        <v>5475110</v>
      </c>
      <c r="G1137" s="538">
        <v>130</v>
      </c>
    </row>
    <row r="1138" spans="1:7" x14ac:dyDescent="0.2">
      <c r="A1138" s="538">
        <v>3</v>
      </c>
      <c r="B1138" s="538" t="s">
        <v>6605</v>
      </c>
      <c r="C1138" s="538" t="s">
        <v>393</v>
      </c>
      <c r="D1138" s="538" t="s">
        <v>740</v>
      </c>
      <c r="E1138" s="538" t="s">
        <v>401</v>
      </c>
      <c r="F1138" s="538">
        <v>158592</v>
      </c>
      <c r="G1138" s="538">
        <v>14</v>
      </c>
    </row>
    <row r="1139" spans="1:7" x14ac:dyDescent="0.2">
      <c r="A1139" s="538">
        <v>11</v>
      </c>
      <c r="B1139" s="538" t="s">
        <v>6610</v>
      </c>
      <c r="C1139" s="538" t="s">
        <v>393</v>
      </c>
      <c r="D1139" s="538" t="s">
        <v>740</v>
      </c>
      <c r="E1139" s="538" t="s">
        <v>860</v>
      </c>
      <c r="F1139" s="538">
        <v>74163</v>
      </c>
      <c r="G1139" s="538">
        <v>1</v>
      </c>
    </row>
    <row r="1140" spans="1:7" x14ac:dyDescent="0.2">
      <c r="A1140" s="538">
        <v>10</v>
      </c>
      <c r="B1140" s="538" t="s">
        <v>6664</v>
      </c>
      <c r="C1140" s="538" t="s">
        <v>740</v>
      </c>
      <c r="D1140" s="538" t="s">
        <v>393</v>
      </c>
      <c r="E1140" s="538" t="s">
        <v>438</v>
      </c>
      <c r="F1140" s="538">
        <v>570596</v>
      </c>
      <c r="G1140" s="538">
        <v>2</v>
      </c>
    </row>
    <row r="1141" spans="1:7" x14ac:dyDescent="0.2">
      <c r="A1141" s="538">
        <v>4</v>
      </c>
      <c r="B1141" s="538" t="s">
        <v>6574</v>
      </c>
      <c r="C1141" s="538" t="s">
        <v>740</v>
      </c>
      <c r="D1141" s="538" t="s">
        <v>393</v>
      </c>
      <c r="E1141" s="538" t="s">
        <v>210</v>
      </c>
      <c r="F1141" s="538">
        <v>29163593</v>
      </c>
      <c r="G1141" s="538">
        <v>1506</v>
      </c>
    </row>
    <row r="1142" spans="1:7" x14ac:dyDescent="0.2">
      <c r="A1142" s="538">
        <v>1</v>
      </c>
      <c r="B1142" s="538" t="s">
        <v>6646</v>
      </c>
      <c r="C1142" s="538" t="s">
        <v>393</v>
      </c>
      <c r="D1142" s="538" t="s">
        <v>393</v>
      </c>
      <c r="E1142" s="538" t="s">
        <v>438</v>
      </c>
      <c r="F1142" s="538">
        <v>4210414</v>
      </c>
      <c r="G1142" s="538">
        <v>18</v>
      </c>
    </row>
    <row r="1143" spans="1:7" x14ac:dyDescent="0.2">
      <c r="A1143" s="538">
        <v>1</v>
      </c>
      <c r="B1143" s="538" t="s">
        <v>6646</v>
      </c>
      <c r="C1143" s="538" t="s">
        <v>393</v>
      </c>
      <c r="D1143" s="538" t="s">
        <v>393</v>
      </c>
      <c r="E1143" s="538" t="s">
        <v>206</v>
      </c>
      <c r="F1143" s="538">
        <v>507761</v>
      </c>
      <c r="G1143" s="538">
        <v>2</v>
      </c>
    </row>
    <row r="1144" spans="1:7" x14ac:dyDescent="0.2">
      <c r="A1144" s="538">
        <v>6</v>
      </c>
      <c r="B1144" s="538" t="s">
        <v>6596</v>
      </c>
      <c r="C1144" s="538" t="s">
        <v>393</v>
      </c>
      <c r="D1144" s="538" t="s">
        <v>393</v>
      </c>
      <c r="E1144" s="538" t="s">
        <v>210</v>
      </c>
      <c r="F1144" s="538">
        <v>4751555</v>
      </c>
      <c r="G1144" s="538">
        <v>65</v>
      </c>
    </row>
    <row r="1145" spans="1:7" x14ac:dyDescent="0.2">
      <c r="A1145" s="538">
        <v>7</v>
      </c>
      <c r="B1145" s="538" t="s">
        <v>6655</v>
      </c>
      <c r="C1145" s="538" t="s">
        <v>393</v>
      </c>
      <c r="D1145" s="538" t="s">
        <v>740</v>
      </c>
      <c r="E1145" s="538" t="s">
        <v>416</v>
      </c>
      <c r="F1145" s="538">
        <v>22656</v>
      </c>
      <c r="G1145" s="538">
        <v>2</v>
      </c>
    </row>
    <row r="1146" spans="1:7" x14ac:dyDescent="0.2">
      <c r="A1146" s="538">
        <v>8</v>
      </c>
      <c r="B1146" s="538" t="s">
        <v>6570</v>
      </c>
      <c r="C1146" s="538" t="s">
        <v>393</v>
      </c>
      <c r="D1146" s="538" t="s">
        <v>393</v>
      </c>
      <c r="E1146" s="538" t="s">
        <v>409</v>
      </c>
      <c r="F1146" s="538">
        <v>1083948</v>
      </c>
      <c r="G1146" s="538">
        <v>41</v>
      </c>
    </row>
    <row r="1147" spans="1:7" x14ac:dyDescent="0.2">
      <c r="A1147" s="538">
        <v>11</v>
      </c>
      <c r="B1147" s="538" t="s">
        <v>6592</v>
      </c>
      <c r="C1147" s="538" t="s">
        <v>393</v>
      </c>
      <c r="D1147" s="538" t="s">
        <v>393</v>
      </c>
      <c r="E1147" s="538" t="s">
        <v>401</v>
      </c>
      <c r="F1147" s="538">
        <v>108147</v>
      </c>
      <c r="G1147" s="538">
        <v>4</v>
      </c>
    </row>
    <row r="1148" spans="1:7" x14ac:dyDescent="0.2">
      <c r="A1148" s="538">
        <v>1</v>
      </c>
      <c r="B1148" s="538" t="s">
        <v>6595</v>
      </c>
      <c r="C1148" s="538" t="s">
        <v>740</v>
      </c>
      <c r="D1148" s="538" t="s">
        <v>393</v>
      </c>
      <c r="E1148" s="538" t="s">
        <v>211</v>
      </c>
      <c r="F1148" s="538">
        <v>6135695</v>
      </c>
      <c r="G1148" s="538">
        <v>105</v>
      </c>
    </row>
    <row r="1149" spans="1:7" x14ac:dyDescent="0.2">
      <c r="A1149" s="538">
        <v>10</v>
      </c>
      <c r="B1149" s="538" t="s">
        <v>6582</v>
      </c>
      <c r="C1149" s="538" t="s">
        <v>393</v>
      </c>
      <c r="D1149" s="538" t="s">
        <v>393</v>
      </c>
      <c r="E1149" s="538" t="s">
        <v>401</v>
      </c>
      <c r="F1149" s="538">
        <v>33984</v>
      </c>
      <c r="G1149" s="538">
        <v>3</v>
      </c>
    </row>
    <row r="1150" spans="1:7" x14ac:dyDescent="0.2">
      <c r="A1150" s="538">
        <v>7</v>
      </c>
      <c r="B1150" s="538" t="s">
        <v>6594</v>
      </c>
      <c r="C1150" s="538" t="s">
        <v>740</v>
      </c>
      <c r="D1150" s="538" t="s">
        <v>393</v>
      </c>
      <c r="E1150" s="538" t="s">
        <v>438</v>
      </c>
      <c r="F1150" s="538">
        <v>1317536</v>
      </c>
      <c r="G1150" s="538">
        <v>32</v>
      </c>
    </row>
    <row r="1151" spans="1:7" x14ac:dyDescent="0.2">
      <c r="A1151" s="538">
        <v>7</v>
      </c>
      <c r="B1151" s="538" t="s">
        <v>6594</v>
      </c>
      <c r="C1151" s="538" t="s">
        <v>740</v>
      </c>
      <c r="D1151" s="538" t="s">
        <v>393</v>
      </c>
      <c r="E1151" s="538" t="s">
        <v>206</v>
      </c>
      <c r="F1151" s="538">
        <v>22656</v>
      </c>
      <c r="G1151" s="538">
        <v>2</v>
      </c>
    </row>
    <row r="1152" spans="1:7" x14ac:dyDescent="0.2">
      <c r="A1152" s="538">
        <v>4</v>
      </c>
      <c r="B1152" s="538" t="s">
        <v>6572</v>
      </c>
      <c r="C1152" s="538" t="s">
        <v>393</v>
      </c>
      <c r="D1152" s="538" t="s">
        <v>740</v>
      </c>
      <c r="E1152" s="538" t="s">
        <v>409</v>
      </c>
      <c r="F1152" s="538">
        <v>1513954</v>
      </c>
      <c r="G1152" s="538">
        <v>48</v>
      </c>
    </row>
    <row r="1153" spans="1:7" x14ac:dyDescent="0.2">
      <c r="A1153" s="538">
        <v>7</v>
      </c>
      <c r="B1153" s="538" t="s">
        <v>6588</v>
      </c>
      <c r="C1153" s="538" t="s">
        <v>740</v>
      </c>
      <c r="D1153" s="538" t="s">
        <v>740</v>
      </c>
      <c r="E1153" s="538" t="s">
        <v>449</v>
      </c>
      <c r="F1153" s="538">
        <v>3775837</v>
      </c>
      <c r="G1153" s="538">
        <v>184</v>
      </c>
    </row>
    <row r="1154" spans="1:7" x14ac:dyDescent="0.2">
      <c r="A1154" s="538">
        <v>7</v>
      </c>
      <c r="B1154" s="538" t="s">
        <v>6564</v>
      </c>
      <c r="C1154" s="538" t="s">
        <v>740</v>
      </c>
      <c r="D1154" s="538" t="s">
        <v>393</v>
      </c>
      <c r="E1154" s="538" t="s">
        <v>210</v>
      </c>
      <c r="F1154" s="538">
        <v>10910447</v>
      </c>
      <c r="G1154" s="538">
        <v>429</v>
      </c>
    </row>
    <row r="1155" spans="1:7" x14ac:dyDescent="0.2">
      <c r="A1155" s="538">
        <v>5</v>
      </c>
      <c r="B1155" s="538" t="s">
        <v>6599</v>
      </c>
      <c r="C1155" s="538" t="s">
        <v>740</v>
      </c>
      <c r="D1155" s="538" t="s">
        <v>393</v>
      </c>
      <c r="E1155" s="538" t="s">
        <v>401</v>
      </c>
      <c r="F1155" s="538">
        <v>33984</v>
      </c>
      <c r="G1155" s="538">
        <v>3</v>
      </c>
    </row>
    <row r="1156" spans="1:7" x14ac:dyDescent="0.2">
      <c r="A1156" s="538">
        <v>1</v>
      </c>
      <c r="B1156" s="538" t="s">
        <v>6609</v>
      </c>
      <c r="C1156" s="538" t="s">
        <v>740</v>
      </c>
      <c r="D1156" s="538" t="s">
        <v>393</v>
      </c>
      <c r="E1156" s="538" t="s">
        <v>416</v>
      </c>
      <c r="F1156" s="538">
        <v>33984</v>
      </c>
      <c r="G1156" s="538">
        <v>3</v>
      </c>
    </row>
    <row r="1157" spans="1:7" x14ac:dyDescent="0.2">
      <c r="A1157" s="538">
        <v>5</v>
      </c>
      <c r="B1157" s="538" t="s">
        <v>6599</v>
      </c>
      <c r="C1157" s="538" t="s">
        <v>740</v>
      </c>
      <c r="D1157" s="538" t="s">
        <v>393</v>
      </c>
      <c r="E1157" s="538" t="s">
        <v>209</v>
      </c>
      <c r="F1157" s="538">
        <v>14071470</v>
      </c>
      <c r="G1157" s="538">
        <v>80</v>
      </c>
    </row>
    <row r="1158" spans="1:7" x14ac:dyDescent="0.2">
      <c r="A1158" s="538">
        <v>9</v>
      </c>
      <c r="B1158" s="538" t="s">
        <v>6645</v>
      </c>
      <c r="C1158" s="538" t="s">
        <v>740</v>
      </c>
      <c r="D1158" s="538" t="s">
        <v>393</v>
      </c>
      <c r="E1158" s="538" t="s">
        <v>449</v>
      </c>
      <c r="F1158" s="538">
        <v>158415</v>
      </c>
      <c r="G1158" s="538">
        <v>5</v>
      </c>
    </row>
    <row r="1159" spans="1:7" x14ac:dyDescent="0.2">
      <c r="A1159" s="538">
        <v>3</v>
      </c>
      <c r="B1159" s="538" t="s">
        <v>6591</v>
      </c>
      <c r="C1159" s="538" t="s">
        <v>740</v>
      </c>
      <c r="D1159" s="538" t="s">
        <v>393</v>
      </c>
      <c r="E1159" s="538" t="s">
        <v>416</v>
      </c>
      <c r="F1159" s="538">
        <v>2403910</v>
      </c>
      <c r="G1159" s="538">
        <v>65</v>
      </c>
    </row>
    <row r="1160" spans="1:7" x14ac:dyDescent="0.2">
      <c r="A1160" s="538">
        <v>10</v>
      </c>
      <c r="B1160" s="538" t="s">
        <v>6587</v>
      </c>
      <c r="C1160" s="538" t="s">
        <v>740</v>
      </c>
      <c r="D1160" s="538" t="s">
        <v>393</v>
      </c>
      <c r="E1160" s="538" t="s">
        <v>449</v>
      </c>
      <c r="F1160" s="538">
        <v>33984</v>
      </c>
      <c r="G1160" s="538">
        <v>3</v>
      </c>
    </row>
    <row r="1161" spans="1:7" x14ac:dyDescent="0.2">
      <c r="A1161" s="538">
        <v>3</v>
      </c>
      <c r="B1161" s="538" t="s">
        <v>6603</v>
      </c>
      <c r="C1161" s="538" t="s">
        <v>740</v>
      </c>
      <c r="D1161" s="538" t="s">
        <v>393</v>
      </c>
      <c r="E1161" s="538" t="s">
        <v>860</v>
      </c>
      <c r="F1161" s="538">
        <v>403737</v>
      </c>
      <c r="G1161" s="538">
        <v>19</v>
      </c>
    </row>
    <row r="1162" spans="1:7" x14ac:dyDescent="0.2">
      <c r="A1162" s="538">
        <v>10</v>
      </c>
      <c r="B1162" s="538" t="s">
        <v>6587</v>
      </c>
      <c r="C1162" s="538" t="s">
        <v>393</v>
      </c>
      <c r="D1162" s="538" t="s">
        <v>393</v>
      </c>
      <c r="E1162" s="538" t="s">
        <v>402</v>
      </c>
      <c r="F1162" s="538">
        <v>3114388</v>
      </c>
      <c r="G1162" s="538">
        <v>91</v>
      </c>
    </row>
    <row r="1163" spans="1:7" x14ac:dyDescent="0.2">
      <c r="A1163" s="538">
        <v>6</v>
      </c>
      <c r="B1163" s="538" t="s">
        <v>6429</v>
      </c>
      <c r="C1163" s="538" t="s">
        <v>740</v>
      </c>
      <c r="D1163" s="538" t="s">
        <v>393</v>
      </c>
      <c r="E1163" s="538" t="s">
        <v>402</v>
      </c>
      <c r="F1163" s="538">
        <v>309091265</v>
      </c>
      <c r="G1163" s="538">
        <v>12580</v>
      </c>
    </row>
    <row r="1164" spans="1:7" x14ac:dyDescent="0.2">
      <c r="A1164" s="538">
        <v>4</v>
      </c>
      <c r="B1164" s="538" t="s">
        <v>6574</v>
      </c>
      <c r="C1164" s="538" t="s">
        <v>740</v>
      </c>
      <c r="D1164" s="538" t="s">
        <v>740</v>
      </c>
      <c r="E1164" s="538" t="s">
        <v>202</v>
      </c>
      <c r="F1164" s="538">
        <v>11328</v>
      </c>
      <c r="G1164" s="538">
        <v>1</v>
      </c>
    </row>
    <row r="1165" spans="1:7" x14ac:dyDescent="0.2">
      <c r="A1165" s="538">
        <v>2</v>
      </c>
      <c r="B1165" s="538" t="s">
        <v>6654</v>
      </c>
      <c r="C1165" s="538" t="s">
        <v>740</v>
      </c>
      <c r="D1165" s="538" t="s">
        <v>393</v>
      </c>
      <c r="E1165" s="538" t="s">
        <v>212</v>
      </c>
      <c r="F1165" s="538">
        <v>1388211</v>
      </c>
      <c r="G1165" s="538">
        <v>117</v>
      </c>
    </row>
    <row r="1166" spans="1:7" x14ac:dyDescent="0.2">
      <c r="A1166" s="538">
        <v>7</v>
      </c>
      <c r="B1166" s="538" t="s">
        <v>6571</v>
      </c>
      <c r="C1166" s="538" t="s">
        <v>740</v>
      </c>
      <c r="D1166" s="538" t="s">
        <v>393</v>
      </c>
      <c r="E1166" s="538" t="s">
        <v>860</v>
      </c>
      <c r="F1166" s="538">
        <v>74163</v>
      </c>
      <c r="G1166" s="538">
        <v>1</v>
      </c>
    </row>
    <row r="1167" spans="1:7" x14ac:dyDescent="0.2">
      <c r="A1167" s="538">
        <v>7</v>
      </c>
      <c r="B1167" s="538" t="s">
        <v>6579</v>
      </c>
      <c r="C1167" s="538" t="s">
        <v>740</v>
      </c>
      <c r="D1167" s="538" t="s">
        <v>740</v>
      </c>
      <c r="E1167" s="538" t="s">
        <v>416</v>
      </c>
      <c r="F1167" s="538">
        <v>3048846</v>
      </c>
      <c r="G1167" s="538">
        <v>77</v>
      </c>
    </row>
    <row r="1168" spans="1:7" x14ac:dyDescent="0.2">
      <c r="A1168" s="538">
        <v>11</v>
      </c>
      <c r="B1168" s="538" t="s">
        <v>6592</v>
      </c>
      <c r="C1168" s="538" t="s">
        <v>740</v>
      </c>
      <c r="D1168" s="538" t="s">
        <v>740</v>
      </c>
      <c r="E1168" s="538" t="s">
        <v>409</v>
      </c>
      <c r="F1168" s="538">
        <v>289395</v>
      </c>
      <c r="G1168" s="538">
        <v>20</v>
      </c>
    </row>
    <row r="1169" spans="1:7" x14ac:dyDescent="0.2">
      <c r="A1169" s="538">
        <v>8</v>
      </c>
      <c r="B1169" s="538" t="s">
        <v>6560</v>
      </c>
      <c r="C1169" s="538" t="s">
        <v>393</v>
      </c>
      <c r="D1169" s="538" t="s">
        <v>393</v>
      </c>
      <c r="E1169" s="538" t="s">
        <v>438</v>
      </c>
      <c r="F1169" s="538">
        <v>13036603</v>
      </c>
      <c r="G1169" s="538">
        <v>111</v>
      </c>
    </row>
    <row r="1170" spans="1:7" x14ac:dyDescent="0.2">
      <c r="A1170" s="538">
        <v>8</v>
      </c>
      <c r="B1170" s="538" t="s">
        <v>6560</v>
      </c>
      <c r="C1170" s="538" t="s">
        <v>393</v>
      </c>
      <c r="D1170" s="538" t="s">
        <v>393</v>
      </c>
      <c r="E1170" s="538" t="s">
        <v>206</v>
      </c>
      <c r="F1170" s="538">
        <v>496433</v>
      </c>
      <c r="G1170" s="538">
        <v>1</v>
      </c>
    </row>
    <row r="1171" spans="1:7" x14ac:dyDescent="0.2">
      <c r="A1171" s="538">
        <v>12</v>
      </c>
      <c r="B1171" s="538" t="s">
        <v>6569</v>
      </c>
      <c r="C1171" s="538" t="s">
        <v>740</v>
      </c>
      <c r="D1171" s="538" t="s">
        <v>393</v>
      </c>
      <c r="E1171" s="538" t="s">
        <v>210</v>
      </c>
      <c r="F1171" s="538">
        <v>11092882</v>
      </c>
      <c r="G1171" s="538">
        <v>364</v>
      </c>
    </row>
    <row r="1172" spans="1:7" x14ac:dyDescent="0.2">
      <c r="A1172" s="538">
        <v>8</v>
      </c>
      <c r="B1172" s="538" t="s">
        <v>6577</v>
      </c>
      <c r="C1172" s="538" t="s">
        <v>393</v>
      </c>
      <c r="D1172" s="538" t="s">
        <v>393</v>
      </c>
      <c r="E1172" s="538" t="s">
        <v>449</v>
      </c>
      <c r="F1172" s="538">
        <v>84252</v>
      </c>
      <c r="G1172" s="538">
        <v>4</v>
      </c>
    </row>
    <row r="1173" spans="1:7" x14ac:dyDescent="0.2">
      <c r="A1173" s="538">
        <v>5</v>
      </c>
      <c r="B1173" s="538" t="s">
        <v>6598</v>
      </c>
      <c r="C1173" s="538" t="s">
        <v>740</v>
      </c>
      <c r="D1173" s="538" t="s">
        <v>740</v>
      </c>
      <c r="E1173" s="538" t="s">
        <v>416</v>
      </c>
      <c r="F1173" s="538">
        <v>5408006</v>
      </c>
      <c r="G1173" s="538">
        <v>182</v>
      </c>
    </row>
    <row r="1174" spans="1:7" x14ac:dyDescent="0.2">
      <c r="A1174" s="538">
        <v>7</v>
      </c>
      <c r="B1174" s="538" t="s">
        <v>6579</v>
      </c>
      <c r="C1174" s="538" t="s">
        <v>740</v>
      </c>
      <c r="D1174" s="538" t="s">
        <v>393</v>
      </c>
      <c r="E1174" s="538" t="s">
        <v>230</v>
      </c>
      <c r="F1174" s="538">
        <v>40578366</v>
      </c>
      <c r="G1174" s="538">
        <v>757</v>
      </c>
    </row>
    <row r="1175" spans="1:7" x14ac:dyDescent="0.2">
      <c r="A1175" s="538">
        <v>6</v>
      </c>
      <c r="B1175" s="538" t="s">
        <v>6607</v>
      </c>
      <c r="C1175" s="538" t="s">
        <v>740</v>
      </c>
      <c r="D1175" s="538" t="s">
        <v>393</v>
      </c>
      <c r="E1175" s="538" t="s">
        <v>207</v>
      </c>
      <c r="F1175" s="538">
        <v>11328</v>
      </c>
      <c r="G1175" s="538">
        <v>1</v>
      </c>
    </row>
    <row r="1176" spans="1:7" x14ac:dyDescent="0.2">
      <c r="A1176" s="538">
        <v>11</v>
      </c>
      <c r="B1176" s="538" t="s">
        <v>6558</v>
      </c>
      <c r="C1176" s="538" t="s">
        <v>740</v>
      </c>
      <c r="D1176" s="538" t="s">
        <v>393</v>
      </c>
      <c r="E1176" s="538" t="s">
        <v>416</v>
      </c>
      <c r="F1176" s="538">
        <v>11328</v>
      </c>
      <c r="G1176" s="538">
        <v>1</v>
      </c>
    </row>
    <row r="1177" spans="1:7" x14ac:dyDescent="0.2">
      <c r="A1177" s="538">
        <v>1</v>
      </c>
      <c r="B1177" s="538" t="s">
        <v>6602</v>
      </c>
      <c r="C1177" s="538" t="s">
        <v>740</v>
      </c>
      <c r="D1177" s="538" t="s">
        <v>740</v>
      </c>
      <c r="E1177" s="538" t="s">
        <v>211</v>
      </c>
      <c r="F1177" s="538">
        <v>170982</v>
      </c>
      <c r="G1177" s="538">
        <v>4</v>
      </c>
    </row>
    <row r="1178" spans="1:7" x14ac:dyDescent="0.2">
      <c r="A1178" s="538">
        <v>7</v>
      </c>
      <c r="B1178" s="538" t="s">
        <v>6580</v>
      </c>
      <c r="C1178" s="538" t="s">
        <v>393</v>
      </c>
      <c r="D1178" s="538" t="s">
        <v>740</v>
      </c>
      <c r="E1178" s="538" t="s">
        <v>449</v>
      </c>
      <c r="F1178" s="538">
        <v>11328</v>
      </c>
      <c r="G1178" s="538">
        <v>1</v>
      </c>
    </row>
    <row r="1179" spans="1:7" x14ac:dyDescent="0.2">
      <c r="A1179" s="538">
        <v>11</v>
      </c>
      <c r="B1179" s="538" t="s">
        <v>6610</v>
      </c>
      <c r="C1179" s="538" t="s">
        <v>740</v>
      </c>
      <c r="D1179" s="538" t="s">
        <v>393</v>
      </c>
      <c r="E1179" s="538" t="s">
        <v>419</v>
      </c>
      <c r="F1179" s="538">
        <v>11328</v>
      </c>
      <c r="G1179" s="538">
        <v>1</v>
      </c>
    </row>
    <row r="1180" spans="1:7" x14ac:dyDescent="0.2">
      <c r="A1180" s="538">
        <v>3</v>
      </c>
      <c r="B1180" s="538" t="s">
        <v>6586</v>
      </c>
      <c r="C1180" s="538" t="s">
        <v>740</v>
      </c>
      <c r="D1180" s="538" t="s">
        <v>740</v>
      </c>
      <c r="E1180" s="538" t="s">
        <v>230</v>
      </c>
      <c r="F1180" s="538">
        <v>426216</v>
      </c>
      <c r="G1180" s="538">
        <v>12</v>
      </c>
    </row>
    <row r="1181" spans="1:7" x14ac:dyDescent="0.2">
      <c r="A1181" s="538">
        <v>4</v>
      </c>
      <c r="B1181" s="538" t="s">
        <v>6562</v>
      </c>
      <c r="C1181" s="538" t="s">
        <v>740</v>
      </c>
      <c r="D1181" s="538" t="s">
        <v>393</v>
      </c>
      <c r="E1181" s="538" t="s">
        <v>402</v>
      </c>
      <c r="F1181" s="538">
        <v>18287401</v>
      </c>
      <c r="G1181" s="538">
        <v>812</v>
      </c>
    </row>
    <row r="1182" spans="1:7" x14ac:dyDescent="0.2">
      <c r="A1182" s="538">
        <v>6</v>
      </c>
      <c r="B1182" s="538" t="s">
        <v>6617</v>
      </c>
      <c r="C1182" s="538" t="s">
        <v>393</v>
      </c>
      <c r="D1182" s="538" t="s">
        <v>740</v>
      </c>
      <c r="E1182" s="538" t="s">
        <v>202</v>
      </c>
      <c r="F1182" s="538">
        <v>883709</v>
      </c>
      <c r="G1182" s="538">
        <v>13</v>
      </c>
    </row>
    <row r="1183" spans="1:7" x14ac:dyDescent="0.2">
      <c r="A1183" s="538">
        <v>3</v>
      </c>
      <c r="B1183" s="538" t="s">
        <v>6586</v>
      </c>
      <c r="C1183" s="538" t="s">
        <v>740</v>
      </c>
      <c r="D1183" s="538" t="s">
        <v>740</v>
      </c>
      <c r="E1183" s="538" t="s">
        <v>409</v>
      </c>
      <c r="F1183" s="538">
        <v>11328</v>
      </c>
      <c r="G1183" s="538">
        <v>1</v>
      </c>
    </row>
    <row r="1184" spans="1:7" x14ac:dyDescent="0.2">
      <c r="A1184" s="538">
        <v>4</v>
      </c>
      <c r="B1184" s="538" t="s">
        <v>6574</v>
      </c>
      <c r="C1184" s="538" t="s">
        <v>740</v>
      </c>
      <c r="D1184" s="538" t="s">
        <v>740</v>
      </c>
      <c r="E1184" s="538" t="s">
        <v>209</v>
      </c>
      <c r="F1184" s="538">
        <v>135759</v>
      </c>
      <c r="G1184" s="538">
        <v>3</v>
      </c>
    </row>
    <row r="1185" spans="1:7" x14ac:dyDescent="0.2">
      <c r="A1185" s="538">
        <v>9</v>
      </c>
      <c r="B1185" s="538" t="s">
        <v>6615</v>
      </c>
      <c r="C1185" s="538" t="s">
        <v>393</v>
      </c>
      <c r="D1185" s="538" t="s">
        <v>393</v>
      </c>
      <c r="E1185" s="538" t="s">
        <v>207</v>
      </c>
      <c r="F1185" s="538">
        <v>15903013</v>
      </c>
      <c r="G1185" s="538">
        <v>971</v>
      </c>
    </row>
    <row r="1186" spans="1:7" x14ac:dyDescent="0.2">
      <c r="A1186" s="538">
        <v>7</v>
      </c>
      <c r="B1186" s="538" t="s">
        <v>6571</v>
      </c>
      <c r="C1186" s="538" t="s">
        <v>740</v>
      </c>
      <c r="D1186" s="538" t="s">
        <v>393</v>
      </c>
      <c r="E1186" s="538" t="s">
        <v>210</v>
      </c>
      <c r="F1186" s="538">
        <v>2373341</v>
      </c>
      <c r="G1186" s="538">
        <v>112</v>
      </c>
    </row>
    <row r="1187" spans="1:7" x14ac:dyDescent="0.2">
      <c r="A1187" s="538">
        <v>9</v>
      </c>
      <c r="B1187" s="538" t="s">
        <v>6613</v>
      </c>
      <c r="C1187" s="538" t="s">
        <v>393</v>
      </c>
      <c r="D1187" s="538" t="s">
        <v>393</v>
      </c>
      <c r="E1187" s="538" t="s">
        <v>419</v>
      </c>
      <c r="F1187" s="538">
        <v>621041</v>
      </c>
      <c r="G1187" s="538">
        <v>12</v>
      </c>
    </row>
    <row r="1188" spans="1:7" x14ac:dyDescent="0.2">
      <c r="A1188" s="538">
        <v>11</v>
      </c>
      <c r="B1188" s="538" t="s">
        <v>6592</v>
      </c>
      <c r="C1188" s="538" t="s">
        <v>740</v>
      </c>
      <c r="D1188" s="538" t="s">
        <v>393</v>
      </c>
      <c r="E1188" s="538" t="s">
        <v>202</v>
      </c>
      <c r="F1188" s="538">
        <v>74163</v>
      </c>
      <c r="G1188" s="538">
        <v>1</v>
      </c>
    </row>
    <row r="1189" spans="1:7" x14ac:dyDescent="0.2">
      <c r="A1189" s="538">
        <v>6</v>
      </c>
      <c r="B1189" s="538" t="s">
        <v>6433</v>
      </c>
      <c r="C1189" s="538" t="s">
        <v>740</v>
      </c>
      <c r="D1189" s="538" t="s">
        <v>393</v>
      </c>
      <c r="E1189" s="538" t="s">
        <v>438</v>
      </c>
      <c r="F1189" s="538">
        <v>11328</v>
      </c>
      <c r="G1189" s="538">
        <v>1</v>
      </c>
    </row>
    <row r="1190" spans="1:7" x14ac:dyDescent="0.2">
      <c r="A1190" s="538">
        <v>1</v>
      </c>
      <c r="B1190" s="538" t="s">
        <v>6609</v>
      </c>
      <c r="C1190" s="538" t="s">
        <v>740</v>
      </c>
      <c r="D1190" s="538" t="s">
        <v>740</v>
      </c>
      <c r="E1190" s="538" t="s">
        <v>401</v>
      </c>
      <c r="F1190" s="538">
        <v>45312</v>
      </c>
      <c r="G1190" s="538">
        <v>4</v>
      </c>
    </row>
    <row r="1191" spans="1:7" x14ac:dyDescent="0.2">
      <c r="A1191" s="538">
        <v>7</v>
      </c>
      <c r="B1191" s="538" t="s">
        <v>6661</v>
      </c>
      <c r="C1191" s="538" t="s">
        <v>393</v>
      </c>
      <c r="D1191" s="538" t="s">
        <v>393</v>
      </c>
      <c r="E1191" s="538" t="s">
        <v>212</v>
      </c>
      <c r="F1191" s="538">
        <v>892913</v>
      </c>
      <c r="G1191" s="538">
        <v>36</v>
      </c>
    </row>
    <row r="1192" spans="1:7" x14ac:dyDescent="0.2">
      <c r="A1192" s="538">
        <v>4</v>
      </c>
      <c r="B1192" s="538" t="s">
        <v>6590</v>
      </c>
      <c r="C1192" s="538" t="s">
        <v>740</v>
      </c>
      <c r="D1192" s="538" t="s">
        <v>740</v>
      </c>
      <c r="E1192" s="538" t="s">
        <v>207</v>
      </c>
      <c r="F1192" s="538">
        <v>543567</v>
      </c>
      <c r="G1192" s="538">
        <v>39</v>
      </c>
    </row>
    <row r="1193" spans="1:7" x14ac:dyDescent="0.2">
      <c r="A1193" s="538">
        <v>4</v>
      </c>
      <c r="B1193" s="538" t="s">
        <v>6572</v>
      </c>
      <c r="C1193" s="538" t="s">
        <v>740</v>
      </c>
      <c r="D1193" s="538" t="s">
        <v>740</v>
      </c>
      <c r="E1193" s="538" t="s">
        <v>401</v>
      </c>
      <c r="F1193" s="538">
        <v>1429348</v>
      </c>
      <c r="G1193" s="538">
        <v>26</v>
      </c>
    </row>
    <row r="1194" spans="1:7" x14ac:dyDescent="0.2">
      <c r="A1194" s="538">
        <v>2</v>
      </c>
      <c r="B1194" s="538" t="s">
        <v>6573</v>
      </c>
      <c r="C1194" s="538" t="s">
        <v>740</v>
      </c>
      <c r="D1194" s="538" t="s">
        <v>393</v>
      </c>
      <c r="E1194" s="538" t="s">
        <v>209</v>
      </c>
      <c r="F1194" s="538">
        <v>74163</v>
      </c>
      <c r="G1194" s="538">
        <v>1</v>
      </c>
    </row>
    <row r="1195" spans="1:7" x14ac:dyDescent="0.2">
      <c r="A1195" s="538">
        <v>4</v>
      </c>
      <c r="B1195" s="538" t="s">
        <v>6590</v>
      </c>
      <c r="C1195" s="538" t="s">
        <v>740</v>
      </c>
      <c r="D1195" s="538" t="s">
        <v>393</v>
      </c>
      <c r="E1195" s="538" t="s">
        <v>860</v>
      </c>
      <c r="F1195" s="538">
        <v>891497</v>
      </c>
      <c r="G1195" s="538">
        <v>29</v>
      </c>
    </row>
    <row r="1196" spans="1:7" x14ac:dyDescent="0.2">
      <c r="A1196" s="538">
        <v>4</v>
      </c>
      <c r="B1196" s="538" t="s">
        <v>6574</v>
      </c>
      <c r="C1196" s="538" t="s">
        <v>740</v>
      </c>
      <c r="D1196" s="538" t="s">
        <v>740</v>
      </c>
      <c r="E1196" s="538" t="s">
        <v>416</v>
      </c>
      <c r="F1196" s="538">
        <v>61596</v>
      </c>
      <c r="G1196" s="538">
        <v>2</v>
      </c>
    </row>
    <row r="1197" spans="1:7" x14ac:dyDescent="0.2">
      <c r="A1197" s="538">
        <v>2</v>
      </c>
      <c r="B1197" s="538" t="s">
        <v>6608</v>
      </c>
      <c r="C1197" s="538" t="s">
        <v>740</v>
      </c>
      <c r="D1197" s="538" t="s">
        <v>393</v>
      </c>
      <c r="E1197" s="538" t="s">
        <v>409</v>
      </c>
      <c r="F1197" s="538">
        <v>950438</v>
      </c>
      <c r="G1197" s="538">
        <v>21</v>
      </c>
    </row>
    <row r="1198" spans="1:7" x14ac:dyDescent="0.2">
      <c r="A1198" s="538">
        <v>11</v>
      </c>
      <c r="B1198" s="538" t="s">
        <v>6584</v>
      </c>
      <c r="C1198" s="538" t="s">
        <v>393</v>
      </c>
      <c r="D1198" s="538" t="s">
        <v>393</v>
      </c>
      <c r="E1198" s="538" t="s">
        <v>210</v>
      </c>
      <c r="F1198" s="538">
        <v>2670243</v>
      </c>
      <c r="G1198" s="538">
        <v>56</v>
      </c>
    </row>
    <row r="1199" spans="1:7" x14ac:dyDescent="0.2">
      <c r="A1199" s="538">
        <v>6</v>
      </c>
      <c r="B1199" s="538" t="s">
        <v>6565</v>
      </c>
      <c r="C1199" s="538" t="s">
        <v>740</v>
      </c>
      <c r="D1199" s="538" t="s">
        <v>393</v>
      </c>
      <c r="E1199" s="538" t="s">
        <v>230</v>
      </c>
      <c r="F1199" s="538">
        <v>6132030</v>
      </c>
      <c r="G1199" s="538">
        <v>115</v>
      </c>
    </row>
    <row r="1200" spans="1:7" x14ac:dyDescent="0.2">
      <c r="A1200" s="538">
        <v>10</v>
      </c>
      <c r="B1200" s="538" t="s">
        <v>6597</v>
      </c>
      <c r="C1200" s="538" t="s">
        <v>393</v>
      </c>
      <c r="D1200" s="538" t="s">
        <v>393</v>
      </c>
      <c r="E1200" s="538" t="s">
        <v>860</v>
      </c>
      <c r="F1200" s="538">
        <v>1278596</v>
      </c>
      <c r="G1200" s="538">
        <v>32</v>
      </c>
    </row>
    <row r="1201" spans="1:7" x14ac:dyDescent="0.2">
      <c r="A1201" s="538">
        <v>5</v>
      </c>
      <c r="B1201" s="538" t="s">
        <v>6566</v>
      </c>
      <c r="C1201" s="538" t="s">
        <v>393</v>
      </c>
      <c r="D1201" s="538" t="s">
        <v>393</v>
      </c>
      <c r="E1201" s="538" t="s">
        <v>416</v>
      </c>
      <c r="F1201" s="538">
        <v>79091696</v>
      </c>
      <c r="G1201" s="538">
        <v>1007</v>
      </c>
    </row>
    <row r="1202" spans="1:7" x14ac:dyDescent="0.2">
      <c r="A1202" s="538">
        <v>4</v>
      </c>
      <c r="B1202" s="538" t="s">
        <v>6559</v>
      </c>
      <c r="C1202" s="538" t="s">
        <v>393</v>
      </c>
      <c r="D1202" s="538" t="s">
        <v>740</v>
      </c>
      <c r="E1202" s="538" t="s">
        <v>210</v>
      </c>
      <c r="F1202" s="538">
        <v>654848</v>
      </c>
      <c r="G1202" s="538">
        <v>6</v>
      </c>
    </row>
    <row r="1203" spans="1:7" x14ac:dyDescent="0.2">
      <c r="A1203" s="538">
        <v>6</v>
      </c>
      <c r="B1203" s="538" t="s">
        <v>6429</v>
      </c>
      <c r="C1203" s="538" t="s">
        <v>740</v>
      </c>
      <c r="D1203" s="538" t="s">
        <v>740</v>
      </c>
      <c r="E1203" s="538" t="s">
        <v>390</v>
      </c>
      <c r="F1203" s="538">
        <v>294955360</v>
      </c>
      <c r="G1203" s="538">
        <v>6765</v>
      </c>
    </row>
    <row r="1204" spans="1:7" x14ac:dyDescent="0.2">
      <c r="A1204" s="538">
        <v>11</v>
      </c>
      <c r="B1204" s="538" t="s">
        <v>6612</v>
      </c>
      <c r="C1204" s="538" t="s">
        <v>393</v>
      </c>
      <c r="D1204" s="538" t="s">
        <v>393</v>
      </c>
      <c r="E1204" s="538" t="s">
        <v>419</v>
      </c>
      <c r="F1204" s="538">
        <v>11328</v>
      </c>
      <c r="G1204" s="538">
        <v>1</v>
      </c>
    </row>
    <row r="1205" spans="1:7" x14ac:dyDescent="0.2">
      <c r="A1205" s="538">
        <v>3</v>
      </c>
      <c r="B1205" s="538" t="s">
        <v>6591</v>
      </c>
      <c r="C1205" s="538" t="s">
        <v>393</v>
      </c>
      <c r="D1205" s="538" t="s">
        <v>740</v>
      </c>
      <c r="E1205" s="538" t="s">
        <v>211</v>
      </c>
      <c r="F1205" s="538">
        <v>108147</v>
      </c>
      <c r="G1205" s="538">
        <v>4</v>
      </c>
    </row>
    <row r="1206" spans="1:7" x14ac:dyDescent="0.2">
      <c r="A1206" s="538">
        <v>4</v>
      </c>
      <c r="B1206" s="538" t="s">
        <v>6593</v>
      </c>
      <c r="C1206" s="538" t="s">
        <v>740</v>
      </c>
      <c r="D1206" s="538" t="s">
        <v>393</v>
      </c>
      <c r="E1206" s="538" t="s">
        <v>210</v>
      </c>
      <c r="F1206" s="538">
        <v>10521630</v>
      </c>
      <c r="G1206" s="538">
        <v>410</v>
      </c>
    </row>
    <row r="1207" spans="1:7" x14ac:dyDescent="0.2">
      <c r="A1207" s="538">
        <v>4</v>
      </c>
      <c r="B1207" s="538" t="s">
        <v>6574</v>
      </c>
      <c r="C1207" s="538" t="s">
        <v>740</v>
      </c>
      <c r="D1207" s="538" t="s">
        <v>393</v>
      </c>
      <c r="E1207" s="538" t="s">
        <v>402</v>
      </c>
      <c r="F1207" s="538">
        <v>752250</v>
      </c>
      <c r="G1207" s="538">
        <v>45</v>
      </c>
    </row>
    <row r="1208" spans="1:7" x14ac:dyDescent="0.2">
      <c r="A1208" s="538">
        <v>7</v>
      </c>
      <c r="B1208" s="538" t="s">
        <v>6564</v>
      </c>
      <c r="C1208" s="538" t="s">
        <v>393</v>
      </c>
      <c r="D1208" s="538" t="s">
        <v>740</v>
      </c>
      <c r="E1208" s="538" t="s">
        <v>390</v>
      </c>
      <c r="F1208" s="538">
        <v>256473</v>
      </c>
      <c r="G1208" s="538">
        <v>6</v>
      </c>
    </row>
    <row r="1209" spans="1:7" x14ac:dyDescent="0.2">
      <c r="A1209" s="538">
        <v>1</v>
      </c>
      <c r="B1209" s="538" t="s">
        <v>6581</v>
      </c>
      <c r="C1209" s="538" t="s">
        <v>740</v>
      </c>
      <c r="D1209" s="538" t="s">
        <v>393</v>
      </c>
      <c r="E1209" s="538" t="s">
        <v>313</v>
      </c>
      <c r="F1209" s="538">
        <v>496433</v>
      </c>
      <c r="G1209" s="538">
        <v>1</v>
      </c>
    </row>
    <row r="1210" spans="1:7" x14ac:dyDescent="0.2">
      <c r="A1210" s="538">
        <v>3</v>
      </c>
      <c r="B1210" s="538" t="s">
        <v>1390</v>
      </c>
      <c r="C1210" s="538" t="s">
        <v>740</v>
      </c>
      <c r="D1210" s="538" t="s">
        <v>393</v>
      </c>
      <c r="E1210" s="538" t="s">
        <v>211</v>
      </c>
      <c r="F1210" s="538">
        <v>5979633</v>
      </c>
      <c r="G1210" s="538">
        <v>86</v>
      </c>
    </row>
    <row r="1211" spans="1:7" x14ac:dyDescent="0.2">
      <c r="A1211" s="538">
        <v>8</v>
      </c>
      <c r="B1211" s="538" t="s">
        <v>6648</v>
      </c>
      <c r="C1211" s="538" t="s">
        <v>393</v>
      </c>
      <c r="D1211" s="538" t="s">
        <v>393</v>
      </c>
      <c r="E1211" s="538" t="s">
        <v>209</v>
      </c>
      <c r="F1211" s="538">
        <v>1339786</v>
      </c>
      <c r="G1211" s="538">
        <v>7</v>
      </c>
    </row>
    <row r="1212" spans="1:7" x14ac:dyDescent="0.2">
      <c r="A1212" s="538">
        <v>11</v>
      </c>
      <c r="B1212" s="538" t="s">
        <v>6592</v>
      </c>
      <c r="C1212" s="538" t="s">
        <v>740</v>
      </c>
      <c r="D1212" s="538" t="s">
        <v>393</v>
      </c>
      <c r="E1212" s="538" t="s">
        <v>402</v>
      </c>
      <c r="F1212" s="538">
        <v>11328</v>
      </c>
      <c r="G1212" s="538">
        <v>1</v>
      </c>
    </row>
    <row r="1213" spans="1:7" x14ac:dyDescent="0.2">
      <c r="A1213" s="538">
        <v>8</v>
      </c>
      <c r="B1213" s="538" t="s">
        <v>6648</v>
      </c>
      <c r="C1213" s="538" t="s">
        <v>740</v>
      </c>
      <c r="D1213" s="538" t="s">
        <v>393</v>
      </c>
      <c r="E1213" s="538" t="s">
        <v>402</v>
      </c>
      <c r="F1213" s="538">
        <v>3490565</v>
      </c>
      <c r="G1213" s="538">
        <v>185</v>
      </c>
    </row>
    <row r="1214" spans="1:7" x14ac:dyDescent="0.2">
      <c r="A1214" s="538">
        <v>4</v>
      </c>
      <c r="B1214" s="538" t="s">
        <v>6590</v>
      </c>
      <c r="C1214" s="538" t="s">
        <v>740</v>
      </c>
      <c r="D1214" s="538" t="s">
        <v>393</v>
      </c>
      <c r="E1214" s="538" t="s">
        <v>211</v>
      </c>
      <c r="F1214" s="538">
        <v>17837998</v>
      </c>
      <c r="G1214" s="538">
        <v>491</v>
      </c>
    </row>
    <row r="1215" spans="1:7" x14ac:dyDescent="0.2">
      <c r="A1215" s="538">
        <v>7</v>
      </c>
      <c r="B1215" s="538" t="s">
        <v>6604</v>
      </c>
      <c r="C1215" s="538" t="s">
        <v>740</v>
      </c>
      <c r="D1215" s="538" t="s">
        <v>740</v>
      </c>
      <c r="E1215" s="538" t="s">
        <v>390</v>
      </c>
      <c r="F1215" s="538">
        <v>2375944</v>
      </c>
      <c r="G1215" s="538">
        <v>48</v>
      </c>
    </row>
    <row r="1216" spans="1:7" x14ac:dyDescent="0.2">
      <c r="A1216" s="538">
        <v>1</v>
      </c>
      <c r="B1216" s="538" t="s">
        <v>6581</v>
      </c>
      <c r="C1216" s="538" t="s">
        <v>393</v>
      </c>
      <c r="D1216" s="538" t="s">
        <v>740</v>
      </c>
      <c r="E1216" s="538" t="s">
        <v>390</v>
      </c>
      <c r="F1216" s="538">
        <v>1646756</v>
      </c>
      <c r="G1216" s="538">
        <v>32</v>
      </c>
    </row>
    <row r="1217" spans="1:7" x14ac:dyDescent="0.2">
      <c r="A1217" s="538">
        <v>7</v>
      </c>
      <c r="B1217" s="538" t="s">
        <v>6661</v>
      </c>
      <c r="C1217" s="538" t="s">
        <v>393</v>
      </c>
      <c r="D1217" s="538" t="s">
        <v>393</v>
      </c>
      <c r="E1217" s="538" t="s">
        <v>210</v>
      </c>
      <c r="F1217" s="538">
        <v>1549000</v>
      </c>
      <c r="G1217" s="538">
        <v>40</v>
      </c>
    </row>
    <row r="1218" spans="1:7" x14ac:dyDescent="0.2">
      <c r="A1218" s="538">
        <v>11</v>
      </c>
      <c r="B1218" s="538" t="s">
        <v>6584</v>
      </c>
      <c r="C1218" s="538" t="s">
        <v>393</v>
      </c>
      <c r="D1218" s="538" t="s">
        <v>393</v>
      </c>
      <c r="E1218" s="538" t="s">
        <v>401</v>
      </c>
      <c r="F1218" s="538">
        <v>1372708</v>
      </c>
      <c r="G1218" s="538">
        <v>21</v>
      </c>
    </row>
    <row r="1219" spans="1:7" x14ac:dyDescent="0.2">
      <c r="A1219" s="538">
        <v>9</v>
      </c>
      <c r="B1219" s="538" t="s">
        <v>6657</v>
      </c>
      <c r="C1219" s="538" t="s">
        <v>393</v>
      </c>
      <c r="D1219" s="538" t="s">
        <v>393</v>
      </c>
      <c r="E1219" s="538" t="s">
        <v>401</v>
      </c>
      <c r="F1219" s="538">
        <v>181248</v>
      </c>
      <c r="G1219" s="538">
        <v>16</v>
      </c>
    </row>
    <row r="1220" spans="1:7" x14ac:dyDescent="0.2">
      <c r="A1220" s="538">
        <v>3</v>
      </c>
      <c r="B1220" s="538" t="s">
        <v>6561</v>
      </c>
      <c r="C1220" s="538" t="s">
        <v>393</v>
      </c>
      <c r="D1220" s="538" t="s">
        <v>393</v>
      </c>
      <c r="E1220" s="538" t="s">
        <v>390</v>
      </c>
      <c r="F1220" s="538">
        <v>27219623</v>
      </c>
      <c r="G1220" s="538">
        <v>766</v>
      </c>
    </row>
    <row r="1221" spans="1:7" x14ac:dyDescent="0.2">
      <c r="A1221" s="538">
        <v>4</v>
      </c>
      <c r="B1221" s="538" t="s">
        <v>6590</v>
      </c>
      <c r="C1221" s="538" t="s">
        <v>740</v>
      </c>
      <c r="D1221" s="538" t="s">
        <v>393</v>
      </c>
      <c r="E1221" s="538" t="s">
        <v>402</v>
      </c>
      <c r="F1221" s="538">
        <v>11328</v>
      </c>
      <c r="G1221" s="538">
        <v>1</v>
      </c>
    </row>
    <row r="1222" spans="1:7" x14ac:dyDescent="0.2">
      <c r="A1222" s="538">
        <v>3</v>
      </c>
      <c r="B1222" s="538" t="s">
        <v>6605</v>
      </c>
      <c r="C1222" s="538" t="s">
        <v>740</v>
      </c>
      <c r="D1222" s="538" t="s">
        <v>393</v>
      </c>
      <c r="E1222" s="538" t="s">
        <v>211</v>
      </c>
      <c r="F1222" s="538">
        <v>45312</v>
      </c>
      <c r="G1222" s="538">
        <v>4</v>
      </c>
    </row>
    <row r="1223" spans="1:7" x14ac:dyDescent="0.2">
      <c r="A1223" s="538">
        <v>2</v>
      </c>
      <c r="B1223" s="538" t="s">
        <v>6654</v>
      </c>
      <c r="C1223" s="538" t="s">
        <v>740</v>
      </c>
      <c r="D1223" s="538" t="s">
        <v>393</v>
      </c>
      <c r="E1223" s="538" t="s">
        <v>207</v>
      </c>
      <c r="F1223" s="538">
        <v>1286082</v>
      </c>
      <c r="G1223" s="538">
        <v>99</v>
      </c>
    </row>
    <row r="1224" spans="1:7" x14ac:dyDescent="0.2">
      <c r="A1224" s="538">
        <v>2</v>
      </c>
      <c r="B1224" s="538" t="s">
        <v>6576</v>
      </c>
      <c r="C1224" s="538" t="s">
        <v>393</v>
      </c>
      <c r="D1224" s="538" t="s">
        <v>740</v>
      </c>
      <c r="E1224" s="538" t="s">
        <v>212</v>
      </c>
      <c r="F1224" s="538">
        <v>530417</v>
      </c>
      <c r="G1224" s="538">
        <v>4</v>
      </c>
    </row>
    <row r="1225" spans="1:7" x14ac:dyDescent="0.2">
      <c r="A1225" s="538">
        <v>8</v>
      </c>
      <c r="B1225" s="538" t="s">
        <v>6560</v>
      </c>
      <c r="C1225" s="538" t="s">
        <v>740</v>
      </c>
      <c r="D1225" s="538" t="s">
        <v>393</v>
      </c>
      <c r="E1225" s="538" t="s">
        <v>402</v>
      </c>
      <c r="F1225" s="538">
        <v>866946</v>
      </c>
      <c r="G1225" s="538">
        <v>62</v>
      </c>
    </row>
    <row r="1226" spans="1:7" x14ac:dyDescent="0.2">
      <c r="A1226" s="538">
        <v>4</v>
      </c>
      <c r="B1226" s="538" t="s">
        <v>6593</v>
      </c>
      <c r="C1226" s="538" t="s">
        <v>740</v>
      </c>
      <c r="D1226" s="538" t="s">
        <v>393</v>
      </c>
      <c r="E1226" s="538" t="s">
        <v>212</v>
      </c>
      <c r="F1226" s="538">
        <v>11332977</v>
      </c>
      <c r="G1226" s="538">
        <v>729</v>
      </c>
    </row>
    <row r="1227" spans="1:7" x14ac:dyDescent="0.2">
      <c r="A1227" s="538">
        <v>6</v>
      </c>
      <c r="B1227" s="538" t="s">
        <v>6596</v>
      </c>
      <c r="C1227" s="538" t="s">
        <v>393</v>
      </c>
      <c r="D1227" s="538" t="s">
        <v>393</v>
      </c>
      <c r="E1227" s="538" t="s">
        <v>860</v>
      </c>
      <c r="F1227" s="538">
        <v>1983712</v>
      </c>
      <c r="G1227" s="538">
        <v>39</v>
      </c>
    </row>
    <row r="1228" spans="1:7" x14ac:dyDescent="0.2">
      <c r="A1228" s="538">
        <v>5</v>
      </c>
      <c r="B1228" s="538" t="s">
        <v>6589</v>
      </c>
      <c r="C1228" s="538" t="s">
        <v>393</v>
      </c>
      <c r="D1228" s="538" t="s">
        <v>393</v>
      </c>
      <c r="E1228" s="538" t="s">
        <v>438</v>
      </c>
      <c r="F1228" s="538">
        <v>8023015</v>
      </c>
      <c r="G1228" s="538">
        <v>80</v>
      </c>
    </row>
    <row r="1229" spans="1:7" x14ac:dyDescent="0.2">
      <c r="A1229" s="538">
        <v>12</v>
      </c>
      <c r="B1229" s="538" t="s">
        <v>6616</v>
      </c>
      <c r="C1229" s="538" t="s">
        <v>740</v>
      </c>
      <c r="D1229" s="538" t="s">
        <v>393</v>
      </c>
      <c r="E1229" s="538" t="s">
        <v>209</v>
      </c>
      <c r="F1229" s="538">
        <v>74163</v>
      </c>
      <c r="G1229" s="538">
        <v>1</v>
      </c>
    </row>
    <row r="1230" spans="1:7" x14ac:dyDescent="0.2">
      <c r="A1230" s="538">
        <v>8</v>
      </c>
      <c r="B1230" s="538" t="s">
        <v>6577</v>
      </c>
      <c r="C1230" s="538" t="s">
        <v>740</v>
      </c>
      <c r="D1230" s="538" t="s">
        <v>393</v>
      </c>
      <c r="E1230" s="538" t="s">
        <v>438</v>
      </c>
      <c r="F1230" s="538">
        <v>1764815</v>
      </c>
      <c r="G1230" s="538">
        <v>30</v>
      </c>
    </row>
    <row r="1231" spans="1:7" x14ac:dyDescent="0.2">
      <c r="A1231" s="538">
        <v>3</v>
      </c>
      <c r="B1231" s="538" t="s">
        <v>6591</v>
      </c>
      <c r="C1231" s="538" t="s">
        <v>740</v>
      </c>
      <c r="D1231" s="538" t="s">
        <v>393</v>
      </c>
      <c r="E1231" s="538" t="s">
        <v>210</v>
      </c>
      <c r="F1231" s="538">
        <v>289218</v>
      </c>
      <c r="G1231" s="538">
        <v>11</v>
      </c>
    </row>
    <row r="1232" spans="1:7" x14ac:dyDescent="0.2">
      <c r="A1232" s="538">
        <v>6</v>
      </c>
      <c r="B1232" s="538" t="s">
        <v>6565</v>
      </c>
      <c r="C1232" s="538" t="s">
        <v>393</v>
      </c>
      <c r="D1232" s="538" t="s">
        <v>740</v>
      </c>
      <c r="E1232" s="538" t="s">
        <v>409</v>
      </c>
      <c r="F1232" s="538">
        <v>237888</v>
      </c>
      <c r="G1232" s="538">
        <v>21</v>
      </c>
    </row>
    <row r="1233" spans="1:7" x14ac:dyDescent="0.2">
      <c r="A1233" s="538">
        <v>8</v>
      </c>
      <c r="B1233" s="538" t="s">
        <v>6560</v>
      </c>
      <c r="C1233" s="538" t="s">
        <v>740</v>
      </c>
      <c r="D1233" s="538" t="s">
        <v>393</v>
      </c>
      <c r="E1233" s="538" t="s">
        <v>416</v>
      </c>
      <c r="F1233" s="538">
        <v>4161697</v>
      </c>
      <c r="G1233" s="538">
        <v>124</v>
      </c>
    </row>
    <row r="1234" spans="1:7" x14ac:dyDescent="0.2">
      <c r="A1234" s="538">
        <v>3</v>
      </c>
      <c r="B1234" s="538" t="s">
        <v>6647</v>
      </c>
      <c r="C1234" s="538" t="s">
        <v>393</v>
      </c>
      <c r="D1234" s="538" t="s">
        <v>393</v>
      </c>
      <c r="E1234" s="538" t="s">
        <v>416</v>
      </c>
      <c r="F1234" s="538">
        <v>30467335</v>
      </c>
      <c r="G1234" s="538">
        <v>415</v>
      </c>
    </row>
    <row r="1235" spans="1:7" x14ac:dyDescent="0.2">
      <c r="A1235" s="538">
        <v>11</v>
      </c>
      <c r="B1235" s="538" t="s">
        <v>6612</v>
      </c>
      <c r="C1235" s="538" t="s">
        <v>740</v>
      </c>
      <c r="D1235" s="538" t="s">
        <v>740</v>
      </c>
      <c r="E1235" s="538" t="s">
        <v>409</v>
      </c>
      <c r="F1235" s="538">
        <v>772251</v>
      </c>
      <c r="G1235" s="538">
        <v>37</v>
      </c>
    </row>
    <row r="1236" spans="1:7" x14ac:dyDescent="0.2">
      <c r="A1236" s="538">
        <v>2</v>
      </c>
      <c r="B1236" s="538" t="s">
        <v>6608</v>
      </c>
      <c r="C1236" s="538" t="s">
        <v>393</v>
      </c>
      <c r="D1236" s="538" t="s">
        <v>393</v>
      </c>
      <c r="E1236" s="538" t="s">
        <v>202</v>
      </c>
      <c r="F1236" s="538">
        <v>7710912</v>
      </c>
      <c r="G1236" s="538">
        <v>49</v>
      </c>
    </row>
    <row r="1237" spans="1:7" x14ac:dyDescent="0.2">
      <c r="A1237" s="538">
        <v>7</v>
      </c>
      <c r="B1237" s="538" t="s">
        <v>6588</v>
      </c>
      <c r="C1237" s="538" t="s">
        <v>740</v>
      </c>
      <c r="D1237" s="538" t="s">
        <v>393</v>
      </c>
      <c r="E1237" s="538" t="s">
        <v>409</v>
      </c>
      <c r="F1237" s="538">
        <v>158415</v>
      </c>
      <c r="G1237" s="538">
        <v>5</v>
      </c>
    </row>
    <row r="1238" spans="1:7" x14ac:dyDescent="0.2">
      <c r="A1238" s="538">
        <v>5</v>
      </c>
      <c r="B1238" s="538" t="s">
        <v>6589</v>
      </c>
      <c r="C1238" s="538" t="s">
        <v>393</v>
      </c>
      <c r="D1238" s="538" t="s">
        <v>740</v>
      </c>
      <c r="E1238" s="538" t="s">
        <v>416</v>
      </c>
      <c r="F1238" s="538">
        <v>11328</v>
      </c>
      <c r="G1238" s="538">
        <v>1</v>
      </c>
    </row>
    <row r="1239" spans="1:7" x14ac:dyDescent="0.2">
      <c r="A1239" s="538">
        <v>10</v>
      </c>
      <c r="B1239" s="538" t="s">
        <v>6600</v>
      </c>
      <c r="C1239" s="538" t="s">
        <v>740</v>
      </c>
      <c r="D1239" s="538" t="s">
        <v>393</v>
      </c>
      <c r="E1239" s="538" t="s">
        <v>860</v>
      </c>
      <c r="F1239" s="538">
        <v>163548</v>
      </c>
      <c r="G1239" s="538">
        <v>11</v>
      </c>
    </row>
    <row r="1240" spans="1:7" x14ac:dyDescent="0.2">
      <c r="A1240" s="538">
        <v>1</v>
      </c>
      <c r="B1240" s="538" t="s">
        <v>6649</v>
      </c>
      <c r="C1240" s="538" t="s">
        <v>740</v>
      </c>
      <c r="D1240" s="538" t="s">
        <v>393</v>
      </c>
      <c r="E1240" s="538" t="s">
        <v>207</v>
      </c>
      <c r="F1240" s="538">
        <v>22656</v>
      </c>
      <c r="G1240" s="538">
        <v>2</v>
      </c>
    </row>
    <row r="1241" spans="1:7" x14ac:dyDescent="0.2">
      <c r="A1241" s="538">
        <v>3</v>
      </c>
      <c r="B1241" s="538" t="s">
        <v>6591</v>
      </c>
      <c r="C1241" s="538" t="s">
        <v>740</v>
      </c>
      <c r="D1241" s="538" t="s">
        <v>393</v>
      </c>
      <c r="E1241" s="538" t="s">
        <v>211</v>
      </c>
      <c r="F1241" s="538">
        <v>74163</v>
      </c>
      <c r="G1241" s="538">
        <v>1</v>
      </c>
    </row>
    <row r="1242" spans="1:7" x14ac:dyDescent="0.2">
      <c r="A1242" s="538">
        <v>6</v>
      </c>
      <c r="B1242" s="538" t="s">
        <v>6565</v>
      </c>
      <c r="C1242" s="538" t="s">
        <v>740</v>
      </c>
      <c r="D1242" s="538" t="s">
        <v>393</v>
      </c>
      <c r="E1242" s="538" t="s">
        <v>390</v>
      </c>
      <c r="F1242" s="538">
        <v>271518</v>
      </c>
      <c r="G1242" s="538">
        <v>6</v>
      </c>
    </row>
    <row r="1243" spans="1:7" x14ac:dyDescent="0.2">
      <c r="A1243" s="538">
        <v>2</v>
      </c>
      <c r="B1243" s="538" t="s">
        <v>6055</v>
      </c>
      <c r="C1243" s="538" t="s">
        <v>393</v>
      </c>
      <c r="D1243" s="538" t="s">
        <v>393</v>
      </c>
      <c r="E1243" s="538" t="s">
        <v>402</v>
      </c>
      <c r="F1243" s="538">
        <v>3709587</v>
      </c>
      <c r="G1243" s="538">
        <v>69</v>
      </c>
    </row>
    <row r="1244" spans="1:7" x14ac:dyDescent="0.2">
      <c r="A1244" s="538">
        <v>3</v>
      </c>
      <c r="B1244" s="538" t="s">
        <v>6591</v>
      </c>
      <c r="C1244" s="538" t="s">
        <v>740</v>
      </c>
      <c r="D1244" s="538" t="s">
        <v>393</v>
      </c>
      <c r="E1244" s="538" t="s">
        <v>416</v>
      </c>
      <c r="F1244" s="538">
        <v>2402265</v>
      </c>
      <c r="G1244" s="538">
        <v>40</v>
      </c>
    </row>
    <row r="1245" spans="1:7" x14ac:dyDescent="0.2">
      <c r="A1245" s="538">
        <v>11</v>
      </c>
      <c r="B1245" s="538" t="s">
        <v>6659</v>
      </c>
      <c r="C1245" s="538" t="s">
        <v>740</v>
      </c>
      <c r="D1245" s="538" t="s">
        <v>393</v>
      </c>
      <c r="E1245" s="538" t="s">
        <v>210</v>
      </c>
      <c r="F1245" s="538">
        <v>11328</v>
      </c>
      <c r="G1245" s="538">
        <v>1</v>
      </c>
    </row>
    <row r="1246" spans="1:7" x14ac:dyDescent="0.2">
      <c r="A1246" s="538">
        <v>1</v>
      </c>
      <c r="B1246" s="538" t="s">
        <v>6609</v>
      </c>
      <c r="C1246" s="538" t="s">
        <v>740</v>
      </c>
      <c r="D1246" s="538" t="s">
        <v>740</v>
      </c>
      <c r="E1246" s="538" t="s">
        <v>210</v>
      </c>
      <c r="F1246" s="538">
        <v>74163</v>
      </c>
      <c r="G1246" s="538">
        <v>1</v>
      </c>
    </row>
    <row r="1247" spans="1:7" x14ac:dyDescent="0.2">
      <c r="A1247" s="538">
        <v>3</v>
      </c>
      <c r="B1247" s="538" t="s">
        <v>6578</v>
      </c>
      <c r="C1247" s="538" t="s">
        <v>740</v>
      </c>
      <c r="D1247" s="538" t="s">
        <v>740</v>
      </c>
      <c r="E1247" s="538" t="s">
        <v>401</v>
      </c>
      <c r="F1247" s="538">
        <v>414003</v>
      </c>
      <c r="G1247" s="538">
        <v>31</v>
      </c>
    </row>
    <row r="1248" spans="1:7" x14ac:dyDescent="0.2">
      <c r="A1248" s="538">
        <v>4</v>
      </c>
      <c r="B1248" s="538" t="s">
        <v>6574</v>
      </c>
      <c r="C1248" s="538" t="s">
        <v>740</v>
      </c>
      <c r="D1248" s="538" t="s">
        <v>393</v>
      </c>
      <c r="E1248" s="538" t="s">
        <v>209</v>
      </c>
      <c r="F1248" s="538">
        <v>2678385</v>
      </c>
      <c r="G1248" s="538">
        <v>20</v>
      </c>
    </row>
    <row r="1249" spans="1:7" x14ac:dyDescent="0.2">
      <c r="A1249" s="538">
        <v>1</v>
      </c>
      <c r="B1249" s="538" t="s">
        <v>6602</v>
      </c>
      <c r="C1249" s="538" t="s">
        <v>740</v>
      </c>
      <c r="D1249" s="538" t="s">
        <v>393</v>
      </c>
      <c r="E1249" s="538" t="s">
        <v>209</v>
      </c>
      <c r="F1249" s="538">
        <v>4621564</v>
      </c>
      <c r="G1249" s="538">
        <v>43</v>
      </c>
    </row>
    <row r="1250" spans="1:7" x14ac:dyDescent="0.2">
      <c r="A1250" s="538">
        <v>9</v>
      </c>
      <c r="B1250" s="538" t="s">
        <v>6614</v>
      </c>
      <c r="C1250" s="538" t="s">
        <v>393</v>
      </c>
      <c r="D1250" s="538" t="s">
        <v>393</v>
      </c>
      <c r="E1250" s="538" t="s">
        <v>202</v>
      </c>
      <c r="F1250" s="538">
        <v>5490124</v>
      </c>
      <c r="G1250" s="538">
        <v>43</v>
      </c>
    </row>
    <row r="1251" spans="1:7" x14ac:dyDescent="0.2">
      <c r="A1251" s="538">
        <v>12</v>
      </c>
      <c r="B1251" s="538" t="s">
        <v>6569</v>
      </c>
      <c r="C1251" s="538" t="s">
        <v>740</v>
      </c>
      <c r="D1251" s="538" t="s">
        <v>393</v>
      </c>
      <c r="E1251" s="538" t="s">
        <v>212</v>
      </c>
      <c r="F1251" s="538">
        <v>11635803</v>
      </c>
      <c r="G1251" s="538">
        <v>876</v>
      </c>
    </row>
    <row r="1252" spans="1:7" x14ac:dyDescent="0.2">
      <c r="A1252" s="538">
        <v>5</v>
      </c>
      <c r="B1252" s="538" t="s">
        <v>6599</v>
      </c>
      <c r="C1252" s="538" t="s">
        <v>740</v>
      </c>
      <c r="D1252" s="538" t="s">
        <v>393</v>
      </c>
      <c r="E1252" s="538" t="s">
        <v>313</v>
      </c>
      <c r="F1252" s="538">
        <v>4752315</v>
      </c>
      <c r="G1252" s="538">
        <v>45</v>
      </c>
    </row>
    <row r="1253" spans="1:7" x14ac:dyDescent="0.2">
      <c r="A1253" s="538">
        <v>4</v>
      </c>
      <c r="B1253" s="538" t="s">
        <v>6590</v>
      </c>
      <c r="C1253" s="538" t="s">
        <v>740</v>
      </c>
      <c r="D1253" s="538" t="s">
        <v>740</v>
      </c>
      <c r="E1253" s="538" t="s">
        <v>416</v>
      </c>
      <c r="F1253" s="538">
        <v>1047486</v>
      </c>
      <c r="G1253" s="538">
        <v>42</v>
      </c>
    </row>
    <row r="1254" spans="1:7" x14ac:dyDescent="0.2">
      <c r="A1254" s="538">
        <v>5</v>
      </c>
      <c r="B1254" s="538" t="s">
        <v>6651</v>
      </c>
      <c r="C1254" s="538" t="s">
        <v>740</v>
      </c>
      <c r="D1254" s="538" t="s">
        <v>393</v>
      </c>
      <c r="E1254" s="538" t="s">
        <v>211</v>
      </c>
      <c r="F1254" s="538">
        <v>9986101</v>
      </c>
      <c r="G1254" s="538">
        <v>247</v>
      </c>
    </row>
    <row r="1255" spans="1:7" x14ac:dyDescent="0.2">
      <c r="A1255" s="538">
        <v>8</v>
      </c>
      <c r="B1255" s="538" t="s">
        <v>6570</v>
      </c>
      <c r="C1255" s="538" t="s">
        <v>740</v>
      </c>
      <c r="D1255" s="538" t="s">
        <v>740</v>
      </c>
      <c r="E1255" s="538" t="s">
        <v>210</v>
      </c>
      <c r="F1255" s="538">
        <v>1180309</v>
      </c>
      <c r="G1255" s="538">
        <v>13</v>
      </c>
    </row>
    <row r="1256" spans="1:7" x14ac:dyDescent="0.2">
      <c r="A1256" s="538">
        <v>1</v>
      </c>
      <c r="B1256" s="538" t="s">
        <v>6646</v>
      </c>
      <c r="C1256" s="538" t="s">
        <v>740</v>
      </c>
      <c r="D1256" s="538" t="s">
        <v>393</v>
      </c>
      <c r="E1256" s="538" t="s">
        <v>438</v>
      </c>
      <c r="F1256" s="538">
        <v>11328</v>
      </c>
      <c r="G1256" s="538">
        <v>1</v>
      </c>
    </row>
    <row r="1257" spans="1:7" x14ac:dyDescent="0.2">
      <c r="A1257" s="538">
        <v>6</v>
      </c>
      <c r="B1257" s="538" t="s">
        <v>6565</v>
      </c>
      <c r="C1257" s="538" t="s">
        <v>740</v>
      </c>
      <c r="D1257" s="538" t="s">
        <v>393</v>
      </c>
      <c r="E1257" s="538" t="s">
        <v>402</v>
      </c>
      <c r="F1257" s="538">
        <v>56640</v>
      </c>
      <c r="G1257" s="538">
        <v>5</v>
      </c>
    </row>
    <row r="1258" spans="1:7" x14ac:dyDescent="0.2">
      <c r="A1258" s="538">
        <v>7</v>
      </c>
      <c r="B1258" s="538" t="s">
        <v>6661</v>
      </c>
      <c r="C1258" s="538" t="s">
        <v>740</v>
      </c>
      <c r="D1258" s="538" t="s">
        <v>740</v>
      </c>
      <c r="E1258" s="538" t="s">
        <v>390</v>
      </c>
      <c r="F1258" s="538">
        <v>329574</v>
      </c>
      <c r="G1258" s="538">
        <v>18</v>
      </c>
    </row>
    <row r="1259" spans="1:7" x14ac:dyDescent="0.2">
      <c r="A1259" s="538">
        <v>12</v>
      </c>
      <c r="B1259" s="538" t="s">
        <v>6569</v>
      </c>
      <c r="C1259" s="538" t="s">
        <v>740</v>
      </c>
      <c r="D1259" s="538" t="s">
        <v>393</v>
      </c>
      <c r="E1259" s="538" t="s">
        <v>416</v>
      </c>
      <c r="F1259" s="538">
        <v>74974112</v>
      </c>
      <c r="G1259" s="538">
        <v>1669</v>
      </c>
    </row>
    <row r="1260" spans="1:7" x14ac:dyDescent="0.2">
      <c r="A1260" s="538">
        <v>4</v>
      </c>
      <c r="B1260" s="538" t="s">
        <v>6562</v>
      </c>
      <c r="C1260" s="538" t="s">
        <v>740</v>
      </c>
      <c r="D1260" s="538" t="s">
        <v>740</v>
      </c>
      <c r="E1260" s="538" t="s">
        <v>449</v>
      </c>
      <c r="F1260" s="538">
        <v>33984</v>
      </c>
      <c r="G1260" s="538">
        <v>3</v>
      </c>
    </row>
    <row r="1261" spans="1:7" x14ac:dyDescent="0.2">
      <c r="A1261" s="538">
        <v>5</v>
      </c>
      <c r="B1261" s="538" t="s">
        <v>6598</v>
      </c>
      <c r="C1261" s="538" t="s">
        <v>740</v>
      </c>
      <c r="D1261" s="538" t="s">
        <v>393</v>
      </c>
      <c r="E1261" s="538" t="s">
        <v>438</v>
      </c>
      <c r="F1261" s="538">
        <v>11069133</v>
      </c>
      <c r="G1261" s="538">
        <v>151</v>
      </c>
    </row>
    <row r="1262" spans="1:7" x14ac:dyDescent="0.2">
      <c r="A1262" s="538">
        <v>7</v>
      </c>
      <c r="B1262" s="538" t="s">
        <v>6579</v>
      </c>
      <c r="C1262" s="538" t="s">
        <v>393</v>
      </c>
      <c r="D1262" s="538" t="s">
        <v>393</v>
      </c>
      <c r="E1262" s="538" t="s">
        <v>313</v>
      </c>
      <c r="F1262" s="538">
        <v>718922</v>
      </c>
      <c r="G1262" s="538">
        <v>4</v>
      </c>
    </row>
    <row r="1263" spans="1:7" x14ac:dyDescent="0.2">
      <c r="A1263" s="538">
        <v>9</v>
      </c>
      <c r="B1263" s="538" t="s">
        <v>6614</v>
      </c>
      <c r="C1263" s="538" t="s">
        <v>393</v>
      </c>
      <c r="D1263" s="538" t="s">
        <v>393</v>
      </c>
      <c r="E1263" s="538" t="s">
        <v>207</v>
      </c>
      <c r="F1263" s="538">
        <v>7818767</v>
      </c>
      <c r="G1263" s="538">
        <v>404</v>
      </c>
    </row>
    <row r="1264" spans="1:7" x14ac:dyDescent="0.2">
      <c r="A1264" s="538">
        <v>3</v>
      </c>
      <c r="B1264" s="538" t="s">
        <v>6605</v>
      </c>
      <c r="C1264" s="538" t="s">
        <v>740</v>
      </c>
      <c r="D1264" s="538" t="s">
        <v>740</v>
      </c>
      <c r="E1264" s="538" t="s">
        <v>210</v>
      </c>
      <c r="F1264" s="538">
        <v>11328</v>
      </c>
      <c r="G1264" s="538">
        <v>1</v>
      </c>
    </row>
    <row r="1265" spans="1:7" x14ac:dyDescent="0.2">
      <c r="A1265" s="538">
        <v>8</v>
      </c>
      <c r="B1265" s="538" t="s">
        <v>6648</v>
      </c>
      <c r="C1265" s="538" t="s">
        <v>393</v>
      </c>
      <c r="D1265" s="538" t="s">
        <v>393</v>
      </c>
      <c r="E1265" s="538" t="s">
        <v>211</v>
      </c>
      <c r="F1265" s="538">
        <v>19268721</v>
      </c>
      <c r="G1265" s="538">
        <v>277</v>
      </c>
    </row>
    <row r="1266" spans="1:7" x14ac:dyDescent="0.2">
      <c r="A1266" s="538">
        <v>8</v>
      </c>
      <c r="B1266" s="538" t="s">
        <v>6570</v>
      </c>
      <c r="C1266" s="538" t="s">
        <v>393</v>
      </c>
      <c r="D1266" s="538" t="s">
        <v>740</v>
      </c>
      <c r="E1266" s="538" t="s">
        <v>449</v>
      </c>
      <c r="F1266" s="538">
        <v>158592</v>
      </c>
      <c r="G1266" s="538">
        <v>14</v>
      </c>
    </row>
    <row r="1267" spans="1:7" x14ac:dyDescent="0.2">
      <c r="A1267" s="538">
        <v>1</v>
      </c>
      <c r="B1267" s="538" t="s">
        <v>6602</v>
      </c>
      <c r="C1267" s="538" t="s">
        <v>740</v>
      </c>
      <c r="D1267" s="538" t="s">
        <v>393</v>
      </c>
      <c r="E1267" s="538" t="s">
        <v>230</v>
      </c>
      <c r="F1267" s="538">
        <v>11328</v>
      </c>
      <c r="G1267" s="538">
        <v>1</v>
      </c>
    </row>
    <row r="1268" spans="1:7" x14ac:dyDescent="0.2">
      <c r="A1268" s="538">
        <v>3</v>
      </c>
      <c r="B1268" s="538" t="s">
        <v>6578</v>
      </c>
      <c r="C1268" s="538" t="s">
        <v>740</v>
      </c>
      <c r="D1268" s="538" t="s">
        <v>393</v>
      </c>
      <c r="E1268" s="538" t="s">
        <v>401</v>
      </c>
      <c r="F1268" s="538">
        <v>11328</v>
      </c>
      <c r="G1268" s="538">
        <v>1</v>
      </c>
    </row>
    <row r="1269" spans="1:7" x14ac:dyDescent="0.2">
      <c r="A1269" s="538">
        <v>5</v>
      </c>
      <c r="B1269" s="538" t="s">
        <v>6568</v>
      </c>
      <c r="C1269" s="538" t="s">
        <v>393</v>
      </c>
      <c r="D1269" s="538" t="s">
        <v>393</v>
      </c>
      <c r="E1269" s="538" t="s">
        <v>438</v>
      </c>
      <c r="F1269" s="538">
        <v>13127102</v>
      </c>
      <c r="G1269" s="538">
        <v>119</v>
      </c>
    </row>
    <row r="1270" spans="1:7" x14ac:dyDescent="0.2">
      <c r="A1270" s="538">
        <v>5</v>
      </c>
      <c r="B1270" s="538" t="s">
        <v>6568</v>
      </c>
      <c r="C1270" s="538" t="s">
        <v>393</v>
      </c>
      <c r="D1270" s="538" t="s">
        <v>393</v>
      </c>
      <c r="E1270" s="538" t="s">
        <v>206</v>
      </c>
      <c r="F1270" s="538">
        <v>74163</v>
      </c>
      <c r="G1270" s="538">
        <v>1</v>
      </c>
    </row>
    <row r="1271" spans="1:7" x14ac:dyDescent="0.2">
      <c r="A1271" s="538">
        <v>11</v>
      </c>
      <c r="B1271" s="538" t="s">
        <v>6584</v>
      </c>
      <c r="C1271" s="538" t="s">
        <v>740</v>
      </c>
      <c r="D1271" s="538" t="s">
        <v>393</v>
      </c>
      <c r="E1271" s="538" t="s">
        <v>313</v>
      </c>
      <c r="F1271" s="538">
        <v>496433</v>
      </c>
      <c r="G1271" s="538">
        <v>1</v>
      </c>
    </row>
    <row r="1272" spans="1:7" x14ac:dyDescent="0.2">
      <c r="A1272" s="538">
        <v>11</v>
      </c>
      <c r="B1272" s="538" t="s">
        <v>6584</v>
      </c>
      <c r="C1272" s="538" t="s">
        <v>740</v>
      </c>
      <c r="D1272" s="538" t="s">
        <v>393</v>
      </c>
      <c r="E1272" s="538" t="s">
        <v>449</v>
      </c>
      <c r="F1272" s="538">
        <v>152220</v>
      </c>
      <c r="G1272" s="538">
        <v>10</v>
      </c>
    </row>
    <row r="1273" spans="1:7" x14ac:dyDescent="0.2">
      <c r="A1273" s="538">
        <v>7</v>
      </c>
      <c r="B1273" s="538" t="s">
        <v>6564</v>
      </c>
      <c r="C1273" s="538" t="s">
        <v>393</v>
      </c>
      <c r="D1273" s="538" t="s">
        <v>740</v>
      </c>
      <c r="E1273" s="538" t="s">
        <v>202</v>
      </c>
      <c r="F1273" s="538">
        <v>496433</v>
      </c>
      <c r="G1273" s="538">
        <v>1</v>
      </c>
    </row>
    <row r="1274" spans="1:7" x14ac:dyDescent="0.2">
      <c r="A1274" s="538">
        <v>2</v>
      </c>
      <c r="B1274" s="538" t="s">
        <v>6573</v>
      </c>
      <c r="C1274" s="538" t="s">
        <v>740</v>
      </c>
      <c r="D1274" s="538" t="s">
        <v>393</v>
      </c>
      <c r="E1274" s="538" t="s">
        <v>207</v>
      </c>
      <c r="F1274" s="538">
        <v>79296</v>
      </c>
      <c r="G1274" s="538">
        <v>7</v>
      </c>
    </row>
    <row r="1275" spans="1:7" x14ac:dyDescent="0.2">
      <c r="A1275" s="538">
        <v>3</v>
      </c>
      <c r="B1275" s="538" t="s">
        <v>6578</v>
      </c>
      <c r="C1275" s="538" t="s">
        <v>740</v>
      </c>
      <c r="D1275" s="538" t="s">
        <v>393</v>
      </c>
      <c r="E1275" s="538" t="s">
        <v>212</v>
      </c>
      <c r="F1275" s="538">
        <v>142131</v>
      </c>
      <c r="G1275" s="538">
        <v>7</v>
      </c>
    </row>
    <row r="1276" spans="1:7" x14ac:dyDescent="0.2">
      <c r="A1276" s="538">
        <v>7</v>
      </c>
      <c r="B1276" s="538" t="s">
        <v>6564</v>
      </c>
      <c r="C1276" s="538" t="s">
        <v>740</v>
      </c>
      <c r="D1276" s="538" t="s">
        <v>393</v>
      </c>
      <c r="E1276" s="538" t="s">
        <v>210</v>
      </c>
      <c r="F1276" s="538">
        <v>124608</v>
      </c>
      <c r="G1276" s="538">
        <v>11</v>
      </c>
    </row>
    <row r="1277" spans="1:7" x14ac:dyDescent="0.2">
      <c r="A1277" s="538">
        <v>8</v>
      </c>
      <c r="B1277" s="538" t="s">
        <v>6583</v>
      </c>
      <c r="C1277" s="538" t="s">
        <v>393</v>
      </c>
      <c r="D1277" s="538" t="s">
        <v>740</v>
      </c>
      <c r="E1277" s="538" t="s">
        <v>390</v>
      </c>
      <c r="F1277" s="538">
        <v>84252</v>
      </c>
      <c r="G1277" s="538">
        <v>4</v>
      </c>
    </row>
    <row r="1278" spans="1:7" x14ac:dyDescent="0.2">
      <c r="A1278" s="538">
        <v>1</v>
      </c>
      <c r="B1278" s="538" t="s">
        <v>6581</v>
      </c>
      <c r="C1278" s="538" t="s">
        <v>740</v>
      </c>
      <c r="D1278" s="538" t="s">
        <v>740</v>
      </c>
      <c r="E1278" s="538" t="s">
        <v>438</v>
      </c>
      <c r="F1278" s="538">
        <v>193638</v>
      </c>
      <c r="G1278" s="538">
        <v>6</v>
      </c>
    </row>
    <row r="1279" spans="1:7" x14ac:dyDescent="0.2">
      <c r="A1279" s="538">
        <v>1</v>
      </c>
      <c r="B1279" s="538" t="s">
        <v>6609</v>
      </c>
      <c r="C1279" s="538" t="s">
        <v>393</v>
      </c>
      <c r="D1279" s="538" t="s">
        <v>740</v>
      </c>
      <c r="E1279" s="538" t="s">
        <v>390</v>
      </c>
      <c r="F1279" s="538">
        <v>159654</v>
      </c>
      <c r="G1279" s="538">
        <v>3</v>
      </c>
    </row>
    <row r="1280" spans="1:7" x14ac:dyDescent="0.2">
      <c r="A1280" s="538">
        <v>11</v>
      </c>
      <c r="B1280" s="538" t="s">
        <v>6660</v>
      </c>
      <c r="C1280" s="538" t="s">
        <v>393</v>
      </c>
      <c r="D1280" s="538" t="s">
        <v>393</v>
      </c>
      <c r="E1280" s="538" t="s">
        <v>390</v>
      </c>
      <c r="F1280" s="538">
        <v>21157123</v>
      </c>
      <c r="G1280" s="538">
        <v>601</v>
      </c>
    </row>
    <row r="1281" spans="1:7" x14ac:dyDescent="0.2">
      <c r="A1281" s="538">
        <v>11</v>
      </c>
      <c r="B1281" s="538" t="s">
        <v>6610</v>
      </c>
      <c r="C1281" s="538" t="s">
        <v>740</v>
      </c>
      <c r="D1281" s="538" t="s">
        <v>393</v>
      </c>
      <c r="E1281" s="538" t="s">
        <v>202</v>
      </c>
      <c r="F1281" s="538">
        <v>4954522</v>
      </c>
      <c r="G1281" s="538">
        <v>29</v>
      </c>
    </row>
    <row r="1282" spans="1:7" x14ac:dyDescent="0.2">
      <c r="A1282" s="538">
        <v>7</v>
      </c>
      <c r="B1282" s="538" t="s">
        <v>6579</v>
      </c>
      <c r="C1282" s="538" t="s">
        <v>740</v>
      </c>
      <c r="D1282" s="538" t="s">
        <v>393</v>
      </c>
      <c r="E1282" s="538" t="s">
        <v>860</v>
      </c>
      <c r="F1282" s="538">
        <v>1183016</v>
      </c>
      <c r="G1282" s="538">
        <v>27</v>
      </c>
    </row>
    <row r="1283" spans="1:7" x14ac:dyDescent="0.2">
      <c r="A1283" s="538">
        <v>7</v>
      </c>
      <c r="B1283" s="538" t="s">
        <v>6604</v>
      </c>
      <c r="C1283" s="538" t="s">
        <v>740</v>
      </c>
      <c r="D1283" s="538" t="s">
        <v>393</v>
      </c>
      <c r="E1283" s="538" t="s">
        <v>416</v>
      </c>
      <c r="F1283" s="538">
        <v>1935266</v>
      </c>
      <c r="G1283" s="538">
        <v>72</v>
      </c>
    </row>
    <row r="1284" spans="1:7" x14ac:dyDescent="0.2">
      <c r="A1284" s="538">
        <v>6</v>
      </c>
      <c r="B1284" s="538" t="s">
        <v>6429</v>
      </c>
      <c r="C1284" s="538" t="s">
        <v>740</v>
      </c>
      <c r="D1284" s="538" t="s">
        <v>393</v>
      </c>
      <c r="E1284" s="538" t="s">
        <v>207</v>
      </c>
      <c r="F1284" s="538">
        <v>11644497</v>
      </c>
      <c r="G1284" s="538">
        <v>584</v>
      </c>
    </row>
    <row r="1285" spans="1:7" x14ac:dyDescent="0.2">
      <c r="A1285" s="538">
        <v>8</v>
      </c>
      <c r="B1285" s="538" t="s">
        <v>6570</v>
      </c>
      <c r="C1285" s="538" t="s">
        <v>393</v>
      </c>
      <c r="D1285" s="538" t="s">
        <v>393</v>
      </c>
      <c r="E1285" s="538" t="s">
        <v>402</v>
      </c>
      <c r="F1285" s="538">
        <v>6346148</v>
      </c>
      <c r="G1285" s="538">
        <v>136</v>
      </c>
    </row>
    <row r="1286" spans="1:7" x14ac:dyDescent="0.2">
      <c r="A1286" s="538">
        <v>2</v>
      </c>
      <c r="B1286" s="538" t="s">
        <v>6608</v>
      </c>
      <c r="C1286" s="538" t="s">
        <v>740</v>
      </c>
      <c r="D1286" s="538" t="s">
        <v>393</v>
      </c>
      <c r="E1286" s="538" t="s">
        <v>438</v>
      </c>
      <c r="F1286" s="538">
        <v>846008</v>
      </c>
      <c r="G1286" s="538">
        <v>16</v>
      </c>
    </row>
    <row r="1287" spans="1:7" x14ac:dyDescent="0.2">
      <c r="A1287" s="538">
        <v>2</v>
      </c>
      <c r="B1287" s="538" t="s">
        <v>6608</v>
      </c>
      <c r="C1287" s="538" t="s">
        <v>740</v>
      </c>
      <c r="D1287" s="538" t="s">
        <v>393</v>
      </c>
      <c r="E1287" s="538" t="s">
        <v>206</v>
      </c>
      <c r="F1287" s="538">
        <v>11328</v>
      </c>
      <c r="G1287" s="538">
        <v>1</v>
      </c>
    </row>
    <row r="1288" spans="1:7" x14ac:dyDescent="0.2">
      <c r="A1288" s="538">
        <v>7</v>
      </c>
      <c r="B1288" s="538" t="s">
        <v>6571</v>
      </c>
      <c r="C1288" s="538" t="s">
        <v>740</v>
      </c>
      <c r="D1288" s="538" t="s">
        <v>393</v>
      </c>
      <c r="E1288" s="538" t="s">
        <v>390</v>
      </c>
      <c r="F1288" s="538">
        <v>338247</v>
      </c>
      <c r="G1288" s="538">
        <v>14</v>
      </c>
    </row>
    <row r="1289" spans="1:7" x14ac:dyDescent="0.2">
      <c r="A1289" s="538">
        <v>1</v>
      </c>
      <c r="B1289" s="538" t="s">
        <v>6581</v>
      </c>
      <c r="C1289" s="538" t="s">
        <v>740</v>
      </c>
      <c r="D1289" s="538" t="s">
        <v>393</v>
      </c>
      <c r="E1289" s="538" t="s">
        <v>438</v>
      </c>
      <c r="F1289" s="538">
        <v>243906</v>
      </c>
      <c r="G1289" s="538">
        <v>7</v>
      </c>
    </row>
    <row r="1290" spans="1:7" x14ac:dyDescent="0.2">
      <c r="A1290" s="538">
        <v>5</v>
      </c>
      <c r="B1290" s="538" t="s">
        <v>6568</v>
      </c>
      <c r="C1290" s="538" t="s">
        <v>393</v>
      </c>
      <c r="D1290" s="538" t="s">
        <v>393</v>
      </c>
      <c r="E1290" s="538" t="s">
        <v>230</v>
      </c>
      <c r="F1290" s="538">
        <v>17735849</v>
      </c>
      <c r="G1290" s="538">
        <v>288</v>
      </c>
    </row>
    <row r="1291" spans="1:7" x14ac:dyDescent="0.2">
      <c r="A1291" s="538">
        <v>8</v>
      </c>
      <c r="B1291" s="538" t="s">
        <v>6583</v>
      </c>
      <c r="C1291" s="538" t="s">
        <v>740</v>
      </c>
      <c r="D1291" s="538" t="s">
        <v>740</v>
      </c>
      <c r="E1291" s="538" t="s">
        <v>416</v>
      </c>
      <c r="F1291" s="538">
        <v>16400706</v>
      </c>
      <c r="G1291" s="538">
        <v>562</v>
      </c>
    </row>
    <row r="1292" spans="1:7" x14ac:dyDescent="0.2">
      <c r="A1292" s="538">
        <v>3</v>
      </c>
      <c r="B1292" s="538" t="s">
        <v>1390</v>
      </c>
      <c r="C1292" s="538" t="s">
        <v>740</v>
      </c>
      <c r="D1292" s="538" t="s">
        <v>740</v>
      </c>
      <c r="E1292" s="538" t="s">
        <v>202</v>
      </c>
      <c r="F1292" s="538">
        <v>159654</v>
      </c>
      <c r="G1292" s="538">
        <v>3</v>
      </c>
    </row>
    <row r="1293" spans="1:7" x14ac:dyDescent="0.2">
      <c r="A1293" s="538">
        <v>8</v>
      </c>
      <c r="B1293" s="538" t="s">
        <v>6560</v>
      </c>
      <c r="C1293" s="538" t="s">
        <v>740</v>
      </c>
      <c r="D1293" s="538" t="s">
        <v>740</v>
      </c>
      <c r="E1293" s="538" t="s">
        <v>390</v>
      </c>
      <c r="F1293" s="538">
        <v>33984</v>
      </c>
      <c r="G1293" s="538">
        <v>3</v>
      </c>
    </row>
    <row r="1294" spans="1:7" x14ac:dyDescent="0.2">
      <c r="A1294" s="538">
        <v>9</v>
      </c>
      <c r="B1294" s="538" t="s">
        <v>948</v>
      </c>
      <c r="C1294" s="538" t="s">
        <v>393</v>
      </c>
      <c r="D1294" s="538" t="s">
        <v>393</v>
      </c>
      <c r="E1294" s="538" t="s">
        <v>438</v>
      </c>
      <c r="F1294" s="538">
        <v>9438276</v>
      </c>
      <c r="G1294" s="538">
        <v>87</v>
      </c>
    </row>
    <row r="1295" spans="1:7" x14ac:dyDescent="0.2">
      <c r="A1295" s="538">
        <v>11</v>
      </c>
      <c r="B1295" s="538" t="s">
        <v>6612</v>
      </c>
      <c r="C1295" s="538" t="s">
        <v>740</v>
      </c>
      <c r="D1295" s="538" t="s">
        <v>740</v>
      </c>
      <c r="E1295" s="538" t="s">
        <v>402</v>
      </c>
      <c r="F1295" s="538">
        <v>5859887</v>
      </c>
      <c r="G1295" s="538">
        <v>294</v>
      </c>
    </row>
    <row r="1296" spans="1:7" x14ac:dyDescent="0.2">
      <c r="A1296" s="538">
        <v>6</v>
      </c>
      <c r="B1296" s="538" t="s">
        <v>6429</v>
      </c>
      <c r="C1296" s="538" t="s">
        <v>393</v>
      </c>
      <c r="D1296" s="538" t="s">
        <v>740</v>
      </c>
      <c r="E1296" s="538" t="s">
        <v>211</v>
      </c>
      <c r="F1296" s="538">
        <v>50268</v>
      </c>
      <c r="G1296" s="538">
        <v>1</v>
      </c>
    </row>
    <row r="1297" spans="1:7" x14ac:dyDescent="0.2">
      <c r="A1297" s="538">
        <v>4</v>
      </c>
      <c r="B1297" s="538" t="s">
        <v>6593</v>
      </c>
      <c r="C1297" s="538" t="s">
        <v>740</v>
      </c>
      <c r="D1297" s="538" t="s">
        <v>740</v>
      </c>
      <c r="E1297" s="538" t="s">
        <v>207</v>
      </c>
      <c r="F1297" s="538">
        <v>7942417</v>
      </c>
      <c r="G1297" s="538">
        <v>444</v>
      </c>
    </row>
    <row r="1298" spans="1:7" x14ac:dyDescent="0.2">
      <c r="A1298" s="538">
        <v>8</v>
      </c>
      <c r="B1298" s="538" t="s">
        <v>6570</v>
      </c>
      <c r="C1298" s="538" t="s">
        <v>740</v>
      </c>
      <c r="D1298" s="538" t="s">
        <v>740</v>
      </c>
      <c r="E1298" s="538" t="s">
        <v>207</v>
      </c>
      <c r="F1298" s="538">
        <v>176115</v>
      </c>
      <c r="G1298" s="538">
        <v>10</v>
      </c>
    </row>
    <row r="1299" spans="1:7" x14ac:dyDescent="0.2">
      <c r="A1299" s="538">
        <v>6</v>
      </c>
      <c r="B1299" s="538" t="s">
        <v>6565</v>
      </c>
      <c r="C1299" s="538" t="s">
        <v>740</v>
      </c>
      <c r="D1299" s="538" t="s">
        <v>393</v>
      </c>
      <c r="E1299" s="538" t="s">
        <v>860</v>
      </c>
      <c r="F1299" s="538">
        <v>1530467</v>
      </c>
      <c r="G1299" s="538">
        <v>64</v>
      </c>
    </row>
    <row r="1300" spans="1:7" x14ac:dyDescent="0.2">
      <c r="A1300" s="538">
        <v>2</v>
      </c>
      <c r="B1300" s="538" t="s">
        <v>6662</v>
      </c>
      <c r="C1300" s="538" t="s">
        <v>393</v>
      </c>
      <c r="D1300" s="538" t="s">
        <v>740</v>
      </c>
      <c r="E1300" s="538" t="s">
        <v>402</v>
      </c>
      <c r="F1300" s="538">
        <v>2711109</v>
      </c>
      <c r="G1300" s="538">
        <v>168</v>
      </c>
    </row>
    <row r="1301" spans="1:7" x14ac:dyDescent="0.2">
      <c r="A1301" s="538">
        <v>7</v>
      </c>
      <c r="B1301" s="538" t="s">
        <v>6661</v>
      </c>
      <c r="C1301" s="538" t="s">
        <v>740</v>
      </c>
      <c r="D1301" s="538" t="s">
        <v>393</v>
      </c>
      <c r="E1301" s="538" t="s">
        <v>438</v>
      </c>
      <c r="F1301" s="538">
        <v>496433</v>
      </c>
      <c r="G1301" s="538">
        <v>1</v>
      </c>
    </row>
    <row r="1302" spans="1:7" x14ac:dyDescent="0.2">
      <c r="A1302" s="538">
        <v>5</v>
      </c>
      <c r="B1302" s="538" t="s">
        <v>6650</v>
      </c>
      <c r="C1302" s="538" t="s">
        <v>740</v>
      </c>
      <c r="D1302" s="538" t="s">
        <v>393</v>
      </c>
      <c r="E1302" s="538" t="s">
        <v>419</v>
      </c>
      <c r="F1302" s="538">
        <v>22656</v>
      </c>
      <c r="G1302" s="538">
        <v>2</v>
      </c>
    </row>
    <row r="1303" spans="1:7" x14ac:dyDescent="0.2">
      <c r="A1303" s="538">
        <v>5</v>
      </c>
      <c r="B1303" s="538" t="s">
        <v>6650</v>
      </c>
      <c r="C1303" s="538" t="s">
        <v>740</v>
      </c>
      <c r="D1303" s="538" t="s">
        <v>393</v>
      </c>
      <c r="E1303" s="538" t="s">
        <v>202</v>
      </c>
      <c r="F1303" s="538">
        <v>2382920</v>
      </c>
      <c r="G1303" s="538">
        <v>10</v>
      </c>
    </row>
    <row r="1304" spans="1:7" x14ac:dyDescent="0.2">
      <c r="A1304" s="538">
        <v>11</v>
      </c>
      <c r="B1304" s="538" t="s">
        <v>6584</v>
      </c>
      <c r="C1304" s="538" t="s">
        <v>740</v>
      </c>
      <c r="D1304" s="538" t="s">
        <v>740</v>
      </c>
      <c r="E1304" s="538" t="s">
        <v>402</v>
      </c>
      <c r="F1304" s="538">
        <v>496433</v>
      </c>
      <c r="G1304" s="538">
        <v>1</v>
      </c>
    </row>
    <row r="1305" spans="1:7" x14ac:dyDescent="0.2">
      <c r="A1305" s="538">
        <v>7</v>
      </c>
      <c r="B1305" s="538" t="s">
        <v>6564</v>
      </c>
      <c r="C1305" s="538" t="s">
        <v>740</v>
      </c>
      <c r="D1305" s="538" t="s">
        <v>740</v>
      </c>
      <c r="E1305" s="538" t="s">
        <v>390</v>
      </c>
      <c r="F1305" s="538">
        <v>8473386</v>
      </c>
      <c r="G1305" s="538">
        <v>197</v>
      </c>
    </row>
    <row r="1306" spans="1:7" x14ac:dyDescent="0.2">
      <c r="A1306" s="538">
        <v>11</v>
      </c>
      <c r="B1306" s="538" t="s">
        <v>6592</v>
      </c>
      <c r="C1306" s="538" t="s">
        <v>740</v>
      </c>
      <c r="D1306" s="538" t="s">
        <v>740</v>
      </c>
      <c r="E1306" s="538" t="s">
        <v>230</v>
      </c>
      <c r="F1306" s="538">
        <v>905126</v>
      </c>
      <c r="G1306" s="538">
        <v>17</v>
      </c>
    </row>
    <row r="1307" spans="1:7" x14ac:dyDescent="0.2">
      <c r="A1307" s="538">
        <v>10</v>
      </c>
      <c r="B1307" s="538" t="s">
        <v>6582</v>
      </c>
      <c r="C1307" s="538" t="s">
        <v>740</v>
      </c>
      <c r="D1307" s="538" t="s">
        <v>740</v>
      </c>
      <c r="E1307" s="538" t="s">
        <v>402</v>
      </c>
      <c r="F1307" s="538">
        <v>1371646</v>
      </c>
      <c r="G1307" s="538">
        <v>32</v>
      </c>
    </row>
    <row r="1308" spans="1:7" x14ac:dyDescent="0.2">
      <c r="A1308" s="538">
        <v>7</v>
      </c>
      <c r="B1308" s="538" t="s">
        <v>6655</v>
      </c>
      <c r="C1308" s="538" t="s">
        <v>393</v>
      </c>
      <c r="D1308" s="538" t="s">
        <v>393</v>
      </c>
      <c r="E1308" s="538" t="s">
        <v>209</v>
      </c>
      <c r="F1308" s="538">
        <v>1067029</v>
      </c>
      <c r="G1308" s="538">
        <v>3</v>
      </c>
    </row>
    <row r="1309" spans="1:7" x14ac:dyDescent="0.2">
      <c r="A1309" s="538">
        <v>12</v>
      </c>
      <c r="B1309" s="538" t="s">
        <v>6569</v>
      </c>
      <c r="C1309" s="538" t="s">
        <v>740</v>
      </c>
      <c r="D1309" s="538" t="s">
        <v>393</v>
      </c>
      <c r="E1309" s="538" t="s">
        <v>313</v>
      </c>
      <c r="F1309" s="538">
        <v>19332108</v>
      </c>
      <c r="G1309" s="538">
        <v>156</v>
      </c>
    </row>
    <row r="1310" spans="1:7" x14ac:dyDescent="0.2">
      <c r="A1310" s="538">
        <v>5</v>
      </c>
      <c r="B1310" s="538" t="s">
        <v>6589</v>
      </c>
      <c r="C1310" s="538" t="s">
        <v>740</v>
      </c>
      <c r="D1310" s="538" t="s">
        <v>393</v>
      </c>
      <c r="E1310" s="538" t="s">
        <v>409</v>
      </c>
      <c r="F1310" s="538">
        <v>509406</v>
      </c>
      <c r="G1310" s="538">
        <v>27</v>
      </c>
    </row>
    <row r="1311" spans="1:7" x14ac:dyDescent="0.2">
      <c r="A1311" s="538">
        <v>3</v>
      </c>
      <c r="B1311" s="538" t="s">
        <v>6647</v>
      </c>
      <c r="C1311" s="538" t="s">
        <v>740</v>
      </c>
      <c r="D1311" s="538" t="s">
        <v>393</v>
      </c>
      <c r="E1311" s="538" t="s">
        <v>860</v>
      </c>
      <c r="F1311" s="538">
        <v>356124</v>
      </c>
      <c r="G1311" s="538">
        <v>28</v>
      </c>
    </row>
    <row r="1312" spans="1:7" x14ac:dyDescent="0.2">
      <c r="A1312" s="538">
        <v>5</v>
      </c>
      <c r="B1312" s="538" t="s">
        <v>6589</v>
      </c>
      <c r="C1312" s="538" t="s">
        <v>740</v>
      </c>
      <c r="D1312" s="538" t="s">
        <v>393</v>
      </c>
      <c r="E1312" s="538" t="s">
        <v>449</v>
      </c>
      <c r="F1312" s="538">
        <v>142131</v>
      </c>
      <c r="G1312" s="538">
        <v>7</v>
      </c>
    </row>
    <row r="1313" spans="1:7" x14ac:dyDescent="0.2">
      <c r="A1313" s="538">
        <v>2</v>
      </c>
      <c r="B1313" s="538" t="s">
        <v>6573</v>
      </c>
      <c r="C1313" s="538" t="s">
        <v>393</v>
      </c>
      <c r="D1313" s="538" t="s">
        <v>740</v>
      </c>
      <c r="E1313" s="538" t="s">
        <v>409</v>
      </c>
      <c r="F1313" s="538">
        <v>918630</v>
      </c>
      <c r="G1313" s="538">
        <v>70</v>
      </c>
    </row>
    <row r="1314" spans="1:7" x14ac:dyDescent="0.2">
      <c r="A1314" s="538">
        <v>3</v>
      </c>
      <c r="B1314" s="538" t="s">
        <v>6605</v>
      </c>
      <c r="C1314" s="538" t="s">
        <v>393</v>
      </c>
      <c r="D1314" s="538" t="s">
        <v>393</v>
      </c>
      <c r="E1314" s="538" t="s">
        <v>207</v>
      </c>
      <c r="F1314" s="538">
        <v>16360787</v>
      </c>
      <c r="G1314" s="538">
        <v>939</v>
      </c>
    </row>
    <row r="1315" spans="1:7" x14ac:dyDescent="0.2">
      <c r="A1315" s="538">
        <v>3</v>
      </c>
      <c r="B1315" s="538" t="s">
        <v>6586</v>
      </c>
      <c r="C1315" s="538" t="s">
        <v>393</v>
      </c>
      <c r="D1315" s="538" t="s">
        <v>393</v>
      </c>
      <c r="E1315" s="538" t="s">
        <v>449</v>
      </c>
      <c r="F1315" s="538">
        <v>391170</v>
      </c>
      <c r="G1315" s="538">
        <v>20</v>
      </c>
    </row>
    <row r="1316" spans="1:7" x14ac:dyDescent="0.2">
      <c r="A1316" s="538">
        <v>7</v>
      </c>
      <c r="B1316" s="538" t="s">
        <v>6604</v>
      </c>
      <c r="C1316" s="538" t="s">
        <v>393</v>
      </c>
      <c r="D1316" s="538" t="s">
        <v>740</v>
      </c>
      <c r="E1316" s="538" t="s">
        <v>207</v>
      </c>
      <c r="F1316" s="538">
        <v>1545033</v>
      </c>
      <c r="G1316" s="538">
        <v>106</v>
      </c>
    </row>
    <row r="1317" spans="1:7" x14ac:dyDescent="0.2">
      <c r="A1317" s="538">
        <v>2</v>
      </c>
      <c r="B1317" s="538" t="s">
        <v>6662</v>
      </c>
      <c r="C1317" s="538" t="s">
        <v>393</v>
      </c>
      <c r="D1317" s="538" t="s">
        <v>393</v>
      </c>
      <c r="E1317" s="538" t="s">
        <v>207</v>
      </c>
      <c r="F1317" s="538">
        <v>27330716</v>
      </c>
      <c r="G1317" s="538">
        <v>2067</v>
      </c>
    </row>
    <row r="1318" spans="1:7" x14ac:dyDescent="0.2">
      <c r="A1318" s="538">
        <v>7</v>
      </c>
      <c r="B1318" s="538" t="s">
        <v>6579</v>
      </c>
      <c r="C1318" s="538" t="s">
        <v>740</v>
      </c>
      <c r="D1318" s="538" t="s">
        <v>393</v>
      </c>
      <c r="E1318" s="538" t="s">
        <v>207</v>
      </c>
      <c r="F1318" s="538">
        <v>571356</v>
      </c>
      <c r="G1318" s="538">
        <v>47</v>
      </c>
    </row>
    <row r="1319" spans="1:7" x14ac:dyDescent="0.2">
      <c r="A1319" s="538">
        <v>4</v>
      </c>
      <c r="B1319" s="538" t="s">
        <v>6590</v>
      </c>
      <c r="C1319" s="538" t="s">
        <v>740</v>
      </c>
      <c r="D1319" s="538" t="s">
        <v>393</v>
      </c>
      <c r="E1319" s="538" t="s">
        <v>209</v>
      </c>
      <c r="F1319" s="538">
        <v>4429061</v>
      </c>
      <c r="G1319" s="538">
        <v>22</v>
      </c>
    </row>
    <row r="1320" spans="1:7" x14ac:dyDescent="0.2">
      <c r="A1320" s="538">
        <v>1</v>
      </c>
      <c r="B1320" s="538" t="s">
        <v>6663</v>
      </c>
      <c r="C1320" s="538" t="s">
        <v>393</v>
      </c>
      <c r="D1320" s="538" t="s">
        <v>740</v>
      </c>
      <c r="E1320" s="538" t="s">
        <v>390</v>
      </c>
      <c r="F1320" s="538">
        <v>1742107</v>
      </c>
      <c r="G1320" s="538">
        <v>19</v>
      </c>
    </row>
    <row r="1321" spans="1:7" x14ac:dyDescent="0.2">
      <c r="A1321" s="538">
        <v>10</v>
      </c>
      <c r="B1321" s="538" t="s">
        <v>6597</v>
      </c>
      <c r="C1321" s="538" t="s">
        <v>740</v>
      </c>
      <c r="D1321" s="538" t="s">
        <v>393</v>
      </c>
      <c r="E1321" s="538" t="s">
        <v>211</v>
      </c>
      <c r="F1321" s="538">
        <v>96819</v>
      </c>
      <c r="G1321" s="538">
        <v>3</v>
      </c>
    </row>
    <row r="1322" spans="1:7" x14ac:dyDescent="0.2">
      <c r="A1322" s="538">
        <v>11</v>
      </c>
      <c r="B1322" s="538" t="s">
        <v>6610</v>
      </c>
      <c r="C1322" s="538" t="s">
        <v>393</v>
      </c>
      <c r="D1322" s="538" t="s">
        <v>393</v>
      </c>
      <c r="E1322" s="538" t="s">
        <v>207</v>
      </c>
      <c r="F1322" s="538">
        <v>17720449</v>
      </c>
      <c r="G1322" s="538">
        <v>1133</v>
      </c>
    </row>
    <row r="1323" spans="1:7" x14ac:dyDescent="0.2">
      <c r="A1323" s="538">
        <v>4</v>
      </c>
      <c r="B1323" s="538" t="s">
        <v>6559</v>
      </c>
      <c r="C1323" s="538" t="s">
        <v>740</v>
      </c>
      <c r="D1323" s="538" t="s">
        <v>393</v>
      </c>
      <c r="E1323" s="538" t="s">
        <v>210</v>
      </c>
      <c r="F1323" s="538">
        <v>1877564</v>
      </c>
      <c r="G1323" s="538">
        <v>78</v>
      </c>
    </row>
    <row r="1324" spans="1:7" x14ac:dyDescent="0.2">
      <c r="A1324" s="538">
        <v>3</v>
      </c>
      <c r="B1324" s="538" t="s">
        <v>6586</v>
      </c>
      <c r="C1324" s="538" t="s">
        <v>393</v>
      </c>
      <c r="D1324" s="538" t="s">
        <v>393</v>
      </c>
      <c r="E1324" s="538" t="s">
        <v>313</v>
      </c>
      <c r="F1324" s="538">
        <v>1561036</v>
      </c>
      <c r="G1324" s="538">
        <v>12</v>
      </c>
    </row>
    <row r="1325" spans="1:7" x14ac:dyDescent="0.2">
      <c r="A1325" s="538">
        <v>9</v>
      </c>
      <c r="B1325" s="538" t="s">
        <v>6645</v>
      </c>
      <c r="C1325" s="538" t="s">
        <v>740</v>
      </c>
      <c r="D1325" s="538" t="s">
        <v>393</v>
      </c>
      <c r="E1325" s="538" t="s">
        <v>210</v>
      </c>
      <c r="F1325" s="538">
        <v>865353</v>
      </c>
      <c r="G1325" s="538">
        <v>46</v>
      </c>
    </row>
    <row r="1326" spans="1:7" x14ac:dyDescent="0.2">
      <c r="A1326" s="538">
        <v>4</v>
      </c>
      <c r="B1326" s="538" t="s">
        <v>6572</v>
      </c>
      <c r="C1326" s="538" t="s">
        <v>740</v>
      </c>
      <c r="D1326" s="538" t="s">
        <v>740</v>
      </c>
      <c r="E1326" s="538" t="s">
        <v>230</v>
      </c>
      <c r="F1326" s="538">
        <v>1010795</v>
      </c>
      <c r="G1326" s="538">
        <v>25</v>
      </c>
    </row>
    <row r="1327" spans="1:7" x14ac:dyDescent="0.2">
      <c r="A1327" s="538">
        <v>7</v>
      </c>
      <c r="B1327" s="538" t="s">
        <v>6579</v>
      </c>
      <c r="C1327" s="538" t="s">
        <v>393</v>
      </c>
      <c r="D1327" s="538" t="s">
        <v>393</v>
      </c>
      <c r="E1327" s="538" t="s">
        <v>211</v>
      </c>
      <c r="F1327" s="538">
        <v>16761745</v>
      </c>
      <c r="G1327" s="538">
        <v>205</v>
      </c>
    </row>
    <row r="1328" spans="1:7" x14ac:dyDescent="0.2">
      <c r="A1328" s="538">
        <v>8</v>
      </c>
      <c r="B1328" s="538" t="s">
        <v>6560</v>
      </c>
      <c r="C1328" s="538" t="s">
        <v>740</v>
      </c>
      <c r="D1328" s="538" t="s">
        <v>393</v>
      </c>
      <c r="E1328" s="538" t="s">
        <v>416</v>
      </c>
      <c r="F1328" s="538">
        <v>42812159</v>
      </c>
      <c r="G1328" s="538">
        <v>748</v>
      </c>
    </row>
    <row r="1329" spans="1:7" x14ac:dyDescent="0.2">
      <c r="A1329" s="538">
        <v>3</v>
      </c>
      <c r="B1329" s="538" t="s">
        <v>6586</v>
      </c>
      <c r="C1329" s="538" t="s">
        <v>740</v>
      </c>
      <c r="D1329" s="538" t="s">
        <v>740</v>
      </c>
      <c r="E1329" s="538" t="s">
        <v>416</v>
      </c>
      <c r="F1329" s="538">
        <v>15301328</v>
      </c>
      <c r="G1329" s="538">
        <v>366</v>
      </c>
    </row>
    <row r="1330" spans="1:7" x14ac:dyDescent="0.2">
      <c r="A1330" s="538">
        <v>6</v>
      </c>
      <c r="B1330" s="538" t="s">
        <v>6596</v>
      </c>
      <c r="C1330" s="538" t="s">
        <v>393</v>
      </c>
      <c r="D1330" s="538" t="s">
        <v>393</v>
      </c>
      <c r="E1330" s="538" t="s">
        <v>390</v>
      </c>
      <c r="F1330" s="538">
        <v>17610439</v>
      </c>
      <c r="G1330" s="538">
        <v>328</v>
      </c>
    </row>
    <row r="1331" spans="1:7" x14ac:dyDescent="0.2">
      <c r="A1331" s="538">
        <v>2</v>
      </c>
      <c r="B1331" s="538" t="s">
        <v>6055</v>
      </c>
      <c r="C1331" s="538" t="s">
        <v>740</v>
      </c>
      <c r="D1331" s="538" t="s">
        <v>740</v>
      </c>
      <c r="E1331" s="538" t="s">
        <v>402</v>
      </c>
      <c r="F1331" s="538">
        <v>52208879</v>
      </c>
      <c r="G1331" s="538">
        <v>2158</v>
      </c>
    </row>
    <row r="1332" spans="1:7" x14ac:dyDescent="0.2">
      <c r="A1332" s="538">
        <v>7</v>
      </c>
      <c r="B1332" s="538" t="s">
        <v>6661</v>
      </c>
      <c r="C1332" s="538" t="s">
        <v>740</v>
      </c>
      <c r="D1332" s="538" t="s">
        <v>393</v>
      </c>
      <c r="E1332" s="538" t="s">
        <v>207</v>
      </c>
      <c r="F1332" s="538">
        <v>1095630</v>
      </c>
      <c r="G1332" s="538">
        <v>60</v>
      </c>
    </row>
    <row r="1333" spans="1:7" x14ac:dyDescent="0.2">
      <c r="A1333" s="538">
        <v>7</v>
      </c>
      <c r="B1333" s="538" t="s">
        <v>6579</v>
      </c>
      <c r="C1333" s="538" t="s">
        <v>740</v>
      </c>
      <c r="D1333" s="538" t="s">
        <v>393</v>
      </c>
      <c r="E1333" s="538" t="s">
        <v>313</v>
      </c>
      <c r="F1333" s="538">
        <v>1390054</v>
      </c>
      <c r="G1333" s="538">
        <v>8</v>
      </c>
    </row>
    <row r="1334" spans="1:7" x14ac:dyDescent="0.2">
      <c r="A1334" s="538">
        <v>9</v>
      </c>
      <c r="B1334" s="538" t="s">
        <v>6615</v>
      </c>
      <c r="C1334" s="538" t="s">
        <v>740</v>
      </c>
      <c r="D1334" s="538" t="s">
        <v>740</v>
      </c>
      <c r="E1334" s="538" t="s">
        <v>210</v>
      </c>
      <c r="F1334" s="538">
        <v>169743</v>
      </c>
      <c r="G1334" s="538">
        <v>6</v>
      </c>
    </row>
    <row r="1335" spans="1:7" x14ac:dyDescent="0.2">
      <c r="A1335" s="538">
        <v>8</v>
      </c>
      <c r="B1335" s="538" t="s">
        <v>6577</v>
      </c>
      <c r="C1335" s="538" t="s">
        <v>393</v>
      </c>
      <c r="D1335" s="538" t="s">
        <v>393</v>
      </c>
      <c r="E1335" s="538" t="s">
        <v>438</v>
      </c>
      <c r="F1335" s="538">
        <v>4992400</v>
      </c>
      <c r="G1335" s="538">
        <v>40</v>
      </c>
    </row>
    <row r="1336" spans="1:7" x14ac:dyDescent="0.2">
      <c r="A1336" s="538">
        <v>7</v>
      </c>
      <c r="B1336" s="538" t="s">
        <v>6604</v>
      </c>
      <c r="C1336" s="538" t="s">
        <v>740</v>
      </c>
      <c r="D1336" s="538" t="s">
        <v>393</v>
      </c>
      <c r="E1336" s="538" t="s">
        <v>210</v>
      </c>
      <c r="F1336" s="538">
        <v>1533122</v>
      </c>
      <c r="G1336" s="538">
        <v>69</v>
      </c>
    </row>
    <row r="1337" spans="1:7" x14ac:dyDescent="0.2">
      <c r="A1337" s="538">
        <v>3</v>
      </c>
      <c r="B1337" s="538" t="s">
        <v>6561</v>
      </c>
      <c r="C1337" s="538" t="s">
        <v>740</v>
      </c>
      <c r="D1337" s="538" t="s">
        <v>740</v>
      </c>
      <c r="E1337" s="538" t="s">
        <v>202</v>
      </c>
      <c r="F1337" s="538">
        <v>496433</v>
      </c>
      <c r="G1337" s="538">
        <v>1</v>
      </c>
    </row>
    <row r="1338" spans="1:7" x14ac:dyDescent="0.2">
      <c r="A1338" s="538">
        <v>8</v>
      </c>
      <c r="B1338" s="538" t="s">
        <v>6577</v>
      </c>
      <c r="C1338" s="538" t="s">
        <v>740</v>
      </c>
      <c r="D1338" s="538" t="s">
        <v>740</v>
      </c>
      <c r="E1338" s="538" t="s">
        <v>438</v>
      </c>
      <c r="F1338" s="538">
        <v>14176452</v>
      </c>
      <c r="G1338" s="538">
        <v>104</v>
      </c>
    </row>
    <row r="1339" spans="1:7" x14ac:dyDescent="0.2">
      <c r="A1339" s="538">
        <v>8</v>
      </c>
      <c r="B1339" s="538" t="s">
        <v>6577</v>
      </c>
      <c r="C1339" s="538" t="s">
        <v>740</v>
      </c>
      <c r="D1339" s="538" t="s">
        <v>740</v>
      </c>
      <c r="E1339" s="538" t="s">
        <v>206</v>
      </c>
      <c r="F1339" s="538">
        <v>11328</v>
      </c>
      <c r="G1339" s="538">
        <v>1</v>
      </c>
    </row>
    <row r="1340" spans="1:7" x14ac:dyDescent="0.2">
      <c r="A1340" s="538">
        <v>7</v>
      </c>
      <c r="B1340" s="538" t="s">
        <v>6579</v>
      </c>
      <c r="C1340" s="538" t="s">
        <v>740</v>
      </c>
      <c r="D1340" s="538" t="s">
        <v>740</v>
      </c>
      <c r="E1340" s="538" t="s">
        <v>212</v>
      </c>
      <c r="F1340" s="538">
        <v>67968</v>
      </c>
      <c r="G1340" s="538">
        <v>6</v>
      </c>
    </row>
    <row r="1341" spans="1:7" x14ac:dyDescent="0.2">
      <c r="A1341" s="538">
        <v>5</v>
      </c>
      <c r="B1341" s="538" t="s">
        <v>6599</v>
      </c>
      <c r="C1341" s="538" t="s">
        <v>740</v>
      </c>
      <c r="D1341" s="538" t="s">
        <v>393</v>
      </c>
      <c r="E1341" s="538" t="s">
        <v>449</v>
      </c>
      <c r="F1341" s="538">
        <v>153459</v>
      </c>
      <c r="G1341" s="538">
        <v>8</v>
      </c>
    </row>
    <row r="1342" spans="1:7" x14ac:dyDescent="0.2">
      <c r="A1342" s="538">
        <v>4</v>
      </c>
      <c r="B1342" s="538" t="s">
        <v>6590</v>
      </c>
      <c r="C1342" s="538" t="s">
        <v>740</v>
      </c>
      <c r="D1342" s="538" t="s">
        <v>393</v>
      </c>
      <c r="E1342" s="538" t="s">
        <v>202</v>
      </c>
      <c r="F1342" s="538">
        <v>1151281</v>
      </c>
      <c r="G1342" s="538">
        <v>7</v>
      </c>
    </row>
    <row r="1343" spans="1:7" x14ac:dyDescent="0.2">
      <c r="A1343" s="538">
        <v>11</v>
      </c>
      <c r="B1343" s="538" t="s">
        <v>6584</v>
      </c>
      <c r="C1343" s="538" t="s">
        <v>740</v>
      </c>
      <c r="D1343" s="538" t="s">
        <v>740</v>
      </c>
      <c r="E1343" s="538" t="s">
        <v>416</v>
      </c>
      <c r="F1343" s="538">
        <v>951677</v>
      </c>
      <c r="G1343" s="538">
        <v>19</v>
      </c>
    </row>
    <row r="1344" spans="1:7" x14ac:dyDescent="0.2">
      <c r="A1344" s="538">
        <v>7</v>
      </c>
      <c r="B1344" s="538" t="s">
        <v>6579</v>
      </c>
      <c r="C1344" s="538" t="s">
        <v>740</v>
      </c>
      <c r="D1344" s="538" t="s">
        <v>393</v>
      </c>
      <c r="E1344" s="538" t="s">
        <v>207</v>
      </c>
      <c r="F1344" s="538">
        <v>33984</v>
      </c>
      <c r="G1344" s="538">
        <v>3</v>
      </c>
    </row>
    <row r="1345" spans="1:7" x14ac:dyDescent="0.2">
      <c r="A1345" s="538">
        <v>6</v>
      </c>
      <c r="B1345" s="538" t="s">
        <v>6596</v>
      </c>
      <c r="C1345" s="538" t="s">
        <v>740</v>
      </c>
      <c r="D1345" s="538" t="s">
        <v>393</v>
      </c>
      <c r="E1345" s="538" t="s">
        <v>416</v>
      </c>
      <c r="F1345" s="538">
        <v>3580783</v>
      </c>
      <c r="G1345" s="538">
        <v>106</v>
      </c>
    </row>
    <row r="1346" spans="1:7" x14ac:dyDescent="0.2">
      <c r="A1346" s="538">
        <v>5</v>
      </c>
      <c r="B1346" s="538" t="s">
        <v>6599</v>
      </c>
      <c r="C1346" s="538" t="s">
        <v>740</v>
      </c>
      <c r="D1346" s="538" t="s">
        <v>393</v>
      </c>
      <c r="E1346" s="538" t="s">
        <v>313</v>
      </c>
      <c r="F1346" s="538">
        <v>2629304</v>
      </c>
      <c r="G1346" s="538">
        <v>13</v>
      </c>
    </row>
    <row r="1347" spans="1:7" x14ac:dyDescent="0.2">
      <c r="A1347" s="538">
        <v>6</v>
      </c>
      <c r="B1347" s="538" t="s">
        <v>6596</v>
      </c>
      <c r="C1347" s="538" t="s">
        <v>740</v>
      </c>
      <c r="D1347" s="538" t="s">
        <v>393</v>
      </c>
      <c r="E1347" s="538" t="s">
        <v>390</v>
      </c>
      <c r="F1347" s="538">
        <v>1271037</v>
      </c>
      <c r="G1347" s="538">
        <v>39</v>
      </c>
    </row>
    <row r="1348" spans="1:7" x14ac:dyDescent="0.2">
      <c r="A1348" s="538">
        <v>6</v>
      </c>
      <c r="B1348" s="538" t="s">
        <v>6565</v>
      </c>
      <c r="C1348" s="538" t="s">
        <v>740</v>
      </c>
      <c r="D1348" s="538" t="s">
        <v>740</v>
      </c>
      <c r="E1348" s="538" t="s">
        <v>212</v>
      </c>
      <c r="F1348" s="538">
        <v>11328</v>
      </c>
      <c r="G1348" s="538">
        <v>1</v>
      </c>
    </row>
    <row r="1349" spans="1:7" x14ac:dyDescent="0.2">
      <c r="A1349" s="538">
        <v>1</v>
      </c>
      <c r="B1349" s="538" t="s">
        <v>6663</v>
      </c>
      <c r="C1349" s="538" t="s">
        <v>393</v>
      </c>
      <c r="D1349" s="538" t="s">
        <v>393</v>
      </c>
      <c r="E1349" s="538" t="s">
        <v>212</v>
      </c>
      <c r="F1349" s="538">
        <v>957747</v>
      </c>
      <c r="G1349" s="538">
        <v>79</v>
      </c>
    </row>
    <row r="1350" spans="1:7" x14ac:dyDescent="0.2">
      <c r="A1350" s="538">
        <v>5</v>
      </c>
      <c r="B1350" s="538" t="s">
        <v>6599</v>
      </c>
      <c r="C1350" s="538" t="s">
        <v>393</v>
      </c>
      <c r="D1350" s="538" t="s">
        <v>740</v>
      </c>
      <c r="E1350" s="538" t="s">
        <v>211</v>
      </c>
      <c r="F1350" s="538">
        <v>701399</v>
      </c>
      <c r="G1350" s="538">
        <v>8</v>
      </c>
    </row>
    <row r="1351" spans="1:7" x14ac:dyDescent="0.2">
      <c r="A1351" s="538">
        <v>12</v>
      </c>
      <c r="B1351" s="538" t="s">
        <v>6563</v>
      </c>
      <c r="C1351" s="538" t="s">
        <v>393</v>
      </c>
      <c r="D1351" s="538" t="s">
        <v>393</v>
      </c>
      <c r="E1351" s="538" t="s">
        <v>210</v>
      </c>
      <c r="F1351" s="538">
        <v>56640</v>
      </c>
      <c r="G1351" s="538">
        <v>5</v>
      </c>
    </row>
    <row r="1352" spans="1:7" x14ac:dyDescent="0.2">
      <c r="A1352" s="538">
        <v>9</v>
      </c>
      <c r="B1352" s="538" t="s">
        <v>6606</v>
      </c>
      <c r="C1352" s="538" t="s">
        <v>393</v>
      </c>
      <c r="D1352" s="538" t="s">
        <v>740</v>
      </c>
      <c r="E1352" s="538" t="s">
        <v>212</v>
      </c>
      <c r="F1352" s="538">
        <v>11328</v>
      </c>
      <c r="G1352" s="538">
        <v>1</v>
      </c>
    </row>
    <row r="1353" spans="1:7" x14ac:dyDescent="0.2">
      <c r="A1353" s="538">
        <v>3</v>
      </c>
      <c r="B1353" s="538" t="s">
        <v>1390</v>
      </c>
      <c r="C1353" s="538" t="s">
        <v>740</v>
      </c>
      <c r="D1353" s="538" t="s">
        <v>393</v>
      </c>
      <c r="E1353" s="538" t="s">
        <v>416</v>
      </c>
      <c r="F1353" s="538">
        <v>14940956</v>
      </c>
      <c r="G1353" s="538">
        <v>372</v>
      </c>
    </row>
    <row r="1354" spans="1:7" x14ac:dyDescent="0.2">
      <c r="A1354" s="538">
        <v>3</v>
      </c>
      <c r="B1354" s="538" t="s">
        <v>6578</v>
      </c>
      <c r="C1354" s="538" t="s">
        <v>393</v>
      </c>
      <c r="D1354" s="538" t="s">
        <v>393</v>
      </c>
      <c r="E1354" s="538" t="s">
        <v>449</v>
      </c>
      <c r="F1354" s="538">
        <v>328335</v>
      </c>
      <c r="G1354" s="538">
        <v>20</v>
      </c>
    </row>
    <row r="1355" spans="1:7" x14ac:dyDescent="0.2">
      <c r="A1355" s="538">
        <v>3</v>
      </c>
      <c r="B1355" s="538" t="s">
        <v>1390</v>
      </c>
      <c r="C1355" s="538" t="s">
        <v>740</v>
      </c>
      <c r="D1355" s="538" t="s">
        <v>393</v>
      </c>
      <c r="E1355" s="538" t="s">
        <v>209</v>
      </c>
      <c r="F1355" s="538">
        <v>695027</v>
      </c>
      <c r="G1355" s="538">
        <v>4</v>
      </c>
    </row>
    <row r="1356" spans="1:7" x14ac:dyDescent="0.2">
      <c r="A1356" s="538">
        <v>7</v>
      </c>
      <c r="B1356" s="538" t="s">
        <v>6594</v>
      </c>
      <c r="C1356" s="538" t="s">
        <v>740</v>
      </c>
      <c r="D1356" s="538" t="s">
        <v>393</v>
      </c>
      <c r="E1356" s="538" t="s">
        <v>419</v>
      </c>
      <c r="F1356" s="538">
        <v>11328</v>
      </c>
      <c r="G1356" s="538">
        <v>1</v>
      </c>
    </row>
    <row r="1357" spans="1:7" x14ac:dyDescent="0.2">
      <c r="A1357" s="538">
        <v>11</v>
      </c>
      <c r="B1357" s="538" t="s">
        <v>6558</v>
      </c>
      <c r="C1357" s="538" t="s">
        <v>393</v>
      </c>
      <c r="D1357" s="538" t="s">
        <v>393</v>
      </c>
      <c r="E1357" s="538" t="s">
        <v>416</v>
      </c>
      <c r="F1357" s="538">
        <v>39117419</v>
      </c>
      <c r="G1357" s="538">
        <v>648</v>
      </c>
    </row>
    <row r="1358" spans="1:7" x14ac:dyDescent="0.2">
      <c r="A1358" s="538">
        <v>6</v>
      </c>
      <c r="B1358" s="538" t="s">
        <v>6429</v>
      </c>
      <c r="C1358" s="538" t="s">
        <v>740</v>
      </c>
      <c r="D1358" s="538" t="s">
        <v>740</v>
      </c>
      <c r="E1358" s="538" t="s">
        <v>409</v>
      </c>
      <c r="F1358" s="538">
        <v>11328</v>
      </c>
      <c r="G1358" s="538">
        <v>1</v>
      </c>
    </row>
    <row r="1359" spans="1:7" x14ac:dyDescent="0.2">
      <c r="A1359" s="538">
        <v>12</v>
      </c>
      <c r="B1359" s="538" t="s">
        <v>6569</v>
      </c>
      <c r="C1359" s="538" t="s">
        <v>740</v>
      </c>
      <c r="D1359" s="538" t="s">
        <v>740</v>
      </c>
      <c r="E1359" s="538" t="s">
        <v>390</v>
      </c>
      <c r="F1359" s="538">
        <v>67968</v>
      </c>
      <c r="G1359" s="538">
        <v>6</v>
      </c>
    </row>
    <row r="1360" spans="1:7" x14ac:dyDescent="0.2">
      <c r="A1360" s="538">
        <v>11</v>
      </c>
      <c r="B1360" s="538" t="s">
        <v>6610</v>
      </c>
      <c r="C1360" s="538" t="s">
        <v>740</v>
      </c>
      <c r="D1360" s="538" t="s">
        <v>393</v>
      </c>
      <c r="E1360" s="538" t="s">
        <v>390</v>
      </c>
      <c r="F1360" s="538">
        <v>27909985</v>
      </c>
      <c r="G1360" s="538">
        <v>1265</v>
      </c>
    </row>
    <row r="1361" spans="1:7" x14ac:dyDescent="0.2">
      <c r="A1361" s="538">
        <v>4</v>
      </c>
      <c r="B1361" s="538" t="s">
        <v>6559</v>
      </c>
      <c r="C1361" s="538" t="s">
        <v>740</v>
      </c>
      <c r="D1361" s="538" t="s">
        <v>393</v>
      </c>
      <c r="E1361" s="538" t="s">
        <v>202</v>
      </c>
      <c r="F1361" s="538">
        <v>12476075</v>
      </c>
      <c r="G1361" s="538">
        <v>115</v>
      </c>
    </row>
    <row r="1362" spans="1:7" x14ac:dyDescent="0.2">
      <c r="A1362" s="538">
        <v>6</v>
      </c>
      <c r="B1362" s="538" t="s">
        <v>6596</v>
      </c>
      <c r="C1362" s="538" t="s">
        <v>740</v>
      </c>
      <c r="D1362" s="538" t="s">
        <v>393</v>
      </c>
      <c r="E1362" s="538" t="s">
        <v>211</v>
      </c>
      <c r="F1362" s="538">
        <v>45312</v>
      </c>
      <c r="G1362" s="538">
        <v>4</v>
      </c>
    </row>
    <row r="1363" spans="1:7" x14ac:dyDescent="0.2">
      <c r="A1363" s="538">
        <v>1</v>
      </c>
      <c r="B1363" s="538" t="s">
        <v>6581</v>
      </c>
      <c r="C1363" s="538" t="s">
        <v>740</v>
      </c>
      <c r="D1363" s="538" t="s">
        <v>393</v>
      </c>
      <c r="E1363" s="538" t="s">
        <v>211</v>
      </c>
      <c r="F1363" s="538">
        <v>633660</v>
      </c>
      <c r="G1363" s="538">
        <v>20</v>
      </c>
    </row>
    <row r="1364" spans="1:7" x14ac:dyDescent="0.2">
      <c r="A1364" s="538">
        <v>2</v>
      </c>
      <c r="B1364" s="538" t="s">
        <v>6585</v>
      </c>
      <c r="C1364" s="538" t="s">
        <v>740</v>
      </c>
      <c r="D1364" s="538" t="s">
        <v>740</v>
      </c>
      <c r="E1364" s="538" t="s">
        <v>409</v>
      </c>
      <c r="F1364" s="538">
        <v>90624</v>
      </c>
      <c r="G1364" s="538">
        <v>8</v>
      </c>
    </row>
    <row r="1365" spans="1:7" x14ac:dyDescent="0.2">
      <c r="A1365" s="538">
        <v>3</v>
      </c>
      <c r="B1365" s="538" t="s">
        <v>6578</v>
      </c>
      <c r="C1365" s="538" t="s">
        <v>393</v>
      </c>
      <c r="D1365" s="538" t="s">
        <v>393</v>
      </c>
      <c r="E1365" s="538" t="s">
        <v>409</v>
      </c>
      <c r="F1365" s="538">
        <v>611535</v>
      </c>
      <c r="G1365" s="538">
        <v>45</v>
      </c>
    </row>
    <row r="1366" spans="1:7" x14ac:dyDescent="0.2">
      <c r="A1366" s="538">
        <v>4</v>
      </c>
      <c r="B1366" s="538" t="s">
        <v>6574</v>
      </c>
      <c r="C1366" s="538" t="s">
        <v>740</v>
      </c>
      <c r="D1366" s="538" t="s">
        <v>740</v>
      </c>
      <c r="E1366" s="538" t="s">
        <v>402</v>
      </c>
      <c r="F1366" s="538">
        <v>119475</v>
      </c>
      <c r="G1366" s="538">
        <v>5</v>
      </c>
    </row>
    <row r="1367" spans="1:7" x14ac:dyDescent="0.2">
      <c r="A1367" s="538">
        <v>1</v>
      </c>
      <c r="B1367" s="538" t="s">
        <v>6646</v>
      </c>
      <c r="C1367" s="538" t="s">
        <v>740</v>
      </c>
      <c r="D1367" s="538" t="s">
        <v>393</v>
      </c>
      <c r="E1367" s="538" t="s">
        <v>416</v>
      </c>
      <c r="F1367" s="538">
        <v>22656</v>
      </c>
      <c r="G1367" s="538">
        <v>2</v>
      </c>
    </row>
    <row r="1368" spans="1:7" x14ac:dyDescent="0.2">
      <c r="A1368" s="538">
        <v>3</v>
      </c>
      <c r="B1368" s="538" t="s">
        <v>6586</v>
      </c>
      <c r="C1368" s="538" t="s">
        <v>393</v>
      </c>
      <c r="D1368" s="538" t="s">
        <v>740</v>
      </c>
      <c r="E1368" s="538" t="s">
        <v>409</v>
      </c>
      <c r="F1368" s="538">
        <v>181248</v>
      </c>
      <c r="G1368" s="538">
        <v>16</v>
      </c>
    </row>
    <row r="1369" spans="1:7" x14ac:dyDescent="0.2">
      <c r="A1369" s="538">
        <v>2</v>
      </c>
      <c r="B1369" s="538" t="s">
        <v>6585</v>
      </c>
      <c r="C1369" s="538" t="s">
        <v>393</v>
      </c>
      <c r="D1369" s="538" t="s">
        <v>393</v>
      </c>
      <c r="E1369" s="538" t="s">
        <v>313</v>
      </c>
      <c r="F1369" s="538">
        <v>917516</v>
      </c>
      <c r="G1369" s="538">
        <v>7</v>
      </c>
    </row>
    <row r="1370" spans="1:7" x14ac:dyDescent="0.2">
      <c r="A1370" s="538">
        <v>12</v>
      </c>
      <c r="B1370" s="538" t="s">
        <v>6563</v>
      </c>
      <c r="C1370" s="538" t="s">
        <v>393</v>
      </c>
      <c r="D1370" s="538" t="s">
        <v>393</v>
      </c>
      <c r="E1370" s="538" t="s">
        <v>230</v>
      </c>
      <c r="F1370" s="538">
        <v>396126</v>
      </c>
      <c r="G1370" s="538">
        <v>17</v>
      </c>
    </row>
    <row r="1371" spans="1:7" x14ac:dyDescent="0.2">
      <c r="A1371" s="538">
        <v>8</v>
      </c>
      <c r="B1371" s="538" t="s">
        <v>6658</v>
      </c>
      <c r="C1371" s="538" t="s">
        <v>393</v>
      </c>
      <c r="D1371" s="538" t="s">
        <v>393</v>
      </c>
      <c r="E1371" s="538" t="s">
        <v>438</v>
      </c>
      <c r="F1371" s="538">
        <v>8695459</v>
      </c>
      <c r="G1371" s="538">
        <v>78</v>
      </c>
    </row>
    <row r="1372" spans="1:7" x14ac:dyDescent="0.2">
      <c r="A1372" s="538">
        <v>8</v>
      </c>
      <c r="B1372" s="538" t="s">
        <v>6658</v>
      </c>
      <c r="C1372" s="538" t="s">
        <v>393</v>
      </c>
      <c r="D1372" s="538" t="s">
        <v>393</v>
      </c>
      <c r="E1372" s="538" t="s">
        <v>206</v>
      </c>
      <c r="F1372" s="538">
        <v>496433</v>
      </c>
      <c r="G1372" s="538">
        <v>1</v>
      </c>
    </row>
    <row r="1373" spans="1:7" x14ac:dyDescent="0.2">
      <c r="A1373" s="538">
        <v>10</v>
      </c>
      <c r="B1373" s="538" t="s">
        <v>6601</v>
      </c>
      <c r="C1373" s="538" t="s">
        <v>393</v>
      </c>
      <c r="D1373" s="538" t="s">
        <v>393</v>
      </c>
      <c r="E1373" s="538" t="s">
        <v>409</v>
      </c>
      <c r="F1373" s="538">
        <v>2089152</v>
      </c>
      <c r="G1373" s="538">
        <v>29</v>
      </c>
    </row>
    <row r="1374" spans="1:7" x14ac:dyDescent="0.2">
      <c r="A1374" s="538">
        <v>7</v>
      </c>
      <c r="B1374" s="538" t="s">
        <v>6571</v>
      </c>
      <c r="C1374" s="538" t="s">
        <v>740</v>
      </c>
      <c r="D1374" s="538" t="s">
        <v>393</v>
      </c>
      <c r="E1374" s="538" t="s">
        <v>202</v>
      </c>
      <c r="F1374" s="538">
        <v>74163</v>
      </c>
      <c r="G1374" s="538">
        <v>1</v>
      </c>
    </row>
    <row r="1375" spans="1:7" x14ac:dyDescent="0.2">
      <c r="A1375" s="538">
        <v>8</v>
      </c>
      <c r="B1375" s="538" t="s">
        <v>6570</v>
      </c>
      <c r="C1375" s="538" t="s">
        <v>740</v>
      </c>
      <c r="D1375" s="538" t="s">
        <v>740</v>
      </c>
      <c r="E1375" s="538" t="s">
        <v>402</v>
      </c>
      <c r="F1375" s="538">
        <v>9450811</v>
      </c>
      <c r="G1375" s="538">
        <v>472</v>
      </c>
    </row>
    <row r="1376" spans="1:7" x14ac:dyDescent="0.2">
      <c r="A1376" s="538">
        <v>5</v>
      </c>
      <c r="B1376" s="538" t="s">
        <v>6599</v>
      </c>
      <c r="C1376" s="538" t="s">
        <v>740</v>
      </c>
      <c r="D1376" s="538" t="s">
        <v>740</v>
      </c>
      <c r="E1376" s="538" t="s">
        <v>207</v>
      </c>
      <c r="F1376" s="538">
        <v>210099</v>
      </c>
      <c r="G1376" s="538">
        <v>13</v>
      </c>
    </row>
    <row r="1377" spans="1:7" x14ac:dyDescent="0.2">
      <c r="A1377" s="538">
        <v>9</v>
      </c>
      <c r="B1377" s="538" t="s">
        <v>6657</v>
      </c>
      <c r="C1377" s="538" t="s">
        <v>740</v>
      </c>
      <c r="D1377" s="538" t="s">
        <v>393</v>
      </c>
      <c r="E1377" s="538" t="s">
        <v>313</v>
      </c>
      <c r="F1377" s="538">
        <v>1163848</v>
      </c>
      <c r="G1377" s="538">
        <v>6</v>
      </c>
    </row>
    <row r="1378" spans="1:7" x14ac:dyDescent="0.2">
      <c r="A1378" s="538">
        <v>1</v>
      </c>
      <c r="B1378" s="538" t="s">
        <v>6602</v>
      </c>
      <c r="C1378" s="538" t="s">
        <v>740</v>
      </c>
      <c r="D1378" s="538" t="s">
        <v>393</v>
      </c>
      <c r="E1378" s="538" t="s">
        <v>390</v>
      </c>
      <c r="F1378" s="538">
        <v>34296895</v>
      </c>
      <c r="G1378" s="538">
        <v>1370</v>
      </c>
    </row>
    <row r="1379" spans="1:7" x14ac:dyDescent="0.2">
      <c r="A1379" s="538">
        <v>10</v>
      </c>
      <c r="B1379" s="538" t="s">
        <v>6653</v>
      </c>
      <c r="C1379" s="538" t="s">
        <v>740</v>
      </c>
      <c r="D1379" s="538" t="s">
        <v>393</v>
      </c>
      <c r="E1379" s="538" t="s">
        <v>402</v>
      </c>
      <c r="F1379" s="538">
        <v>2114213</v>
      </c>
      <c r="G1379" s="538">
        <v>101</v>
      </c>
    </row>
    <row r="1380" spans="1:7" x14ac:dyDescent="0.2">
      <c r="A1380" s="538">
        <v>4</v>
      </c>
      <c r="B1380" s="538" t="s">
        <v>6559</v>
      </c>
      <c r="C1380" s="538" t="s">
        <v>740</v>
      </c>
      <c r="D1380" s="538" t="s">
        <v>393</v>
      </c>
      <c r="E1380" s="538" t="s">
        <v>416</v>
      </c>
      <c r="F1380" s="538">
        <v>29338418</v>
      </c>
      <c r="G1380" s="538">
        <v>666</v>
      </c>
    </row>
    <row r="1381" spans="1:7" x14ac:dyDescent="0.2">
      <c r="A1381" s="538">
        <v>1</v>
      </c>
      <c r="B1381" s="538" t="s">
        <v>6609</v>
      </c>
      <c r="C1381" s="538" t="s">
        <v>393</v>
      </c>
      <c r="D1381" s="538" t="s">
        <v>393</v>
      </c>
      <c r="E1381" s="538" t="s">
        <v>860</v>
      </c>
      <c r="F1381" s="538">
        <v>334530</v>
      </c>
      <c r="G1381" s="538">
        <v>15</v>
      </c>
    </row>
    <row r="1382" spans="1:7" x14ac:dyDescent="0.2">
      <c r="A1382" s="538">
        <v>6</v>
      </c>
      <c r="B1382" s="538" t="s">
        <v>6575</v>
      </c>
      <c r="C1382" s="538" t="s">
        <v>740</v>
      </c>
      <c r="D1382" s="538" t="s">
        <v>393</v>
      </c>
      <c r="E1382" s="538" t="s">
        <v>211</v>
      </c>
      <c r="F1382" s="538">
        <v>85270993</v>
      </c>
      <c r="G1382" s="538">
        <v>1711</v>
      </c>
    </row>
    <row r="1383" spans="1:7" x14ac:dyDescent="0.2">
      <c r="A1383" s="538">
        <v>8</v>
      </c>
      <c r="B1383" s="538" t="s">
        <v>6567</v>
      </c>
      <c r="C1383" s="538" t="s">
        <v>740</v>
      </c>
      <c r="D1383" s="538" t="s">
        <v>740</v>
      </c>
      <c r="E1383" s="538" t="s">
        <v>449</v>
      </c>
      <c r="F1383" s="538">
        <v>860751</v>
      </c>
      <c r="G1383" s="538">
        <v>67</v>
      </c>
    </row>
    <row r="1384" spans="1:7" x14ac:dyDescent="0.2">
      <c r="A1384" s="538">
        <v>7</v>
      </c>
      <c r="B1384" s="538" t="s">
        <v>6661</v>
      </c>
      <c r="C1384" s="538" t="s">
        <v>393</v>
      </c>
      <c r="D1384" s="538" t="s">
        <v>740</v>
      </c>
      <c r="E1384" s="538" t="s">
        <v>207</v>
      </c>
      <c r="F1384" s="538">
        <v>1633002</v>
      </c>
      <c r="G1384" s="538">
        <v>104</v>
      </c>
    </row>
    <row r="1385" spans="1:7" x14ac:dyDescent="0.2">
      <c r="A1385" s="538">
        <v>6</v>
      </c>
      <c r="B1385" s="538" t="s">
        <v>6575</v>
      </c>
      <c r="C1385" s="538" t="s">
        <v>740</v>
      </c>
      <c r="D1385" s="538" t="s">
        <v>740</v>
      </c>
      <c r="E1385" s="538" t="s">
        <v>402</v>
      </c>
      <c r="F1385" s="538">
        <v>11328</v>
      </c>
      <c r="G1385" s="538">
        <v>1</v>
      </c>
    </row>
    <row r="1386" spans="1:7" x14ac:dyDescent="0.2">
      <c r="A1386" s="538">
        <v>11</v>
      </c>
      <c r="B1386" s="538" t="s">
        <v>6659</v>
      </c>
      <c r="C1386" s="538" t="s">
        <v>393</v>
      </c>
      <c r="D1386" s="538" t="s">
        <v>393</v>
      </c>
      <c r="E1386" s="538" t="s">
        <v>419</v>
      </c>
      <c r="F1386" s="538">
        <v>11328</v>
      </c>
      <c r="G1386" s="538">
        <v>1</v>
      </c>
    </row>
    <row r="1387" spans="1:7" x14ac:dyDescent="0.2">
      <c r="A1387" s="538">
        <v>2</v>
      </c>
      <c r="B1387" s="538" t="s">
        <v>6662</v>
      </c>
      <c r="C1387" s="538" t="s">
        <v>740</v>
      </c>
      <c r="D1387" s="538" t="s">
        <v>393</v>
      </c>
      <c r="E1387" s="538" t="s">
        <v>313</v>
      </c>
      <c r="F1387" s="538">
        <v>306741</v>
      </c>
      <c r="G1387" s="538">
        <v>7</v>
      </c>
    </row>
    <row r="1388" spans="1:7" x14ac:dyDescent="0.2">
      <c r="A1388" s="538">
        <v>4</v>
      </c>
      <c r="B1388" s="538" t="s">
        <v>6559</v>
      </c>
      <c r="C1388" s="538" t="s">
        <v>393</v>
      </c>
      <c r="D1388" s="538" t="s">
        <v>393</v>
      </c>
      <c r="E1388" s="538" t="s">
        <v>402</v>
      </c>
      <c r="F1388" s="538">
        <v>753489</v>
      </c>
      <c r="G1388" s="538">
        <v>43</v>
      </c>
    </row>
    <row r="1389" spans="1:7" x14ac:dyDescent="0.2">
      <c r="A1389" s="538">
        <v>9</v>
      </c>
      <c r="B1389" s="538" t="s">
        <v>6645</v>
      </c>
      <c r="C1389" s="538" t="s">
        <v>393</v>
      </c>
      <c r="D1389" s="538" t="s">
        <v>393</v>
      </c>
      <c r="E1389" s="538" t="s">
        <v>409</v>
      </c>
      <c r="F1389" s="538">
        <v>1534184</v>
      </c>
      <c r="G1389" s="538">
        <v>58</v>
      </c>
    </row>
    <row r="1390" spans="1:7" x14ac:dyDescent="0.2">
      <c r="A1390" s="538">
        <v>12</v>
      </c>
      <c r="B1390" s="538" t="s">
        <v>6563</v>
      </c>
      <c r="C1390" s="538" t="s">
        <v>740</v>
      </c>
      <c r="D1390" s="538" t="s">
        <v>740</v>
      </c>
      <c r="E1390" s="538" t="s">
        <v>313</v>
      </c>
      <c r="F1390" s="538">
        <v>1523387</v>
      </c>
      <c r="G1390" s="538">
        <v>19</v>
      </c>
    </row>
    <row r="1391" spans="1:7" x14ac:dyDescent="0.2">
      <c r="A1391" s="538">
        <v>4</v>
      </c>
      <c r="B1391" s="538" t="s">
        <v>6559</v>
      </c>
      <c r="C1391" s="538" t="s">
        <v>393</v>
      </c>
      <c r="D1391" s="538" t="s">
        <v>740</v>
      </c>
      <c r="E1391" s="538" t="s">
        <v>409</v>
      </c>
      <c r="F1391" s="538">
        <v>163548</v>
      </c>
      <c r="G1391" s="538">
        <v>11</v>
      </c>
    </row>
    <row r="1392" spans="1:7" x14ac:dyDescent="0.2">
      <c r="A1392" s="538">
        <v>12</v>
      </c>
      <c r="B1392" s="538" t="s">
        <v>6616</v>
      </c>
      <c r="C1392" s="538" t="s">
        <v>393</v>
      </c>
      <c r="D1392" s="538" t="s">
        <v>393</v>
      </c>
      <c r="E1392" s="538" t="s">
        <v>416</v>
      </c>
      <c r="F1392" s="538">
        <v>85060073</v>
      </c>
      <c r="G1392" s="538">
        <v>1481</v>
      </c>
    </row>
    <row r="1393" spans="1:7" x14ac:dyDescent="0.2">
      <c r="A1393" s="538">
        <v>6</v>
      </c>
      <c r="B1393" s="538" t="s">
        <v>6596</v>
      </c>
      <c r="C1393" s="538" t="s">
        <v>740</v>
      </c>
      <c r="D1393" s="538" t="s">
        <v>393</v>
      </c>
      <c r="E1393" s="538" t="s">
        <v>210</v>
      </c>
      <c r="F1393" s="538">
        <v>818573</v>
      </c>
      <c r="G1393" s="538">
        <v>26</v>
      </c>
    </row>
    <row r="1394" spans="1:7" x14ac:dyDescent="0.2">
      <c r="A1394" s="538">
        <v>8</v>
      </c>
      <c r="B1394" s="538" t="s">
        <v>6570</v>
      </c>
      <c r="C1394" s="538" t="s">
        <v>740</v>
      </c>
      <c r="D1394" s="538" t="s">
        <v>393</v>
      </c>
      <c r="E1394" s="538" t="s">
        <v>409</v>
      </c>
      <c r="F1394" s="538">
        <v>3163844</v>
      </c>
      <c r="G1394" s="538">
        <v>43</v>
      </c>
    </row>
    <row r="1395" spans="1:7" x14ac:dyDescent="0.2">
      <c r="A1395" s="538">
        <v>5</v>
      </c>
      <c r="B1395" s="538" t="s">
        <v>6568</v>
      </c>
      <c r="C1395" s="538" t="s">
        <v>393</v>
      </c>
      <c r="D1395" s="538" t="s">
        <v>393</v>
      </c>
      <c r="E1395" s="538" t="s">
        <v>390</v>
      </c>
      <c r="F1395" s="538">
        <v>23577244</v>
      </c>
      <c r="G1395" s="538">
        <v>748</v>
      </c>
    </row>
    <row r="1396" spans="1:7" x14ac:dyDescent="0.2">
      <c r="A1396" s="538">
        <v>1</v>
      </c>
      <c r="B1396" s="538" t="s">
        <v>6646</v>
      </c>
      <c r="C1396" s="538" t="s">
        <v>740</v>
      </c>
      <c r="D1396" s="538" t="s">
        <v>393</v>
      </c>
      <c r="E1396" s="538" t="s">
        <v>230</v>
      </c>
      <c r="F1396" s="538">
        <v>896505</v>
      </c>
      <c r="G1396" s="538">
        <v>35</v>
      </c>
    </row>
    <row r="1397" spans="1:7" x14ac:dyDescent="0.2">
      <c r="A1397" s="538">
        <v>7</v>
      </c>
      <c r="B1397" s="538" t="s">
        <v>6571</v>
      </c>
      <c r="C1397" s="538" t="s">
        <v>740</v>
      </c>
      <c r="D1397" s="538" t="s">
        <v>393</v>
      </c>
      <c r="E1397" s="538" t="s">
        <v>409</v>
      </c>
      <c r="F1397" s="538">
        <v>193638</v>
      </c>
      <c r="G1397" s="538">
        <v>6</v>
      </c>
    </row>
    <row r="1398" spans="1:7" x14ac:dyDescent="0.2">
      <c r="A1398" s="538">
        <v>7</v>
      </c>
      <c r="B1398" s="538" t="s">
        <v>6579</v>
      </c>
      <c r="C1398" s="538" t="s">
        <v>740</v>
      </c>
      <c r="D1398" s="538" t="s">
        <v>740</v>
      </c>
      <c r="E1398" s="538" t="s">
        <v>209</v>
      </c>
      <c r="F1398" s="538">
        <v>74163</v>
      </c>
      <c r="G1398" s="538">
        <v>1</v>
      </c>
    </row>
    <row r="1399" spans="1:7" x14ac:dyDescent="0.2">
      <c r="A1399" s="538">
        <v>9</v>
      </c>
      <c r="B1399" s="538" t="s">
        <v>6613</v>
      </c>
      <c r="C1399" s="538" t="s">
        <v>740</v>
      </c>
      <c r="D1399" s="538" t="s">
        <v>393</v>
      </c>
      <c r="E1399" s="538" t="s">
        <v>860</v>
      </c>
      <c r="F1399" s="538">
        <v>11328</v>
      </c>
      <c r="G1399" s="538">
        <v>1</v>
      </c>
    </row>
    <row r="1400" spans="1:7" x14ac:dyDescent="0.2">
      <c r="A1400" s="538">
        <v>9</v>
      </c>
      <c r="B1400" s="538" t="s">
        <v>6645</v>
      </c>
      <c r="C1400" s="538" t="s">
        <v>393</v>
      </c>
      <c r="D1400" s="538" t="s">
        <v>393</v>
      </c>
      <c r="E1400" s="538" t="s">
        <v>401</v>
      </c>
      <c r="F1400" s="538">
        <v>79296</v>
      </c>
      <c r="G1400" s="538">
        <v>7</v>
      </c>
    </row>
    <row r="1401" spans="1:7" x14ac:dyDescent="0.2">
      <c r="A1401" s="538">
        <v>11</v>
      </c>
      <c r="B1401" s="538" t="s">
        <v>6592</v>
      </c>
      <c r="C1401" s="538" t="s">
        <v>740</v>
      </c>
      <c r="D1401" s="538" t="s">
        <v>740</v>
      </c>
      <c r="E1401" s="538" t="s">
        <v>390</v>
      </c>
      <c r="F1401" s="538">
        <v>4443304</v>
      </c>
      <c r="G1401" s="538">
        <v>133</v>
      </c>
    </row>
    <row r="1402" spans="1:7" x14ac:dyDescent="0.2">
      <c r="A1402" s="538">
        <v>5</v>
      </c>
      <c r="B1402" s="538" t="s">
        <v>6598</v>
      </c>
      <c r="C1402" s="538" t="s">
        <v>740</v>
      </c>
      <c r="D1402" s="538" t="s">
        <v>393</v>
      </c>
      <c r="E1402" s="538" t="s">
        <v>402</v>
      </c>
      <c r="F1402" s="538">
        <v>45312</v>
      </c>
      <c r="G1402" s="538">
        <v>4</v>
      </c>
    </row>
    <row r="1403" spans="1:7" x14ac:dyDescent="0.2">
      <c r="A1403" s="538">
        <v>2</v>
      </c>
      <c r="B1403" s="538" t="s">
        <v>6608</v>
      </c>
      <c r="C1403" s="538" t="s">
        <v>393</v>
      </c>
      <c r="D1403" s="538" t="s">
        <v>393</v>
      </c>
      <c r="E1403" s="538" t="s">
        <v>212</v>
      </c>
      <c r="F1403" s="538">
        <v>744816</v>
      </c>
      <c r="G1403" s="538">
        <v>52</v>
      </c>
    </row>
    <row r="1404" spans="1:7" x14ac:dyDescent="0.2">
      <c r="A1404" s="538">
        <v>4</v>
      </c>
      <c r="B1404" s="538" t="s">
        <v>6590</v>
      </c>
      <c r="C1404" s="538" t="s">
        <v>740</v>
      </c>
      <c r="D1404" s="538" t="s">
        <v>393</v>
      </c>
      <c r="E1404" s="538" t="s">
        <v>230</v>
      </c>
      <c r="F1404" s="538">
        <v>2204910</v>
      </c>
      <c r="G1404" s="538">
        <v>35</v>
      </c>
    </row>
    <row r="1405" spans="1:7" x14ac:dyDescent="0.2">
      <c r="A1405" s="538">
        <v>4</v>
      </c>
      <c r="B1405" s="538" t="s">
        <v>6559</v>
      </c>
      <c r="C1405" s="538" t="s">
        <v>740</v>
      </c>
      <c r="D1405" s="538" t="s">
        <v>740</v>
      </c>
      <c r="E1405" s="538" t="s">
        <v>202</v>
      </c>
      <c r="F1405" s="538">
        <v>11328</v>
      </c>
      <c r="G1405" s="538">
        <v>1</v>
      </c>
    </row>
    <row r="1406" spans="1:7" x14ac:dyDescent="0.2">
      <c r="A1406" s="538">
        <v>8</v>
      </c>
      <c r="B1406" s="538" t="s">
        <v>6648</v>
      </c>
      <c r="C1406" s="538" t="s">
        <v>740</v>
      </c>
      <c r="D1406" s="538" t="s">
        <v>393</v>
      </c>
      <c r="E1406" s="538" t="s">
        <v>416</v>
      </c>
      <c r="F1406" s="538">
        <v>72924</v>
      </c>
      <c r="G1406" s="538">
        <v>3</v>
      </c>
    </row>
    <row r="1407" spans="1:7" x14ac:dyDescent="0.2">
      <c r="A1407" s="538">
        <v>4</v>
      </c>
      <c r="B1407" s="538" t="s">
        <v>6562</v>
      </c>
      <c r="C1407" s="538" t="s">
        <v>740</v>
      </c>
      <c r="D1407" s="538" t="s">
        <v>740</v>
      </c>
      <c r="E1407" s="538" t="s">
        <v>438</v>
      </c>
      <c r="F1407" s="538">
        <v>220011</v>
      </c>
      <c r="G1407" s="538">
        <v>7</v>
      </c>
    </row>
    <row r="1408" spans="1:7" x14ac:dyDescent="0.2">
      <c r="A1408" s="538">
        <v>8</v>
      </c>
      <c r="B1408" s="538" t="s">
        <v>6567</v>
      </c>
      <c r="C1408" s="538" t="s">
        <v>393</v>
      </c>
      <c r="D1408" s="538" t="s">
        <v>393</v>
      </c>
      <c r="E1408" s="538" t="s">
        <v>402</v>
      </c>
      <c r="F1408" s="538">
        <v>4891010</v>
      </c>
      <c r="G1408" s="538">
        <v>145</v>
      </c>
    </row>
    <row r="1409" spans="1:7" x14ac:dyDescent="0.2">
      <c r="A1409" s="538">
        <v>3</v>
      </c>
      <c r="B1409" s="538" t="s">
        <v>6586</v>
      </c>
      <c r="C1409" s="538" t="s">
        <v>393</v>
      </c>
      <c r="D1409" s="538" t="s">
        <v>740</v>
      </c>
      <c r="E1409" s="538" t="s">
        <v>449</v>
      </c>
      <c r="F1409" s="538">
        <v>56640</v>
      </c>
      <c r="G1409" s="538">
        <v>5</v>
      </c>
    </row>
    <row r="1410" spans="1:7" x14ac:dyDescent="0.2">
      <c r="A1410" s="538">
        <v>9</v>
      </c>
      <c r="B1410" s="538" t="s">
        <v>6644</v>
      </c>
      <c r="C1410" s="538" t="s">
        <v>740</v>
      </c>
      <c r="D1410" s="538" t="s">
        <v>740</v>
      </c>
      <c r="E1410" s="538" t="s">
        <v>390</v>
      </c>
      <c r="F1410" s="538">
        <v>50268</v>
      </c>
      <c r="G1410" s="538">
        <v>1</v>
      </c>
    </row>
    <row r="1411" spans="1:7" x14ac:dyDescent="0.2">
      <c r="A1411" s="538">
        <v>8</v>
      </c>
      <c r="B1411" s="538" t="s">
        <v>6570</v>
      </c>
      <c r="C1411" s="538" t="s">
        <v>740</v>
      </c>
      <c r="D1411" s="538" t="s">
        <v>393</v>
      </c>
      <c r="E1411" s="538" t="s">
        <v>313</v>
      </c>
      <c r="F1411" s="538">
        <v>2578984</v>
      </c>
      <c r="G1411" s="538">
        <v>8</v>
      </c>
    </row>
    <row r="1412" spans="1:7" x14ac:dyDescent="0.2">
      <c r="A1412" s="538">
        <v>12</v>
      </c>
      <c r="B1412" s="538" t="s">
        <v>6563</v>
      </c>
      <c r="C1412" s="538" t="s">
        <v>740</v>
      </c>
      <c r="D1412" s="538" t="s">
        <v>393</v>
      </c>
      <c r="E1412" s="538" t="s">
        <v>416</v>
      </c>
      <c r="F1412" s="538">
        <v>664734414</v>
      </c>
      <c r="G1412" s="538">
        <v>11413</v>
      </c>
    </row>
    <row r="1413" spans="1:7" x14ac:dyDescent="0.2">
      <c r="A1413" s="538">
        <v>11</v>
      </c>
      <c r="B1413" s="538" t="s">
        <v>6659</v>
      </c>
      <c r="C1413" s="538" t="s">
        <v>393</v>
      </c>
      <c r="D1413" s="538" t="s">
        <v>393</v>
      </c>
      <c r="E1413" s="538" t="s">
        <v>438</v>
      </c>
      <c r="F1413" s="538">
        <v>4904431</v>
      </c>
      <c r="G1413" s="538">
        <v>37</v>
      </c>
    </row>
    <row r="1414" spans="1:7" x14ac:dyDescent="0.2">
      <c r="A1414" s="538">
        <v>6</v>
      </c>
      <c r="B1414" s="538" t="s">
        <v>6429</v>
      </c>
      <c r="C1414" s="538" t="s">
        <v>740</v>
      </c>
      <c r="D1414" s="538" t="s">
        <v>393</v>
      </c>
      <c r="E1414" s="538" t="s">
        <v>313</v>
      </c>
      <c r="F1414" s="538">
        <v>1338547</v>
      </c>
      <c r="G1414" s="538">
        <v>9</v>
      </c>
    </row>
    <row r="1415" spans="1:7" x14ac:dyDescent="0.2">
      <c r="A1415" s="538">
        <v>2</v>
      </c>
      <c r="B1415" s="538" t="s">
        <v>6656</v>
      </c>
      <c r="C1415" s="538" t="s">
        <v>393</v>
      </c>
      <c r="D1415" s="538" t="s">
        <v>740</v>
      </c>
      <c r="E1415" s="538" t="s">
        <v>390</v>
      </c>
      <c r="F1415" s="538">
        <v>5333354</v>
      </c>
      <c r="G1415" s="538">
        <v>63</v>
      </c>
    </row>
    <row r="1416" spans="1:7" x14ac:dyDescent="0.2">
      <c r="A1416" s="538">
        <v>11</v>
      </c>
      <c r="B1416" s="538" t="s">
        <v>6610</v>
      </c>
      <c r="C1416" s="538" t="s">
        <v>740</v>
      </c>
      <c r="D1416" s="538" t="s">
        <v>740</v>
      </c>
      <c r="E1416" s="538" t="s">
        <v>211</v>
      </c>
      <c r="F1416" s="538">
        <v>1738390</v>
      </c>
      <c r="G1416" s="538">
        <v>20</v>
      </c>
    </row>
    <row r="1417" spans="1:7" x14ac:dyDescent="0.2">
      <c r="A1417" s="538">
        <v>9</v>
      </c>
      <c r="B1417" s="538" t="s">
        <v>6614</v>
      </c>
      <c r="C1417" s="538" t="s">
        <v>740</v>
      </c>
      <c r="D1417" s="538" t="s">
        <v>393</v>
      </c>
      <c r="E1417" s="538" t="s">
        <v>860</v>
      </c>
      <c r="F1417" s="538">
        <v>967128</v>
      </c>
      <c r="G1417" s="538">
        <v>41</v>
      </c>
    </row>
    <row r="1418" spans="1:7" x14ac:dyDescent="0.2">
      <c r="A1418" s="538">
        <v>6</v>
      </c>
      <c r="B1418" s="538" t="s">
        <v>6607</v>
      </c>
      <c r="C1418" s="538" t="s">
        <v>393</v>
      </c>
      <c r="D1418" s="538" t="s">
        <v>393</v>
      </c>
      <c r="E1418" s="538" t="s">
        <v>207</v>
      </c>
      <c r="F1418" s="538">
        <v>14533262</v>
      </c>
      <c r="G1418" s="538">
        <v>914</v>
      </c>
    </row>
    <row r="1419" spans="1:7" x14ac:dyDescent="0.2">
      <c r="A1419" s="538">
        <v>2</v>
      </c>
      <c r="B1419" s="538" t="s">
        <v>6656</v>
      </c>
      <c r="C1419" s="538" t="s">
        <v>740</v>
      </c>
      <c r="D1419" s="538" t="s">
        <v>393</v>
      </c>
      <c r="E1419" s="538" t="s">
        <v>313</v>
      </c>
      <c r="F1419" s="538">
        <v>50268</v>
      </c>
      <c r="G1419" s="538">
        <v>1</v>
      </c>
    </row>
    <row r="1420" spans="1:7" x14ac:dyDescent="0.2">
      <c r="A1420" s="538">
        <v>3</v>
      </c>
      <c r="B1420" s="538" t="s">
        <v>6591</v>
      </c>
      <c r="C1420" s="538" t="s">
        <v>740</v>
      </c>
      <c r="D1420" s="538" t="s">
        <v>393</v>
      </c>
      <c r="E1420" s="538" t="s">
        <v>202</v>
      </c>
      <c r="F1420" s="538">
        <v>2553902</v>
      </c>
      <c r="G1420" s="538">
        <v>14</v>
      </c>
    </row>
    <row r="1421" spans="1:7" x14ac:dyDescent="0.2">
      <c r="A1421" s="538">
        <v>10</v>
      </c>
      <c r="B1421" s="538" t="s">
        <v>6653</v>
      </c>
      <c r="C1421" s="538" t="s">
        <v>740</v>
      </c>
      <c r="D1421" s="538" t="s">
        <v>393</v>
      </c>
      <c r="E1421" s="538" t="s">
        <v>211</v>
      </c>
      <c r="F1421" s="538">
        <v>9585498</v>
      </c>
      <c r="G1421" s="538">
        <v>191</v>
      </c>
    </row>
    <row r="1422" spans="1:7" x14ac:dyDescent="0.2">
      <c r="A1422" s="538">
        <v>6</v>
      </c>
      <c r="B1422" s="538" t="s">
        <v>6617</v>
      </c>
      <c r="C1422" s="538" t="s">
        <v>740</v>
      </c>
      <c r="D1422" s="538" t="s">
        <v>393</v>
      </c>
      <c r="E1422" s="538" t="s">
        <v>207</v>
      </c>
      <c r="F1422" s="538">
        <v>11328</v>
      </c>
      <c r="G1422" s="538">
        <v>1</v>
      </c>
    </row>
    <row r="1423" spans="1:7" x14ac:dyDescent="0.2">
      <c r="A1423" s="538">
        <v>2</v>
      </c>
      <c r="B1423" s="538" t="s">
        <v>6656</v>
      </c>
      <c r="C1423" s="538" t="s">
        <v>740</v>
      </c>
      <c r="D1423" s="538" t="s">
        <v>393</v>
      </c>
      <c r="E1423" s="538" t="s">
        <v>212</v>
      </c>
      <c r="F1423" s="538">
        <v>147264</v>
      </c>
      <c r="G1423" s="538">
        <v>13</v>
      </c>
    </row>
    <row r="1424" spans="1:7" x14ac:dyDescent="0.2">
      <c r="A1424" s="538">
        <v>4</v>
      </c>
      <c r="B1424" s="538" t="s">
        <v>6562</v>
      </c>
      <c r="C1424" s="538" t="s">
        <v>393</v>
      </c>
      <c r="D1424" s="538" t="s">
        <v>393</v>
      </c>
      <c r="E1424" s="538" t="s">
        <v>416</v>
      </c>
      <c r="F1424" s="538">
        <v>68361121</v>
      </c>
      <c r="G1424" s="538">
        <v>1202</v>
      </c>
    </row>
    <row r="1425" spans="1:7" x14ac:dyDescent="0.2">
      <c r="A1425" s="538">
        <v>6</v>
      </c>
      <c r="B1425" s="538" t="s">
        <v>6429</v>
      </c>
      <c r="C1425" s="538" t="s">
        <v>393</v>
      </c>
      <c r="D1425" s="538" t="s">
        <v>740</v>
      </c>
      <c r="E1425" s="538" t="s">
        <v>210</v>
      </c>
      <c r="F1425" s="538">
        <v>85491</v>
      </c>
      <c r="G1425" s="538">
        <v>2</v>
      </c>
    </row>
    <row r="1426" spans="1:7" x14ac:dyDescent="0.2">
      <c r="A1426" s="538">
        <v>11</v>
      </c>
      <c r="B1426" s="538" t="s">
        <v>6592</v>
      </c>
      <c r="C1426" s="538" t="s">
        <v>740</v>
      </c>
      <c r="D1426" s="538" t="s">
        <v>393</v>
      </c>
      <c r="E1426" s="538" t="s">
        <v>211</v>
      </c>
      <c r="F1426" s="538">
        <v>648653</v>
      </c>
      <c r="G1426" s="538">
        <v>11</v>
      </c>
    </row>
    <row r="1427" spans="1:7" x14ac:dyDescent="0.2">
      <c r="A1427" s="538">
        <v>3</v>
      </c>
      <c r="B1427" s="538" t="s">
        <v>6578</v>
      </c>
      <c r="C1427" s="538" t="s">
        <v>393</v>
      </c>
      <c r="D1427" s="538" t="s">
        <v>740</v>
      </c>
      <c r="E1427" s="538" t="s">
        <v>402</v>
      </c>
      <c r="F1427" s="538">
        <v>4335865</v>
      </c>
      <c r="G1427" s="538">
        <v>170</v>
      </c>
    </row>
    <row r="1428" spans="1:7" x14ac:dyDescent="0.2">
      <c r="A1428" s="538">
        <v>2</v>
      </c>
      <c r="B1428" s="538" t="s">
        <v>6055</v>
      </c>
      <c r="C1428" s="538" t="s">
        <v>740</v>
      </c>
      <c r="D1428" s="538" t="s">
        <v>393</v>
      </c>
      <c r="E1428" s="538" t="s">
        <v>409</v>
      </c>
      <c r="F1428" s="538">
        <v>13882621</v>
      </c>
      <c r="G1428" s="538">
        <v>287</v>
      </c>
    </row>
    <row r="1429" spans="1:7" x14ac:dyDescent="0.2">
      <c r="A1429" s="538">
        <v>5</v>
      </c>
      <c r="B1429" s="538" t="s">
        <v>6598</v>
      </c>
      <c r="C1429" s="538" t="s">
        <v>393</v>
      </c>
      <c r="D1429" s="538" t="s">
        <v>393</v>
      </c>
      <c r="E1429" s="538" t="s">
        <v>212</v>
      </c>
      <c r="F1429" s="538">
        <v>1141775</v>
      </c>
      <c r="G1429" s="538">
        <v>40</v>
      </c>
    </row>
    <row r="1430" spans="1:7" x14ac:dyDescent="0.2">
      <c r="A1430" s="538">
        <v>7</v>
      </c>
      <c r="B1430" s="538" t="s">
        <v>6571</v>
      </c>
      <c r="C1430" s="538" t="s">
        <v>740</v>
      </c>
      <c r="D1430" s="538" t="s">
        <v>393</v>
      </c>
      <c r="E1430" s="538" t="s">
        <v>390</v>
      </c>
      <c r="F1430" s="538">
        <v>7904008</v>
      </c>
      <c r="G1430" s="538">
        <v>276</v>
      </c>
    </row>
    <row r="1431" spans="1:7" x14ac:dyDescent="0.2">
      <c r="A1431" s="538">
        <v>10</v>
      </c>
      <c r="B1431" s="538" t="s">
        <v>6652</v>
      </c>
      <c r="C1431" s="538" t="s">
        <v>393</v>
      </c>
      <c r="D1431" s="538" t="s">
        <v>393</v>
      </c>
      <c r="E1431" s="538" t="s">
        <v>416</v>
      </c>
      <c r="F1431" s="538">
        <v>16982360</v>
      </c>
      <c r="G1431" s="538">
        <v>245</v>
      </c>
    </row>
    <row r="1432" spans="1:7" x14ac:dyDescent="0.2">
      <c r="A1432" s="538">
        <v>2</v>
      </c>
      <c r="B1432" s="538" t="s">
        <v>6576</v>
      </c>
      <c r="C1432" s="538" t="s">
        <v>740</v>
      </c>
      <c r="D1432" s="538" t="s">
        <v>393</v>
      </c>
      <c r="E1432" s="538" t="s">
        <v>401</v>
      </c>
      <c r="F1432" s="538">
        <v>216294</v>
      </c>
      <c r="G1432" s="538">
        <v>8</v>
      </c>
    </row>
    <row r="1433" spans="1:7" x14ac:dyDescent="0.2">
      <c r="A1433" s="538">
        <v>3</v>
      </c>
      <c r="B1433" s="538" t="s">
        <v>6561</v>
      </c>
      <c r="C1433" s="538" t="s">
        <v>740</v>
      </c>
      <c r="D1433" s="538" t="s">
        <v>393</v>
      </c>
      <c r="E1433" s="538" t="s">
        <v>230</v>
      </c>
      <c r="F1433" s="538">
        <v>3433696</v>
      </c>
      <c r="G1433" s="538">
        <v>102</v>
      </c>
    </row>
    <row r="1434" spans="1:7" x14ac:dyDescent="0.2">
      <c r="A1434" s="538">
        <v>6</v>
      </c>
      <c r="B1434" s="538" t="s">
        <v>6433</v>
      </c>
      <c r="C1434" s="538" t="s">
        <v>393</v>
      </c>
      <c r="D1434" s="538" t="s">
        <v>740</v>
      </c>
      <c r="E1434" s="538" t="s">
        <v>409</v>
      </c>
      <c r="F1434" s="538">
        <v>1030494</v>
      </c>
      <c r="G1434" s="538">
        <v>73</v>
      </c>
    </row>
    <row r="1435" spans="1:7" x14ac:dyDescent="0.2">
      <c r="A1435" s="538">
        <v>1</v>
      </c>
      <c r="B1435" s="538" t="s">
        <v>6595</v>
      </c>
      <c r="C1435" s="538" t="s">
        <v>393</v>
      </c>
      <c r="D1435" s="538" t="s">
        <v>393</v>
      </c>
      <c r="E1435" s="538" t="s">
        <v>401</v>
      </c>
      <c r="F1435" s="538">
        <v>208860</v>
      </c>
      <c r="G1435" s="538">
        <v>15</v>
      </c>
    </row>
    <row r="1436" spans="1:7" x14ac:dyDescent="0.2">
      <c r="A1436" s="538">
        <v>1</v>
      </c>
      <c r="B1436" s="538" t="s">
        <v>6602</v>
      </c>
      <c r="C1436" s="538" t="s">
        <v>740</v>
      </c>
      <c r="D1436" s="538" t="s">
        <v>740</v>
      </c>
      <c r="E1436" s="538" t="s">
        <v>402</v>
      </c>
      <c r="F1436" s="538">
        <v>4942090</v>
      </c>
      <c r="G1436" s="538">
        <v>190</v>
      </c>
    </row>
    <row r="1437" spans="1:7" x14ac:dyDescent="0.2">
      <c r="A1437" s="538">
        <v>9</v>
      </c>
      <c r="B1437" s="538" t="s">
        <v>6645</v>
      </c>
      <c r="C1437" s="538" t="s">
        <v>740</v>
      </c>
      <c r="D1437" s="538" t="s">
        <v>393</v>
      </c>
      <c r="E1437" s="538" t="s">
        <v>207</v>
      </c>
      <c r="F1437" s="538">
        <v>11328</v>
      </c>
      <c r="G1437" s="538">
        <v>1</v>
      </c>
    </row>
    <row r="1438" spans="1:7" x14ac:dyDescent="0.2">
      <c r="A1438" s="538">
        <v>2</v>
      </c>
      <c r="B1438" s="538" t="s">
        <v>6573</v>
      </c>
      <c r="C1438" s="538" t="s">
        <v>740</v>
      </c>
      <c r="D1438" s="538" t="s">
        <v>393</v>
      </c>
      <c r="E1438" s="538" t="s">
        <v>390</v>
      </c>
      <c r="F1438" s="538">
        <v>449049</v>
      </c>
      <c r="G1438" s="538">
        <v>23</v>
      </c>
    </row>
    <row r="1439" spans="1:7" x14ac:dyDescent="0.2">
      <c r="A1439" s="538">
        <v>5</v>
      </c>
      <c r="B1439" s="538" t="s">
        <v>6599</v>
      </c>
      <c r="C1439" s="538" t="s">
        <v>393</v>
      </c>
      <c r="D1439" s="538" t="s">
        <v>393</v>
      </c>
      <c r="E1439" s="538" t="s">
        <v>210</v>
      </c>
      <c r="F1439" s="538">
        <v>2498074</v>
      </c>
      <c r="G1439" s="538">
        <v>58</v>
      </c>
    </row>
    <row r="1440" spans="1:7" x14ac:dyDescent="0.2">
      <c r="A1440" s="538">
        <v>3</v>
      </c>
      <c r="B1440" s="538" t="s">
        <v>6561</v>
      </c>
      <c r="C1440" s="538" t="s">
        <v>740</v>
      </c>
      <c r="D1440" s="538" t="s">
        <v>740</v>
      </c>
      <c r="E1440" s="538" t="s">
        <v>207</v>
      </c>
      <c r="F1440" s="538">
        <v>724461</v>
      </c>
      <c r="G1440" s="538">
        <v>37</v>
      </c>
    </row>
    <row r="1441" spans="1:7" x14ac:dyDescent="0.2">
      <c r="A1441" s="538">
        <v>8</v>
      </c>
      <c r="B1441" s="538" t="s">
        <v>6583</v>
      </c>
      <c r="C1441" s="538" t="s">
        <v>740</v>
      </c>
      <c r="D1441" s="538" t="s">
        <v>393</v>
      </c>
      <c r="E1441" s="538" t="s">
        <v>207</v>
      </c>
      <c r="F1441" s="538">
        <v>79296</v>
      </c>
      <c r="G1441" s="538">
        <v>7</v>
      </c>
    </row>
    <row r="1442" spans="1:7" x14ac:dyDescent="0.2">
      <c r="A1442" s="538">
        <v>10</v>
      </c>
      <c r="B1442" s="538" t="s">
        <v>6582</v>
      </c>
      <c r="C1442" s="538" t="s">
        <v>393</v>
      </c>
      <c r="D1442" s="538" t="s">
        <v>740</v>
      </c>
      <c r="E1442" s="538" t="s">
        <v>449</v>
      </c>
      <c r="F1442" s="538">
        <v>33984</v>
      </c>
      <c r="G1442" s="538">
        <v>3</v>
      </c>
    </row>
    <row r="1443" spans="1:7" x14ac:dyDescent="0.2">
      <c r="A1443" s="538">
        <v>5</v>
      </c>
      <c r="B1443" s="538" t="s">
        <v>6568</v>
      </c>
      <c r="C1443" s="538" t="s">
        <v>740</v>
      </c>
      <c r="D1443" s="538" t="s">
        <v>740</v>
      </c>
      <c r="E1443" s="538" t="s">
        <v>416</v>
      </c>
      <c r="F1443" s="538">
        <v>4599387</v>
      </c>
      <c r="G1443" s="538">
        <v>64</v>
      </c>
    </row>
    <row r="1444" spans="1:7" x14ac:dyDescent="0.2">
      <c r="A1444" s="538">
        <v>4</v>
      </c>
      <c r="B1444" s="538" t="s">
        <v>6562</v>
      </c>
      <c r="C1444" s="538" t="s">
        <v>393</v>
      </c>
      <c r="D1444" s="538" t="s">
        <v>393</v>
      </c>
      <c r="E1444" s="538" t="s">
        <v>207</v>
      </c>
      <c r="F1444" s="538">
        <v>16191898</v>
      </c>
      <c r="G1444" s="538">
        <v>836</v>
      </c>
    </row>
    <row r="1445" spans="1:7" x14ac:dyDescent="0.2">
      <c r="A1445" s="538">
        <v>4</v>
      </c>
      <c r="B1445" s="538" t="s">
        <v>6574</v>
      </c>
      <c r="C1445" s="538" t="s">
        <v>740</v>
      </c>
      <c r="D1445" s="538" t="s">
        <v>393</v>
      </c>
      <c r="E1445" s="538" t="s">
        <v>390</v>
      </c>
      <c r="F1445" s="538">
        <v>13111067</v>
      </c>
      <c r="G1445" s="538">
        <v>549</v>
      </c>
    </row>
    <row r="1446" spans="1:7" x14ac:dyDescent="0.2">
      <c r="A1446" s="538">
        <v>3</v>
      </c>
      <c r="B1446" s="538" t="s">
        <v>1390</v>
      </c>
      <c r="C1446" s="538" t="s">
        <v>393</v>
      </c>
      <c r="D1446" s="538" t="s">
        <v>740</v>
      </c>
      <c r="E1446" s="538" t="s">
        <v>230</v>
      </c>
      <c r="F1446" s="538">
        <v>11328</v>
      </c>
      <c r="G1446" s="538">
        <v>1</v>
      </c>
    </row>
    <row r="1447" spans="1:7" x14ac:dyDescent="0.2">
      <c r="A1447" s="538">
        <v>2</v>
      </c>
      <c r="B1447" s="538" t="s">
        <v>6055</v>
      </c>
      <c r="C1447" s="538" t="s">
        <v>393</v>
      </c>
      <c r="D1447" s="538" t="s">
        <v>393</v>
      </c>
      <c r="E1447" s="538" t="s">
        <v>211</v>
      </c>
      <c r="F1447" s="538">
        <v>17469318</v>
      </c>
      <c r="G1447" s="538">
        <v>216</v>
      </c>
    </row>
    <row r="1448" spans="1:7" x14ac:dyDescent="0.2">
      <c r="A1448" s="538">
        <v>7</v>
      </c>
      <c r="B1448" s="538" t="s">
        <v>6588</v>
      </c>
      <c r="C1448" s="538" t="s">
        <v>393</v>
      </c>
      <c r="D1448" s="538" t="s">
        <v>740</v>
      </c>
      <c r="E1448" s="538" t="s">
        <v>449</v>
      </c>
      <c r="F1448" s="538">
        <v>50268</v>
      </c>
      <c r="G1448" s="538">
        <v>1</v>
      </c>
    </row>
    <row r="1449" spans="1:7" x14ac:dyDescent="0.2">
      <c r="A1449" s="538">
        <v>8</v>
      </c>
      <c r="B1449" s="538" t="s">
        <v>6577</v>
      </c>
      <c r="C1449" s="538" t="s">
        <v>740</v>
      </c>
      <c r="D1449" s="538" t="s">
        <v>393</v>
      </c>
      <c r="E1449" s="538" t="s">
        <v>211</v>
      </c>
      <c r="F1449" s="538">
        <v>620692653</v>
      </c>
      <c r="G1449" s="538">
        <v>17766</v>
      </c>
    </row>
    <row r="1450" spans="1:7" x14ac:dyDescent="0.2">
      <c r="A1450" s="538">
        <v>6</v>
      </c>
      <c r="B1450" s="538" t="s">
        <v>6429</v>
      </c>
      <c r="C1450" s="538" t="s">
        <v>393</v>
      </c>
      <c r="D1450" s="538" t="s">
        <v>393</v>
      </c>
      <c r="E1450" s="538" t="s">
        <v>402</v>
      </c>
      <c r="F1450" s="538">
        <v>1418249</v>
      </c>
      <c r="G1450" s="538">
        <v>43</v>
      </c>
    </row>
    <row r="1451" spans="1:7" x14ac:dyDescent="0.2">
      <c r="A1451" s="538">
        <v>10</v>
      </c>
      <c r="B1451" s="538" t="s">
        <v>6652</v>
      </c>
      <c r="C1451" s="538" t="s">
        <v>393</v>
      </c>
      <c r="D1451" s="538" t="s">
        <v>393</v>
      </c>
      <c r="E1451" s="538" t="s">
        <v>210</v>
      </c>
      <c r="F1451" s="538">
        <v>683876</v>
      </c>
      <c r="G1451" s="538">
        <v>12</v>
      </c>
    </row>
    <row r="1452" spans="1:7" x14ac:dyDescent="0.2">
      <c r="A1452" s="538">
        <v>6</v>
      </c>
      <c r="B1452" s="538" t="s">
        <v>6429</v>
      </c>
      <c r="C1452" s="538" t="s">
        <v>740</v>
      </c>
      <c r="D1452" s="538" t="s">
        <v>393</v>
      </c>
      <c r="E1452" s="538" t="s">
        <v>209</v>
      </c>
      <c r="F1452" s="538">
        <v>5863292</v>
      </c>
      <c r="G1452" s="538">
        <v>44</v>
      </c>
    </row>
    <row r="1453" spans="1:7" x14ac:dyDescent="0.2">
      <c r="A1453" s="538">
        <v>7</v>
      </c>
      <c r="B1453" s="538" t="s">
        <v>6579</v>
      </c>
      <c r="C1453" s="538" t="s">
        <v>393</v>
      </c>
      <c r="D1453" s="538" t="s">
        <v>393</v>
      </c>
      <c r="E1453" s="538" t="s">
        <v>402</v>
      </c>
      <c r="F1453" s="538">
        <v>6339599</v>
      </c>
      <c r="G1453" s="538">
        <v>113</v>
      </c>
    </row>
    <row r="1454" spans="1:7" x14ac:dyDescent="0.2">
      <c r="A1454" s="538">
        <v>9</v>
      </c>
      <c r="B1454" s="538" t="s">
        <v>6645</v>
      </c>
      <c r="C1454" s="538" t="s">
        <v>740</v>
      </c>
      <c r="D1454" s="538" t="s">
        <v>393</v>
      </c>
      <c r="E1454" s="538" t="s">
        <v>209</v>
      </c>
      <c r="F1454" s="538">
        <v>496433</v>
      </c>
      <c r="G1454" s="538">
        <v>1</v>
      </c>
    </row>
    <row r="1455" spans="1:7" x14ac:dyDescent="0.2">
      <c r="A1455" s="538">
        <v>1</v>
      </c>
      <c r="B1455" s="538" t="s">
        <v>6646</v>
      </c>
      <c r="C1455" s="538" t="s">
        <v>740</v>
      </c>
      <c r="D1455" s="538" t="s">
        <v>393</v>
      </c>
      <c r="E1455" s="538" t="s">
        <v>390</v>
      </c>
      <c r="F1455" s="538">
        <v>11328</v>
      </c>
      <c r="G1455" s="538">
        <v>1</v>
      </c>
    </row>
    <row r="1456" spans="1:7" x14ac:dyDescent="0.2">
      <c r="A1456" s="538">
        <v>7</v>
      </c>
      <c r="B1456" s="538" t="s">
        <v>6655</v>
      </c>
      <c r="C1456" s="538" t="s">
        <v>393</v>
      </c>
      <c r="D1456" s="538" t="s">
        <v>393</v>
      </c>
      <c r="E1456" s="538" t="s">
        <v>449</v>
      </c>
      <c r="F1456" s="538">
        <v>79296</v>
      </c>
      <c r="G1456" s="538">
        <v>7</v>
      </c>
    </row>
    <row r="1457" spans="1:7" x14ac:dyDescent="0.2">
      <c r="A1457" s="538">
        <v>8</v>
      </c>
      <c r="B1457" s="538" t="s">
        <v>6560</v>
      </c>
      <c r="C1457" s="538" t="s">
        <v>740</v>
      </c>
      <c r="D1457" s="538" t="s">
        <v>393</v>
      </c>
      <c r="E1457" s="538" t="s">
        <v>390</v>
      </c>
      <c r="F1457" s="538">
        <v>6253306</v>
      </c>
      <c r="G1457" s="538">
        <v>242</v>
      </c>
    </row>
    <row r="1458" spans="1:7" x14ac:dyDescent="0.2">
      <c r="A1458" s="538">
        <v>7</v>
      </c>
      <c r="B1458" s="538" t="s">
        <v>6604</v>
      </c>
      <c r="C1458" s="538" t="s">
        <v>740</v>
      </c>
      <c r="D1458" s="538" t="s">
        <v>393</v>
      </c>
      <c r="E1458" s="538" t="s">
        <v>402</v>
      </c>
      <c r="F1458" s="538">
        <v>129564</v>
      </c>
      <c r="G1458" s="538">
        <v>8</v>
      </c>
    </row>
    <row r="1459" spans="1:7" x14ac:dyDescent="0.2">
      <c r="A1459" s="538">
        <v>11</v>
      </c>
      <c r="B1459" s="538" t="s">
        <v>6558</v>
      </c>
      <c r="C1459" s="538" t="s">
        <v>393</v>
      </c>
      <c r="D1459" s="538" t="s">
        <v>393</v>
      </c>
      <c r="E1459" s="538" t="s">
        <v>390</v>
      </c>
      <c r="F1459" s="538">
        <v>7639872</v>
      </c>
      <c r="G1459" s="538">
        <v>254</v>
      </c>
    </row>
    <row r="1460" spans="1:7" x14ac:dyDescent="0.2">
      <c r="A1460" s="538">
        <v>3</v>
      </c>
      <c r="B1460" s="538" t="s">
        <v>6561</v>
      </c>
      <c r="C1460" s="538" t="s">
        <v>740</v>
      </c>
      <c r="D1460" s="538" t="s">
        <v>393</v>
      </c>
      <c r="E1460" s="538" t="s">
        <v>401</v>
      </c>
      <c r="F1460" s="538">
        <v>22656</v>
      </c>
      <c r="G1460" s="538">
        <v>2</v>
      </c>
    </row>
    <row r="1461" spans="1:7" x14ac:dyDescent="0.2">
      <c r="A1461" s="538">
        <v>2</v>
      </c>
      <c r="B1461" s="538" t="s">
        <v>6662</v>
      </c>
      <c r="C1461" s="538" t="s">
        <v>740</v>
      </c>
      <c r="D1461" s="538" t="s">
        <v>393</v>
      </c>
      <c r="E1461" s="538" t="s">
        <v>207</v>
      </c>
      <c r="F1461" s="538">
        <v>2260290</v>
      </c>
      <c r="G1461" s="538">
        <v>185</v>
      </c>
    </row>
    <row r="1462" spans="1:7" x14ac:dyDescent="0.2">
      <c r="A1462" s="538">
        <v>11</v>
      </c>
      <c r="B1462" s="538" t="s">
        <v>6592</v>
      </c>
      <c r="C1462" s="538" t="s">
        <v>740</v>
      </c>
      <c r="D1462" s="538" t="s">
        <v>393</v>
      </c>
      <c r="E1462" s="538" t="s">
        <v>449</v>
      </c>
      <c r="F1462" s="538">
        <v>119475</v>
      </c>
      <c r="G1462" s="538">
        <v>5</v>
      </c>
    </row>
    <row r="1463" spans="1:7" x14ac:dyDescent="0.2">
      <c r="A1463" s="538">
        <v>6</v>
      </c>
      <c r="B1463" s="538" t="s">
        <v>6429</v>
      </c>
      <c r="C1463" s="538" t="s">
        <v>740</v>
      </c>
      <c r="D1463" s="538" t="s">
        <v>393</v>
      </c>
      <c r="E1463" s="538" t="s">
        <v>211</v>
      </c>
      <c r="F1463" s="538">
        <v>9061786</v>
      </c>
      <c r="G1463" s="538">
        <v>217</v>
      </c>
    </row>
    <row r="1464" spans="1:7" x14ac:dyDescent="0.2">
      <c r="A1464" s="538">
        <v>4</v>
      </c>
      <c r="B1464" s="538" t="s">
        <v>6590</v>
      </c>
      <c r="C1464" s="538" t="s">
        <v>740</v>
      </c>
      <c r="D1464" s="538" t="s">
        <v>740</v>
      </c>
      <c r="E1464" s="538" t="s">
        <v>449</v>
      </c>
      <c r="F1464" s="538">
        <v>61596</v>
      </c>
      <c r="G1464" s="538">
        <v>2</v>
      </c>
    </row>
    <row r="1465" spans="1:7" x14ac:dyDescent="0.2">
      <c r="A1465" s="538">
        <v>10</v>
      </c>
      <c r="B1465" s="538" t="s">
        <v>6652</v>
      </c>
      <c r="C1465" s="538" t="s">
        <v>740</v>
      </c>
      <c r="D1465" s="538" t="s">
        <v>740</v>
      </c>
      <c r="E1465" s="538" t="s">
        <v>416</v>
      </c>
      <c r="F1465" s="538">
        <v>540735</v>
      </c>
      <c r="G1465" s="538">
        <v>20</v>
      </c>
    </row>
    <row r="1466" spans="1:7" x14ac:dyDescent="0.2">
      <c r="A1466" s="538">
        <v>10</v>
      </c>
      <c r="B1466" s="538" t="s">
        <v>6653</v>
      </c>
      <c r="C1466" s="538" t="s">
        <v>393</v>
      </c>
      <c r="D1466" s="538" t="s">
        <v>740</v>
      </c>
      <c r="E1466" s="538" t="s">
        <v>409</v>
      </c>
      <c r="F1466" s="538">
        <v>33984</v>
      </c>
      <c r="G1466" s="538">
        <v>3</v>
      </c>
    </row>
    <row r="1467" spans="1:7" x14ac:dyDescent="0.2">
      <c r="A1467" s="538">
        <v>5</v>
      </c>
      <c r="B1467" s="538" t="s">
        <v>6566</v>
      </c>
      <c r="C1467" s="538" t="s">
        <v>393</v>
      </c>
      <c r="D1467" s="538" t="s">
        <v>393</v>
      </c>
      <c r="E1467" s="538" t="s">
        <v>390</v>
      </c>
      <c r="F1467" s="538">
        <v>11559402</v>
      </c>
      <c r="G1467" s="538">
        <v>244</v>
      </c>
    </row>
    <row r="1468" spans="1:7" x14ac:dyDescent="0.2">
      <c r="A1468" s="538">
        <v>3</v>
      </c>
      <c r="B1468" s="538" t="s">
        <v>1390</v>
      </c>
      <c r="C1468" s="538" t="s">
        <v>740</v>
      </c>
      <c r="D1468" s="538" t="s">
        <v>393</v>
      </c>
      <c r="E1468" s="538" t="s">
        <v>409</v>
      </c>
      <c r="F1468" s="538">
        <v>1525990</v>
      </c>
      <c r="G1468" s="538">
        <v>20</v>
      </c>
    </row>
    <row r="1469" spans="1:7" x14ac:dyDescent="0.2">
      <c r="A1469" s="538">
        <v>3</v>
      </c>
      <c r="B1469" s="538" t="s">
        <v>6578</v>
      </c>
      <c r="C1469" s="538" t="s">
        <v>740</v>
      </c>
      <c r="D1469" s="538" t="s">
        <v>393</v>
      </c>
      <c r="E1469" s="538" t="s">
        <v>313</v>
      </c>
      <c r="F1469" s="538">
        <v>496433</v>
      </c>
      <c r="G1469" s="538">
        <v>1</v>
      </c>
    </row>
    <row r="1470" spans="1:7" x14ac:dyDescent="0.2">
      <c r="A1470" s="538">
        <v>2</v>
      </c>
      <c r="B1470" s="538" t="s">
        <v>6585</v>
      </c>
      <c r="C1470" s="538" t="s">
        <v>393</v>
      </c>
      <c r="D1470" s="538" t="s">
        <v>740</v>
      </c>
      <c r="E1470" s="538" t="s">
        <v>449</v>
      </c>
      <c r="F1470" s="538">
        <v>1143951</v>
      </c>
      <c r="G1470" s="538">
        <v>92</v>
      </c>
    </row>
    <row r="1471" spans="1:7" x14ac:dyDescent="0.2">
      <c r="A1471" s="538">
        <v>1</v>
      </c>
      <c r="B1471" s="538" t="s">
        <v>1288</v>
      </c>
      <c r="C1471" s="538" t="s">
        <v>740</v>
      </c>
      <c r="D1471" s="538" t="s">
        <v>393</v>
      </c>
      <c r="E1471" s="538" t="s">
        <v>207</v>
      </c>
      <c r="F1471" s="538">
        <v>50268</v>
      </c>
      <c r="G1471" s="538">
        <v>1</v>
      </c>
    </row>
    <row r="1472" spans="1:7" x14ac:dyDescent="0.2">
      <c r="A1472" s="538">
        <v>1</v>
      </c>
      <c r="B1472" s="538" t="s">
        <v>6595</v>
      </c>
      <c r="C1472" s="538" t="s">
        <v>393</v>
      </c>
      <c r="D1472" s="538" t="s">
        <v>393</v>
      </c>
      <c r="E1472" s="538" t="s">
        <v>212</v>
      </c>
      <c r="F1472" s="538">
        <v>424092</v>
      </c>
      <c r="G1472" s="538">
        <v>34</v>
      </c>
    </row>
    <row r="1473" spans="1:7" x14ac:dyDescent="0.2">
      <c r="A1473" s="538">
        <v>3</v>
      </c>
      <c r="B1473" s="538" t="s">
        <v>6605</v>
      </c>
      <c r="C1473" s="538" t="s">
        <v>740</v>
      </c>
      <c r="D1473" s="538" t="s">
        <v>393</v>
      </c>
      <c r="E1473" s="538" t="s">
        <v>207</v>
      </c>
      <c r="F1473" s="538">
        <v>2450919</v>
      </c>
      <c r="G1473" s="538">
        <v>168</v>
      </c>
    </row>
    <row r="1474" spans="1:7" x14ac:dyDescent="0.2">
      <c r="A1474" s="538">
        <v>3</v>
      </c>
      <c r="B1474" s="538" t="s">
        <v>6578</v>
      </c>
      <c r="C1474" s="538" t="s">
        <v>740</v>
      </c>
      <c r="D1474" s="538" t="s">
        <v>393</v>
      </c>
      <c r="E1474" s="538" t="s">
        <v>207</v>
      </c>
      <c r="F1474" s="538">
        <v>10891289</v>
      </c>
      <c r="G1474" s="538">
        <v>768</v>
      </c>
    </row>
    <row r="1475" spans="1:7" x14ac:dyDescent="0.2">
      <c r="A1475" s="538">
        <v>5</v>
      </c>
      <c r="B1475" s="538" t="s">
        <v>6566</v>
      </c>
      <c r="C1475" s="538" t="s">
        <v>740</v>
      </c>
      <c r="D1475" s="538" t="s">
        <v>393</v>
      </c>
      <c r="E1475" s="538" t="s">
        <v>202</v>
      </c>
      <c r="F1475" s="538">
        <v>11328</v>
      </c>
      <c r="G1475" s="538">
        <v>1</v>
      </c>
    </row>
    <row r="1476" spans="1:7" x14ac:dyDescent="0.2">
      <c r="A1476" s="538">
        <v>2</v>
      </c>
      <c r="B1476" s="538" t="s">
        <v>6654</v>
      </c>
      <c r="C1476" s="538" t="s">
        <v>393</v>
      </c>
      <c r="D1476" s="538" t="s">
        <v>740</v>
      </c>
      <c r="E1476" s="538" t="s">
        <v>402</v>
      </c>
      <c r="F1476" s="538">
        <v>1778923</v>
      </c>
      <c r="G1476" s="538">
        <v>41</v>
      </c>
    </row>
    <row r="1477" spans="1:7" x14ac:dyDescent="0.2">
      <c r="A1477" s="538">
        <v>3</v>
      </c>
      <c r="B1477" s="538" t="s">
        <v>6605</v>
      </c>
      <c r="C1477" s="538" t="s">
        <v>393</v>
      </c>
      <c r="D1477" s="538" t="s">
        <v>393</v>
      </c>
      <c r="E1477" s="538" t="s">
        <v>313</v>
      </c>
      <c r="F1477" s="538">
        <v>1128625</v>
      </c>
      <c r="G1477" s="538">
        <v>5</v>
      </c>
    </row>
    <row r="1478" spans="1:7" x14ac:dyDescent="0.2">
      <c r="A1478" s="538">
        <v>4</v>
      </c>
      <c r="B1478" s="538" t="s">
        <v>6559</v>
      </c>
      <c r="C1478" s="538" t="s">
        <v>393</v>
      </c>
      <c r="D1478" s="538" t="s">
        <v>393</v>
      </c>
      <c r="E1478" s="538" t="s">
        <v>409</v>
      </c>
      <c r="F1478" s="538">
        <v>1180309</v>
      </c>
      <c r="G1478" s="538">
        <v>13</v>
      </c>
    </row>
    <row r="1479" spans="1:7" x14ac:dyDescent="0.2">
      <c r="A1479" s="538">
        <v>3</v>
      </c>
      <c r="B1479" s="538" t="s">
        <v>6561</v>
      </c>
      <c r="C1479" s="538" t="s">
        <v>740</v>
      </c>
      <c r="D1479" s="538" t="s">
        <v>740</v>
      </c>
      <c r="E1479" s="538" t="s">
        <v>210</v>
      </c>
      <c r="F1479" s="538">
        <v>11328</v>
      </c>
      <c r="G1479" s="538">
        <v>1</v>
      </c>
    </row>
    <row r="1480" spans="1:7" x14ac:dyDescent="0.2">
      <c r="A1480" s="538">
        <v>3</v>
      </c>
      <c r="B1480" s="538" t="s">
        <v>6591</v>
      </c>
      <c r="C1480" s="538" t="s">
        <v>393</v>
      </c>
      <c r="D1480" s="538" t="s">
        <v>393</v>
      </c>
      <c r="E1480" s="538" t="s">
        <v>419</v>
      </c>
      <c r="F1480" s="538">
        <v>135936</v>
      </c>
      <c r="G1480" s="538">
        <v>12</v>
      </c>
    </row>
    <row r="1481" spans="1:7" x14ac:dyDescent="0.2">
      <c r="A1481" s="538">
        <v>5</v>
      </c>
      <c r="B1481" s="538" t="s">
        <v>6589</v>
      </c>
      <c r="C1481" s="538" t="s">
        <v>393</v>
      </c>
      <c r="D1481" s="538" t="s">
        <v>393</v>
      </c>
      <c r="E1481" s="538" t="s">
        <v>409</v>
      </c>
      <c r="F1481" s="538">
        <v>465510</v>
      </c>
      <c r="G1481" s="538">
        <v>30</v>
      </c>
    </row>
    <row r="1482" spans="1:7" x14ac:dyDescent="0.2">
      <c r="A1482" s="538">
        <v>10</v>
      </c>
      <c r="B1482" s="538" t="s">
        <v>6597</v>
      </c>
      <c r="C1482" s="538" t="s">
        <v>740</v>
      </c>
      <c r="D1482" s="538" t="s">
        <v>393</v>
      </c>
      <c r="E1482" s="538" t="s">
        <v>416</v>
      </c>
      <c r="F1482" s="538">
        <v>10522484</v>
      </c>
      <c r="G1482" s="538">
        <v>228</v>
      </c>
    </row>
    <row r="1483" spans="1:7" x14ac:dyDescent="0.2">
      <c r="A1483" s="538">
        <v>3</v>
      </c>
      <c r="B1483" s="538" t="s">
        <v>6591</v>
      </c>
      <c r="C1483" s="538" t="s">
        <v>740</v>
      </c>
      <c r="D1483" s="538" t="s">
        <v>393</v>
      </c>
      <c r="E1483" s="538" t="s">
        <v>419</v>
      </c>
      <c r="F1483" s="538">
        <v>11328</v>
      </c>
      <c r="G1483" s="538">
        <v>1</v>
      </c>
    </row>
    <row r="1484" spans="1:7" x14ac:dyDescent="0.2">
      <c r="A1484" s="538">
        <v>6</v>
      </c>
      <c r="B1484" s="538" t="s">
        <v>6617</v>
      </c>
      <c r="C1484" s="538" t="s">
        <v>740</v>
      </c>
      <c r="D1484" s="538" t="s">
        <v>393</v>
      </c>
      <c r="E1484" s="538" t="s">
        <v>212</v>
      </c>
      <c r="F1484" s="538">
        <v>11328</v>
      </c>
      <c r="G1484" s="538">
        <v>1</v>
      </c>
    </row>
    <row r="1485" spans="1:7" x14ac:dyDescent="0.2">
      <c r="A1485" s="538">
        <v>4</v>
      </c>
      <c r="B1485" s="538" t="s">
        <v>6559</v>
      </c>
      <c r="C1485" s="538" t="s">
        <v>740</v>
      </c>
      <c r="D1485" s="538" t="s">
        <v>740</v>
      </c>
      <c r="E1485" s="538" t="s">
        <v>449</v>
      </c>
      <c r="F1485" s="538">
        <v>3077926</v>
      </c>
      <c r="G1485" s="538">
        <v>157</v>
      </c>
    </row>
    <row r="1486" spans="1:7" x14ac:dyDescent="0.2">
      <c r="A1486" s="538">
        <v>2</v>
      </c>
      <c r="B1486" s="538" t="s">
        <v>6573</v>
      </c>
      <c r="C1486" s="538" t="s">
        <v>393</v>
      </c>
      <c r="D1486" s="538" t="s">
        <v>393</v>
      </c>
      <c r="E1486" s="538" t="s">
        <v>209</v>
      </c>
      <c r="F1486" s="538">
        <v>2827846</v>
      </c>
      <c r="G1486" s="538">
        <v>12</v>
      </c>
    </row>
    <row r="1487" spans="1:7" x14ac:dyDescent="0.2">
      <c r="A1487" s="538">
        <v>3</v>
      </c>
      <c r="B1487" s="538" t="s">
        <v>1390</v>
      </c>
      <c r="C1487" s="538" t="s">
        <v>393</v>
      </c>
      <c r="D1487" s="538" t="s">
        <v>740</v>
      </c>
      <c r="E1487" s="538" t="s">
        <v>409</v>
      </c>
      <c r="F1487" s="538">
        <v>520911</v>
      </c>
      <c r="G1487" s="538">
        <v>37</v>
      </c>
    </row>
    <row r="1488" spans="1:7" x14ac:dyDescent="0.2">
      <c r="A1488" s="538">
        <v>8</v>
      </c>
      <c r="B1488" s="538" t="s">
        <v>6648</v>
      </c>
      <c r="C1488" s="538" t="s">
        <v>740</v>
      </c>
      <c r="D1488" s="538" t="s">
        <v>393</v>
      </c>
      <c r="E1488" s="538" t="s">
        <v>212</v>
      </c>
      <c r="F1488" s="538">
        <v>11328</v>
      </c>
      <c r="G1488" s="538">
        <v>1</v>
      </c>
    </row>
    <row r="1489" spans="1:7" x14ac:dyDescent="0.2">
      <c r="A1489" s="538">
        <v>4</v>
      </c>
      <c r="B1489" s="538" t="s">
        <v>6559</v>
      </c>
      <c r="C1489" s="538" t="s">
        <v>740</v>
      </c>
      <c r="D1489" s="538" t="s">
        <v>740</v>
      </c>
      <c r="E1489" s="538" t="s">
        <v>416</v>
      </c>
      <c r="F1489" s="538">
        <v>378426</v>
      </c>
      <c r="G1489" s="538">
        <v>12</v>
      </c>
    </row>
    <row r="1490" spans="1:7" x14ac:dyDescent="0.2">
      <c r="A1490" s="538">
        <v>4</v>
      </c>
      <c r="B1490" s="538" t="s">
        <v>6574</v>
      </c>
      <c r="C1490" s="538" t="s">
        <v>393</v>
      </c>
      <c r="D1490" s="538" t="s">
        <v>740</v>
      </c>
      <c r="E1490" s="538" t="s">
        <v>390</v>
      </c>
      <c r="F1490" s="538">
        <v>598437</v>
      </c>
      <c r="G1490" s="538">
        <v>14</v>
      </c>
    </row>
    <row r="1491" spans="1:7" x14ac:dyDescent="0.2">
      <c r="A1491" s="538">
        <v>3</v>
      </c>
      <c r="B1491" s="538" t="s">
        <v>6591</v>
      </c>
      <c r="C1491" s="538" t="s">
        <v>393</v>
      </c>
      <c r="D1491" s="538" t="s">
        <v>393</v>
      </c>
      <c r="E1491" s="538" t="s">
        <v>313</v>
      </c>
      <c r="F1491" s="538">
        <v>74163</v>
      </c>
      <c r="G1491" s="538">
        <v>1</v>
      </c>
    </row>
    <row r="1492" spans="1:7" x14ac:dyDescent="0.2">
      <c r="A1492" s="538">
        <v>6</v>
      </c>
      <c r="B1492" s="538" t="s">
        <v>6617</v>
      </c>
      <c r="C1492" s="538" t="s">
        <v>393</v>
      </c>
      <c r="D1492" s="538" t="s">
        <v>740</v>
      </c>
      <c r="E1492" s="538" t="s">
        <v>402</v>
      </c>
      <c r="F1492" s="538">
        <v>7866557</v>
      </c>
      <c r="G1492" s="538">
        <v>269</v>
      </c>
    </row>
    <row r="1493" spans="1:7" x14ac:dyDescent="0.2">
      <c r="A1493" s="538">
        <v>1</v>
      </c>
      <c r="B1493" s="538" t="s">
        <v>1288</v>
      </c>
      <c r="C1493" s="538" t="s">
        <v>393</v>
      </c>
      <c r="D1493" s="538" t="s">
        <v>393</v>
      </c>
      <c r="E1493" s="538" t="s">
        <v>390</v>
      </c>
      <c r="F1493" s="538">
        <v>5279369</v>
      </c>
      <c r="G1493" s="538">
        <v>68</v>
      </c>
    </row>
    <row r="1494" spans="1:7" x14ac:dyDescent="0.2">
      <c r="A1494" s="538">
        <v>2</v>
      </c>
      <c r="B1494" s="538" t="s">
        <v>6585</v>
      </c>
      <c r="C1494" s="538" t="s">
        <v>740</v>
      </c>
      <c r="D1494" s="538" t="s">
        <v>393</v>
      </c>
      <c r="E1494" s="538" t="s">
        <v>449</v>
      </c>
      <c r="F1494" s="538">
        <v>22656</v>
      </c>
      <c r="G1494" s="538">
        <v>2</v>
      </c>
    </row>
    <row r="1495" spans="1:7" x14ac:dyDescent="0.2">
      <c r="A1495" s="538">
        <v>6</v>
      </c>
      <c r="B1495" s="538" t="s">
        <v>6565</v>
      </c>
      <c r="C1495" s="538" t="s">
        <v>740</v>
      </c>
      <c r="D1495" s="538" t="s">
        <v>393</v>
      </c>
      <c r="E1495" s="538" t="s">
        <v>416</v>
      </c>
      <c r="F1495" s="538">
        <v>762995</v>
      </c>
      <c r="G1495" s="538">
        <v>10</v>
      </c>
    </row>
    <row r="1496" spans="1:7" x14ac:dyDescent="0.2">
      <c r="A1496" s="538">
        <v>1</v>
      </c>
      <c r="B1496" s="538" t="s">
        <v>6646</v>
      </c>
      <c r="C1496" s="538" t="s">
        <v>393</v>
      </c>
      <c r="D1496" s="538" t="s">
        <v>393</v>
      </c>
      <c r="E1496" s="538" t="s">
        <v>230</v>
      </c>
      <c r="F1496" s="538">
        <v>1112799</v>
      </c>
      <c r="G1496" s="538">
        <v>38</v>
      </c>
    </row>
    <row r="1497" spans="1:7" x14ac:dyDescent="0.2">
      <c r="A1497" s="538">
        <v>10</v>
      </c>
      <c r="B1497" s="538" t="s">
        <v>6597</v>
      </c>
      <c r="C1497" s="538" t="s">
        <v>393</v>
      </c>
      <c r="D1497" s="538" t="s">
        <v>393</v>
      </c>
      <c r="E1497" s="538" t="s">
        <v>230</v>
      </c>
      <c r="F1497" s="538">
        <v>6475285</v>
      </c>
      <c r="G1497" s="538">
        <v>125</v>
      </c>
    </row>
    <row r="1498" spans="1:7" x14ac:dyDescent="0.2">
      <c r="A1498" s="538">
        <v>10</v>
      </c>
      <c r="B1498" s="538" t="s">
        <v>6587</v>
      </c>
      <c r="C1498" s="538" t="s">
        <v>393</v>
      </c>
      <c r="D1498" s="538" t="s">
        <v>393</v>
      </c>
      <c r="E1498" s="538" t="s">
        <v>202</v>
      </c>
      <c r="F1498" s="538">
        <v>7639633</v>
      </c>
      <c r="G1498" s="538">
        <v>71</v>
      </c>
    </row>
    <row r="1499" spans="1:7" x14ac:dyDescent="0.2">
      <c r="A1499" s="538">
        <v>7</v>
      </c>
      <c r="B1499" s="538" t="s">
        <v>6655</v>
      </c>
      <c r="C1499" s="538" t="s">
        <v>393</v>
      </c>
      <c r="D1499" s="538" t="s">
        <v>393</v>
      </c>
      <c r="E1499" s="538" t="s">
        <v>409</v>
      </c>
      <c r="F1499" s="538">
        <v>3094585</v>
      </c>
      <c r="G1499" s="538">
        <v>30</v>
      </c>
    </row>
    <row r="1500" spans="1:7" x14ac:dyDescent="0.2">
      <c r="A1500" s="538">
        <v>8</v>
      </c>
      <c r="B1500" s="538" t="s">
        <v>6560</v>
      </c>
      <c r="C1500" s="538" t="s">
        <v>740</v>
      </c>
      <c r="D1500" s="538" t="s">
        <v>393</v>
      </c>
      <c r="E1500" s="538" t="s">
        <v>230</v>
      </c>
      <c r="F1500" s="538">
        <v>105264372</v>
      </c>
      <c r="G1500" s="538">
        <v>2279</v>
      </c>
    </row>
    <row r="1501" spans="1:7" x14ac:dyDescent="0.2">
      <c r="A1501" s="538">
        <v>10</v>
      </c>
      <c r="B1501" s="538" t="s">
        <v>6653</v>
      </c>
      <c r="C1501" s="538" t="s">
        <v>393</v>
      </c>
      <c r="D1501" s="538" t="s">
        <v>740</v>
      </c>
      <c r="E1501" s="538" t="s">
        <v>230</v>
      </c>
      <c r="F1501" s="538">
        <v>11328</v>
      </c>
      <c r="G1501" s="538">
        <v>1</v>
      </c>
    </row>
    <row r="1502" spans="1:7" x14ac:dyDescent="0.2">
      <c r="A1502" s="538">
        <v>5</v>
      </c>
      <c r="B1502" s="538" t="s">
        <v>6651</v>
      </c>
      <c r="C1502" s="538" t="s">
        <v>393</v>
      </c>
      <c r="D1502" s="538" t="s">
        <v>393</v>
      </c>
      <c r="E1502" s="538" t="s">
        <v>402</v>
      </c>
      <c r="F1502" s="538">
        <v>2343553</v>
      </c>
      <c r="G1502" s="538">
        <v>61</v>
      </c>
    </row>
    <row r="1503" spans="1:7" x14ac:dyDescent="0.2">
      <c r="A1503" s="538">
        <v>2</v>
      </c>
      <c r="B1503" s="538" t="s">
        <v>6576</v>
      </c>
      <c r="C1503" s="538" t="s">
        <v>740</v>
      </c>
      <c r="D1503" s="538" t="s">
        <v>393</v>
      </c>
      <c r="E1503" s="538" t="s">
        <v>210</v>
      </c>
      <c r="F1503" s="538">
        <v>2082301</v>
      </c>
      <c r="G1503" s="538">
        <v>67</v>
      </c>
    </row>
    <row r="1504" spans="1:7" x14ac:dyDescent="0.2">
      <c r="A1504" s="538">
        <v>9</v>
      </c>
      <c r="B1504" s="538" t="s">
        <v>6613</v>
      </c>
      <c r="C1504" s="538" t="s">
        <v>740</v>
      </c>
      <c r="D1504" s="538" t="s">
        <v>393</v>
      </c>
      <c r="E1504" s="538" t="s">
        <v>210</v>
      </c>
      <c r="F1504" s="538">
        <v>119475</v>
      </c>
      <c r="G1504" s="538">
        <v>5</v>
      </c>
    </row>
    <row r="1505" spans="1:7" x14ac:dyDescent="0.2">
      <c r="A1505" s="538">
        <v>3</v>
      </c>
      <c r="B1505" s="538" t="s">
        <v>6561</v>
      </c>
      <c r="C1505" s="538" t="s">
        <v>393</v>
      </c>
      <c r="D1505" s="538" t="s">
        <v>740</v>
      </c>
      <c r="E1505" s="538" t="s">
        <v>202</v>
      </c>
      <c r="F1505" s="538">
        <v>2578984</v>
      </c>
      <c r="G1505" s="538">
        <v>8</v>
      </c>
    </row>
    <row r="1506" spans="1:7" x14ac:dyDescent="0.2">
      <c r="A1506" s="538">
        <v>11</v>
      </c>
      <c r="B1506" s="538" t="s">
        <v>6584</v>
      </c>
      <c r="C1506" s="538" t="s">
        <v>393</v>
      </c>
      <c r="D1506" s="538" t="s">
        <v>393</v>
      </c>
      <c r="E1506" s="538" t="s">
        <v>202</v>
      </c>
      <c r="F1506" s="538">
        <v>19040329</v>
      </c>
      <c r="G1506" s="538">
        <v>128</v>
      </c>
    </row>
    <row r="1507" spans="1:7" x14ac:dyDescent="0.2">
      <c r="A1507" s="538">
        <v>10</v>
      </c>
      <c r="B1507" s="538" t="s">
        <v>6664</v>
      </c>
      <c r="C1507" s="538" t="s">
        <v>740</v>
      </c>
      <c r="D1507" s="538" t="s">
        <v>393</v>
      </c>
      <c r="E1507" s="538" t="s">
        <v>230</v>
      </c>
      <c r="F1507" s="538">
        <v>233817</v>
      </c>
      <c r="G1507" s="538">
        <v>4</v>
      </c>
    </row>
    <row r="1508" spans="1:7" x14ac:dyDescent="0.2">
      <c r="A1508" s="538">
        <v>2</v>
      </c>
      <c r="B1508" s="538" t="s">
        <v>6576</v>
      </c>
      <c r="C1508" s="538" t="s">
        <v>393</v>
      </c>
      <c r="D1508" s="538" t="s">
        <v>393</v>
      </c>
      <c r="E1508" s="538" t="s">
        <v>402</v>
      </c>
      <c r="F1508" s="538">
        <v>3205189</v>
      </c>
      <c r="G1508" s="538">
        <v>108</v>
      </c>
    </row>
    <row r="1509" spans="1:7" x14ac:dyDescent="0.2">
      <c r="A1509" s="538">
        <v>4</v>
      </c>
      <c r="B1509" s="538" t="s">
        <v>6590</v>
      </c>
      <c r="C1509" s="538" t="s">
        <v>740</v>
      </c>
      <c r="D1509" s="538" t="s">
        <v>393</v>
      </c>
      <c r="E1509" s="538" t="s">
        <v>202</v>
      </c>
      <c r="F1509" s="538">
        <v>1895389</v>
      </c>
      <c r="G1509" s="538">
        <v>18</v>
      </c>
    </row>
    <row r="1510" spans="1:7" x14ac:dyDescent="0.2">
      <c r="A1510" s="538">
        <v>3</v>
      </c>
      <c r="B1510" s="538" t="s">
        <v>6578</v>
      </c>
      <c r="C1510" s="538" t="s">
        <v>740</v>
      </c>
      <c r="D1510" s="538" t="s">
        <v>393</v>
      </c>
      <c r="E1510" s="538" t="s">
        <v>313</v>
      </c>
      <c r="F1510" s="538">
        <v>6793271</v>
      </c>
      <c r="G1510" s="538">
        <v>42</v>
      </c>
    </row>
    <row r="1511" spans="1:7" x14ac:dyDescent="0.2">
      <c r="A1511" s="538">
        <v>9</v>
      </c>
      <c r="B1511" s="538" t="s">
        <v>6615</v>
      </c>
      <c r="C1511" s="538" t="s">
        <v>393</v>
      </c>
      <c r="D1511" s="538" t="s">
        <v>740</v>
      </c>
      <c r="E1511" s="538" t="s">
        <v>401</v>
      </c>
      <c r="F1511" s="538">
        <v>79296</v>
      </c>
      <c r="G1511" s="538">
        <v>7</v>
      </c>
    </row>
    <row r="1512" spans="1:7" x14ac:dyDescent="0.2">
      <c r="A1512" s="538">
        <v>1</v>
      </c>
      <c r="B1512" s="538" t="s">
        <v>6581</v>
      </c>
      <c r="C1512" s="538" t="s">
        <v>393</v>
      </c>
      <c r="D1512" s="538" t="s">
        <v>740</v>
      </c>
      <c r="E1512" s="538" t="s">
        <v>209</v>
      </c>
      <c r="F1512" s="538">
        <v>496433</v>
      </c>
      <c r="G1512" s="538">
        <v>1</v>
      </c>
    </row>
    <row r="1513" spans="1:7" x14ac:dyDescent="0.2">
      <c r="A1513" s="538">
        <v>3</v>
      </c>
      <c r="B1513" s="538" t="s">
        <v>6647</v>
      </c>
      <c r="C1513" s="538" t="s">
        <v>740</v>
      </c>
      <c r="D1513" s="538" t="s">
        <v>393</v>
      </c>
      <c r="E1513" s="538" t="s">
        <v>211</v>
      </c>
      <c r="F1513" s="538">
        <v>11328</v>
      </c>
      <c r="G1513" s="538">
        <v>1</v>
      </c>
    </row>
    <row r="1514" spans="1:7" x14ac:dyDescent="0.2">
      <c r="A1514" s="538">
        <v>12</v>
      </c>
      <c r="B1514" s="538" t="s">
        <v>6569</v>
      </c>
      <c r="C1514" s="538" t="s">
        <v>393</v>
      </c>
      <c r="D1514" s="538" t="s">
        <v>740</v>
      </c>
      <c r="E1514" s="538" t="s">
        <v>212</v>
      </c>
      <c r="F1514" s="538">
        <v>74163</v>
      </c>
      <c r="G1514" s="538">
        <v>1</v>
      </c>
    </row>
    <row r="1515" spans="1:7" x14ac:dyDescent="0.2">
      <c r="A1515" s="538">
        <v>6</v>
      </c>
      <c r="B1515" s="538" t="s">
        <v>6429</v>
      </c>
      <c r="C1515" s="538" t="s">
        <v>740</v>
      </c>
      <c r="D1515" s="538" t="s">
        <v>740</v>
      </c>
      <c r="E1515" s="538" t="s">
        <v>313</v>
      </c>
      <c r="F1515" s="538">
        <v>248862</v>
      </c>
      <c r="G1515" s="538">
        <v>4</v>
      </c>
    </row>
    <row r="1516" spans="1:7" x14ac:dyDescent="0.2">
      <c r="A1516" s="538">
        <v>8</v>
      </c>
      <c r="B1516" s="538" t="s">
        <v>6560</v>
      </c>
      <c r="C1516" s="538" t="s">
        <v>393</v>
      </c>
      <c r="D1516" s="538" t="s">
        <v>740</v>
      </c>
      <c r="E1516" s="538" t="s">
        <v>390</v>
      </c>
      <c r="F1516" s="538">
        <v>67968</v>
      </c>
      <c r="G1516" s="538">
        <v>6</v>
      </c>
    </row>
    <row r="1517" spans="1:7" x14ac:dyDescent="0.2">
      <c r="A1517" s="538">
        <v>7</v>
      </c>
      <c r="B1517" s="538" t="s">
        <v>6594</v>
      </c>
      <c r="C1517" s="538" t="s">
        <v>393</v>
      </c>
      <c r="D1517" s="538" t="s">
        <v>393</v>
      </c>
      <c r="E1517" s="538" t="s">
        <v>212</v>
      </c>
      <c r="F1517" s="538">
        <v>587463</v>
      </c>
      <c r="G1517" s="538">
        <v>36</v>
      </c>
    </row>
    <row r="1518" spans="1:7" x14ac:dyDescent="0.2">
      <c r="A1518" s="538">
        <v>9</v>
      </c>
      <c r="B1518" s="538" t="s">
        <v>6645</v>
      </c>
      <c r="C1518" s="538" t="s">
        <v>740</v>
      </c>
      <c r="D1518" s="538" t="s">
        <v>393</v>
      </c>
      <c r="E1518" s="538" t="s">
        <v>416</v>
      </c>
      <c r="F1518" s="538">
        <v>11328</v>
      </c>
      <c r="G1518" s="538">
        <v>1</v>
      </c>
    </row>
    <row r="1519" spans="1:7" x14ac:dyDescent="0.2">
      <c r="A1519" s="538">
        <v>10</v>
      </c>
      <c r="B1519" s="538" t="s">
        <v>6582</v>
      </c>
      <c r="C1519" s="538" t="s">
        <v>393</v>
      </c>
      <c r="D1519" s="538" t="s">
        <v>393</v>
      </c>
      <c r="E1519" s="538" t="s">
        <v>230</v>
      </c>
      <c r="F1519" s="538">
        <v>6039053</v>
      </c>
      <c r="G1519" s="538">
        <v>101</v>
      </c>
    </row>
    <row r="1520" spans="1:7" x14ac:dyDescent="0.2">
      <c r="A1520" s="538">
        <v>3</v>
      </c>
      <c r="B1520" s="538" t="s">
        <v>6586</v>
      </c>
      <c r="C1520" s="538" t="s">
        <v>393</v>
      </c>
      <c r="D1520" s="538" t="s">
        <v>393</v>
      </c>
      <c r="E1520" s="538" t="s">
        <v>202</v>
      </c>
      <c r="F1520" s="538">
        <v>8291368</v>
      </c>
      <c r="G1520" s="538">
        <v>41</v>
      </c>
    </row>
    <row r="1521" spans="1:7" x14ac:dyDescent="0.2">
      <c r="A1521" s="538">
        <v>5</v>
      </c>
      <c r="B1521" s="538" t="s">
        <v>6568</v>
      </c>
      <c r="C1521" s="538" t="s">
        <v>740</v>
      </c>
      <c r="D1521" s="538" t="s">
        <v>740</v>
      </c>
      <c r="E1521" s="538" t="s">
        <v>230</v>
      </c>
      <c r="F1521" s="538">
        <v>848486</v>
      </c>
      <c r="G1521" s="538">
        <v>12</v>
      </c>
    </row>
    <row r="1522" spans="1:7" x14ac:dyDescent="0.2">
      <c r="A1522" s="538">
        <v>6</v>
      </c>
      <c r="B1522" s="538" t="s">
        <v>6575</v>
      </c>
      <c r="C1522" s="538" t="s">
        <v>393</v>
      </c>
      <c r="D1522" s="538" t="s">
        <v>393</v>
      </c>
      <c r="E1522" s="538" t="s">
        <v>210</v>
      </c>
      <c r="F1522" s="538">
        <v>1546574</v>
      </c>
      <c r="G1522" s="538">
        <v>48</v>
      </c>
    </row>
    <row r="1523" spans="1:7" x14ac:dyDescent="0.2">
      <c r="A1523" s="538">
        <v>4</v>
      </c>
      <c r="B1523" s="538" t="s">
        <v>6574</v>
      </c>
      <c r="C1523" s="538" t="s">
        <v>740</v>
      </c>
      <c r="D1523" s="538" t="s">
        <v>393</v>
      </c>
      <c r="E1523" s="538" t="s">
        <v>209</v>
      </c>
      <c r="F1523" s="538">
        <v>170982</v>
      </c>
      <c r="G1523" s="538">
        <v>4</v>
      </c>
    </row>
    <row r="1524" spans="1:7" x14ac:dyDescent="0.2">
      <c r="A1524" s="538">
        <v>11</v>
      </c>
      <c r="B1524" s="538" t="s">
        <v>6584</v>
      </c>
      <c r="C1524" s="538" t="s">
        <v>740</v>
      </c>
      <c r="D1524" s="538" t="s">
        <v>393</v>
      </c>
      <c r="E1524" s="538" t="s">
        <v>390</v>
      </c>
      <c r="F1524" s="538">
        <v>2794955</v>
      </c>
      <c r="G1524" s="538">
        <v>85</v>
      </c>
    </row>
    <row r="1525" spans="1:7" x14ac:dyDescent="0.2">
      <c r="A1525" s="538">
        <v>8</v>
      </c>
      <c r="B1525" s="538" t="s">
        <v>6560</v>
      </c>
      <c r="C1525" s="538" t="s">
        <v>740</v>
      </c>
      <c r="D1525" s="538" t="s">
        <v>393</v>
      </c>
      <c r="E1525" s="538" t="s">
        <v>401</v>
      </c>
      <c r="F1525" s="538">
        <v>11328</v>
      </c>
      <c r="G1525" s="538">
        <v>1</v>
      </c>
    </row>
    <row r="1526" spans="1:7" x14ac:dyDescent="0.2">
      <c r="A1526" s="538">
        <v>9</v>
      </c>
      <c r="B1526" s="538" t="s">
        <v>6657</v>
      </c>
      <c r="C1526" s="538" t="s">
        <v>740</v>
      </c>
      <c r="D1526" s="538" t="s">
        <v>740</v>
      </c>
      <c r="E1526" s="538" t="s">
        <v>416</v>
      </c>
      <c r="F1526" s="538">
        <v>658971</v>
      </c>
      <c r="G1526" s="538">
        <v>27</v>
      </c>
    </row>
    <row r="1527" spans="1:7" x14ac:dyDescent="0.2">
      <c r="A1527" s="538">
        <v>2</v>
      </c>
      <c r="B1527" s="538" t="s">
        <v>6573</v>
      </c>
      <c r="C1527" s="538" t="s">
        <v>740</v>
      </c>
      <c r="D1527" s="538" t="s">
        <v>740</v>
      </c>
      <c r="E1527" s="538" t="s">
        <v>409</v>
      </c>
      <c r="F1527" s="538">
        <v>324441</v>
      </c>
      <c r="G1527" s="538">
        <v>12</v>
      </c>
    </row>
    <row r="1528" spans="1:7" x14ac:dyDescent="0.2">
      <c r="A1528" s="538">
        <v>7</v>
      </c>
      <c r="B1528" s="538" t="s">
        <v>6580</v>
      </c>
      <c r="C1528" s="538" t="s">
        <v>393</v>
      </c>
      <c r="D1528" s="538" t="s">
        <v>393</v>
      </c>
      <c r="E1528" s="538" t="s">
        <v>401</v>
      </c>
      <c r="F1528" s="538">
        <v>575729</v>
      </c>
      <c r="G1528" s="538">
        <v>8</v>
      </c>
    </row>
    <row r="1529" spans="1:7" x14ac:dyDescent="0.2">
      <c r="A1529" s="538">
        <v>8</v>
      </c>
      <c r="B1529" s="538" t="s">
        <v>6560</v>
      </c>
      <c r="C1529" s="538" t="s">
        <v>393</v>
      </c>
      <c r="D1529" s="538" t="s">
        <v>740</v>
      </c>
      <c r="E1529" s="538" t="s">
        <v>402</v>
      </c>
      <c r="F1529" s="538">
        <v>11328</v>
      </c>
      <c r="G1529" s="538">
        <v>1</v>
      </c>
    </row>
    <row r="1530" spans="1:7" x14ac:dyDescent="0.2">
      <c r="A1530" s="538">
        <v>2</v>
      </c>
      <c r="B1530" s="538" t="s">
        <v>6573</v>
      </c>
      <c r="C1530" s="538" t="s">
        <v>740</v>
      </c>
      <c r="D1530" s="538" t="s">
        <v>393</v>
      </c>
      <c r="E1530" s="538" t="s">
        <v>390</v>
      </c>
      <c r="F1530" s="538">
        <v>1462145</v>
      </c>
      <c r="G1530" s="538">
        <v>40</v>
      </c>
    </row>
    <row r="1531" spans="1:7" x14ac:dyDescent="0.2">
      <c r="A1531" s="538">
        <v>3</v>
      </c>
      <c r="B1531" s="538" t="s">
        <v>6591</v>
      </c>
      <c r="C1531" s="538" t="s">
        <v>393</v>
      </c>
      <c r="D1531" s="538" t="s">
        <v>393</v>
      </c>
      <c r="E1531" s="538" t="s">
        <v>207</v>
      </c>
      <c r="F1531" s="538">
        <v>12444433</v>
      </c>
      <c r="G1531" s="538">
        <v>816</v>
      </c>
    </row>
    <row r="1532" spans="1:7" x14ac:dyDescent="0.2">
      <c r="A1532" s="538">
        <v>8</v>
      </c>
      <c r="B1532" s="538" t="s">
        <v>6583</v>
      </c>
      <c r="C1532" s="538" t="s">
        <v>393</v>
      </c>
      <c r="D1532" s="538" t="s">
        <v>393</v>
      </c>
      <c r="E1532" s="538" t="s">
        <v>210</v>
      </c>
      <c r="F1532" s="538">
        <v>2905299</v>
      </c>
      <c r="G1532" s="538">
        <v>58</v>
      </c>
    </row>
    <row r="1533" spans="1:7" x14ac:dyDescent="0.2">
      <c r="A1533" s="538">
        <v>6</v>
      </c>
      <c r="B1533" s="538" t="s">
        <v>1668</v>
      </c>
      <c r="C1533" s="538" t="s">
        <v>740</v>
      </c>
      <c r="D1533" s="538" t="s">
        <v>393</v>
      </c>
      <c r="E1533" s="538" t="s">
        <v>211</v>
      </c>
      <c r="F1533" s="538">
        <v>19560063</v>
      </c>
      <c r="G1533" s="538">
        <v>366</v>
      </c>
    </row>
    <row r="1534" spans="1:7" x14ac:dyDescent="0.2">
      <c r="A1534" s="538">
        <v>7</v>
      </c>
      <c r="B1534" s="538" t="s">
        <v>6604</v>
      </c>
      <c r="C1534" s="538" t="s">
        <v>740</v>
      </c>
      <c r="D1534" s="538" t="s">
        <v>393</v>
      </c>
      <c r="E1534" s="538" t="s">
        <v>212</v>
      </c>
      <c r="F1534" s="538">
        <v>1165368</v>
      </c>
      <c r="G1534" s="538">
        <v>96</v>
      </c>
    </row>
    <row r="1535" spans="1:7" x14ac:dyDescent="0.2">
      <c r="A1535" s="538">
        <v>7</v>
      </c>
      <c r="B1535" s="538" t="s">
        <v>6655</v>
      </c>
      <c r="C1535" s="538" t="s">
        <v>740</v>
      </c>
      <c r="D1535" s="538" t="s">
        <v>393</v>
      </c>
      <c r="E1535" s="538" t="s">
        <v>206</v>
      </c>
      <c r="F1535" s="538">
        <v>74163</v>
      </c>
      <c r="G1535" s="538">
        <v>1</v>
      </c>
    </row>
    <row r="1536" spans="1:7" x14ac:dyDescent="0.2">
      <c r="A1536" s="538">
        <v>7</v>
      </c>
      <c r="B1536" s="538" t="s">
        <v>6655</v>
      </c>
      <c r="C1536" s="538" t="s">
        <v>740</v>
      </c>
      <c r="D1536" s="538" t="s">
        <v>393</v>
      </c>
      <c r="E1536" s="538" t="s">
        <v>438</v>
      </c>
      <c r="F1536" s="538">
        <v>1509706</v>
      </c>
      <c r="G1536" s="538">
        <v>22</v>
      </c>
    </row>
    <row r="1537" spans="1:7" x14ac:dyDescent="0.2">
      <c r="A1537" s="538">
        <v>12</v>
      </c>
      <c r="B1537" s="538" t="s">
        <v>6616</v>
      </c>
      <c r="C1537" s="538" t="s">
        <v>393</v>
      </c>
      <c r="D1537" s="538" t="s">
        <v>740</v>
      </c>
      <c r="E1537" s="538" t="s">
        <v>207</v>
      </c>
      <c r="F1537" s="538">
        <v>1425204</v>
      </c>
      <c r="G1537" s="538">
        <v>83</v>
      </c>
    </row>
    <row r="1538" spans="1:7" x14ac:dyDescent="0.2">
      <c r="A1538" s="538">
        <v>11</v>
      </c>
      <c r="B1538" s="538" t="s">
        <v>6660</v>
      </c>
      <c r="C1538" s="538" t="s">
        <v>393</v>
      </c>
      <c r="D1538" s="538" t="s">
        <v>393</v>
      </c>
      <c r="E1538" s="538" t="s">
        <v>211</v>
      </c>
      <c r="F1538" s="538">
        <v>19474426</v>
      </c>
      <c r="G1538" s="538">
        <v>417</v>
      </c>
    </row>
    <row r="1539" spans="1:7" x14ac:dyDescent="0.2">
      <c r="A1539" s="538">
        <v>6</v>
      </c>
      <c r="B1539" s="538" t="s">
        <v>6596</v>
      </c>
      <c r="C1539" s="538" t="s">
        <v>393</v>
      </c>
      <c r="D1539" s="538" t="s">
        <v>740</v>
      </c>
      <c r="E1539" s="538" t="s">
        <v>401</v>
      </c>
      <c r="F1539" s="538">
        <v>11328</v>
      </c>
      <c r="G1539" s="538">
        <v>1</v>
      </c>
    </row>
    <row r="1540" spans="1:7" x14ac:dyDescent="0.2">
      <c r="A1540" s="538">
        <v>2</v>
      </c>
      <c r="B1540" s="538" t="s">
        <v>6585</v>
      </c>
      <c r="C1540" s="538" t="s">
        <v>740</v>
      </c>
      <c r="D1540" s="538" t="s">
        <v>393</v>
      </c>
      <c r="E1540" s="538" t="s">
        <v>209</v>
      </c>
      <c r="F1540" s="538">
        <v>769190</v>
      </c>
      <c r="G1540" s="538">
        <v>5</v>
      </c>
    </row>
    <row r="1541" spans="1:7" x14ac:dyDescent="0.2">
      <c r="A1541" s="538">
        <v>10</v>
      </c>
      <c r="B1541" s="538" t="s">
        <v>6601</v>
      </c>
      <c r="C1541" s="538" t="s">
        <v>393</v>
      </c>
      <c r="D1541" s="538" t="s">
        <v>393</v>
      </c>
      <c r="E1541" s="538" t="s">
        <v>438</v>
      </c>
      <c r="F1541" s="538">
        <v>4218077</v>
      </c>
      <c r="G1541" s="538">
        <v>29</v>
      </c>
    </row>
    <row r="1542" spans="1:7" x14ac:dyDescent="0.2">
      <c r="A1542" s="538">
        <v>7</v>
      </c>
      <c r="B1542" s="538" t="s">
        <v>6594</v>
      </c>
      <c r="C1542" s="538" t="s">
        <v>740</v>
      </c>
      <c r="D1542" s="538" t="s">
        <v>740</v>
      </c>
      <c r="E1542" s="538" t="s">
        <v>207</v>
      </c>
      <c r="F1542" s="538">
        <v>1253160</v>
      </c>
      <c r="G1542" s="538">
        <v>85</v>
      </c>
    </row>
    <row r="1543" spans="1:7" x14ac:dyDescent="0.2">
      <c r="A1543" s="538">
        <v>3</v>
      </c>
      <c r="B1543" s="538" t="s">
        <v>1390</v>
      </c>
      <c r="C1543" s="538" t="s">
        <v>740</v>
      </c>
      <c r="D1543" s="538" t="s">
        <v>393</v>
      </c>
      <c r="E1543" s="538" t="s">
        <v>390</v>
      </c>
      <c r="F1543" s="538">
        <v>101952</v>
      </c>
      <c r="G1543" s="538">
        <v>9</v>
      </c>
    </row>
    <row r="1544" spans="1:7" x14ac:dyDescent="0.2">
      <c r="A1544" s="538">
        <v>4</v>
      </c>
      <c r="B1544" s="538" t="s">
        <v>6574</v>
      </c>
      <c r="C1544" s="538" t="s">
        <v>393</v>
      </c>
      <c r="D1544" s="538" t="s">
        <v>740</v>
      </c>
      <c r="E1544" s="538" t="s">
        <v>207</v>
      </c>
      <c r="F1544" s="538">
        <v>1167669</v>
      </c>
      <c r="G1544" s="538">
        <v>83</v>
      </c>
    </row>
    <row r="1545" spans="1:7" x14ac:dyDescent="0.2">
      <c r="A1545" s="538">
        <v>1</v>
      </c>
      <c r="B1545" s="538" t="s">
        <v>6646</v>
      </c>
      <c r="C1545" s="538" t="s">
        <v>393</v>
      </c>
      <c r="D1545" s="538" t="s">
        <v>393</v>
      </c>
      <c r="E1545" s="538" t="s">
        <v>416</v>
      </c>
      <c r="F1545" s="538">
        <v>28459645</v>
      </c>
      <c r="G1545" s="538">
        <v>360</v>
      </c>
    </row>
    <row r="1546" spans="1:7" x14ac:dyDescent="0.2">
      <c r="A1546" s="538">
        <v>8</v>
      </c>
      <c r="B1546" s="538" t="s">
        <v>6570</v>
      </c>
      <c r="C1546" s="538" t="s">
        <v>740</v>
      </c>
      <c r="D1546" s="538" t="s">
        <v>740</v>
      </c>
      <c r="E1546" s="538" t="s">
        <v>202</v>
      </c>
      <c r="F1546" s="538">
        <v>1303324</v>
      </c>
      <c r="G1546" s="538">
        <v>8</v>
      </c>
    </row>
    <row r="1547" spans="1:7" x14ac:dyDescent="0.2">
      <c r="A1547" s="538">
        <v>8</v>
      </c>
      <c r="B1547" s="538" t="s">
        <v>6570</v>
      </c>
      <c r="C1547" s="538" t="s">
        <v>393</v>
      </c>
      <c r="D1547" s="538" t="s">
        <v>393</v>
      </c>
      <c r="E1547" s="538" t="s">
        <v>202</v>
      </c>
      <c r="F1547" s="538">
        <v>7455626</v>
      </c>
      <c r="G1547" s="538">
        <v>37</v>
      </c>
    </row>
    <row r="1548" spans="1:7" x14ac:dyDescent="0.2">
      <c r="A1548" s="538">
        <v>9</v>
      </c>
      <c r="B1548" s="538" t="s">
        <v>6644</v>
      </c>
      <c r="C1548" s="538" t="s">
        <v>740</v>
      </c>
      <c r="D1548" s="538" t="s">
        <v>393</v>
      </c>
      <c r="E1548" s="538" t="s">
        <v>416</v>
      </c>
      <c r="F1548" s="538">
        <v>1163848</v>
      </c>
      <c r="G1548" s="538">
        <v>6</v>
      </c>
    </row>
    <row r="1549" spans="1:7" x14ac:dyDescent="0.2">
      <c r="A1549" s="538">
        <v>5</v>
      </c>
      <c r="B1549" s="538" t="s">
        <v>6599</v>
      </c>
      <c r="C1549" s="538" t="s">
        <v>740</v>
      </c>
      <c r="D1549" s="538" t="s">
        <v>393</v>
      </c>
      <c r="E1549" s="538" t="s">
        <v>210</v>
      </c>
      <c r="F1549" s="538">
        <v>634014</v>
      </c>
      <c r="G1549" s="538">
        <v>38</v>
      </c>
    </row>
    <row r="1550" spans="1:7" x14ac:dyDescent="0.2">
      <c r="A1550" s="538">
        <v>9</v>
      </c>
      <c r="B1550" s="538" t="s">
        <v>6657</v>
      </c>
      <c r="C1550" s="538" t="s">
        <v>740</v>
      </c>
      <c r="D1550" s="538" t="s">
        <v>393</v>
      </c>
      <c r="E1550" s="538" t="s">
        <v>212</v>
      </c>
      <c r="F1550" s="538">
        <v>33984</v>
      </c>
      <c r="G1550" s="538">
        <v>3</v>
      </c>
    </row>
    <row r="1551" spans="1:7" x14ac:dyDescent="0.2">
      <c r="A1551" s="538">
        <v>7</v>
      </c>
      <c r="B1551" s="538" t="s">
        <v>6588</v>
      </c>
      <c r="C1551" s="538" t="s">
        <v>740</v>
      </c>
      <c r="D1551" s="538" t="s">
        <v>393</v>
      </c>
      <c r="E1551" s="538" t="s">
        <v>202</v>
      </c>
      <c r="F1551" s="538">
        <v>1015522</v>
      </c>
      <c r="G1551" s="538">
        <v>4</v>
      </c>
    </row>
    <row r="1552" spans="1:7" x14ac:dyDescent="0.2">
      <c r="A1552" s="538">
        <v>4</v>
      </c>
      <c r="B1552" s="538" t="s">
        <v>6572</v>
      </c>
      <c r="C1552" s="538" t="s">
        <v>393</v>
      </c>
      <c r="D1552" s="538" t="s">
        <v>393</v>
      </c>
      <c r="E1552" s="538" t="s">
        <v>860</v>
      </c>
      <c r="F1552" s="538">
        <v>2716794</v>
      </c>
      <c r="G1552" s="538">
        <v>63</v>
      </c>
    </row>
    <row r="1553" spans="1:7" x14ac:dyDescent="0.2">
      <c r="A1553" s="538">
        <v>11</v>
      </c>
      <c r="B1553" s="538" t="s">
        <v>6584</v>
      </c>
      <c r="C1553" s="538" t="s">
        <v>740</v>
      </c>
      <c r="D1553" s="538" t="s">
        <v>393</v>
      </c>
      <c r="E1553" s="538" t="s">
        <v>402</v>
      </c>
      <c r="F1553" s="538">
        <v>11328</v>
      </c>
      <c r="G1553" s="538">
        <v>1</v>
      </c>
    </row>
    <row r="1554" spans="1:7" x14ac:dyDescent="0.2">
      <c r="A1554" s="538">
        <v>8</v>
      </c>
      <c r="B1554" s="538" t="s">
        <v>6570</v>
      </c>
      <c r="C1554" s="538" t="s">
        <v>393</v>
      </c>
      <c r="D1554" s="538" t="s">
        <v>740</v>
      </c>
      <c r="E1554" s="538" t="s">
        <v>211</v>
      </c>
      <c r="F1554" s="538">
        <v>593252</v>
      </c>
      <c r="G1554" s="538">
        <v>4</v>
      </c>
    </row>
    <row r="1555" spans="1:7" x14ac:dyDescent="0.2">
      <c r="A1555" s="538">
        <v>3</v>
      </c>
      <c r="B1555" s="538" t="s">
        <v>6561</v>
      </c>
      <c r="C1555" s="538" t="s">
        <v>740</v>
      </c>
      <c r="D1555" s="538" t="s">
        <v>393</v>
      </c>
      <c r="E1555" s="538" t="s">
        <v>390</v>
      </c>
      <c r="F1555" s="538">
        <v>13158805</v>
      </c>
      <c r="G1555" s="538">
        <v>545</v>
      </c>
    </row>
    <row r="1556" spans="1:7" x14ac:dyDescent="0.2">
      <c r="A1556" s="538">
        <v>4</v>
      </c>
      <c r="B1556" s="538" t="s">
        <v>6572</v>
      </c>
      <c r="C1556" s="538" t="s">
        <v>740</v>
      </c>
      <c r="D1556" s="538" t="s">
        <v>740</v>
      </c>
      <c r="E1556" s="538" t="s">
        <v>438</v>
      </c>
      <c r="F1556" s="538">
        <v>3382158</v>
      </c>
      <c r="G1556" s="538">
        <v>16</v>
      </c>
    </row>
    <row r="1557" spans="1:7" x14ac:dyDescent="0.2">
      <c r="A1557" s="538">
        <v>1</v>
      </c>
      <c r="B1557" s="538" t="s">
        <v>1288</v>
      </c>
      <c r="C1557" s="538" t="s">
        <v>740</v>
      </c>
      <c r="D1557" s="538" t="s">
        <v>393</v>
      </c>
      <c r="E1557" s="538" t="s">
        <v>207</v>
      </c>
      <c r="F1557" s="538">
        <v>322140</v>
      </c>
      <c r="G1557" s="538">
        <v>25</v>
      </c>
    </row>
    <row r="1558" spans="1:7" x14ac:dyDescent="0.2">
      <c r="A1558" s="538">
        <v>8</v>
      </c>
      <c r="B1558" s="538" t="s">
        <v>6570</v>
      </c>
      <c r="C1558" s="538" t="s">
        <v>740</v>
      </c>
      <c r="D1558" s="538" t="s">
        <v>393</v>
      </c>
      <c r="E1558" s="538" t="s">
        <v>860</v>
      </c>
      <c r="F1558" s="538">
        <v>8518375</v>
      </c>
      <c r="G1558" s="538">
        <v>400</v>
      </c>
    </row>
    <row r="1559" spans="1:7" x14ac:dyDescent="0.2">
      <c r="A1559" s="538">
        <v>7</v>
      </c>
      <c r="B1559" s="538" t="s">
        <v>6588</v>
      </c>
      <c r="C1559" s="538" t="s">
        <v>740</v>
      </c>
      <c r="D1559" s="538" t="s">
        <v>393</v>
      </c>
      <c r="E1559" s="538" t="s">
        <v>409</v>
      </c>
      <c r="F1559" s="538">
        <v>28014073</v>
      </c>
      <c r="G1559" s="538">
        <v>491</v>
      </c>
    </row>
    <row r="1560" spans="1:7" x14ac:dyDescent="0.2">
      <c r="A1560" s="538">
        <v>1</v>
      </c>
      <c r="B1560" s="538" t="s">
        <v>1288</v>
      </c>
      <c r="C1560" s="538" t="s">
        <v>740</v>
      </c>
      <c r="D1560" s="538" t="s">
        <v>393</v>
      </c>
      <c r="E1560" s="538" t="s">
        <v>402</v>
      </c>
      <c r="F1560" s="538">
        <v>2008367</v>
      </c>
      <c r="G1560" s="538">
        <v>84</v>
      </c>
    </row>
    <row r="1561" spans="1:7" x14ac:dyDescent="0.2">
      <c r="A1561" s="538">
        <v>10</v>
      </c>
      <c r="B1561" s="538" t="s">
        <v>6664</v>
      </c>
      <c r="C1561" s="538" t="s">
        <v>740</v>
      </c>
      <c r="D1561" s="538" t="s">
        <v>393</v>
      </c>
      <c r="E1561" s="538" t="s">
        <v>210</v>
      </c>
      <c r="F1561" s="538">
        <v>85491</v>
      </c>
      <c r="G1561" s="538">
        <v>2</v>
      </c>
    </row>
    <row r="1562" spans="1:7" x14ac:dyDescent="0.2">
      <c r="A1562" s="538">
        <v>5</v>
      </c>
      <c r="B1562" s="538" t="s">
        <v>6568</v>
      </c>
      <c r="C1562" s="538" t="s">
        <v>740</v>
      </c>
      <c r="D1562" s="538" t="s">
        <v>393</v>
      </c>
      <c r="E1562" s="538" t="s">
        <v>416</v>
      </c>
      <c r="F1562" s="538">
        <v>11328</v>
      </c>
      <c r="G1562" s="538">
        <v>1</v>
      </c>
    </row>
    <row r="1563" spans="1:7" x14ac:dyDescent="0.2">
      <c r="A1563" s="538">
        <v>5</v>
      </c>
      <c r="B1563" s="538" t="s">
        <v>6599</v>
      </c>
      <c r="C1563" s="538" t="s">
        <v>740</v>
      </c>
      <c r="D1563" s="538" t="s">
        <v>393</v>
      </c>
      <c r="E1563" s="538" t="s">
        <v>860</v>
      </c>
      <c r="F1563" s="538">
        <v>3611633</v>
      </c>
      <c r="G1563" s="538">
        <v>141</v>
      </c>
    </row>
    <row r="1564" spans="1:7" x14ac:dyDescent="0.2">
      <c r="A1564" s="538">
        <v>3</v>
      </c>
      <c r="B1564" s="538" t="s">
        <v>6647</v>
      </c>
      <c r="C1564" s="538" t="s">
        <v>393</v>
      </c>
      <c r="D1564" s="538" t="s">
        <v>740</v>
      </c>
      <c r="E1564" s="538" t="s">
        <v>449</v>
      </c>
      <c r="F1564" s="538">
        <v>79296</v>
      </c>
      <c r="G1564" s="538">
        <v>7</v>
      </c>
    </row>
    <row r="1565" spans="1:7" x14ac:dyDescent="0.2">
      <c r="A1565" s="538">
        <v>7</v>
      </c>
      <c r="B1565" s="538" t="s">
        <v>6571</v>
      </c>
      <c r="C1565" s="538" t="s">
        <v>740</v>
      </c>
      <c r="D1565" s="538" t="s">
        <v>393</v>
      </c>
      <c r="E1565" s="538" t="s">
        <v>230</v>
      </c>
      <c r="F1565" s="538">
        <v>3558731</v>
      </c>
      <c r="G1565" s="538">
        <v>62</v>
      </c>
    </row>
    <row r="1566" spans="1:7" x14ac:dyDescent="0.2">
      <c r="A1566" s="538">
        <v>10</v>
      </c>
      <c r="B1566" s="538" t="s">
        <v>6653</v>
      </c>
      <c r="C1566" s="538" t="s">
        <v>393</v>
      </c>
      <c r="D1566" s="538" t="s">
        <v>740</v>
      </c>
      <c r="E1566" s="538" t="s">
        <v>211</v>
      </c>
      <c r="F1566" s="538">
        <v>108147</v>
      </c>
      <c r="G1566" s="538">
        <v>4</v>
      </c>
    </row>
    <row r="1567" spans="1:7" x14ac:dyDescent="0.2">
      <c r="A1567" s="538">
        <v>6</v>
      </c>
      <c r="B1567" s="538" t="s">
        <v>6565</v>
      </c>
      <c r="C1567" s="538" t="s">
        <v>740</v>
      </c>
      <c r="D1567" s="538" t="s">
        <v>393</v>
      </c>
      <c r="E1567" s="538" t="s">
        <v>390</v>
      </c>
      <c r="F1567" s="538">
        <v>12555516</v>
      </c>
      <c r="G1567" s="538">
        <v>482</v>
      </c>
    </row>
    <row r="1568" spans="1:7" x14ac:dyDescent="0.2">
      <c r="A1568" s="538">
        <v>5</v>
      </c>
      <c r="B1568" s="538" t="s">
        <v>6568</v>
      </c>
      <c r="C1568" s="538" t="s">
        <v>740</v>
      </c>
      <c r="D1568" s="538" t="s">
        <v>393</v>
      </c>
      <c r="E1568" s="538" t="s">
        <v>390</v>
      </c>
      <c r="F1568" s="538">
        <v>11328</v>
      </c>
      <c r="G1568" s="538">
        <v>1</v>
      </c>
    </row>
    <row r="1569" spans="1:7" x14ac:dyDescent="0.2">
      <c r="A1569" s="538">
        <v>3</v>
      </c>
      <c r="B1569" s="538" t="s">
        <v>6561</v>
      </c>
      <c r="C1569" s="538" t="s">
        <v>740</v>
      </c>
      <c r="D1569" s="538" t="s">
        <v>393</v>
      </c>
      <c r="E1569" s="538" t="s">
        <v>409</v>
      </c>
      <c r="F1569" s="538">
        <v>79296</v>
      </c>
      <c r="G1569" s="538">
        <v>7</v>
      </c>
    </row>
    <row r="1570" spans="1:7" x14ac:dyDescent="0.2">
      <c r="A1570" s="538">
        <v>10</v>
      </c>
      <c r="B1570" s="538" t="s">
        <v>6582</v>
      </c>
      <c r="C1570" s="538" t="s">
        <v>740</v>
      </c>
      <c r="D1570" s="538" t="s">
        <v>740</v>
      </c>
      <c r="E1570" s="538" t="s">
        <v>401</v>
      </c>
      <c r="F1570" s="538">
        <v>22656</v>
      </c>
      <c r="G1570" s="538">
        <v>2</v>
      </c>
    </row>
    <row r="1571" spans="1:7" x14ac:dyDescent="0.2">
      <c r="A1571" s="538">
        <v>3</v>
      </c>
      <c r="B1571" s="538" t="s">
        <v>1390</v>
      </c>
      <c r="C1571" s="538" t="s">
        <v>740</v>
      </c>
      <c r="D1571" s="538" t="s">
        <v>393</v>
      </c>
      <c r="E1571" s="538" t="s">
        <v>449</v>
      </c>
      <c r="F1571" s="538">
        <v>106908</v>
      </c>
      <c r="G1571" s="538">
        <v>6</v>
      </c>
    </row>
    <row r="1572" spans="1:7" x14ac:dyDescent="0.2">
      <c r="A1572" s="538">
        <v>2</v>
      </c>
      <c r="B1572" s="538" t="s">
        <v>6585</v>
      </c>
      <c r="C1572" s="538" t="s">
        <v>740</v>
      </c>
      <c r="D1572" s="538" t="s">
        <v>740</v>
      </c>
      <c r="E1572" s="538" t="s">
        <v>211</v>
      </c>
      <c r="F1572" s="538">
        <v>74163</v>
      </c>
      <c r="G1572" s="538">
        <v>1</v>
      </c>
    </row>
    <row r="1573" spans="1:7" x14ac:dyDescent="0.2">
      <c r="A1573" s="538">
        <v>11</v>
      </c>
      <c r="B1573" s="538" t="s">
        <v>6592</v>
      </c>
      <c r="C1573" s="538" t="s">
        <v>740</v>
      </c>
      <c r="D1573" s="538" t="s">
        <v>740</v>
      </c>
      <c r="E1573" s="538" t="s">
        <v>449</v>
      </c>
      <c r="F1573" s="538">
        <v>22656</v>
      </c>
      <c r="G1573" s="538">
        <v>2</v>
      </c>
    </row>
    <row r="1574" spans="1:7" x14ac:dyDescent="0.2">
      <c r="A1574" s="538">
        <v>6</v>
      </c>
      <c r="B1574" s="538" t="s">
        <v>6617</v>
      </c>
      <c r="C1574" s="538" t="s">
        <v>740</v>
      </c>
      <c r="D1574" s="538" t="s">
        <v>393</v>
      </c>
      <c r="E1574" s="538" t="s">
        <v>230</v>
      </c>
      <c r="F1574" s="538">
        <v>11328</v>
      </c>
      <c r="G1574" s="538">
        <v>1</v>
      </c>
    </row>
    <row r="1575" spans="1:7" x14ac:dyDescent="0.2">
      <c r="A1575" s="538">
        <v>9</v>
      </c>
      <c r="B1575" s="538" t="s">
        <v>6645</v>
      </c>
      <c r="C1575" s="538" t="s">
        <v>393</v>
      </c>
      <c r="D1575" s="538" t="s">
        <v>393</v>
      </c>
      <c r="E1575" s="538" t="s">
        <v>212</v>
      </c>
      <c r="F1575" s="538">
        <v>532239</v>
      </c>
      <c r="G1575" s="538">
        <v>38</v>
      </c>
    </row>
    <row r="1576" spans="1:7" x14ac:dyDescent="0.2">
      <c r="A1576" s="538">
        <v>10</v>
      </c>
      <c r="B1576" s="538" t="s">
        <v>6587</v>
      </c>
      <c r="C1576" s="538" t="s">
        <v>740</v>
      </c>
      <c r="D1576" s="538" t="s">
        <v>740</v>
      </c>
      <c r="E1576" s="538" t="s">
        <v>390</v>
      </c>
      <c r="F1576" s="538">
        <v>33984</v>
      </c>
      <c r="G1576" s="538">
        <v>3</v>
      </c>
    </row>
    <row r="1577" spans="1:7" x14ac:dyDescent="0.2">
      <c r="A1577" s="538">
        <v>3</v>
      </c>
      <c r="B1577" s="538" t="s">
        <v>6603</v>
      </c>
      <c r="C1577" s="538" t="s">
        <v>740</v>
      </c>
      <c r="D1577" s="538" t="s">
        <v>393</v>
      </c>
      <c r="E1577" s="538" t="s">
        <v>402</v>
      </c>
      <c r="F1577" s="538">
        <v>22656</v>
      </c>
      <c r="G1577" s="538">
        <v>2</v>
      </c>
    </row>
    <row r="1578" spans="1:7" x14ac:dyDescent="0.2">
      <c r="A1578" s="538">
        <v>3</v>
      </c>
      <c r="B1578" s="538" t="s">
        <v>6586</v>
      </c>
      <c r="C1578" s="538" t="s">
        <v>740</v>
      </c>
      <c r="D1578" s="538" t="s">
        <v>393</v>
      </c>
      <c r="E1578" s="538" t="s">
        <v>449</v>
      </c>
      <c r="F1578" s="538">
        <v>236472</v>
      </c>
      <c r="G1578" s="538">
        <v>14</v>
      </c>
    </row>
    <row r="1579" spans="1:7" x14ac:dyDescent="0.2">
      <c r="A1579" s="538">
        <v>7</v>
      </c>
      <c r="B1579" s="538" t="s">
        <v>6579</v>
      </c>
      <c r="C1579" s="538" t="s">
        <v>740</v>
      </c>
      <c r="D1579" s="538" t="s">
        <v>740</v>
      </c>
      <c r="E1579" s="538" t="s">
        <v>202</v>
      </c>
      <c r="F1579" s="538">
        <v>1099826</v>
      </c>
      <c r="G1579" s="538">
        <v>12</v>
      </c>
    </row>
    <row r="1580" spans="1:7" x14ac:dyDescent="0.2">
      <c r="A1580" s="538">
        <v>5</v>
      </c>
      <c r="B1580" s="538" t="s">
        <v>6651</v>
      </c>
      <c r="C1580" s="538" t="s">
        <v>740</v>
      </c>
      <c r="D1580" s="538" t="s">
        <v>393</v>
      </c>
      <c r="E1580" s="538" t="s">
        <v>409</v>
      </c>
      <c r="F1580" s="538">
        <v>11328</v>
      </c>
      <c r="G1580" s="538">
        <v>1</v>
      </c>
    </row>
    <row r="1581" spans="1:7" x14ac:dyDescent="0.2">
      <c r="A1581" s="538">
        <v>3</v>
      </c>
      <c r="B1581" s="538" t="s">
        <v>6578</v>
      </c>
      <c r="C1581" s="538" t="s">
        <v>740</v>
      </c>
      <c r="D1581" s="538" t="s">
        <v>740</v>
      </c>
      <c r="E1581" s="538" t="s">
        <v>416</v>
      </c>
      <c r="F1581" s="538">
        <v>15090885</v>
      </c>
      <c r="G1581" s="538">
        <v>495</v>
      </c>
    </row>
    <row r="1582" spans="1:7" x14ac:dyDescent="0.2">
      <c r="A1582" s="538">
        <v>8</v>
      </c>
      <c r="B1582" s="538" t="s">
        <v>6583</v>
      </c>
      <c r="C1582" s="538" t="s">
        <v>740</v>
      </c>
      <c r="D1582" s="538" t="s">
        <v>740</v>
      </c>
      <c r="E1582" s="538" t="s">
        <v>401</v>
      </c>
      <c r="F1582" s="538">
        <v>504627</v>
      </c>
      <c r="G1582" s="538">
        <v>39</v>
      </c>
    </row>
    <row r="1583" spans="1:7" x14ac:dyDescent="0.2">
      <c r="A1583" s="538">
        <v>10</v>
      </c>
      <c r="B1583" s="538" t="s">
        <v>6600</v>
      </c>
      <c r="C1583" s="538" t="s">
        <v>740</v>
      </c>
      <c r="D1583" s="538" t="s">
        <v>393</v>
      </c>
      <c r="E1583" s="538" t="s">
        <v>419</v>
      </c>
      <c r="F1583" s="538">
        <v>11328</v>
      </c>
      <c r="G1583" s="538">
        <v>1</v>
      </c>
    </row>
    <row r="1584" spans="1:7" x14ac:dyDescent="0.2">
      <c r="A1584" s="538">
        <v>7</v>
      </c>
      <c r="B1584" s="538" t="s">
        <v>6661</v>
      </c>
      <c r="C1584" s="538" t="s">
        <v>740</v>
      </c>
      <c r="D1584" s="538" t="s">
        <v>393</v>
      </c>
      <c r="E1584" s="538" t="s">
        <v>402</v>
      </c>
      <c r="F1584" s="538">
        <v>11328</v>
      </c>
      <c r="G1584" s="538">
        <v>1</v>
      </c>
    </row>
    <row r="1585" spans="1:7" x14ac:dyDescent="0.2">
      <c r="A1585" s="538">
        <v>9</v>
      </c>
      <c r="B1585" s="538" t="s">
        <v>6615</v>
      </c>
      <c r="C1585" s="538" t="s">
        <v>740</v>
      </c>
      <c r="D1585" s="538" t="s">
        <v>393</v>
      </c>
      <c r="E1585" s="538" t="s">
        <v>438</v>
      </c>
      <c r="F1585" s="538">
        <v>6616552</v>
      </c>
      <c r="G1585" s="538">
        <v>74</v>
      </c>
    </row>
    <row r="1586" spans="1:7" x14ac:dyDescent="0.2">
      <c r="A1586" s="538">
        <v>7</v>
      </c>
      <c r="B1586" s="538" t="s">
        <v>6571</v>
      </c>
      <c r="C1586" s="538" t="s">
        <v>393</v>
      </c>
      <c r="D1586" s="538" t="s">
        <v>393</v>
      </c>
      <c r="E1586" s="538" t="s">
        <v>211</v>
      </c>
      <c r="F1586" s="538">
        <v>33500147</v>
      </c>
      <c r="G1586" s="538">
        <v>379</v>
      </c>
    </row>
    <row r="1587" spans="1:7" x14ac:dyDescent="0.2">
      <c r="A1587" s="538">
        <v>7</v>
      </c>
      <c r="B1587" s="538" t="s">
        <v>6604</v>
      </c>
      <c r="C1587" s="538" t="s">
        <v>393</v>
      </c>
      <c r="D1587" s="538" t="s">
        <v>393</v>
      </c>
      <c r="E1587" s="538" t="s">
        <v>402</v>
      </c>
      <c r="F1587" s="538">
        <v>3183595</v>
      </c>
      <c r="G1587" s="538">
        <v>95</v>
      </c>
    </row>
    <row r="1588" spans="1:7" x14ac:dyDescent="0.2">
      <c r="A1588" s="538">
        <v>5</v>
      </c>
      <c r="B1588" s="538" t="s">
        <v>6599</v>
      </c>
      <c r="C1588" s="538" t="s">
        <v>740</v>
      </c>
      <c r="D1588" s="538" t="s">
        <v>740</v>
      </c>
      <c r="E1588" s="538" t="s">
        <v>390</v>
      </c>
      <c r="F1588" s="538">
        <v>84252</v>
      </c>
      <c r="G1588" s="538">
        <v>4</v>
      </c>
    </row>
    <row r="1589" spans="1:7" x14ac:dyDescent="0.2">
      <c r="A1589" s="538">
        <v>11</v>
      </c>
      <c r="B1589" s="538" t="s">
        <v>6592</v>
      </c>
      <c r="C1589" s="538" t="s">
        <v>740</v>
      </c>
      <c r="D1589" s="538" t="s">
        <v>393</v>
      </c>
      <c r="E1589" s="538" t="s">
        <v>209</v>
      </c>
      <c r="F1589" s="538">
        <v>4148745</v>
      </c>
      <c r="G1589" s="538">
        <v>25</v>
      </c>
    </row>
    <row r="1590" spans="1:7" x14ac:dyDescent="0.2">
      <c r="A1590" s="538">
        <v>10</v>
      </c>
      <c r="B1590" s="538" t="s">
        <v>6597</v>
      </c>
      <c r="C1590" s="538" t="s">
        <v>740</v>
      </c>
      <c r="D1590" s="538" t="s">
        <v>740</v>
      </c>
      <c r="E1590" s="538" t="s">
        <v>860</v>
      </c>
      <c r="F1590" s="538">
        <v>61596</v>
      </c>
      <c r="G1590" s="538">
        <v>2</v>
      </c>
    </row>
    <row r="1591" spans="1:7" x14ac:dyDescent="0.2">
      <c r="A1591" s="538">
        <v>11</v>
      </c>
      <c r="B1591" s="538" t="s">
        <v>6592</v>
      </c>
      <c r="C1591" s="538" t="s">
        <v>740</v>
      </c>
      <c r="D1591" s="538" t="s">
        <v>740</v>
      </c>
      <c r="E1591" s="538" t="s">
        <v>212</v>
      </c>
      <c r="F1591" s="538">
        <v>90624</v>
      </c>
      <c r="G1591" s="538">
        <v>8</v>
      </c>
    </row>
    <row r="1592" spans="1:7" x14ac:dyDescent="0.2">
      <c r="A1592" s="538">
        <v>11</v>
      </c>
      <c r="B1592" s="538" t="s">
        <v>6584</v>
      </c>
      <c r="C1592" s="538" t="s">
        <v>740</v>
      </c>
      <c r="D1592" s="538" t="s">
        <v>393</v>
      </c>
      <c r="E1592" s="538" t="s">
        <v>449</v>
      </c>
      <c r="F1592" s="538">
        <v>11328</v>
      </c>
      <c r="G1592" s="538">
        <v>1</v>
      </c>
    </row>
    <row r="1593" spans="1:7" x14ac:dyDescent="0.2">
      <c r="A1593" s="538">
        <v>2</v>
      </c>
      <c r="B1593" s="538" t="s">
        <v>6055</v>
      </c>
      <c r="C1593" s="538" t="s">
        <v>393</v>
      </c>
      <c r="D1593" s="538" t="s">
        <v>393</v>
      </c>
      <c r="E1593" s="538" t="s">
        <v>409</v>
      </c>
      <c r="F1593" s="538">
        <v>768128</v>
      </c>
      <c r="G1593" s="538">
        <v>16</v>
      </c>
    </row>
    <row r="1594" spans="1:7" x14ac:dyDescent="0.2">
      <c r="A1594" s="538">
        <v>8</v>
      </c>
      <c r="B1594" s="538" t="s">
        <v>6583</v>
      </c>
      <c r="C1594" s="538" t="s">
        <v>740</v>
      </c>
      <c r="D1594" s="538" t="s">
        <v>393</v>
      </c>
      <c r="E1594" s="538" t="s">
        <v>209</v>
      </c>
      <c r="F1594" s="538">
        <v>11242562</v>
      </c>
      <c r="G1594" s="538">
        <v>69</v>
      </c>
    </row>
    <row r="1595" spans="1:7" x14ac:dyDescent="0.2">
      <c r="A1595" s="538">
        <v>6</v>
      </c>
      <c r="B1595" s="538" t="s">
        <v>6575</v>
      </c>
      <c r="C1595" s="538" t="s">
        <v>393</v>
      </c>
      <c r="D1595" s="538" t="s">
        <v>740</v>
      </c>
      <c r="E1595" s="538" t="s">
        <v>390</v>
      </c>
      <c r="F1595" s="538">
        <v>6519056</v>
      </c>
      <c r="G1595" s="538">
        <v>127</v>
      </c>
    </row>
    <row r="1596" spans="1:7" x14ac:dyDescent="0.2">
      <c r="A1596" s="538">
        <v>6</v>
      </c>
      <c r="B1596" s="538" t="s">
        <v>6565</v>
      </c>
      <c r="C1596" s="538" t="s">
        <v>740</v>
      </c>
      <c r="D1596" s="538" t="s">
        <v>393</v>
      </c>
      <c r="E1596" s="538" t="s">
        <v>401</v>
      </c>
      <c r="F1596" s="538">
        <v>74163</v>
      </c>
      <c r="G1596" s="538">
        <v>1</v>
      </c>
    </row>
    <row r="1597" spans="1:7" x14ac:dyDescent="0.2">
      <c r="A1597" s="538">
        <v>6</v>
      </c>
      <c r="B1597" s="538" t="s">
        <v>6596</v>
      </c>
      <c r="C1597" s="538" t="s">
        <v>740</v>
      </c>
      <c r="D1597" s="538" t="s">
        <v>393</v>
      </c>
      <c r="E1597" s="538" t="s">
        <v>860</v>
      </c>
      <c r="F1597" s="538">
        <v>22656</v>
      </c>
      <c r="G1597" s="538">
        <v>2</v>
      </c>
    </row>
    <row r="1598" spans="1:7" x14ac:dyDescent="0.2">
      <c r="A1598" s="538">
        <v>7</v>
      </c>
      <c r="B1598" s="538" t="s">
        <v>6655</v>
      </c>
      <c r="C1598" s="538" t="s">
        <v>740</v>
      </c>
      <c r="D1598" s="538" t="s">
        <v>393</v>
      </c>
      <c r="E1598" s="538" t="s">
        <v>401</v>
      </c>
      <c r="F1598" s="538">
        <v>84252</v>
      </c>
      <c r="G1598" s="538">
        <v>4</v>
      </c>
    </row>
    <row r="1599" spans="1:7" x14ac:dyDescent="0.2">
      <c r="A1599" s="538">
        <v>2</v>
      </c>
      <c r="B1599" s="538" t="s">
        <v>6573</v>
      </c>
      <c r="C1599" s="538" t="s">
        <v>393</v>
      </c>
      <c r="D1599" s="538" t="s">
        <v>740</v>
      </c>
      <c r="E1599" s="538" t="s">
        <v>438</v>
      </c>
      <c r="F1599" s="538">
        <v>1059647</v>
      </c>
      <c r="G1599" s="538">
        <v>14</v>
      </c>
    </row>
    <row r="1600" spans="1:7" x14ac:dyDescent="0.2">
      <c r="A1600" s="538">
        <v>2</v>
      </c>
      <c r="B1600" s="538" t="s">
        <v>6585</v>
      </c>
      <c r="C1600" s="538" t="s">
        <v>740</v>
      </c>
      <c r="D1600" s="538" t="s">
        <v>393</v>
      </c>
      <c r="E1600" s="538" t="s">
        <v>313</v>
      </c>
      <c r="F1600" s="538">
        <v>74163</v>
      </c>
      <c r="G1600" s="538">
        <v>1</v>
      </c>
    </row>
    <row r="1601" spans="1:7" x14ac:dyDescent="0.2">
      <c r="A1601" s="538">
        <v>4</v>
      </c>
      <c r="B1601" s="538" t="s">
        <v>6562</v>
      </c>
      <c r="C1601" s="538" t="s">
        <v>740</v>
      </c>
      <c r="D1601" s="538" t="s">
        <v>393</v>
      </c>
      <c r="E1601" s="538" t="s">
        <v>211</v>
      </c>
      <c r="F1601" s="538">
        <v>787296</v>
      </c>
      <c r="G1601" s="538">
        <v>37</v>
      </c>
    </row>
    <row r="1602" spans="1:7" x14ac:dyDescent="0.2">
      <c r="A1602" s="538">
        <v>11</v>
      </c>
      <c r="B1602" s="538" t="s">
        <v>6592</v>
      </c>
      <c r="C1602" s="538" t="s">
        <v>740</v>
      </c>
      <c r="D1602" s="538" t="s">
        <v>393</v>
      </c>
      <c r="E1602" s="538" t="s">
        <v>416</v>
      </c>
      <c r="F1602" s="538">
        <v>580685</v>
      </c>
      <c r="G1602" s="538">
        <v>5</v>
      </c>
    </row>
    <row r="1603" spans="1:7" x14ac:dyDescent="0.2">
      <c r="A1603" s="538">
        <v>9</v>
      </c>
      <c r="B1603" s="538" t="s">
        <v>6644</v>
      </c>
      <c r="C1603" s="538" t="s">
        <v>740</v>
      </c>
      <c r="D1603" s="538" t="s">
        <v>393</v>
      </c>
      <c r="E1603" s="538" t="s">
        <v>390</v>
      </c>
      <c r="F1603" s="538">
        <v>22656</v>
      </c>
      <c r="G1603" s="538">
        <v>2</v>
      </c>
    </row>
    <row r="1604" spans="1:7" x14ac:dyDescent="0.2">
      <c r="A1604" s="538">
        <v>5</v>
      </c>
      <c r="B1604" s="538" t="s">
        <v>6568</v>
      </c>
      <c r="C1604" s="538" t="s">
        <v>740</v>
      </c>
      <c r="D1604" s="538" t="s">
        <v>740</v>
      </c>
      <c r="E1604" s="538" t="s">
        <v>230</v>
      </c>
      <c r="F1604" s="538">
        <v>1054462</v>
      </c>
      <c r="G1604" s="538">
        <v>4</v>
      </c>
    </row>
    <row r="1605" spans="1:7" x14ac:dyDescent="0.2">
      <c r="A1605" s="538">
        <v>11</v>
      </c>
      <c r="B1605" s="538" t="s">
        <v>6584</v>
      </c>
      <c r="C1605" s="538" t="s">
        <v>740</v>
      </c>
      <c r="D1605" s="538" t="s">
        <v>740</v>
      </c>
      <c r="E1605" s="538" t="s">
        <v>207</v>
      </c>
      <c r="F1605" s="538">
        <v>1140536</v>
      </c>
      <c r="G1605" s="538">
        <v>42</v>
      </c>
    </row>
    <row r="1606" spans="1:7" x14ac:dyDescent="0.2">
      <c r="A1606" s="538">
        <v>7</v>
      </c>
      <c r="B1606" s="538" t="s">
        <v>6571</v>
      </c>
      <c r="C1606" s="538" t="s">
        <v>740</v>
      </c>
      <c r="D1606" s="538" t="s">
        <v>393</v>
      </c>
      <c r="E1606" s="538" t="s">
        <v>860</v>
      </c>
      <c r="F1606" s="538">
        <v>11328</v>
      </c>
      <c r="G1606" s="538">
        <v>1</v>
      </c>
    </row>
    <row r="1607" spans="1:7" x14ac:dyDescent="0.2">
      <c r="A1607" s="538">
        <v>3</v>
      </c>
      <c r="B1607" s="538" t="s">
        <v>1390</v>
      </c>
      <c r="C1607" s="538" t="s">
        <v>393</v>
      </c>
      <c r="D1607" s="538" t="s">
        <v>393</v>
      </c>
      <c r="E1607" s="538" t="s">
        <v>209</v>
      </c>
      <c r="F1607" s="538">
        <v>3598275</v>
      </c>
      <c r="G1607" s="538">
        <v>15</v>
      </c>
    </row>
    <row r="1608" spans="1:7" x14ac:dyDescent="0.2">
      <c r="A1608" s="538">
        <v>7</v>
      </c>
      <c r="B1608" s="538" t="s">
        <v>6594</v>
      </c>
      <c r="C1608" s="538" t="s">
        <v>740</v>
      </c>
      <c r="D1608" s="538" t="s">
        <v>393</v>
      </c>
      <c r="E1608" s="538" t="s">
        <v>390</v>
      </c>
      <c r="F1608" s="538">
        <v>45312</v>
      </c>
      <c r="G1608" s="538">
        <v>4</v>
      </c>
    </row>
    <row r="1609" spans="1:7" x14ac:dyDescent="0.2">
      <c r="A1609" s="538">
        <v>4</v>
      </c>
      <c r="B1609" s="538" t="s">
        <v>6572</v>
      </c>
      <c r="C1609" s="538" t="s">
        <v>393</v>
      </c>
      <c r="D1609" s="538" t="s">
        <v>740</v>
      </c>
      <c r="E1609" s="538" t="s">
        <v>211</v>
      </c>
      <c r="F1609" s="538">
        <v>740339</v>
      </c>
      <c r="G1609" s="538">
        <v>8</v>
      </c>
    </row>
    <row r="1610" spans="1:7" x14ac:dyDescent="0.2">
      <c r="A1610" s="538">
        <v>8</v>
      </c>
      <c r="B1610" s="538" t="s">
        <v>6577</v>
      </c>
      <c r="C1610" s="538" t="s">
        <v>393</v>
      </c>
      <c r="D1610" s="538" t="s">
        <v>393</v>
      </c>
      <c r="E1610" s="538" t="s">
        <v>209</v>
      </c>
      <c r="F1610" s="538">
        <v>2370353</v>
      </c>
      <c r="G1610" s="538">
        <v>11</v>
      </c>
    </row>
    <row r="1611" spans="1:7" x14ac:dyDescent="0.2">
      <c r="A1611" s="538">
        <v>6</v>
      </c>
      <c r="B1611" s="538" t="s">
        <v>6575</v>
      </c>
      <c r="C1611" s="538" t="s">
        <v>740</v>
      </c>
      <c r="D1611" s="538" t="s">
        <v>393</v>
      </c>
      <c r="E1611" s="538" t="s">
        <v>211</v>
      </c>
      <c r="F1611" s="538">
        <v>582330</v>
      </c>
      <c r="G1611" s="538">
        <v>30</v>
      </c>
    </row>
    <row r="1612" spans="1:7" x14ac:dyDescent="0.2">
      <c r="A1612" s="538">
        <v>2</v>
      </c>
      <c r="B1612" s="538" t="s">
        <v>6585</v>
      </c>
      <c r="C1612" s="538" t="s">
        <v>393</v>
      </c>
      <c r="D1612" s="538" t="s">
        <v>740</v>
      </c>
      <c r="E1612" s="538" t="s">
        <v>209</v>
      </c>
      <c r="F1612" s="538">
        <v>1117297</v>
      </c>
      <c r="G1612" s="538">
        <v>4</v>
      </c>
    </row>
    <row r="1613" spans="1:7" x14ac:dyDescent="0.2">
      <c r="A1613" s="538">
        <v>6</v>
      </c>
      <c r="B1613" s="538" t="s">
        <v>6575</v>
      </c>
      <c r="C1613" s="538" t="s">
        <v>740</v>
      </c>
      <c r="D1613" s="538" t="s">
        <v>740</v>
      </c>
      <c r="E1613" s="538" t="s">
        <v>402</v>
      </c>
      <c r="F1613" s="538">
        <v>10929334</v>
      </c>
      <c r="G1613" s="538">
        <v>293</v>
      </c>
    </row>
    <row r="1614" spans="1:7" x14ac:dyDescent="0.2">
      <c r="A1614" s="538">
        <v>6</v>
      </c>
      <c r="B1614" s="538" t="s">
        <v>6433</v>
      </c>
      <c r="C1614" s="538" t="s">
        <v>740</v>
      </c>
      <c r="D1614" s="538" t="s">
        <v>393</v>
      </c>
      <c r="E1614" s="538" t="s">
        <v>207</v>
      </c>
      <c r="F1614" s="538">
        <v>22656</v>
      </c>
      <c r="G1614" s="538">
        <v>2</v>
      </c>
    </row>
    <row r="1615" spans="1:7" x14ac:dyDescent="0.2">
      <c r="A1615" s="538">
        <v>5</v>
      </c>
      <c r="B1615" s="538" t="s">
        <v>6568</v>
      </c>
      <c r="C1615" s="538" t="s">
        <v>740</v>
      </c>
      <c r="D1615" s="538" t="s">
        <v>740</v>
      </c>
      <c r="E1615" s="538" t="s">
        <v>438</v>
      </c>
      <c r="F1615" s="538">
        <v>11328</v>
      </c>
      <c r="G1615" s="538">
        <v>1</v>
      </c>
    </row>
    <row r="1616" spans="1:7" x14ac:dyDescent="0.2">
      <c r="A1616" s="538">
        <v>11</v>
      </c>
      <c r="B1616" s="538" t="s">
        <v>6584</v>
      </c>
      <c r="C1616" s="538" t="s">
        <v>740</v>
      </c>
      <c r="D1616" s="538" t="s">
        <v>393</v>
      </c>
      <c r="E1616" s="538" t="s">
        <v>230</v>
      </c>
      <c r="F1616" s="538">
        <v>2824993</v>
      </c>
      <c r="G1616" s="538">
        <v>71</v>
      </c>
    </row>
    <row r="1617" spans="1:7" x14ac:dyDescent="0.2">
      <c r="A1617" s="538">
        <v>9</v>
      </c>
      <c r="B1617" s="538" t="s">
        <v>6645</v>
      </c>
      <c r="C1617" s="538" t="s">
        <v>740</v>
      </c>
      <c r="D1617" s="538" t="s">
        <v>393</v>
      </c>
      <c r="E1617" s="538" t="s">
        <v>416</v>
      </c>
      <c r="F1617" s="538">
        <v>3506391</v>
      </c>
      <c r="G1617" s="538">
        <v>87</v>
      </c>
    </row>
    <row r="1618" spans="1:7" x14ac:dyDescent="0.2">
      <c r="A1618" s="538">
        <v>3</v>
      </c>
      <c r="B1618" s="538" t="s">
        <v>6586</v>
      </c>
      <c r="C1618" s="538" t="s">
        <v>740</v>
      </c>
      <c r="D1618" s="538" t="s">
        <v>393</v>
      </c>
      <c r="E1618" s="538" t="s">
        <v>207</v>
      </c>
      <c r="F1618" s="538">
        <v>124608</v>
      </c>
      <c r="G1618" s="538">
        <v>11</v>
      </c>
    </row>
    <row r="1619" spans="1:7" x14ac:dyDescent="0.2">
      <c r="A1619" s="538">
        <v>1</v>
      </c>
      <c r="B1619" s="538" t="s">
        <v>6581</v>
      </c>
      <c r="C1619" s="538" t="s">
        <v>740</v>
      </c>
      <c r="D1619" s="538" t="s">
        <v>393</v>
      </c>
      <c r="E1619" s="538" t="s">
        <v>409</v>
      </c>
      <c r="F1619" s="538">
        <v>3450511</v>
      </c>
      <c r="G1619" s="538">
        <v>122</v>
      </c>
    </row>
    <row r="1620" spans="1:7" x14ac:dyDescent="0.2">
      <c r="A1620" s="538">
        <v>8</v>
      </c>
      <c r="B1620" s="538" t="s">
        <v>6648</v>
      </c>
      <c r="C1620" s="538" t="s">
        <v>393</v>
      </c>
      <c r="D1620" s="538" t="s">
        <v>740</v>
      </c>
      <c r="E1620" s="538" t="s">
        <v>438</v>
      </c>
      <c r="F1620" s="538">
        <v>815741</v>
      </c>
      <c r="G1620" s="538">
        <v>7</v>
      </c>
    </row>
    <row r="1621" spans="1:7" x14ac:dyDescent="0.2">
      <c r="A1621" s="538">
        <v>10</v>
      </c>
      <c r="B1621" s="538" t="s">
        <v>6653</v>
      </c>
      <c r="C1621" s="538" t="s">
        <v>740</v>
      </c>
      <c r="D1621" s="538" t="s">
        <v>740</v>
      </c>
      <c r="E1621" s="538" t="s">
        <v>409</v>
      </c>
      <c r="F1621" s="538">
        <v>11328</v>
      </c>
      <c r="G1621" s="538">
        <v>1</v>
      </c>
    </row>
    <row r="1622" spans="1:7" x14ac:dyDescent="0.2">
      <c r="A1622" s="538">
        <v>3</v>
      </c>
      <c r="B1622" s="538" t="s">
        <v>6586</v>
      </c>
      <c r="C1622" s="538" t="s">
        <v>740</v>
      </c>
      <c r="D1622" s="538" t="s">
        <v>393</v>
      </c>
      <c r="E1622" s="538" t="s">
        <v>390</v>
      </c>
      <c r="F1622" s="538">
        <v>125066964</v>
      </c>
      <c r="G1622" s="538">
        <v>4353</v>
      </c>
    </row>
    <row r="1623" spans="1:7" x14ac:dyDescent="0.2">
      <c r="A1623" s="538">
        <v>10</v>
      </c>
      <c r="B1623" s="538" t="s">
        <v>6587</v>
      </c>
      <c r="C1623" s="538" t="s">
        <v>393</v>
      </c>
      <c r="D1623" s="538" t="s">
        <v>393</v>
      </c>
      <c r="E1623" s="538" t="s">
        <v>409</v>
      </c>
      <c r="F1623" s="538">
        <v>1410586</v>
      </c>
      <c r="G1623" s="538">
        <v>32</v>
      </c>
    </row>
    <row r="1624" spans="1:7" x14ac:dyDescent="0.2">
      <c r="A1624" s="538">
        <v>5</v>
      </c>
      <c r="B1624" s="538" t="s">
        <v>6650</v>
      </c>
      <c r="C1624" s="538" t="s">
        <v>393</v>
      </c>
      <c r="D1624" s="538" t="s">
        <v>740</v>
      </c>
      <c r="E1624" s="538" t="s">
        <v>390</v>
      </c>
      <c r="F1624" s="538">
        <v>4114386</v>
      </c>
      <c r="G1624" s="538">
        <v>77</v>
      </c>
    </row>
    <row r="1625" spans="1:7" x14ac:dyDescent="0.2">
      <c r="A1625" s="538">
        <v>7</v>
      </c>
      <c r="B1625" s="538" t="s">
        <v>6661</v>
      </c>
      <c r="C1625" s="538" t="s">
        <v>393</v>
      </c>
      <c r="D1625" s="538" t="s">
        <v>393</v>
      </c>
      <c r="E1625" s="538" t="s">
        <v>409</v>
      </c>
      <c r="F1625" s="538">
        <v>561090</v>
      </c>
      <c r="G1625" s="538">
        <v>35</v>
      </c>
    </row>
    <row r="1626" spans="1:7" x14ac:dyDescent="0.2">
      <c r="A1626" s="538">
        <v>8</v>
      </c>
      <c r="B1626" s="538" t="s">
        <v>6577</v>
      </c>
      <c r="C1626" s="538" t="s">
        <v>740</v>
      </c>
      <c r="D1626" s="538" t="s">
        <v>393</v>
      </c>
      <c r="E1626" s="538" t="s">
        <v>419</v>
      </c>
      <c r="F1626" s="538">
        <v>72924</v>
      </c>
      <c r="G1626" s="538">
        <v>3</v>
      </c>
    </row>
    <row r="1627" spans="1:7" x14ac:dyDescent="0.2">
      <c r="A1627" s="538">
        <v>2</v>
      </c>
      <c r="B1627" s="538" t="s">
        <v>6055</v>
      </c>
      <c r="C1627" s="538" t="s">
        <v>740</v>
      </c>
      <c r="D1627" s="538" t="s">
        <v>393</v>
      </c>
      <c r="E1627" s="538" t="s">
        <v>860</v>
      </c>
      <c r="F1627" s="538">
        <v>504450</v>
      </c>
      <c r="G1627" s="538">
        <v>30</v>
      </c>
    </row>
    <row r="1628" spans="1:7" x14ac:dyDescent="0.2">
      <c r="A1628" s="538">
        <v>10</v>
      </c>
      <c r="B1628" s="538" t="s">
        <v>6653</v>
      </c>
      <c r="C1628" s="538" t="s">
        <v>393</v>
      </c>
      <c r="D1628" s="538" t="s">
        <v>393</v>
      </c>
      <c r="E1628" s="538" t="s">
        <v>438</v>
      </c>
      <c r="F1628" s="538">
        <v>7295014</v>
      </c>
      <c r="G1628" s="538">
        <v>58</v>
      </c>
    </row>
    <row r="1629" spans="1:7" x14ac:dyDescent="0.2">
      <c r="A1629" s="538">
        <v>2</v>
      </c>
      <c r="B1629" s="538" t="s">
        <v>6654</v>
      </c>
      <c r="C1629" s="538" t="s">
        <v>393</v>
      </c>
      <c r="D1629" s="538" t="s">
        <v>740</v>
      </c>
      <c r="E1629" s="538" t="s">
        <v>438</v>
      </c>
      <c r="F1629" s="538">
        <v>11328</v>
      </c>
      <c r="G1629" s="538">
        <v>1</v>
      </c>
    </row>
    <row r="1630" spans="1:7" x14ac:dyDescent="0.2">
      <c r="A1630" s="538">
        <v>4</v>
      </c>
      <c r="B1630" s="538" t="s">
        <v>6559</v>
      </c>
      <c r="C1630" s="538" t="s">
        <v>740</v>
      </c>
      <c r="D1630" s="538" t="s">
        <v>740</v>
      </c>
      <c r="E1630" s="538" t="s">
        <v>438</v>
      </c>
      <c r="F1630" s="538">
        <v>11328</v>
      </c>
      <c r="G1630" s="538">
        <v>1</v>
      </c>
    </row>
    <row r="1631" spans="1:7" x14ac:dyDescent="0.2">
      <c r="A1631" s="538">
        <v>7</v>
      </c>
      <c r="B1631" s="538" t="s">
        <v>6604</v>
      </c>
      <c r="C1631" s="538" t="s">
        <v>393</v>
      </c>
      <c r="D1631" s="538" t="s">
        <v>393</v>
      </c>
      <c r="E1631" s="538" t="s">
        <v>419</v>
      </c>
      <c r="F1631" s="538">
        <v>11328</v>
      </c>
      <c r="G1631" s="538">
        <v>1</v>
      </c>
    </row>
    <row r="1632" spans="1:7" x14ac:dyDescent="0.2">
      <c r="A1632" s="538">
        <v>3</v>
      </c>
      <c r="B1632" s="538" t="s">
        <v>6578</v>
      </c>
      <c r="C1632" s="538" t="s">
        <v>740</v>
      </c>
      <c r="D1632" s="538" t="s">
        <v>393</v>
      </c>
      <c r="E1632" s="538" t="s">
        <v>860</v>
      </c>
      <c r="F1632" s="538">
        <v>7848784</v>
      </c>
      <c r="G1632" s="538">
        <v>348</v>
      </c>
    </row>
    <row r="1633" spans="1:7" x14ac:dyDescent="0.2">
      <c r="A1633" s="538">
        <v>11</v>
      </c>
      <c r="B1633" s="538" t="s">
        <v>6610</v>
      </c>
      <c r="C1633" s="538" t="s">
        <v>740</v>
      </c>
      <c r="D1633" s="538" t="s">
        <v>740</v>
      </c>
      <c r="E1633" s="538" t="s">
        <v>416</v>
      </c>
      <c r="F1633" s="538">
        <v>11328</v>
      </c>
      <c r="G1633" s="538">
        <v>1</v>
      </c>
    </row>
    <row r="1634" spans="1:7" x14ac:dyDescent="0.2">
      <c r="A1634" s="538">
        <v>10</v>
      </c>
      <c r="B1634" s="538" t="s">
        <v>6582</v>
      </c>
      <c r="C1634" s="538" t="s">
        <v>393</v>
      </c>
      <c r="D1634" s="538" t="s">
        <v>740</v>
      </c>
      <c r="E1634" s="538" t="s">
        <v>416</v>
      </c>
      <c r="F1634" s="538">
        <v>2201828</v>
      </c>
      <c r="G1634" s="538">
        <v>76</v>
      </c>
    </row>
    <row r="1635" spans="1:7" x14ac:dyDescent="0.2">
      <c r="A1635" s="538">
        <v>6</v>
      </c>
      <c r="B1635" s="538" t="s">
        <v>6565</v>
      </c>
      <c r="C1635" s="538" t="s">
        <v>740</v>
      </c>
      <c r="D1635" s="538" t="s">
        <v>740</v>
      </c>
      <c r="E1635" s="538" t="s">
        <v>207</v>
      </c>
      <c r="F1635" s="538">
        <v>2478656</v>
      </c>
      <c r="G1635" s="538">
        <v>102</v>
      </c>
    </row>
    <row r="1636" spans="1:7" x14ac:dyDescent="0.2">
      <c r="A1636" s="538">
        <v>2</v>
      </c>
      <c r="B1636" s="538" t="s">
        <v>6573</v>
      </c>
      <c r="C1636" s="538" t="s">
        <v>740</v>
      </c>
      <c r="D1636" s="538" t="s">
        <v>393</v>
      </c>
      <c r="E1636" s="538" t="s">
        <v>209</v>
      </c>
      <c r="F1636" s="538">
        <v>4367465</v>
      </c>
      <c r="G1636" s="538">
        <v>20</v>
      </c>
    </row>
    <row r="1637" spans="1:7" x14ac:dyDescent="0.2">
      <c r="A1637" s="538">
        <v>7</v>
      </c>
      <c r="B1637" s="538" t="s">
        <v>6571</v>
      </c>
      <c r="C1637" s="538" t="s">
        <v>393</v>
      </c>
      <c r="D1637" s="538" t="s">
        <v>393</v>
      </c>
      <c r="E1637" s="538" t="s">
        <v>313</v>
      </c>
      <c r="F1637" s="538">
        <v>644759</v>
      </c>
      <c r="G1637" s="538">
        <v>3</v>
      </c>
    </row>
    <row r="1638" spans="1:7" x14ac:dyDescent="0.2">
      <c r="A1638" s="538">
        <v>12</v>
      </c>
      <c r="B1638" s="538" t="s">
        <v>6569</v>
      </c>
      <c r="C1638" s="538" t="s">
        <v>740</v>
      </c>
      <c r="D1638" s="538" t="s">
        <v>740</v>
      </c>
      <c r="E1638" s="538" t="s">
        <v>313</v>
      </c>
      <c r="F1638" s="538">
        <v>124431</v>
      </c>
      <c r="G1638" s="538">
        <v>2</v>
      </c>
    </row>
    <row r="1639" spans="1:7" x14ac:dyDescent="0.2">
      <c r="A1639" s="538">
        <v>2</v>
      </c>
      <c r="B1639" s="538" t="s">
        <v>6055</v>
      </c>
      <c r="C1639" s="538" t="s">
        <v>393</v>
      </c>
      <c r="D1639" s="538" t="s">
        <v>740</v>
      </c>
      <c r="E1639" s="538" t="s">
        <v>409</v>
      </c>
      <c r="F1639" s="538">
        <v>186204</v>
      </c>
      <c r="G1639" s="538">
        <v>13</v>
      </c>
    </row>
    <row r="1640" spans="1:7" x14ac:dyDescent="0.2">
      <c r="A1640" s="538">
        <v>8</v>
      </c>
      <c r="B1640" s="538" t="s">
        <v>6583</v>
      </c>
      <c r="C1640" s="538" t="s">
        <v>393</v>
      </c>
      <c r="D1640" s="538" t="s">
        <v>393</v>
      </c>
      <c r="E1640" s="538" t="s">
        <v>401</v>
      </c>
      <c r="F1640" s="538">
        <v>606225</v>
      </c>
      <c r="G1640" s="538">
        <v>30</v>
      </c>
    </row>
    <row r="1641" spans="1:7" x14ac:dyDescent="0.2">
      <c r="A1641" s="538">
        <v>4</v>
      </c>
      <c r="B1641" s="538" t="s">
        <v>6559</v>
      </c>
      <c r="C1641" s="538" t="s">
        <v>740</v>
      </c>
      <c r="D1641" s="538" t="s">
        <v>740</v>
      </c>
      <c r="E1641" s="538" t="s">
        <v>207</v>
      </c>
      <c r="F1641" s="538">
        <v>8111504</v>
      </c>
      <c r="G1641" s="538">
        <v>483</v>
      </c>
    </row>
    <row r="1642" spans="1:7" x14ac:dyDescent="0.2">
      <c r="A1642" s="538">
        <v>3</v>
      </c>
      <c r="B1642" s="538" t="s">
        <v>6561</v>
      </c>
      <c r="C1642" s="538" t="s">
        <v>740</v>
      </c>
      <c r="D1642" s="538" t="s">
        <v>393</v>
      </c>
      <c r="E1642" s="538" t="s">
        <v>210</v>
      </c>
      <c r="F1642" s="538">
        <v>1198592</v>
      </c>
      <c r="G1642" s="538">
        <v>54</v>
      </c>
    </row>
    <row r="1643" spans="1:7" x14ac:dyDescent="0.2">
      <c r="A1643" s="538">
        <v>3</v>
      </c>
      <c r="B1643" s="538" t="s">
        <v>1390</v>
      </c>
      <c r="C1643" s="538" t="s">
        <v>393</v>
      </c>
      <c r="D1643" s="538" t="s">
        <v>740</v>
      </c>
      <c r="E1643" s="538" t="s">
        <v>390</v>
      </c>
      <c r="F1643" s="538">
        <v>3475541</v>
      </c>
      <c r="G1643" s="538">
        <v>47</v>
      </c>
    </row>
    <row r="1644" spans="1:7" x14ac:dyDescent="0.2">
      <c r="A1644" s="538">
        <v>6</v>
      </c>
      <c r="B1644" s="538" t="s">
        <v>6596</v>
      </c>
      <c r="C1644" s="538" t="s">
        <v>740</v>
      </c>
      <c r="D1644" s="538" t="s">
        <v>393</v>
      </c>
      <c r="E1644" s="538" t="s">
        <v>202</v>
      </c>
      <c r="F1644" s="538">
        <v>380904</v>
      </c>
      <c r="G1644" s="538">
        <v>8</v>
      </c>
    </row>
    <row r="1645" spans="1:7" x14ac:dyDescent="0.2">
      <c r="A1645" s="538">
        <v>11</v>
      </c>
      <c r="B1645" s="538" t="s">
        <v>6612</v>
      </c>
      <c r="C1645" s="538" t="s">
        <v>393</v>
      </c>
      <c r="D1645" s="538" t="s">
        <v>740</v>
      </c>
      <c r="E1645" s="538" t="s">
        <v>402</v>
      </c>
      <c r="F1645" s="538">
        <v>4694946</v>
      </c>
      <c r="G1645" s="538">
        <v>152</v>
      </c>
    </row>
    <row r="1646" spans="1:7" x14ac:dyDescent="0.2">
      <c r="A1646" s="538">
        <v>7</v>
      </c>
      <c r="B1646" s="538" t="s">
        <v>6655</v>
      </c>
      <c r="C1646" s="538" t="s">
        <v>740</v>
      </c>
      <c r="D1646" s="538" t="s">
        <v>393</v>
      </c>
      <c r="E1646" s="538" t="s">
        <v>390</v>
      </c>
      <c r="F1646" s="538">
        <v>11328</v>
      </c>
      <c r="G1646" s="538">
        <v>1</v>
      </c>
    </row>
    <row r="1647" spans="1:7" x14ac:dyDescent="0.2">
      <c r="A1647" s="538">
        <v>6</v>
      </c>
      <c r="B1647" s="538" t="s">
        <v>1668</v>
      </c>
      <c r="C1647" s="538" t="s">
        <v>393</v>
      </c>
      <c r="D1647" s="538" t="s">
        <v>393</v>
      </c>
      <c r="E1647" s="538" t="s">
        <v>230</v>
      </c>
      <c r="F1647" s="538">
        <v>6547824</v>
      </c>
      <c r="G1647" s="538">
        <v>93</v>
      </c>
    </row>
    <row r="1648" spans="1:7" x14ac:dyDescent="0.2">
      <c r="A1648" s="538">
        <v>2</v>
      </c>
      <c r="B1648" s="538" t="s">
        <v>6662</v>
      </c>
      <c r="C1648" s="538" t="s">
        <v>740</v>
      </c>
      <c r="D1648" s="538" t="s">
        <v>393</v>
      </c>
      <c r="E1648" s="538" t="s">
        <v>860</v>
      </c>
      <c r="F1648" s="538">
        <v>333468</v>
      </c>
      <c r="G1648" s="538">
        <v>26</v>
      </c>
    </row>
    <row r="1649" spans="1:7" x14ac:dyDescent="0.2">
      <c r="A1649" s="538">
        <v>9</v>
      </c>
      <c r="B1649" s="538" t="s">
        <v>948</v>
      </c>
      <c r="C1649" s="538" t="s">
        <v>393</v>
      </c>
      <c r="D1649" s="538" t="s">
        <v>393</v>
      </c>
      <c r="E1649" s="538" t="s">
        <v>419</v>
      </c>
      <c r="F1649" s="538">
        <v>11328</v>
      </c>
      <c r="G1649" s="538">
        <v>1</v>
      </c>
    </row>
    <row r="1650" spans="1:7" x14ac:dyDescent="0.2">
      <c r="A1650" s="538">
        <v>6</v>
      </c>
      <c r="B1650" s="538" t="s">
        <v>6565</v>
      </c>
      <c r="C1650" s="538" t="s">
        <v>740</v>
      </c>
      <c r="D1650" s="538" t="s">
        <v>393</v>
      </c>
      <c r="E1650" s="538" t="s">
        <v>207</v>
      </c>
      <c r="F1650" s="538">
        <v>237888</v>
      </c>
      <c r="G1650" s="538">
        <v>21</v>
      </c>
    </row>
    <row r="1651" spans="1:7" x14ac:dyDescent="0.2">
      <c r="A1651" s="538">
        <v>7</v>
      </c>
      <c r="B1651" s="538" t="s">
        <v>6604</v>
      </c>
      <c r="C1651" s="538" t="s">
        <v>740</v>
      </c>
      <c r="D1651" s="538" t="s">
        <v>393</v>
      </c>
      <c r="E1651" s="538" t="s">
        <v>409</v>
      </c>
      <c r="F1651" s="538">
        <v>22656</v>
      </c>
      <c r="G1651" s="538">
        <v>2</v>
      </c>
    </row>
    <row r="1652" spans="1:7" x14ac:dyDescent="0.2">
      <c r="A1652" s="538">
        <v>3</v>
      </c>
      <c r="B1652" s="538" t="s">
        <v>6647</v>
      </c>
      <c r="C1652" s="538" t="s">
        <v>740</v>
      </c>
      <c r="D1652" s="538" t="s">
        <v>393</v>
      </c>
      <c r="E1652" s="538" t="s">
        <v>416</v>
      </c>
      <c r="F1652" s="538">
        <v>5918110</v>
      </c>
      <c r="G1652" s="538">
        <v>90</v>
      </c>
    </row>
    <row r="1653" spans="1:7" x14ac:dyDescent="0.2">
      <c r="A1653" s="538">
        <v>7</v>
      </c>
      <c r="B1653" s="538" t="s">
        <v>6594</v>
      </c>
      <c r="C1653" s="538" t="s">
        <v>740</v>
      </c>
      <c r="D1653" s="538" t="s">
        <v>393</v>
      </c>
      <c r="E1653" s="538" t="s">
        <v>416</v>
      </c>
      <c r="F1653" s="538">
        <v>22656</v>
      </c>
      <c r="G1653" s="538">
        <v>2</v>
      </c>
    </row>
    <row r="1654" spans="1:7" x14ac:dyDescent="0.2">
      <c r="A1654" s="538">
        <v>12</v>
      </c>
      <c r="B1654" s="538" t="s">
        <v>6569</v>
      </c>
      <c r="C1654" s="538" t="s">
        <v>393</v>
      </c>
      <c r="D1654" s="538" t="s">
        <v>740</v>
      </c>
      <c r="E1654" s="538" t="s">
        <v>402</v>
      </c>
      <c r="F1654" s="538">
        <v>4956021</v>
      </c>
      <c r="G1654" s="538">
        <v>192</v>
      </c>
    </row>
    <row r="1655" spans="1:7" x14ac:dyDescent="0.2">
      <c r="A1655" s="538">
        <v>2</v>
      </c>
      <c r="B1655" s="538" t="s">
        <v>6585</v>
      </c>
      <c r="C1655" s="538" t="s">
        <v>393</v>
      </c>
      <c r="D1655" s="538" t="s">
        <v>740</v>
      </c>
      <c r="E1655" s="538" t="s">
        <v>211</v>
      </c>
      <c r="F1655" s="538">
        <v>85491</v>
      </c>
      <c r="G1655" s="538">
        <v>2</v>
      </c>
    </row>
    <row r="1656" spans="1:7" x14ac:dyDescent="0.2">
      <c r="A1656" s="538">
        <v>6</v>
      </c>
      <c r="B1656" s="538" t="s">
        <v>6565</v>
      </c>
      <c r="C1656" s="538" t="s">
        <v>740</v>
      </c>
      <c r="D1656" s="538" t="s">
        <v>740</v>
      </c>
      <c r="E1656" s="538" t="s">
        <v>401</v>
      </c>
      <c r="F1656" s="538">
        <v>56640</v>
      </c>
      <c r="G1656" s="538">
        <v>5</v>
      </c>
    </row>
    <row r="1657" spans="1:7" x14ac:dyDescent="0.2">
      <c r="A1657" s="538">
        <v>3</v>
      </c>
      <c r="B1657" s="538" t="s">
        <v>6561</v>
      </c>
      <c r="C1657" s="538" t="s">
        <v>740</v>
      </c>
      <c r="D1657" s="538" t="s">
        <v>393</v>
      </c>
      <c r="E1657" s="538" t="s">
        <v>438</v>
      </c>
      <c r="F1657" s="538">
        <v>224967</v>
      </c>
      <c r="G1657" s="538">
        <v>4</v>
      </c>
    </row>
    <row r="1658" spans="1:7" x14ac:dyDescent="0.2">
      <c r="A1658" s="538">
        <v>6</v>
      </c>
      <c r="B1658" s="538" t="s">
        <v>6607</v>
      </c>
      <c r="C1658" s="538" t="s">
        <v>740</v>
      </c>
      <c r="D1658" s="538" t="s">
        <v>393</v>
      </c>
      <c r="E1658" s="538" t="s">
        <v>402</v>
      </c>
      <c r="F1658" s="538">
        <v>18241985</v>
      </c>
      <c r="G1658" s="538">
        <v>725</v>
      </c>
    </row>
    <row r="1659" spans="1:7" x14ac:dyDescent="0.2">
      <c r="A1659" s="538">
        <v>5</v>
      </c>
      <c r="B1659" s="538" t="s">
        <v>6598</v>
      </c>
      <c r="C1659" s="538" t="s">
        <v>393</v>
      </c>
      <c r="D1659" s="538" t="s">
        <v>393</v>
      </c>
      <c r="E1659" s="538" t="s">
        <v>438</v>
      </c>
      <c r="F1659" s="538">
        <v>13946175</v>
      </c>
      <c r="G1659" s="538">
        <v>85</v>
      </c>
    </row>
    <row r="1660" spans="1:7" x14ac:dyDescent="0.2">
      <c r="A1660" s="538">
        <v>3</v>
      </c>
      <c r="B1660" s="538" t="s">
        <v>6591</v>
      </c>
      <c r="C1660" s="538" t="s">
        <v>393</v>
      </c>
      <c r="D1660" s="538" t="s">
        <v>393</v>
      </c>
      <c r="E1660" s="538" t="s">
        <v>860</v>
      </c>
      <c r="F1660" s="538">
        <v>1084958</v>
      </c>
      <c r="G1660" s="538">
        <v>26</v>
      </c>
    </row>
    <row r="1661" spans="1:7" x14ac:dyDescent="0.2">
      <c r="A1661" s="538">
        <v>6</v>
      </c>
      <c r="B1661" s="538" t="s">
        <v>6433</v>
      </c>
      <c r="C1661" s="538" t="s">
        <v>740</v>
      </c>
      <c r="D1661" s="538" t="s">
        <v>393</v>
      </c>
      <c r="E1661" s="538" t="s">
        <v>390</v>
      </c>
      <c r="F1661" s="538">
        <v>3609332</v>
      </c>
      <c r="G1661" s="538">
        <v>159</v>
      </c>
    </row>
    <row r="1662" spans="1:7" x14ac:dyDescent="0.2">
      <c r="A1662" s="538">
        <v>3</v>
      </c>
      <c r="B1662" s="538" t="s">
        <v>6586</v>
      </c>
      <c r="C1662" s="538" t="s">
        <v>740</v>
      </c>
      <c r="D1662" s="538" t="s">
        <v>740</v>
      </c>
      <c r="E1662" s="538" t="s">
        <v>202</v>
      </c>
      <c r="F1662" s="538">
        <v>11328</v>
      </c>
      <c r="G1662" s="538">
        <v>1</v>
      </c>
    </row>
    <row r="1663" spans="1:7" x14ac:dyDescent="0.2">
      <c r="A1663" s="538">
        <v>3</v>
      </c>
      <c r="B1663" s="538" t="s">
        <v>6578</v>
      </c>
      <c r="C1663" s="538" t="s">
        <v>740</v>
      </c>
      <c r="D1663" s="538" t="s">
        <v>740</v>
      </c>
      <c r="E1663" s="538" t="s">
        <v>209</v>
      </c>
      <c r="F1663" s="538">
        <v>620864</v>
      </c>
      <c r="G1663" s="538">
        <v>3</v>
      </c>
    </row>
    <row r="1664" spans="1:7" x14ac:dyDescent="0.2">
      <c r="A1664" s="538">
        <v>2</v>
      </c>
      <c r="B1664" s="538" t="s">
        <v>6573</v>
      </c>
      <c r="C1664" s="538" t="s">
        <v>740</v>
      </c>
      <c r="D1664" s="538" t="s">
        <v>740</v>
      </c>
      <c r="E1664" s="538" t="s">
        <v>202</v>
      </c>
      <c r="F1664" s="538">
        <v>570596</v>
      </c>
      <c r="G1664" s="538">
        <v>2</v>
      </c>
    </row>
    <row r="1665" spans="1:7" x14ac:dyDescent="0.2">
      <c r="A1665" s="538">
        <v>1</v>
      </c>
      <c r="B1665" s="538" t="s">
        <v>6595</v>
      </c>
      <c r="C1665" s="538" t="s">
        <v>393</v>
      </c>
      <c r="D1665" s="538" t="s">
        <v>393</v>
      </c>
      <c r="E1665" s="538" t="s">
        <v>438</v>
      </c>
      <c r="F1665" s="538">
        <v>3251532</v>
      </c>
      <c r="G1665" s="538">
        <v>19</v>
      </c>
    </row>
    <row r="1666" spans="1:7" x14ac:dyDescent="0.2">
      <c r="A1666" s="538">
        <v>2</v>
      </c>
      <c r="B1666" s="538" t="s">
        <v>6656</v>
      </c>
      <c r="C1666" s="538" t="s">
        <v>393</v>
      </c>
      <c r="D1666" s="538" t="s">
        <v>393</v>
      </c>
      <c r="E1666" s="538" t="s">
        <v>211</v>
      </c>
      <c r="F1666" s="538">
        <v>53693402</v>
      </c>
      <c r="G1666" s="538">
        <v>469</v>
      </c>
    </row>
    <row r="1667" spans="1:7" x14ac:dyDescent="0.2">
      <c r="A1667" s="538">
        <v>11</v>
      </c>
      <c r="B1667" s="538" t="s">
        <v>6610</v>
      </c>
      <c r="C1667" s="538" t="s">
        <v>740</v>
      </c>
      <c r="D1667" s="538" t="s">
        <v>393</v>
      </c>
      <c r="E1667" s="538" t="s">
        <v>860</v>
      </c>
      <c r="F1667" s="538">
        <v>67968</v>
      </c>
      <c r="G1667" s="538">
        <v>6</v>
      </c>
    </row>
    <row r="1668" spans="1:7" x14ac:dyDescent="0.2">
      <c r="A1668" s="538">
        <v>8</v>
      </c>
      <c r="B1668" s="538" t="s">
        <v>6658</v>
      </c>
      <c r="C1668" s="538" t="s">
        <v>393</v>
      </c>
      <c r="D1668" s="538" t="s">
        <v>393</v>
      </c>
      <c r="E1668" s="538" t="s">
        <v>210</v>
      </c>
      <c r="F1668" s="538">
        <v>1741399</v>
      </c>
      <c r="G1668" s="538">
        <v>48</v>
      </c>
    </row>
    <row r="1669" spans="1:7" x14ac:dyDescent="0.2">
      <c r="A1669" s="538">
        <v>9</v>
      </c>
      <c r="B1669" s="538" t="s">
        <v>6613</v>
      </c>
      <c r="C1669" s="538" t="s">
        <v>740</v>
      </c>
      <c r="D1669" s="538" t="s">
        <v>393</v>
      </c>
      <c r="E1669" s="538" t="s">
        <v>202</v>
      </c>
      <c r="F1669" s="538">
        <v>22656</v>
      </c>
      <c r="G1669" s="538">
        <v>2</v>
      </c>
    </row>
    <row r="1670" spans="1:7" x14ac:dyDescent="0.2">
      <c r="A1670" s="538">
        <v>6</v>
      </c>
      <c r="B1670" s="538" t="s">
        <v>6565</v>
      </c>
      <c r="C1670" s="538" t="s">
        <v>393</v>
      </c>
      <c r="D1670" s="538" t="s">
        <v>393</v>
      </c>
      <c r="E1670" s="538" t="s">
        <v>209</v>
      </c>
      <c r="F1670" s="538">
        <v>1003007</v>
      </c>
      <c r="G1670" s="538">
        <v>9</v>
      </c>
    </row>
    <row r="1671" spans="1:7" x14ac:dyDescent="0.2">
      <c r="A1671" s="538">
        <v>10</v>
      </c>
      <c r="B1671" s="538" t="s">
        <v>6664</v>
      </c>
      <c r="C1671" s="538" t="s">
        <v>740</v>
      </c>
      <c r="D1671" s="538" t="s">
        <v>393</v>
      </c>
      <c r="E1671" s="538" t="s">
        <v>401</v>
      </c>
      <c r="F1671" s="538">
        <v>11328</v>
      </c>
      <c r="G1671" s="538">
        <v>1</v>
      </c>
    </row>
    <row r="1672" spans="1:7" x14ac:dyDescent="0.2">
      <c r="A1672" s="538">
        <v>3</v>
      </c>
      <c r="B1672" s="538" t="s">
        <v>6578</v>
      </c>
      <c r="C1672" s="538" t="s">
        <v>740</v>
      </c>
      <c r="D1672" s="538" t="s">
        <v>393</v>
      </c>
      <c r="E1672" s="538" t="s">
        <v>438</v>
      </c>
      <c r="F1672" s="538">
        <v>1567408</v>
      </c>
      <c r="G1672" s="538">
        <v>16</v>
      </c>
    </row>
    <row r="1673" spans="1:7" x14ac:dyDescent="0.2">
      <c r="A1673" s="538">
        <v>6</v>
      </c>
      <c r="B1673" s="538" t="s">
        <v>1668</v>
      </c>
      <c r="C1673" s="538" t="s">
        <v>393</v>
      </c>
      <c r="D1673" s="538" t="s">
        <v>393</v>
      </c>
      <c r="E1673" s="538" t="s">
        <v>416</v>
      </c>
      <c r="F1673" s="538">
        <v>32753342</v>
      </c>
      <c r="G1673" s="538">
        <v>539</v>
      </c>
    </row>
    <row r="1674" spans="1:7" x14ac:dyDescent="0.2">
      <c r="A1674" s="538">
        <v>3</v>
      </c>
      <c r="B1674" s="538" t="s">
        <v>6586</v>
      </c>
      <c r="C1674" s="538" t="s">
        <v>740</v>
      </c>
      <c r="D1674" s="538" t="s">
        <v>393</v>
      </c>
      <c r="E1674" s="538" t="s">
        <v>860</v>
      </c>
      <c r="F1674" s="538">
        <v>14324777</v>
      </c>
      <c r="G1674" s="538">
        <v>529</v>
      </c>
    </row>
    <row r="1675" spans="1:7" x14ac:dyDescent="0.2">
      <c r="A1675" s="538">
        <v>8</v>
      </c>
      <c r="B1675" s="538" t="s">
        <v>6560</v>
      </c>
      <c r="C1675" s="538" t="s">
        <v>740</v>
      </c>
      <c r="D1675" s="538" t="s">
        <v>393</v>
      </c>
      <c r="E1675" s="538" t="s">
        <v>438</v>
      </c>
      <c r="F1675" s="538">
        <v>47538320</v>
      </c>
      <c r="G1675" s="538">
        <v>520</v>
      </c>
    </row>
    <row r="1676" spans="1:7" x14ac:dyDescent="0.2">
      <c r="A1676" s="538">
        <v>8</v>
      </c>
      <c r="B1676" s="538" t="s">
        <v>6560</v>
      </c>
      <c r="C1676" s="538" t="s">
        <v>740</v>
      </c>
      <c r="D1676" s="538" t="s">
        <v>393</v>
      </c>
      <c r="E1676" s="538" t="s">
        <v>206</v>
      </c>
      <c r="F1676" s="538">
        <v>627236</v>
      </c>
      <c r="G1676" s="538">
        <v>7</v>
      </c>
    </row>
    <row r="1677" spans="1:7" x14ac:dyDescent="0.2">
      <c r="A1677" s="538">
        <v>2</v>
      </c>
      <c r="B1677" s="538" t="s">
        <v>6662</v>
      </c>
      <c r="C1677" s="538" t="s">
        <v>740</v>
      </c>
      <c r="D1677" s="538" t="s">
        <v>393</v>
      </c>
      <c r="E1677" s="538" t="s">
        <v>209</v>
      </c>
      <c r="F1677" s="538">
        <v>793085</v>
      </c>
      <c r="G1677" s="538">
        <v>5</v>
      </c>
    </row>
    <row r="1678" spans="1:7" x14ac:dyDescent="0.2">
      <c r="A1678" s="538">
        <v>7</v>
      </c>
      <c r="B1678" s="538" t="s">
        <v>6655</v>
      </c>
      <c r="C1678" s="538" t="s">
        <v>740</v>
      </c>
      <c r="D1678" s="538" t="s">
        <v>393</v>
      </c>
      <c r="E1678" s="538" t="s">
        <v>212</v>
      </c>
      <c r="F1678" s="538">
        <v>2048192</v>
      </c>
      <c r="G1678" s="538">
        <v>129</v>
      </c>
    </row>
    <row r="1679" spans="1:7" x14ac:dyDescent="0.2">
      <c r="A1679" s="538">
        <v>9</v>
      </c>
      <c r="B1679" s="538" t="s">
        <v>6606</v>
      </c>
      <c r="C1679" s="538" t="s">
        <v>393</v>
      </c>
      <c r="D1679" s="538" t="s">
        <v>393</v>
      </c>
      <c r="E1679" s="538" t="s">
        <v>438</v>
      </c>
      <c r="F1679" s="538">
        <v>5950324</v>
      </c>
      <c r="G1679" s="538">
        <v>63</v>
      </c>
    </row>
    <row r="1680" spans="1:7" x14ac:dyDescent="0.2">
      <c r="A1680" s="538">
        <v>4</v>
      </c>
      <c r="B1680" s="538" t="s">
        <v>6593</v>
      </c>
      <c r="C1680" s="538" t="s">
        <v>740</v>
      </c>
      <c r="D1680" s="538" t="s">
        <v>393</v>
      </c>
      <c r="E1680" s="538" t="s">
        <v>230</v>
      </c>
      <c r="F1680" s="538">
        <v>48616103</v>
      </c>
      <c r="G1680" s="538">
        <v>996</v>
      </c>
    </row>
    <row r="1681" spans="1:7" x14ac:dyDescent="0.2">
      <c r="A1681" s="538">
        <v>1</v>
      </c>
      <c r="B1681" s="538" t="s">
        <v>6649</v>
      </c>
      <c r="C1681" s="538" t="s">
        <v>740</v>
      </c>
      <c r="D1681" s="538" t="s">
        <v>393</v>
      </c>
      <c r="E1681" s="538" t="s">
        <v>416</v>
      </c>
      <c r="F1681" s="538">
        <v>22656</v>
      </c>
      <c r="G1681" s="538">
        <v>2</v>
      </c>
    </row>
    <row r="1682" spans="1:7" x14ac:dyDescent="0.2">
      <c r="A1682" s="538">
        <v>11</v>
      </c>
      <c r="B1682" s="538" t="s">
        <v>6659</v>
      </c>
      <c r="C1682" s="538" t="s">
        <v>393</v>
      </c>
      <c r="D1682" s="538" t="s">
        <v>393</v>
      </c>
      <c r="E1682" s="538" t="s">
        <v>402</v>
      </c>
      <c r="F1682" s="538">
        <v>3665816</v>
      </c>
      <c r="G1682" s="538">
        <v>72</v>
      </c>
    </row>
    <row r="1683" spans="1:7" x14ac:dyDescent="0.2">
      <c r="A1683" s="538">
        <v>6</v>
      </c>
      <c r="B1683" s="538" t="s">
        <v>6596</v>
      </c>
      <c r="C1683" s="538" t="s">
        <v>740</v>
      </c>
      <c r="D1683" s="538" t="s">
        <v>393</v>
      </c>
      <c r="E1683" s="538" t="s">
        <v>401</v>
      </c>
      <c r="F1683" s="538">
        <v>101952</v>
      </c>
      <c r="G1683" s="538">
        <v>9</v>
      </c>
    </row>
    <row r="1684" spans="1:7" x14ac:dyDescent="0.2">
      <c r="A1684" s="538">
        <v>10</v>
      </c>
      <c r="B1684" s="538" t="s">
        <v>6587</v>
      </c>
      <c r="C1684" s="538" t="s">
        <v>740</v>
      </c>
      <c r="D1684" s="538" t="s">
        <v>740</v>
      </c>
      <c r="E1684" s="538" t="s">
        <v>409</v>
      </c>
      <c r="F1684" s="538">
        <v>67968</v>
      </c>
      <c r="G1684" s="538">
        <v>6</v>
      </c>
    </row>
    <row r="1685" spans="1:7" x14ac:dyDescent="0.2">
      <c r="A1685" s="538">
        <v>8</v>
      </c>
      <c r="B1685" s="538" t="s">
        <v>6560</v>
      </c>
      <c r="C1685" s="538" t="s">
        <v>393</v>
      </c>
      <c r="D1685" s="538" t="s">
        <v>393</v>
      </c>
      <c r="E1685" s="538" t="s">
        <v>449</v>
      </c>
      <c r="F1685" s="538">
        <v>197355</v>
      </c>
      <c r="G1685" s="538">
        <v>5</v>
      </c>
    </row>
    <row r="1686" spans="1:7" x14ac:dyDescent="0.2">
      <c r="A1686" s="538">
        <v>2</v>
      </c>
      <c r="B1686" s="538" t="s">
        <v>6585</v>
      </c>
      <c r="C1686" s="538" t="s">
        <v>740</v>
      </c>
      <c r="D1686" s="538" t="s">
        <v>740</v>
      </c>
      <c r="E1686" s="538" t="s">
        <v>230</v>
      </c>
      <c r="F1686" s="538">
        <v>50268</v>
      </c>
      <c r="G1686" s="538">
        <v>1</v>
      </c>
    </row>
    <row r="1687" spans="1:7" x14ac:dyDescent="0.2">
      <c r="A1687" s="538">
        <v>1</v>
      </c>
      <c r="B1687" s="538" t="s">
        <v>6595</v>
      </c>
      <c r="C1687" s="538" t="s">
        <v>393</v>
      </c>
      <c r="D1687" s="538" t="s">
        <v>740</v>
      </c>
      <c r="E1687" s="538" t="s">
        <v>207</v>
      </c>
      <c r="F1687" s="538">
        <v>470643</v>
      </c>
      <c r="G1687" s="538">
        <v>36</v>
      </c>
    </row>
    <row r="1688" spans="1:7" x14ac:dyDescent="0.2">
      <c r="A1688" s="538">
        <v>8</v>
      </c>
      <c r="B1688" s="538" t="s">
        <v>6577</v>
      </c>
      <c r="C1688" s="538" t="s">
        <v>740</v>
      </c>
      <c r="D1688" s="538" t="s">
        <v>393</v>
      </c>
      <c r="E1688" s="538" t="s">
        <v>313</v>
      </c>
      <c r="F1688" s="538">
        <v>39440038</v>
      </c>
      <c r="G1688" s="538">
        <v>351</v>
      </c>
    </row>
    <row r="1689" spans="1:7" x14ac:dyDescent="0.2">
      <c r="A1689" s="538">
        <v>9</v>
      </c>
      <c r="B1689" s="538" t="s">
        <v>6657</v>
      </c>
      <c r="C1689" s="538" t="s">
        <v>740</v>
      </c>
      <c r="D1689" s="538" t="s">
        <v>393</v>
      </c>
      <c r="E1689" s="538" t="s">
        <v>210</v>
      </c>
      <c r="F1689" s="538">
        <v>11328</v>
      </c>
      <c r="G1689" s="538">
        <v>1</v>
      </c>
    </row>
    <row r="1690" spans="1:7" x14ac:dyDescent="0.2">
      <c r="A1690" s="538">
        <v>5</v>
      </c>
      <c r="B1690" s="538" t="s">
        <v>6598</v>
      </c>
      <c r="C1690" s="538" t="s">
        <v>393</v>
      </c>
      <c r="D1690" s="538" t="s">
        <v>740</v>
      </c>
      <c r="E1690" s="538" t="s">
        <v>207</v>
      </c>
      <c r="F1690" s="538">
        <v>4588621</v>
      </c>
      <c r="G1690" s="538">
        <v>242</v>
      </c>
    </row>
    <row r="1691" spans="1:7" x14ac:dyDescent="0.2">
      <c r="A1691" s="538">
        <v>8</v>
      </c>
      <c r="B1691" s="538" t="s">
        <v>6560</v>
      </c>
      <c r="C1691" s="538" t="s">
        <v>740</v>
      </c>
      <c r="D1691" s="538" t="s">
        <v>740</v>
      </c>
      <c r="E1691" s="538" t="s">
        <v>207</v>
      </c>
      <c r="F1691" s="538">
        <v>1699377</v>
      </c>
      <c r="G1691" s="538">
        <v>94</v>
      </c>
    </row>
    <row r="1692" spans="1:7" x14ac:dyDescent="0.2">
      <c r="A1692" s="538">
        <v>10</v>
      </c>
      <c r="B1692" s="538" t="s">
        <v>6597</v>
      </c>
      <c r="C1692" s="538" t="s">
        <v>393</v>
      </c>
      <c r="D1692" s="538" t="s">
        <v>740</v>
      </c>
      <c r="E1692" s="538" t="s">
        <v>211</v>
      </c>
      <c r="F1692" s="538">
        <v>11328</v>
      </c>
      <c r="G1692" s="538">
        <v>1</v>
      </c>
    </row>
    <row r="1693" spans="1:7" x14ac:dyDescent="0.2">
      <c r="A1693" s="538">
        <v>11</v>
      </c>
      <c r="B1693" s="538" t="s">
        <v>6610</v>
      </c>
      <c r="C1693" s="538" t="s">
        <v>393</v>
      </c>
      <c r="D1693" s="538" t="s">
        <v>740</v>
      </c>
      <c r="E1693" s="538" t="s">
        <v>202</v>
      </c>
      <c r="F1693" s="538">
        <v>1287040</v>
      </c>
      <c r="G1693" s="538">
        <v>10</v>
      </c>
    </row>
    <row r="1694" spans="1:7" x14ac:dyDescent="0.2">
      <c r="A1694" s="538">
        <v>3</v>
      </c>
      <c r="B1694" s="538" t="s">
        <v>6578</v>
      </c>
      <c r="C1694" s="538" t="s">
        <v>740</v>
      </c>
      <c r="D1694" s="538" t="s">
        <v>393</v>
      </c>
      <c r="E1694" s="538" t="s">
        <v>860</v>
      </c>
      <c r="F1694" s="538">
        <v>11328</v>
      </c>
      <c r="G1694" s="538">
        <v>1</v>
      </c>
    </row>
    <row r="1695" spans="1:7" x14ac:dyDescent="0.2">
      <c r="A1695" s="538">
        <v>3</v>
      </c>
      <c r="B1695" s="538" t="s">
        <v>6586</v>
      </c>
      <c r="C1695" s="538" t="s">
        <v>740</v>
      </c>
      <c r="D1695" s="538" t="s">
        <v>393</v>
      </c>
      <c r="E1695" s="538" t="s">
        <v>207</v>
      </c>
      <c r="F1695" s="538">
        <v>254172</v>
      </c>
      <c r="G1695" s="538">
        <v>19</v>
      </c>
    </row>
    <row r="1696" spans="1:7" x14ac:dyDescent="0.2">
      <c r="A1696" s="538">
        <v>5</v>
      </c>
      <c r="B1696" s="538" t="s">
        <v>6650</v>
      </c>
      <c r="C1696" s="538" t="s">
        <v>393</v>
      </c>
      <c r="D1696" s="538" t="s">
        <v>740</v>
      </c>
      <c r="E1696" s="538" t="s">
        <v>210</v>
      </c>
      <c r="F1696" s="538">
        <v>158415</v>
      </c>
      <c r="G1696" s="538">
        <v>5</v>
      </c>
    </row>
    <row r="1697" spans="1:7" x14ac:dyDescent="0.2">
      <c r="A1697" s="538">
        <v>9</v>
      </c>
      <c r="B1697" s="538" t="s">
        <v>6644</v>
      </c>
      <c r="C1697" s="538" t="s">
        <v>393</v>
      </c>
      <c r="D1697" s="538" t="s">
        <v>393</v>
      </c>
      <c r="E1697" s="538" t="s">
        <v>860</v>
      </c>
      <c r="F1697" s="538">
        <v>3163844</v>
      </c>
      <c r="G1697" s="538">
        <v>38</v>
      </c>
    </row>
    <row r="1698" spans="1:7" x14ac:dyDescent="0.2">
      <c r="A1698" s="538">
        <v>3</v>
      </c>
      <c r="B1698" s="538" t="s">
        <v>6647</v>
      </c>
      <c r="C1698" s="538" t="s">
        <v>740</v>
      </c>
      <c r="D1698" s="538" t="s">
        <v>393</v>
      </c>
      <c r="E1698" s="538" t="s">
        <v>390</v>
      </c>
      <c r="F1698" s="538">
        <v>3099801</v>
      </c>
      <c r="G1698" s="538">
        <v>132</v>
      </c>
    </row>
    <row r="1699" spans="1:7" x14ac:dyDescent="0.2">
      <c r="A1699" s="538">
        <v>1</v>
      </c>
      <c r="B1699" s="538" t="s">
        <v>6581</v>
      </c>
      <c r="C1699" s="538" t="s">
        <v>393</v>
      </c>
      <c r="D1699" s="538" t="s">
        <v>393</v>
      </c>
      <c r="E1699" s="538" t="s">
        <v>313</v>
      </c>
      <c r="F1699" s="538">
        <v>1363681</v>
      </c>
      <c r="G1699" s="538">
        <v>7</v>
      </c>
    </row>
    <row r="1700" spans="1:7" x14ac:dyDescent="0.2">
      <c r="A1700" s="538">
        <v>7</v>
      </c>
      <c r="B1700" s="538" t="s">
        <v>6571</v>
      </c>
      <c r="C1700" s="538" t="s">
        <v>740</v>
      </c>
      <c r="D1700" s="538" t="s">
        <v>393</v>
      </c>
      <c r="E1700" s="538" t="s">
        <v>390</v>
      </c>
      <c r="F1700" s="538">
        <v>96819</v>
      </c>
      <c r="G1700" s="538">
        <v>3</v>
      </c>
    </row>
    <row r="1701" spans="1:7" x14ac:dyDescent="0.2">
      <c r="A1701" s="538">
        <v>3</v>
      </c>
      <c r="B1701" s="538" t="s">
        <v>6603</v>
      </c>
      <c r="C1701" s="538" t="s">
        <v>393</v>
      </c>
      <c r="D1701" s="538" t="s">
        <v>393</v>
      </c>
      <c r="E1701" s="538" t="s">
        <v>449</v>
      </c>
      <c r="F1701" s="538">
        <v>449049</v>
      </c>
      <c r="G1701" s="538">
        <v>23</v>
      </c>
    </row>
    <row r="1702" spans="1:7" x14ac:dyDescent="0.2">
      <c r="A1702" s="538">
        <v>8</v>
      </c>
      <c r="B1702" s="538" t="s">
        <v>6577</v>
      </c>
      <c r="C1702" s="538" t="s">
        <v>740</v>
      </c>
      <c r="D1702" s="538" t="s">
        <v>740</v>
      </c>
      <c r="E1702" s="538" t="s">
        <v>207</v>
      </c>
      <c r="F1702" s="538">
        <v>11328</v>
      </c>
      <c r="G1702" s="538">
        <v>1</v>
      </c>
    </row>
    <row r="1703" spans="1:7" x14ac:dyDescent="0.2">
      <c r="A1703" s="538">
        <v>8</v>
      </c>
      <c r="B1703" s="538" t="s">
        <v>6570</v>
      </c>
      <c r="C1703" s="538" t="s">
        <v>740</v>
      </c>
      <c r="D1703" s="538" t="s">
        <v>393</v>
      </c>
      <c r="E1703" s="538" t="s">
        <v>210</v>
      </c>
      <c r="F1703" s="538">
        <v>2928538</v>
      </c>
      <c r="G1703" s="538">
        <v>106</v>
      </c>
    </row>
    <row r="1704" spans="1:7" x14ac:dyDescent="0.2">
      <c r="A1704" s="538">
        <v>3</v>
      </c>
      <c r="B1704" s="538" t="s">
        <v>6591</v>
      </c>
      <c r="C1704" s="538" t="s">
        <v>740</v>
      </c>
      <c r="D1704" s="538" t="s">
        <v>393</v>
      </c>
      <c r="E1704" s="538" t="s">
        <v>210</v>
      </c>
      <c r="F1704" s="538">
        <v>11328</v>
      </c>
      <c r="G1704" s="538">
        <v>1</v>
      </c>
    </row>
    <row r="1705" spans="1:7" x14ac:dyDescent="0.2">
      <c r="A1705" s="538">
        <v>12</v>
      </c>
      <c r="B1705" s="538" t="s">
        <v>6569</v>
      </c>
      <c r="C1705" s="538" t="s">
        <v>740</v>
      </c>
      <c r="D1705" s="538" t="s">
        <v>393</v>
      </c>
      <c r="E1705" s="538" t="s">
        <v>202</v>
      </c>
      <c r="F1705" s="538">
        <v>10214317</v>
      </c>
      <c r="G1705" s="538">
        <v>49</v>
      </c>
    </row>
    <row r="1706" spans="1:7" x14ac:dyDescent="0.2">
      <c r="A1706" s="538">
        <v>4</v>
      </c>
      <c r="B1706" s="538" t="s">
        <v>6574</v>
      </c>
      <c r="C1706" s="538" t="s">
        <v>740</v>
      </c>
      <c r="D1706" s="538" t="s">
        <v>393</v>
      </c>
      <c r="E1706" s="538" t="s">
        <v>860</v>
      </c>
      <c r="F1706" s="538">
        <v>1372458</v>
      </c>
      <c r="G1706" s="538">
        <v>81</v>
      </c>
    </row>
    <row r="1707" spans="1:7" x14ac:dyDescent="0.2">
      <c r="A1707" s="538">
        <v>10</v>
      </c>
      <c r="B1707" s="538" t="s">
        <v>6600</v>
      </c>
      <c r="C1707" s="538" t="s">
        <v>393</v>
      </c>
      <c r="D1707" s="538" t="s">
        <v>393</v>
      </c>
      <c r="E1707" s="538" t="s">
        <v>211</v>
      </c>
      <c r="F1707" s="538">
        <v>7405868</v>
      </c>
      <c r="G1707" s="538">
        <v>76</v>
      </c>
    </row>
    <row r="1708" spans="1:7" x14ac:dyDescent="0.2">
      <c r="A1708" s="538">
        <v>8</v>
      </c>
      <c r="B1708" s="538" t="s">
        <v>6567</v>
      </c>
      <c r="C1708" s="538" t="s">
        <v>740</v>
      </c>
      <c r="D1708" s="538" t="s">
        <v>393</v>
      </c>
      <c r="E1708" s="538" t="s">
        <v>207</v>
      </c>
      <c r="F1708" s="538">
        <v>33984</v>
      </c>
      <c r="G1708" s="538">
        <v>3</v>
      </c>
    </row>
    <row r="1709" spans="1:7" x14ac:dyDescent="0.2">
      <c r="A1709" s="538">
        <v>3</v>
      </c>
      <c r="B1709" s="538" t="s">
        <v>6586</v>
      </c>
      <c r="C1709" s="538" t="s">
        <v>740</v>
      </c>
      <c r="D1709" s="538" t="s">
        <v>740</v>
      </c>
      <c r="E1709" s="538" t="s">
        <v>211</v>
      </c>
      <c r="F1709" s="538">
        <v>1338724</v>
      </c>
      <c r="G1709" s="538">
        <v>18</v>
      </c>
    </row>
    <row r="1710" spans="1:7" x14ac:dyDescent="0.2">
      <c r="A1710" s="538">
        <v>6</v>
      </c>
      <c r="B1710" s="538" t="s">
        <v>1668</v>
      </c>
      <c r="C1710" s="538" t="s">
        <v>393</v>
      </c>
      <c r="D1710" s="538" t="s">
        <v>393</v>
      </c>
      <c r="E1710" s="538" t="s">
        <v>390</v>
      </c>
      <c r="F1710" s="538">
        <v>5185944</v>
      </c>
      <c r="G1710" s="538">
        <v>128</v>
      </c>
    </row>
    <row r="1711" spans="1:7" x14ac:dyDescent="0.2">
      <c r="A1711" s="538">
        <v>10</v>
      </c>
      <c r="B1711" s="538" t="s">
        <v>6664</v>
      </c>
      <c r="C1711" s="538" t="s">
        <v>393</v>
      </c>
      <c r="D1711" s="538" t="s">
        <v>393</v>
      </c>
      <c r="E1711" s="538" t="s">
        <v>209</v>
      </c>
      <c r="F1711" s="538">
        <v>546701</v>
      </c>
      <c r="G1711" s="538">
        <v>2</v>
      </c>
    </row>
    <row r="1712" spans="1:7" x14ac:dyDescent="0.2">
      <c r="A1712" s="538">
        <v>3</v>
      </c>
      <c r="B1712" s="538" t="s">
        <v>6586</v>
      </c>
      <c r="C1712" s="538" t="s">
        <v>740</v>
      </c>
      <c r="D1712" s="538" t="s">
        <v>393</v>
      </c>
      <c r="E1712" s="538" t="s">
        <v>449</v>
      </c>
      <c r="F1712" s="538">
        <v>33984</v>
      </c>
      <c r="G1712" s="538">
        <v>3</v>
      </c>
    </row>
    <row r="1713" spans="1:7" x14ac:dyDescent="0.2">
      <c r="A1713" s="538">
        <v>6</v>
      </c>
      <c r="B1713" s="538" t="s">
        <v>6617</v>
      </c>
      <c r="C1713" s="538" t="s">
        <v>740</v>
      </c>
      <c r="D1713" s="538" t="s">
        <v>393</v>
      </c>
      <c r="E1713" s="538" t="s">
        <v>211</v>
      </c>
      <c r="F1713" s="538">
        <v>11328</v>
      </c>
      <c r="G1713" s="538">
        <v>1</v>
      </c>
    </row>
    <row r="1714" spans="1:7" x14ac:dyDescent="0.2">
      <c r="A1714" s="538">
        <v>1</v>
      </c>
      <c r="B1714" s="538" t="s">
        <v>6602</v>
      </c>
      <c r="C1714" s="538" t="s">
        <v>740</v>
      </c>
      <c r="D1714" s="538" t="s">
        <v>393</v>
      </c>
      <c r="E1714" s="538" t="s">
        <v>860</v>
      </c>
      <c r="F1714" s="538">
        <v>4150192</v>
      </c>
      <c r="G1714" s="538">
        <v>184</v>
      </c>
    </row>
    <row r="1715" spans="1:7" x14ac:dyDescent="0.2">
      <c r="A1715" s="538">
        <v>7</v>
      </c>
      <c r="B1715" s="538" t="s">
        <v>6580</v>
      </c>
      <c r="C1715" s="538" t="s">
        <v>740</v>
      </c>
      <c r="D1715" s="538" t="s">
        <v>393</v>
      </c>
      <c r="E1715" s="538" t="s">
        <v>209</v>
      </c>
      <c r="F1715" s="538">
        <v>2442090</v>
      </c>
      <c r="G1715" s="538">
        <v>20</v>
      </c>
    </row>
    <row r="1716" spans="1:7" x14ac:dyDescent="0.2">
      <c r="A1716" s="538">
        <v>3</v>
      </c>
      <c r="B1716" s="538" t="s">
        <v>6586</v>
      </c>
      <c r="C1716" s="538" t="s">
        <v>393</v>
      </c>
      <c r="D1716" s="538" t="s">
        <v>393</v>
      </c>
      <c r="E1716" s="538" t="s">
        <v>209</v>
      </c>
      <c r="F1716" s="538">
        <v>3039007</v>
      </c>
      <c r="G1716" s="538">
        <v>14</v>
      </c>
    </row>
    <row r="1717" spans="1:7" x14ac:dyDescent="0.2">
      <c r="A1717" s="538">
        <v>3</v>
      </c>
      <c r="B1717" s="538" t="s">
        <v>6591</v>
      </c>
      <c r="C1717" s="538" t="s">
        <v>740</v>
      </c>
      <c r="D1717" s="538" t="s">
        <v>393</v>
      </c>
      <c r="E1717" s="538" t="s">
        <v>401</v>
      </c>
      <c r="F1717" s="538">
        <v>45312</v>
      </c>
      <c r="G1717" s="538">
        <v>4</v>
      </c>
    </row>
    <row r="1718" spans="1:7" x14ac:dyDescent="0.2">
      <c r="A1718" s="538">
        <v>12</v>
      </c>
      <c r="B1718" s="538" t="s">
        <v>6569</v>
      </c>
      <c r="C1718" s="538" t="s">
        <v>393</v>
      </c>
      <c r="D1718" s="538" t="s">
        <v>393</v>
      </c>
      <c r="E1718" s="538" t="s">
        <v>402</v>
      </c>
      <c r="F1718" s="538">
        <v>1869599</v>
      </c>
      <c r="G1718" s="538">
        <v>53</v>
      </c>
    </row>
    <row r="1719" spans="1:7" x14ac:dyDescent="0.2">
      <c r="A1719" s="538">
        <v>6</v>
      </c>
      <c r="B1719" s="538" t="s">
        <v>1668</v>
      </c>
      <c r="C1719" s="538" t="s">
        <v>393</v>
      </c>
      <c r="D1719" s="538" t="s">
        <v>393</v>
      </c>
      <c r="E1719" s="538" t="s">
        <v>202</v>
      </c>
      <c r="F1719" s="538">
        <v>8247347</v>
      </c>
      <c r="G1719" s="538">
        <v>49</v>
      </c>
    </row>
    <row r="1720" spans="1:7" x14ac:dyDescent="0.2">
      <c r="A1720" s="538">
        <v>11</v>
      </c>
      <c r="B1720" s="538" t="s">
        <v>6592</v>
      </c>
      <c r="C1720" s="538" t="s">
        <v>740</v>
      </c>
      <c r="D1720" s="538" t="s">
        <v>393</v>
      </c>
      <c r="E1720" s="538" t="s">
        <v>438</v>
      </c>
      <c r="F1720" s="538">
        <v>4434423</v>
      </c>
      <c r="G1720" s="538">
        <v>46</v>
      </c>
    </row>
    <row r="1721" spans="1:7" x14ac:dyDescent="0.2">
      <c r="A1721" s="538">
        <v>11</v>
      </c>
      <c r="B1721" s="538" t="s">
        <v>6584</v>
      </c>
      <c r="C1721" s="538" t="s">
        <v>740</v>
      </c>
      <c r="D1721" s="538" t="s">
        <v>740</v>
      </c>
      <c r="E1721" s="538" t="s">
        <v>409</v>
      </c>
      <c r="F1721" s="538">
        <v>45312</v>
      </c>
      <c r="G1721" s="538">
        <v>4</v>
      </c>
    </row>
    <row r="1722" spans="1:7" x14ac:dyDescent="0.2">
      <c r="A1722" s="538">
        <v>7</v>
      </c>
      <c r="B1722" s="538" t="s">
        <v>6579</v>
      </c>
      <c r="C1722" s="538" t="s">
        <v>740</v>
      </c>
      <c r="D1722" s="538" t="s">
        <v>393</v>
      </c>
      <c r="E1722" s="538" t="s">
        <v>416</v>
      </c>
      <c r="F1722" s="538">
        <v>79298337</v>
      </c>
      <c r="G1722" s="538">
        <v>1789</v>
      </c>
    </row>
    <row r="1723" spans="1:7" x14ac:dyDescent="0.2">
      <c r="A1723" s="538">
        <v>6</v>
      </c>
      <c r="B1723" s="538" t="s">
        <v>6429</v>
      </c>
      <c r="C1723" s="538" t="s">
        <v>393</v>
      </c>
      <c r="D1723" s="538" t="s">
        <v>393</v>
      </c>
      <c r="E1723" s="538" t="s">
        <v>202</v>
      </c>
      <c r="F1723" s="538">
        <v>916277</v>
      </c>
      <c r="G1723" s="538">
        <v>9</v>
      </c>
    </row>
    <row r="1724" spans="1:7" x14ac:dyDescent="0.2">
      <c r="A1724" s="538">
        <v>1</v>
      </c>
      <c r="B1724" s="538" t="s">
        <v>6609</v>
      </c>
      <c r="C1724" s="538" t="s">
        <v>740</v>
      </c>
      <c r="D1724" s="538" t="s">
        <v>740</v>
      </c>
      <c r="E1724" s="538" t="s">
        <v>860</v>
      </c>
      <c r="F1724" s="538">
        <v>11328</v>
      </c>
      <c r="G1724" s="538">
        <v>1</v>
      </c>
    </row>
    <row r="1725" spans="1:7" x14ac:dyDescent="0.2">
      <c r="A1725" s="538">
        <v>10</v>
      </c>
      <c r="B1725" s="538" t="s">
        <v>6652</v>
      </c>
      <c r="C1725" s="538" t="s">
        <v>393</v>
      </c>
      <c r="D1725" s="538" t="s">
        <v>393</v>
      </c>
      <c r="E1725" s="538" t="s">
        <v>207</v>
      </c>
      <c r="F1725" s="538">
        <v>1329395</v>
      </c>
      <c r="G1725" s="538">
        <v>60</v>
      </c>
    </row>
    <row r="1726" spans="1:7" x14ac:dyDescent="0.2">
      <c r="A1726" s="538">
        <v>7</v>
      </c>
      <c r="B1726" s="538" t="s">
        <v>6580</v>
      </c>
      <c r="C1726" s="538" t="s">
        <v>393</v>
      </c>
      <c r="D1726" s="538" t="s">
        <v>393</v>
      </c>
      <c r="E1726" s="538" t="s">
        <v>313</v>
      </c>
      <c r="F1726" s="538">
        <v>1139953</v>
      </c>
      <c r="G1726" s="538">
        <v>6</v>
      </c>
    </row>
    <row r="1727" spans="1:7" x14ac:dyDescent="0.2">
      <c r="A1727" s="538">
        <v>4</v>
      </c>
      <c r="B1727" s="538" t="s">
        <v>6574</v>
      </c>
      <c r="C1727" s="538" t="s">
        <v>740</v>
      </c>
      <c r="D1727" s="538" t="s">
        <v>740</v>
      </c>
      <c r="E1727" s="538" t="s">
        <v>449</v>
      </c>
      <c r="F1727" s="538">
        <v>939870</v>
      </c>
      <c r="G1727" s="538">
        <v>65</v>
      </c>
    </row>
    <row r="1728" spans="1:7" x14ac:dyDescent="0.2">
      <c r="A1728" s="538">
        <v>2</v>
      </c>
      <c r="B1728" s="538" t="s">
        <v>6573</v>
      </c>
      <c r="C1728" s="538" t="s">
        <v>740</v>
      </c>
      <c r="D1728" s="538" t="s">
        <v>393</v>
      </c>
      <c r="E1728" s="538" t="s">
        <v>401</v>
      </c>
      <c r="F1728" s="538">
        <v>74163</v>
      </c>
      <c r="G1728" s="538">
        <v>1</v>
      </c>
    </row>
    <row r="1729" spans="1:7" x14ac:dyDescent="0.2">
      <c r="A1729" s="538">
        <v>6</v>
      </c>
      <c r="B1729" s="538" t="s">
        <v>6596</v>
      </c>
      <c r="C1729" s="538" t="s">
        <v>740</v>
      </c>
      <c r="D1729" s="538" t="s">
        <v>393</v>
      </c>
      <c r="E1729" s="538" t="s">
        <v>402</v>
      </c>
      <c r="F1729" s="538">
        <v>856503</v>
      </c>
      <c r="G1729" s="538">
        <v>41</v>
      </c>
    </row>
    <row r="1730" spans="1:7" x14ac:dyDescent="0.2">
      <c r="A1730" s="538">
        <v>2</v>
      </c>
      <c r="B1730" s="538" t="s">
        <v>6662</v>
      </c>
      <c r="C1730" s="538" t="s">
        <v>740</v>
      </c>
      <c r="D1730" s="538" t="s">
        <v>393</v>
      </c>
      <c r="E1730" s="538" t="s">
        <v>207</v>
      </c>
      <c r="F1730" s="538">
        <v>22656</v>
      </c>
      <c r="G1730" s="538">
        <v>2</v>
      </c>
    </row>
    <row r="1731" spans="1:7" x14ac:dyDescent="0.2">
      <c r="A1731" s="538">
        <v>3</v>
      </c>
      <c r="B1731" s="538" t="s">
        <v>6586</v>
      </c>
      <c r="C1731" s="538" t="s">
        <v>393</v>
      </c>
      <c r="D1731" s="538" t="s">
        <v>740</v>
      </c>
      <c r="E1731" s="538" t="s">
        <v>438</v>
      </c>
      <c r="F1731" s="538">
        <v>74163</v>
      </c>
      <c r="G1731" s="538">
        <v>1</v>
      </c>
    </row>
    <row r="1732" spans="1:7" x14ac:dyDescent="0.2">
      <c r="A1732" s="538">
        <v>4</v>
      </c>
      <c r="B1732" s="538" t="s">
        <v>6590</v>
      </c>
      <c r="C1732" s="538" t="s">
        <v>740</v>
      </c>
      <c r="D1732" s="538" t="s">
        <v>393</v>
      </c>
      <c r="E1732" s="538" t="s">
        <v>313</v>
      </c>
      <c r="F1732" s="538">
        <v>3574609</v>
      </c>
      <c r="G1732" s="538">
        <v>28</v>
      </c>
    </row>
    <row r="1733" spans="1:7" x14ac:dyDescent="0.2">
      <c r="A1733" s="538">
        <v>9</v>
      </c>
      <c r="B1733" s="538" t="s">
        <v>6606</v>
      </c>
      <c r="C1733" s="538" t="s">
        <v>740</v>
      </c>
      <c r="D1733" s="538" t="s">
        <v>393</v>
      </c>
      <c r="E1733" s="538" t="s">
        <v>438</v>
      </c>
      <c r="F1733" s="538">
        <v>8891169</v>
      </c>
      <c r="G1733" s="538">
        <v>63</v>
      </c>
    </row>
    <row r="1734" spans="1:7" x14ac:dyDescent="0.2">
      <c r="A1734" s="538">
        <v>1</v>
      </c>
      <c r="B1734" s="538" t="s">
        <v>6649</v>
      </c>
      <c r="C1734" s="538" t="s">
        <v>393</v>
      </c>
      <c r="D1734" s="538" t="s">
        <v>393</v>
      </c>
      <c r="E1734" s="538" t="s">
        <v>402</v>
      </c>
      <c r="F1734" s="538">
        <v>1738744</v>
      </c>
      <c r="G1734" s="538">
        <v>43</v>
      </c>
    </row>
    <row r="1735" spans="1:7" x14ac:dyDescent="0.2">
      <c r="A1735" s="538">
        <v>4</v>
      </c>
      <c r="B1735" s="538" t="s">
        <v>6572</v>
      </c>
      <c r="C1735" s="538" t="s">
        <v>740</v>
      </c>
      <c r="D1735" s="538" t="s">
        <v>393</v>
      </c>
      <c r="E1735" s="538" t="s">
        <v>230</v>
      </c>
      <c r="F1735" s="538">
        <v>182310</v>
      </c>
      <c r="G1735" s="538">
        <v>5</v>
      </c>
    </row>
    <row r="1736" spans="1:7" x14ac:dyDescent="0.2">
      <c r="A1736" s="538">
        <v>2</v>
      </c>
      <c r="B1736" s="538" t="s">
        <v>6585</v>
      </c>
      <c r="C1736" s="538" t="s">
        <v>740</v>
      </c>
      <c r="D1736" s="538" t="s">
        <v>393</v>
      </c>
      <c r="E1736" s="538" t="s">
        <v>211</v>
      </c>
      <c r="F1736" s="538">
        <v>1884238</v>
      </c>
      <c r="G1736" s="538">
        <v>31</v>
      </c>
    </row>
    <row r="1737" spans="1:7" x14ac:dyDescent="0.2">
      <c r="A1737" s="538">
        <v>3</v>
      </c>
      <c r="B1737" s="538" t="s">
        <v>6561</v>
      </c>
      <c r="C1737" s="538" t="s">
        <v>740</v>
      </c>
      <c r="D1737" s="538" t="s">
        <v>393</v>
      </c>
      <c r="E1737" s="538" t="s">
        <v>438</v>
      </c>
      <c r="F1737" s="538">
        <v>2183316</v>
      </c>
      <c r="G1737" s="538">
        <v>22</v>
      </c>
    </row>
    <row r="1738" spans="1:7" x14ac:dyDescent="0.2">
      <c r="A1738" s="538">
        <v>7</v>
      </c>
      <c r="B1738" s="538" t="s">
        <v>6604</v>
      </c>
      <c r="C1738" s="538" t="s">
        <v>740</v>
      </c>
      <c r="D1738" s="538" t="s">
        <v>393</v>
      </c>
      <c r="E1738" s="538" t="s">
        <v>402</v>
      </c>
      <c r="F1738" s="538">
        <v>33984</v>
      </c>
      <c r="G1738" s="538">
        <v>3</v>
      </c>
    </row>
    <row r="1739" spans="1:7" x14ac:dyDescent="0.2">
      <c r="A1739" s="538">
        <v>3</v>
      </c>
      <c r="B1739" s="538" t="s">
        <v>1390</v>
      </c>
      <c r="C1739" s="538" t="s">
        <v>393</v>
      </c>
      <c r="D1739" s="538" t="s">
        <v>740</v>
      </c>
      <c r="E1739" s="538" t="s">
        <v>416</v>
      </c>
      <c r="F1739" s="538">
        <v>6377175</v>
      </c>
      <c r="G1739" s="538">
        <v>185</v>
      </c>
    </row>
    <row r="1740" spans="1:7" x14ac:dyDescent="0.2">
      <c r="A1740" s="538">
        <v>2</v>
      </c>
      <c r="B1740" s="538" t="s">
        <v>6573</v>
      </c>
      <c r="C1740" s="538" t="s">
        <v>740</v>
      </c>
      <c r="D1740" s="538" t="s">
        <v>393</v>
      </c>
      <c r="E1740" s="538" t="s">
        <v>212</v>
      </c>
      <c r="F1740" s="538">
        <v>135936</v>
      </c>
      <c r="G1740" s="538">
        <v>12</v>
      </c>
    </row>
    <row r="1741" spans="1:7" x14ac:dyDescent="0.2">
      <c r="A1741" s="538">
        <v>4</v>
      </c>
      <c r="B1741" s="538" t="s">
        <v>6572</v>
      </c>
      <c r="C1741" s="538" t="s">
        <v>393</v>
      </c>
      <c r="D1741" s="538" t="s">
        <v>393</v>
      </c>
      <c r="E1741" s="538" t="s">
        <v>419</v>
      </c>
      <c r="F1741" s="538">
        <v>96819</v>
      </c>
      <c r="G1741" s="538">
        <v>3</v>
      </c>
    </row>
    <row r="1742" spans="1:7" x14ac:dyDescent="0.2">
      <c r="A1742" s="538">
        <v>5</v>
      </c>
      <c r="B1742" s="538" t="s">
        <v>6651</v>
      </c>
      <c r="C1742" s="538" t="s">
        <v>740</v>
      </c>
      <c r="D1742" s="538" t="s">
        <v>393</v>
      </c>
      <c r="E1742" s="538" t="s">
        <v>416</v>
      </c>
      <c r="F1742" s="538">
        <v>33984</v>
      </c>
      <c r="G1742" s="538">
        <v>3</v>
      </c>
    </row>
    <row r="1743" spans="1:7" x14ac:dyDescent="0.2">
      <c r="A1743" s="538">
        <v>10</v>
      </c>
      <c r="B1743" s="538" t="s">
        <v>6587</v>
      </c>
      <c r="C1743" s="538" t="s">
        <v>740</v>
      </c>
      <c r="D1743" s="538" t="s">
        <v>393</v>
      </c>
      <c r="E1743" s="538" t="s">
        <v>211</v>
      </c>
      <c r="F1743" s="538">
        <v>33984</v>
      </c>
      <c r="G1743" s="538">
        <v>3</v>
      </c>
    </row>
    <row r="1744" spans="1:7" x14ac:dyDescent="0.2">
      <c r="A1744" s="538">
        <v>4</v>
      </c>
      <c r="B1744" s="538" t="s">
        <v>6593</v>
      </c>
      <c r="C1744" s="538" t="s">
        <v>393</v>
      </c>
      <c r="D1744" s="538" t="s">
        <v>393</v>
      </c>
      <c r="E1744" s="538" t="s">
        <v>409</v>
      </c>
      <c r="F1744" s="538">
        <v>2050618</v>
      </c>
      <c r="G1744" s="538">
        <v>56</v>
      </c>
    </row>
    <row r="1745" spans="1:7" x14ac:dyDescent="0.2">
      <c r="A1745" s="538">
        <v>7</v>
      </c>
      <c r="B1745" s="538" t="s">
        <v>6571</v>
      </c>
      <c r="C1745" s="538" t="s">
        <v>393</v>
      </c>
      <c r="D1745" s="538" t="s">
        <v>393</v>
      </c>
      <c r="E1745" s="538" t="s">
        <v>402</v>
      </c>
      <c r="F1745" s="538">
        <v>8064995</v>
      </c>
      <c r="G1745" s="538">
        <v>195</v>
      </c>
    </row>
    <row r="1746" spans="1:7" x14ac:dyDescent="0.2">
      <c r="A1746" s="538">
        <v>2</v>
      </c>
      <c r="B1746" s="538" t="s">
        <v>6573</v>
      </c>
      <c r="C1746" s="538" t="s">
        <v>740</v>
      </c>
      <c r="D1746" s="538" t="s">
        <v>393</v>
      </c>
      <c r="E1746" s="538" t="s">
        <v>449</v>
      </c>
      <c r="F1746" s="538">
        <v>11328</v>
      </c>
      <c r="G1746" s="538">
        <v>1</v>
      </c>
    </row>
    <row r="1747" spans="1:7" x14ac:dyDescent="0.2">
      <c r="A1747" s="538">
        <v>3</v>
      </c>
      <c r="B1747" s="538" t="s">
        <v>6605</v>
      </c>
      <c r="C1747" s="538" t="s">
        <v>740</v>
      </c>
      <c r="D1747" s="538" t="s">
        <v>393</v>
      </c>
      <c r="E1747" s="538" t="s">
        <v>202</v>
      </c>
      <c r="F1747" s="538">
        <v>74163</v>
      </c>
      <c r="G1747" s="538">
        <v>1</v>
      </c>
    </row>
    <row r="1748" spans="1:7" x14ac:dyDescent="0.2">
      <c r="A1748" s="538">
        <v>8</v>
      </c>
      <c r="B1748" s="538" t="s">
        <v>6577</v>
      </c>
      <c r="C1748" s="538" t="s">
        <v>393</v>
      </c>
      <c r="D1748" s="538" t="s">
        <v>740</v>
      </c>
      <c r="E1748" s="538" t="s">
        <v>390</v>
      </c>
      <c r="F1748" s="538">
        <v>2914378</v>
      </c>
      <c r="G1748" s="538">
        <v>86</v>
      </c>
    </row>
    <row r="1749" spans="1:7" x14ac:dyDescent="0.2">
      <c r="A1749" s="538">
        <v>5</v>
      </c>
      <c r="B1749" s="538" t="s">
        <v>6598</v>
      </c>
      <c r="C1749" s="538" t="s">
        <v>740</v>
      </c>
      <c r="D1749" s="538" t="s">
        <v>393</v>
      </c>
      <c r="E1749" s="538" t="s">
        <v>449</v>
      </c>
      <c r="F1749" s="538">
        <v>317007</v>
      </c>
      <c r="G1749" s="538">
        <v>19</v>
      </c>
    </row>
    <row r="1750" spans="1:7" x14ac:dyDescent="0.2">
      <c r="A1750" s="538">
        <v>2</v>
      </c>
      <c r="B1750" s="538" t="s">
        <v>6608</v>
      </c>
      <c r="C1750" s="538" t="s">
        <v>740</v>
      </c>
      <c r="D1750" s="538" t="s">
        <v>393</v>
      </c>
      <c r="E1750" s="538" t="s">
        <v>211</v>
      </c>
      <c r="F1750" s="538">
        <v>7852293</v>
      </c>
      <c r="G1750" s="538">
        <v>191</v>
      </c>
    </row>
    <row r="1751" spans="1:7" x14ac:dyDescent="0.2">
      <c r="A1751" s="538">
        <v>2</v>
      </c>
      <c r="B1751" s="538" t="s">
        <v>6654</v>
      </c>
      <c r="C1751" s="538" t="s">
        <v>740</v>
      </c>
      <c r="D1751" s="538" t="s">
        <v>740</v>
      </c>
      <c r="E1751" s="538" t="s">
        <v>207</v>
      </c>
      <c r="F1751" s="538">
        <v>459315</v>
      </c>
      <c r="G1751" s="538">
        <v>35</v>
      </c>
    </row>
    <row r="1752" spans="1:7" x14ac:dyDescent="0.2">
      <c r="A1752" s="538">
        <v>6</v>
      </c>
      <c r="B1752" s="538" t="s">
        <v>6429</v>
      </c>
      <c r="C1752" s="538" t="s">
        <v>740</v>
      </c>
      <c r="D1752" s="538" t="s">
        <v>393</v>
      </c>
      <c r="E1752" s="538" t="s">
        <v>230</v>
      </c>
      <c r="F1752" s="538">
        <v>382978620</v>
      </c>
      <c r="G1752" s="538">
        <v>7970</v>
      </c>
    </row>
    <row r="1753" spans="1:7" x14ac:dyDescent="0.2">
      <c r="A1753" s="538">
        <v>6</v>
      </c>
      <c r="B1753" s="538" t="s">
        <v>6565</v>
      </c>
      <c r="C1753" s="538" t="s">
        <v>740</v>
      </c>
      <c r="D1753" s="538" t="s">
        <v>393</v>
      </c>
      <c r="E1753" s="538" t="s">
        <v>207</v>
      </c>
      <c r="F1753" s="538">
        <v>11328</v>
      </c>
      <c r="G1753" s="538">
        <v>1</v>
      </c>
    </row>
    <row r="1754" spans="1:7" x14ac:dyDescent="0.2">
      <c r="A1754" s="538">
        <v>10</v>
      </c>
      <c r="B1754" s="538" t="s">
        <v>6601</v>
      </c>
      <c r="C1754" s="538" t="s">
        <v>393</v>
      </c>
      <c r="D1754" s="538" t="s">
        <v>393</v>
      </c>
      <c r="E1754" s="538" t="s">
        <v>209</v>
      </c>
      <c r="F1754" s="538">
        <v>620864</v>
      </c>
      <c r="G1754" s="538">
        <v>3</v>
      </c>
    </row>
    <row r="1755" spans="1:7" x14ac:dyDescent="0.2">
      <c r="A1755" s="538">
        <v>1</v>
      </c>
      <c r="B1755" s="538" t="s">
        <v>6602</v>
      </c>
      <c r="C1755" s="538" t="s">
        <v>393</v>
      </c>
      <c r="D1755" s="538" t="s">
        <v>740</v>
      </c>
      <c r="E1755" s="538" t="s">
        <v>401</v>
      </c>
      <c r="F1755" s="538">
        <v>135936</v>
      </c>
      <c r="G1755" s="538">
        <v>12</v>
      </c>
    </row>
    <row r="1756" spans="1:7" x14ac:dyDescent="0.2">
      <c r="A1756" s="538">
        <v>10</v>
      </c>
      <c r="B1756" s="538" t="s">
        <v>6582</v>
      </c>
      <c r="C1756" s="538" t="s">
        <v>740</v>
      </c>
      <c r="D1756" s="538" t="s">
        <v>393</v>
      </c>
      <c r="E1756" s="538" t="s">
        <v>390</v>
      </c>
      <c r="F1756" s="538">
        <v>95580</v>
      </c>
      <c r="G1756" s="538">
        <v>5</v>
      </c>
    </row>
    <row r="1757" spans="1:7" x14ac:dyDescent="0.2">
      <c r="A1757" s="538">
        <v>4</v>
      </c>
      <c r="B1757" s="538" t="s">
        <v>6574</v>
      </c>
      <c r="C1757" s="538" t="s">
        <v>740</v>
      </c>
      <c r="D1757" s="538" t="s">
        <v>393</v>
      </c>
      <c r="E1757" s="538" t="s">
        <v>409</v>
      </c>
      <c r="F1757" s="538">
        <v>1096463</v>
      </c>
      <c r="G1757" s="538">
        <v>36</v>
      </c>
    </row>
    <row r="1758" spans="1:7" x14ac:dyDescent="0.2">
      <c r="A1758" s="538">
        <v>4</v>
      </c>
      <c r="B1758" s="538" t="s">
        <v>6590</v>
      </c>
      <c r="C1758" s="538" t="s">
        <v>740</v>
      </c>
      <c r="D1758" s="538" t="s">
        <v>393</v>
      </c>
      <c r="E1758" s="538" t="s">
        <v>402</v>
      </c>
      <c r="F1758" s="538">
        <v>5399104</v>
      </c>
      <c r="G1758" s="538">
        <v>253</v>
      </c>
    </row>
    <row r="1759" spans="1:7" x14ac:dyDescent="0.2">
      <c r="A1759" s="538">
        <v>5</v>
      </c>
      <c r="B1759" s="538" t="s">
        <v>6650</v>
      </c>
      <c r="C1759" s="538" t="s">
        <v>740</v>
      </c>
      <c r="D1759" s="538" t="s">
        <v>393</v>
      </c>
      <c r="E1759" s="538" t="s">
        <v>860</v>
      </c>
      <c r="F1759" s="538">
        <v>2526217</v>
      </c>
      <c r="G1759" s="538">
        <v>89</v>
      </c>
    </row>
    <row r="1760" spans="1:7" x14ac:dyDescent="0.2">
      <c r="A1760" s="538">
        <v>6</v>
      </c>
      <c r="B1760" s="538" t="s">
        <v>6596</v>
      </c>
      <c r="C1760" s="538" t="s">
        <v>740</v>
      </c>
      <c r="D1760" s="538" t="s">
        <v>393</v>
      </c>
      <c r="E1760" s="538" t="s">
        <v>212</v>
      </c>
      <c r="F1760" s="538">
        <v>859512</v>
      </c>
      <c r="G1760" s="538">
        <v>69</v>
      </c>
    </row>
    <row r="1761" spans="1:7" x14ac:dyDescent="0.2">
      <c r="A1761" s="538">
        <v>8</v>
      </c>
      <c r="B1761" s="538" t="s">
        <v>6570</v>
      </c>
      <c r="C1761" s="538" t="s">
        <v>740</v>
      </c>
      <c r="D1761" s="538" t="s">
        <v>393</v>
      </c>
      <c r="E1761" s="538" t="s">
        <v>209</v>
      </c>
      <c r="F1761" s="538">
        <v>74163</v>
      </c>
      <c r="G1761" s="538">
        <v>1</v>
      </c>
    </row>
    <row r="1762" spans="1:7" x14ac:dyDescent="0.2">
      <c r="A1762" s="538">
        <v>7</v>
      </c>
      <c r="B1762" s="538" t="s">
        <v>6661</v>
      </c>
      <c r="C1762" s="538" t="s">
        <v>740</v>
      </c>
      <c r="D1762" s="538" t="s">
        <v>393</v>
      </c>
      <c r="E1762" s="538" t="s">
        <v>207</v>
      </c>
      <c r="F1762" s="538">
        <v>311874</v>
      </c>
      <c r="G1762" s="538">
        <v>13</v>
      </c>
    </row>
    <row r="1763" spans="1:7" x14ac:dyDescent="0.2">
      <c r="A1763" s="538">
        <v>12</v>
      </c>
      <c r="B1763" s="538" t="s">
        <v>6563</v>
      </c>
      <c r="C1763" s="538" t="s">
        <v>740</v>
      </c>
      <c r="D1763" s="538" t="s">
        <v>393</v>
      </c>
      <c r="E1763" s="538" t="s">
        <v>230</v>
      </c>
      <c r="F1763" s="538">
        <v>319767828</v>
      </c>
      <c r="G1763" s="538">
        <v>7861</v>
      </c>
    </row>
    <row r="1764" spans="1:7" x14ac:dyDescent="0.2">
      <c r="A1764" s="538">
        <v>3</v>
      </c>
      <c r="B1764" s="538" t="s">
        <v>1390</v>
      </c>
      <c r="C1764" s="538" t="s">
        <v>740</v>
      </c>
      <c r="D1764" s="538" t="s">
        <v>740</v>
      </c>
      <c r="E1764" s="538" t="s">
        <v>401</v>
      </c>
      <c r="F1764" s="538">
        <v>22656</v>
      </c>
      <c r="G1764" s="538">
        <v>2</v>
      </c>
    </row>
    <row r="1765" spans="1:7" x14ac:dyDescent="0.2">
      <c r="A1765" s="538">
        <v>3</v>
      </c>
      <c r="B1765" s="538" t="s">
        <v>6647</v>
      </c>
      <c r="C1765" s="538" t="s">
        <v>393</v>
      </c>
      <c r="D1765" s="538" t="s">
        <v>393</v>
      </c>
      <c r="E1765" s="538" t="s">
        <v>230</v>
      </c>
      <c r="F1765" s="538">
        <v>339486</v>
      </c>
      <c r="G1765" s="538">
        <v>12</v>
      </c>
    </row>
    <row r="1766" spans="1:7" x14ac:dyDescent="0.2">
      <c r="A1766" s="538">
        <v>5</v>
      </c>
      <c r="B1766" s="538" t="s">
        <v>6568</v>
      </c>
      <c r="C1766" s="538" t="s">
        <v>393</v>
      </c>
      <c r="D1766" s="538" t="s">
        <v>393</v>
      </c>
      <c r="E1766" s="538" t="s">
        <v>402</v>
      </c>
      <c r="F1766" s="538">
        <v>11420155</v>
      </c>
      <c r="G1766" s="538">
        <v>330</v>
      </c>
    </row>
    <row r="1767" spans="1:7" x14ac:dyDescent="0.2">
      <c r="A1767" s="538">
        <v>3</v>
      </c>
      <c r="B1767" s="538" t="s">
        <v>6591</v>
      </c>
      <c r="C1767" s="538" t="s">
        <v>740</v>
      </c>
      <c r="D1767" s="538" t="s">
        <v>393</v>
      </c>
      <c r="E1767" s="538" t="s">
        <v>212</v>
      </c>
      <c r="F1767" s="538">
        <v>226560</v>
      </c>
      <c r="G1767" s="538">
        <v>20</v>
      </c>
    </row>
    <row r="1768" spans="1:7" x14ac:dyDescent="0.2">
      <c r="A1768" s="538">
        <v>4</v>
      </c>
      <c r="B1768" s="538" t="s">
        <v>6559</v>
      </c>
      <c r="C1768" s="538" t="s">
        <v>740</v>
      </c>
      <c r="D1768" s="538" t="s">
        <v>393</v>
      </c>
      <c r="E1768" s="538" t="s">
        <v>401</v>
      </c>
      <c r="F1768" s="538">
        <v>5841375</v>
      </c>
      <c r="G1768" s="538">
        <v>235</v>
      </c>
    </row>
    <row r="1769" spans="1:7" x14ac:dyDescent="0.2">
      <c r="A1769" s="538">
        <v>9</v>
      </c>
      <c r="B1769" s="538" t="s">
        <v>6615</v>
      </c>
      <c r="C1769" s="538" t="s">
        <v>740</v>
      </c>
      <c r="D1769" s="538" t="s">
        <v>740</v>
      </c>
      <c r="E1769" s="538" t="s">
        <v>401</v>
      </c>
      <c r="F1769" s="538">
        <v>56640</v>
      </c>
      <c r="G1769" s="538">
        <v>5</v>
      </c>
    </row>
    <row r="1770" spans="1:7" x14ac:dyDescent="0.2">
      <c r="A1770" s="538">
        <v>8</v>
      </c>
      <c r="B1770" s="538" t="s">
        <v>6658</v>
      </c>
      <c r="C1770" s="538" t="s">
        <v>740</v>
      </c>
      <c r="D1770" s="538" t="s">
        <v>393</v>
      </c>
      <c r="E1770" s="538" t="s">
        <v>313</v>
      </c>
      <c r="F1770" s="538">
        <v>593304</v>
      </c>
      <c r="G1770" s="538">
        <v>8</v>
      </c>
    </row>
    <row r="1771" spans="1:7" x14ac:dyDescent="0.2">
      <c r="A1771" s="538">
        <v>4</v>
      </c>
      <c r="B1771" s="538" t="s">
        <v>6562</v>
      </c>
      <c r="C1771" s="538" t="s">
        <v>740</v>
      </c>
      <c r="D1771" s="538" t="s">
        <v>393</v>
      </c>
      <c r="E1771" s="538" t="s">
        <v>313</v>
      </c>
      <c r="F1771" s="538">
        <v>5815731</v>
      </c>
      <c r="G1771" s="538">
        <v>57</v>
      </c>
    </row>
    <row r="1772" spans="1:7" x14ac:dyDescent="0.2">
      <c r="A1772" s="538">
        <v>7</v>
      </c>
      <c r="B1772" s="538" t="s">
        <v>6564</v>
      </c>
      <c r="C1772" s="538" t="s">
        <v>393</v>
      </c>
      <c r="D1772" s="538" t="s">
        <v>393</v>
      </c>
      <c r="E1772" s="538" t="s">
        <v>212</v>
      </c>
      <c r="F1772" s="538">
        <v>923586</v>
      </c>
      <c r="G1772" s="538">
        <v>67</v>
      </c>
    </row>
    <row r="1773" spans="1:7" x14ac:dyDescent="0.2">
      <c r="A1773" s="538">
        <v>2</v>
      </c>
      <c r="B1773" s="538" t="s">
        <v>6585</v>
      </c>
      <c r="C1773" s="538" t="s">
        <v>393</v>
      </c>
      <c r="D1773" s="538" t="s">
        <v>393</v>
      </c>
      <c r="E1773" s="538" t="s">
        <v>230</v>
      </c>
      <c r="F1773" s="538">
        <v>6229682</v>
      </c>
      <c r="G1773" s="538">
        <v>89</v>
      </c>
    </row>
    <row r="1774" spans="1:7" x14ac:dyDescent="0.2">
      <c r="A1774" s="538">
        <v>9</v>
      </c>
      <c r="B1774" s="538" t="s">
        <v>6615</v>
      </c>
      <c r="C1774" s="538" t="s">
        <v>740</v>
      </c>
      <c r="D1774" s="538" t="s">
        <v>740</v>
      </c>
      <c r="E1774" s="538" t="s">
        <v>409</v>
      </c>
      <c r="F1774" s="538">
        <v>260544</v>
      </c>
      <c r="G1774" s="538">
        <v>23</v>
      </c>
    </row>
    <row r="1775" spans="1:7" x14ac:dyDescent="0.2">
      <c r="A1775" s="538">
        <v>2</v>
      </c>
      <c r="B1775" s="538" t="s">
        <v>6654</v>
      </c>
      <c r="C1775" s="538" t="s">
        <v>740</v>
      </c>
      <c r="D1775" s="538" t="s">
        <v>393</v>
      </c>
      <c r="E1775" s="538" t="s">
        <v>207</v>
      </c>
      <c r="F1775" s="538">
        <v>108147</v>
      </c>
      <c r="G1775" s="538">
        <v>4</v>
      </c>
    </row>
    <row r="1776" spans="1:7" x14ac:dyDescent="0.2">
      <c r="A1776" s="538">
        <v>3</v>
      </c>
      <c r="B1776" s="538" t="s">
        <v>6586</v>
      </c>
      <c r="C1776" s="538" t="s">
        <v>740</v>
      </c>
      <c r="D1776" s="538" t="s">
        <v>393</v>
      </c>
      <c r="E1776" s="538" t="s">
        <v>409</v>
      </c>
      <c r="F1776" s="538">
        <v>124431</v>
      </c>
      <c r="G1776" s="538">
        <v>2</v>
      </c>
    </row>
    <row r="1777" spans="1:7" x14ac:dyDescent="0.2">
      <c r="A1777" s="538">
        <v>12</v>
      </c>
      <c r="B1777" s="538" t="s">
        <v>6563</v>
      </c>
      <c r="C1777" s="538" t="s">
        <v>740</v>
      </c>
      <c r="D1777" s="538" t="s">
        <v>393</v>
      </c>
      <c r="E1777" s="538" t="s">
        <v>209</v>
      </c>
      <c r="F1777" s="538">
        <v>315296708</v>
      </c>
      <c r="G1777" s="538">
        <v>1831</v>
      </c>
    </row>
    <row r="1778" spans="1:7" x14ac:dyDescent="0.2">
      <c r="A1778" s="538">
        <v>5</v>
      </c>
      <c r="B1778" s="538" t="s">
        <v>6651</v>
      </c>
      <c r="C1778" s="538" t="s">
        <v>393</v>
      </c>
      <c r="D1778" s="538" t="s">
        <v>393</v>
      </c>
      <c r="E1778" s="538" t="s">
        <v>202</v>
      </c>
      <c r="F1778" s="538">
        <v>5604518</v>
      </c>
      <c r="G1778" s="538">
        <v>51</v>
      </c>
    </row>
    <row r="1779" spans="1:7" x14ac:dyDescent="0.2">
      <c r="A1779" s="538">
        <v>6</v>
      </c>
      <c r="B1779" s="538" t="s">
        <v>6617</v>
      </c>
      <c r="C1779" s="538" t="s">
        <v>393</v>
      </c>
      <c r="D1779" s="538" t="s">
        <v>393</v>
      </c>
      <c r="E1779" s="538" t="s">
        <v>209</v>
      </c>
      <c r="F1779" s="538">
        <v>5271123</v>
      </c>
      <c r="G1779" s="538">
        <v>21</v>
      </c>
    </row>
    <row r="1780" spans="1:7" x14ac:dyDescent="0.2">
      <c r="A1780" s="538">
        <v>2</v>
      </c>
      <c r="B1780" s="538" t="s">
        <v>6662</v>
      </c>
      <c r="C1780" s="538" t="s">
        <v>393</v>
      </c>
      <c r="D1780" s="538" t="s">
        <v>393</v>
      </c>
      <c r="E1780" s="538" t="s">
        <v>230</v>
      </c>
      <c r="F1780" s="538">
        <v>5018221</v>
      </c>
      <c r="G1780" s="538">
        <v>82</v>
      </c>
    </row>
    <row r="1781" spans="1:7" x14ac:dyDescent="0.2">
      <c r="A1781" s="538">
        <v>4</v>
      </c>
      <c r="B1781" s="538" t="s">
        <v>6572</v>
      </c>
      <c r="C1781" s="538" t="s">
        <v>393</v>
      </c>
      <c r="D1781" s="538" t="s">
        <v>393</v>
      </c>
      <c r="E1781" s="538" t="s">
        <v>209</v>
      </c>
      <c r="F1781" s="538">
        <v>1734444</v>
      </c>
      <c r="G1781" s="538">
        <v>8</v>
      </c>
    </row>
    <row r="1782" spans="1:7" x14ac:dyDescent="0.2">
      <c r="A1782" s="538">
        <v>1</v>
      </c>
      <c r="B1782" s="538" t="s">
        <v>6649</v>
      </c>
      <c r="C1782" s="538" t="s">
        <v>740</v>
      </c>
      <c r="D1782" s="538" t="s">
        <v>393</v>
      </c>
      <c r="E1782" s="538" t="s">
        <v>207</v>
      </c>
      <c r="F1782" s="538">
        <v>204966</v>
      </c>
      <c r="G1782" s="538">
        <v>7</v>
      </c>
    </row>
    <row r="1783" spans="1:7" x14ac:dyDescent="0.2">
      <c r="A1783" s="538">
        <v>3</v>
      </c>
      <c r="B1783" s="538" t="s">
        <v>6647</v>
      </c>
      <c r="C1783" s="538" t="s">
        <v>740</v>
      </c>
      <c r="D1783" s="538" t="s">
        <v>393</v>
      </c>
      <c r="E1783" s="538" t="s">
        <v>207</v>
      </c>
      <c r="F1783" s="538">
        <v>1510820</v>
      </c>
      <c r="G1783" s="538">
        <v>85</v>
      </c>
    </row>
    <row r="1784" spans="1:7" x14ac:dyDescent="0.2">
      <c r="A1784" s="538">
        <v>4</v>
      </c>
      <c r="B1784" s="538" t="s">
        <v>6574</v>
      </c>
      <c r="C1784" s="538" t="s">
        <v>740</v>
      </c>
      <c r="D1784" s="538" t="s">
        <v>740</v>
      </c>
      <c r="E1784" s="538" t="s">
        <v>207</v>
      </c>
      <c r="F1784" s="538">
        <v>6113122</v>
      </c>
      <c r="G1784" s="538">
        <v>329</v>
      </c>
    </row>
    <row r="1785" spans="1:7" x14ac:dyDescent="0.2">
      <c r="A1785" s="538">
        <v>1</v>
      </c>
      <c r="B1785" s="538" t="s">
        <v>6609</v>
      </c>
      <c r="C1785" s="538" t="s">
        <v>740</v>
      </c>
      <c r="D1785" s="538" t="s">
        <v>393</v>
      </c>
      <c r="E1785" s="538" t="s">
        <v>212</v>
      </c>
      <c r="F1785" s="538">
        <v>2330382</v>
      </c>
      <c r="G1785" s="538">
        <v>174</v>
      </c>
    </row>
    <row r="1786" spans="1:7" x14ac:dyDescent="0.2">
      <c r="A1786" s="538">
        <v>11</v>
      </c>
      <c r="B1786" s="538" t="s">
        <v>6612</v>
      </c>
      <c r="C1786" s="538" t="s">
        <v>740</v>
      </c>
      <c r="D1786" s="538" t="s">
        <v>393</v>
      </c>
      <c r="E1786" s="538" t="s">
        <v>390</v>
      </c>
      <c r="F1786" s="538">
        <v>10652516</v>
      </c>
      <c r="G1786" s="538">
        <v>392</v>
      </c>
    </row>
    <row r="1787" spans="1:7" x14ac:dyDescent="0.2">
      <c r="A1787" s="538">
        <v>5</v>
      </c>
      <c r="B1787" s="538" t="s">
        <v>6650</v>
      </c>
      <c r="C1787" s="538" t="s">
        <v>740</v>
      </c>
      <c r="D1787" s="538" t="s">
        <v>393</v>
      </c>
      <c r="E1787" s="538" t="s">
        <v>313</v>
      </c>
      <c r="F1787" s="538">
        <v>992866</v>
      </c>
      <c r="G1787" s="538">
        <v>2</v>
      </c>
    </row>
    <row r="1788" spans="1:7" x14ac:dyDescent="0.2">
      <c r="A1788" s="538">
        <v>4</v>
      </c>
      <c r="B1788" s="538" t="s">
        <v>6559</v>
      </c>
      <c r="C1788" s="538" t="s">
        <v>740</v>
      </c>
      <c r="D1788" s="538" t="s">
        <v>393</v>
      </c>
      <c r="E1788" s="538" t="s">
        <v>211</v>
      </c>
      <c r="F1788" s="538">
        <v>4601844</v>
      </c>
      <c r="G1788" s="538">
        <v>138</v>
      </c>
    </row>
    <row r="1789" spans="1:7" x14ac:dyDescent="0.2">
      <c r="A1789" s="538">
        <v>11</v>
      </c>
      <c r="B1789" s="538" t="s">
        <v>6584</v>
      </c>
      <c r="C1789" s="538" t="s">
        <v>740</v>
      </c>
      <c r="D1789" s="538" t="s">
        <v>740</v>
      </c>
      <c r="E1789" s="538" t="s">
        <v>402</v>
      </c>
      <c r="F1789" s="538">
        <v>33984</v>
      </c>
      <c r="G1789" s="538">
        <v>3</v>
      </c>
    </row>
    <row r="1790" spans="1:7" x14ac:dyDescent="0.2">
      <c r="A1790" s="538">
        <v>4</v>
      </c>
      <c r="B1790" s="538" t="s">
        <v>6590</v>
      </c>
      <c r="C1790" s="538" t="s">
        <v>740</v>
      </c>
      <c r="D1790" s="538" t="s">
        <v>393</v>
      </c>
      <c r="E1790" s="538" t="s">
        <v>401</v>
      </c>
      <c r="F1790" s="538">
        <v>111864</v>
      </c>
      <c r="G1790" s="538">
        <v>3</v>
      </c>
    </row>
    <row r="1791" spans="1:7" x14ac:dyDescent="0.2">
      <c r="A1791" s="538">
        <v>2</v>
      </c>
      <c r="B1791" s="538" t="s">
        <v>6573</v>
      </c>
      <c r="C1791" s="538" t="s">
        <v>740</v>
      </c>
      <c r="D1791" s="538" t="s">
        <v>393</v>
      </c>
      <c r="E1791" s="538" t="s">
        <v>207</v>
      </c>
      <c r="F1791" s="538">
        <v>130803</v>
      </c>
      <c r="G1791" s="538">
        <v>6</v>
      </c>
    </row>
    <row r="1792" spans="1:7" x14ac:dyDescent="0.2">
      <c r="A1792" s="538">
        <v>8</v>
      </c>
      <c r="B1792" s="538" t="s">
        <v>6583</v>
      </c>
      <c r="C1792" s="538" t="s">
        <v>740</v>
      </c>
      <c r="D1792" s="538" t="s">
        <v>740</v>
      </c>
      <c r="E1792" s="538" t="s">
        <v>207</v>
      </c>
      <c r="F1792" s="538">
        <v>2794476</v>
      </c>
      <c r="G1792" s="538">
        <v>192</v>
      </c>
    </row>
    <row r="1793" spans="1:7" x14ac:dyDescent="0.2">
      <c r="A1793" s="538">
        <v>6</v>
      </c>
      <c r="B1793" s="538" t="s">
        <v>6617</v>
      </c>
      <c r="C1793" s="538" t="s">
        <v>393</v>
      </c>
      <c r="D1793" s="538" t="s">
        <v>393</v>
      </c>
      <c r="E1793" s="538" t="s">
        <v>390</v>
      </c>
      <c r="F1793" s="538">
        <v>13364146</v>
      </c>
      <c r="G1793" s="538">
        <v>337</v>
      </c>
    </row>
    <row r="1794" spans="1:7" x14ac:dyDescent="0.2">
      <c r="A1794" s="538">
        <v>12</v>
      </c>
      <c r="B1794" s="538" t="s">
        <v>6563</v>
      </c>
      <c r="C1794" s="538" t="s">
        <v>740</v>
      </c>
      <c r="D1794" s="538" t="s">
        <v>740</v>
      </c>
      <c r="E1794" s="538" t="s">
        <v>419</v>
      </c>
      <c r="F1794" s="538">
        <v>22656</v>
      </c>
      <c r="G1794" s="538">
        <v>2</v>
      </c>
    </row>
    <row r="1795" spans="1:7" x14ac:dyDescent="0.2">
      <c r="A1795" s="538">
        <v>5</v>
      </c>
      <c r="B1795" s="538" t="s">
        <v>6651</v>
      </c>
      <c r="C1795" s="538" t="s">
        <v>740</v>
      </c>
      <c r="D1795" s="538" t="s">
        <v>393</v>
      </c>
      <c r="E1795" s="538" t="s">
        <v>212</v>
      </c>
      <c r="F1795" s="538">
        <v>11328</v>
      </c>
      <c r="G1795" s="538">
        <v>1</v>
      </c>
    </row>
    <row r="1796" spans="1:7" x14ac:dyDescent="0.2">
      <c r="A1796" s="538">
        <v>6</v>
      </c>
      <c r="B1796" s="538" t="s">
        <v>6607</v>
      </c>
      <c r="C1796" s="538" t="s">
        <v>740</v>
      </c>
      <c r="D1796" s="538" t="s">
        <v>393</v>
      </c>
      <c r="E1796" s="538" t="s">
        <v>416</v>
      </c>
      <c r="F1796" s="538">
        <v>74163</v>
      </c>
      <c r="G1796" s="538">
        <v>1</v>
      </c>
    </row>
    <row r="1797" spans="1:7" x14ac:dyDescent="0.2">
      <c r="A1797" s="538">
        <v>10</v>
      </c>
      <c r="B1797" s="538" t="s">
        <v>6597</v>
      </c>
      <c r="C1797" s="538" t="s">
        <v>740</v>
      </c>
      <c r="D1797" s="538" t="s">
        <v>740</v>
      </c>
      <c r="E1797" s="538" t="s">
        <v>211</v>
      </c>
      <c r="F1797" s="538">
        <v>496433</v>
      </c>
      <c r="G1797" s="538">
        <v>1</v>
      </c>
    </row>
    <row r="1798" spans="1:7" x14ac:dyDescent="0.2">
      <c r="A1798" s="538">
        <v>10</v>
      </c>
      <c r="B1798" s="538" t="s">
        <v>6587</v>
      </c>
      <c r="C1798" s="538" t="s">
        <v>740</v>
      </c>
      <c r="D1798" s="538" t="s">
        <v>393</v>
      </c>
      <c r="E1798" s="538" t="s">
        <v>211</v>
      </c>
      <c r="F1798" s="538">
        <v>11581704</v>
      </c>
      <c r="G1798" s="538">
        <v>298</v>
      </c>
    </row>
    <row r="1799" spans="1:7" x14ac:dyDescent="0.2">
      <c r="A1799" s="538">
        <v>2</v>
      </c>
      <c r="B1799" s="538" t="s">
        <v>6662</v>
      </c>
      <c r="C1799" s="538" t="s">
        <v>393</v>
      </c>
      <c r="D1799" s="538" t="s">
        <v>740</v>
      </c>
      <c r="E1799" s="538" t="s">
        <v>202</v>
      </c>
      <c r="F1799" s="538">
        <v>182310</v>
      </c>
      <c r="G1799" s="538">
        <v>5</v>
      </c>
    </row>
    <row r="1800" spans="1:7" x14ac:dyDescent="0.2">
      <c r="A1800" s="538">
        <v>8</v>
      </c>
      <c r="B1800" s="538" t="s">
        <v>6567</v>
      </c>
      <c r="C1800" s="538" t="s">
        <v>740</v>
      </c>
      <c r="D1800" s="538" t="s">
        <v>393</v>
      </c>
      <c r="E1800" s="538" t="s">
        <v>212</v>
      </c>
      <c r="F1800" s="538">
        <v>90624</v>
      </c>
      <c r="G1800" s="538">
        <v>8</v>
      </c>
    </row>
    <row r="1801" spans="1:7" x14ac:dyDescent="0.2">
      <c r="A1801" s="538">
        <v>5</v>
      </c>
      <c r="B1801" s="538" t="s">
        <v>6599</v>
      </c>
      <c r="C1801" s="538" t="s">
        <v>740</v>
      </c>
      <c r="D1801" s="538" t="s">
        <v>740</v>
      </c>
      <c r="E1801" s="538" t="s">
        <v>402</v>
      </c>
      <c r="F1801" s="538">
        <v>56640</v>
      </c>
      <c r="G1801" s="538">
        <v>5</v>
      </c>
    </row>
    <row r="1802" spans="1:7" x14ac:dyDescent="0.2">
      <c r="A1802" s="538">
        <v>11</v>
      </c>
      <c r="B1802" s="538" t="s">
        <v>6558</v>
      </c>
      <c r="C1802" s="538" t="s">
        <v>393</v>
      </c>
      <c r="D1802" s="538" t="s">
        <v>393</v>
      </c>
      <c r="E1802" s="538" t="s">
        <v>313</v>
      </c>
      <c r="F1802" s="538">
        <v>50268</v>
      </c>
      <c r="G1802" s="538">
        <v>1</v>
      </c>
    </row>
    <row r="1803" spans="1:7" x14ac:dyDescent="0.2">
      <c r="A1803" s="538">
        <v>1</v>
      </c>
      <c r="B1803" s="538" t="s">
        <v>6581</v>
      </c>
      <c r="C1803" s="538" t="s">
        <v>740</v>
      </c>
      <c r="D1803" s="538" t="s">
        <v>393</v>
      </c>
      <c r="E1803" s="538" t="s">
        <v>438</v>
      </c>
      <c r="F1803" s="538">
        <v>11299993</v>
      </c>
      <c r="G1803" s="538">
        <v>221</v>
      </c>
    </row>
    <row r="1804" spans="1:7" x14ac:dyDescent="0.2">
      <c r="A1804" s="538">
        <v>1</v>
      </c>
      <c r="B1804" s="538" t="s">
        <v>6581</v>
      </c>
      <c r="C1804" s="538" t="s">
        <v>740</v>
      </c>
      <c r="D1804" s="538" t="s">
        <v>393</v>
      </c>
      <c r="E1804" s="538" t="s">
        <v>206</v>
      </c>
      <c r="F1804" s="538">
        <v>197355</v>
      </c>
      <c r="G1804" s="538">
        <v>5</v>
      </c>
    </row>
    <row r="1805" spans="1:7" x14ac:dyDescent="0.2">
      <c r="A1805" s="538">
        <v>5</v>
      </c>
      <c r="B1805" s="538" t="s">
        <v>6589</v>
      </c>
      <c r="C1805" s="538" t="s">
        <v>740</v>
      </c>
      <c r="D1805" s="538" t="s">
        <v>393</v>
      </c>
      <c r="E1805" s="538" t="s">
        <v>402</v>
      </c>
      <c r="F1805" s="538">
        <v>11328</v>
      </c>
      <c r="G1805" s="538">
        <v>1</v>
      </c>
    </row>
    <row r="1806" spans="1:7" x14ac:dyDescent="0.2">
      <c r="A1806" s="538">
        <v>7</v>
      </c>
      <c r="B1806" s="538" t="s">
        <v>6571</v>
      </c>
      <c r="C1806" s="538" t="s">
        <v>740</v>
      </c>
      <c r="D1806" s="538" t="s">
        <v>393</v>
      </c>
      <c r="E1806" s="538" t="s">
        <v>210</v>
      </c>
      <c r="F1806" s="538">
        <v>33984</v>
      </c>
      <c r="G1806" s="538">
        <v>3</v>
      </c>
    </row>
    <row r="1807" spans="1:7" x14ac:dyDescent="0.2">
      <c r="A1807" s="538">
        <v>7</v>
      </c>
      <c r="B1807" s="538" t="s">
        <v>6604</v>
      </c>
      <c r="C1807" s="538" t="s">
        <v>740</v>
      </c>
      <c r="D1807" s="538" t="s">
        <v>393</v>
      </c>
      <c r="E1807" s="538" t="s">
        <v>401</v>
      </c>
      <c r="F1807" s="538">
        <v>11328</v>
      </c>
      <c r="G1807" s="538">
        <v>1</v>
      </c>
    </row>
    <row r="1808" spans="1:7" x14ac:dyDescent="0.2">
      <c r="A1808" s="538">
        <v>3</v>
      </c>
      <c r="B1808" s="538" t="s">
        <v>6586</v>
      </c>
      <c r="C1808" s="538" t="s">
        <v>740</v>
      </c>
      <c r="D1808" s="538" t="s">
        <v>393</v>
      </c>
      <c r="E1808" s="538" t="s">
        <v>401</v>
      </c>
      <c r="F1808" s="538">
        <v>1757683</v>
      </c>
      <c r="G1808" s="538">
        <v>46</v>
      </c>
    </row>
    <row r="1809" spans="1:7" x14ac:dyDescent="0.2">
      <c r="A1809" s="538">
        <v>4</v>
      </c>
      <c r="B1809" s="538" t="s">
        <v>6562</v>
      </c>
      <c r="C1809" s="538" t="s">
        <v>740</v>
      </c>
      <c r="D1809" s="538" t="s">
        <v>740</v>
      </c>
      <c r="E1809" s="538" t="s">
        <v>409</v>
      </c>
      <c r="F1809" s="538">
        <v>598385</v>
      </c>
      <c r="G1809" s="538">
        <v>10</v>
      </c>
    </row>
    <row r="1810" spans="1:7" x14ac:dyDescent="0.2">
      <c r="A1810" s="538">
        <v>5</v>
      </c>
      <c r="B1810" s="538" t="s">
        <v>6568</v>
      </c>
      <c r="C1810" s="538" t="s">
        <v>393</v>
      </c>
      <c r="D1810" s="538" t="s">
        <v>393</v>
      </c>
      <c r="E1810" s="538" t="s">
        <v>207</v>
      </c>
      <c r="F1810" s="538">
        <v>15396533</v>
      </c>
      <c r="G1810" s="538">
        <v>691</v>
      </c>
    </row>
    <row r="1811" spans="1:7" x14ac:dyDescent="0.2">
      <c r="A1811" s="538">
        <v>9</v>
      </c>
      <c r="B1811" s="538" t="s">
        <v>6615</v>
      </c>
      <c r="C1811" s="538" t="s">
        <v>393</v>
      </c>
      <c r="D1811" s="538" t="s">
        <v>393</v>
      </c>
      <c r="E1811" s="538" t="s">
        <v>860</v>
      </c>
      <c r="F1811" s="538">
        <v>1275108</v>
      </c>
      <c r="G1811" s="538">
        <v>51</v>
      </c>
    </row>
    <row r="1812" spans="1:7" x14ac:dyDescent="0.2">
      <c r="A1812" s="538">
        <v>3</v>
      </c>
      <c r="B1812" s="538" t="s">
        <v>6605</v>
      </c>
      <c r="C1812" s="538" t="s">
        <v>393</v>
      </c>
      <c r="D1812" s="538" t="s">
        <v>393</v>
      </c>
      <c r="E1812" s="538" t="s">
        <v>497</v>
      </c>
      <c r="F1812" s="538">
        <v>74163</v>
      </c>
      <c r="G1812" s="538">
        <v>1</v>
      </c>
    </row>
    <row r="1813" spans="1:7" x14ac:dyDescent="0.2">
      <c r="A1813" s="538">
        <v>5</v>
      </c>
      <c r="B1813" s="538" t="s">
        <v>6650</v>
      </c>
      <c r="C1813" s="538" t="s">
        <v>393</v>
      </c>
      <c r="D1813" s="538" t="s">
        <v>740</v>
      </c>
      <c r="E1813" s="538" t="s">
        <v>401</v>
      </c>
      <c r="F1813" s="538">
        <v>339840</v>
      </c>
      <c r="G1813" s="538">
        <v>30</v>
      </c>
    </row>
    <row r="1814" spans="1:7" x14ac:dyDescent="0.2">
      <c r="A1814" s="538">
        <v>1</v>
      </c>
      <c r="B1814" s="538" t="s">
        <v>6646</v>
      </c>
      <c r="C1814" s="538" t="s">
        <v>740</v>
      </c>
      <c r="D1814" s="538" t="s">
        <v>393</v>
      </c>
      <c r="E1814" s="538" t="s">
        <v>207</v>
      </c>
      <c r="F1814" s="538">
        <v>1020582</v>
      </c>
      <c r="G1814" s="538">
        <v>79</v>
      </c>
    </row>
    <row r="1815" spans="1:7" x14ac:dyDescent="0.2">
      <c r="A1815" s="538">
        <v>9</v>
      </c>
      <c r="B1815" s="538" t="s">
        <v>6613</v>
      </c>
      <c r="C1815" s="538" t="s">
        <v>393</v>
      </c>
      <c r="D1815" s="538" t="s">
        <v>393</v>
      </c>
      <c r="E1815" s="538" t="s">
        <v>209</v>
      </c>
      <c r="F1815" s="538">
        <v>4244221</v>
      </c>
      <c r="G1815" s="538">
        <v>12</v>
      </c>
    </row>
    <row r="1816" spans="1:7" x14ac:dyDescent="0.2">
      <c r="A1816" s="538">
        <v>5</v>
      </c>
      <c r="B1816" s="538" t="s">
        <v>6599</v>
      </c>
      <c r="C1816" s="538" t="s">
        <v>740</v>
      </c>
      <c r="D1816" s="538" t="s">
        <v>393</v>
      </c>
      <c r="E1816" s="538" t="s">
        <v>202</v>
      </c>
      <c r="F1816" s="538">
        <v>3985551</v>
      </c>
      <c r="G1816" s="538">
        <v>27</v>
      </c>
    </row>
    <row r="1817" spans="1:7" x14ac:dyDescent="0.2">
      <c r="A1817" s="538">
        <v>11</v>
      </c>
      <c r="B1817" s="538" t="s">
        <v>6610</v>
      </c>
      <c r="C1817" s="538" t="s">
        <v>393</v>
      </c>
      <c r="D1817" s="538" t="s">
        <v>393</v>
      </c>
      <c r="E1817" s="538" t="s">
        <v>230</v>
      </c>
      <c r="F1817" s="538">
        <v>9542612</v>
      </c>
      <c r="G1817" s="538">
        <v>164</v>
      </c>
    </row>
    <row r="1818" spans="1:7" x14ac:dyDescent="0.2">
      <c r="A1818" s="538">
        <v>7</v>
      </c>
      <c r="B1818" s="538" t="s">
        <v>6564</v>
      </c>
      <c r="C1818" s="538" t="s">
        <v>740</v>
      </c>
      <c r="D1818" s="538" t="s">
        <v>393</v>
      </c>
      <c r="E1818" s="538" t="s">
        <v>402</v>
      </c>
      <c r="F1818" s="538">
        <v>3301883</v>
      </c>
      <c r="G1818" s="538">
        <v>176</v>
      </c>
    </row>
    <row r="1819" spans="1:7" x14ac:dyDescent="0.2">
      <c r="A1819" s="538">
        <v>5</v>
      </c>
      <c r="B1819" s="538" t="s">
        <v>6650</v>
      </c>
      <c r="C1819" s="538" t="s">
        <v>740</v>
      </c>
      <c r="D1819" s="538" t="s">
        <v>393</v>
      </c>
      <c r="E1819" s="538" t="s">
        <v>449</v>
      </c>
      <c r="F1819" s="538">
        <v>67968</v>
      </c>
      <c r="G1819" s="538">
        <v>6</v>
      </c>
    </row>
    <row r="1820" spans="1:7" x14ac:dyDescent="0.2">
      <c r="A1820" s="538">
        <v>6</v>
      </c>
      <c r="B1820" s="538" t="s">
        <v>6565</v>
      </c>
      <c r="C1820" s="538" t="s">
        <v>740</v>
      </c>
      <c r="D1820" s="538" t="s">
        <v>393</v>
      </c>
      <c r="E1820" s="538" t="s">
        <v>230</v>
      </c>
      <c r="F1820" s="538">
        <v>1320014</v>
      </c>
      <c r="G1820" s="538">
        <v>28</v>
      </c>
    </row>
    <row r="1821" spans="1:7" x14ac:dyDescent="0.2">
      <c r="A1821" s="538">
        <v>10</v>
      </c>
      <c r="B1821" s="538" t="s">
        <v>6597</v>
      </c>
      <c r="C1821" s="538" t="s">
        <v>740</v>
      </c>
      <c r="D1821" s="538" t="s">
        <v>393</v>
      </c>
      <c r="E1821" s="538" t="s">
        <v>210</v>
      </c>
      <c r="F1821" s="538">
        <v>11328</v>
      </c>
      <c r="G1821" s="538">
        <v>1</v>
      </c>
    </row>
    <row r="1822" spans="1:7" x14ac:dyDescent="0.2">
      <c r="A1822" s="538">
        <v>10</v>
      </c>
      <c r="B1822" s="538" t="s">
        <v>6600</v>
      </c>
      <c r="C1822" s="538" t="s">
        <v>393</v>
      </c>
      <c r="D1822" s="538" t="s">
        <v>393</v>
      </c>
      <c r="E1822" s="538" t="s">
        <v>449</v>
      </c>
      <c r="F1822" s="538">
        <v>203727</v>
      </c>
      <c r="G1822" s="538">
        <v>9</v>
      </c>
    </row>
    <row r="1823" spans="1:7" x14ac:dyDescent="0.2">
      <c r="A1823" s="538">
        <v>7</v>
      </c>
      <c r="B1823" s="538" t="s">
        <v>6655</v>
      </c>
      <c r="C1823" s="538" t="s">
        <v>393</v>
      </c>
      <c r="D1823" s="538" t="s">
        <v>393</v>
      </c>
      <c r="E1823" s="538" t="s">
        <v>402</v>
      </c>
      <c r="F1823" s="538">
        <v>3948662</v>
      </c>
      <c r="G1823" s="538">
        <v>79</v>
      </c>
    </row>
    <row r="1824" spans="1:7" x14ac:dyDescent="0.2">
      <c r="A1824" s="538">
        <v>2</v>
      </c>
      <c r="B1824" s="538" t="s">
        <v>6576</v>
      </c>
      <c r="C1824" s="538" t="s">
        <v>740</v>
      </c>
      <c r="D1824" s="538" t="s">
        <v>393</v>
      </c>
      <c r="E1824" s="538" t="s">
        <v>212</v>
      </c>
      <c r="F1824" s="538">
        <v>56640</v>
      </c>
      <c r="G1824" s="538">
        <v>5</v>
      </c>
    </row>
    <row r="1825" spans="1:7" x14ac:dyDescent="0.2">
      <c r="A1825" s="538">
        <v>3</v>
      </c>
      <c r="B1825" s="538" t="s">
        <v>6605</v>
      </c>
      <c r="C1825" s="538" t="s">
        <v>740</v>
      </c>
      <c r="D1825" s="538" t="s">
        <v>740</v>
      </c>
      <c r="E1825" s="538" t="s">
        <v>390</v>
      </c>
      <c r="F1825" s="538">
        <v>1975924</v>
      </c>
      <c r="G1825" s="538">
        <v>28</v>
      </c>
    </row>
    <row r="1826" spans="1:7" x14ac:dyDescent="0.2">
      <c r="A1826" s="538">
        <v>2</v>
      </c>
      <c r="B1826" s="538" t="s">
        <v>6656</v>
      </c>
      <c r="C1826" s="538" t="s">
        <v>740</v>
      </c>
      <c r="D1826" s="538" t="s">
        <v>393</v>
      </c>
      <c r="E1826" s="538" t="s">
        <v>211</v>
      </c>
      <c r="F1826" s="538">
        <v>119475</v>
      </c>
      <c r="G1826" s="538">
        <v>5</v>
      </c>
    </row>
    <row r="1827" spans="1:7" x14ac:dyDescent="0.2">
      <c r="A1827" s="538">
        <v>5</v>
      </c>
      <c r="B1827" s="538" t="s">
        <v>6568</v>
      </c>
      <c r="C1827" s="538" t="s">
        <v>740</v>
      </c>
      <c r="D1827" s="538" t="s">
        <v>393</v>
      </c>
      <c r="E1827" s="538" t="s">
        <v>438</v>
      </c>
      <c r="F1827" s="538">
        <v>11727136</v>
      </c>
      <c r="G1827" s="538">
        <v>112</v>
      </c>
    </row>
    <row r="1828" spans="1:7" x14ac:dyDescent="0.2">
      <c r="A1828" s="538">
        <v>5</v>
      </c>
      <c r="B1828" s="538" t="s">
        <v>6568</v>
      </c>
      <c r="C1828" s="538" t="s">
        <v>740</v>
      </c>
      <c r="D1828" s="538" t="s">
        <v>393</v>
      </c>
      <c r="E1828" s="538" t="s">
        <v>206</v>
      </c>
      <c r="F1828" s="538">
        <v>11328</v>
      </c>
      <c r="G1828" s="538">
        <v>1</v>
      </c>
    </row>
    <row r="1829" spans="1:7" x14ac:dyDescent="0.2">
      <c r="A1829" s="538">
        <v>9</v>
      </c>
      <c r="B1829" s="538" t="s">
        <v>6613</v>
      </c>
      <c r="C1829" s="538" t="s">
        <v>740</v>
      </c>
      <c r="D1829" s="538" t="s">
        <v>393</v>
      </c>
      <c r="E1829" s="538" t="s">
        <v>211</v>
      </c>
      <c r="F1829" s="538">
        <v>50268</v>
      </c>
      <c r="G1829" s="538">
        <v>1</v>
      </c>
    </row>
    <row r="1830" spans="1:7" x14ac:dyDescent="0.2">
      <c r="A1830" s="538">
        <v>7</v>
      </c>
      <c r="B1830" s="538" t="s">
        <v>6588</v>
      </c>
      <c r="C1830" s="538" t="s">
        <v>740</v>
      </c>
      <c r="D1830" s="538" t="s">
        <v>393</v>
      </c>
      <c r="E1830" s="538" t="s">
        <v>419</v>
      </c>
      <c r="F1830" s="538">
        <v>221427</v>
      </c>
      <c r="G1830" s="538">
        <v>14</v>
      </c>
    </row>
    <row r="1831" spans="1:7" x14ac:dyDescent="0.2">
      <c r="A1831" s="538">
        <v>6</v>
      </c>
      <c r="B1831" s="538" t="s">
        <v>6433</v>
      </c>
      <c r="C1831" s="538" t="s">
        <v>393</v>
      </c>
      <c r="D1831" s="538" t="s">
        <v>393</v>
      </c>
      <c r="E1831" s="538" t="s">
        <v>313</v>
      </c>
      <c r="F1831" s="538">
        <v>1191460</v>
      </c>
      <c r="G1831" s="538">
        <v>5</v>
      </c>
    </row>
    <row r="1832" spans="1:7" x14ac:dyDescent="0.2">
      <c r="A1832" s="538">
        <v>7</v>
      </c>
      <c r="B1832" s="538" t="s">
        <v>6588</v>
      </c>
      <c r="C1832" s="538" t="s">
        <v>740</v>
      </c>
      <c r="D1832" s="538" t="s">
        <v>740</v>
      </c>
      <c r="E1832" s="538" t="s">
        <v>438</v>
      </c>
      <c r="F1832" s="538">
        <v>6377727</v>
      </c>
      <c r="G1832" s="538">
        <v>69</v>
      </c>
    </row>
    <row r="1833" spans="1:7" x14ac:dyDescent="0.2">
      <c r="A1833" s="538">
        <v>6</v>
      </c>
      <c r="B1833" s="538" t="s">
        <v>6575</v>
      </c>
      <c r="C1833" s="538" t="s">
        <v>740</v>
      </c>
      <c r="D1833" s="538" t="s">
        <v>393</v>
      </c>
      <c r="E1833" s="538" t="s">
        <v>209</v>
      </c>
      <c r="F1833" s="538">
        <v>15041961</v>
      </c>
      <c r="G1833" s="538">
        <v>92</v>
      </c>
    </row>
    <row r="1834" spans="1:7" x14ac:dyDescent="0.2">
      <c r="A1834" s="538">
        <v>4</v>
      </c>
      <c r="B1834" s="538" t="s">
        <v>6590</v>
      </c>
      <c r="C1834" s="538" t="s">
        <v>740</v>
      </c>
      <c r="D1834" s="538" t="s">
        <v>393</v>
      </c>
      <c r="E1834" s="538" t="s">
        <v>390</v>
      </c>
      <c r="F1834" s="538">
        <v>2198163</v>
      </c>
      <c r="G1834" s="538">
        <v>91</v>
      </c>
    </row>
    <row r="1835" spans="1:7" x14ac:dyDescent="0.2">
      <c r="A1835" s="538">
        <v>8</v>
      </c>
      <c r="B1835" s="538" t="s">
        <v>6648</v>
      </c>
      <c r="C1835" s="538" t="s">
        <v>740</v>
      </c>
      <c r="D1835" s="538" t="s">
        <v>393</v>
      </c>
      <c r="E1835" s="538" t="s">
        <v>207</v>
      </c>
      <c r="F1835" s="538">
        <v>22656</v>
      </c>
      <c r="G1835" s="538">
        <v>2</v>
      </c>
    </row>
    <row r="1836" spans="1:7" x14ac:dyDescent="0.2">
      <c r="A1836" s="538">
        <v>7</v>
      </c>
      <c r="B1836" s="538" t="s">
        <v>6604</v>
      </c>
      <c r="C1836" s="538" t="s">
        <v>740</v>
      </c>
      <c r="D1836" s="538" t="s">
        <v>393</v>
      </c>
      <c r="E1836" s="538" t="s">
        <v>402</v>
      </c>
      <c r="F1836" s="538">
        <v>22656</v>
      </c>
      <c r="G1836" s="538">
        <v>2</v>
      </c>
    </row>
    <row r="1837" spans="1:7" x14ac:dyDescent="0.2">
      <c r="A1837" s="538">
        <v>6</v>
      </c>
      <c r="B1837" s="538" t="s">
        <v>6596</v>
      </c>
      <c r="C1837" s="538" t="s">
        <v>740</v>
      </c>
      <c r="D1837" s="538" t="s">
        <v>393</v>
      </c>
      <c r="E1837" s="538" t="s">
        <v>209</v>
      </c>
      <c r="F1837" s="538">
        <v>50268</v>
      </c>
      <c r="G1837" s="538">
        <v>1</v>
      </c>
    </row>
    <row r="1838" spans="1:7" x14ac:dyDescent="0.2">
      <c r="A1838" s="538">
        <v>7</v>
      </c>
      <c r="B1838" s="538" t="s">
        <v>6655</v>
      </c>
      <c r="C1838" s="538" t="s">
        <v>740</v>
      </c>
      <c r="D1838" s="538" t="s">
        <v>393</v>
      </c>
      <c r="E1838" s="538" t="s">
        <v>210</v>
      </c>
      <c r="F1838" s="538">
        <v>2540200</v>
      </c>
      <c r="G1838" s="538">
        <v>95</v>
      </c>
    </row>
    <row r="1839" spans="1:7" x14ac:dyDescent="0.2">
      <c r="A1839" s="538">
        <v>12</v>
      </c>
      <c r="B1839" s="538" t="s">
        <v>6563</v>
      </c>
      <c r="C1839" s="538" t="s">
        <v>740</v>
      </c>
      <c r="D1839" s="538" t="s">
        <v>740</v>
      </c>
      <c r="E1839" s="538" t="s">
        <v>202</v>
      </c>
      <c r="F1839" s="538">
        <v>22353321</v>
      </c>
      <c r="G1839" s="538">
        <v>267</v>
      </c>
    </row>
    <row r="1840" spans="1:7" x14ac:dyDescent="0.2">
      <c r="A1840" s="538">
        <v>4</v>
      </c>
      <c r="B1840" s="538" t="s">
        <v>6562</v>
      </c>
      <c r="C1840" s="538" t="s">
        <v>740</v>
      </c>
      <c r="D1840" s="538" t="s">
        <v>393</v>
      </c>
      <c r="E1840" s="538" t="s">
        <v>211</v>
      </c>
      <c r="F1840" s="538">
        <v>487812</v>
      </c>
      <c r="G1840" s="538">
        <v>14</v>
      </c>
    </row>
    <row r="1841" spans="1:7" x14ac:dyDescent="0.2">
      <c r="A1841" s="538">
        <v>8</v>
      </c>
      <c r="B1841" s="538" t="s">
        <v>6570</v>
      </c>
      <c r="C1841" s="538" t="s">
        <v>740</v>
      </c>
      <c r="D1841" s="538" t="s">
        <v>393</v>
      </c>
      <c r="E1841" s="538" t="s">
        <v>416</v>
      </c>
      <c r="F1841" s="538">
        <v>17273025</v>
      </c>
      <c r="G1841" s="538">
        <v>345</v>
      </c>
    </row>
    <row r="1842" spans="1:7" x14ac:dyDescent="0.2">
      <c r="A1842" s="538">
        <v>8</v>
      </c>
      <c r="B1842" s="538" t="s">
        <v>6570</v>
      </c>
      <c r="C1842" s="538" t="s">
        <v>740</v>
      </c>
      <c r="D1842" s="538" t="s">
        <v>393</v>
      </c>
      <c r="E1842" s="538" t="s">
        <v>390</v>
      </c>
      <c r="F1842" s="538">
        <v>16104054</v>
      </c>
      <c r="G1842" s="538">
        <v>508</v>
      </c>
    </row>
    <row r="1843" spans="1:7" x14ac:dyDescent="0.2">
      <c r="A1843" s="538">
        <v>4</v>
      </c>
      <c r="B1843" s="538" t="s">
        <v>6590</v>
      </c>
      <c r="C1843" s="538" t="s">
        <v>740</v>
      </c>
      <c r="D1843" s="538" t="s">
        <v>393</v>
      </c>
      <c r="E1843" s="538" t="s">
        <v>860</v>
      </c>
      <c r="F1843" s="538">
        <v>369753</v>
      </c>
      <c r="G1843" s="538">
        <v>16</v>
      </c>
    </row>
    <row r="1844" spans="1:7" x14ac:dyDescent="0.2">
      <c r="A1844" s="538">
        <v>4</v>
      </c>
      <c r="B1844" s="538" t="s">
        <v>6562</v>
      </c>
      <c r="C1844" s="538" t="s">
        <v>740</v>
      </c>
      <c r="D1844" s="538" t="s">
        <v>393</v>
      </c>
      <c r="E1844" s="538" t="s">
        <v>449</v>
      </c>
      <c r="F1844" s="538">
        <v>436482</v>
      </c>
      <c r="G1844" s="538">
        <v>24</v>
      </c>
    </row>
    <row r="1845" spans="1:7" x14ac:dyDescent="0.2">
      <c r="A1845" s="538">
        <v>12</v>
      </c>
      <c r="B1845" s="538" t="s">
        <v>6616</v>
      </c>
      <c r="C1845" s="538" t="s">
        <v>740</v>
      </c>
      <c r="D1845" s="538" t="s">
        <v>393</v>
      </c>
      <c r="E1845" s="538" t="s">
        <v>210</v>
      </c>
      <c r="F1845" s="538">
        <v>191160</v>
      </c>
      <c r="G1845" s="538">
        <v>10</v>
      </c>
    </row>
    <row r="1846" spans="1:7" x14ac:dyDescent="0.2">
      <c r="A1846" s="538">
        <v>12</v>
      </c>
      <c r="B1846" s="538" t="s">
        <v>6563</v>
      </c>
      <c r="C1846" s="538" t="s">
        <v>740</v>
      </c>
      <c r="D1846" s="538" t="s">
        <v>393</v>
      </c>
      <c r="E1846" s="538" t="s">
        <v>860</v>
      </c>
      <c r="F1846" s="538">
        <v>123455535</v>
      </c>
      <c r="G1846" s="538">
        <v>4960</v>
      </c>
    </row>
    <row r="1847" spans="1:7" x14ac:dyDescent="0.2">
      <c r="A1847" s="538">
        <v>1</v>
      </c>
      <c r="B1847" s="538" t="s">
        <v>6609</v>
      </c>
      <c r="C1847" s="538" t="s">
        <v>740</v>
      </c>
      <c r="D1847" s="538" t="s">
        <v>740</v>
      </c>
      <c r="E1847" s="538" t="s">
        <v>390</v>
      </c>
      <c r="F1847" s="538">
        <v>295590</v>
      </c>
      <c r="G1847" s="538">
        <v>15</v>
      </c>
    </row>
    <row r="1848" spans="1:7" x14ac:dyDescent="0.2">
      <c r="A1848" s="538">
        <v>11</v>
      </c>
      <c r="B1848" s="538" t="s">
        <v>6558</v>
      </c>
      <c r="C1848" s="538" t="s">
        <v>393</v>
      </c>
      <c r="D1848" s="538" t="s">
        <v>393</v>
      </c>
      <c r="E1848" s="538" t="s">
        <v>401</v>
      </c>
      <c r="F1848" s="538">
        <v>106908</v>
      </c>
      <c r="G1848" s="538">
        <v>6</v>
      </c>
    </row>
    <row r="1849" spans="1:7" x14ac:dyDescent="0.2">
      <c r="A1849" s="538">
        <v>2</v>
      </c>
      <c r="B1849" s="538" t="s">
        <v>6654</v>
      </c>
      <c r="C1849" s="538" t="s">
        <v>740</v>
      </c>
      <c r="D1849" s="538" t="s">
        <v>740</v>
      </c>
      <c r="E1849" s="538" t="s">
        <v>860</v>
      </c>
      <c r="F1849" s="538">
        <v>11328</v>
      </c>
      <c r="G1849" s="538">
        <v>1</v>
      </c>
    </row>
    <row r="1850" spans="1:7" x14ac:dyDescent="0.2">
      <c r="A1850" s="538">
        <v>12</v>
      </c>
      <c r="B1850" s="538" t="s">
        <v>6569</v>
      </c>
      <c r="C1850" s="538" t="s">
        <v>740</v>
      </c>
      <c r="D1850" s="538" t="s">
        <v>393</v>
      </c>
      <c r="E1850" s="538" t="s">
        <v>230</v>
      </c>
      <c r="F1850" s="538">
        <v>49959012</v>
      </c>
      <c r="G1850" s="538">
        <v>1254</v>
      </c>
    </row>
    <row r="1851" spans="1:7" x14ac:dyDescent="0.2">
      <c r="A1851" s="538">
        <v>10</v>
      </c>
      <c r="B1851" s="538" t="s">
        <v>6653</v>
      </c>
      <c r="C1851" s="538" t="s">
        <v>740</v>
      </c>
      <c r="D1851" s="538" t="s">
        <v>393</v>
      </c>
      <c r="E1851" s="538" t="s">
        <v>209</v>
      </c>
      <c r="F1851" s="538">
        <v>1363681</v>
      </c>
      <c r="G1851" s="538">
        <v>7</v>
      </c>
    </row>
    <row r="1852" spans="1:7" x14ac:dyDescent="0.2">
      <c r="A1852" s="538">
        <v>3</v>
      </c>
      <c r="B1852" s="538" t="s">
        <v>6605</v>
      </c>
      <c r="C1852" s="538" t="s">
        <v>740</v>
      </c>
      <c r="D1852" s="538" t="s">
        <v>393</v>
      </c>
      <c r="E1852" s="538" t="s">
        <v>860</v>
      </c>
      <c r="F1852" s="538">
        <v>1064478</v>
      </c>
      <c r="G1852" s="538">
        <v>76</v>
      </c>
    </row>
    <row r="1853" spans="1:7" x14ac:dyDescent="0.2">
      <c r="A1853" s="538">
        <v>4</v>
      </c>
      <c r="B1853" s="538" t="s">
        <v>6559</v>
      </c>
      <c r="C1853" s="538" t="s">
        <v>740</v>
      </c>
      <c r="D1853" s="538" t="s">
        <v>740</v>
      </c>
      <c r="E1853" s="538" t="s">
        <v>207</v>
      </c>
      <c r="F1853" s="538">
        <v>4011351</v>
      </c>
      <c r="G1853" s="538">
        <v>227</v>
      </c>
    </row>
    <row r="1854" spans="1:7" x14ac:dyDescent="0.2">
      <c r="A1854" s="538">
        <v>7</v>
      </c>
      <c r="B1854" s="538" t="s">
        <v>6594</v>
      </c>
      <c r="C1854" s="538" t="s">
        <v>740</v>
      </c>
      <c r="D1854" s="538" t="s">
        <v>393</v>
      </c>
      <c r="E1854" s="538" t="s">
        <v>210</v>
      </c>
      <c r="F1854" s="538">
        <v>158592</v>
      </c>
      <c r="G1854" s="538">
        <v>14</v>
      </c>
    </row>
    <row r="1855" spans="1:7" x14ac:dyDescent="0.2">
      <c r="A1855" s="538">
        <v>4</v>
      </c>
      <c r="B1855" s="538" t="s">
        <v>6574</v>
      </c>
      <c r="C1855" s="538" t="s">
        <v>740</v>
      </c>
      <c r="D1855" s="538" t="s">
        <v>393</v>
      </c>
      <c r="E1855" s="538" t="s">
        <v>211</v>
      </c>
      <c r="F1855" s="538">
        <v>2397184</v>
      </c>
      <c r="G1855" s="538">
        <v>43</v>
      </c>
    </row>
    <row r="1856" spans="1:7" x14ac:dyDescent="0.2">
      <c r="A1856" s="538">
        <v>7</v>
      </c>
      <c r="B1856" s="538" t="s">
        <v>6594</v>
      </c>
      <c r="C1856" s="538" t="s">
        <v>740</v>
      </c>
      <c r="D1856" s="538" t="s">
        <v>393</v>
      </c>
      <c r="E1856" s="538" t="s">
        <v>409</v>
      </c>
      <c r="F1856" s="538">
        <v>499317</v>
      </c>
      <c r="G1856" s="538">
        <v>24</v>
      </c>
    </row>
    <row r="1857" spans="1:7" x14ac:dyDescent="0.2">
      <c r="A1857" s="538">
        <v>10</v>
      </c>
      <c r="B1857" s="538" t="s">
        <v>6652</v>
      </c>
      <c r="C1857" s="538" t="s">
        <v>740</v>
      </c>
      <c r="D1857" s="538" t="s">
        <v>393</v>
      </c>
      <c r="E1857" s="538" t="s">
        <v>438</v>
      </c>
      <c r="F1857" s="538">
        <v>553073</v>
      </c>
      <c r="G1857" s="538">
        <v>6</v>
      </c>
    </row>
    <row r="1858" spans="1:7" x14ac:dyDescent="0.2">
      <c r="A1858" s="538">
        <v>9</v>
      </c>
      <c r="B1858" s="538" t="s">
        <v>6606</v>
      </c>
      <c r="C1858" s="538" t="s">
        <v>740</v>
      </c>
      <c r="D1858" s="538" t="s">
        <v>740</v>
      </c>
      <c r="E1858" s="538" t="s">
        <v>212</v>
      </c>
      <c r="F1858" s="538">
        <v>84252</v>
      </c>
      <c r="G1858" s="538">
        <v>4</v>
      </c>
    </row>
    <row r="1859" spans="1:7" x14ac:dyDescent="0.2">
      <c r="A1859" s="538">
        <v>6</v>
      </c>
      <c r="B1859" s="538" t="s">
        <v>6596</v>
      </c>
      <c r="C1859" s="538" t="s">
        <v>740</v>
      </c>
      <c r="D1859" s="538" t="s">
        <v>393</v>
      </c>
      <c r="E1859" s="538" t="s">
        <v>390</v>
      </c>
      <c r="F1859" s="538">
        <v>11556653</v>
      </c>
      <c r="G1859" s="538">
        <v>396</v>
      </c>
    </row>
    <row r="1860" spans="1:7" x14ac:dyDescent="0.2">
      <c r="A1860" s="538">
        <v>7</v>
      </c>
      <c r="B1860" s="538" t="s">
        <v>6580</v>
      </c>
      <c r="C1860" s="538" t="s">
        <v>393</v>
      </c>
      <c r="D1860" s="538" t="s">
        <v>393</v>
      </c>
      <c r="E1860" s="538" t="s">
        <v>207</v>
      </c>
      <c r="F1860" s="538">
        <v>7397830</v>
      </c>
      <c r="G1860" s="538">
        <v>190</v>
      </c>
    </row>
    <row r="1861" spans="1:7" x14ac:dyDescent="0.2">
      <c r="A1861" s="538">
        <v>5</v>
      </c>
      <c r="B1861" s="538" t="s">
        <v>6599</v>
      </c>
      <c r="C1861" s="538" t="s">
        <v>393</v>
      </c>
      <c r="D1861" s="538" t="s">
        <v>393</v>
      </c>
      <c r="E1861" s="538" t="s">
        <v>230</v>
      </c>
      <c r="F1861" s="538">
        <v>10793065</v>
      </c>
      <c r="G1861" s="538">
        <v>170</v>
      </c>
    </row>
    <row r="1862" spans="1:7" x14ac:dyDescent="0.2">
      <c r="A1862" s="538">
        <v>3</v>
      </c>
      <c r="B1862" s="538" t="s">
        <v>6578</v>
      </c>
      <c r="C1862" s="538" t="s">
        <v>740</v>
      </c>
      <c r="D1862" s="538" t="s">
        <v>393</v>
      </c>
      <c r="E1862" s="538" t="s">
        <v>211</v>
      </c>
      <c r="F1862" s="538">
        <v>496433</v>
      </c>
      <c r="G1862" s="538">
        <v>1</v>
      </c>
    </row>
    <row r="1863" spans="1:7" x14ac:dyDescent="0.2">
      <c r="A1863" s="538">
        <v>5</v>
      </c>
      <c r="B1863" s="538" t="s">
        <v>6568</v>
      </c>
      <c r="C1863" s="538" t="s">
        <v>740</v>
      </c>
      <c r="D1863" s="538" t="s">
        <v>740</v>
      </c>
      <c r="E1863" s="538" t="s">
        <v>860</v>
      </c>
      <c r="F1863" s="538">
        <v>22656</v>
      </c>
      <c r="G1863" s="538">
        <v>2</v>
      </c>
    </row>
    <row r="1864" spans="1:7" x14ac:dyDescent="0.2">
      <c r="A1864" s="538">
        <v>4</v>
      </c>
      <c r="B1864" s="538" t="s">
        <v>6590</v>
      </c>
      <c r="C1864" s="538" t="s">
        <v>740</v>
      </c>
      <c r="D1864" s="538" t="s">
        <v>393</v>
      </c>
      <c r="E1864" s="538" t="s">
        <v>313</v>
      </c>
      <c r="F1864" s="538">
        <v>74163</v>
      </c>
      <c r="G1864" s="538">
        <v>1</v>
      </c>
    </row>
    <row r="1865" spans="1:7" x14ac:dyDescent="0.2">
      <c r="A1865" s="538">
        <v>1</v>
      </c>
      <c r="B1865" s="538" t="s">
        <v>6609</v>
      </c>
      <c r="C1865" s="538" t="s">
        <v>740</v>
      </c>
      <c r="D1865" s="538" t="s">
        <v>393</v>
      </c>
      <c r="E1865" s="538" t="s">
        <v>212</v>
      </c>
      <c r="F1865" s="538">
        <v>11328</v>
      </c>
      <c r="G1865" s="538">
        <v>1</v>
      </c>
    </row>
    <row r="1866" spans="1:7" x14ac:dyDescent="0.2">
      <c r="A1866" s="538">
        <v>6</v>
      </c>
      <c r="B1866" s="538" t="s">
        <v>6565</v>
      </c>
      <c r="C1866" s="538" t="s">
        <v>740</v>
      </c>
      <c r="D1866" s="538" t="s">
        <v>393</v>
      </c>
      <c r="E1866" s="538" t="s">
        <v>210</v>
      </c>
      <c r="F1866" s="538">
        <v>67968</v>
      </c>
      <c r="G1866" s="538">
        <v>6</v>
      </c>
    </row>
    <row r="1867" spans="1:7" x14ac:dyDescent="0.2">
      <c r="A1867" s="538">
        <v>4</v>
      </c>
      <c r="B1867" s="538" t="s">
        <v>6574</v>
      </c>
      <c r="C1867" s="538" t="s">
        <v>393</v>
      </c>
      <c r="D1867" s="538" t="s">
        <v>740</v>
      </c>
      <c r="E1867" s="538" t="s">
        <v>210</v>
      </c>
      <c r="F1867" s="538">
        <v>11328</v>
      </c>
      <c r="G1867" s="538">
        <v>1</v>
      </c>
    </row>
    <row r="1868" spans="1:7" x14ac:dyDescent="0.2">
      <c r="A1868" s="538">
        <v>8</v>
      </c>
      <c r="B1868" s="538" t="s">
        <v>6560</v>
      </c>
      <c r="C1868" s="538" t="s">
        <v>393</v>
      </c>
      <c r="D1868" s="538" t="s">
        <v>393</v>
      </c>
      <c r="E1868" s="538" t="s">
        <v>409</v>
      </c>
      <c r="F1868" s="538">
        <v>3165666</v>
      </c>
      <c r="G1868" s="538">
        <v>72</v>
      </c>
    </row>
    <row r="1869" spans="1:7" x14ac:dyDescent="0.2">
      <c r="A1869" s="538">
        <v>11</v>
      </c>
      <c r="B1869" s="538" t="s">
        <v>6610</v>
      </c>
      <c r="C1869" s="538" t="s">
        <v>393</v>
      </c>
      <c r="D1869" s="538" t="s">
        <v>393</v>
      </c>
      <c r="E1869" s="538" t="s">
        <v>416</v>
      </c>
      <c r="F1869" s="538">
        <v>69895617</v>
      </c>
      <c r="G1869" s="538">
        <v>1384</v>
      </c>
    </row>
    <row r="1870" spans="1:7" x14ac:dyDescent="0.2">
      <c r="A1870" s="538">
        <v>6</v>
      </c>
      <c r="B1870" s="538" t="s">
        <v>6607</v>
      </c>
      <c r="C1870" s="538" t="s">
        <v>740</v>
      </c>
      <c r="D1870" s="538" t="s">
        <v>393</v>
      </c>
      <c r="E1870" s="538" t="s">
        <v>438</v>
      </c>
      <c r="F1870" s="538">
        <v>6590356</v>
      </c>
      <c r="G1870" s="538">
        <v>87</v>
      </c>
    </row>
    <row r="1871" spans="1:7" x14ac:dyDescent="0.2">
      <c r="A1871" s="538">
        <v>6</v>
      </c>
      <c r="B1871" s="538" t="s">
        <v>6607</v>
      </c>
      <c r="C1871" s="538" t="s">
        <v>740</v>
      </c>
      <c r="D1871" s="538" t="s">
        <v>393</v>
      </c>
      <c r="E1871" s="538" t="s">
        <v>206</v>
      </c>
      <c r="F1871" s="538">
        <v>108147</v>
      </c>
      <c r="G1871" s="538">
        <v>4</v>
      </c>
    </row>
    <row r="1872" spans="1:7" x14ac:dyDescent="0.2">
      <c r="A1872" s="538">
        <v>11</v>
      </c>
      <c r="B1872" s="538" t="s">
        <v>6610</v>
      </c>
      <c r="C1872" s="538" t="s">
        <v>740</v>
      </c>
      <c r="D1872" s="538" t="s">
        <v>393</v>
      </c>
      <c r="E1872" s="538" t="s">
        <v>207</v>
      </c>
      <c r="F1872" s="538">
        <v>113280</v>
      </c>
      <c r="G1872" s="538">
        <v>10</v>
      </c>
    </row>
    <row r="1873" spans="1:7" x14ac:dyDescent="0.2">
      <c r="A1873" s="538">
        <v>3</v>
      </c>
      <c r="B1873" s="538" t="s">
        <v>1390</v>
      </c>
      <c r="C1873" s="538" t="s">
        <v>740</v>
      </c>
      <c r="D1873" s="538" t="s">
        <v>740</v>
      </c>
      <c r="E1873" s="538" t="s">
        <v>860</v>
      </c>
      <c r="F1873" s="538">
        <v>22656</v>
      </c>
      <c r="G1873" s="538">
        <v>2</v>
      </c>
    </row>
    <row r="1874" spans="1:7" x14ac:dyDescent="0.2">
      <c r="A1874" s="538">
        <v>11</v>
      </c>
      <c r="B1874" s="538" t="s">
        <v>6610</v>
      </c>
      <c r="C1874" s="538" t="s">
        <v>393</v>
      </c>
      <c r="D1874" s="538" t="s">
        <v>393</v>
      </c>
      <c r="E1874" s="538" t="s">
        <v>210</v>
      </c>
      <c r="F1874" s="538">
        <v>3261246</v>
      </c>
      <c r="G1874" s="538">
        <v>77</v>
      </c>
    </row>
    <row r="1875" spans="1:7" x14ac:dyDescent="0.2">
      <c r="A1875" s="538">
        <v>10</v>
      </c>
      <c r="B1875" s="538" t="s">
        <v>6587</v>
      </c>
      <c r="C1875" s="538" t="s">
        <v>740</v>
      </c>
      <c r="D1875" s="538" t="s">
        <v>740</v>
      </c>
      <c r="E1875" s="538" t="s">
        <v>207</v>
      </c>
      <c r="F1875" s="538">
        <v>310812</v>
      </c>
      <c r="G1875" s="538">
        <v>24</v>
      </c>
    </row>
    <row r="1876" spans="1:7" x14ac:dyDescent="0.2">
      <c r="A1876" s="538">
        <v>3</v>
      </c>
      <c r="B1876" s="538" t="s">
        <v>6561</v>
      </c>
      <c r="C1876" s="538" t="s">
        <v>393</v>
      </c>
      <c r="D1876" s="538" t="s">
        <v>740</v>
      </c>
      <c r="E1876" s="538" t="s">
        <v>209</v>
      </c>
      <c r="F1876" s="538">
        <v>992866</v>
      </c>
      <c r="G1876" s="538">
        <v>2</v>
      </c>
    </row>
    <row r="1877" spans="1:7" x14ac:dyDescent="0.2">
      <c r="A1877" s="538">
        <v>4</v>
      </c>
      <c r="B1877" s="538" t="s">
        <v>6590</v>
      </c>
      <c r="C1877" s="538" t="s">
        <v>740</v>
      </c>
      <c r="D1877" s="538" t="s">
        <v>393</v>
      </c>
      <c r="E1877" s="538" t="s">
        <v>416</v>
      </c>
      <c r="F1877" s="538">
        <v>9609945</v>
      </c>
      <c r="G1877" s="538">
        <v>145</v>
      </c>
    </row>
    <row r="1878" spans="1:7" x14ac:dyDescent="0.2">
      <c r="A1878" s="538">
        <v>4</v>
      </c>
      <c r="B1878" s="538" t="s">
        <v>6572</v>
      </c>
      <c r="C1878" s="538" t="s">
        <v>740</v>
      </c>
      <c r="D1878" s="538" t="s">
        <v>393</v>
      </c>
      <c r="E1878" s="538" t="s">
        <v>210</v>
      </c>
      <c r="F1878" s="538">
        <v>15922098</v>
      </c>
      <c r="G1878" s="538">
        <v>641</v>
      </c>
    </row>
    <row r="1879" spans="1:7" x14ac:dyDescent="0.2">
      <c r="A1879" s="538">
        <v>8</v>
      </c>
      <c r="B1879" s="538" t="s">
        <v>6577</v>
      </c>
      <c r="C1879" s="538" t="s">
        <v>393</v>
      </c>
      <c r="D1879" s="538" t="s">
        <v>393</v>
      </c>
      <c r="E1879" s="538" t="s">
        <v>409</v>
      </c>
      <c r="F1879" s="538">
        <v>237711</v>
      </c>
      <c r="G1879" s="538">
        <v>12</v>
      </c>
    </row>
    <row r="1880" spans="1:7" x14ac:dyDescent="0.2">
      <c r="A1880" s="538">
        <v>4</v>
      </c>
      <c r="B1880" s="538" t="s">
        <v>6559</v>
      </c>
      <c r="C1880" s="538" t="s">
        <v>393</v>
      </c>
      <c r="D1880" s="538" t="s">
        <v>393</v>
      </c>
      <c r="E1880" s="538" t="s">
        <v>438</v>
      </c>
      <c r="F1880" s="538">
        <v>1470589</v>
      </c>
      <c r="G1880" s="538">
        <v>13</v>
      </c>
    </row>
    <row r="1881" spans="1:7" x14ac:dyDescent="0.2">
      <c r="A1881" s="538">
        <v>4</v>
      </c>
      <c r="B1881" s="538" t="s">
        <v>6559</v>
      </c>
      <c r="C1881" s="538" t="s">
        <v>740</v>
      </c>
      <c r="D1881" s="538" t="s">
        <v>393</v>
      </c>
      <c r="E1881" s="538" t="s">
        <v>860</v>
      </c>
      <c r="F1881" s="538">
        <v>42558287</v>
      </c>
      <c r="G1881" s="538">
        <v>1924</v>
      </c>
    </row>
    <row r="1882" spans="1:7" x14ac:dyDescent="0.2">
      <c r="A1882" s="538">
        <v>4</v>
      </c>
      <c r="B1882" s="538" t="s">
        <v>6559</v>
      </c>
      <c r="C1882" s="538" t="s">
        <v>393</v>
      </c>
      <c r="D1882" s="538" t="s">
        <v>740</v>
      </c>
      <c r="E1882" s="538" t="s">
        <v>438</v>
      </c>
      <c r="F1882" s="538">
        <v>11328</v>
      </c>
      <c r="G1882" s="538">
        <v>1</v>
      </c>
    </row>
    <row r="1883" spans="1:7" x14ac:dyDescent="0.2">
      <c r="A1883" s="538">
        <v>4</v>
      </c>
      <c r="B1883" s="538" t="s">
        <v>6559</v>
      </c>
      <c r="C1883" s="538" t="s">
        <v>740</v>
      </c>
      <c r="D1883" s="538" t="s">
        <v>740</v>
      </c>
      <c r="E1883" s="538" t="s">
        <v>209</v>
      </c>
      <c r="F1883" s="538">
        <v>7049411</v>
      </c>
      <c r="G1883" s="538">
        <v>22</v>
      </c>
    </row>
    <row r="1884" spans="1:7" x14ac:dyDescent="0.2">
      <c r="A1884" s="538">
        <v>11</v>
      </c>
      <c r="B1884" s="538" t="s">
        <v>6612</v>
      </c>
      <c r="C1884" s="538" t="s">
        <v>393</v>
      </c>
      <c r="D1884" s="538" t="s">
        <v>740</v>
      </c>
      <c r="E1884" s="538" t="s">
        <v>230</v>
      </c>
      <c r="F1884" s="538">
        <v>22656</v>
      </c>
      <c r="G1884" s="538">
        <v>2</v>
      </c>
    </row>
    <row r="1885" spans="1:7" x14ac:dyDescent="0.2">
      <c r="A1885" s="538">
        <v>5</v>
      </c>
      <c r="B1885" s="538" t="s">
        <v>6650</v>
      </c>
      <c r="C1885" s="538" t="s">
        <v>740</v>
      </c>
      <c r="D1885" s="538" t="s">
        <v>740</v>
      </c>
      <c r="E1885" s="538" t="s">
        <v>409</v>
      </c>
      <c r="F1885" s="538">
        <v>249216</v>
      </c>
      <c r="G1885" s="538">
        <v>22</v>
      </c>
    </row>
    <row r="1886" spans="1:7" x14ac:dyDescent="0.2">
      <c r="A1886" s="538">
        <v>6</v>
      </c>
      <c r="B1886" s="538" t="s">
        <v>6596</v>
      </c>
      <c r="C1886" s="538" t="s">
        <v>740</v>
      </c>
      <c r="D1886" s="538" t="s">
        <v>393</v>
      </c>
      <c r="E1886" s="538" t="s">
        <v>860</v>
      </c>
      <c r="F1886" s="538">
        <v>402498</v>
      </c>
      <c r="G1886" s="538">
        <v>21</v>
      </c>
    </row>
    <row r="1887" spans="1:7" x14ac:dyDescent="0.2">
      <c r="A1887" s="538">
        <v>10</v>
      </c>
      <c r="B1887" s="538" t="s">
        <v>6611</v>
      </c>
      <c r="C1887" s="538" t="s">
        <v>393</v>
      </c>
      <c r="D1887" s="538" t="s">
        <v>393</v>
      </c>
      <c r="E1887" s="538" t="s">
        <v>402</v>
      </c>
      <c r="F1887" s="538">
        <v>1792729</v>
      </c>
      <c r="G1887" s="538">
        <v>38</v>
      </c>
    </row>
    <row r="1888" spans="1:7" x14ac:dyDescent="0.2">
      <c r="A1888" s="538">
        <v>2</v>
      </c>
      <c r="B1888" s="538" t="s">
        <v>6576</v>
      </c>
      <c r="C1888" s="538" t="s">
        <v>740</v>
      </c>
      <c r="D1888" s="538" t="s">
        <v>393</v>
      </c>
      <c r="E1888" s="538" t="s">
        <v>860</v>
      </c>
      <c r="F1888" s="538">
        <v>22656</v>
      </c>
      <c r="G1888" s="538">
        <v>2</v>
      </c>
    </row>
    <row r="1889" spans="1:7" x14ac:dyDescent="0.2">
      <c r="A1889" s="538">
        <v>3</v>
      </c>
      <c r="B1889" s="538" t="s">
        <v>1390</v>
      </c>
      <c r="C1889" s="538" t="s">
        <v>393</v>
      </c>
      <c r="D1889" s="538" t="s">
        <v>393</v>
      </c>
      <c r="E1889" s="538" t="s">
        <v>449</v>
      </c>
      <c r="F1889" s="538">
        <v>659148</v>
      </c>
      <c r="G1889" s="538">
        <v>36</v>
      </c>
    </row>
    <row r="1890" spans="1:7" x14ac:dyDescent="0.2">
      <c r="A1890" s="538">
        <v>8</v>
      </c>
      <c r="B1890" s="538" t="s">
        <v>6567</v>
      </c>
      <c r="C1890" s="538" t="s">
        <v>740</v>
      </c>
      <c r="D1890" s="538" t="s">
        <v>740</v>
      </c>
      <c r="E1890" s="538" t="s">
        <v>209</v>
      </c>
      <c r="F1890" s="538">
        <v>1004194</v>
      </c>
      <c r="G1890" s="538">
        <v>3</v>
      </c>
    </row>
    <row r="1891" spans="1:7" x14ac:dyDescent="0.2">
      <c r="A1891" s="538">
        <v>1</v>
      </c>
      <c r="B1891" s="538" t="s">
        <v>6595</v>
      </c>
      <c r="C1891" s="538" t="s">
        <v>393</v>
      </c>
      <c r="D1891" s="538" t="s">
        <v>393</v>
      </c>
      <c r="E1891" s="538" t="s">
        <v>402</v>
      </c>
      <c r="F1891" s="538">
        <v>5254995</v>
      </c>
      <c r="G1891" s="538">
        <v>115</v>
      </c>
    </row>
    <row r="1892" spans="1:7" x14ac:dyDescent="0.2">
      <c r="A1892" s="538">
        <v>3</v>
      </c>
      <c r="B1892" s="538" t="s">
        <v>6561</v>
      </c>
      <c r="C1892" s="538" t="s">
        <v>393</v>
      </c>
      <c r="D1892" s="538" t="s">
        <v>393</v>
      </c>
      <c r="E1892" s="538" t="s">
        <v>860</v>
      </c>
      <c r="F1892" s="538">
        <v>2557775</v>
      </c>
      <c r="G1892" s="538">
        <v>100</v>
      </c>
    </row>
    <row r="1893" spans="1:7" x14ac:dyDescent="0.2">
      <c r="A1893" s="538">
        <v>7</v>
      </c>
      <c r="B1893" s="538" t="s">
        <v>6594</v>
      </c>
      <c r="C1893" s="538" t="s">
        <v>740</v>
      </c>
      <c r="D1893" s="538" t="s">
        <v>740</v>
      </c>
      <c r="E1893" s="538" t="s">
        <v>210</v>
      </c>
      <c r="F1893" s="538">
        <v>318069</v>
      </c>
      <c r="G1893" s="538">
        <v>8</v>
      </c>
    </row>
    <row r="1894" spans="1:7" x14ac:dyDescent="0.2">
      <c r="A1894" s="538">
        <v>9</v>
      </c>
      <c r="B1894" s="538" t="s">
        <v>6615</v>
      </c>
      <c r="C1894" s="538" t="s">
        <v>393</v>
      </c>
      <c r="D1894" s="538" t="s">
        <v>740</v>
      </c>
      <c r="E1894" s="538" t="s">
        <v>230</v>
      </c>
      <c r="F1894" s="538">
        <v>530417</v>
      </c>
      <c r="G1894" s="538">
        <v>4</v>
      </c>
    </row>
    <row r="1895" spans="1:7" x14ac:dyDescent="0.2">
      <c r="A1895" s="538">
        <v>9</v>
      </c>
      <c r="B1895" s="538" t="s">
        <v>6657</v>
      </c>
      <c r="C1895" s="538" t="s">
        <v>393</v>
      </c>
      <c r="D1895" s="538" t="s">
        <v>393</v>
      </c>
      <c r="E1895" s="538" t="s">
        <v>438</v>
      </c>
      <c r="F1895" s="538">
        <v>3605105</v>
      </c>
      <c r="G1895" s="538">
        <v>50</v>
      </c>
    </row>
    <row r="1896" spans="1:7" x14ac:dyDescent="0.2">
      <c r="A1896" s="538">
        <v>7</v>
      </c>
      <c r="B1896" s="538" t="s">
        <v>6579</v>
      </c>
      <c r="C1896" s="538" t="s">
        <v>393</v>
      </c>
      <c r="D1896" s="538" t="s">
        <v>740</v>
      </c>
      <c r="E1896" s="538" t="s">
        <v>449</v>
      </c>
      <c r="F1896" s="538">
        <v>373824</v>
      </c>
      <c r="G1896" s="538">
        <v>33</v>
      </c>
    </row>
    <row r="1897" spans="1:7" x14ac:dyDescent="0.2">
      <c r="A1897" s="538">
        <v>3</v>
      </c>
      <c r="B1897" s="538" t="s">
        <v>6578</v>
      </c>
      <c r="C1897" s="538" t="s">
        <v>740</v>
      </c>
      <c r="D1897" s="538" t="s">
        <v>393</v>
      </c>
      <c r="E1897" s="538" t="s">
        <v>401</v>
      </c>
      <c r="F1897" s="538">
        <v>22656</v>
      </c>
      <c r="G1897" s="538">
        <v>2</v>
      </c>
    </row>
    <row r="1898" spans="1:7" x14ac:dyDescent="0.2">
      <c r="A1898" s="538">
        <v>2</v>
      </c>
      <c r="B1898" s="538" t="s">
        <v>6573</v>
      </c>
      <c r="C1898" s="538" t="s">
        <v>740</v>
      </c>
      <c r="D1898" s="538" t="s">
        <v>393</v>
      </c>
      <c r="E1898" s="538" t="s">
        <v>409</v>
      </c>
      <c r="F1898" s="538">
        <v>1291569</v>
      </c>
      <c r="G1898" s="538">
        <v>58</v>
      </c>
    </row>
    <row r="1899" spans="1:7" x14ac:dyDescent="0.2">
      <c r="A1899" s="538">
        <v>5</v>
      </c>
      <c r="B1899" s="538" t="s">
        <v>6598</v>
      </c>
      <c r="C1899" s="538" t="s">
        <v>393</v>
      </c>
      <c r="D1899" s="538" t="s">
        <v>393</v>
      </c>
      <c r="E1899" s="538" t="s">
        <v>402</v>
      </c>
      <c r="F1899" s="538">
        <v>5385798</v>
      </c>
      <c r="G1899" s="538">
        <v>116</v>
      </c>
    </row>
    <row r="1900" spans="1:7" x14ac:dyDescent="0.2">
      <c r="A1900" s="538">
        <v>4</v>
      </c>
      <c r="B1900" s="538" t="s">
        <v>6593</v>
      </c>
      <c r="C1900" s="538" t="s">
        <v>740</v>
      </c>
      <c r="D1900" s="538" t="s">
        <v>393</v>
      </c>
      <c r="E1900" s="538" t="s">
        <v>449</v>
      </c>
      <c r="F1900" s="538">
        <v>11328</v>
      </c>
      <c r="G1900" s="538">
        <v>1</v>
      </c>
    </row>
    <row r="1901" spans="1:7" x14ac:dyDescent="0.2">
      <c r="A1901" s="538">
        <v>9</v>
      </c>
      <c r="B1901" s="538" t="s">
        <v>6615</v>
      </c>
      <c r="C1901" s="538" t="s">
        <v>740</v>
      </c>
      <c r="D1901" s="538" t="s">
        <v>393</v>
      </c>
      <c r="E1901" s="538" t="s">
        <v>402</v>
      </c>
      <c r="F1901" s="538">
        <v>8607458</v>
      </c>
      <c r="G1901" s="538">
        <v>471</v>
      </c>
    </row>
    <row r="1902" spans="1:7" x14ac:dyDescent="0.2">
      <c r="A1902" s="538">
        <v>2</v>
      </c>
      <c r="B1902" s="538" t="s">
        <v>6055</v>
      </c>
      <c r="C1902" s="538" t="s">
        <v>393</v>
      </c>
      <c r="D1902" s="538" t="s">
        <v>393</v>
      </c>
      <c r="E1902" s="538" t="s">
        <v>438</v>
      </c>
      <c r="F1902" s="538">
        <v>3109453</v>
      </c>
      <c r="G1902" s="538">
        <v>16</v>
      </c>
    </row>
    <row r="1903" spans="1:7" x14ac:dyDescent="0.2">
      <c r="A1903" s="538">
        <v>6</v>
      </c>
      <c r="B1903" s="538" t="s">
        <v>6575</v>
      </c>
      <c r="C1903" s="538" t="s">
        <v>393</v>
      </c>
      <c r="D1903" s="538" t="s">
        <v>740</v>
      </c>
      <c r="E1903" s="538" t="s">
        <v>202</v>
      </c>
      <c r="F1903" s="538">
        <v>319308</v>
      </c>
      <c r="G1903" s="538">
        <v>6</v>
      </c>
    </row>
    <row r="1904" spans="1:7" x14ac:dyDescent="0.2">
      <c r="A1904" s="538">
        <v>8</v>
      </c>
      <c r="B1904" s="538" t="s">
        <v>6577</v>
      </c>
      <c r="C1904" s="538" t="s">
        <v>740</v>
      </c>
      <c r="D1904" s="538" t="s">
        <v>393</v>
      </c>
      <c r="E1904" s="538" t="s">
        <v>449</v>
      </c>
      <c r="F1904" s="538">
        <v>3173787</v>
      </c>
      <c r="G1904" s="538">
        <v>184</v>
      </c>
    </row>
    <row r="1905" spans="1:7" x14ac:dyDescent="0.2">
      <c r="A1905" s="538">
        <v>4</v>
      </c>
      <c r="B1905" s="538" t="s">
        <v>6572</v>
      </c>
      <c r="C1905" s="538" t="s">
        <v>740</v>
      </c>
      <c r="D1905" s="538" t="s">
        <v>393</v>
      </c>
      <c r="E1905" s="538" t="s">
        <v>230</v>
      </c>
      <c r="F1905" s="538">
        <v>208683</v>
      </c>
      <c r="G1905" s="538">
        <v>6</v>
      </c>
    </row>
    <row r="1906" spans="1:7" x14ac:dyDescent="0.2">
      <c r="A1906" s="538">
        <v>4</v>
      </c>
      <c r="B1906" s="538" t="s">
        <v>6590</v>
      </c>
      <c r="C1906" s="538" t="s">
        <v>393</v>
      </c>
      <c r="D1906" s="538" t="s">
        <v>393</v>
      </c>
      <c r="E1906" s="538" t="s">
        <v>860</v>
      </c>
      <c r="F1906" s="538">
        <v>3042297</v>
      </c>
      <c r="G1906" s="538">
        <v>64</v>
      </c>
    </row>
    <row r="1907" spans="1:7" x14ac:dyDescent="0.2">
      <c r="A1907" s="538">
        <v>3</v>
      </c>
      <c r="B1907" s="538" t="s">
        <v>6591</v>
      </c>
      <c r="C1907" s="538" t="s">
        <v>740</v>
      </c>
      <c r="D1907" s="538" t="s">
        <v>393</v>
      </c>
      <c r="E1907" s="538" t="s">
        <v>230</v>
      </c>
      <c r="F1907" s="538">
        <v>592013</v>
      </c>
      <c r="G1907" s="538">
        <v>6</v>
      </c>
    </row>
    <row r="1908" spans="1:7" x14ac:dyDescent="0.2">
      <c r="A1908" s="538">
        <v>11</v>
      </c>
      <c r="B1908" s="538" t="s">
        <v>6584</v>
      </c>
      <c r="C1908" s="538" t="s">
        <v>393</v>
      </c>
      <c r="D1908" s="538" t="s">
        <v>393</v>
      </c>
      <c r="E1908" s="538" t="s">
        <v>313</v>
      </c>
      <c r="F1908" s="538">
        <v>706355</v>
      </c>
      <c r="G1908" s="538">
        <v>5</v>
      </c>
    </row>
    <row r="1909" spans="1:7" x14ac:dyDescent="0.2">
      <c r="A1909" s="538">
        <v>9</v>
      </c>
      <c r="B1909" s="538" t="s">
        <v>6645</v>
      </c>
      <c r="C1909" s="538" t="s">
        <v>740</v>
      </c>
      <c r="D1909" s="538" t="s">
        <v>393</v>
      </c>
      <c r="E1909" s="538" t="s">
        <v>212</v>
      </c>
      <c r="F1909" s="538">
        <v>33984</v>
      </c>
      <c r="G1909" s="538">
        <v>3</v>
      </c>
    </row>
    <row r="1910" spans="1:7" x14ac:dyDescent="0.2">
      <c r="A1910" s="538">
        <v>7</v>
      </c>
      <c r="B1910" s="538" t="s">
        <v>6604</v>
      </c>
      <c r="C1910" s="538" t="s">
        <v>740</v>
      </c>
      <c r="D1910" s="538" t="s">
        <v>740</v>
      </c>
      <c r="E1910" s="538" t="s">
        <v>416</v>
      </c>
      <c r="F1910" s="538">
        <v>3529807</v>
      </c>
      <c r="G1910" s="538">
        <v>134</v>
      </c>
    </row>
    <row r="1911" spans="1:7" x14ac:dyDescent="0.2">
      <c r="A1911" s="538">
        <v>3</v>
      </c>
      <c r="B1911" s="538" t="s">
        <v>6591</v>
      </c>
      <c r="C1911" s="538" t="s">
        <v>740</v>
      </c>
      <c r="D1911" s="538" t="s">
        <v>393</v>
      </c>
      <c r="E1911" s="538" t="s">
        <v>313</v>
      </c>
      <c r="F1911" s="538">
        <v>3530640</v>
      </c>
      <c r="G1911" s="538">
        <v>35</v>
      </c>
    </row>
    <row r="1912" spans="1:7" x14ac:dyDescent="0.2">
      <c r="A1912" s="538">
        <v>11</v>
      </c>
      <c r="B1912" s="538" t="s">
        <v>6612</v>
      </c>
      <c r="C1912" s="538" t="s">
        <v>740</v>
      </c>
      <c r="D1912" s="538" t="s">
        <v>740</v>
      </c>
      <c r="E1912" s="538" t="s">
        <v>202</v>
      </c>
      <c r="F1912" s="538">
        <v>395949</v>
      </c>
      <c r="G1912" s="538">
        <v>8</v>
      </c>
    </row>
    <row r="1913" spans="1:7" x14ac:dyDescent="0.2">
      <c r="A1913" s="538">
        <v>8</v>
      </c>
      <c r="B1913" s="538" t="s">
        <v>6658</v>
      </c>
      <c r="C1913" s="538" t="s">
        <v>740</v>
      </c>
      <c r="D1913" s="538" t="s">
        <v>393</v>
      </c>
      <c r="E1913" s="538" t="s">
        <v>449</v>
      </c>
      <c r="F1913" s="538">
        <v>56640</v>
      </c>
      <c r="G1913" s="538">
        <v>5</v>
      </c>
    </row>
    <row r="1914" spans="1:7" x14ac:dyDescent="0.2">
      <c r="A1914" s="538">
        <v>9</v>
      </c>
      <c r="B1914" s="538" t="s">
        <v>6614</v>
      </c>
      <c r="C1914" s="538" t="s">
        <v>740</v>
      </c>
      <c r="D1914" s="538" t="s">
        <v>393</v>
      </c>
      <c r="E1914" s="538" t="s">
        <v>416</v>
      </c>
      <c r="F1914" s="538">
        <v>50268</v>
      </c>
      <c r="G1914" s="538">
        <v>1</v>
      </c>
    </row>
    <row r="1915" spans="1:7" x14ac:dyDescent="0.2">
      <c r="A1915" s="538">
        <v>9</v>
      </c>
      <c r="B1915" s="538" t="s">
        <v>6615</v>
      </c>
      <c r="C1915" s="538" t="s">
        <v>393</v>
      </c>
      <c r="D1915" s="538" t="s">
        <v>740</v>
      </c>
      <c r="E1915" s="538" t="s">
        <v>210</v>
      </c>
      <c r="F1915" s="538">
        <v>530417</v>
      </c>
      <c r="G1915" s="538">
        <v>4</v>
      </c>
    </row>
    <row r="1916" spans="1:7" x14ac:dyDescent="0.2">
      <c r="A1916" s="538">
        <v>7</v>
      </c>
      <c r="B1916" s="538" t="s">
        <v>6588</v>
      </c>
      <c r="C1916" s="538" t="s">
        <v>393</v>
      </c>
      <c r="D1916" s="538" t="s">
        <v>393</v>
      </c>
      <c r="E1916" s="538" t="s">
        <v>202</v>
      </c>
      <c r="F1916" s="538">
        <v>3427470</v>
      </c>
      <c r="G1916" s="538">
        <v>20</v>
      </c>
    </row>
    <row r="1917" spans="1:7" x14ac:dyDescent="0.2">
      <c r="A1917" s="538">
        <v>2</v>
      </c>
      <c r="B1917" s="538" t="s">
        <v>6055</v>
      </c>
      <c r="C1917" s="538" t="s">
        <v>740</v>
      </c>
      <c r="D1917" s="538" t="s">
        <v>740</v>
      </c>
      <c r="E1917" s="538" t="s">
        <v>438</v>
      </c>
      <c r="F1917" s="538">
        <v>74163</v>
      </c>
      <c r="G1917" s="538">
        <v>1</v>
      </c>
    </row>
    <row r="1918" spans="1:7" x14ac:dyDescent="0.2">
      <c r="A1918" s="538">
        <v>8</v>
      </c>
      <c r="B1918" s="538" t="s">
        <v>6583</v>
      </c>
      <c r="C1918" s="538" t="s">
        <v>393</v>
      </c>
      <c r="D1918" s="538" t="s">
        <v>393</v>
      </c>
      <c r="E1918" s="538" t="s">
        <v>313</v>
      </c>
      <c r="F1918" s="538">
        <v>334353</v>
      </c>
      <c r="G1918" s="538">
        <v>6</v>
      </c>
    </row>
    <row r="1919" spans="1:7" x14ac:dyDescent="0.2">
      <c r="A1919" s="538">
        <v>4</v>
      </c>
      <c r="B1919" s="538" t="s">
        <v>6572</v>
      </c>
      <c r="C1919" s="538" t="s">
        <v>393</v>
      </c>
      <c r="D1919" s="538" t="s">
        <v>740</v>
      </c>
      <c r="E1919" s="538" t="s">
        <v>202</v>
      </c>
      <c r="F1919" s="538">
        <v>1185317</v>
      </c>
      <c r="G1919" s="538">
        <v>14</v>
      </c>
    </row>
    <row r="1920" spans="1:7" x14ac:dyDescent="0.2">
      <c r="A1920" s="538">
        <v>5</v>
      </c>
      <c r="B1920" s="538" t="s">
        <v>6651</v>
      </c>
      <c r="C1920" s="538" t="s">
        <v>393</v>
      </c>
      <c r="D1920" s="538" t="s">
        <v>393</v>
      </c>
      <c r="E1920" s="538" t="s">
        <v>438</v>
      </c>
      <c r="F1920" s="538">
        <v>8296449</v>
      </c>
      <c r="G1920" s="538">
        <v>43</v>
      </c>
    </row>
    <row r="1921" spans="1:7" x14ac:dyDescent="0.2">
      <c r="A1921" s="538">
        <v>1</v>
      </c>
      <c r="B1921" s="538" t="s">
        <v>6663</v>
      </c>
      <c r="C1921" s="538" t="s">
        <v>393</v>
      </c>
      <c r="D1921" s="538" t="s">
        <v>740</v>
      </c>
      <c r="E1921" s="538" t="s">
        <v>207</v>
      </c>
      <c r="F1921" s="538">
        <v>679680</v>
      </c>
      <c r="G1921" s="538">
        <v>60</v>
      </c>
    </row>
    <row r="1922" spans="1:7" x14ac:dyDescent="0.2">
      <c r="A1922" s="538">
        <v>12</v>
      </c>
      <c r="B1922" s="538" t="s">
        <v>6616</v>
      </c>
      <c r="C1922" s="538" t="s">
        <v>740</v>
      </c>
      <c r="D1922" s="538" t="s">
        <v>393</v>
      </c>
      <c r="E1922" s="538" t="s">
        <v>416</v>
      </c>
      <c r="F1922" s="538">
        <v>13460830</v>
      </c>
      <c r="G1922" s="538">
        <v>255</v>
      </c>
    </row>
    <row r="1923" spans="1:7" x14ac:dyDescent="0.2">
      <c r="A1923" s="538">
        <v>8</v>
      </c>
      <c r="B1923" s="538" t="s">
        <v>6567</v>
      </c>
      <c r="C1923" s="538" t="s">
        <v>740</v>
      </c>
      <c r="D1923" s="538" t="s">
        <v>740</v>
      </c>
      <c r="E1923" s="538" t="s">
        <v>860</v>
      </c>
      <c r="F1923" s="538">
        <v>666353</v>
      </c>
      <c r="G1923" s="538">
        <v>16</v>
      </c>
    </row>
    <row r="1924" spans="1:7" x14ac:dyDescent="0.2">
      <c r="A1924" s="538">
        <v>7</v>
      </c>
      <c r="B1924" s="538" t="s">
        <v>6579</v>
      </c>
      <c r="C1924" s="538" t="s">
        <v>740</v>
      </c>
      <c r="D1924" s="538" t="s">
        <v>393</v>
      </c>
      <c r="E1924" s="538" t="s">
        <v>212</v>
      </c>
      <c r="F1924" s="538">
        <v>799155</v>
      </c>
      <c r="G1924" s="538">
        <v>65</v>
      </c>
    </row>
    <row r="1925" spans="1:7" x14ac:dyDescent="0.2">
      <c r="A1925" s="538">
        <v>8</v>
      </c>
      <c r="B1925" s="538" t="s">
        <v>6560</v>
      </c>
      <c r="C1925" s="538" t="s">
        <v>740</v>
      </c>
      <c r="D1925" s="538" t="s">
        <v>393</v>
      </c>
      <c r="E1925" s="538" t="s">
        <v>401</v>
      </c>
      <c r="F1925" s="538">
        <v>67968</v>
      </c>
      <c r="G1925" s="538">
        <v>6</v>
      </c>
    </row>
    <row r="1926" spans="1:7" x14ac:dyDescent="0.2">
      <c r="A1926" s="538">
        <v>6</v>
      </c>
      <c r="B1926" s="538" t="s">
        <v>6433</v>
      </c>
      <c r="C1926" s="538" t="s">
        <v>393</v>
      </c>
      <c r="D1926" s="538" t="s">
        <v>740</v>
      </c>
      <c r="E1926" s="538" t="s">
        <v>209</v>
      </c>
      <c r="F1926" s="538">
        <v>1613730</v>
      </c>
      <c r="G1926" s="538">
        <v>5</v>
      </c>
    </row>
    <row r="1927" spans="1:7" x14ac:dyDescent="0.2">
      <c r="A1927" s="538">
        <v>9</v>
      </c>
      <c r="B1927" s="538" t="s">
        <v>6644</v>
      </c>
      <c r="C1927" s="538" t="s">
        <v>393</v>
      </c>
      <c r="D1927" s="538" t="s">
        <v>740</v>
      </c>
      <c r="E1927" s="538" t="s">
        <v>211</v>
      </c>
      <c r="F1927" s="538">
        <v>1101013</v>
      </c>
      <c r="G1927" s="538">
        <v>6</v>
      </c>
    </row>
    <row r="1928" spans="1:7" x14ac:dyDescent="0.2">
      <c r="A1928" s="538">
        <v>7</v>
      </c>
      <c r="B1928" s="538" t="s">
        <v>6604</v>
      </c>
      <c r="C1928" s="538" t="s">
        <v>740</v>
      </c>
      <c r="D1928" s="538" t="s">
        <v>393</v>
      </c>
      <c r="E1928" s="538" t="s">
        <v>313</v>
      </c>
      <c r="F1928" s="538">
        <v>1464217</v>
      </c>
      <c r="G1928" s="538">
        <v>9</v>
      </c>
    </row>
    <row r="1929" spans="1:7" x14ac:dyDescent="0.2">
      <c r="A1929" s="538">
        <v>1</v>
      </c>
      <c r="B1929" s="538" t="s">
        <v>6581</v>
      </c>
      <c r="C1929" s="538" t="s">
        <v>393</v>
      </c>
      <c r="D1929" s="538" t="s">
        <v>393</v>
      </c>
      <c r="E1929" s="538" t="s">
        <v>212</v>
      </c>
      <c r="F1929" s="538">
        <v>780216</v>
      </c>
      <c r="G1929" s="538">
        <v>62</v>
      </c>
    </row>
    <row r="1930" spans="1:7" x14ac:dyDescent="0.2">
      <c r="A1930" s="538">
        <v>2</v>
      </c>
      <c r="B1930" s="538" t="s">
        <v>6585</v>
      </c>
      <c r="C1930" s="538" t="s">
        <v>740</v>
      </c>
      <c r="D1930" s="538" t="s">
        <v>393</v>
      </c>
      <c r="E1930" s="538" t="s">
        <v>202</v>
      </c>
      <c r="F1930" s="538">
        <v>85491</v>
      </c>
      <c r="G1930" s="538">
        <v>2</v>
      </c>
    </row>
    <row r="1931" spans="1:7" x14ac:dyDescent="0.2">
      <c r="A1931" s="538">
        <v>7</v>
      </c>
      <c r="B1931" s="538" t="s">
        <v>6604</v>
      </c>
      <c r="C1931" s="538" t="s">
        <v>393</v>
      </c>
      <c r="D1931" s="538" t="s">
        <v>740</v>
      </c>
      <c r="E1931" s="538" t="s">
        <v>401</v>
      </c>
      <c r="F1931" s="538">
        <v>56640</v>
      </c>
      <c r="G1931" s="538">
        <v>5</v>
      </c>
    </row>
    <row r="1932" spans="1:7" x14ac:dyDescent="0.2">
      <c r="A1932" s="538">
        <v>4</v>
      </c>
      <c r="B1932" s="538" t="s">
        <v>6590</v>
      </c>
      <c r="C1932" s="538" t="s">
        <v>740</v>
      </c>
      <c r="D1932" s="538" t="s">
        <v>740</v>
      </c>
      <c r="E1932" s="538" t="s">
        <v>390</v>
      </c>
      <c r="F1932" s="538">
        <v>854858</v>
      </c>
      <c r="G1932" s="538">
        <v>16</v>
      </c>
    </row>
    <row r="1933" spans="1:7" x14ac:dyDescent="0.2">
      <c r="A1933" s="538">
        <v>3</v>
      </c>
      <c r="B1933" s="538" t="s">
        <v>6591</v>
      </c>
      <c r="C1933" s="538" t="s">
        <v>740</v>
      </c>
      <c r="D1933" s="538" t="s">
        <v>393</v>
      </c>
      <c r="E1933" s="538" t="s">
        <v>860</v>
      </c>
      <c r="F1933" s="538">
        <v>157176</v>
      </c>
      <c r="G1933" s="538">
        <v>7</v>
      </c>
    </row>
    <row r="1934" spans="1:7" x14ac:dyDescent="0.2">
      <c r="A1934" s="538">
        <v>4</v>
      </c>
      <c r="B1934" s="538" t="s">
        <v>6559</v>
      </c>
      <c r="C1934" s="538" t="s">
        <v>740</v>
      </c>
      <c r="D1934" s="538" t="s">
        <v>740</v>
      </c>
      <c r="E1934" s="538" t="s">
        <v>401</v>
      </c>
      <c r="F1934" s="538">
        <v>655025</v>
      </c>
      <c r="G1934" s="538">
        <v>15</v>
      </c>
    </row>
    <row r="1935" spans="1:7" x14ac:dyDescent="0.2">
      <c r="A1935" s="538">
        <v>5</v>
      </c>
      <c r="B1935" s="538" t="s">
        <v>6566</v>
      </c>
      <c r="C1935" s="538" t="s">
        <v>393</v>
      </c>
      <c r="D1935" s="538" t="s">
        <v>393</v>
      </c>
      <c r="E1935" s="538" t="s">
        <v>449</v>
      </c>
      <c r="F1935" s="538">
        <v>408693</v>
      </c>
      <c r="G1935" s="538">
        <v>16</v>
      </c>
    </row>
    <row r="1936" spans="1:7" x14ac:dyDescent="0.2">
      <c r="A1936" s="538">
        <v>10</v>
      </c>
      <c r="B1936" s="538" t="s">
        <v>6652</v>
      </c>
      <c r="C1936" s="538" t="s">
        <v>393</v>
      </c>
      <c r="D1936" s="538" t="s">
        <v>740</v>
      </c>
      <c r="E1936" s="538" t="s">
        <v>230</v>
      </c>
      <c r="F1936" s="538">
        <v>11328</v>
      </c>
      <c r="G1936" s="538">
        <v>1</v>
      </c>
    </row>
    <row r="1937" spans="1:7" x14ac:dyDescent="0.2">
      <c r="A1937" s="538">
        <v>7</v>
      </c>
      <c r="B1937" s="538" t="s">
        <v>6564</v>
      </c>
      <c r="C1937" s="538" t="s">
        <v>740</v>
      </c>
      <c r="D1937" s="538" t="s">
        <v>740</v>
      </c>
      <c r="E1937" s="538" t="s">
        <v>402</v>
      </c>
      <c r="F1937" s="538">
        <v>3268784</v>
      </c>
      <c r="G1937" s="538">
        <v>153</v>
      </c>
    </row>
    <row r="1938" spans="1:7" x14ac:dyDescent="0.2">
      <c r="A1938" s="538">
        <v>6</v>
      </c>
      <c r="B1938" s="538" t="s">
        <v>1668</v>
      </c>
      <c r="C1938" s="538" t="s">
        <v>393</v>
      </c>
      <c r="D1938" s="538" t="s">
        <v>393</v>
      </c>
      <c r="E1938" s="538" t="s">
        <v>449</v>
      </c>
      <c r="F1938" s="538">
        <v>278067</v>
      </c>
      <c r="G1938" s="538">
        <v>19</v>
      </c>
    </row>
    <row r="1939" spans="1:7" x14ac:dyDescent="0.2">
      <c r="A1939" s="538">
        <v>3</v>
      </c>
      <c r="B1939" s="538" t="s">
        <v>6586</v>
      </c>
      <c r="C1939" s="538" t="s">
        <v>740</v>
      </c>
      <c r="D1939" s="538" t="s">
        <v>393</v>
      </c>
      <c r="E1939" s="538" t="s">
        <v>390</v>
      </c>
      <c r="F1939" s="538">
        <v>5356395</v>
      </c>
      <c r="G1939" s="538">
        <v>185</v>
      </c>
    </row>
    <row r="1940" spans="1:7" x14ac:dyDescent="0.2">
      <c r="A1940" s="538">
        <v>11</v>
      </c>
      <c r="B1940" s="538" t="s">
        <v>6584</v>
      </c>
      <c r="C1940" s="538" t="s">
        <v>740</v>
      </c>
      <c r="D1940" s="538" t="s">
        <v>393</v>
      </c>
      <c r="E1940" s="538" t="s">
        <v>409</v>
      </c>
      <c r="F1940" s="538">
        <v>2764584</v>
      </c>
      <c r="G1940" s="538">
        <v>63</v>
      </c>
    </row>
    <row r="1941" spans="1:7" x14ac:dyDescent="0.2">
      <c r="A1941" s="538">
        <v>8</v>
      </c>
      <c r="B1941" s="538" t="s">
        <v>6567</v>
      </c>
      <c r="C1941" s="538" t="s">
        <v>740</v>
      </c>
      <c r="D1941" s="538" t="s">
        <v>393</v>
      </c>
      <c r="E1941" s="538" t="s">
        <v>390</v>
      </c>
      <c r="F1941" s="538">
        <v>147264</v>
      </c>
      <c r="G1941" s="538">
        <v>13</v>
      </c>
    </row>
    <row r="1942" spans="1:7" x14ac:dyDescent="0.2">
      <c r="A1942" s="538">
        <v>3</v>
      </c>
      <c r="B1942" s="538" t="s">
        <v>6591</v>
      </c>
      <c r="C1942" s="538" t="s">
        <v>740</v>
      </c>
      <c r="D1942" s="538" t="s">
        <v>393</v>
      </c>
      <c r="E1942" s="538" t="s">
        <v>438</v>
      </c>
      <c r="F1942" s="538">
        <v>118236</v>
      </c>
      <c r="G1942" s="538">
        <v>7</v>
      </c>
    </row>
    <row r="1943" spans="1:7" x14ac:dyDescent="0.2">
      <c r="A1943" s="538">
        <v>1</v>
      </c>
      <c r="B1943" s="538" t="s">
        <v>6581</v>
      </c>
      <c r="C1943" s="538" t="s">
        <v>393</v>
      </c>
      <c r="D1943" s="538" t="s">
        <v>740</v>
      </c>
      <c r="E1943" s="538" t="s">
        <v>449</v>
      </c>
      <c r="F1943" s="538">
        <v>135936</v>
      </c>
      <c r="G1943" s="538">
        <v>12</v>
      </c>
    </row>
    <row r="1944" spans="1:7" x14ac:dyDescent="0.2">
      <c r="A1944" s="538">
        <v>8</v>
      </c>
      <c r="B1944" s="538" t="s">
        <v>6570</v>
      </c>
      <c r="C1944" s="538" t="s">
        <v>740</v>
      </c>
      <c r="D1944" s="538" t="s">
        <v>393</v>
      </c>
      <c r="E1944" s="538" t="s">
        <v>212</v>
      </c>
      <c r="F1944" s="538">
        <v>2141169</v>
      </c>
      <c r="G1944" s="538">
        <v>133</v>
      </c>
    </row>
    <row r="1945" spans="1:7" x14ac:dyDescent="0.2">
      <c r="A1945" s="538">
        <v>8</v>
      </c>
      <c r="B1945" s="538" t="s">
        <v>6570</v>
      </c>
      <c r="C1945" s="538" t="s">
        <v>740</v>
      </c>
      <c r="D1945" s="538" t="s">
        <v>393</v>
      </c>
      <c r="E1945" s="538" t="s">
        <v>209</v>
      </c>
      <c r="F1945" s="538">
        <v>9301861</v>
      </c>
      <c r="G1945" s="538">
        <v>52</v>
      </c>
    </row>
    <row r="1946" spans="1:7" x14ac:dyDescent="0.2">
      <c r="A1946" s="538">
        <v>8</v>
      </c>
      <c r="B1946" s="538" t="s">
        <v>6560</v>
      </c>
      <c r="C1946" s="538" t="s">
        <v>740</v>
      </c>
      <c r="D1946" s="538" t="s">
        <v>393</v>
      </c>
      <c r="E1946" s="538" t="s">
        <v>409</v>
      </c>
      <c r="F1946" s="538">
        <v>3577493</v>
      </c>
      <c r="G1946" s="538">
        <v>56</v>
      </c>
    </row>
    <row r="1947" spans="1:7" x14ac:dyDescent="0.2">
      <c r="A1947" s="538">
        <v>2</v>
      </c>
      <c r="B1947" s="538" t="s">
        <v>6573</v>
      </c>
      <c r="C1947" s="538" t="s">
        <v>740</v>
      </c>
      <c r="D1947" s="538" t="s">
        <v>393</v>
      </c>
      <c r="E1947" s="538" t="s">
        <v>202</v>
      </c>
      <c r="F1947" s="538">
        <v>2723697</v>
      </c>
      <c r="G1947" s="538">
        <v>24</v>
      </c>
    </row>
    <row r="1948" spans="1:7" x14ac:dyDescent="0.2">
      <c r="A1948" s="538">
        <v>2</v>
      </c>
      <c r="B1948" s="538" t="s">
        <v>6654</v>
      </c>
      <c r="C1948" s="538" t="s">
        <v>740</v>
      </c>
      <c r="D1948" s="538" t="s">
        <v>740</v>
      </c>
      <c r="E1948" s="538" t="s">
        <v>202</v>
      </c>
      <c r="F1948" s="538">
        <v>706355</v>
      </c>
      <c r="G1948" s="538">
        <v>5</v>
      </c>
    </row>
    <row r="1949" spans="1:7" x14ac:dyDescent="0.2">
      <c r="A1949" s="538">
        <v>9</v>
      </c>
      <c r="B1949" s="538" t="s">
        <v>6657</v>
      </c>
      <c r="C1949" s="538" t="s">
        <v>740</v>
      </c>
      <c r="D1949" s="538" t="s">
        <v>740</v>
      </c>
      <c r="E1949" s="538" t="s">
        <v>401</v>
      </c>
      <c r="F1949" s="538">
        <v>11328</v>
      </c>
      <c r="G1949" s="538">
        <v>1</v>
      </c>
    </row>
    <row r="1950" spans="1:7" x14ac:dyDescent="0.2">
      <c r="A1950" s="538">
        <v>9</v>
      </c>
      <c r="B1950" s="538" t="s">
        <v>6657</v>
      </c>
      <c r="C1950" s="538" t="s">
        <v>393</v>
      </c>
      <c r="D1950" s="538" t="s">
        <v>740</v>
      </c>
      <c r="E1950" s="538" t="s">
        <v>416</v>
      </c>
      <c r="F1950" s="538">
        <v>193638</v>
      </c>
      <c r="G1950" s="538">
        <v>6</v>
      </c>
    </row>
    <row r="1951" spans="1:7" x14ac:dyDescent="0.2">
      <c r="A1951" s="538">
        <v>7</v>
      </c>
      <c r="B1951" s="538" t="s">
        <v>6661</v>
      </c>
      <c r="C1951" s="538" t="s">
        <v>393</v>
      </c>
      <c r="D1951" s="538" t="s">
        <v>740</v>
      </c>
      <c r="E1951" s="538" t="s">
        <v>390</v>
      </c>
      <c r="F1951" s="538">
        <v>2008617</v>
      </c>
      <c r="G1951" s="538">
        <v>24</v>
      </c>
    </row>
    <row r="1952" spans="1:7" x14ac:dyDescent="0.2">
      <c r="A1952" s="538">
        <v>7</v>
      </c>
      <c r="B1952" s="538" t="s">
        <v>6661</v>
      </c>
      <c r="C1952" s="538" t="s">
        <v>740</v>
      </c>
      <c r="D1952" s="538" t="s">
        <v>393</v>
      </c>
      <c r="E1952" s="538" t="s">
        <v>210</v>
      </c>
      <c r="F1952" s="538">
        <v>210099</v>
      </c>
      <c r="G1952" s="538">
        <v>13</v>
      </c>
    </row>
    <row r="1953" spans="1:7" x14ac:dyDescent="0.2">
      <c r="A1953" s="538">
        <v>11</v>
      </c>
      <c r="B1953" s="538" t="s">
        <v>6584</v>
      </c>
      <c r="C1953" s="538" t="s">
        <v>740</v>
      </c>
      <c r="D1953" s="538" t="s">
        <v>393</v>
      </c>
      <c r="E1953" s="538" t="s">
        <v>860</v>
      </c>
      <c r="F1953" s="538">
        <v>135936</v>
      </c>
      <c r="G1953" s="538">
        <v>12</v>
      </c>
    </row>
    <row r="1954" spans="1:7" x14ac:dyDescent="0.2">
      <c r="A1954" s="538">
        <v>6</v>
      </c>
      <c r="B1954" s="538" t="s">
        <v>6607</v>
      </c>
      <c r="C1954" s="538" t="s">
        <v>740</v>
      </c>
      <c r="D1954" s="538" t="s">
        <v>393</v>
      </c>
      <c r="E1954" s="538" t="s">
        <v>211</v>
      </c>
      <c r="F1954" s="538">
        <v>43361899</v>
      </c>
      <c r="G1954" s="538">
        <v>908</v>
      </c>
    </row>
    <row r="1955" spans="1:7" x14ac:dyDescent="0.2">
      <c r="A1955" s="538">
        <v>1</v>
      </c>
      <c r="B1955" s="538" t="s">
        <v>6602</v>
      </c>
      <c r="C1955" s="538" t="s">
        <v>740</v>
      </c>
      <c r="D1955" s="538" t="s">
        <v>393</v>
      </c>
      <c r="E1955" s="538" t="s">
        <v>206</v>
      </c>
      <c r="F1955" s="538">
        <v>74163</v>
      </c>
      <c r="G1955" s="538">
        <v>1</v>
      </c>
    </row>
    <row r="1956" spans="1:7" x14ac:dyDescent="0.2">
      <c r="A1956" s="538">
        <v>1</v>
      </c>
      <c r="B1956" s="538" t="s">
        <v>6602</v>
      </c>
      <c r="C1956" s="538" t="s">
        <v>740</v>
      </c>
      <c r="D1956" s="538" t="s">
        <v>393</v>
      </c>
      <c r="E1956" s="538" t="s">
        <v>438</v>
      </c>
      <c r="F1956" s="538">
        <v>61596</v>
      </c>
      <c r="G1956" s="538">
        <v>2</v>
      </c>
    </row>
    <row r="1957" spans="1:7" x14ac:dyDescent="0.2">
      <c r="A1957" s="538">
        <v>11</v>
      </c>
      <c r="B1957" s="538" t="s">
        <v>6592</v>
      </c>
      <c r="C1957" s="538" t="s">
        <v>393</v>
      </c>
      <c r="D1957" s="538" t="s">
        <v>393</v>
      </c>
      <c r="E1957" s="538" t="s">
        <v>210</v>
      </c>
      <c r="F1957" s="538">
        <v>362319</v>
      </c>
      <c r="G1957" s="538">
        <v>23</v>
      </c>
    </row>
    <row r="1958" spans="1:7" x14ac:dyDescent="0.2">
      <c r="A1958" s="538">
        <v>6</v>
      </c>
      <c r="B1958" s="538" t="s">
        <v>6433</v>
      </c>
      <c r="C1958" s="538" t="s">
        <v>393</v>
      </c>
      <c r="D1958" s="538" t="s">
        <v>393</v>
      </c>
      <c r="E1958" s="538" t="s">
        <v>202</v>
      </c>
      <c r="F1958" s="538">
        <v>4385446</v>
      </c>
      <c r="G1958" s="538">
        <v>47</v>
      </c>
    </row>
    <row r="1959" spans="1:7" x14ac:dyDescent="0.2">
      <c r="A1959" s="538">
        <v>9</v>
      </c>
      <c r="B1959" s="538" t="s">
        <v>6644</v>
      </c>
      <c r="C1959" s="538" t="s">
        <v>740</v>
      </c>
      <c r="D1959" s="538" t="s">
        <v>393</v>
      </c>
      <c r="E1959" s="538" t="s">
        <v>438</v>
      </c>
      <c r="F1959" s="538">
        <v>6369283</v>
      </c>
      <c r="G1959" s="538">
        <v>86</v>
      </c>
    </row>
    <row r="1960" spans="1:7" x14ac:dyDescent="0.2">
      <c r="A1960" s="538">
        <v>9</v>
      </c>
      <c r="B1960" s="538" t="s">
        <v>6644</v>
      </c>
      <c r="C1960" s="538" t="s">
        <v>740</v>
      </c>
      <c r="D1960" s="538" t="s">
        <v>393</v>
      </c>
      <c r="E1960" s="538" t="s">
        <v>206</v>
      </c>
      <c r="F1960" s="538">
        <v>496433</v>
      </c>
      <c r="G1960" s="538">
        <v>1</v>
      </c>
    </row>
    <row r="1961" spans="1:7" x14ac:dyDescent="0.2">
      <c r="A1961" s="538">
        <v>3</v>
      </c>
      <c r="B1961" s="538" t="s">
        <v>6605</v>
      </c>
      <c r="C1961" s="538" t="s">
        <v>393</v>
      </c>
      <c r="D1961" s="538" t="s">
        <v>740</v>
      </c>
      <c r="E1961" s="538" t="s">
        <v>449</v>
      </c>
      <c r="F1961" s="538">
        <v>470643</v>
      </c>
      <c r="G1961" s="538">
        <v>36</v>
      </c>
    </row>
    <row r="1962" spans="1:7" x14ac:dyDescent="0.2">
      <c r="A1962" s="538">
        <v>6</v>
      </c>
      <c r="B1962" s="538" t="s">
        <v>6607</v>
      </c>
      <c r="C1962" s="538" t="s">
        <v>740</v>
      </c>
      <c r="D1962" s="538" t="s">
        <v>393</v>
      </c>
      <c r="E1962" s="538" t="s">
        <v>210</v>
      </c>
      <c r="F1962" s="538">
        <v>6949145</v>
      </c>
      <c r="G1962" s="538">
        <v>350</v>
      </c>
    </row>
    <row r="1963" spans="1:7" x14ac:dyDescent="0.2">
      <c r="A1963" s="538">
        <v>7</v>
      </c>
      <c r="B1963" s="538" t="s">
        <v>6564</v>
      </c>
      <c r="C1963" s="538" t="s">
        <v>740</v>
      </c>
      <c r="D1963" s="538" t="s">
        <v>393</v>
      </c>
      <c r="E1963" s="538" t="s">
        <v>202</v>
      </c>
      <c r="F1963" s="538">
        <v>3423576</v>
      </c>
      <c r="G1963" s="538">
        <v>17</v>
      </c>
    </row>
    <row r="1964" spans="1:7" x14ac:dyDescent="0.2">
      <c r="A1964" s="538">
        <v>12</v>
      </c>
      <c r="B1964" s="538" t="s">
        <v>6569</v>
      </c>
      <c r="C1964" s="538" t="s">
        <v>393</v>
      </c>
      <c r="D1964" s="538" t="s">
        <v>393</v>
      </c>
      <c r="E1964" s="538" t="s">
        <v>438</v>
      </c>
      <c r="F1964" s="538">
        <v>2276189</v>
      </c>
      <c r="G1964" s="538">
        <v>13</v>
      </c>
    </row>
    <row r="1965" spans="1:7" x14ac:dyDescent="0.2">
      <c r="A1965" s="538">
        <v>10</v>
      </c>
      <c r="B1965" s="538" t="s">
        <v>6582</v>
      </c>
      <c r="C1965" s="538" t="s">
        <v>393</v>
      </c>
      <c r="D1965" s="538" t="s">
        <v>740</v>
      </c>
      <c r="E1965" s="538" t="s">
        <v>207</v>
      </c>
      <c r="F1965" s="538">
        <v>1347501</v>
      </c>
      <c r="G1965" s="538">
        <v>92</v>
      </c>
    </row>
    <row r="1966" spans="1:7" x14ac:dyDescent="0.2">
      <c r="A1966" s="538">
        <v>3</v>
      </c>
      <c r="B1966" s="538" t="s">
        <v>6561</v>
      </c>
      <c r="C1966" s="538" t="s">
        <v>740</v>
      </c>
      <c r="D1966" s="538" t="s">
        <v>393</v>
      </c>
      <c r="E1966" s="538" t="s">
        <v>230</v>
      </c>
      <c r="F1966" s="538">
        <v>84252</v>
      </c>
      <c r="G1966" s="538">
        <v>4</v>
      </c>
    </row>
    <row r="1967" spans="1:7" x14ac:dyDescent="0.2">
      <c r="A1967" s="538">
        <v>1</v>
      </c>
      <c r="B1967" s="538" t="s">
        <v>6602</v>
      </c>
      <c r="C1967" s="538" t="s">
        <v>740</v>
      </c>
      <c r="D1967" s="538" t="s">
        <v>393</v>
      </c>
      <c r="E1967" s="538" t="s">
        <v>210</v>
      </c>
      <c r="F1967" s="538">
        <v>11328</v>
      </c>
      <c r="G1967" s="538">
        <v>1</v>
      </c>
    </row>
    <row r="1968" spans="1:7" x14ac:dyDescent="0.2">
      <c r="A1968" s="538">
        <v>3</v>
      </c>
      <c r="B1968" s="538" t="s">
        <v>6591</v>
      </c>
      <c r="C1968" s="538" t="s">
        <v>740</v>
      </c>
      <c r="D1968" s="538" t="s">
        <v>740</v>
      </c>
      <c r="E1968" s="538" t="s">
        <v>390</v>
      </c>
      <c r="F1968" s="538">
        <v>300546</v>
      </c>
      <c r="G1968" s="538">
        <v>12</v>
      </c>
    </row>
    <row r="1969" spans="1:7" x14ac:dyDescent="0.2">
      <c r="A1969" s="538">
        <v>5</v>
      </c>
      <c r="B1969" s="538" t="s">
        <v>6568</v>
      </c>
      <c r="C1969" s="538" t="s">
        <v>393</v>
      </c>
      <c r="D1969" s="538" t="s">
        <v>740</v>
      </c>
      <c r="E1969" s="538" t="s">
        <v>212</v>
      </c>
      <c r="F1969" s="538">
        <v>90624</v>
      </c>
      <c r="G1969" s="538">
        <v>8</v>
      </c>
    </row>
    <row r="1970" spans="1:7" x14ac:dyDescent="0.2">
      <c r="A1970" s="538">
        <v>3</v>
      </c>
      <c r="B1970" s="538" t="s">
        <v>1390</v>
      </c>
      <c r="C1970" s="538" t="s">
        <v>740</v>
      </c>
      <c r="D1970" s="538" t="s">
        <v>740</v>
      </c>
      <c r="E1970" s="538" t="s">
        <v>230</v>
      </c>
      <c r="F1970" s="538">
        <v>72924</v>
      </c>
      <c r="G1970" s="538">
        <v>3</v>
      </c>
    </row>
    <row r="1971" spans="1:7" x14ac:dyDescent="0.2">
      <c r="A1971" s="538">
        <v>1</v>
      </c>
      <c r="B1971" s="538" t="s">
        <v>6663</v>
      </c>
      <c r="C1971" s="538" t="s">
        <v>393</v>
      </c>
      <c r="D1971" s="538" t="s">
        <v>740</v>
      </c>
      <c r="E1971" s="538" t="s">
        <v>438</v>
      </c>
      <c r="F1971" s="538">
        <v>1997060</v>
      </c>
      <c r="G1971" s="538">
        <v>5</v>
      </c>
    </row>
    <row r="1972" spans="1:7" x14ac:dyDescent="0.2">
      <c r="A1972" s="538">
        <v>2</v>
      </c>
      <c r="B1972" s="538" t="s">
        <v>6656</v>
      </c>
      <c r="C1972" s="538" t="s">
        <v>393</v>
      </c>
      <c r="D1972" s="538" t="s">
        <v>393</v>
      </c>
      <c r="E1972" s="538" t="s">
        <v>402</v>
      </c>
      <c r="F1972" s="538">
        <v>3562198</v>
      </c>
      <c r="G1972" s="538">
        <v>116</v>
      </c>
    </row>
    <row r="1973" spans="1:7" x14ac:dyDescent="0.2">
      <c r="A1973" s="538">
        <v>2</v>
      </c>
      <c r="B1973" s="538" t="s">
        <v>6656</v>
      </c>
      <c r="C1973" s="538" t="s">
        <v>393</v>
      </c>
      <c r="D1973" s="538" t="s">
        <v>393</v>
      </c>
      <c r="E1973" s="538" t="s">
        <v>401</v>
      </c>
      <c r="F1973" s="538">
        <v>638564</v>
      </c>
      <c r="G1973" s="538">
        <v>8</v>
      </c>
    </row>
    <row r="1974" spans="1:7" x14ac:dyDescent="0.2">
      <c r="A1974" s="538">
        <v>1</v>
      </c>
      <c r="B1974" s="538" t="s">
        <v>6663</v>
      </c>
      <c r="C1974" s="538" t="s">
        <v>393</v>
      </c>
      <c r="D1974" s="538" t="s">
        <v>393</v>
      </c>
      <c r="E1974" s="538" t="s">
        <v>230</v>
      </c>
      <c r="F1974" s="538">
        <v>1709945</v>
      </c>
      <c r="G1974" s="538">
        <v>50</v>
      </c>
    </row>
    <row r="1975" spans="1:7" x14ac:dyDescent="0.2">
      <c r="A1975" s="538">
        <v>9</v>
      </c>
      <c r="B1975" s="538" t="s">
        <v>6615</v>
      </c>
      <c r="C1975" s="538" t="s">
        <v>393</v>
      </c>
      <c r="D1975" s="538" t="s">
        <v>740</v>
      </c>
      <c r="E1975" s="538" t="s">
        <v>860</v>
      </c>
      <c r="F1975" s="538">
        <v>11328</v>
      </c>
      <c r="G1975" s="538">
        <v>1</v>
      </c>
    </row>
    <row r="1976" spans="1:7" x14ac:dyDescent="0.2">
      <c r="A1976" s="538">
        <v>8</v>
      </c>
      <c r="B1976" s="538" t="s">
        <v>6570</v>
      </c>
      <c r="C1976" s="538" t="s">
        <v>740</v>
      </c>
      <c r="D1976" s="538" t="s">
        <v>393</v>
      </c>
      <c r="E1976" s="538" t="s">
        <v>449</v>
      </c>
      <c r="F1976" s="538">
        <v>203904</v>
      </c>
      <c r="G1976" s="538">
        <v>18</v>
      </c>
    </row>
    <row r="1977" spans="1:7" x14ac:dyDescent="0.2">
      <c r="A1977" s="538">
        <v>6</v>
      </c>
      <c r="B1977" s="538" t="s">
        <v>6607</v>
      </c>
      <c r="C1977" s="538" t="s">
        <v>740</v>
      </c>
      <c r="D1977" s="538" t="s">
        <v>393</v>
      </c>
      <c r="E1977" s="538" t="s">
        <v>409</v>
      </c>
      <c r="F1977" s="538">
        <v>11328</v>
      </c>
      <c r="G1977" s="538">
        <v>1</v>
      </c>
    </row>
    <row r="1978" spans="1:7" x14ac:dyDescent="0.2">
      <c r="A1978" s="538">
        <v>4</v>
      </c>
      <c r="B1978" s="538" t="s">
        <v>6574</v>
      </c>
      <c r="C1978" s="538" t="s">
        <v>393</v>
      </c>
      <c r="D1978" s="538" t="s">
        <v>393</v>
      </c>
      <c r="E1978" s="538" t="s">
        <v>401</v>
      </c>
      <c r="F1978" s="538">
        <v>921587</v>
      </c>
      <c r="G1978" s="538">
        <v>24</v>
      </c>
    </row>
    <row r="1979" spans="1:7" x14ac:dyDescent="0.2">
      <c r="A1979" s="538">
        <v>4</v>
      </c>
      <c r="B1979" s="538" t="s">
        <v>6574</v>
      </c>
      <c r="C1979" s="538" t="s">
        <v>740</v>
      </c>
      <c r="D1979" s="538" t="s">
        <v>393</v>
      </c>
      <c r="E1979" s="538" t="s">
        <v>449</v>
      </c>
      <c r="F1979" s="538">
        <v>192399</v>
      </c>
      <c r="G1979" s="538">
        <v>8</v>
      </c>
    </row>
    <row r="1980" spans="1:7" x14ac:dyDescent="0.2">
      <c r="A1980" s="538">
        <v>6</v>
      </c>
      <c r="B1980" s="538" t="s">
        <v>1668</v>
      </c>
      <c r="C1980" s="538" t="s">
        <v>393</v>
      </c>
      <c r="D1980" s="538" t="s">
        <v>740</v>
      </c>
      <c r="E1980" s="538" t="s">
        <v>402</v>
      </c>
      <c r="F1980" s="538">
        <v>5775198</v>
      </c>
      <c r="G1980" s="538">
        <v>181</v>
      </c>
    </row>
    <row r="1981" spans="1:7" x14ac:dyDescent="0.2">
      <c r="A1981" s="538">
        <v>11</v>
      </c>
      <c r="B1981" s="538" t="s">
        <v>6592</v>
      </c>
      <c r="C1981" s="538" t="s">
        <v>740</v>
      </c>
      <c r="D1981" s="538" t="s">
        <v>740</v>
      </c>
      <c r="E1981" s="538" t="s">
        <v>409</v>
      </c>
      <c r="F1981" s="538">
        <v>11328</v>
      </c>
      <c r="G1981" s="538">
        <v>1</v>
      </c>
    </row>
    <row r="1982" spans="1:7" x14ac:dyDescent="0.2">
      <c r="A1982" s="538">
        <v>5</v>
      </c>
      <c r="B1982" s="538" t="s">
        <v>6568</v>
      </c>
      <c r="C1982" s="538" t="s">
        <v>740</v>
      </c>
      <c r="D1982" s="538" t="s">
        <v>740</v>
      </c>
      <c r="E1982" s="538" t="s">
        <v>401</v>
      </c>
      <c r="F1982" s="538">
        <v>90624</v>
      </c>
      <c r="G1982" s="538">
        <v>8</v>
      </c>
    </row>
    <row r="1983" spans="1:7" x14ac:dyDescent="0.2">
      <c r="A1983" s="538">
        <v>2</v>
      </c>
      <c r="B1983" s="538" t="s">
        <v>6654</v>
      </c>
      <c r="C1983" s="538" t="s">
        <v>740</v>
      </c>
      <c r="D1983" s="538" t="s">
        <v>393</v>
      </c>
      <c r="E1983" s="538" t="s">
        <v>860</v>
      </c>
      <c r="F1983" s="538">
        <v>647820</v>
      </c>
      <c r="G1983" s="538">
        <v>40</v>
      </c>
    </row>
    <row r="1984" spans="1:7" x14ac:dyDescent="0.2">
      <c r="A1984" s="538">
        <v>9</v>
      </c>
      <c r="B1984" s="538" t="s">
        <v>6645</v>
      </c>
      <c r="C1984" s="538" t="s">
        <v>740</v>
      </c>
      <c r="D1984" s="538" t="s">
        <v>393</v>
      </c>
      <c r="E1984" s="538" t="s">
        <v>390</v>
      </c>
      <c r="F1984" s="538">
        <v>11444133</v>
      </c>
      <c r="G1984" s="538">
        <v>446</v>
      </c>
    </row>
    <row r="1985" spans="1:7" x14ac:dyDescent="0.2">
      <c r="A1985" s="538">
        <v>7</v>
      </c>
      <c r="B1985" s="538" t="s">
        <v>6594</v>
      </c>
      <c r="C1985" s="538" t="s">
        <v>740</v>
      </c>
      <c r="D1985" s="538" t="s">
        <v>740</v>
      </c>
      <c r="E1985" s="538" t="s">
        <v>212</v>
      </c>
      <c r="F1985" s="538">
        <v>45312</v>
      </c>
      <c r="G1985" s="538">
        <v>4</v>
      </c>
    </row>
    <row r="1986" spans="1:7" x14ac:dyDescent="0.2">
      <c r="A1986" s="538">
        <v>2</v>
      </c>
      <c r="B1986" s="538" t="s">
        <v>6576</v>
      </c>
      <c r="C1986" s="538" t="s">
        <v>740</v>
      </c>
      <c r="D1986" s="538" t="s">
        <v>393</v>
      </c>
      <c r="E1986" s="538" t="s">
        <v>438</v>
      </c>
      <c r="F1986" s="538">
        <v>477723</v>
      </c>
      <c r="G1986" s="538">
        <v>16</v>
      </c>
    </row>
    <row r="1987" spans="1:7" x14ac:dyDescent="0.2">
      <c r="A1987" s="538">
        <v>2</v>
      </c>
      <c r="B1987" s="538" t="s">
        <v>6576</v>
      </c>
      <c r="C1987" s="538" t="s">
        <v>740</v>
      </c>
      <c r="D1987" s="538" t="s">
        <v>393</v>
      </c>
      <c r="E1987" s="538" t="s">
        <v>206</v>
      </c>
      <c r="F1987" s="538">
        <v>11328</v>
      </c>
      <c r="G1987" s="538">
        <v>1</v>
      </c>
    </row>
    <row r="1988" spans="1:7" x14ac:dyDescent="0.2">
      <c r="A1988" s="538">
        <v>7</v>
      </c>
      <c r="B1988" s="538" t="s">
        <v>6661</v>
      </c>
      <c r="C1988" s="538" t="s">
        <v>740</v>
      </c>
      <c r="D1988" s="538" t="s">
        <v>393</v>
      </c>
      <c r="E1988" s="538" t="s">
        <v>401</v>
      </c>
      <c r="F1988" s="538">
        <v>45312</v>
      </c>
      <c r="G1988" s="538">
        <v>4</v>
      </c>
    </row>
    <row r="1989" spans="1:7" x14ac:dyDescent="0.2">
      <c r="A1989" s="538">
        <v>11</v>
      </c>
      <c r="B1989" s="538" t="s">
        <v>6584</v>
      </c>
      <c r="C1989" s="538" t="s">
        <v>740</v>
      </c>
      <c r="D1989" s="538" t="s">
        <v>393</v>
      </c>
      <c r="E1989" s="538" t="s">
        <v>209</v>
      </c>
      <c r="F1989" s="538">
        <v>546701</v>
      </c>
      <c r="G1989" s="538">
        <v>2</v>
      </c>
    </row>
    <row r="1990" spans="1:7" x14ac:dyDescent="0.2">
      <c r="A1990" s="538">
        <v>10</v>
      </c>
      <c r="B1990" s="538" t="s">
        <v>6587</v>
      </c>
      <c r="C1990" s="538" t="s">
        <v>740</v>
      </c>
      <c r="D1990" s="538" t="s">
        <v>740</v>
      </c>
      <c r="E1990" s="538" t="s">
        <v>211</v>
      </c>
      <c r="F1990" s="538">
        <v>1152520</v>
      </c>
      <c r="G1990" s="538">
        <v>5</v>
      </c>
    </row>
    <row r="1991" spans="1:7" x14ac:dyDescent="0.2">
      <c r="A1991" s="538">
        <v>6</v>
      </c>
      <c r="B1991" s="538" t="s">
        <v>1668</v>
      </c>
      <c r="C1991" s="538" t="s">
        <v>740</v>
      </c>
      <c r="D1991" s="538" t="s">
        <v>740</v>
      </c>
      <c r="E1991" s="538" t="s">
        <v>409</v>
      </c>
      <c r="F1991" s="538">
        <v>22656</v>
      </c>
      <c r="G1991" s="538">
        <v>2</v>
      </c>
    </row>
    <row r="1992" spans="1:7" x14ac:dyDescent="0.2">
      <c r="A1992" s="538">
        <v>9</v>
      </c>
      <c r="B1992" s="538" t="s">
        <v>6645</v>
      </c>
      <c r="C1992" s="538" t="s">
        <v>393</v>
      </c>
      <c r="D1992" s="538" t="s">
        <v>393</v>
      </c>
      <c r="E1992" s="538" t="s">
        <v>230</v>
      </c>
      <c r="F1992" s="538">
        <v>6170137</v>
      </c>
      <c r="G1992" s="538">
        <v>129</v>
      </c>
    </row>
    <row r="1993" spans="1:7" x14ac:dyDescent="0.2">
      <c r="A1993" s="538">
        <v>2</v>
      </c>
      <c r="B1993" s="538" t="s">
        <v>6662</v>
      </c>
      <c r="C1993" s="538" t="s">
        <v>393</v>
      </c>
      <c r="D1993" s="538" t="s">
        <v>393</v>
      </c>
      <c r="E1993" s="538" t="s">
        <v>416</v>
      </c>
      <c r="F1993" s="538">
        <v>35153649</v>
      </c>
      <c r="G1993" s="538">
        <v>723</v>
      </c>
    </row>
    <row r="1994" spans="1:7" x14ac:dyDescent="0.2">
      <c r="A1994" s="538">
        <v>7</v>
      </c>
      <c r="B1994" s="538" t="s">
        <v>6571</v>
      </c>
      <c r="C1994" s="538" t="s">
        <v>740</v>
      </c>
      <c r="D1994" s="538" t="s">
        <v>393</v>
      </c>
      <c r="E1994" s="538" t="s">
        <v>212</v>
      </c>
      <c r="F1994" s="538">
        <v>45312</v>
      </c>
      <c r="G1994" s="538">
        <v>4</v>
      </c>
    </row>
    <row r="1995" spans="1:7" x14ac:dyDescent="0.2">
      <c r="A1995" s="538">
        <v>10</v>
      </c>
      <c r="B1995" s="538" t="s">
        <v>6597</v>
      </c>
      <c r="C1995" s="538" t="s">
        <v>740</v>
      </c>
      <c r="D1995" s="538" t="s">
        <v>740</v>
      </c>
      <c r="E1995" s="538" t="s">
        <v>449</v>
      </c>
      <c r="F1995" s="538">
        <v>22656</v>
      </c>
      <c r="G1995" s="538">
        <v>2</v>
      </c>
    </row>
    <row r="1996" spans="1:7" x14ac:dyDescent="0.2">
      <c r="A1996" s="538">
        <v>1</v>
      </c>
      <c r="B1996" s="538" t="s">
        <v>1288</v>
      </c>
      <c r="C1996" s="538" t="s">
        <v>740</v>
      </c>
      <c r="D1996" s="538" t="s">
        <v>393</v>
      </c>
      <c r="E1996" s="538" t="s">
        <v>390</v>
      </c>
      <c r="F1996" s="538">
        <v>170982</v>
      </c>
      <c r="G1996" s="538">
        <v>4</v>
      </c>
    </row>
    <row r="1997" spans="1:7" x14ac:dyDescent="0.2">
      <c r="A1997" s="538">
        <v>5</v>
      </c>
      <c r="B1997" s="538" t="s">
        <v>6650</v>
      </c>
      <c r="C1997" s="538" t="s">
        <v>393</v>
      </c>
      <c r="D1997" s="538" t="s">
        <v>740</v>
      </c>
      <c r="E1997" s="538" t="s">
        <v>207</v>
      </c>
      <c r="F1997" s="538">
        <v>4614338</v>
      </c>
      <c r="G1997" s="538">
        <v>276</v>
      </c>
    </row>
    <row r="1998" spans="1:7" x14ac:dyDescent="0.2">
      <c r="A1998" s="538">
        <v>11</v>
      </c>
      <c r="B1998" s="538" t="s">
        <v>6612</v>
      </c>
      <c r="C1998" s="538" t="s">
        <v>740</v>
      </c>
      <c r="D1998" s="538" t="s">
        <v>393</v>
      </c>
      <c r="E1998" s="538" t="s">
        <v>202</v>
      </c>
      <c r="F1998" s="538">
        <v>2747540</v>
      </c>
      <c r="G1998" s="538">
        <v>20</v>
      </c>
    </row>
    <row r="1999" spans="1:7" x14ac:dyDescent="0.2">
      <c r="A1999" s="538">
        <v>7</v>
      </c>
      <c r="B1999" s="538" t="s">
        <v>6604</v>
      </c>
      <c r="C1999" s="538" t="s">
        <v>740</v>
      </c>
      <c r="D1999" s="538" t="s">
        <v>740</v>
      </c>
      <c r="E1999" s="538" t="s">
        <v>438</v>
      </c>
      <c r="F1999" s="538">
        <v>11328</v>
      </c>
      <c r="G1999" s="538">
        <v>1</v>
      </c>
    </row>
    <row r="2000" spans="1:7" x14ac:dyDescent="0.2">
      <c r="A2000" s="538">
        <v>1</v>
      </c>
      <c r="B2000" s="538" t="s">
        <v>6581</v>
      </c>
      <c r="C2000" s="538" t="s">
        <v>393</v>
      </c>
      <c r="D2000" s="538" t="s">
        <v>393</v>
      </c>
      <c r="E2000" s="538" t="s">
        <v>401</v>
      </c>
      <c r="F2000" s="538">
        <v>790961</v>
      </c>
      <c r="G2000" s="538">
        <v>27</v>
      </c>
    </row>
    <row r="2001" spans="1:7" x14ac:dyDescent="0.2">
      <c r="A2001" s="538">
        <v>3</v>
      </c>
      <c r="B2001" s="538" t="s">
        <v>6591</v>
      </c>
      <c r="C2001" s="538" t="s">
        <v>740</v>
      </c>
      <c r="D2001" s="538" t="s">
        <v>393</v>
      </c>
      <c r="E2001" s="538" t="s">
        <v>860</v>
      </c>
      <c r="F2001" s="538">
        <v>3194215</v>
      </c>
      <c r="G2001" s="538">
        <v>130</v>
      </c>
    </row>
    <row r="2002" spans="1:7" x14ac:dyDescent="0.2">
      <c r="A2002" s="538">
        <v>7</v>
      </c>
      <c r="B2002" s="538" t="s">
        <v>6604</v>
      </c>
      <c r="C2002" s="538" t="s">
        <v>740</v>
      </c>
      <c r="D2002" s="538" t="s">
        <v>393</v>
      </c>
      <c r="E2002" s="538" t="s">
        <v>401</v>
      </c>
      <c r="F2002" s="538">
        <v>108147</v>
      </c>
      <c r="G2002" s="538">
        <v>4</v>
      </c>
    </row>
    <row r="2003" spans="1:7" x14ac:dyDescent="0.2">
      <c r="A2003" s="538">
        <v>9</v>
      </c>
      <c r="B2003" s="538" t="s">
        <v>6606</v>
      </c>
      <c r="C2003" s="538" t="s">
        <v>393</v>
      </c>
      <c r="D2003" s="538" t="s">
        <v>393</v>
      </c>
      <c r="E2003" s="538" t="s">
        <v>402</v>
      </c>
      <c r="F2003" s="538">
        <v>1971322</v>
      </c>
      <c r="G2003" s="538">
        <v>49</v>
      </c>
    </row>
    <row r="2004" spans="1:7" x14ac:dyDescent="0.2">
      <c r="A2004" s="538">
        <v>1</v>
      </c>
      <c r="B2004" s="538" t="s">
        <v>6602</v>
      </c>
      <c r="C2004" s="538" t="s">
        <v>393</v>
      </c>
      <c r="D2004" s="538" t="s">
        <v>740</v>
      </c>
      <c r="E2004" s="538" t="s">
        <v>402</v>
      </c>
      <c r="F2004" s="538">
        <v>2670701</v>
      </c>
      <c r="G2004" s="538">
        <v>92</v>
      </c>
    </row>
    <row r="2005" spans="1:7" x14ac:dyDescent="0.2">
      <c r="A2005" s="538">
        <v>4</v>
      </c>
      <c r="B2005" s="538" t="s">
        <v>6572</v>
      </c>
      <c r="C2005" s="538" t="s">
        <v>740</v>
      </c>
      <c r="D2005" s="538" t="s">
        <v>393</v>
      </c>
      <c r="E2005" s="538" t="s">
        <v>209</v>
      </c>
      <c r="F2005" s="538">
        <v>148326</v>
      </c>
      <c r="G2005" s="538">
        <v>2</v>
      </c>
    </row>
    <row r="2006" spans="1:7" x14ac:dyDescent="0.2">
      <c r="A2006" s="538">
        <v>11</v>
      </c>
      <c r="B2006" s="538" t="s">
        <v>6612</v>
      </c>
      <c r="C2006" s="538" t="s">
        <v>740</v>
      </c>
      <c r="D2006" s="538" t="s">
        <v>393</v>
      </c>
      <c r="E2006" s="538" t="s">
        <v>438</v>
      </c>
      <c r="F2006" s="538">
        <v>158415</v>
      </c>
      <c r="G2006" s="538">
        <v>5</v>
      </c>
    </row>
    <row r="2007" spans="1:7" x14ac:dyDescent="0.2">
      <c r="A2007" s="538">
        <v>2</v>
      </c>
      <c r="B2007" s="538" t="s">
        <v>6608</v>
      </c>
      <c r="C2007" s="538" t="s">
        <v>740</v>
      </c>
      <c r="D2007" s="538" t="s">
        <v>393</v>
      </c>
      <c r="E2007" s="538" t="s">
        <v>449</v>
      </c>
      <c r="F2007" s="538">
        <v>85491</v>
      </c>
      <c r="G2007" s="538">
        <v>2</v>
      </c>
    </row>
    <row r="2008" spans="1:7" x14ac:dyDescent="0.2">
      <c r="A2008" s="538">
        <v>6</v>
      </c>
      <c r="B2008" s="538" t="s">
        <v>1668</v>
      </c>
      <c r="C2008" s="538" t="s">
        <v>740</v>
      </c>
      <c r="D2008" s="538" t="s">
        <v>740</v>
      </c>
      <c r="E2008" s="538" t="s">
        <v>402</v>
      </c>
      <c r="F2008" s="538">
        <v>389931</v>
      </c>
      <c r="G2008" s="538">
        <v>22</v>
      </c>
    </row>
    <row r="2009" spans="1:7" x14ac:dyDescent="0.2">
      <c r="A2009" s="538">
        <v>8</v>
      </c>
      <c r="B2009" s="538" t="s">
        <v>6560</v>
      </c>
      <c r="C2009" s="538" t="s">
        <v>740</v>
      </c>
      <c r="D2009" s="538" t="s">
        <v>393</v>
      </c>
      <c r="E2009" s="538" t="s">
        <v>402</v>
      </c>
      <c r="F2009" s="538">
        <v>61469321</v>
      </c>
      <c r="G2009" s="538">
        <v>3047</v>
      </c>
    </row>
    <row r="2010" spans="1:7" x14ac:dyDescent="0.2">
      <c r="A2010" s="538">
        <v>12</v>
      </c>
      <c r="B2010" s="538" t="s">
        <v>6563</v>
      </c>
      <c r="C2010" s="538" t="s">
        <v>740</v>
      </c>
      <c r="D2010" s="538" t="s">
        <v>393</v>
      </c>
      <c r="E2010" s="538" t="s">
        <v>210</v>
      </c>
      <c r="F2010" s="538">
        <v>9831007</v>
      </c>
      <c r="G2010" s="538">
        <v>644</v>
      </c>
    </row>
    <row r="2011" spans="1:7" x14ac:dyDescent="0.2">
      <c r="A2011" s="538">
        <v>9</v>
      </c>
      <c r="B2011" s="538" t="s">
        <v>948</v>
      </c>
      <c r="C2011" s="538" t="s">
        <v>740</v>
      </c>
      <c r="D2011" s="538" t="s">
        <v>393</v>
      </c>
      <c r="E2011" s="538" t="s">
        <v>212</v>
      </c>
      <c r="F2011" s="538">
        <v>74163</v>
      </c>
      <c r="G2011" s="538">
        <v>1</v>
      </c>
    </row>
    <row r="2012" spans="1:7" x14ac:dyDescent="0.2">
      <c r="A2012" s="538">
        <v>8</v>
      </c>
      <c r="B2012" s="538" t="s">
        <v>6567</v>
      </c>
      <c r="C2012" s="538" t="s">
        <v>740</v>
      </c>
      <c r="D2012" s="538" t="s">
        <v>393</v>
      </c>
      <c r="E2012" s="538" t="s">
        <v>210</v>
      </c>
      <c r="F2012" s="538">
        <v>90624</v>
      </c>
      <c r="G2012" s="538">
        <v>8</v>
      </c>
    </row>
    <row r="2013" spans="1:7" x14ac:dyDescent="0.2">
      <c r="A2013" s="538">
        <v>10</v>
      </c>
      <c r="B2013" s="538" t="s">
        <v>6664</v>
      </c>
      <c r="C2013" s="538" t="s">
        <v>393</v>
      </c>
      <c r="D2013" s="538" t="s">
        <v>393</v>
      </c>
      <c r="E2013" s="538" t="s">
        <v>409</v>
      </c>
      <c r="F2013" s="538">
        <v>142131</v>
      </c>
      <c r="G2013" s="538">
        <v>7</v>
      </c>
    </row>
    <row r="2014" spans="1:7" x14ac:dyDescent="0.2">
      <c r="A2014" s="538">
        <v>11</v>
      </c>
      <c r="B2014" s="538" t="s">
        <v>6592</v>
      </c>
      <c r="C2014" s="538" t="s">
        <v>740</v>
      </c>
      <c r="D2014" s="538" t="s">
        <v>393</v>
      </c>
      <c r="E2014" s="538" t="s">
        <v>402</v>
      </c>
      <c r="F2014" s="538">
        <v>5842739</v>
      </c>
      <c r="G2014" s="538">
        <v>238</v>
      </c>
    </row>
    <row r="2015" spans="1:7" x14ac:dyDescent="0.2">
      <c r="A2015" s="538">
        <v>9</v>
      </c>
      <c r="B2015" s="538" t="s">
        <v>6657</v>
      </c>
      <c r="C2015" s="538" t="s">
        <v>740</v>
      </c>
      <c r="D2015" s="538" t="s">
        <v>393</v>
      </c>
      <c r="E2015" s="538" t="s">
        <v>211</v>
      </c>
      <c r="F2015" s="538">
        <v>22656</v>
      </c>
      <c r="G2015" s="538">
        <v>2</v>
      </c>
    </row>
    <row r="2016" spans="1:7" x14ac:dyDescent="0.2">
      <c r="A2016" s="538">
        <v>3</v>
      </c>
      <c r="B2016" s="538" t="s">
        <v>6591</v>
      </c>
      <c r="C2016" s="538" t="s">
        <v>393</v>
      </c>
      <c r="D2016" s="538" t="s">
        <v>393</v>
      </c>
      <c r="E2016" s="538" t="s">
        <v>230</v>
      </c>
      <c r="F2016" s="538">
        <v>1753612</v>
      </c>
      <c r="G2016" s="538">
        <v>29</v>
      </c>
    </row>
    <row r="2017" spans="1:7" x14ac:dyDescent="0.2">
      <c r="A2017" s="538">
        <v>3</v>
      </c>
      <c r="B2017" s="538" t="s">
        <v>6605</v>
      </c>
      <c r="C2017" s="538" t="s">
        <v>393</v>
      </c>
      <c r="D2017" s="538" t="s">
        <v>393</v>
      </c>
      <c r="E2017" s="538" t="s">
        <v>230</v>
      </c>
      <c r="F2017" s="538">
        <v>4950888</v>
      </c>
      <c r="G2017" s="538">
        <v>116</v>
      </c>
    </row>
    <row r="2018" spans="1:7" x14ac:dyDescent="0.2">
      <c r="A2018" s="538">
        <v>10</v>
      </c>
      <c r="B2018" s="538" t="s">
        <v>6587</v>
      </c>
      <c r="C2018" s="538" t="s">
        <v>740</v>
      </c>
      <c r="D2018" s="538" t="s">
        <v>393</v>
      </c>
      <c r="E2018" s="538" t="s">
        <v>860</v>
      </c>
      <c r="F2018" s="538">
        <v>11328</v>
      </c>
      <c r="G2018" s="538">
        <v>1</v>
      </c>
    </row>
    <row r="2019" spans="1:7" x14ac:dyDescent="0.2">
      <c r="A2019" s="538">
        <v>9</v>
      </c>
      <c r="B2019" s="538" t="s">
        <v>6613</v>
      </c>
      <c r="C2019" s="538" t="s">
        <v>393</v>
      </c>
      <c r="D2019" s="538" t="s">
        <v>393</v>
      </c>
      <c r="E2019" s="538" t="s">
        <v>860</v>
      </c>
      <c r="F2019" s="538">
        <v>1510112</v>
      </c>
      <c r="G2019" s="538">
        <v>49</v>
      </c>
    </row>
    <row r="2020" spans="1:7" x14ac:dyDescent="0.2">
      <c r="A2020" s="538">
        <v>4</v>
      </c>
      <c r="B2020" s="538" t="s">
        <v>6559</v>
      </c>
      <c r="C2020" s="538" t="s">
        <v>740</v>
      </c>
      <c r="D2020" s="538" t="s">
        <v>393</v>
      </c>
      <c r="E2020" s="538" t="s">
        <v>210</v>
      </c>
      <c r="F2020" s="538">
        <v>56352772</v>
      </c>
      <c r="G2020" s="538">
        <v>2774</v>
      </c>
    </row>
    <row r="2021" spans="1:7" x14ac:dyDescent="0.2">
      <c r="A2021" s="538">
        <v>4</v>
      </c>
      <c r="B2021" s="538" t="s">
        <v>6562</v>
      </c>
      <c r="C2021" s="538" t="s">
        <v>393</v>
      </c>
      <c r="D2021" s="538" t="s">
        <v>393</v>
      </c>
      <c r="E2021" s="538" t="s">
        <v>230</v>
      </c>
      <c r="F2021" s="538">
        <v>12314276</v>
      </c>
      <c r="G2021" s="538">
        <v>207</v>
      </c>
    </row>
    <row r="2022" spans="1:7" x14ac:dyDescent="0.2">
      <c r="A2022" s="538">
        <v>8</v>
      </c>
      <c r="B2022" s="538" t="s">
        <v>6570</v>
      </c>
      <c r="C2022" s="538" t="s">
        <v>393</v>
      </c>
      <c r="D2022" s="538" t="s">
        <v>393</v>
      </c>
      <c r="E2022" s="538" t="s">
        <v>209</v>
      </c>
      <c r="F2022" s="538">
        <v>1253056</v>
      </c>
      <c r="G2022" s="538">
        <v>7</v>
      </c>
    </row>
    <row r="2023" spans="1:7" x14ac:dyDescent="0.2">
      <c r="A2023" s="538">
        <v>1</v>
      </c>
      <c r="B2023" s="538" t="s">
        <v>6595</v>
      </c>
      <c r="C2023" s="538" t="s">
        <v>393</v>
      </c>
      <c r="D2023" s="538" t="s">
        <v>740</v>
      </c>
      <c r="E2023" s="538" t="s">
        <v>390</v>
      </c>
      <c r="F2023" s="538">
        <v>11328</v>
      </c>
      <c r="G2023" s="538">
        <v>1</v>
      </c>
    </row>
    <row r="2024" spans="1:7" x14ac:dyDescent="0.2">
      <c r="A2024" s="538">
        <v>8</v>
      </c>
      <c r="B2024" s="538" t="s">
        <v>6570</v>
      </c>
      <c r="C2024" s="538" t="s">
        <v>740</v>
      </c>
      <c r="D2024" s="538" t="s">
        <v>393</v>
      </c>
      <c r="E2024" s="538" t="s">
        <v>202</v>
      </c>
      <c r="F2024" s="538">
        <v>11328</v>
      </c>
      <c r="G2024" s="538">
        <v>1</v>
      </c>
    </row>
    <row r="2025" spans="1:7" x14ac:dyDescent="0.2">
      <c r="A2025" s="538">
        <v>4</v>
      </c>
      <c r="B2025" s="538" t="s">
        <v>6590</v>
      </c>
      <c r="C2025" s="538" t="s">
        <v>740</v>
      </c>
      <c r="D2025" s="538" t="s">
        <v>393</v>
      </c>
      <c r="E2025" s="538" t="s">
        <v>416</v>
      </c>
      <c r="F2025" s="538">
        <v>74163</v>
      </c>
      <c r="G2025" s="538">
        <v>1</v>
      </c>
    </row>
    <row r="2026" spans="1:7" x14ac:dyDescent="0.2">
      <c r="A2026" s="538">
        <v>1</v>
      </c>
      <c r="B2026" s="538" t="s">
        <v>6663</v>
      </c>
      <c r="C2026" s="538" t="s">
        <v>393</v>
      </c>
      <c r="D2026" s="538" t="s">
        <v>393</v>
      </c>
      <c r="E2026" s="538" t="s">
        <v>438</v>
      </c>
      <c r="F2026" s="538">
        <v>2688599</v>
      </c>
      <c r="G2026" s="538">
        <v>28</v>
      </c>
    </row>
    <row r="2027" spans="1:7" x14ac:dyDescent="0.2">
      <c r="A2027" s="538">
        <v>1</v>
      </c>
      <c r="B2027" s="538" t="s">
        <v>6663</v>
      </c>
      <c r="C2027" s="538" t="s">
        <v>393</v>
      </c>
      <c r="D2027" s="538" t="s">
        <v>393</v>
      </c>
      <c r="E2027" s="538" t="s">
        <v>206</v>
      </c>
      <c r="F2027" s="538">
        <v>22656</v>
      </c>
      <c r="G2027" s="538">
        <v>2</v>
      </c>
    </row>
    <row r="2028" spans="1:7" x14ac:dyDescent="0.2">
      <c r="A2028" s="538">
        <v>3</v>
      </c>
      <c r="B2028" s="538" t="s">
        <v>6561</v>
      </c>
      <c r="C2028" s="538" t="s">
        <v>740</v>
      </c>
      <c r="D2028" s="538" t="s">
        <v>740</v>
      </c>
      <c r="E2028" s="538" t="s">
        <v>390</v>
      </c>
      <c r="F2028" s="538">
        <v>514362</v>
      </c>
      <c r="G2028" s="538">
        <v>24</v>
      </c>
    </row>
    <row r="2029" spans="1:7" x14ac:dyDescent="0.2">
      <c r="A2029" s="538">
        <v>3</v>
      </c>
      <c r="B2029" s="538" t="s">
        <v>6603</v>
      </c>
      <c r="C2029" s="538" t="s">
        <v>740</v>
      </c>
      <c r="D2029" s="538" t="s">
        <v>393</v>
      </c>
      <c r="E2029" s="538" t="s">
        <v>401</v>
      </c>
      <c r="F2029" s="538">
        <v>118236</v>
      </c>
      <c r="G2029" s="538">
        <v>7</v>
      </c>
    </row>
    <row r="2030" spans="1:7" x14ac:dyDescent="0.2">
      <c r="A2030" s="538">
        <v>7</v>
      </c>
      <c r="B2030" s="538" t="s">
        <v>6604</v>
      </c>
      <c r="C2030" s="538" t="s">
        <v>393</v>
      </c>
      <c r="D2030" s="538" t="s">
        <v>393</v>
      </c>
      <c r="E2030" s="538" t="s">
        <v>211</v>
      </c>
      <c r="F2030" s="538">
        <v>21322598</v>
      </c>
      <c r="G2030" s="538">
        <v>216</v>
      </c>
    </row>
    <row r="2031" spans="1:7" x14ac:dyDescent="0.2">
      <c r="A2031" s="538">
        <v>11</v>
      </c>
      <c r="B2031" s="538" t="s">
        <v>6592</v>
      </c>
      <c r="C2031" s="538" t="s">
        <v>393</v>
      </c>
      <c r="D2031" s="538" t="s">
        <v>393</v>
      </c>
      <c r="E2031" s="538" t="s">
        <v>416</v>
      </c>
      <c r="F2031" s="538">
        <v>45107339</v>
      </c>
      <c r="G2031" s="538">
        <v>733</v>
      </c>
    </row>
    <row r="2032" spans="1:7" x14ac:dyDescent="0.2">
      <c r="A2032" s="538">
        <v>8</v>
      </c>
      <c r="B2032" s="538" t="s">
        <v>6567</v>
      </c>
      <c r="C2032" s="538" t="s">
        <v>740</v>
      </c>
      <c r="D2032" s="538" t="s">
        <v>393</v>
      </c>
      <c r="E2032" s="538" t="s">
        <v>416</v>
      </c>
      <c r="F2032" s="538">
        <v>153459</v>
      </c>
      <c r="G2032" s="538">
        <v>8</v>
      </c>
    </row>
    <row r="2033" spans="1:7" x14ac:dyDescent="0.2">
      <c r="A2033" s="538">
        <v>6</v>
      </c>
      <c r="B2033" s="538" t="s">
        <v>6565</v>
      </c>
      <c r="C2033" s="538" t="s">
        <v>740</v>
      </c>
      <c r="D2033" s="538" t="s">
        <v>740</v>
      </c>
      <c r="E2033" s="538" t="s">
        <v>210</v>
      </c>
      <c r="F2033" s="538">
        <v>530417</v>
      </c>
      <c r="G2033" s="538">
        <v>4</v>
      </c>
    </row>
    <row r="2034" spans="1:7" x14ac:dyDescent="0.2">
      <c r="A2034" s="538">
        <v>5</v>
      </c>
      <c r="B2034" s="538" t="s">
        <v>6599</v>
      </c>
      <c r="C2034" s="538" t="s">
        <v>393</v>
      </c>
      <c r="D2034" s="538" t="s">
        <v>740</v>
      </c>
      <c r="E2034" s="538" t="s">
        <v>390</v>
      </c>
      <c r="F2034" s="538">
        <v>3068618</v>
      </c>
      <c r="G2034" s="538">
        <v>56</v>
      </c>
    </row>
    <row r="2035" spans="1:7" x14ac:dyDescent="0.2">
      <c r="A2035" s="538">
        <v>9</v>
      </c>
      <c r="B2035" s="538" t="s">
        <v>6614</v>
      </c>
      <c r="C2035" s="538" t="s">
        <v>393</v>
      </c>
      <c r="D2035" s="538" t="s">
        <v>393</v>
      </c>
      <c r="E2035" s="538" t="s">
        <v>860</v>
      </c>
      <c r="F2035" s="538">
        <v>1115048</v>
      </c>
      <c r="G2035" s="538">
        <v>21</v>
      </c>
    </row>
    <row r="2036" spans="1:7" x14ac:dyDescent="0.2">
      <c r="A2036" s="538">
        <v>10</v>
      </c>
      <c r="B2036" s="538" t="s">
        <v>6600</v>
      </c>
      <c r="C2036" s="538" t="s">
        <v>740</v>
      </c>
      <c r="D2036" s="538" t="s">
        <v>393</v>
      </c>
      <c r="E2036" s="538" t="s">
        <v>416</v>
      </c>
      <c r="F2036" s="538">
        <v>5548638</v>
      </c>
      <c r="G2036" s="538">
        <v>96</v>
      </c>
    </row>
    <row r="2037" spans="1:7" x14ac:dyDescent="0.2">
      <c r="A2037" s="538">
        <v>6</v>
      </c>
      <c r="B2037" s="538" t="s">
        <v>6433</v>
      </c>
      <c r="C2037" s="538" t="s">
        <v>393</v>
      </c>
      <c r="D2037" s="538" t="s">
        <v>393</v>
      </c>
      <c r="E2037" s="538" t="s">
        <v>390</v>
      </c>
      <c r="F2037" s="538">
        <v>19227282</v>
      </c>
      <c r="G2037" s="538">
        <v>374</v>
      </c>
    </row>
    <row r="2038" spans="1:7" x14ac:dyDescent="0.2">
      <c r="A2038" s="538">
        <v>7</v>
      </c>
      <c r="B2038" s="538" t="s">
        <v>6579</v>
      </c>
      <c r="C2038" s="538" t="s">
        <v>393</v>
      </c>
      <c r="D2038" s="538" t="s">
        <v>393</v>
      </c>
      <c r="E2038" s="538" t="s">
        <v>449</v>
      </c>
      <c r="F2038" s="538">
        <v>661220</v>
      </c>
      <c r="G2038" s="538">
        <v>10</v>
      </c>
    </row>
    <row r="2039" spans="1:7" x14ac:dyDescent="0.2">
      <c r="A2039" s="538">
        <v>3</v>
      </c>
      <c r="B2039" s="538" t="s">
        <v>6586</v>
      </c>
      <c r="C2039" s="538" t="s">
        <v>393</v>
      </c>
      <c r="D2039" s="538" t="s">
        <v>740</v>
      </c>
      <c r="E2039" s="538" t="s">
        <v>402</v>
      </c>
      <c r="F2039" s="538">
        <v>743400</v>
      </c>
      <c r="G2039" s="538">
        <v>40</v>
      </c>
    </row>
    <row r="2040" spans="1:7" x14ac:dyDescent="0.2">
      <c r="A2040" s="538">
        <v>9</v>
      </c>
      <c r="B2040" s="538" t="s">
        <v>6606</v>
      </c>
      <c r="C2040" s="538" t="s">
        <v>740</v>
      </c>
      <c r="D2040" s="538" t="s">
        <v>393</v>
      </c>
      <c r="E2040" s="538" t="s">
        <v>390</v>
      </c>
      <c r="F2040" s="538">
        <v>11328</v>
      </c>
      <c r="G2040" s="538">
        <v>1</v>
      </c>
    </row>
    <row r="2041" spans="1:7" x14ac:dyDescent="0.2">
      <c r="A2041" s="538">
        <v>2</v>
      </c>
      <c r="B2041" s="538" t="s">
        <v>6656</v>
      </c>
      <c r="C2041" s="538" t="s">
        <v>393</v>
      </c>
      <c r="D2041" s="538" t="s">
        <v>740</v>
      </c>
      <c r="E2041" s="538" t="s">
        <v>212</v>
      </c>
      <c r="F2041" s="538">
        <v>108147</v>
      </c>
      <c r="G2041" s="538">
        <v>4</v>
      </c>
    </row>
    <row r="2042" spans="1:7" x14ac:dyDescent="0.2">
      <c r="A2042" s="538">
        <v>3</v>
      </c>
      <c r="B2042" s="538" t="s">
        <v>6603</v>
      </c>
      <c r="C2042" s="538" t="s">
        <v>740</v>
      </c>
      <c r="D2042" s="538" t="s">
        <v>393</v>
      </c>
      <c r="E2042" s="538" t="s">
        <v>409</v>
      </c>
      <c r="F2042" s="538">
        <v>1622986</v>
      </c>
      <c r="G2042" s="538">
        <v>32</v>
      </c>
    </row>
    <row r="2043" spans="1:7" x14ac:dyDescent="0.2">
      <c r="A2043" s="538">
        <v>12</v>
      </c>
      <c r="B2043" s="538" t="s">
        <v>6563</v>
      </c>
      <c r="C2043" s="538" t="s">
        <v>740</v>
      </c>
      <c r="D2043" s="538" t="s">
        <v>393</v>
      </c>
      <c r="E2043" s="538" t="s">
        <v>416</v>
      </c>
      <c r="F2043" s="538">
        <v>15139425</v>
      </c>
      <c r="G2043" s="538">
        <v>440</v>
      </c>
    </row>
    <row r="2044" spans="1:7" x14ac:dyDescent="0.2">
      <c r="A2044" s="538">
        <v>3</v>
      </c>
      <c r="B2044" s="538" t="s">
        <v>6603</v>
      </c>
      <c r="C2044" s="538" t="s">
        <v>740</v>
      </c>
      <c r="D2044" s="538" t="s">
        <v>393</v>
      </c>
      <c r="E2044" s="538" t="s">
        <v>212</v>
      </c>
      <c r="F2044" s="538">
        <v>595251</v>
      </c>
      <c r="G2044" s="538">
        <v>47</v>
      </c>
    </row>
    <row r="2045" spans="1:7" x14ac:dyDescent="0.2">
      <c r="A2045" s="538">
        <v>9</v>
      </c>
      <c r="B2045" s="538" t="s">
        <v>6644</v>
      </c>
      <c r="C2045" s="538" t="s">
        <v>740</v>
      </c>
      <c r="D2045" s="538" t="s">
        <v>393</v>
      </c>
      <c r="E2045" s="538" t="s">
        <v>212</v>
      </c>
      <c r="F2045" s="538">
        <v>45312</v>
      </c>
      <c r="G2045" s="538">
        <v>4</v>
      </c>
    </row>
    <row r="2046" spans="1:7" x14ac:dyDescent="0.2">
      <c r="A2046" s="538">
        <v>3</v>
      </c>
      <c r="B2046" s="538" t="s">
        <v>6561</v>
      </c>
      <c r="C2046" s="538" t="s">
        <v>393</v>
      </c>
      <c r="D2046" s="538" t="s">
        <v>740</v>
      </c>
      <c r="E2046" s="538" t="s">
        <v>860</v>
      </c>
      <c r="F2046" s="538">
        <v>22656</v>
      </c>
      <c r="G2046" s="538">
        <v>2</v>
      </c>
    </row>
    <row r="2047" spans="1:7" x14ac:dyDescent="0.2">
      <c r="A2047" s="538">
        <v>1</v>
      </c>
      <c r="B2047" s="538" t="s">
        <v>6649</v>
      </c>
      <c r="C2047" s="538" t="s">
        <v>740</v>
      </c>
      <c r="D2047" s="538" t="s">
        <v>393</v>
      </c>
      <c r="E2047" s="538" t="s">
        <v>860</v>
      </c>
      <c r="F2047" s="538">
        <v>11328</v>
      </c>
      <c r="G2047" s="538">
        <v>1</v>
      </c>
    </row>
    <row r="2048" spans="1:7" x14ac:dyDescent="0.2">
      <c r="A2048" s="538">
        <v>9</v>
      </c>
      <c r="B2048" s="538" t="s">
        <v>6615</v>
      </c>
      <c r="C2048" s="538" t="s">
        <v>393</v>
      </c>
      <c r="D2048" s="538" t="s">
        <v>393</v>
      </c>
      <c r="E2048" s="538" t="s">
        <v>230</v>
      </c>
      <c r="F2048" s="538">
        <v>10255724</v>
      </c>
      <c r="G2048" s="538">
        <v>213</v>
      </c>
    </row>
    <row r="2049" spans="1:7" x14ac:dyDescent="0.2">
      <c r="A2049" s="538">
        <v>9</v>
      </c>
      <c r="B2049" s="538" t="s">
        <v>6613</v>
      </c>
      <c r="C2049" s="538" t="s">
        <v>740</v>
      </c>
      <c r="D2049" s="538" t="s">
        <v>393</v>
      </c>
      <c r="E2049" s="538" t="s">
        <v>230</v>
      </c>
      <c r="F2049" s="538">
        <v>666176</v>
      </c>
      <c r="G2049" s="538">
        <v>7</v>
      </c>
    </row>
    <row r="2050" spans="1:7" x14ac:dyDescent="0.2">
      <c r="A2050" s="538">
        <v>7</v>
      </c>
      <c r="B2050" s="538" t="s">
        <v>6604</v>
      </c>
      <c r="C2050" s="538" t="s">
        <v>740</v>
      </c>
      <c r="D2050" s="538" t="s">
        <v>393</v>
      </c>
      <c r="E2050" s="538" t="s">
        <v>210</v>
      </c>
      <c r="F2050" s="538">
        <v>2364720</v>
      </c>
      <c r="G2050" s="538">
        <v>130</v>
      </c>
    </row>
    <row r="2051" spans="1:7" x14ac:dyDescent="0.2">
      <c r="A2051" s="538">
        <v>11</v>
      </c>
      <c r="B2051" s="538" t="s">
        <v>6610</v>
      </c>
      <c r="C2051" s="538" t="s">
        <v>393</v>
      </c>
      <c r="D2051" s="538" t="s">
        <v>740</v>
      </c>
      <c r="E2051" s="538" t="s">
        <v>401</v>
      </c>
      <c r="F2051" s="538">
        <v>135936</v>
      </c>
      <c r="G2051" s="538">
        <v>12</v>
      </c>
    </row>
    <row r="2052" spans="1:7" x14ac:dyDescent="0.2">
      <c r="A2052" s="538">
        <v>11</v>
      </c>
      <c r="B2052" s="538" t="s">
        <v>6584</v>
      </c>
      <c r="C2052" s="538" t="s">
        <v>393</v>
      </c>
      <c r="D2052" s="538" t="s">
        <v>393</v>
      </c>
      <c r="E2052" s="538" t="s">
        <v>390</v>
      </c>
      <c r="F2052" s="538">
        <v>12002995</v>
      </c>
      <c r="G2052" s="538">
        <v>315</v>
      </c>
    </row>
    <row r="2053" spans="1:7" x14ac:dyDescent="0.2">
      <c r="A2053" s="538">
        <v>9</v>
      </c>
      <c r="B2053" s="538" t="s">
        <v>6615</v>
      </c>
      <c r="C2053" s="538" t="s">
        <v>740</v>
      </c>
      <c r="D2053" s="538" t="s">
        <v>393</v>
      </c>
      <c r="E2053" s="538" t="s">
        <v>209</v>
      </c>
      <c r="F2053" s="538">
        <v>10719423</v>
      </c>
      <c r="G2053" s="538">
        <v>46</v>
      </c>
    </row>
    <row r="2054" spans="1:7" x14ac:dyDescent="0.2">
      <c r="A2054" s="538">
        <v>7</v>
      </c>
      <c r="B2054" s="538" t="s">
        <v>6579</v>
      </c>
      <c r="C2054" s="538" t="s">
        <v>740</v>
      </c>
      <c r="D2054" s="538" t="s">
        <v>740</v>
      </c>
      <c r="E2054" s="538" t="s">
        <v>401</v>
      </c>
      <c r="F2054" s="538">
        <v>79296</v>
      </c>
      <c r="G2054" s="538">
        <v>7</v>
      </c>
    </row>
    <row r="2055" spans="1:7" x14ac:dyDescent="0.2">
      <c r="A2055" s="538">
        <v>4</v>
      </c>
      <c r="B2055" s="538" t="s">
        <v>6572</v>
      </c>
      <c r="C2055" s="538" t="s">
        <v>740</v>
      </c>
      <c r="D2055" s="538" t="s">
        <v>393</v>
      </c>
      <c r="E2055" s="538" t="s">
        <v>860</v>
      </c>
      <c r="F2055" s="538">
        <v>11328</v>
      </c>
      <c r="G2055" s="538">
        <v>1</v>
      </c>
    </row>
    <row r="2056" spans="1:7" x14ac:dyDescent="0.2">
      <c r="A2056" s="538">
        <v>1</v>
      </c>
      <c r="B2056" s="538" t="s">
        <v>6646</v>
      </c>
      <c r="C2056" s="538" t="s">
        <v>740</v>
      </c>
      <c r="D2056" s="538" t="s">
        <v>393</v>
      </c>
      <c r="E2056" s="538" t="s">
        <v>416</v>
      </c>
      <c r="F2056" s="538">
        <v>592242</v>
      </c>
      <c r="G2056" s="538">
        <v>24</v>
      </c>
    </row>
    <row r="2057" spans="1:7" x14ac:dyDescent="0.2">
      <c r="A2057" s="538">
        <v>3</v>
      </c>
      <c r="B2057" s="538" t="s">
        <v>6603</v>
      </c>
      <c r="C2057" s="538" t="s">
        <v>393</v>
      </c>
      <c r="D2057" s="538" t="s">
        <v>393</v>
      </c>
      <c r="E2057" s="538" t="s">
        <v>390</v>
      </c>
      <c r="F2057" s="538">
        <v>7953714</v>
      </c>
      <c r="G2057" s="538">
        <v>158</v>
      </c>
    </row>
    <row r="2058" spans="1:7" x14ac:dyDescent="0.2">
      <c r="A2058" s="538">
        <v>7</v>
      </c>
      <c r="B2058" s="538" t="s">
        <v>6580</v>
      </c>
      <c r="C2058" s="538" t="s">
        <v>393</v>
      </c>
      <c r="D2058" s="538" t="s">
        <v>393</v>
      </c>
      <c r="E2058" s="538" t="s">
        <v>202</v>
      </c>
      <c r="F2058" s="538">
        <v>3682933</v>
      </c>
      <c r="G2058" s="538">
        <v>41</v>
      </c>
    </row>
    <row r="2059" spans="1:7" x14ac:dyDescent="0.2">
      <c r="A2059" s="538">
        <v>11</v>
      </c>
      <c r="B2059" s="538" t="s">
        <v>6592</v>
      </c>
      <c r="C2059" s="538" t="s">
        <v>740</v>
      </c>
      <c r="D2059" s="538" t="s">
        <v>393</v>
      </c>
      <c r="E2059" s="538" t="s">
        <v>211</v>
      </c>
      <c r="F2059" s="538">
        <v>17025891</v>
      </c>
      <c r="G2059" s="538">
        <v>417</v>
      </c>
    </row>
    <row r="2060" spans="1:7" x14ac:dyDescent="0.2">
      <c r="A2060" s="538">
        <v>9</v>
      </c>
      <c r="B2060" s="538" t="s">
        <v>6615</v>
      </c>
      <c r="C2060" s="538" t="s">
        <v>393</v>
      </c>
      <c r="D2060" s="538" t="s">
        <v>393</v>
      </c>
      <c r="E2060" s="538" t="s">
        <v>438</v>
      </c>
      <c r="F2060" s="538">
        <v>11481710</v>
      </c>
      <c r="G2060" s="538">
        <v>80</v>
      </c>
    </row>
    <row r="2061" spans="1:7" x14ac:dyDescent="0.2">
      <c r="A2061" s="538">
        <v>4</v>
      </c>
      <c r="B2061" s="538" t="s">
        <v>6593</v>
      </c>
      <c r="C2061" s="538" t="s">
        <v>393</v>
      </c>
      <c r="D2061" s="538" t="s">
        <v>740</v>
      </c>
      <c r="E2061" s="538" t="s">
        <v>402</v>
      </c>
      <c r="F2061" s="538">
        <v>1720263</v>
      </c>
      <c r="G2061" s="538">
        <v>66</v>
      </c>
    </row>
    <row r="2062" spans="1:7" x14ac:dyDescent="0.2">
      <c r="A2062" s="538">
        <v>3</v>
      </c>
      <c r="B2062" s="538" t="s">
        <v>6603</v>
      </c>
      <c r="C2062" s="538" t="s">
        <v>740</v>
      </c>
      <c r="D2062" s="538" t="s">
        <v>393</v>
      </c>
      <c r="E2062" s="538" t="s">
        <v>210</v>
      </c>
      <c r="F2062" s="538">
        <v>452943</v>
      </c>
      <c r="G2062" s="538">
        <v>31</v>
      </c>
    </row>
    <row r="2063" spans="1:7" x14ac:dyDescent="0.2">
      <c r="A2063" s="538">
        <v>7</v>
      </c>
      <c r="B2063" s="538" t="s">
        <v>6564</v>
      </c>
      <c r="C2063" s="538" t="s">
        <v>740</v>
      </c>
      <c r="D2063" s="538" t="s">
        <v>393</v>
      </c>
      <c r="E2063" s="538" t="s">
        <v>212</v>
      </c>
      <c r="F2063" s="538">
        <v>3781605</v>
      </c>
      <c r="G2063" s="538">
        <v>300</v>
      </c>
    </row>
    <row r="2064" spans="1:7" x14ac:dyDescent="0.2">
      <c r="A2064" s="538">
        <v>8</v>
      </c>
      <c r="B2064" s="538" t="s">
        <v>6560</v>
      </c>
      <c r="C2064" s="538" t="s">
        <v>740</v>
      </c>
      <c r="D2064" s="538" t="s">
        <v>393</v>
      </c>
      <c r="E2064" s="538" t="s">
        <v>860</v>
      </c>
      <c r="F2064" s="538">
        <v>1154342</v>
      </c>
      <c r="G2064" s="538">
        <v>39</v>
      </c>
    </row>
    <row r="2065" spans="1:7" x14ac:dyDescent="0.2">
      <c r="A2065" s="538">
        <v>4</v>
      </c>
      <c r="B2065" s="538" t="s">
        <v>6590</v>
      </c>
      <c r="C2065" s="538" t="s">
        <v>393</v>
      </c>
      <c r="D2065" s="538" t="s">
        <v>393</v>
      </c>
      <c r="E2065" s="538" t="s">
        <v>416</v>
      </c>
      <c r="F2065" s="538">
        <v>88913353</v>
      </c>
      <c r="G2065" s="538">
        <v>1436</v>
      </c>
    </row>
    <row r="2066" spans="1:7" x14ac:dyDescent="0.2">
      <c r="A2066" s="538">
        <v>3</v>
      </c>
      <c r="B2066" s="538" t="s">
        <v>6603</v>
      </c>
      <c r="C2066" s="538" t="s">
        <v>740</v>
      </c>
      <c r="D2066" s="538" t="s">
        <v>393</v>
      </c>
      <c r="E2066" s="538" t="s">
        <v>211</v>
      </c>
      <c r="F2066" s="538">
        <v>14361843</v>
      </c>
      <c r="G2066" s="538">
        <v>391</v>
      </c>
    </row>
    <row r="2067" spans="1:7" x14ac:dyDescent="0.2">
      <c r="A2067" s="538">
        <v>4</v>
      </c>
      <c r="B2067" s="538" t="s">
        <v>6574</v>
      </c>
      <c r="C2067" s="538" t="s">
        <v>740</v>
      </c>
      <c r="D2067" s="538" t="s">
        <v>393</v>
      </c>
      <c r="E2067" s="538" t="s">
        <v>416</v>
      </c>
      <c r="F2067" s="538">
        <v>152669494</v>
      </c>
      <c r="G2067" s="538">
        <v>3983</v>
      </c>
    </row>
    <row r="2068" spans="1:7" x14ac:dyDescent="0.2">
      <c r="A2068" s="538">
        <v>3</v>
      </c>
      <c r="B2068" s="538" t="s">
        <v>6586</v>
      </c>
      <c r="C2068" s="538" t="s">
        <v>393</v>
      </c>
      <c r="D2068" s="538" t="s">
        <v>740</v>
      </c>
      <c r="E2068" s="538" t="s">
        <v>211</v>
      </c>
      <c r="F2068" s="538">
        <v>61596</v>
      </c>
      <c r="G2068" s="538">
        <v>2</v>
      </c>
    </row>
    <row r="2069" spans="1:7" x14ac:dyDescent="0.2">
      <c r="A2069" s="538">
        <v>10</v>
      </c>
      <c r="B2069" s="538" t="s">
        <v>6597</v>
      </c>
      <c r="C2069" s="538" t="s">
        <v>740</v>
      </c>
      <c r="D2069" s="538" t="s">
        <v>393</v>
      </c>
      <c r="E2069" s="538" t="s">
        <v>401</v>
      </c>
      <c r="F2069" s="538">
        <v>667415</v>
      </c>
      <c r="G2069" s="538">
        <v>5</v>
      </c>
    </row>
    <row r="2070" spans="1:7" x14ac:dyDescent="0.2">
      <c r="A2070" s="538">
        <v>5</v>
      </c>
      <c r="B2070" s="538" t="s">
        <v>6568</v>
      </c>
      <c r="C2070" s="538" t="s">
        <v>393</v>
      </c>
      <c r="D2070" s="538" t="s">
        <v>740</v>
      </c>
      <c r="E2070" s="538" t="s">
        <v>202</v>
      </c>
      <c r="F2070" s="538">
        <v>1794853</v>
      </c>
      <c r="G2070" s="538">
        <v>16</v>
      </c>
    </row>
    <row r="2071" spans="1:7" x14ac:dyDescent="0.2">
      <c r="A2071" s="538">
        <v>6</v>
      </c>
      <c r="B2071" s="538" t="s">
        <v>6433</v>
      </c>
      <c r="C2071" s="538" t="s">
        <v>740</v>
      </c>
      <c r="D2071" s="538" t="s">
        <v>393</v>
      </c>
      <c r="E2071" s="538" t="s">
        <v>860</v>
      </c>
      <c r="F2071" s="538">
        <v>451527</v>
      </c>
      <c r="G2071" s="538">
        <v>24</v>
      </c>
    </row>
    <row r="2072" spans="1:7" x14ac:dyDescent="0.2">
      <c r="A2072" s="538">
        <v>7</v>
      </c>
      <c r="B2072" s="538" t="s">
        <v>6571</v>
      </c>
      <c r="C2072" s="538" t="s">
        <v>740</v>
      </c>
      <c r="D2072" s="538" t="s">
        <v>393</v>
      </c>
      <c r="E2072" s="538" t="s">
        <v>416</v>
      </c>
      <c r="F2072" s="538">
        <v>580914</v>
      </c>
      <c r="G2072" s="538">
        <v>23</v>
      </c>
    </row>
    <row r="2073" spans="1:7" x14ac:dyDescent="0.2">
      <c r="A2073" s="538">
        <v>4</v>
      </c>
      <c r="B2073" s="538" t="s">
        <v>6590</v>
      </c>
      <c r="C2073" s="538" t="s">
        <v>740</v>
      </c>
      <c r="D2073" s="538" t="s">
        <v>393</v>
      </c>
      <c r="E2073" s="538" t="s">
        <v>210</v>
      </c>
      <c r="F2073" s="538">
        <v>1225621</v>
      </c>
      <c r="G2073" s="538">
        <v>17</v>
      </c>
    </row>
    <row r="2074" spans="1:7" x14ac:dyDescent="0.2">
      <c r="A2074" s="538">
        <v>8</v>
      </c>
      <c r="B2074" s="538" t="s">
        <v>6577</v>
      </c>
      <c r="C2074" s="538" t="s">
        <v>740</v>
      </c>
      <c r="D2074" s="538" t="s">
        <v>393</v>
      </c>
      <c r="E2074" s="538" t="s">
        <v>419</v>
      </c>
      <c r="F2074" s="538">
        <v>852786</v>
      </c>
      <c r="G2074" s="538">
        <v>47</v>
      </c>
    </row>
    <row r="2075" spans="1:7" x14ac:dyDescent="0.2">
      <c r="A2075" s="538">
        <v>6</v>
      </c>
      <c r="B2075" s="538" t="s">
        <v>6565</v>
      </c>
      <c r="C2075" s="538" t="s">
        <v>393</v>
      </c>
      <c r="D2075" s="538" t="s">
        <v>393</v>
      </c>
      <c r="E2075" s="538" t="s">
        <v>313</v>
      </c>
      <c r="F2075" s="538">
        <v>604580</v>
      </c>
      <c r="G2075" s="538">
        <v>5</v>
      </c>
    </row>
    <row r="2076" spans="1:7" x14ac:dyDescent="0.2">
      <c r="A2076" s="538">
        <v>9</v>
      </c>
      <c r="B2076" s="538" t="s">
        <v>6614</v>
      </c>
      <c r="C2076" s="538" t="s">
        <v>393</v>
      </c>
      <c r="D2076" s="538" t="s">
        <v>393</v>
      </c>
      <c r="E2076" s="538" t="s">
        <v>210</v>
      </c>
      <c r="F2076" s="538">
        <v>983183</v>
      </c>
      <c r="G2076" s="538">
        <v>26</v>
      </c>
    </row>
    <row r="2077" spans="1:7" x14ac:dyDescent="0.2">
      <c r="A2077" s="538">
        <v>4</v>
      </c>
      <c r="B2077" s="538" t="s">
        <v>6574</v>
      </c>
      <c r="C2077" s="538" t="s">
        <v>740</v>
      </c>
      <c r="D2077" s="538" t="s">
        <v>393</v>
      </c>
      <c r="E2077" s="538" t="s">
        <v>202</v>
      </c>
      <c r="F2077" s="538">
        <v>1041947</v>
      </c>
      <c r="G2077" s="538">
        <v>9</v>
      </c>
    </row>
    <row r="2078" spans="1:7" x14ac:dyDescent="0.2">
      <c r="A2078" s="538">
        <v>2</v>
      </c>
      <c r="B2078" s="538" t="s">
        <v>6585</v>
      </c>
      <c r="C2078" s="538" t="s">
        <v>393</v>
      </c>
      <c r="D2078" s="538" t="s">
        <v>740</v>
      </c>
      <c r="E2078" s="538" t="s">
        <v>860</v>
      </c>
      <c r="F2078" s="538">
        <v>22656</v>
      </c>
      <c r="G2078" s="538">
        <v>2</v>
      </c>
    </row>
    <row r="2079" spans="1:7" x14ac:dyDescent="0.2">
      <c r="A2079" s="538">
        <v>3</v>
      </c>
      <c r="B2079" s="538" t="s">
        <v>1390</v>
      </c>
      <c r="C2079" s="538" t="s">
        <v>740</v>
      </c>
      <c r="D2079" s="538" t="s">
        <v>393</v>
      </c>
      <c r="E2079" s="538" t="s">
        <v>390</v>
      </c>
      <c r="F2079" s="538">
        <v>232578</v>
      </c>
      <c r="G2079" s="538">
        <v>6</v>
      </c>
    </row>
    <row r="2080" spans="1:7" x14ac:dyDescent="0.2">
      <c r="A2080" s="538">
        <v>6</v>
      </c>
      <c r="B2080" s="538" t="s">
        <v>6575</v>
      </c>
      <c r="C2080" s="538" t="s">
        <v>393</v>
      </c>
      <c r="D2080" s="538" t="s">
        <v>740</v>
      </c>
      <c r="E2080" s="538" t="s">
        <v>449</v>
      </c>
      <c r="F2080" s="538">
        <v>266739</v>
      </c>
      <c r="G2080" s="538">
        <v>18</v>
      </c>
    </row>
    <row r="2081" spans="1:7" x14ac:dyDescent="0.2">
      <c r="A2081" s="538">
        <v>5</v>
      </c>
      <c r="B2081" s="538" t="s">
        <v>6568</v>
      </c>
      <c r="C2081" s="538" t="s">
        <v>393</v>
      </c>
      <c r="D2081" s="538" t="s">
        <v>393</v>
      </c>
      <c r="E2081" s="538" t="s">
        <v>416</v>
      </c>
      <c r="F2081" s="538">
        <v>104410860</v>
      </c>
      <c r="G2081" s="538">
        <v>1680</v>
      </c>
    </row>
    <row r="2082" spans="1:7" x14ac:dyDescent="0.2">
      <c r="A2082" s="538">
        <v>2</v>
      </c>
      <c r="B2082" s="538" t="s">
        <v>6662</v>
      </c>
      <c r="C2082" s="538" t="s">
        <v>393</v>
      </c>
      <c r="D2082" s="538" t="s">
        <v>740</v>
      </c>
      <c r="E2082" s="538" t="s">
        <v>211</v>
      </c>
      <c r="F2082" s="538">
        <v>1026850</v>
      </c>
      <c r="G2082" s="538">
        <v>5</v>
      </c>
    </row>
    <row r="2083" spans="1:7" x14ac:dyDescent="0.2">
      <c r="A2083" s="538">
        <v>6</v>
      </c>
      <c r="B2083" s="538" t="s">
        <v>6607</v>
      </c>
      <c r="C2083" s="538" t="s">
        <v>740</v>
      </c>
      <c r="D2083" s="538" t="s">
        <v>393</v>
      </c>
      <c r="E2083" s="538" t="s">
        <v>409</v>
      </c>
      <c r="F2083" s="538">
        <v>5182248</v>
      </c>
      <c r="G2083" s="538">
        <v>121</v>
      </c>
    </row>
    <row r="2084" spans="1:7" x14ac:dyDescent="0.2">
      <c r="A2084" s="538">
        <v>3</v>
      </c>
      <c r="B2084" s="538" t="s">
        <v>1390</v>
      </c>
      <c r="C2084" s="538" t="s">
        <v>393</v>
      </c>
      <c r="D2084" s="538" t="s">
        <v>740</v>
      </c>
      <c r="E2084" s="538" t="s">
        <v>438</v>
      </c>
      <c r="F2084" s="538">
        <v>604580</v>
      </c>
      <c r="G2084" s="538">
        <v>5</v>
      </c>
    </row>
    <row r="2085" spans="1:7" x14ac:dyDescent="0.2">
      <c r="A2085" s="538">
        <v>10</v>
      </c>
      <c r="B2085" s="538" t="s">
        <v>6652</v>
      </c>
      <c r="C2085" s="538" t="s">
        <v>740</v>
      </c>
      <c r="D2085" s="538" t="s">
        <v>393</v>
      </c>
      <c r="E2085" s="538" t="s">
        <v>449</v>
      </c>
      <c r="F2085" s="538">
        <v>22656</v>
      </c>
      <c r="G2085" s="538">
        <v>2</v>
      </c>
    </row>
    <row r="2086" spans="1:7" x14ac:dyDescent="0.2">
      <c r="A2086" s="538">
        <v>7</v>
      </c>
      <c r="B2086" s="538" t="s">
        <v>6564</v>
      </c>
      <c r="C2086" s="538" t="s">
        <v>740</v>
      </c>
      <c r="D2086" s="538" t="s">
        <v>393</v>
      </c>
      <c r="E2086" s="538" t="s">
        <v>202</v>
      </c>
      <c r="F2086" s="538">
        <v>1202788</v>
      </c>
      <c r="G2086" s="538">
        <v>6</v>
      </c>
    </row>
    <row r="2087" spans="1:7" x14ac:dyDescent="0.2">
      <c r="A2087" s="538">
        <v>12</v>
      </c>
      <c r="B2087" s="538" t="s">
        <v>6563</v>
      </c>
      <c r="C2087" s="538" t="s">
        <v>393</v>
      </c>
      <c r="D2087" s="538" t="s">
        <v>393</v>
      </c>
      <c r="E2087" s="538" t="s">
        <v>390</v>
      </c>
      <c r="F2087" s="538">
        <v>1787773</v>
      </c>
      <c r="G2087" s="538">
        <v>46</v>
      </c>
    </row>
    <row r="2088" spans="1:7" x14ac:dyDescent="0.2">
      <c r="A2088" s="538">
        <v>11</v>
      </c>
      <c r="B2088" s="538" t="s">
        <v>6584</v>
      </c>
      <c r="C2088" s="538" t="s">
        <v>740</v>
      </c>
      <c r="D2088" s="538" t="s">
        <v>393</v>
      </c>
      <c r="E2088" s="538" t="s">
        <v>401</v>
      </c>
      <c r="F2088" s="538">
        <v>45312</v>
      </c>
      <c r="G2088" s="538">
        <v>4</v>
      </c>
    </row>
    <row r="2089" spans="1:7" x14ac:dyDescent="0.2">
      <c r="A2089" s="538">
        <v>7</v>
      </c>
      <c r="B2089" s="538" t="s">
        <v>6661</v>
      </c>
      <c r="C2089" s="538" t="s">
        <v>740</v>
      </c>
      <c r="D2089" s="538" t="s">
        <v>393</v>
      </c>
      <c r="E2089" s="538" t="s">
        <v>409</v>
      </c>
      <c r="F2089" s="538">
        <v>341964</v>
      </c>
      <c r="G2089" s="538">
        <v>8</v>
      </c>
    </row>
    <row r="2090" spans="1:7" x14ac:dyDescent="0.2">
      <c r="A2090" s="538">
        <v>8</v>
      </c>
      <c r="B2090" s="538" t="s">
        <v>6583</v>
      </c>
      <c r="C2090" s="538" t="s">
        <v>393</v>
      </c>
      <c r="D2090" s="538" t="s">
        <v>393</v>
      </c>
      <c r="E2090" s="538" t="s">
        <v>230</v>
      </c>
      <c r="F2090" s="538">
        <v>16552614</v>
      </c>
      <c r="G2090" s="538">
        <v>398</v>
      </c>
    </row>
    <row r="2091" spans="1:7" x14ac:dyDescent="0.2">
      <c r="A2091" s="538">
        <v>11</v>
      </c>
      <c r="B2091" s="538" t="s">
        <v>6584</v>
      </c>
      <c r="C2091" s="538" t="s">
        <v>740</v>
      </c>
      <c r="D2091" s="538" t="s">
        <v>393</v>
      </c>
      <c r="E2091" s="538" t="s">
        <v>211</v>
      </c>
      <c r="F2091" s="538">
        <v>6554456</v>
      </c>
      <c r="G2091" s="538">
        <v>202</v>
      </c>
    </row>
    <row r="2092" spans="1:7" x14ac:dyDescent="0.2">
      <c r="A2092" s="538">
        <v>12</v>
      </c>
      <c r="B2092" s="538" t="s">
        <v>6569</v>
      </c>
      <c r="C2092" s="538" t="s">
        <v>393</v>
      </c>
      <c r="D2092" s="538" t="s">
        <v>393</v>
      </c>
      <c r="E2092" s="538" t="s">
        <v>202</v>
      </c>
      <c r="F2092" s="538">
        <v>1305979</v>
      </c>
      <c r="G2092" s="538">
        <v>13</v>
      </c>
    </row>
    <row r="2093" spans="1:7" x14ac:dyDescent="0.2">
      <c r="A2093" s="538">
        <v>10</v>
      </c>
      <c r="B2093" s="538" t="s">
        <v>6587</v>
      </c>
      <c r="C2093" s="538" t="s">
        <v>740</v>
      </c>
      <c r="D2093" s="538" t="s">
        <v>393</v>
      </c>
      <c r="E2093" s="538" t="s">
        <v>202</v>
      </c>
      <c r="F2093" s="538">
        <v>2440799</v>
      </c>
      <c r="G2093" s="538">
        <v>13</v>
      </c>
    </row>
    <row r="2094" spans="1:7" x14ac:dyDescent="0.2">
      <c r="A2094" s="538">
        <v>6</v>
      </c>
      <c r="B2094" s="538" t="s">
        <v>6565</v>
      </c>
      <c r="C2094" s="538" t="s">
        <v>393</v>
      </c>
      <c r="D2094" s="538" t="s">
        <v>393</v>
      </c>
      <c r="E2094" s="538" t="s">
        <v>207</v>
      </c>
      <c r="F2094" s="538">
        <v>12384888</v>
      </c>
      <c r="G2094" s="538">
        <v>731</v>
      </c>
    </row>
    <row r="2095" spans="1:7" x14ac:dyDescent="0.2">
      <c r="A2095" s="538">
        <v>8</v>
      </c>
      <c r="B2095" s="538" t="s">
        <v>6570</v>
      </c>
      <c r="C2095" s="538" t="s">
        <v>740</v>
      </c>
      <c r="D2095" s="538" t="s">
        <v>393</v>
      </c>
      <c r="E2095" s="538" t="s">
        <v>402</v>
      </c>
      <c r="F2095" s="538">
        <v>803580</v>
      </c>
      <c r="G2095" s="538">
        <v>35</v>
      </c>
    </row>
    <row r="2096" spans="1:7" x14ac:dyDescent="0.2">
      <c r="A2096" s="538">
        <v>4</v>
      </c>
      <c r="B2096" s="538" t="s">
        <v>6593</v>
      </c>
      <c r="C2096" s="538" t="s">
        <v>740</v>
      </c>
      <c r="D2096" s="538" t="s">
        <v>393</v>
      </c>
      <c r="E2096" s="538" t="s">
        <v>390</v>
      </c>
      <c r="F2096" s="538">
        <v>140892</v>
      </c>
      <c r="G2096" s="538">
        <v>9</v>
      </c>
    </row>
    <row r="2097" spans="1:7" x14ac:dyDescent="0.2">
      <c r="A2097" s="538">
        <v>5</v>
      </c>
      <c r="B2097" s="538" t="s">
        <v>6598</v>
      </c>
      <c r="C2097" s="538" t="s">
        <v>740</v>
      </c>
      <c r="D2097" s="538" t="s">
        <v>393</v>
      </c>
      <c r="E2097" s="538" t="s">
        <v>211</v>
      </c>
      <c r="F2097" s="538">
        <v>564401</v>
      </c>
      <c r="G2097" s="538">
        <v>7</v>
      </c>
    </row>
    <row r="2098" spans="1:7" x14ac:dyDescent="0.2">
      <c r="A2098" s="538">
        <v>1</v>
      </c>
      <c r="B2098" s="538" t="s">
        <v>6581</v>
      </c>
      <c r="C2098" s="538" t="s">
        <v>740</v>
      </c>
      <c r="D2098" s="538" t="s">
        <v>393</v>
      </c>
      <c r="E2098" s="538" t="s">
        <v>211</v>
      </c>
      <c r="F2098" s="538">
        <v>80438548</v>
      </c>
      <c r="G2098" s="538">
        <v>1966</v>
      </c>
    </row>
    <row r="2099" spans="1:7" x14ac:dyDescent="0.2">
      <c r="A2099" s="538">
        <v>3</v>
      </c>
      <c r="B2099" s="538" t="s">
        <v>6591</v>
      </c>
      <c r="C2099" s="538" t="s">
        <v>740</v>
      </c>
      <c r="D2099" s="538" t="s">
        <v>393</v>
      </c>
      <c r="E2099" s="538" t="s">
        <v>211</v>
      </c>
      <c r="F2099" s="538">
        <v>61596</v>
      </c>
      <c r="G2099" s="538">
        <v>2</v>
      </c>
    </row>
    <row r="2100" spans="1:7" x14ac:dyDescent="0.2">
      <c r="A2100" s="538">
        <v>11</v>
      </c>
      <c r="B2100" s="538" t="s">
        <v>6612</v>
      </c>
      <c r="C2100" s="538" t="s">
        <v>740</v>
      </c>
      <c r="D2100" s="538" t="s">
        <v>393</v>
      </c>
      <c r="E2100" s="538" t="s">
        <v>390</v>
      </c>
      <c r="F2100" s="538">
        <v>276651</v>
      </c>
      <c r="G2100" s="538">
        <v>12</v>
      </c>
    </row>
    <row r="2101" spans="1:7" x14ac:dyDescent="0.2">
      <c r="A2101" s="538">
        <v>3</v>
      </c>
      <c r="B2101" s="538" t="s">
        <v>6578</v>
      </c>
      <c r="C2101" s="538" t="s">
        <v>740</v>
      </c>
      <c r="D2101" s="538" t="s">
        <v>393</v>
      </c>
      <c r="E2101" s="538" t="s">
        <v>211</v>
      </c>
      <c r="F2101" s="538">
        <v>5421125</v>
      </c>
      <c r="G2101" s="538">
        <v>135</v>
      </c>
    </row>
    <row r="2102" spans="1:7" x14ac:dyDescent="0.2">
      <c r="A2102" s="538">
        <v>9</v>
      </c>
      <c r="B2102" s="538" t="s">
        <v>6606</v>
      </c>
      <c r="C2102" s="538" t="s">
        <v>740</v>
      </c>
      <c r="D2102" s="538" t="s">
        <v>740</v>
      </c>
      <c r="E2102" s="538" t="s">
        <v>416</v>
      </c>
      <c r="F2102" s="538">
        <v>5633473</v>
      </c>
      <c r="G2102" s="538">
        <v>131</v>
      </c>
    </row>
    <row r="2103" spans="1:7" x14ac:dyDescent="0.2">
      <c r="A2103" s="538">
        <v>3</v>
      </c>
      <c r="B2103" s="538" t="s">
        <v>6578</v>
      </c>
      <c r="C2103" s="538" t="s">
        <v>740</v>
      </c>
      <c r="D2103" s="538" t="s">
        <v>393</v>
      </c>
      <c r="E2103" s="538" t="s">
        <v>860</v>
      </c>
      <c r="F2103" s="538">
        <v>11328</v>
      </c>
      <c r="G2103" s="538">
        <v>1</v>
      </c>
    </row>
    <row r="2104" spans="1:7" x14ac:dyDescent="0.2">
      <c r="A2104" s="538">
        <v>10</v>
      </c>
      <c r="B2104" s="538" t="s">
        <v>6597</v>
      </c>
      <c r="C2104" s="538" t="s">
        <v>740</v>
      </c>
      <c r="D2104" s="538" t="s">
        <v>393</v>
      </c>
      <c r="E2104" s="538" t="s">
        <v>402</v>
      </c>
      <c r="F2104" s="538">
        <v>11328</v>
      </c>
      <c r="G2104" s="538">
        <v>1</v>
      </c>
    </row>
    <row r="2105" spans="1:7" x14ac:dyDescent="0.2">
      <c r="A2105" s="538">
        <v>6</v>
      </c>
      <c r="B2105" s="538" t="s">
        <v>6429</v>
      </c>
      <c r="C2105" s="538" t="s">
        <v>740</v>
      </c>
      <c r="D2105" s="538" t="s">
        <v>740</v>
      </c>
      <c r="E2105" s="538" t="s">
        <v>402</v>
      </c>
      <c r="F2105" s="538">
        <v>789774</v>
      </c>
      <c r="G2105" s="538">
        <v>33</v>
      </c>
    </row>
    <row r="2106" spans="1:7" x14ac:dyDescent="0.2">
      <c r="A2106" s="538">
        <v>3</v>
      </c>
      <c r="B2106" s="538" t="s">
        <v>6591</v>
      </c>
      <c r="C2106" s="538" t="s">
        <v>740</v>
      </c>
      <c r="D2106" s="538" t="s">
        <v>740</v>
      </c>
      <c r="E2106" s="538" t="s">
        <v>860</v>
      </c>
      <c r="F2106" s="538">
        <v>11328</v>
      </c>
      <c r="G2106" s="538">
        <v>1</v>
      </c>
    </row>
    <row r="2107" spans="1:7" x14ac:dyDescent="0.2">
      <c r="A2107" s="538">
        <v>1</v>
      </c>
      <c r="B2107" s="538" t="s">
        <v>6646</v>
      </c>
      <c r="C2107" s="538" t="s">
        <v>740</v>
      </c>
      <c r="D2107" s="538" t="s">
        <v>393</v>
      </c>
      <c r="E2107" s="538" t="s">
        <v>416</v>
      </c>
      <c r="F2107" s="538">
        <v>4115042</v>
      </c>
      <c r="G2107" s="538">
        <v>104</v>
      </c>
    </row>
    <row r="2108" spans="1:7" x14ac:dyDescent="0.2">
      <c r="A2108" s="538">
        <v>8</v>
      </c>
      <c r="B2108" s="538" t="s">
        <v>6570</v>
      </c>
      <c r="C2108" s="538" t="s">
        <v>393</v>
      </c>
      <c r="D2108" s="538" t="s">
        <v>393</v>
      </c>
      <c r="E2108" s="538" t="s">
        <v>211</v>
      </c>
      <c r="F2108" s="538">
        <v>24599982</v>
      </c>
      <c r="G2108" s="538">
        <v>384</v>
      </c>
    </row>
    <row r="2109" spans="1:7" x14ac:dyDescent="0.2">
      <c r="A2109" s="538">
        <v>12</v>
      </c>
      <c r="B2109" s="538" t="s">
        <v>6569</v>
      </c>
      <c r="C2109" s="538" t="s">
        <v>740</v>
      </c>
      <c r="D2109" s="538" t="s">
        <v>393</v>
      </c>
      <c r="E2109" s="538" t="s">
        <v>401</v>
      </c>
      <c r="F2109" s="538">
        <v>11328</v>
      </c>
      <c r="G2109" s="538">
        <v>1</v>
      </c>
    </row>
    <row r="2110" spans="1:7" x14ac:dyDescent="0.2">
      <c r="A2110" s="538">
        <v>12</v>
      </c>
      <c r="B2110" s="538" t="s">
        <v>6569</v>
      </c>
      <c r="C2110" s="538" t="s">
        <v>393</v>
      </c>
      <c r="D2110" s="538" t="s">
        <v>393</v>
      </c>
      <c r="E2110" s="538" t="s">
        <v>209</v>
      </c>
      <c r="F2110" s="538">
        <v>620864</v>
      </c>
      <c r="G2110" s="538">
        <v>3</v>
      </c>
    </row>
    <row r="2111" spans="1:7" x14ac:dyDescent="0.2">
      <c r="A2111" s="538">
        <v>1</v>
      </c>
      <c r="B2111" s="538" t="s">
        <v>6581</v>
      </c>
      <c r="C2111" s="538" t="s">
        <v>393</v>
      </c>
      <c r="D2111" s="538" t="s">
        <v>393</v>
      </c>
      <c r="E2111" s="538" t="s">
        <v>230</v>
      </c>
      <c r="F2111" s="538">
        <v>6394823</v>
      </c>
      <c r="G2111" s="538">
        <v>116</v>
      </c>
    </row>
    <row r="2112" spans="1:7" x14ac:dyDescent="0.2">
      <c r="A2112" s="538">
        <v>7</v>
      </c>
      <c r="B2112" s="538" t="s">
        <v>6579</v>
      </c>
      <c r="C2112" s="538" t="s">
        <v>740</v>
      </c>
      <c r="D2112" s="538" t="s">
        <v>740</v>
      </c>
      <c r="E2112" s="538" t="s">
        <v>230</v>
      </c>
      <c r="F2112" s="538">
        <v>243906</v>
      </c>
      <c r="G2112" s="538">
        <v>7</v>
      </c>
    </row>
    <row r="2113" spans="1:7" x14ac:dyDescent="0.2">
      <c r="A2113" s="538">
        <v>3</v>
      </c>
      <c r="B2113" s="538" t="s">
        <v>6647</v>
      </c>
      <c r="C2113" s="538" t="s">
        <v>740</v>
      </c>
      <c r="D2113" s="538" t="s">
        <v>393</v>
      </c>
      <c r="E2113" s="538" t="s">
        <v>212</v>
      </c>
      <c r="F2113" s="538">
        <v>1087488</v>
      </c>
      <c r="G2113" s="538">
        <v>96</v>
      </c>
    </row>
    <row r="2114" spans="1:7" x14ac:dyDescent="0.2">
      <c r="A2114" s="538">
        <v>8</v>
      </c>
      <c r="B2114" s="538" t="s">
        <v>6567</v>
      </c>
      <c r="C2114" s="538" t="s">
        <v>393</v>
      </c>
      <c r="D2114" s="538" t="s">
        <v>740</v>
      </c>
      <c r="E2114" s="538" t="s">
        <v>207</v>
      </c>
      <c r="F2114" s="538">
        <v>1577601</v>
      </c>
      <c r="G2114" s="538">
        <v>102</v>
      </c>
    </row>
    <row r="2115" spans="1:7" x14ac:dyDescent="0.2">
      <c r="A2115" s="538">
        <v>7</v>
      </c>
      <c r="B2115" s="538" t="s">
        <v>6564</v>
      </c>
      <c r="C2115" s="538" t="s">
        <v>740</v>
      </c>
      <c r="D2115" s="538" t="s">
        <v>393</v>
      </c>
      <c r="E2115" s="538" t="s">
        <v>401</v>
      </c>
      <c r="F2115" s="538">
        <v>237711</v>
      </c>
      <c r="G2115" s="538">
        <v>12</v>
      </c>
    </row>
    <row r="2116" spans="1:7" x14ac:dyDescent="0.2">
      <c r="A2116" s="538">
        <v>12</v>
      </c>
      <c r="B2116" s="538" t="s">
        <v>6563</v>
      </c>
      <c r="C2116" s="538" t="s">
        <v>740</v>
      </c>
      <c r="D2116" s="538" t="s">
        <v>393</v>
      </c>
      <c r="E2116" s="538" t="s">
        <v>207</v>
      </c>
      <c r="F2116" s="538">
        <v>18457998</v>
      </c>
      <c r="G2116" s="538">
        <v>781</v>
      </c>
    </row>
    <row r="2117" spans="1:7" x14ac:dyDescent="0.2">
      <c r="A2117" s="538">
        <v>4</v>
      </c>
      <c r="B2117" s="538" t="s">
        <v>6590</v>
      </c>
      <c r="C2117" s="538" t="s">
        <v>740</v>
      </c>
      <c r="D2117" s="538" t="s">
        <v>393</v>
      </c>
      <c r="E2117" s="538" t="s">
        <v>207</v>
      </c>
      <c r="F2117" s="538">
        <v>1352051</v>
      </c>
      <c r="G2117" s="538">
        <v>62</v>
      </c>
    </row>
    <row r="2118" spans="1:7" x14ac:dyDescent="0.2">
      <c r="A2118" s="538">
        <v>8</v>
      </c>
      <c r="B2118" s="538" t="s">
        <v>6648</v>
      </c>
      <c r="C2118" s="538" t="s">
        <v>393</v>
      </c>
      <c r="D2118" s="538" t="s">
        <v>740</v>
      </c>
      <c r="E2118" s="538" t="s">
        <v>409</v>
      </c>
      <c r="F2118" s="538">
        <v>539673</v>
      </c>
      <c r="G2118" s="538">
        <v>31</v>
      </c>
    </row>
    <row r="2119" spans="1:7" x14ac:dyDescent="0.2">
      <c r="A2119" s="538">
        <v>2</v>
      </c>
      <c r="B2119" s="538" t="s">
        <v>6576</v>
      </c>
      <c r="C2119" s="538" t="s">
        <v>393</v>
      </c>
      <c r="D2119" s="538" t="s">
        <v>393</v>
      </c>
      <c r="E2119" s="538" t="s">
        <v>211</v>
      </c>
      <c r="F2119" s="538">
        <v>16540495</v>
      </c>
      <c r="G2119" s="538">
        <v>200</v>
      </c>
    </row>
    <row r="2120" spans="1:7" x14ac:dyDescent="0.2">
      <c r="A2120" s="538">
        <v>8</v>
      </c>
      <c r="B2120" s="538" t="s">
        <v>6560</v>
      </c>
      <c r="C2120" s="538" t="s">
        <v>740</v>
      </c>
      <c r="D2120" s="538" t="s">
        <v>740</v>
      </c>
      <c r="E2120" s="538" t="s">
        <v>416</v>
      </c>
      <c r="F2120" s="538">
        <v>21034025</v>
      </c>
      <c r="G2120" s="538">
        <v>505</v>
      </c>
    </row>
    <row r="2121" spans="1:7" x14ac:dyDescent="0.2">
      <c r="A2121" s="538">
        <v>12</v>
      </c>
      <c r="B2121" s="538" t="s">
        <v>6569</v>
      </c>
      <c r="C2121" s="538" t="s">
        <v>740</v>
      </c>
      <c r="D2121" s="538" t="s">
        <v>740</v>
      </c>
      <c r="E2121" s="538" t="s">
        <v>860</v>
      </c>
      <c r="F2121" s="538">
        <v>1398248</v>
      </c>
      <c r="G2121" s="538">
        <v>46</v>
      </c>
    </row>
    <row r="2122" spans="1:7" x14ac:dyDescent="0.2">
      <c r="A2122" s="538">
        <v>1</v>
      </c>
      <c r="B2122" s="538" t="s">
        <v>6649</v>
      </c>
      <c r="C2122" s="538" t="s">
        <v>393</v>
      </c>
      <c r="D2122" s="538" t="s">
        <v>393</v>
      </c>
      <c r="E2122" s="538" t="s">
        <v>210</v>
      </c>
      <c r="F2122" s="538">
        <v>701805</v>
      </c>
      <c r="G2122" s="538">
        <v>35</v>
      </c>
    </row>
    <row r="2123" spans="1:7" x14ac:dyDescent="0.2">
      <c r="A2123" s="538">
        <v>3</v>
      </c>
      <c r="B2123" s="538" t="s">
        <v>6605</v>
      </c>
      <c r="C2123" s="538" t="s">
        <v>740</v>
      </c>
      <c r="D2123" s="538" t="s">
        <v>393</v>
      </c>
      <c r="E2123" s="538" t="s">
        <v>210</v>
      </c>
      <c r="F2123" s="538">
        <v>1449099</v>
      </c>
      <c r="G2123" s="538">
        <v>83</v>
      </c>
    </row>
    <row r="2124" spans="1:7" x14ac:dyDescent="0.2">
      <c r="A2124" s="538">
        <v>10</v>
      </c>
      <c r="B2124" s="538" t="s">
        <v>6597</v>
      </c>
      <c r="C2124" s="538" t="s">
        <v>740</v>
      </c>
      <c r="D2124" s="538" t="s">
        <v>393</v>
      </c>
      <c r="E2124" s="538" t="s">
        <v>212</v>
      </c>
      <c r="F2124" s="538">
        <v>1616895</v>
      </c>
      <c r="G2124" s="538">
        <v>120</v>
      </c>
    </row>
    <row r="2125" spans="1:7" x14ac:dyDescent="0.2">
      <c r="A2125" s="538">
        <v>4</v>
      </c>
      <c r="B2125" s="538" t="s">
        <v>6572</v>
      </c>
      <c r="C2125" s="538" t="s">
        <v>740</v>
      </c>
      <c r="D2125" s="538" t="s">
        <v>740</v>
      </c>
      <c r="E2125" s="538" t="s">
        <v>212</v>
      </c>
      <c r="F2125" s="538">
        <v>181248</v>
      </c>
      <c r="G2125" s="538">
        <v>16</v>
      </c>
    </row>
    <row r="2126" spans="1:7" x14ac:dyDescent="0.2">
      <c r="A2126" s="538">
        <v>7</v>
      </c>
      <c r="B2126" s="538" t="s">
        <v>6594</v>
      </c>
      <c r="C2126" s="538" t="s">
        <v>393</v>
      </c>
      <c r="D2126" s="538" t="s">
        <v>740</v>
      </c>
      <c r="E2126" s="538" t="s">
        <v>202</v>
      </c>
      <c r="F2126" s="538">
        <v>1424038</v>
      </c>
      <c r="G2126" s="538">
        <v>11</v>
      </c>
    </row>
    <row r="2127" spans="1:7" x14ac:dyDescent="0.2">
      <c r="A2127" s="538">
        <v>5</v>
      </c>
      <c r="B2127" s="538" t="s">
        <v>6598</v>
      </c>
      <c r="C2127" s="538" t="s">
        <v>740</v>
      </c>
      <c r="D2127" s="538" t="s">
        <v>393</v>
      </c>
      <c r="E2127" s="538" t="s">
        <v>419</v>
      </c>
      <c r="F2127" s="538">
        <v>22656</v>
      </c>
      <c r="G2127" s="538">
        <v>2</v>
      </c>
    </row>
    <row r="2128" spans="1:7" x14ac:dyDescent="0.2">
      <c r="A2128" s="538">
        <v>8</v>
      </c>
      <c r="B2128" s="538" t="s">
        <v>6648</v>
      </c>
      <c r="C2128" s="538" t="s">
        <v>393</v>
      </c>
      <c r="D2128" s="538" t="s">
        <v>740</v>
      </c>
      <c r="E2128" s="538" t="s">
        <v>449</v>
      </c>
      <c r="F2128" s="538">
        <v>265500</v>
      </c>
      <c r="G2128" s="538">
        <v>20</v>
      </c>
    </row>
    <row r="2129" spans="1:7" x14ac:dyDescent="0.2">
      <c r="A2129" s="538">
        <v>6</v>
      </c>
      <c r="B2129" s="538" t="s">
        <v>6429</v>
      </c>
      <c r="C2129" s="538" t="s">
        <v>740</v>
      </c>
      <c r="D2129" s="538" t="s">
        <v>393</v>
      </c>
      <c r="E2129" s="538" t="s">
        <v>409</v>
      </c>
      <c r="F2129" s="538">
        <v>43394249</v>
      </c>
      <c r="G2129" s="538">
        <v>908</v>
      </c>
    </row>
    <row r="2130" spans="1:7" x14ac:dyDescent="0.2">
      <c r="A2130" s="538">
        <v>6</v>
      </c>
      <c r="B2130" s="538" t="s">
        <v>6607</v>
      </c>
      <c r="C2130" s="538" t="s">
        <v>740</v>
      </c>
      <c r="D2130" s="538" t="s">
        <v>393</v>
      </c>
      <c r="E2130" s="538" t="s">
        <v>449</v>
      </c>
      <c r="F2130" s="538">
        <v>481971</v>
      </c>
      <c r="G2130" s="538">
        <v>37</v>
      </c>
    </row>
    <row r="2131" spans="1:7" x14ac:dyDescent="0.2">
      <c r="A2131" s="538">
        <v>5</v>
      </c>
      <c r="B2131" s="538" t="s">
        <v>6599</v>
      </c>
      <c r="C2131" s="538" t="s">
        <v>740</v>
      </c>
      <c r="D2131" s="538" t="s">
        <v>393</v>
      </c>
      <c r="E2131" s="538" t="s">
        <v>438</v>
      </c>
      <c r="F2131" s="538">
        <v>67968</v>
      </c>
      <c r="G2131" s="538">
        <v>6</v>
      </c>
    </row>
    <row r="2132" spans="1:7" x14ac:dyDescent="0.2">
      <c r="A2132" s="538">
        <v>3</v>
      </c>
      <c r="B2132" s="538" t="s">
        <v>1390</v>
      </c>
      <c r="C2132" s="538" t="s">
        <v>740</v>
      </c>
      <c r="D2132" s="538" t="s">
        <v>393</v>
      </c>
      <c r="E2132" s="538" t="s">
        <v>230</v>
      </c>
      <c r="F2132" s="538">
        <v>1151281</v>
      </c>
      <c r="G2132" s="538">
        <v>7</v>
      </c>
    </row>
    <row r="2133" spans="1:7" x14ac:dyDescent="0.2">
      <c r="A2133" s="538">
        <v>4</v>
      </c>
      <c r="B2133" s="538" t="s">
        <v>6559</v>
      </c>
      <c r="C2133" s="538" t="s">
        <v>393</v>
      </c>
      <c r="D2133" s="538" t="s">
        <v>740</v>
      </c>
      <c r="E2133" s="538" t="s">
        <v>211</v>
      </c>
      <c r="F2133" s="538">
        <v>11328</v>
      </c>
      <c r="G2133" s="538">
        <v>1</v>
      </c>
    </row>
    <row r="2134" spans="1:7" x14ac:dyDescent="0.2">
      <c r="A2134" s="538">
        <v>8</v>
      </c>
      <c r="B2134" s="538" t="s">
        <v>6648</v>
      </c>
      <c r="C2134" s="538" t="s">
        <v>740</v>
      </c>
      <c r="D2134" s="538" t="s">
        <v>740</v>
      </c>
      <c r="E2134" s="538" t="s">
        <v>401</v>
      </c>
      <c r="F2134" s="538">
        <v>11328</v>
      </c>
      <c r="G2134" s="538">
        <v>1</v>
      </c>
    </row>
    <row r="2135" spans="1:7" x14ac:dyDescent="0.2">
      <c r="A2135" s="538">
        <v>1</v>
      </c>
      <c r="B2135" s="538" t="s">
        <v>6581</v>
      </c>
      <c r="C2135" s="538" t="s">
        <v>393</v>
      </c>
      <c r="D2135" s="538" t="s">
        <v>393</v>
      </c>
      <c r="E2135" s="538" t="s">
        <v>390</v>
      </c>
      <c r="F2135" s="538">
        <v>7452481</v>
      </c>
      <c r="G2135" s="538">
        <v>197</v>
      </c>
    </row>
    <row r="2136" spans="1:7" x14ac:dyDescent="0.2">
      <c r="A2136" s="538">
        <v>1</v>
      </c>
      <c r="B2136" s="538" t="s">
        <v>6663</v>
      </c>
      <c r="C2136" s="538" t="s">
        <v>393</v>
      </c>
      <c r="D2136" s="538" t="s">
        <v>393</v>
      </c>
      <c r="E2136" s="538" t="s">
        <v>409</v>
      </c>
      <c r="F2136" s="538">
        <v>1507634</v>
      </c>
      <c r="G2136" s="538">
        <v>48</v>
      </c>
    </row>
    <row r="2137" spans="1:7" x14ac:dyDescent="0.2">
      <c r="A2137" s="538">
        <v>8</v>
      </c>
      <c r="B2137" s="538" t="s">
        <v>6577</v>
      </c>
      <c r="C2137" s="538" t="s">
        <v>740</v>
      </c>
      <c r="D2137" s="538" t="s">
        <v>393</v>
      </c>
      <c r="E2137" s="538" t="s">
        <v>209</v>
      </c>
      <c r="F2137" s="538">
        <v>4388934</v>
      </c>
      <c r="G2137" s="538">
        <v>28</v>
      </c>
    </row>
    <row r="2138" spans="1:7" x14ac:dyDescent="0.2">
      <c r="A2138" s="538">
        <v>9</v>
      </c>
      <c r="B2138" s="538" t="s">
        <v>6615</v>
      </c>
      <c r="C2138" s="538" t="s">
        <v>740</v>
      </c>
      <c r="D2138" s="538" t="s">
        <v>393</v>
      </c>
      <c r="E2138" s="538" t="s">
        <v>860</v>
      </c>
      <c r="F2138" s="538">
        <v>33984</v>
      </c>
      <c r="G2138" s="538">
        <v>3</v>
      </c>
    </row>
    <row r="2139" spans="1:7" x14ac:dyDescent="0.2">
      <c r="A2139" s="538">
        <v>6</v>
      </c>
      <c r="B2139" s="538" t="s">
        <v>6617</v>
      </c>
      <c r="C2139" s="538" t="s">
        <v>393</v>
      </c>
      <c r="D2139" s="538" t="s">
        <v>393</v>
      </c>
      <c r="E2139" s="538" t="s">
        <v>313</v>
      </c>
      <c r="F2139" s="538">
        <v>730250</v>
      </c>
      <c r="G2139" s="538">
        <v>5</v>
      </c>
    </row>
    <row r="2140" spans="1:7" x14ac:dyDescent="0.2">
      <c r="A2140" s="538">
        <v>11</v>
      </c>
      <c r="B2140" s="538" t="s">
        <v>6610</v>
      </c>
      <c r="C2140" s="538" t="s">
        <v>740</v>
      </c>
      <c r="D2140" s="538" t="s">
        <v>740</v>
      </c>
      <c r="E2140" s="538" t="s">
        <v>202</v>
      </c>
      <c r="F2140" s="538">
        <v>2993872</v>
      </c>
      <c r="G2140" s="538">
        <v>19</v>
      </c>
    </row>
    <row r="2141" spans="1:7" x14ac:dyDescent="0.2">
      <c r="A2141" s="538">
        <v>8</v>
      </c>
      <c r="B2141" s="538" t="s">
        <v>6648</v>
      </c>
      <c r="C2141" s="538" t="s">
        <v>393</v>
      </c>
      <c r="D2141" s="538" t="s">
        <v>740</v>
      </c>
      <c r="E2141" s="538" t="s">
        <v>211</v>
      </c>
      <c r="F2141" s="538">
        <v>604580</v>
      </c>
      <c r="G2141" s="538">
        <v>5</v>
      </c>
    </row>
    <row r="2142" spans="1:7" x14ac:dyDescent="0.2">
      <c r="A2142" s="538">
        <v>11</v>
      </c>
      <c r="B2142" s="538" t="s">
        <v>6584</v>
      </c>
      <c r="C2142" s="538" t="s">
        <v>740</v>
      </c>
      <c r="D2142" s="538" t="s">
        <v>740</v>
      </c>
      <c r="E2142" s="538" t="s">
        <v>401</v>
      </c>
      <c r="F2142" s="538">
        <v>33984</v>
      </c>
      <c r="G2142" s="538">
        <v>3</v>
      </c>
    </row>
    <row r="2143" spans="1:7" x14ac:dyDescent="0.2">
      <c r="A2143" s="538">
        <v>10</v>
      </c>
      <c r="B2143" s="538" t="s">
        <v>6652</v>
      </c>
      <c r="C2143" s="538" t="s">
        <v>740</v>
      </c>
      <c r="D2143" s="538" t="s">
        <v>393</v>
      </c>
      <c r="E2143" s="538" t="s">
        <v>409</v>
      </c>
      <c r="F2143" s="538">
        <v>45312</v>
      </c>
      <c r="G2143" s="538">
        <v>4</v>
      </c>
    </row>
    <row r="2144" spans="1:7" x14ac:dyDescent="0.2">
      <c r="A2144" s="538">
        <v>3</v>
      </c>
      <c r="B2144" s="538" t="s">
        <v>6591</v>
      </c>
      <c r="C2144" s="538" t="s">
        <v>740</v>
      </c>
      <c r="D2144" s="538" t="s">
        <v>393</v>
      </c>
      <c r="E2144" s="538" t="s">
        <v>390</v>
      </c>
      <c r="F2144" s="538">
        <v>39162448</v>
      </c>
      <c r="G2144" s="538">
        <v>1436</v>
      </c>
    </row>
    <row r="2145" spans="1:7" x14ac:dyDescent="0.2">
      <c r="A2145" s="538">
        <v>6</v>
      </c>
      <c r="B2145" s="538" t="s">
        <v>1668</v>
      </c>
      <c r="C2145" s="538" t="s">
        <v>393</v>
      </c>
      <c r="D2145" s="538" t="s">
        <v>740</v>
      </c>
      <c r="E2145" s="538" t="s">
        <v>449</v>
      </c>
      <c r="F2145" s="538">
        <v>747294</v>
      </c>
      <c r="G2145" s="538">
        <v>48</v>
      </c>
    </row>
    <row r="2146" spans="1:7" x14ac:dyDescent="0.2">
      <c r="A2146" s="538">
        <v>1</v>
      </c>
      <c r="B2146" s="538" t="s">
        <v>6649</v>
      </c>
      <c r="C2146" s="538" t="s">
        <v>740</v>
      </c>
      <c r="D2146" s="538" t="s">
        <v>393</v>
      </c>
      <c r="E2146" s="538" t="s">
        <v>390</v>
      </c>
      <c r="F2146" s="538">
        <v>496433</v>
      </c>
      <c r="G2146" s="538">
        <v>1</v>
      </c>
    </row>
    <row r="2147" spans="1:7" x14ac:dyDescent="0.2">
      <c r="A2147" s="538">
        <v>12</v>
      </c>
      <c r="B2147" s="538" t="s">
        <v>6569</v>
      </c>
      <c r="C2147" s="538" t="s">
        <v>740</v>
      </c>
      <c r="D2147" s="538" t="s">
        <v>393</v>
      </c>
      <c r="E2147" s="538" t="s">
        <v>860</v>
      </c>
      <c r="F2147" s="538">
        <v>226560</v>
      </c>
      <c r="G2147" s="538">
        <v>20</v>
      </c>
    </row>
    <row r="2148" spans="1:7" x14ac:dyDescent="0.2">
      <c r="A2148" s="538">
        <v>10</v>
      </c>
      <c r="B2148" s="538" t="s">
        <v>6582</v>
      </c>
      <c r="C2148" s="538" t="s">
        <v>740</v>
      </c>
      <c r="D2148" s="538" t="s">
        <v>740</v>
      </c>
      <c r="E2148" s="538" t="s">
        <v>402</v>
      </c>
      <c r="F2148" s="538">
        <v>85491</v>
      </c>
      <c r="G2148" s="538">
        <v>2</v>
      </c>
    </row>
    <row r="2149" spans="1:7" x14ac:dyDescent="0.2">
      <c r="A2149" s="538">
        <v>1</v>
      </c>
      <c r="B2149" s="538" t="s">
        <v>6663</v>
      </c>
      <c r="C2149" s="538" t="s">
        <v>393</v>
      </c>
      <c r="D2149" s="538" t="s">
        <v>740</v>
      </c>
      <c r="E2149" s="538" t="s">
        <v>230</v>
      </c>
      <c r="F2149" s="538">
        <v>11328</v>
      </c>
      <c r="G2149" s="538">
        <v>1</v>
      </c>
    </row>
    <row r="2150" spans="1:7" x14ac:dyDescent="0.2">
      <c r="A2150" s="538">
        <v>7</v>
      </c>
      <c r="B2150" s="538" t="s">
        <v>6579</v>
      </c>
      <c r="C2150" s="538" t="s">
        <v>740</v>
      </c>
      <c r="D2150" s="538" t="s">
        <v>740</v>
      </c>
      <c r="E2150" s="538" t="s">
        <v>212</v>
      </c>
      <c r="F2150" s="538">
        <v>22656</v>
      </c>
      <c r="G2150" s="538">
        <v>2</v>
      </c>
    </row>
    <row r="2151" spans="1:7" x14ac:dyDescent="0.2">
      <c r="A2151" s="538">
        <v>6</v>
      </c>
      <c r="B2151" s="538" t="s">
        <v>1668</v>
      </c>
      <c r="C2151" s="538" t="s">
        <v>740</v>
      </c>
      <c r="D2151" s="538" t="s">
        <v>393</v>
      </c>
      <c r="E2151" s="538" t="s">
        <v>449</v>
      </c>
      <c r="F2151" s="538">
        <v>45312</v>
      </c>
      <c r="G2151" s="538">
        <v>4</v>
      </c>
    </row>
    <row r="2152" spans="1:7" x14ac:dyDescent="0.2">
      <c r="A2152" s="538">
        <v>5</v>
      </c>
      <c r="B2152" s="538" t="s">
        <v>6599</v>
      </c>
      <c r="C2152" s="538" t="s">
        <v>393</v>
      </c>
      <c r="D2152" s="538" t="s">
        <v>393</v>
      </c>
      <c r="E2152" s="538" t="s">
        <v>313</v>
      </c>
      <c r="F2152" s="538">
        <v>644759</v>
      </c>
      <c r="G2152" s="538">
        <v>3</v>
      </c>
    </row>
    <row r="2153" spans="1:7" x14ac:dyDescent="0.2">
      <c r="A2153" s="538">
        <v>7</v>
      </c>
      <c r="B2153" s="538" t="s">
        <v>6580</v>
      </c>
      <c r="C2153" s="538" t="s">
        <v>393</v>
      </c>
      <c r="D2153" s="538" t="s">
        <v>393</v>
      </c>
      <c r="E2153" s="538" t="s">
        <v>230</v>
      </c>
      <c r="F2153" s="538">
        <v>7529362</v>
      </c>
      <c r="G2153" s="538">
        <v>94</v>
      </c>
    </row>
    <row r="2154" spans="1:7" x14ac:dyDescent="0.2">
      <c r="A2154" s="538">
        <v>3</v>
      </c>
      <c r="B2154" s="538" t="s">
        <v>6561</v>
      </c>
      <c r="C2154" s="538" t="s">
        <v>740</v>
      </c>
      <c r="D2154" s="538" t="s">
        <v>393</v>
      </c>
      <c r="E2154" s="538" t="s">
        <v>210</v>
      </c>
      <c r="F2154" s="538">
        <v>541745</v>
      </c>
      <c r="G2154" s="538">
        <v>5</v>
      </c>
    </row>
    <row r="2155" spans="1:7" x14ac:dyDescent="0.2">
      <c r="A2155" s="538">
        <v>8</v>
      </c>
      <c r="B2155" s="538" t="s">
        <v>6658</v>
      </c>
      <c r="C2155" s="538" t="s">
        <v>740</v>
      </c>
      <c r="D2155" s="538" t="s">
        <v>393</v>
      </c>
      <c r="E2155" s="538" t="s">
        <v>416</v>
      </c>
      <c r="F2155" s="538">
        <v>85491</v>
      </c>
      <c r="G2155" s="538">
        <v>2</v>
      </c>
    </row>
    <row r="2156" spans="1:7" x14ac:dyDescent="0.2">
      <c r="A2156" s="538">
        <v>1</v>
      </c>
      <c r="B2156" s="538" t="s">
        <v>6602</v>
      </c>
      <c r="C2156" s="538" t="s">
        <v>740</v>
      </c>
      <c r="D2156" s="538" t="s">
        <v>393</v>
      </c>
      <c r="E2156" s="538" t="s">
        <v>202</v>
      </c>
      <c r="F2156" s="538">
        <v>1069736</v>
      </c>
      <c r="G2156" s="538">
        <v>17</v>
      </c>
    </row>
    <row r="2157" spans="1:7" x14ac:dyDescent="0.2">
      <c r="A2157" s="538">
        <v>3</v>
      </c>
      <c r="B2157" s="538" t="s">
        <v>6561</v>
      </c>
      <c r="C2157" s="538" t="s">
        <v>740</v>
      </c>
      <c r="D2157" s="538" t="s">
        <v>393</v>
      </c>
      <c r="E2157" s="538" t="s">
        <v>416</v>
      </c>
      <c r="F2157" s="538">
        <v>67968</v>
      </c>
      <c r="G2157" s="538">
        <v>6</v>
      </c>
    </row>
    <row r="2158" spans="1:7" x14ac:dyDescent="0.2">
      <c r="A2158" s="538">
        <v>4</v>
      </c>
      <c r="B2158" s="538" t="s">
        <v>6559</v>
      </c>
      <c r="C2158" s="538" t="s">
        <v>740</v>
      </c>
      <c r="D2158" s="538" t="s">
        <v>393</v>
      </c>
      <c r="E2158" s="538" t="s">
        <v>438</v>
      </c>
      <c r="F2158" s="538">
        <v>830963</v>
      </c>
      <c r="G2158" s="538">
        <v>16</v>
      </c>
    </row>
    <row r="2159" spans="1:7" x14ac:dyDescent="0.2">
      <c r="A2159" s="538">
        <v>4</v>
      </c>
      <c r="B2159" s="538" t="s">
        <v>6559</v>
      </c>
      <c r="C2159" s="538" t="s">
        <v>740</v>
      </c>
      <c r="D2159" s="538" t="s">
        <v>393</v>
      </c>
      <c r="E2159" s="538" t="s">
        <v>206</v>
      </c>
      <c r="F2159" s="538">
        <v>74163</v>
      </c>
      <c r="G2159" s="538">
        <v>1</v>
      </c>
    </row>
    <row r="2160" spans="1:7" x14ac:dyDescent="0.2">
      <c r="A2160" s="538">
        <v>4</v>
      </c>
      <c r="B2160" s="538" t="s">
        <v>6572</v>
      </c>
      <c r="C2160" s="538" t="s">
        <v>393</v>
      </c>
      <c r="D2160" s="538" t="s">
        <v>393</v>
      </c>
      <c r="E2160" s="538" t="s">
        <v>207</v>
      </c>
      <c r="F2160" s="538">
        <v>14447334</v>
      </c>
      <c r="G2160" s="538">
        <v>728</v>
      </c>
    </row>
    <row r="2161" spans="1:7" x14ac:dyDescent="0.2">
      <c r="A2161" s="538">
        <v>6</v>
      </c>
      <c r="B2161" s="538" t="s">
        <v>6607</v>
      </c>
      <c r="C2161" s="538" t="s">
        <v>393</v>
      </c>
      <c r="D2161" s="538" t="s">
        <v>393</v>
      </c>
      <c r="E2161" s="538" t="s">
        <v>401</v>
      </c>
      <c r="F2161" s="538">
        <v>266739</v>
      </c>
      <c r="G2161" s="538">
        <v>18</v>
      </c>
    </row>
    <row r="2162" spans="1:7" x14ac:dyDescent="0.2">
      <c r="A2162" s="538">
        <v>6</v>
      </c>
      <c r="B2162" s="538" t="s">
        <v>6429</v>
      </c>
      <c r="C2162" s="538" t="s">
        <v>740</v>
      </c>
      <c r="D2162" s="538" t="s">
        <v>740</v>
      </c>
      <c r="E2162" s="538" t="s">
        <v>212</v>
      </c>
      <c r="F2162" s="538">
        <v>2549050</v>
      </c>
      <c r="G2162" s="538">
        <v>100</v>
      </c>
    </row>
    <row r="2163" spans="1:7" x14ac:dyDescent="0.2">
      <c r="A2163" s="538">
        <v>7</v>
      </c>
      <c r="B2163" s="538" t="s">
        <v>6604</v>
      </c>
      <c r="C2163" s="538" t="s">
        <v>393</v>
      </c>
      <c r="D2163" s="538" t="s">
        <v>740</v>
      </c>
      <c r="E2163" s="538" t="s">
        <v>402</v>
      </c>
      <c r="F2163" s="538">
        <v>2134266</v>
      </c>
      <c r="G2163" s="538">
        <v>97</v>
      </c>
    </row>
    <row r="2164" spans="1:7" x14ac:dyDescent="0.2">
      <c r="A2164" s="538">
        <v>2</v>
      </c>
      <c r="B2164" s="538" t="s">
        <v>6654</v>
      </c>
      <c r="C2164" s="538" t="s">
        <v>740</v>
      </c>
      <c r="D2164" s="538" t="s">
        <v>393</v>
      </c>
      <c r="E2164" s="538" t="s">
        <v>210</v>
      </c>
      <c r="F2164" s="538">
        <v>651714</v>
      </c>
      <c r="G2164" s="538">
        <v>43</v>
      </c>
    </row>
    <row r="2165" spans="1:7" x14ac:dyDescent="0.2">
      <c r="A2165" s="538">
        <v>8</v>
      </c>
      <c r="B2165" s="538" t="s">
        <v>6560</v>
      </c>
      <c r="C2165" s="538" t="s">
        <v>740</v>
      </c>
      <c r="D2165" s="538" t="s">
        <v>393</v>
      </c>
      <c r="E2165" s="538" t="s">
        <v>409</v>
      </c>
      <c r="F2165" s="538">
        <v>22656</v>
      </c>
      <c r="G2165" s="538">
        <v>2</v>
      </c>
    </row>
    <row r="2166" spans="1:7" x14ac:dyDescent="0.2">
      <c r="A2166" s="538">
        <v>7</v>
      </c>
      <c r="B2166" s="538" t="s">
        <v>6571</v>
      </c>
      <c r="C2166" s="538" t="s">
        <v>740</v>
      </c>
      <c r="D2166" s="538" t="s">
        <v>740</v>
      </c>
      <c r="E2166" s="538" t="s">
        <v>416</v>
      </c>
      <c r="F2166" s="538">
        <v>260367</v>
      </c>
      <c r="G2166" s="538">
        <v>14</v>
      </c>
    </row>
    <row r="2167" spans="1:7" x14ac:dyDescent="0.2">
      <c r="A2167" s="538">
        <v>7</v>
      </c>
      <c r="B2167" s="538" t="s">
        <v>6588</v>
      </c>
      <c r="C2167" s="538" t="s">
        <v>740</v>
      </c>
      <c r="D2167" s="538" t="s">
        <v>740</v>
      </c>
      <c r="E2167" s="538" t="s">
        <v>402</v>
      </c>
      <c r="F2167" s="538">
        <v>118236</v>
      </c>
      <c r="G2167" s="538">
        <v>7</v>
      </c>
    </row>
    <row r="2168" spans="1:7" x14ac:dyDescent="0.2">
      <c r="A2168" s="538">
        <v>3</v>
      </c>
      <c r="B2168" s="538" t="s">
        <v>6647</v>
      </c>
      <c r="C2168" s="538" t="s">
        <v>740</v>
      </c>
      <c r="D2168" s="538" t="s">
        <v>393</v>
      </c>
      <c r="E2168" s="538" t="s">
        <v>207</v>
      </c>
      <c r="F2168" s="538">
        <v>555072</v>
      </c>
      <c r="G2168" s="538">
        <v>49</v>
      </c>
    </row>
    <row r="2169" spans="1:7" x14ac:dyDescent="0.2">
      <c r="A2169" s="538">
        <v>5</v>
      </c>
      <c r="B2169" s="538" t="s">
        <v>6589</v>
      </c>
      <c r="C2169" s="538" t="s">
        <v>740</v>
      </c>
      <c r="D2169" s="538" t="s">
        <v>393</v>
      </c>
      <c r="E2169" s="538" t="s">
        <v>209</v>
      </c>
      <c r="F2169" s="538">
        <v>50268</v>
      </c>
      <c r="G2169" s="538">
        <v>1</v>
      </c>
    </row>
    <row r="2170" spans="1:7" x14ac:dyDescent="0.2">
      <c r="A2170" s="538">
        <v>1</v>
      </c>
      <c r="B2170" s="538" t="s">
        <v>6581</v>
      </c>
      <c r="C2170" s="538" t="s">
        <v>740</v>
      </c>
      <c r="D2170" s="538" t="s">
        <v>740</v>
      </c>
      <c r="E2170" s="538" t="s">
        <v>401</v>
      </c>
      <c r="F2170" s="538">
        <v>197532</v>
      </c>
      <c r="G2170" s="538">
        <v>14</v>
      </c>
    </row>
    <row r="2171" spans="1:7" x14ac:dyDescent="0.2">
      <c r="A2171" s="538">
        <v>1</v>
      </c>
      <c r="B2171" s="538" t="s">
        <v>6649</v>
      </c>
      <c r="C2171" s="538" t="s">
        <v>740</v>
      </c>
      <c r="D2171" s="538" t="s">
        <v>393</v>
      </c>
      <c r="E2171" s="538" t="s">
        <v>230</v>
      </c>
      <c r="F2171" s="538">
        <v>209922</v>
      </c>
      <c r="G2171" s="538">
        <v>4</v>
      </c>
    </row>
    <row r="2172" spans="1:7" x14ac:dyDescent="0.2">
      <c r="A2172" s="538">
        <v>3</v>
      </c>
      <c r="B2172" s="538" t="s">
        <v>6578</v>
      </c>
      <c r="C2172" s="538" t="s">
        <v>740</v>
      </c>
      <c r="D2172" s="538" t="s">
        <v>393</v>
      </c>
      <c r="E2172" s="538" t="s">
        <v>390</v>
      </c>
      <c r="F2172" s="538">
        <v>53639934</v>
      </c>
      <c r="G2172" s="538">
        <v>1983</v>
      </c>
    </row>
    <row r="2173" spans="1:7" x14ac:dyDescent="0.2">
      <c r="A2173" s="538">
        <v>9</v>
      </c>
      <c r="B2173" s="538" t="s">
        <v>6644</v>
      </c>
      <c r="C2173" s="538" t="s">
        <v>740</v>
      </c>
      <c r="D2173" s="538" t="s">
        <v>393</v>
      </c>
      <c r="E2173" s="538" t="s">
        <v>209</v>
      </c>
      <c r="F2173" s="538">
        <v>10123693</v>
      </c>
      <c r="G2173" s="538">
        <v>46</v>
      </c>
    </row>
    <row r="2174" spans="1:7" x14ac:dyDescent="0.2">
      <c r="A2174" s="538">
        <v>4</v>
      </c>
      <c r="B2174" s="538" t="s">
        <v>6559</v>
      </c>
      <c r="C2174" s="538" t="s">
        <v>740</v>
      </c>
      <c r="D2174" s="538" t="s">
        <v>393</v>
      </c>
      <c r="E2174" s="538" t="s">
        <v>390</v>
      </c>
      <c r="F2174" s="538">
        <v>458961</v>
      </c>
      <c r="G2174" s="538">
        <v>17</v>
      </c>
    </row>
    <row r="2175" spans="1:7" x14ac:dyDescent="0.2">
      <c r="A2175" s="538">
        <v>1</v>
      </c>
      <c r="B2175" s="538" t="s">
        <v>6581</v>
      </c>
      <c r="C2175" s="538" t="s">
        <v>393</v>
      </c>
      <c r="D2175" s="538" t="s">
        <v>393</v>
      </c>
      <c r="E2175" s="538" t="s">
        <v>210</v>
      </c>
      <c r="F2175" s="538">
        <v>1159298</v>
      </c>
      <c r="G2175" s="538">
        <v>36</v>
      </c>
    </row>
    <row r="2176" spans="1:7" x14ac:dyDescent="0.2">
      <c r="A2176" s="538">
        <v>2</v>
      </c>
      <c r="B2176" s="538" t="s">
        <v>6576</v>
      </c>
      <c r="C2176" s="538" t="s">
        <v>740</v>
      </c>
      <c r="D2176" s="538" t="s">
        <v>740</v>
      </c>
      <c r="E2176" s="538" t="s">
        <v>230</v>
      </c>
      <c r="F2176" s="538">
        <v>11328</v>
      </c>
      <c r="G2176" s="538">
        <v>1</v>
      </c>
    </row>
    <row r="2177" spans="1:7" x14ac:dyDescent="0.2">
      <c r="A2177" s="538">
        <v>5</v>
      </c>
      <c r="B2177" s="538" t="s">
        <v>6568</v>
      </c>
      <c r="C2177" s="538" t="s">
        <v>740</v>
      </c>
      <c r="D2177" s="538" t="s">
        <v>740</v>
      </c>
      <c r="E2177" s="538" t="s">
        <v>210</v>
      </c>
      <c r="F2177" s="538">
        <v>378426</v>
      </c>
      <c r="G2177" s="538">
        <v>12</v>
      </c>
    </row>
    <row r="2178" spans="1:7" x14ac:dyDescent="0.2">
      <c r="A2178" s="538">
        <v>8</v>
      </c>
      <c r="B2178" s="538" t="s">
        <v>6567</v>
      </c>
      <c r="C2178" s="538" t="s">
        <v>740</v>
      </c>
      <c r="D2178" s="538" t="s">
        <v>393</v>
      </c>
      <c r="E2178" s="538" t="s">
        <v>438</v>
      </c>
      <c r="F2178" s="538">
        <v>74163</v>
      </c>
      <c r="G2178" s="538">
        <v>1</v>
      </c>
    </row>
    <row r="2179" spans="1:7" x14ac:dyDescent="0.2">
      <c r="A2179" s="538">
        <v>7</v>
      </c>
      <c r="B2179" s="538" t="s">
        <v>6588</v>
      </c>
      <c r="C2179" s="538" t="s">
        <v>740</v>
      </c>
      <c r="D2179" s="538" t="s">
        <v>393</v>
      </c>
      <c r="E2179" s="538" t="s">
        <v>202</v>
      </c>
      <c r="F2179" s="538">
        <v>17306343</v>
      </c>
      <c r="G2179" s="538">
        <v>156</v>
      </c>
    </row>
    <row r="2180" spans="1:7" x14ac:dyDescent="0.2">
      <c r="A2180" s="538">
        <v>2</v>
      </c>
      <c r="B2180" s="538" t="s">
        <v>6585</v>
      </c>
      <c r="C2180" s="538" t="s">
        <v>393</v>
      </c>
      <c r="D2180" s="538" t="s">
        <v>393</v>
      </c>
      <c r="E2180" s="538" t="s">
        <v>401</v>
      </c>
      <c r="F2180" s="538">
        <v>203904</v>
      </c>
      <c r="G2180" s="538">
        <v>18</v>
      </c>
    </row>
    <row r="2181" spans="1:7" x14ac:dyDescent="0.2">
      <c r="A2181" s="538">
        <v>7</v>
      </c>
      <c r="B2181" s="538" t="s">
        <v>6564</v>
      </c>
      <c r="C2181" s="538" t="s">
        <v>740</v>
      </c>
      <c r="D2181" s="538" t="s">
        <v>393</v>
      </c>
      <c r="E2181" s="538" t="s">
        <v>211</v>
      </c>
      <c r="F2181" s="538">
        <v>313113</v>
      </c>
      <c r="G2181" s="538">
        <v>11</v>
      </c>
    </row>
    <row r="2182" spans="1:7" x14ac:dyDescent="0.2">
      <c r="A2182" s="538">
        <v>10</v>
      </c>
      <c r="B2182" s="538" t="s">
        <v>6587</v>
      </c>
      <c r="C2182" s="538" t="s">
        <v>740</v>
      </c>
      <c r="D2182" s="538" t="s">
        <v>393</v>
      </c>
      <c r="E2182" s="538" t="s">
        <v>401</v>
      </c>
      <c r="F2182" s="538">
        <v>22656</v>
      </c>
      <c r="G2182" s="538">
        <v>2</v>
      </c>
    </row>
    <row r="2183" spans="1:7" x14ac:dyDescent="0.2">
      <c r="A2183" s="538">
        <v>3</v>
      </c>
      <c r="B2183" s="538" t="s">
        <v>6561</v>
      </c>
      <c r="C2183" s="538" t="s">
        <v>740</v>
      </c>
      <c r="D2183" s="538" t="s">
        <v>740</v>
      </c>
      <c r="E2183" s="538" t="s">
        <v>402</v>
      </c>
      <c r="F2183" s="538">
        <v>3753712</v>
      </c>
      <c r="G2183" s="538">
        <v>144</v>
      </c>
    </row>
    <row r="2184" spans="1:7" x14ac:dyDescent="0.2">
      <c r="A2184" s="538">
        <v>7</v>
      </c>
      <c r="B2184" s="538" t="s">
        <v>6594</v>
      </c>
      <c r="C2184" s="538" t="s">
        <v>393</v>
      </c>
      <c r="D2184" s="538" t="s">
        <v>393</v>
      </c>
      <c r="E2184" s="538" t="s">
        <v>202</v>
      </c>
      <c r="F2184" s="538">
        <v>5027675</v>
      </c>
      <c r="G2184" s="538">
        <v>50</v>
      </c>
    </row>
    <row r="2185" spans="1:7" x14ac:dyDescent="0.2">
      <c r="A2185" s="538">
        <v>12</v>
      </c>
      <c r="B2185" s="538" t="s">
        <v>6616</v>
      </c>
      <c r="C2185" s="538" t="s">
        <v>740</v>
      </c>
      <c r="D2185" s="538" t="s">
        <v>393</v>
      </c>
      <c r="E2185" s="538" t="s">
        <v>313</v>
      </c>
      <c r="F2185" s="538">
        <v>11328</v>
      </c>
      <c r="G2185" s="538">
        <v>1</v>
      </c>
    </row>
    <row r="2186" spans="1:7" x14ac:dyDescent="0.2">
      <c r="A2186" s="538">
        <v>8</v>
      </c>
      <c r="B2186" s="538" t="s">
        <v>6577</v>
      </c>
      <c r="C2186" s="538" t="s">
        <v>740</v>
      </c>
      <c r="D2186" s="538" t="s">
        <v>740</v>
      </c>
      <c r="E2186" s="538" t="s">
        <v>409</v>
      </c>
      <c r="F2186" s="538">
        <v>84252</v>
      </c>
      <c r="G2186" s="538">
        <v>4</v>
      </c>
    </row>
    <row r="2187" spans="1:7" x14ac:dyDescent="0.2">
      <c r="A2187" s="538">
        <v>12</v>
      </c>
      <c r="B2187" s="538" t="s">
        <v>6563</v>
      </c>
      <c r="C2187" s="538" t="s">
        <v>393</v>
      </c>
      <c r="D2187" s="538" t="s">
        <v>393</v>
      </c>
      <c r="E2187" s="538" t="s">
        <v>212</v>
      </c>
      <c r="F2187" s="538">
        <v>101952</v>
      </c>
      <c r="G2187" s="538">
        <v>9</v>
      </c>
    </row>
    <row r="2188" spans="1:7" x14ac:dyDescent="0.2">
      <c r="A2188" s="538">
        <v>1</v>
      </c>
      <c r="B2188" s="538" t="s">
        <v>6602</v>
      </c>
      <c r="C2188" s="538" t="s">
        <v>740</v>
      </c>
      <c r="D2188" s="538" t="s">
        <v>393</v>
      </c>
      <c r="E2188" s="538" t="s">
        <v>416</v>
      </c>
      <c r="F2188" s="538">
        <v>18956555</v>
      </c>
      <c r="G2188" s="538">
        <v>625</v>
      </c>
    </row>
    <row r="2189" spans="1:7" x14ac:dyDescent="0.2">
      <c r="A2189" s="538">
        <v>8</v>
      </c>
      <c r="B2189" s="538" t="s">
        <v>6570</v>
      </c>
      <c r="C2189" s="538" t="s">
        <v>740</v>
      </c>
      <c r="D2189" s="538" t="s">
        <v>740</v>
      </c>
      <c r="E2189" s="538" t="s">
        <v>416</v>
      </c>
      <c r="F2189" s="538">
        <v>9806602</v>
      </c>
      <c r="G2189" s="538">
        <v>289</v>
      </c>
    </row>
    <row r="2190" spans="1:7" x14ac:dyDescent="0.2">
      <c r="A2190" s="538">
        <v>3</v>
      </c>
      <c r="B2190" s="538" t="s">
        <v>6605</v>
      </c>
      <c r="C2190" s="538" t="s">
        <v>740</v>
      </c>
      <c r="D2190" s="538" t="s">
        <v>393</v>
      </c>
      <c r="E2190" s="538" t="s">
        <v>390</v>
      </c>
      <c r="F2190" s="538">
        <v>11399654</v>
      </c>
      <c r="G2190" s="538">
        <v>398</v>
      </c>
    </row>
    <row r="2191" spans="1:7" x14ac:dyDescent="0.2">
      <c r="A2191" s="538">
        <v>8</v>
      </c>
      <c r="B2191" s="538" t="s">
        <v>6648</v>
      </c>
      <c r="C2191" s="538" t="s">
        <v>740</v>
      </c>
      <c r="D2191" s="538" t="s">
        <v>393</v>
      </c>
      <c r="E2191" s="538" t="s">
        <v>390</v>
      </c>
      <c r="F2191" s="538">
        <v>8079009</v>
      </c>
      <c r="G2191" s="538">
        <v>293</v>
      </c>
    </row>
    <row r="2192" spans="1:7" x14ac:dyDescent="0.2">
      <c r="A2192" s="538">
        <v>3</v>
      </c>
      <c r="B2192" s="538" t="s">
        <v>6647</v>
      </c>
      <c r="C2192" s="538" t="s">
        <v>393</v>
      </c>
      <c r="D2192" s="538" t="s">
        <v>740</v>
      </c>
      <c r="E2192" s="538" t="s">
        <v>207</v>
      </c>
      <c r="F2192" s="538">
        <v>1346085</v>
      </c>
      <c r="G2192" s="538">
        <v>85</v>
      </c>
    </row>
    <row r="2193" spans="1:7" x14ac:dyDescent="0.2">
      <c r="A2193" s="538">
        <v>8</v>
      </c>
      <c r="B2193" s="538" t="s">
        <v>6560</v>
      </c>
      <c r="C2193" s="538" t="s">
        <v>740</v>
      </c>
      <c r="D2193" s="538" t="s">
        <v>740</v>
      </c>
      <c r="E2193" s="538" t="s">
        <v>860</v>
      </c>
      <c r="F2193" s="538">
        <v>1458022</v>
      </c>
      <c r="G2193" s="538">
        <v>14</v>
      </c>
    </row>
    <row r="2194" spans="1:7" x14ac:dyDescent="0.2">
      <c r="A2194" s="538">
        <v>9</v>
      </c>
      <c r="B2194" s="538" t="s">
        <v>6615</v>
      </c>
      <c r="C2194" s="538" t="s">
        <v>740</v>
      </c>
      <c r="D2194" s="538" t="s">
        <v>393</v>
      </c>
      <c r="E2194" s="538" t="s">
        <v>401</v>
      </c>
      <c r="F2194" s="538">
        <v>50268</v>
      </c>
      <c r="G2194" s="538">
        <v>1</v>
      </c>
    </row>
    <row r="2195" spans="1:7" x14ac:dyDescent="0.2">
      <c r="A2195" s="538">
        <v>4</v>
      </c>
      <c r="B2195" s="538" t="s">
        <v>6559</v>
      </c>
      <c r="C2195" s="538" t="s">
        <v>740</v>
      </c>
      <c r="D2195" s="538" t="s">
        <v>740</v>
      </c>
      <c r="E2195" s="538" t="s">
        <v>860</v>
      </c>
      <c r="F2195" s="538">
        <v>2683799</v>
      </c>
      <c r="G2195" s="538">
        <v>118</v>
      </c>
    </row>
    <row r="2196" spans="1:7" x14ac:dyDescent="0.2">
      <c r="A2196" s="538">
        <v>3</v>
      </c>
      <c r="B2196" s="538" t="s">
        <v>6586</v>
      </c>
      <c r="C2196" s="538" t="s">
        <v>740</v>
      </c>
      <c r="D2196" s="538" t="s">
        <v>393</v>
      </c>
      <c r="E2196" s="538" t="s">
        <v>212</v>
      </c>
      <c r="F2196" s="538">
        <v>14505629</v>
      </c>
      <c r="G2196" s="538">
        <v>998</v>
      </c>
    </row>
    <row r="2197" spans="1:7" x14ac:dyDescent="0.2">
      <c r="A2197" s="538">
        <v>11</v>
      </c>
      <c r="B2197" s="538" t="s">
        <v>6659</v>
      </c>
      <c r="C2197" s="538" t="s">
        <v>740</v>
      </c>
      <c r="D2197" s="538" t="s">
        <v>393</v>
      </c>
      <c r="E2197" s="538" t="s">
        <v>416</v>
      </c>
      <c r="F2197" s="538">
        <v>85491</v>
      </c>
      <c r="G2197" s="538">
        <v>2</v>
      </c>
    </row>
    <row r="2198" spans="1:7" x14ac:dyDescent="0.2">
      <c r="A2198" s="538">
        <v>6</v>
      </c>
      <c r="B2198" s="538" t="s">
        <v>6565</v>
      </c>
      <c r="C2198" s="538" t="s">
        <v>393</v>
      </c>
      <c r="D2198" s="538" t="s">
        <v>393</v>
      </c>
      <c r="E2198" s="538" t="s">
        <v>860</v>
      </c>
      <c r="F2198" s="538">
        <v>1072568</v>
      </c>
      <c r="G2198" s="538">
        <v>36</v>
      </c>
    </row>
    <row r="2199" spans="1:7" x14ac:dyDescent="0.2">
      <c r="A2199" s="538">
        <v>2</v>
      </c>
      <c r="B2199" s="538" t="s">
        <v>6656</v>
      </c>
      <c r="C2199" s="538" t="s">
        <v>393</v>
      </c>
      <c r="D2199" s="538" t="s">
        <v>393</v>
      </c>
      <c r="E2199" s="538" t="s">
        <v>409</v>
      </c>
      <c r="F2199" s="538">
        <v>1377841</v>
      </c>
      <c r="G2199" s="538">
        <v>27</v>
      </c>
    </row>
    <row r="2200" spans="1:7" x14ac:dyDescent="0.2">
      <c r="A2200" s="538">
        <v>1</v>
      </c>
      <c r="B2200" s="538" t="s">
        <v>1288</v>
      </c>
      <c r="C2200" s="538" t="s">
        <v>740</v>
      </c>
      <c r="D2200" s="538" t="s">
        <v>393</v>
      </c>
      <c r="E2200" s="538" t="s">
        <v>212</v>
      </c>
      <c r="F2200" s="538">
        <v>300723</v>
      </c>
      <c r="G2200" s="538">
        <v>21</v>
      </c>
    </row>
    <row r="2201" spans="1:7" x14ac:dyDescent="0.2">
      <c r="A2201" s="538">
        <v>6</v>
      </c>
      <c r="B2201" s="538" t="s">
        <v>6596</v>
      </c>
      <c r="C2201" s="538" t="s">
        <v>740</v>
      </c>
      <c r="D2201" s="538" t="s">
        <v>393</v>
      </c>
      <c r="E2201" s="538" t="s">
        <v>409</v>
      </c>
      <c r="F2201" s="538">
        <v>882470</v>
      </c>
      <c r="G2201" s="538">
        <v>15</v>
      </c>
    </row>
    <row r="2202" spans="1:7" x14ac:dyDescent="0.2">
      <c r="A2202" s="538">
        <v>2</v>
      </c>
      <c r="B2202" s="538" t="s">
        <v>6585</v>
      </c>
      <c r="C2202" s="538" t="s">
        <v>740</v>
      </c>
      <c r="D2202" s="538" t="s">
        <v>393</v>
      </c>
      <c r="E2202" s="538" t="s">
        <v>230</v>
      </c>
      <c r="F2202" s="538">
        <v>22656</v>
      </c>
      <c r="G2202" s="538">
        <v>2</v>
      </c>
    </row>
    <row r="2203" spans="1:7" x14ac:dyDescent="0.2">
      <c r="A2203" s="538">
        <v>6</v>
      </c>
      <c r="B2203" s="538" t="s">
        <v>6429</v>
      </c>
      <c r="C2203" s="538" t="s">
        <v>393</v>
      </c>
      <c r="D2203" s="538" t="s">
        <v>393</v>
      </c>
      <c r="E2203" s="538" t="s">
        <v>409</v>
      </c>
      <c r="F2203" s="538">
        <v>61596</v>
      </c>
      <c r="G2203" s="538">
        <v>2</v>
      </c>
    </row>
    <row r="2204" spans="1:7" x14ac:dyDescent="0.2">
      <c r="A2204" s="538">
        <v>5</v>
      </c>
      <c r="B2204" s="538" t="s">
        <v>6651</v>
      </c>
      <c r="C2204" s="538" t="s">
        <v>393</v>
      </c>
      <c r="D2204" s="538" t="s">
        <v>393</v>
      </c>
      <c r="E2204" s="538" t="s">
        <v>209</v>
      </c>
      <c r="F2204" s="538">
        <v>644759</v>
      </c>
      <c r="G2204" s="538">
        <v>3</v>
      </c>
    </row>
    <row r="2205" spans="1:7" x14ac:dyDescent="0.2">
      <c r="A2205" s="538">
        <v>3</v>
      </c>
      <c r="B2205" s="538" t="s">
        <v>6603</v>
      </c>
      <c r="C2205" s="538" t="s">
        <v>740</v>
      </c>
      <c r="D2205" s="538" t="s">
        <v>393</v>
      </c>
      <c r="E2205" s="538" t="s">
        <v>438</v>
      </c>
      <c r="F2205" s="538">
        <v>604580</v>
      </c>
      <c r="G2205" s="538">
        <v>5</v>
      </c>
    </row>
    <row r="2206" spans="1:7" x14ac:dyDescent="0.2">
      <c r="A2206" s="538">
        <v>9</v>
      </c>
      <c r="B2206" s="538" t="s">
        <v>6613</v>
      </c>
      <c r="C2206" s="538" t="s">
        <v>740</v>
      </c>
      <c r="D2206" s="538" t="s">
        <v>393</v>
      </c>
      <c r="E2206" s="538" t="s">
        <v>390</v>
      </c>
      <c r="F2206" s="538">
        <v>500556</v>
      </c>
      <c r="G2206" s="538">
        <v>22</v>
      </c>
    </row>
    <row r="2207" spans="1:7" x14ac:dyDescent="0.2">
      <c r="A2207" s="538">
        <v>1</v>
      </c>
      <c r="B2207" s="538" t="s">
        <v>6649</v>
      </c>
      <c r="C2207" s="538" t="s">
        <v>393</v>
      </c>
      <c r="D2207" s="538" t="s">
        <v>393</v>
      </c>
      <c r="E2207" s="538" t="s">
        <v>438</v>
      </c>
      <c r="F2207" s="538">
        <v>1933215</v>
      </c>
      <c r="G2207" s="538">
        <v>20</v>
      </c>
    </row>
    <row r="2208" spans="1:7" x14ac:dyDescent="0.2">
      <c r="A2208" s="538">
        <v>1</v>
      </c>
      <c r="B2208" s="538" t="s">
        <v>6649</v>
      </c>
      <c r="C2208" s="538" t="s">
        <v>393</v>
      </c>
      <c r="D2208" s="538" t="s">
        <v>393</v>
      </c>
      <c r="E2208" s="538" t="s">
        <v>206</v>
      </c>
      <c r="F2208" s="538">
        <v>108147</v>
      </c>
      <c r="G2208" s="538">
        <v>4</v>
      </c>
    </row>
    <row r="2209" spans="1:7" x14ac:dyDescent="0.2">
      <c r="A2209" s="538">
        <v>3</v>
      </c>
      <c r="B2209" s="538" t="s">
        <v>6591</v>
      </c>
      <c r="C2209" s="538" t="s">
        <v>393</v>
      </c>
      <c r="D2209" s="538" t="s">
        <v>393</v>
      </c>
      <c r="E2209" s="538" t="s">
        <v>390</v>
      </c>
      <c r="F2209" s="538">
        <v>8870147</v>
      </c>
      <c r="G2209" s="538">
        <v>259</v>
      </c>
    </row>
    <row r="2210" spans="1:7" x14ac:dyDescent="0.2">
      <c r="A2210" s="538">
        <v>12</v>
      </c>
      <c r="B2210" s="538" t="s">
        <v>6616</v>
      </c>
      <c r="C2210" s="538" t="s">
        <v>740</v>
      </c>
      <c r="D2210" s="538" t="s">
        <v>393</v>
      </c>
      <c r="E2210" s="538" t="s">
        <v>207</v>
      </c>
      <c r="F2210" s="538">
        <v>90624</v>
      </c>
      <c r="G2210" s="538">
        <v>8</v>
      </c>
    </row>
    <row r="2211" spans="1:7" x14ac:dyDescent="0.2">
      <c r="A2211" s="538">
        <v>4</v>
      </c>
      <c r="B2211" s="538" t="s">
        <v>6572</v>
      </c>
      <c r="C2211" s="538" t="s">
        <v>740</v>
      </c>
      <c r="D2211" s="538" t="s">
        <v>393</v>
      </c>
      <c r="E2211" s="538" t="s">
        <v>402</v>
      </c>
      <c r="F2211" s="538">
        <v>43260092</v>
      </c>
      <c r="G2211" s="538">
        <v>2069</v>
      </c>
    </row>
    <row r="2212" spans="1:7" x14ac:dyDescent="0.2">
      <c r="A2212" s="538">
        <v>10</v>
      </c>
      <c r="B2212" s="538" t="s">
        <v>6652</v>
      </c>
      <c r="C2212" s="538" t="s">
        <v>740</v>
      </c>
      <c r="D2212" s="538" t="s">
        <v>393</v>
      </c>
      <c r="E2212" s="538" t="s">
        <v>402</v>
      </c>
      <c r="F2212" s="538">
        <v>147264</v>
      </c>
      <c r="G2212" s="538">
        <v>13</v>
      </c>
    </row>
    <row r="2213" spans="1:7" x14ac:dyDescent="0.2">
      <c r="A2213" s="538">
        <v>7</v>
      </c>
      <c r="B2213" s="538" t="s">
        <v>6604</v>
      </c>
      <c r="C2213" s="538" t="s">
        <v>740</v>
      </c>
      <c r="D2213" s="538" t="s">
        <v>740</v>
      </c>
      <c r="E2213" s="538" t="s">
        <v>230</v>
      </c>
      <c r="F2213" s="538">
        <v>33984</v>
      </c>
      <c r="G2213" s="538">
        <v>3</v>
      </c>
    </row>
    <row r="2214" spans="1:7" x14ac:dyDescent="0.2">
      <c r="A2214" s="538">
        <v>11</v>
      </c>
      <c r="B2214" s="538" t="s">
        <v>6584</v>
      </c>
      <c r="C2214" s="538" t="s">
        <v>740</v>
      </c>
      <c r="D2214" s="538" t="s">
        <v>393</v>
      </c>
      <c r="E2214" s="538" t="s">
        <v>211</v>
      </c>
      <c r="F2214" s="538">
        <v>2665162</v>
      </c>
      <c r="G2214" s="538">
        <v>59</v>
      </c>
    </row>
    <row r="2215" spans="1:7" x14ac:dyDescent="0.2">
      <c r="A2215" s="538">
        <v>2</v>
      </c>
      <c r="B2215" s="538" t="s">
        <v>6656</v>
      </c>
      <c r="C2215" s="538" t="s">
        <v>740</v>
      </c>
      <c r="D2215" s="538" t="s">
        <v>393</v>
      </c>
      <c r="E2215" s="538" t="s">
        <v>313</v>
      </c>
      <c r="F2215" s="538">
        <v>85491</v>
      </c>
      <c r="G2215" s="538">
        <v>2</v>
      </c>
    </row>
    <row r="2216" spans="1:7" x14ac:dyDescent="0.2">
      <c r="A2216" s="538">
        <v>4</v>
      </c>
      <c r="B2216" s="538" t="s">
        <v>6572</v>
      </c>
      <c r="C2216" s="538" t="s">
        <v>740</v>
      </c>
      <c r="D2216" s="538" t="s">
        <v>393</v>
      </c>
      <c r="E2216" s="538" t="s">
        <v>212</v>
      </c>
      <c r="F2216" s="538">
        <v>11328</v>
      </c>
      <c r="G2216" s="538">
        <v>1</v>
      </c>
    </row>
    <row r="2217" spans="1:7" x14ac:dyDescent="0.2">
      <c r="A2217" s="538">
        <v>2</v>
      </c>
      <c r="B2217" s="538" t="s">
        <v>6585</v>
      </c>
      <c r="C2217" s="538" t="s">
        <v>740</v>
      </c>
      <c r="D2217" s="538" t="s">
        <v>393</v>
      </c>
      <c r="E2217" s="538" t="s">
        <v>390</v>
      </c>
      <c r="F2217" s="538">
        <v>2640309</v>
      </c>
      <c r="G2217" s="538">
        <v>88</v>
      </c>
    </row>
    <row r="2218" spans="1:7" x14ac:dyDescent="0.2">
      <c r="A2218" s="538">
        <v>11</v>
      </c>
      <c r="B2218" s="538" t="s">
        <v>6592</v>
      </c>
      <c r="C2218" s="538" t="s">
        <v>740</v>
      </c>
      <c r="D2218" s="538" t="s">
        <v>740</v>
      </c>
      <c r="E2218" s="538" t="s">
        <v>438</v>
      </c>
      <c r="F2218" s="538">
        <v>938933</v>
      </c>
      <c r="G2218" s="538">
        <v>11</v>
      </c>
    </row>
    <row r="2219" spans="1:7" x14ac:dyDescent="0.2">
      <c r="A2219" s="538">
        <v>10</v>
      </c>
      <c r="B2219" s="538" t="s">
        <v>6587</v>
      </c>
      <c r="C2219" s="538" t="s">
        <v>740</v>
      </c>
      <c r="D2219" s="538" t="s">
        <v>740</v>
      </c>
      <c r="E2219" s="538" t="s">
        <v>449</v>
      </c>
      <c r="F2219" s="538">
        <v>22656</v>
      </c>
      <c r="G2219" s="538">
        <v>2</v>
      </c>
    </row>
    <row r="2220" spans="1:7" x14ac:dyDescent="0.2">
      <c r="A2220" s="538">
        <v>3</v>
      </c>
      <c r="B2220" s="538" t="s">
        <v>6647</v>
      </c>
      <c r="C2220" s="538" t="s">
        <v>740</v>
      </c>
      <c r="D2220" s="538" t="s">
        <v>393</v>
      </c>
      <c r="E2220" s="538" t="s">
        <v>419</v>
      </c>
      <c r="F2220" s="538">
        <v>192399</v>
      </c>
      <c r="G2220" s="538">
        <v>8</v>
      </c>
    </row>
    <row r="2221" spans="1:7" x14ac:dyDescent="0.2">
      <c r="A2221" s="538">
        <v>3</v>
      </c>
      <c r="B2221" s="538" t="s">
        <v>6591</v>
      </c>
      <c r="C2221" s="538" t="s">
        <v>740</v>
      </c>
      <c r="D2221" s="538" t="s">
        <v>393</v>
      </c>
      <c r="E2221" s="538" t="s">
        <v>210</v>
      </c>
      <c r="F2221" s="538">
        <v>814679</v>
      </c>
      <c r="G2221" s="538">
        <v>18</v>
      </c>
    </row>
    <row r="2222" spans="1:7" x14ac:dyDescent="0.2">
      <c r="A2222" s="538">
        <v>5</v>
      </c>
      <c r="B2222" s="538" t="s">
        <v>6568</v>
      </c>
      <c r="C2222" s="538" t="s">
        <v>740</v>
      </c>
      <c r="D2222" s="538" t="s">
        <v>393</v>
      </c>
      <c r="E2222" s="538" t="s">
        <v>202</v>
      </c>
      <c r="F2222" s="538">
        <v>581924</v>
      </c>
      <c r="G2222" s="538">
        <v>3</v>
      </c>
    </row>
    <row r="2223" spans="1:7" x14ac:dyDescent="0.2">
      <c r="A2223" s="538">
        <v>2</v>
      </c>
      <c r="B2223" s="538" t="s">
        <v>6055</v>
      </c>
      <c r="C2223" s="538" t="s">
        <v>740</v>
      </c>
      <c r="D2223" s="538" t="s">
        <v>740</v>
      </c>
      <c r="E2223" s="538" t="s">
        <v>210</v>
      </c>
      <c r="F2223" s="538">
        <v>1239656</v>
      </c>
      <c r="G2223" s="538">
        <v>32</v>
      </c>
    </row>
    <row r="2224" spans="1:7" x14ac:dyDescent="0.2">
      <c r="A2224" s="538">
        <v>9</v>
      </c>
      <c r="B2224" s="538" t="s">
        <v>948</v>
      </c>
      <c r="C2224" s="538" t="s">
        <v>393</v>
      </c>
      <c r="D2224" s="538" t="s">
        <v>393</v>
      </c>
      <c r="E2224" s="538" t="s">
        <v>449</v>
      </c>
      <c r="F2224" s="538">
        <v>163548</v>
      </c>
      <c r="G2224" s="538">
        <v>11</v>
      </c>
    </row>
    <row r="2225" spans="1:7" x14ac:dyDescent="0.2">
      <c r="A2225" s="538">
        <v>3</v>
      </c>
      <c r="B2225" s="538" t="s">
        <v>6561</v>
      </c>
      <c r="C2225" s="538" t="s">
        <v>740</v>
      </c>
      <c r="D2225" s="538" t="s">
        <v>393</v>
      </c>
      <c r="E2225" s="538" t="s">
        <v>402</v>
      </c>
      <c r="F2225" s="538">
        <v>1281022</v>
      </c>
      <c r="G2225" s="538">
        <v>24</v>
      </c>
    </row>
    <row r="2226" spans="1:7" x14ac:dyDescent="0.2">
      <c r="A2226" s="538">
        <v>5</v>
      </c>
      <c r="B2226" s="538" t="s">
        <v>6598</v>
      </c>
      <c r="C2226" s="538" t="s">
        <v>740</v>
      </c>
      <c r="D2226" s="538" t="s">
        <v>740</v>
      </c>
      <c r="E2226" s="538" t="s">
        <v>207</v>
      </c>
      <c r="F2226" s="538">
        <v>1297233</v>
      </c>
      <c r="G2226" s="538">
        <v>91</v>
      </c>
    </row>
    <row r="2227" spans="1:7" x14ac:dyDescent="0.2">
      <c r="A2227" s="538">
        <v>2</v>
      </c>
      <c r="B2227" s="538" t="s">
        <v>6576</v>
      </c>
      <c r="C2227" s="538" t="s">
        <v>740</v>
      </c>
      <c r="D2227" s="538" t="s">
        <v>393</v>
      </c>
      <c r="E2227" s="538" t="s">
        <v>230</v>
      </c>
      <c r="F2227" s="538">
        <v>305502</v>
      </c>
      <c r="G2227" s="538">
        <v>9</v>
      </c>
    </row>
    <row r="2228" spans="1:7" x14ac:dyDescent="0.2">
      <c r="A2228" s="538">
        <v>5</v>
      </c>
      <c r="B2228" s="538" t="s">
        <v>6568</v>
      </c>
      <c r="C2228" s="538" t="s">
        <v>393</v>
      </c>
      <c r="D2228" s="538" t="s">
        <v>740</v>
      </c>
      <c r="E2228" s="538" t="s">
        <v>210</v>
      </c>
      <c r="F2228" s="538">
        <v>1271995</v>
      </c>
      <c r="G2228" s="538">
        <v>10</v>
      </c>
    </row>
    <row r="2229" spans="1:7" x14ac:dyDescent="0.2">
      <c r="A2229" s="538">
        <v>6</v>
      </c>
      <c r="B2229" s="538" t="s">
        <v>6429</v>
      </c>
      <c r="C2229" s="538" t="s">
        <v>740</v>
      </c>
      <c r="D2229" s="538" t="s">
        <v>393</v>
      </c>
      <c r="E2229" s="538" t="s">
        <v>402</v>
      </c>
      <c r="F2229" s="538">
        <v>4422293</v>
      </c>
      <c r="G2229" s="538">
        <v>216</v>
      </c>
    </row>
    <row r="2230" spans="1:7" x14ac:dyDescent="0.2">
      <c r="A2230" s="538">
        <v>9</v>
      </c>
      <c r="B2230" s="538" t="s">
        <v>6645</v>
      </c>
      <c r="C2230" s="538" t="s">
        <v>740</v>
      </c>
      <c r="D2230" s="538" t="s">
        <v>393</v>
      </c>
      <c r="E2230" s="538" t="s">
        <v>390</v>
      </c>
      <c r="F2230" s="538">
        <v>530417</v>
      </c>
      <c r="G2230" s="538">
        <v>4</v>
      </c>
    </row>
    <row r="2231" spans="1:7" x14ac:dyDescent="0.2">
      <c r="A2231" s="538">
        <v>2</v>
      </c>
      <c r="B2231" s="538" t="s">
        <v>6585</v>
      </c>
      <c r="C2231" s="538" t="s">
        <v>740</v>
      </c>
      <c r="D2231" s="538" t="s">
        <v>740</v>
      </c>
      <c r="E2231" s="538" t="s">
        <v>438</v>
      </c>
      <c r="F2231" s="538">
        <v>507761</v>
      </c>
      <c r="G2231" s="538">
        <v>2</v>
      </c>
    </row>
    <row r="2232" spans="1:7" x14ac:dyDescent="0.2">
      <c r="A2232" s="538">
        <v>7</v>
      </c>
      <c r="B2232" s="538" t="s">
        <v>6588</v>
      </c>
      <c r="C2232" s="538" t="s">
        <v>393</v>
      </c>
      <c r="D2232" s="538" t="s">
        <v>740</v>
      </c>
      <c r="E2232" s="538" t="s">
        <v>860</v>
      </c>
      <c r="F2232" s="538">
        <v>85491</v>
      </c>
      <c r="G2232" s="538">
        <v>2</v>
      </c>
    </row>
    <row r="2233" spans="1:7" x14ac:dyDescent="0.2">
      <c r="A2233" s="538">
        <v>10</v>
      </c>
      <c r="B2233" s="538" t="s">
        <v>6587</v>
      </c>
      <c r="C2233" s="538" t="s">
        <v>740</v>
      </c>
      <c r="D2233" s="538" t="s">
        <v>393</v>
      </c>
      <c r="E2233" s="538" t="s">
        <v>210</v>
      </c>
      <c r="F2233" s="538">
        <v>396126</v>
      </c>
      <c r="G2233" s="538">
        <v>17</v>
      </c>
    </row>
    <row r="2234" spans="1:7" x14ac:dyDescent="0.2">
      <c r="A2234" s="538">
        <v>4</v>
      </c>
      <c r="B2234" s="538" t="s">
        <v>6593</v>
      </c>
      <c r="C2234" s="538" t="s">
        <v>740</v>
      </c>
      <c r="D2234" s="538" t="s">
        <v>393</v>
      </c>
      <c r="E2234" s="538" t="s">
        <v>416</v>
      </c>
      <c r="F2234" s="538">
        <v>113929472</v>
      </c>
      <c r="G2234" s="538">
        <v>2169</v>
      </c>
    </row>
    <row r="2235" spans="1:7" x14ac:dyDescent="0.2">
      <c r="A2235" s="538">
        <v>3</v>
      </c>
      <c r="B2235" s="538" t="s">
        <v>6603</v>
      </c>
      <c r="C2235" s="538" t="s">
        <v>740</v>
      </c>
      <c r="D2235" s="538" t="s">
        <v>393</v>
      </c>
      <c r="E2235" s="538" t="s">
        <v>212</v>
      </c>
      <c r="F2235" s="538">
        <v>2233740</v>
      </c>
      <c r="G2235" s="538">
        <v>175</v>
      </c>
    </row>
    <row r="2236" spans="1:7" x14ac:dyDescent="0.2">
      <c r="A2236" s="538">
        <v>5</v>
      </c>
      <c r="B2236" s="538" t="s">
        <v>6568</v>
      </c>
      <c r="C2236" s="538" t="s">
        <v>393</v>
      </c>
      <c r="D2236" s="538" t="s">
        <v>393</v>
      </c>
      <c r="E2236" s="538" t="s">
        <v>497</v>
      </c>
      <c r="F2236" s="538">
        <v>11328</v>
      </c>
      <c r="G2236" s="538">
        <v>1</v>
      </c>
    </row>
    <row r="2237" spans="1:7" x14ac:dyDescent="0.2">
      <c r="A2237" s="538">
        <v>11</v>
      </c>
      <c r="B2237" s="538" t="s">
        <v>6584</v>
      </c>
      <c r="C2237" s="538" t="s">
        <v>393</v>
      </c>
      <c r="D2237" s="538" t="s">
        <v>393</v>
      </c>
      <c r="E2237" s="538" t="s">
        <v>416</v>
      </c>
      <c r="F2237" s="538">
        <v>78034099</v>
      </c>
      <c r="G2237" s="538">
        <v>1438</v>
      </c>
    </row>
    <row r="2238" spans="1:7" x14ac:dyDescent="0.2">
      <c r="A2238" s="538">
        <v>4</v>
      </c>
      <c r="B2238" s="538" t="s">
        <v>6572</v>
      </c>
      <c r="C2238" s="538" t="s">
        <v>740</v>
      </c>
      <c r="D2238" s="538" t="s">
        <v>393</v>
      </c>
      <c r="E2238" s="538" t="s">
        <v>438</v>
      </c>
      <c r="F2238" s="538">
        <v>72924</v>
      </c>
      <c r="G2238" s="538">
        <v>3</v>
      </c>
    </row>
    <row r="2239" spans="1:7" x14ac:dyDescent="0.2">
      <c r="A2239" s="538">
        <v>7</v>
      </c>
      <c r="B2239" s="538" t="s">
        <v>6564</v>
      </c>
      <c r="C2239" s="538" t="s">
        <v>740</v>
      </c>
      <c r="D2239" s="538" t="s">
        <v>740</v>
      </c>
      <c r="E2239" s="538" t="s">
        <v>449</v>
      </c>
      <c r="F2239" s="538">
        <v>520911</v>
      </c>
      <c r="G2239" s="538">
        <v>37</v>
      </c>
    </row>
    <row r="2240" spans="1:7" x14ac:dyDescent="0.2">
      <c r="A2240" s="538">
        <v>10</v>
      </c>
      <c r="B2240" s="538" t="s">
        <v>6587</v>
      </c>
      <c r="C2240" s="538" t="s">
        <v>740</v>
      </c>
      <c r="D2240" s="538" t="s">
        <v>393</v>
      </c>
      <c r="E2240" s="538" t="s">
        <v>211</v>
      </c>
      <c r="F2240" s="538">
        <v>1967428</v>
      </c>
      <c r="G2240" s="538">
        <v>41</v>
      </c>
    </row>
    <row r="2241" spans="1:7" x14ac:dyDescent="0.2">
      <c r="A2241" s="538">
        <v>9</v>
      </c>
      <c r="B2241" s="538" t="s">
        <v>6615</v>
      </c>
      <c r="C2241" s="538" t="s">
        <v>740</v>
      </c>
      <c r="D2241" s="538" t="s">
        <v>393</v>
      </c>
      <c r="E2241" s="538" t="s">
        <v>416</v>
      </c>
      <c r="F2241" s="538">
        <v>629943</v>
      </c>
      <c r="G2241" s="538">
        <v>21</v>
      </c>
    </row>
    <row r="2242" spans="1:7" x14ac:dyDescent="0.2">
      <c r="A2242" s="538">
        <v>5</v>
      </c>
      <c r="B2242" s="538" t="s">
        <v>6599</v>
      </c>
      <c r="C2242" s="538" t="s">
        <v>740</v>
      </c>
      <c r="D2242" s="538" t="s">
        <v>740</v>
      </c>
      <c r="E2242" s="538" t="s">
        <v>202</v>
      </c>
      <c r="F2242" s="538">
        <v>507761</v>
      </c>
      <c r="G2242" s="538">
        <v>2</v>
      </c>
    </row>
    <row r="2243" spans="1:7" x14ac:dyDescent="0.2">
      <c r="A2243" s="538">
        <v>4</v>
      </c>
      <c r="B2243" s="538" t="s">
        <v>6590</v>
      </c>
      <c r="C2243" s="538" t="s">
        <v>393</v>
      </c>
      <c r="D2243" s="538" t="s">
        <v>740</v>
      </c>
      <c r="E2243" s="538" t="s">
        <v>207</v>
      </c>
      <c r="F2243" s="538">
        <v>5674089</v>
      </c>
      <c r="G2243" s="538">
        <v>373</v>
      </c>
    </row>
    <row r="2244" spans="1:7" x14ac:dyDescent="0.2">
      <c r="A2244" s="538">
        <v>1</v>
      </c>
      <c r="B2244" s="538" t="s">
        <v>6646</v>
      </c>
      <c r="C2244" s="538" t="s">
        <v>740</v>
      </c>
      <c r="D2244" s="538" t="s">
        <v>393</v>
      </c>
      <c r="E2244" s="538" t="s">
        <v>210</v>
      </c>
      <c r="F2244" s="538">
        <v>3207792</v>
      </c>
      <c r="G2244" s="538">
        <v>114</v>
      </c>
    </row>
    <row r="2245" spans="1:7" x14ac:dyDescent="0.2">
      <c r="A2245" s="538">
        <v>3</v>
      </c>
      <c r="B2245" s="538" t="s">
        <v>6591</v>
      </c>
      <c r="C2245" s="538" t="s">
        <v>740</v>
      </c>
      <c r="D2245" s="538" t="s">
        <v>393</v>
      </c>
      <c r="E2245" s="538" t="s">
        <v>416</v>
      </c>
      <c r="F2245" s="538">
        <v>29816485</v>
      </c>
      <c r="G2245" s="538">
        <v>510</v>
      </c>
    </row>
    <row r="2246" spans="1:7" x14ac:dyDescent="0.2">
      <c r="A2246" s="538">
        <v>7</v>
      </c>
      <c r="B2246" s="538" t="s">
        <v>6588</v>
      </c>
      <c r="C2246" s="538" t="s">
        <v>740</v>
      </c>
      <c r="D2246" s="538" t="s">
        <v>393</v>
      </c>
      <c r="E2246" s="538" t="s">
        <v>449</v>
      </c>
      <c r="F2246" s="538">
        <v>135759</v>
      </c>
      <c r="G2246" s="538">
        <v>3</v>
      </c>
    </row>
    <row r="2247" spans="1:7" x14ac:dyDescent="0.2">
      <c r="A2247" s="538">
        <v>3</v>
      </c>
      <c r="B2247" s="538" t="s">
        <v>6603</v>
      </c>
      <c r="C2247" s="538" t="s">
        <v>740</v>
      </c>
      <c r="D2247" s="538" t="s">
        <v>393</v>
      </c>
      <c r="E2247" s="538" t="s">
        <v>409</v>
      </c>
      <c r="F2247" s="538">
        <v>45312</v>
      </c>
      <c r="G2247" s="538">
        <v>4</v>
      </c>
    </row>
    <row r="2248" spans="1:7" x14ac:dyDescent="0.2">
      <c r="A2248" s="538">
        <v>9</v>
      </c>
      <c r="B2248" s="538" t="s">
        <v>6606</v>
      </c>
      <c r="C2248" s="538" t="s">
        <v>740</v>
      </c>
      <c r="D2248" s="538" t="s">
        <v>740</v>
      </c>
      <c r="E2248" s="538" t="s">
        <v>438</v>
      </c>
      <c r="F2248" s="538">
        <v>282846</v>
      </c>
      <c r="G2248" s="538">
        <v>7</v>
      </c>
    </row>
    <row r="2249" spans="1:7" x14ac:dyDescent="0.2">
      <c r="A2249" s="538">
        <v>2</v>
      </c>
      <c r="B2249" s="538" t="s">
        <v>6055</v>
      </c>
      <c r="C2249" s="538" t="s">
        <v>393</v>
      </c>
      <c r="D2249" s="538" t="s">
        <v>393</v>
      </c>
      <c r="E2249" s="538" t="s">
        <v>202</v>
      </c>
      <c r="F2249" s="538">
        <v>2536379</v>
      </c>
      <c r="G2249" s="538">
        <v>18</v>
      </c>
    </row>
    <row r="2250" spans="1:7" x14ac:dyDescent="0.2">
      <c r="A2250" s="538">
        <v>4</v>
      </c>
      <c r="B2250" s="538" t="s">
        <v>6574</v>
      </c>
      <c r="C2250" s="538" t="s">
        <v>740</v>
      </c>
      <c r="D2250" s="538" t="s">
        <v>393</v>
      </c>
      <c r="E2250" s="538" t="s">
        <v>207</v>
      </c>
      <c r="F2250" s="538">
        <v>2294399</v>
      </c>
      <c r="G2250" s="538">
        <v>123</v>
      </c>
    </row>
    <row r="2251" spans="1:7" x14ac:dyDescent="0.2">
      <c r="A2251" s="538">
        <v>8</v>
      </c>
      <c r="B2251" s="538" t="s">
        <v>6560</v>
      </c>
      <c r="C2251" s="538" t="s">
        <v>740</v>
      </c>
      <c r="D2251" s="538" t="s">
        <v>740</v>
      </c>
      <c r="E2251" s="538" t="s">
        <v>438</v>
      </c>
      <c r="F2251" s="538">
        <v>1700689</v>
      </c>
      <c r="G2251" s="538">
        <v>23</v>
      </c>
    </row>
    <row r="2252" spans="1:7" x14ac:dyDescent="0.2">
      <c r="A2252" s="538">
        <v>11</v>
      </c>
      <c r="B2252" s="538" t="s">
        <v>6592</v>
      </c>
      <c r="C2252" s="538" t="s">
        <v>740</v>
      </c>
      <c r="D2252" s="538" t="s">
        <v>393</v>
      </c>
      <c r="E2252" s="538" t="s">
        <v>230</v>
      </c>
      <c r="F2252" s="538">
        <v>11328</v>
      </c>
      <c r="G2252" s="538">
        <v>1</v>
      </c>
    </row>
    <row r="2253" spans="1:7" x14ac:dyDescent="0.2">
      <c r="A2253" s="538">
        <v>5</v>
      </c>
      <c r="B2253" s="538" t="s">
        <v>6598</v>
      </c>
      <c r="C2253" s="538" t="s">
        <v>393</v>
      </c>
      <c r="D2253" s="538" t="s">
        <v>740</v>
      </c>
      <c r="E2253" s="538" t="s">
        <v>401</v>
      </c>
      <c r="F2253" s="538">
        <v>255411</v>
      </c>
      <c r="G2253" s="538">
        <v>17</v>
      </c>
    </row>
    <row r="2254" spans="1:7" x14ac:dyDescent="0.2">
      <c r="A2254" s="538">
        <v>8</v>
      </c>
      <c r="B2254" s="538" t="s">
        <v>6570</v>
      </c>
      <c r="C2254" s="538" t="s">
        <v>740</v>
      </c>
      <c r="D2254" s="538" t="s">
        <v>393</v>
      </c>
      <c r="E2254" s="538" t="s">
        <v>438</v>
      </c>
      <c r="F2254" s="538">
        <v>4340488</v>
      </c>
      <c r="G2254" s="538">
        <v>66</v>
      </c>
    </row>
    <row r="2255" spans="1:7" x14ac:dyDescent="0.2">
      <c r="A2255" s="538">
        <v>8</v>
      </c>
      <c r="B2255" s="538" t="s">
        <v>6570</v>
      </c>
      <c r="C2255" s="538" t="s">
        <v>740</v>
      </c>
      <c r="D2255" s="538" t="s">
        <v>393</v>
      </c>
      <c r="E2255" s="538" t="s">
        <v>206</v>
      </c>
      <c r="F2255" s="538">
        <v>22656</v>
      </c>
      <c r="G2255" s="538">
        <v>2</v>
      </c>
    </row>
    <row r="2256" spans="1:7" x14ac:dyDescent="0.2">
      <c r="A2256" s="538">
        <v>3</v>
      </c>
      <c r="B2256" s="538" t="s">
        <v>6647</v>
      </c>
      <c r="C2256" s="538" t="s">
        <v>740</v>
      </c>
      <c r="D2256" s="538" t="s">
        <v>740</v>
      </c>
      <c r="E2256" s="538" t="s">
        <v>202</v>
      </c>
      <c r="F2256" s="538">
        <v>85491</v>
      </c>
      <c r="G2256" s="538">
        <v>2</v>
      </c>
    </row>
    <row r="2257" spans="1:7" x14ac:dyDescent="0.2">
      <c r="A2257" s="538">
        <v>7</v>
      </c>
      <c r="B2257" s="538" t="s">
        <v>6571</v>
      </c>
      <c r="C2257" s="538" t="s">
        <v>740</v>
      </c>
      <c r="D2257" s="538" t="s">
        <v>393</v>
      </c>
      <c r="E2257" s="538" t="s">
        <v>207</v>
      </c>
      <c r="F2257" s="538">
        <v>56640</v>
      </c>
      <c r="G2257" s="538">
        <v>5</v>
      </c>
    </row>
    <row r="2258" spans="1:7" x14ac:dyDescent="0.2">
      <c r="A2258" s="538">
        <v>8</v>
      </c>
      <c r="B2258" s="538" t="s">
        <v>6648</v>
      </c>
      <c r="C2258" s="538" t="s">
        <v>393</v>
      </c>
      <c r="D2258" s="538" t="s">
        <v>393</v>
      </c>
      <c r="E2258" s="538" t="s">
        <v>313</v>
      </c>
      <c r="F2258" s="538">
        <v>992866</v>
      </c>
      <c r="G2258" s="538">
        <v>2</v>
      </c>
    </row>
    <row r="2259" spans="1:7" x14ac:dyDescent="0.2">
      <c r="A2259" s="538">
        <v>8</v>
      </c>
      <c r="B2259" s="538" t="s">
        <v>6570</v>
      </c>
      <c r="C2259" s="538" t="s">
        <v>740</v>
      </c>
      <c r="D2259" s="538" t="s">
        <v>393</v>
      </c>
      <c r="E2259" s="538" t="s">
        <v>313</v>
      </c>
      <c r="F2259" s="538">
        <v>3327038</v>
      </c>
      <c r="G2259" s="538">
        <v>31</v>
      </c>
    </row>
    <row r="2260" spans="1:7" x14ac:dyDescent="0.2">
      <c r="A2260" s="538">
        <v>7</v>
      </c>
      <c r="B2260" s="538" t="s">
        <v>6579</v>
      </c>
      <c r="C2260" s="538" t="s">
        <v>740</v>
      </c>
      <c r="D2260" s="538" t="s">
        <v>393</v>
      </c>
      <c r="E2260" s="538" t="s">
        <v>390</v>
      </c>
      <c r="F2260" s="538">
        <v>8198078</v>
      </c>
      <c r="G2260" s="538">
        <v>201</v>
      </c>
    </row>
    <row r="2261" spans="1:7" x14ac:dyDescent="0.2">
      <c r="A2261" s="538">
        <v>7</v>
      </c>
      <c r="B2261" s="538" t="s">
        <v>6604</v>
      </c>
      <c r="C2261" s="538" t="s">
        <v>740</v>
      </c>
      <c r="D2261" s="538" t="s">
        <v>393</v>
      </c>
      <c r="E2261" s="538" t="s">
        <v>211</v>
      </c>
      <c r="F2261" s="538">
        <v>135759</v>
      </c>
      <c r="G2261" s="538">
        <v>3</v>
      </c>
    </row>
    <row r="2262" spans="1:7" x14ac:dyDescent="0.2">
      <c r="A2262" s="538">
        <v>5</v>
      </c>
      <c r="B2262" s="538" t="s">
        <v>6568</v>
      </c>
      <c r="C2262" s="538" t="s">
        <v>740</v>
      </c>
      <c r="D2262" s="538" t="s">
        <v>740</v>
      </c>
      <c r="E2262" s="538" t="s">
        <v>438</v>
      </c>
      <c r="F2262" s="538">
        <v>564401</v>
      </c>
      <c r="G2262" s="538">
        <v>7</v>
      </c>
    </row>
    <row r="2263" spans="1:7" x14ac:dyDescent="0.2">
      <c r="A2263" s="538">
        <v>12</v>
      </c>
      <c r="B2263" s="538" t="s">
        <v>6616</v>
      </c>
      <c r="C2263" s="538" t="s">
        <v>740</v>
      </c>
      <c r="D2263" s="538" t="s">
        <v>393</v>
      </c>
      <c r="E2263" s="538" t="s">
        <v>438</v>
      </c>
      <c r="F2263" s="538">
        <v>3802179</v>
      </c>
      <c r="G2263" s="538">
        <v>33</v>
      </c>
    </row>
    <row r="2264" spans="1:7" x14ac:dyDescent="0.2">
      <c r="A2264" s="538">
        <v>7</v>
      </c>
      <c r="B2264" s="538" t="s">
        <v>6579</v>
      </c>
      <c r="C2264" s="538" t="s">
        <v>393</v>
      </c>
      <c r="D2264" s="538" t="s">
        <v>393</v>
      </c>
      <c r="E2264" s="538" t="s">
        <v>209</v>
      </c>
      <c r="F2264" s="538">
        <v>3201087</v>
      </c>
      <c r="G2264" s="538">
        <v>9</v>
      </c>
    </row>
    <row r="2265" spans="1:7" x14ac:dyDescent="0.2">
      <c r="A2265" s="538">
        <v>3</v>
      </c>
      <c r="B2265" s="538" t="s">
        <v>6591</v>
      </c>
      <c r="C2265" s="538" t="s">
        <v>740</v>
      </c>
      <c r="D2265" s="538" t="s">
        <v>393</v>
      </c>
      <c r="E2265" s="538" t="s">
        <v>210</v>
      </c>
      <c r="F2265" s="538">
        <v>10043803</v>
      </c>
      <c r="G2265" s="538">
        <v>371</v>
      </c>
    </row>
    <row r="2266" spans="1:7" x14ac:dyDescent="0.2">
      <c r="A2266" s="538">
        <v>9</v>
      </c>
      <c r="B2266" s="538" t="s">
        <v>6657</v>
      </c>
      <c r="C2266" s="538" t="s">
        <v>740</v>
      </c>
      <c r="D2266" s="538" t="s">
        <v>393</v>
      </c>
      <c r="E2266" s="538" t="s">
        <v>409</v>
      </c>
      <c r="F2266" s="538">
        <v>22656</v>
      </c>
      <c r="G2266" s="538">
        <v>2</v>
      </c>
    </row>
    <row r="2267" spans="1:7" x14ac:dyDescent="0.2">
      <c r="A2267" s="538">
        <v>7</v>
      </c>
      <c r="B2267" s="538" t="s">
        <v>6571</v>
      </c>
      <c r="C2267" s="538" t="s">
        <v>393</v>
      </c>
      <c r="D2267" s="538" t="s">
        <v>393</v>
      </c>
      <c r="E2267" s="538" t="s">
        <v>449</v>
      </c>
      <c r="F2267" s="538">
        <v>464448</v>
      </c>
      <c r="G2267" s="538">
        <v>41</v>
      </c>
    </row>
    <row r="2268" spans="1:7" x14ac:dyDescent="0.2">
      <c r="A2268" s="538">
        <v>3</v>
      </c>
      <c r="B2268" s="538" t="s">
        <v>6561</v>
      </c>
      <c r="C2268" s="538" t="s">
        <v>740</v>
      </c>
      <c r="D2268" s="538" t="s">
        <v>740</v>
      </c>
      <c r="E2268" s="538" t="s">
        <v>230</v>
      </c>
      <c r="F2268" s="538">
        <v>11328</v>
      </c>
      <c r="G2268" s="538">
        <v>1</v>
      </c>
    </row>
    <row r="2269" spans="1:7" x14ac:dyDescent="0.2">
      <c r="A2269" s="538">
        <v>8</v>
      </c>
      <c r="B2269" s="538" t="s">
        <v>6570</v>
      </c>
      <c r="C2269" s="538" t="s">
        <v>393</v>
      </c>
      <c r="D2269" s="538" t="s">
        <v>740</v>
      </c>
      <c r="E2269" s="538" t="s">
        <v>438</v>
      </c>
      <c r="F2269" s="538">
        <v>992866</v>
      </c>
      <c r="G2269" s="538">
        <v>2</v>
      </c>
    </row>
    <row r="2270" spans="1:7" x14ac:dyDescent="0.2">
      <c r="A2270" s="538">
        <v>3</v>
      </c>
      <c r="B2270" s="538" t="s">
        <v>6647</v>
      </c>
      <c r="C2270" s="538" t="s">
        <v>393</v>
      </c>
      <c r="D2270" s="538" t="s">
        <v>740</v>
      </c>
      <c r="E2270" s="538" t="s">
        <v>416</v>
      </c>
      <c r="F2270" s="538">
        <v>827652</v>
      </c>
      <c r="G2270" s="538">
        <v>44</v>
      </c>
    </row>
    <row r="2271" spans="1:7" x14ac:dyDescent="0.2">
      <c r="A2271" s="538">
        <v>5</v>
      </c>
      <c r="B2271" s="538" t="s">
        <v>6599</v>
      </c>
      <c r="C2271" s="538" t="s">
        <v>740</v>
      </c>
      <c r="D2271" s="538" t="s">
        <v>740</v>
      </c>
      <c r="E2271" s="538" t="s">
        <v>212</v>
      </c>
      <c r="F2271" s="538">
        <v>22656</v>
      </c>
      <c r="G2271" s="538">
        <v>2</v>
      </c>
    </row>
    <row r="2272" spans="1:7" x14ac:dyDescent="0.2">
      <c r="A2272" s="538">
        <v>2</v>
      </c>
      <c r="B2272" s="538" t="s">
        <v>6608</v>
      </c>
      <c r="C2272" s="538" t="s">
        <v>393</v>
      </c>
      <c r="D2272" s="538" t="s">
        <v>393</v>
      </c>
      <c r="E2272" s="538" t="s">
        <v>207</v>
      </c>
      <c r="F2272" s="538">
        <v>27073046</v>
      </c>
      <c r="G2272" s="538">
        <v>1717</v>
      </c>
    </row>
    <row r="2273" spans="1:7" x14ac:dyDescent="0.2">
      <c r="A2273" s="538">
        <v>6</v>
      </c>
      <c r="B2273" s="538" t="s">
        <v>1668</v>
      </c>
      <c r="C2273" s="538" t="s">
        <v>393</v>
      </c>
      <c r="D2273" s="538" t="s">
        <v>393</v>
      </c>
      <c r="E2273" s="538" t="s">
        <v>207</v>
      </c>
      <c r="F2273" s="538">
        <v>8366811</v>
      </c>
      <c r="G2273" s="538">
        <v>492</v>
      </c>
    </row>
    <row r="2274" spans="1:7" x14ac:dyDescent="0.2">
      <c r="A2274" s="538">
        <v>2</v>
      </c>
      <c r="B2274" s="538" t="s">
        <v>6573</v>
      </c>
      <c r="C2274" s="538" t="s">
        <v>740</v>
      </c>
      <c r="D2274" s="538" t="s">
        <v>393</v>
      </c>
      <c r="E2274" s="538" t="s">
        <v>230</v>
      </c>
      <c r="F2274" s="538">
        <v>4580583</v>
      </c>
      <c r="G2274" s="538">
        <v>156</v>
      </c>
    </row>
    <row r="2275" spans="1:7" x14ac:dyDescent="0.2">
      <c r="A2275" s="538">
        <v>5</v>
      </c>
      <c r="B2275" s="538" t="s">
        <v>6599</v>
      </c>
      <c r="C2275" s="538" t="s">
        <v>740</v>
      </c>
      <c r="D2275" s="538" t="s">
        <v>740</v>
      </c>
      <c r="E2275" s="538" t="s">
        <v>401</v>
      </c>
      <c r="F2275" s="538">
        <v>45312</v>
      </c>
      <c r="G2275" s="538">
        <v>4</v>
      </c>
    </row>
    <row r="2276" spans="1:7" x14ac:dyDescent="0.2">
      <c r="A2276" s="538">
        <v>7</v>
      </c>
      <c r="B2276" s="538" t="s">
        <v>6579</v>
      </c>
      <c r="C2276" s="538" t="s">
        <v>740</v>
      </c>
      <c r="D2276" s="538" t="s">
        <v>393</v>
      </c>
      <c r="E2276" s="538" t="s">
        <v>210</v>
      </c>
      <c r="F2276" s="538">
        <v>101952</v>
      </c>
      <c r="G2276" s="538">
        <v>9</v>
      </c>
    </row>
    <row r="2277" spans="1:7" x14ac:dyDescent="0.2">
      <c r="A2277" s="538">
        <v>3</v>
      </c>
      <c r="B2277" s="538" t="s">
        <v>6578</v>
      </c>
      <c r="C2277" s="538" t="s">
        <v>393</v>
      </c>
      <c r="D2277" s="538" t="s">
        <v>740</v>
      </c>
      <c r="E2277" s="538" t="s">
        <v>209</v>
      </c>
      <c r="F2277" s="538">
        <v>992866</v>
      </c>
      <c r="G2277" s="538">
        <v>2</v>
      </c>
    </row>
    <row r="2278" spans="1:7" x14ac:dyDescent="0.2">
      <c r="A2278" s="538">
        <v>6</v>
      </c>
      <c r="B2278" s="538" t="s">
        <v>6596</v>
      </c>
      <c r="C2278" s="538" t="s">
        <v>740</v>
      </c>
      <c r="D2278" s="538" t="s">
        <v>393</v>
      </c>
      <c r="E2278" s="538" t="s">
        <v>230</v>
      </c>
      <c r="F2278" s="538">
        <v>8351402</v>
      </c>
      <c r="G2278" s="538">
        <v>109</v>
      </c>
    </row>
    <row r="2279" spans="1:7" x14ac:dyDescent="0.2">
      <c r="A2279" s="538">
        <v>11</v>
      </c>
      <c r="B2279" s="538" t="s">
        <v>6592</v>
      </c>
      <c r="C2279" s="538" t="s">
        <v>740</v>
      </c>
      <c r="D2279" s="538" t="s">
        <v>740</v>
      </c>
      <c r="E2279" s="538" t="s">
        <v>402</v>
      </c>
      <c r="F2279" s="538">
        <v>168504</v>
      </c>
      <c r="G2279" s="538">
        <v>8</v>
      </c>
    </row>
    <row r="2280" spans="1:7" x14ac:dyDescent="0.2">
      <c r="A2280" s="538">
        <v>3</v>
      </c>
      <c r="B2280" s="538" t="s">
        <v>6605</v>
      </c>
      <c r="C2280" s="538" t="s">
        <v>393</v>
      </c>
      <c r="D2280" s="538" t="s">
        <v>393</v>
      </c>
      <c r="E2280" s="538" t="s">
        <v>390</v>
      </c>
      <c r="F2280" s="538">
        <v>14975825</v>
      </c>
      <c r="G2280" s="538">
        <v>290</v>
      </c>
    </row>
    <row r="2281" spans="1:7" x14ac:dyDescent="0.2">
      <c r="A2281" s="538">
        <v>8</v>
      </c>
      <c r="B2281" s="538" t="s">
        <v>6567</v>
      </c>
      <c r="C2281" s="538" t="s">
        <v>740</v>
      </c>
      <c r="D2281" s="538" t="s">
        <v>393</v>
      </c>
      <c r="E2281" s="538" t="s">
        <v>390</v>
      </c>
      <c r="F2281" s="538">
        <v>79689993</v>
      </c>
      <c r="G2281" s="538">
        <v>3026</v>
      </c>
    </row>
    <row r="2282" spans="1:7" x14ac:dyDescent="0.2">
      <c r="A2282" s="538">
        <v>5</v>
      </c>
      <c r="B2282" s="538" t="s">
        <v>6568</v>
      </c>
      <c r="C2282" s="538" t="s">
        <v>740</v>
      </c>
      <c r="D2282" s="538" t="s">
        <v>393</v>
      </c>
      <c r="E2282" s="538" t="s">
        <v>409</v>
      </c>
      <c r="F2282" s="538">
        <v>1012211</v>
      </c>
      <c r="G2282" s="538">
        <v>32</v>
      </c>
    </row>
    <row r="2283" spans="1:7" x14ac:dyDescent="0.2">
      <c r="A2283" s="538">
        <v>7</v>
      </c>
      <c r="B2283" s="538" t="s">
        <v>6604</v>
      </c>
      <c r="C2283" s="538" t="s">
        <v>393</v>
      </c>
      <c r="D2283" s="538" t="s">
        <v>393</v>
      </c>
      <c r="E2283" s="538" t="s">
        <v>449</v>
      </c>
      <c r="F2283" s="538">
        <v>328335</v>
      </c>
      <c r="G2283" s="538">
        <v>20</v>
      </c>
    </row>
    <row r="2284" spans="1:7" x14ac:dyDescent="0.2">
      <c r="A2284" s="538">
        <v>2</v>
      </c>
      <c r="B2284" s="538" t="s">
        <v>6608</v>
      </c>
      <c r="C2284" s="538" t="s">
        <v>740</v>
      </c>
      <c r="D2284" s="538" t="s">
        <v>393</v>
      </c>
      <c r="E2284" s="538" t="s">
        <v>402</v>
      </c>
      <c r="F2284" s="538">
        <v>1643976</v>
      </c>
      <c r="G2284" s="538">
        <v>92</v>
      </c>
    </row>
    <row r="2285" spans="1:7" x14ac:dyDescent="0.2">
      <c r="A2285" s="538">
        <v>7</v>
      </c>
      <c r="B2285" s="538" t="s">
        <v>6604</v>
      </c>
      <c r="C2285" s="538" t="s">
        <v>740</v>
      </c>
      <c r="D2285" s="538" t="s">
        <v>393</v>
      </c>
      <c r="E2285" s="538" t="s">
        <v>209</v>
      </c>
      <c r="F2285" s="538">
        <v>148326</v>
      </c>
      <c r="G2285" s="538">
        <v>2</v>
      </c>
    </row>
    <row r="2286" spans="1:7" x14ac:dyDescent="0.2">
      <c r="A2286" s="538">
        <v>2</v>
      </c>
      <c r="B2286" s="538" t="s">
        <v>6656</v>
      </c>
      <c r="C2286" s="538" t="s">
        <v>740</v>
      </c>
      <c r="D2286" s="538" t="s">
        <v>393</v>
      </c>
      <c r="E2286" s="538" t="s">
        <v>202</v>
      </c>
      <c r="F2286" s="538">
        <v>1054462</v>
      </c>
      <c r="G2286" s="538">
        <v>4</v>
      </c>
    </row>
    <row r="2287" spans="1:7" x14ac:dyDescent="0.2">
      <c r="A2287" s="538">
        <v>4</v>
      </c>
      <c r="B2287" s="538" t="s">
        <v>6562</v>
      </c>
      <c r="C2287" s="538" t="s">
        <v>740</v>
      </c>
      <c r="D2287" s="538" t="s">
        <v>393</v>
      </c>
      <c r="E2287" s="538" t="s">
        <v>202</v>
      </c>
      <c r="F2287" s="538">
        <v>853442</v>
      </c>
      <c r="G2287" s="538">
        <v>9</v>
      </c>
    </row>
    <row r="2288" spans="1:7" x14ac:dyDescent="0.2">
      <c r="A2288" s="538">
        <v>8</v>
      </c>
      <c r="B2288" s="538" t="s">
        <v>6570</v>
      </c>
      <c r="C2288" s="538" t="s">
        <v>740</v>
      </c>
      <c r="D2288" s="538" t="s">
        <v>393</v>
      </c>
      <c r="E2288" s="538" t="s">
        <v>207</v>
      </c>
      <c r="F2288" s="538">
        <v>6265394</v>
      </c>
      <c r="G2288" s="538">
        <v>403</v>
      </c>
    </row>
    <row r="2289" spans="1:7" x14ac:dyDescent="0.2">
      <c r="A2289" s="538">
        <v>6</v>
      </c>
      <c r="B2289" s="538" t="s">
        <v>6596</v>
      </c>
      <c r="C2289" s="538" t="s">
        <v>740</v>
      </c>
      <c r="D2289" s="538" t="s">
        <v>393</v>
      </c>
      <c r="E2289" s="538" t="s">
        <v>449</v>
      </c>
      <c r="F2289" s="538">
        <v>11328</v>
      </c>
      <c r="G2289" s="538">
        <v>1</v>
      </c>
    </row>
    <row r="2290" spans="1:7" x14ac:dyDescent="0.2">
      <c r="A2290" s="538">
        <v>9</v>
      </c>
      <c r="B2290" s="538" t="s">
        <v>6615</v>
      </c>
      <c r="C2290" s="538" t="s">
        <v>393</v>
      </c>
      <c r="D2290" s="538" t="s">
        <v>393</v>
      </c>
      <c r="E2290" s="538" t="s">
        <v>416</v>
      </c>
      <c r="F2290" s="538">
        <v>89294808</v>
      </c>
      <c r="G2290" s="538">
        <v>1651</v>
      </c>
    </row>
    <row r="2291" spans="1:7" x14ac:dyDescent="0.2">
      <c r="A2291" s="538">
        <v>3</v>
      </c>
      <c r="B2291" s="538" t="s">
        <v>6591</v>
      </c>
      <c r="C2291" s="538" t="s">
        <v>740</v>
      </c>
      <c r="D2291" s="538" t="s">
        <v>393</v>
      </c>
      <c r="E2291" s="538" t="s">
        <v>401</v>
      </c>
      <c r="F2291" s="538">
        <v>872381</v>
      </c>
      <c r="G2291" s="538">
        <v>12</v>
      </c>
    </row>
    <row r="2292" spans="1:7" x14ac:dyDescent="0.2">
      <c r="A2292" s="538">
        <v>2</v>
      </c>
      <c r="B2292" s="538" t="s">
        <v>6573</v>
      </c>
      <c r="C2292" s="538" t="s">
        <v>393</v>
      </c>
      <c r="D2292" s="538" t="s">
        <v>393</v>
      </c>
      <c r="E2292" s="538" t="s">
        <v>390</v>
      </c>
      <c r="F2292" s="538">
        <v>14385655</v>
      </c>
      <c r="G2292" s="538">
        <v>310</v>
      </c>
    </row>
    <row r="2293" spans="1:7" x14ac:dyDescent="0.2">
      <c r="A2293" s="538">
        <v>3</v>
      </c>
      <c r="B2293" s="538" t="s">
        <v>6561</v>
      </c>
      <c r="C2293" s="538" t="s">
        <v>740</v>
      </c>
      <c r="D2293" s="538" t="s">
        <v>740</v>
      </c>
      <c r="E2293" s="538" t="s">
        <v>860</v>
      </c>
      <c r="F2293" s="538">
        <v>33984</v>
      </c>
      <c r="G2293" s="538">
        <v>3</v>
      </c>
    </row>
    <row r="2294" spans="1:7" x14ac:dyDescent="0.2">
      <c r="A2294" s="538">
        <v>9</v>
      </c>
      <c r="B2294" s="538" t="s">
        <v>6613</v>
      </c>
      <c r="C2294" s="538" t="s">
        <v>393</v>
      </c>
      <c r="D2294" s="538" t="s">
        <v>393</v>
      </c>
      <c r="E2294" s="538" t="s">
        <v>207</v>
      </c>
      <c r="F2294" s="538">
        <v>14227781</v>
      </c>
      <c r="G2294" s="538">
        <v>757</v>
      </c>
    </row>
    <row r="2295" spans="1:7" x14ac:dyDescent="0.2">
      <c r="A2295" s="538">
        <v>2</v>
      </c>
      <c r="B2295" s="538" t="s">
        <v>6608</v>
      </c>
      <c r="C2295" s="538" t="s">
        <v>393</v>
      </c>
      <c r="D2295" s="538" t="s">
        <v>393</v>
      </c>
      <c r="E2295" s="538" t="s">
        <v>416</v>
      </c>
      <c r="F2295" s="538">
        <v>52144100</v>
      </c>
      <c r="G2295" s="538">
        <v>695</v>
      </c>
    </row>
    <row r="2296" spans="1:7" x14ac:dyDescent="0.2">
      <c r="A2296" s="538">
        <v>12</v>
      </c>
      <c r="B2296" s="538" t="s">
        <v>6563</v>
      </c>
      <c r="C2296" s="538" t="s">
        <v>740</v>
      </c>
      <c r="D2296" s="538" t="s">
        <v>393</v>
      </c>
      <c r="E2296" s="538" t="s">
        <v>202</v>
      </c>
      <c r="F2296" s="538">
        <v>24270367</v>
      </c>
      <c r="G2296" s="538">
        <v>194</v>
      </c>
    </row>
    <row r="2297" spans="1:7" x14ac:dyDescent="0.2">
      <c r="A2297" s="538">
        <v>7</v>
      </c>
      <c r="B2297" s="538" t="s">
        <v>6594</v>
      </c>
      <c r="C2297" s="538" t="s">
        <v>740</v>
      </c>
      <c r="D2297" s="538" t="s">
        <v>393</v>
      </c>
      <c r="E2297" s="538" t="s">
        <v>212</v>
      </c>
      <c r="F2297" s="538">
        <v>33984</v>
      </c>
      <c r="G2297" s="538">
        <v>3</v>
      </c>
    </row>
    <row r="2298" spans="1:7" x14ac:dyDescent="0.2">
      <c r="A2298" s="538">
        <v>11</v>
      </c>
      <c r="B2298" s="538" t="s">
        <v>6592</v>
      </c>
      <c r="C2298" s="538" t="s">
        <v>393</v>
      </c>
      <c r="D2298" s="538" t="s">
        <v>393</v>
      </c>
      <c r="E2298" s="538" t="s">
        <v>212</v>
      </c>
      <c r="F2298" s="538">
        <v>829901</v>
      </c>
      <c r="G2298" s="538">
        <v>27</v>
      </c>
    </row>
    <row r="2299" spans="1:7" x14ac:dyDescent="0.2">
      <c r="A2299" s="538">
        <v>4</v>
      </c>
      <c r="B2299" s="538" t="s">
        <v>6574</v>
      </c>
      <c r="C2299" s="538" t="s">
        <v>393</v>
      </c>
      <c r="D2299" s="538" t="s">
        <v>393</v>
      </c>
      <c r="E2299" s="538" t="s">
        <v>438</v>
      </c>
      <c r="F2299" s="538">
        <v>14381574</v>
      </c>
      <c r="G2299" s="538">
        <v>128</v>
      </c>
    </row>
    <row r="2300" spans="1:7" x14ac:dyDescent="0.2">
      <c r="A2300" s="538">
        <v>4</v>
      </c>
      <c r="B2300" s="538" t="s">
        <v>6574</v>
      </c>
      <c r="C2300" s="538" t="s">
        <v>393</v>
      </c>
      <c r="D2300" s="538" t="s">
        <v>393</v>
      </c>
      <c r="E2300" s="538" t="s">
        <v>206</v>
      </c>
      <c r="F2300" s="538">
        <v>22656</v>
      </c>
      <c r="G2300" s="538">
        <v>2</v>
      </c>
    </row>
    <row r="2301" spans="1:7" x14ac:dyDescent="0.2">
      <c r="A2301" s="538">
        <v>8</v>
      </c>
      <c r="B2301" s="538" t="s">
        <v>6577</v>
      </c>
      <c r="C2301" s="538" t="s">
        <v>740</v>
      </c>
      <c r="D2301" s="538" t="s">
        <v>740</v>
      </c>
      <c r="E2301" s="538" t="s">
        <v>438</v>
      </c>
      <c r="F2301" s="538">
        <v>11328</v>
      </c>
      <c r="G2301" s="538">
        <v>1</v>
      </c>
    </row>
    <row r="2302" spans="1:7" x14ac:dyDescent="0.2">
      <c r="A2302" s="538">
        <v>1</v>
      </c>
      <c r="B2302" s="538" t="s">
        <v>1288</v>
      </c>
      <c r="C2302" s="538" t="s">
        <v>393</v>
      </c>
      <c r="D2302" s="538" t="s">
        <v>393</v>
      </c>
      <c r="E2302" s="538" t="s">
        <v>209</v>
      </c>
      <c r="F2302" s="538">
        <v>1004194</v>
      </c>
      <c r="G2302" s="538">
        <v>3</v>
      </c>
    </row>
    <row r="2303" spans="1:7" x14ac:dyDescent="0.2">
      <c r="A2303" s="538">
        <v>10</v>
      </c>
      <c r="B2303" s="538" t="s">
        <v>6652</v>
      </c>
      <c r="C2303" s="538" t="s">
        <v>393</v>
      </c>
      <c r="D2303" s="538" t="s">
        <v>393</v>
      </c>
      <c r="E2303" s="538" t="s">
        <v>402</v>
      </c>
      <c r="F2303" s="538">
        <v>153459</v>
      </c>
      <c r="G2303" s="538">
        <v>8</v>
      </c>
    </row>
    <row r="2304" spans="1:7" x14ac:dyDescent="0.2">
      <c r="A2304" s="538">
        <v>3</v>
      </c>
      <c r="B2304" s="538" t="s">
        <v>6561</v>
      </c>
      <c r="C2304" s="538" t="s">
        <v>740</v>
      </c>
      <c r="D2304" s="538" t="s">
        <v>393</v>
      </c>
      <c r="E2304" s="538" t="s">
        <v>409</v>
      </c>
      <c r="F2304" s="538">
        <v>2686704</v>
      </c>
      <c r="G2304" s="538">
        <v>63</v>
      </c>
    </row>
    <row r="2305" spans="1:7" x14ac:dyDescent="0.2">
      <c r="A2305" s="538">
        <v>2</v>
      </c>
      <c r="B2305" s="538" t="s">
        <v>6585</v>
      </c>
      <c r="C2305" s="538" t="s">
        <v>740</v>
      </c>
      <c r="D2305" s="538" t="s">
        <v>393</v>
      </c>
      <c r="E2305" s="538" t="s">
        <v>860</v>
      </c>
      <c r="F2305" s="538">
        <v>130803</v>
      </c>
      <c r="G2305" s="538">
        <v>6</v>
      </c>
    </row>
    <row r="2306" spans="1:7" x14ac:dyDescent="0.2">
      <c r="A2306" s="538">
        <v>2</v>
      </c>
      <c r="B2306" s="538" t="s">
        <v>6656</v>
      </c>
      <c r="C2306" s="538" t="s">
        <v>393</v>
      </c>
      <c r="D2306" s="538" t="s">
        <v>393</v>
      </c>
      <c r="E2306" s="538" t="s">
        <v>438</v>
      </c>
      <c r="F2306" s="538">
        <v>7144210</v>
      </c>
      <c r="G2306" s="538">
        <v>60</v>
      </c>
    </row>
    <row r="2307" spans="1:7" x14ac:dyDescent="0.2">
      <c r="A2307" s="538">
        <v>6</v>
      </c>
      <c r="B2307" s="538" t="s">
        <v>1668</v>
      </c>
      <c r="C2307" s="538" t="s">
        <v>740</v>
      </c>
      <c r="D2307" s="538" t="s">
        <v>393</v>
      </c>
      <c r="E2307" s="538" t="s">
        <v>416</v>
      </c>
      <c r="F2307" s="538">
        <v>85491</v>
      </c>
      <c r="G2307" s="538">
        <v>2</v>
      </c>
    </row>
    <row r="2308" spans="1:7" x14ac:dyDescent="0.2">
      <c r="A2308" s="538">
        <v>3</v>
      </c>
      <c r="B2308" s="538" t="s">
        <v>6578</v>
      </c>
      <c r="C2308" s="538" t="s">
        <v>740</v>
      </c>
      <c r="D2308" s="538" t="s">
        <v>740</v>
      </c>
      <c r="E2308" s="538" t="s">
        <v>230</v>
      </c>
      <c r="F2308" s="538">
        <v>911321</v>
      </c>
      <c r="G2308" s="538">
        <v>12</v>
      </c>
    </row>
    <row r="2309" spans="1:7" x14ac:dyDescent="0.2">
      <c r="A2309" s="538">
        <v>10</v>
      </c>
      <c r="B2309" s="538" t="s">
        <v>6582</v>
      </c>
      <c r="C2309" s="538" t="s">
        <v>393</v>
      </c>
      <c r="D2309" s="538" t="s">
        <v>740</v>
      </c>
      <c r="E2309" s="538" t="s">
        <v>390</v>
      </c>
      <c r="F2309" s="538">
        <v>1568876</v>
      </c>
      <c r="G2309" s="538">
        <v>32</v>
      </c>
    </row>
    <row r="2310" spans="1:7" x14ac:dyDescent="0.2">
      <c r="A2310" s="538">
        <v>4</v>
      </c>
      <c r="B2310" s="538" t="s">
        <v>6562</v>
      </c>
      <c r="C2310" s="538" t="s">
        <v>740</v>
      </c>
      <c r="D2310" s="538" t="s">
        <v>393</v>
      </c>
      <c r="E2310" s="538" t="s">
        <v>401</v>
      </c>
      <c r="F2310" s="538">
        <v>638564</v>
      </c>
      <c r="G2310" s="538">
        <v>8</v>
      </c>
    </row>
    <row r="2311" spans="1:7" x14ac:dyDescent="0.2">
      <c r="A2311" s="538">
        <v>4</v>
      </c>
      <c r="B2311" s="538" t="s">
        <v>6559</v>
      </c>
      <c r="C2311" s="538" t="s">
        <v>740</v>
      </c>
      <c r="D2311" s="538" t="s">
        <v>740</v>
      </c>
      <c r="E2311" s="538" t="s">
        <v>202</v>
      </c>
      <c r="F2311" s="538">
        <v>2415946</v>
      </c>
      <c r="G2311" s="538">
        <v>32</v>
      </c>
    </row>
    <row r="2312" spans="1:7" x14ac:dyDescent="0.2">
      <c r="A2312" s="538">
        <v>10</v>
      </c>
      <c r="B2312" s="538" t="s">
        <v>6587</v>
      </c>
      <c r="C2312" s="538" t="s">
        <v>740</v>
      </c>
      <c r="D2312" s="538" t="s">
        <v>393</v>
      </c>
      <c r="E2312" s="538" t="s">
        <v>409</v>
      </c>
      <c r="F2312" s="538">
        <v>182310</v>
      </c>
      <c r="G2312" s="538">
        <v>5</v>
      </c>
    </row>
    <row r="2313" spans="1:7" x14ac:dyDescent="0.2">
      <c r="A2313" s="538">
        <v>2</v>
      </c>
      <c r="B2313" s="538" t="s">
        <v>6654</v>
      </c>
      <c r="C2313" s="538" t="s">
        <v>740</v>
      </c>
      <c r="D2313" s="538" t="s">
        <v>393</v>
      </c>
      <c r="E2313" s="538" t="s">
        <v>390</v>
      </c>
      <c r="F2313" s="538">
        <v>3654342</v>
      </c>
      <c r="G2313" s="538">
        <v>154</v>
      </c>
    </row>
    <row r="2314" spans="1:7" x14ac:dyDescent="0.2">
      <c r="A2314" s="538">
        <v>4</v>
      </c>
      <c r="B2314" s="538" t="s">
        <v>6574</v>
      </c>
      <c r="C2314" s="538" t="s">
        <v>740</v>
      </c>
      <c r="D2314" s="538" t="s">
        <v>740</v>
      </c>
      <c r="E2314" s="538" t="s">
        <v>390</v>
      </c>
      <c r="F2314" s="538">
        <v>34215881</v>
      </c>
      <c r="G2314" s="538">
        <v>1177</v>
      </c>
    </row>
    <row r="2315" spans="1:7" x14ac:dyDescent="0.2">
      <c r="A2315" s="538">
        <v>10</v>
      </c>
      <c r="B2315" s="538" t="s">
        <v>6601</v>
      </c>
      <c r="C2315" s="538" t="s">
        <v>393</v>
      </c>
      <c r="D2315" s="538" t="s">
        <v>393</v>
      </c>
      <c r="E2315" s="538" t="s">
        <v>449</v>
      </c>
      <c r="F2315" s="538">
        <v>33984</v>
      </c>
      <c r="G2315" s="538">
        <v>3</v>
      </c>
    </row>
    <row r="2316" spans="1:7" x14ac:dyDescent="0.2">
      <c r="A2316" s="538">
        <v>12</v>
      </c>
      <c r="B2316" s="538" t="s">
        <v>6563</v>
      </c>
      <c r="C2316" s="538" t="s">
        <v>740</v>
      </c>
      <c r="D2316" s="538" t="s">
        <v>393</v>
      </c>
      <c r="E2316" s="538" t="s">
        <v>401</v>
      </c>
      <c r="F2316" s="538">
        <v>445332</v>
      </c>
      <c r="G2316" s="538">
        <v>29</v>
      </c>
    </row>
    <row r="2317" spans="1:7" x14ac:dyDescent="0.2">
      <c r="A2317" s="538">
        <v>8</v>
      </c>
      <c r="B2317" s="538" t="s">
        <v>6570</v>
      </c>
      <c r="C2317" s="538" t="s">
        <v>740</v>
      </c>
      <c r="D2317" s="538" t="s">
        <v>740</v>
      </c>
      <c r="E2317" s="538" t="s">
        <v>449</v>
      </c>
      <c r="F2317" s="538">
        <v>79296</v>
      </c>
      <c r="G2317" s="538">
        <v>7</v>
      </c>
    </row>
    <row r="2318" spans="1:7" x14ac:dyDescent="0.2">
      <c r="A2318" s="538">
        <v>6</v>
      </c>
      <c r="B2318" s="538" t="s">
        <v>6565</v>
      </c>
      <c r="C2318" s="538" t="s">
        <v>740</v>
      </c>
      <c r="D2318" s="538" t="s">
        <v>393</v>
      </c>
      <c r="E2318" s="538" t="s">
        <v>438</v>
      </c>
      <c r="F2318" s="538">
        <v>74163</v>
      </c>
      <c r="G2318" s="538">
        <v>1</v>
      </c>
    </row>
    <row r="2319" spans="1:7" x14ac:dyDescent="0.2">
      <c r="A2319" s="538">
        <v>6</v>
      </c>
      <c r="B2319" s="538" t="s">
        <v>6429</v>
      </c>
      <c r="C2319" s="538" t="s">
        <v>740</v>
      </c>
      <c r="D2319" s="538" t="s">
        <v>740</v>
      </c>
      <c r="E2319" s="538" t="s">
        <v>211</v>
      </c>
      <c r="F2319" s="538">
        <v>11328</v>
      </c>
      <c r="G2319" s="538">
        <v>1</v>
      </c>
    </row>
    <row r="2320" spans="1:7" x14ac:dyDescent="0.2">
      <c r="A2320" s="538">
        <v>8</v>
      </c>
      <c r="B2320" s="538" t="s">
        <v>6570</v>
      </c>
      <c r="C2320" s="538" t="s">
        <v>740</v>
      </c>
      <c r="D2320" s="538" t="s">
        <v>740</v>
      </c>
      <c r="E2320" s="538" t="s">
        <v>401</v>
      </c>
      <c r="F2320" s="538">
        <v>242844</v>
      </c>
      <c r="G2320" s="538">
        <v>18</v>
      </c>
    </row>
    <row r="2321" spans="1:7" x14ac:dyDescent="0.2">
      <c r="A2321" s="538">
        <v>6</v>
      </c>
      <c r="B2321" s="538" t="s">
        <v>6596</v>
      </c>
      <c r="C2321" s="538" t="s">
        <v>740</v>
      </c>
      <c r="D2321" s="538" t="s">
        <v>393</v>
      </c>
      <c r="E2321" s="538" t="s">
        <v>438</v>
      </c>
      <c r="F2321" s="538">
        <v>1367575</v>
      </c>
      <c r="G2321" s="538">
        <v>15</v>
      </c>
    </row>
    <row r="2322" spans="1:7" x14ac:dyDescent="0.2">
      <c r="A2322" s="538">
        <v>4</v>
      </c>
      <c r="B2322" s="538" t="s">
        <v>6562</v>
      </c>
      <c r="C2322" s="538" t="s">
        <v>393</v>
      </c>
      <c r="D2322" s="538" t="s">
        <v>740</v>
      </c>
      <c r="E2322" s="538" t="s">
        <v>212</v>
      </c>
      <c r="F2322" s="538">
        <v>147264</v>
      </c>
      <c r="G2322" s="538">
        <v>13</v>
      </c>
    </row>
    <row r="2323" spans="1:7" x14ac:dyDescent="0.2">
      <c r="A2323" s="538">
        <v>3</v>
      </c>
      <c r="B2323" s="538" t="s">
        <v>6605</v>
      </c>
      <c r="C2323" s="538" t="s">
        <v>393</v>
      </c>
      <c r="D2323" s="538" t="s">
        <v>740</v>
      </c>
      <c r="E2323" s="538" t="s">
        <v>209</v>
      </c>
      <c r="F2323" s="538">
        <v>1637625</v>
      </c>
      <c r="G2323" s="538">
        <v>5</v>
      </c>
    </row>
    <row r="2324" spans="1:7" x14ac:dyDescent="0.2">
      <c r="A2324" s="538">
        <v>3</v>
      </c>
      <c r="B2324" s="538" t="s">
        <v>1390</v>
      </c>
      <c r="C2324" s="538" t="s">
        <v>740</v>
      </c>
      <c r="D2324" s="538" t="s">
        <v>740</v>
      </c>
      <c r="E2324" s="538" t="s">
        <v>202</v>
      </c>
      <c r="F2324" s="538">
        <v>74163</v>
      </c>
      <c r="G2324" s="538">
        <v>1</v>
      </c>
    </row>
    <row r="2325" spans="1:7" x14ac:dyDescent="0.2">
      <c r="A2325" s="538">
        <v>12</v>
      </c>
      <c r="B2325" s="538" t="s">
        <v>6569</v>
      </c>
      <c r="C2325" s="538" t="s">
        <v>740</v>
      </c>
      <c r="D2325" s="538" t="s">
        <v>393</v>
      </c>
      <c r="E2325" s="538" t="s">
        <v>207</v>
      </c>
      <c r="F2325" s="538">
        <v>329574</v>
      </c>
      <c r="G2325" s="538">
        <v>18</v>
      </c>
    </row>
    <row r="2326" spans="1:7" x14ac:dyDescent="0.2">
      <c r="A2326" s="538">
        <v>8</v>
      </c>
      <c r="B2326" s="538" t="s">
        <v>6658</v>
      </c>
      <c r="C2326" s="538" t="s">
        <v>740</v>
      </c>
      <c r="D2326" s="538" t="s">
        <v>393</v>
      </c>
      <c r="E2326" s="538" t="s">
        <v>409</v>
      </c>
      <c r="F2326" s="538">
        <v>11328</v>
      </c>
      <c r="G2326" s="538">
        <v>1</v>
      </c>
    </row>
    <row r="2327" spans="1:7" x14ac:dyDescent="0.2">
      <c r="A2327" s="538">
        <v>2</v>
      </c>
      <c r="B2327" s="538" t="s">
        <v>6656</v>
      </c>
      <c r="C2327" s="538" t="s">
        <v>740</v>
      </c>
      <c r="D2327" s="538" t="s">
        <v>393</v>
      </c>
      <c r="E2327" s="538" t="s">
        <v>438</v>
      </c>
      <c r="F2327" s="538">
        <v>74163</v>
      </c>
      <c r="G2327" s="538">
        <v>1</v>
      </c>
    </row>
    <row r="2328" spans="1:7" x14ac:dyDescent="0.2">
      <c r="A2328" s="538">
        <v>4</v>
      </c>
      <c r="B2328" s="538" t="s">
        <v>6572</v>
      </c>
      <c r="C2328" s="538" t="s">
        <v>740</v>
      </c>
      <c r="D2328" s="538" t="s">
        <v>393</v>
      </c>
      <c r="E2328" s="538" t="s">
        <v>207</v>
      </c>
      <c r="F2328" s="538">
        <v>401436</v>
      </c>
      <c r="G2328" s="538">
        <v>32</v>
      </c>
    </row>
    <row r="2329" spans="1:7" x14ac:dyDescent="0.2">
      <c r="A2329" s="538">
        <v>3</v>
      </c>
      <c r="B2329" s="538" t="s">
        <v>6603</v>
      </c>
      <c r="C2329" s="538" t="s">
        <v>393</v>
      </c>
      <c r="D2329" s="538" t="s">
        <v>393</v>
      </c>
      <c r="E2329" s="538" t="s">
        <v>416</v>
      </c>
      <c r="F2329" s="538">
        <v>41059536</v>
      </c>
      <c r="G2329" s="538">
        <v>677</v>
      </c>
    </row>
    <row r="2330" spans="1:7" x14ac:dyDescent="0.2">
      <c r="A2330" s="538">
        <v>3</v>
      </c>
      <c r="B2330" s="538" t="s">
        <v>1390</v>
      </c>
      <c r="C2330" s="538" t="s">
        <v>740</v>
      </c>
      <c r="D2330" s="538" t="s">
        <v>393</v>
      </c>
      <c r="E2330" s="538" t="s">
        <v>416</v>
      </c>
      <c r="F2330" s="538">
        <v>181071</v>
      </c>
      <c r="G2330" s="538">
        <v>7</v>
      </c>
    </row>
    <row r="2331" spans="1:7" x14ac:dyDescent="0.2">
      <c r="A2331" s="538">
        <v>3</v>
      </c>
      <c r="B2331" s="538" t="s">
        <v>6586</v>
      </c>
      <c r="C2331" s="538" t="s">
        <v>740</v>
      </c>
      <c r="D2331" s="538" t="s">
        <v>740</v>
      </c>
      <c r="E2331" s="538" t="s">
        <v>438</v>
      </c>
      <c r="F2331" s="538">
        <v>1895337</v>
      </c>
      <c r="G2331" s="538">
        <v>14</v>
      </c>
    </row>
    <row r="2332" spans="1:7" x14ac:dyDescent="0.2">
      <c r="A2332" s="538">
        <v>1</v>
      </c>
      <c r="B2332" s="538" t="s">
        <v>6649</v>
      </c>
      <c r="C2332" s="538" t="s">
        <v>740</v>
      </c>
      <c r="D2332" s="538" t="s">
        <v>393</v>
      </c>
      <c r="E2332" s="538" t="s">
        <v>212</v>
      </c>
      <c r="F2332" s="538">
        <v>11328</v>
      </c>
      <c r="G2332" s="538">
        <v>1</v>
      </c>
    </row>
    <row r="2333" spans="1:7" x14ac:dyDescent="0.2">
      <c r="A2333" s="538">
        <v>3</v>
      </c>
      <c r="B2333" s="538" t="s">
        <v>1390</v>
      </c>
      <c r="C2333" s="538" t="s">
        <v>393</v>
      </c>
      <c r="D2333" s="538" t="s">
        <v>740</v>
      </c>
      <c r="E2333" s="538" t="s">
        <v>402</v>
      </c>
      <c r="F2333" s="538">
        <v>2492639</v>
      </c>
      <c r="G2333" s="538">
        <v>108</v>
      </c>
    </row>
    <row r="2334" spans="1:7" x14ac:dyDescent="0.2">
      <c r="A2334" s="538">
        <v>4</v>
      </c>
      <c r="B2334" s="538" t="s">
        <v>6593</v>
      </c>
      <c r="C2334" s="538" t="s">
        <v>393</v>
      </c>
      <c r="D2334" s="538" t="s">
        <v>740</v>
      </c>
      <c r="E2334" s="538" t="s">
        <v>211</v>
      </c>
      <c r="F2334" s="538">
        <v>11328</v>
      </c>
      <c r="G2334" s="538">
        <v>1</v>
      </c>
    </row>
    <row r="2335" spans="1:7" x14ac:dyDescent="0.2">
      <c r="A2335" s="538">
        <v>4</v>
      </c>
      <c r="B2335" s="538" t="s">
        <v>6590</v>
      </c>
      <c r="C2335" s="538" t="s">
        <v>393</v>
      </c>
      <c r="D2335" s="538" t="s">
        <v>393</v>
      </c>
      <c r="E2335" s="538" t="s">
        <v>390</v>
      </c>
      <c r="F2335" s="538">
        <v>18301572</v>
      </c>
      <c r="G2335" s="538">
        <v>319</v>
      </c>
    </row>
    <row r="2336" spans="1:7" x14ac:dyDescent="0.2">
      <c r="A2336" s="538">
        <v>3</v>
      </c>
      <c r="B2336" s="538" t="s">
        <v>6603</v>
      </c>
      <c r="C2336" s="538" t="s">
        <v>393</v>
      </c>
      <c r="D2336" s="538" t="s">
        <v>393</v>
      </c>
      <c r="E2336" s="538" t="s">
        <v>419</v>
      </c>
      <c r="F2336" s="538">
        <v>431349</v>
      </c>
      <c r="G2336" s="538">
        <v>18</v>
      </c>
    </row>
    <row r="2337" spans="1:7" x14ac:dyDescent="0.2">
      <c r="A2337" s="538">
        <v>2</v>
      </c>
      <c r="B2337" s="538" t="s">
        <v>6608</v>
      </c>
      <c r="C2337" s="538" t="s">
        <v>740</v>
      </c>
      <c r="D2337" s="538" t="s">
        <v>393</v>
      </c>
      <c r="E2337" s="538" t="s">
        <v>207</v>
      </c>
      <c r="F2337" s="538">
        <v>11328</v>
      </c>
      <c r="G2337" s="538">
        <v>1</v>
      </c>
    </row>
    <row r="2338" spans="1:7" x14ac:dyDescent="0.2">
      <c r="A2338" s="538">
        <v>2</v>
      </c>
      <c r="B2338" s="538" t="s">
        <v>6573</v>
      </c>
      <c r="C2338" s="538" t="s">
        <v>393</v>
      </c>
      <c r="D2338" s="538" t="s">
        <v>740</v>
      </c>
      <c r="E2338" s="538" t="s">
        <v>209</v>
      </c>
      <c r="F2338" s="538">
        <v>581924</v>
      </c>
      <c r="G2338" s="538">
        <v>3</v>
      </c>
    </row>
    <row r="2339" spans="1:7" x14ac:dyDescent="0.2">
      <c r="A2339" s="538">
        <v>11</v>
      </c>
      <c r="B2339" s="538" t="s">
        <v>6660</v>
      </c>
      <c r="C2339" s="538" t="s">
        <v>393</v>
      </c>
      <c r="D2339" s="538" t="s">
        <v>393</v>
      </c>
      <c r="E2339" s="538" t="s">
        <v>860</v>
      </c>
      <c r="F2339" s="538">
        <v>1279179</v>
      </c>
      <c r="G2339" s="538">
        <v>68</v>
      </c>
    </row>
    <row r="2340" spans="1:7" x14ac:dyDescent="0.2">
      <c r="A2340" s="538">
        <v>4</v>
      </c>
      <c r="B2340" s="538" t="s">
        <v>6574</v>
      </c>
      <c r="C2340" s="538" t="s">
        <v>740</v>
      </c>
      <c r="D2340" s="538" t="s">
        <v>393</v>
      </c>
      <c r="E2340" s="538" t="s">
        <v>438</v>
      </c>
      <c r="F2340" s="538">
        <v>145848</v>
      </c>
      <c r="G2340" s="538">
        <v>6</v>
      </c>
    </row>
    <row r="2341" spans="1:7" x14ac:dyDescent="0.2">
      <c r="A2341" s="538">
        <v>5</v>
      </c>
      <c r="B2341" s="538" t="s">
        <v>6568</v>
      </c>
      <c r="C2341" s="538" t="s">
        <v>740</v>
      </c>
      <c r="D2341" s="538" t="s">
        <v>393</v>
      </c>
      <c r="E2341" s="538" t="s">
        <v>409</v>
      </c>
      <c r="F2341" s="538">
        <v>6893682</v>
      </c>
      <c r="G2341" s="538">
        <v>104</v>
      </c>
    </row>
    <row r="2342" spans="1:7" x14ac:dyDescent="0.2">
      <c r="A2342" s="538">
        <v>2</v>
      </c>
      <c r="B2342" s="538" t="s">
        <v>6573</v>
      </c>
      <c r="C2342" s="538" t="s">
        <v>740</v>
      </c>
      <c r="D2342" s="538" t="s">
        <v>393</v>
      </c>
      <c r="E2342" s="538" t="s">
        <v>416</v>
      </c>
      <c r="F2342" s="538">
        <v>773084</v>
      </c>
      <c r="G2342" s="538">
        <v>13</v>
      </c>
    </row>
    <row r="2343" spans="1:7" x14ac:dyDescent="0.2">
      <c r="A2343" s="538">
        <v>1</v>
      </c>
      <c r="B2343" s="538" t="s">
        <v>6646</v>
      </c>
      <c r="C2343" s="538" t="s">
        <v>740</v>
      </c>
      <c r="D2343" s="538" t="s">
        <v>393</v>
      </c>
      <c r="E2343" s="538" t="s">
        <v>390</v>
      </c>
      <c r="F2343" s="538">
        <v>684105</v>
      </c>
      <c r="G2343" s="538">
        <v>30</v>
      </c>
    </row>
    <row r="2344" spans="1:7" x14ac:dyDescent="0.2">
      <c r="A2344" s="538">
        <v>10</v>
      </c>
      <c r="B2344" s="538" t="s">
        <v>6587</v>
      </c>
      <c r="C2344" s="538" t="s">
        <v>393</v>
      </c>
      <c r="D2344" s="538" t="s">
        <v>740</v>
      </c>
      <c r="E2344" s="538" t="s">
        <v>449</v>
      </c>
      <c r="F2344" s="538">
        <v>11328</v>
      </c>
      <c r="G2344" s="538">
        <v>1</v>
      </c>
    </row>
    <row r="2345" spans="1:7" x14ac:dyDescent="0.2">
      <c r="A2345" s="538">
        <v>7</v>
      </c>
      <c r="B2345" s="538" t="s">
        <v>6594</v>
      </c>
      <c r="C2345" s="538" t="s">
        <v>393</v>
      </c>
      <c r="D2345" s="538" t="s">
        <v>740</v>
      </c>
      <c r="E2345" s="538" t="s">
        <v>416</v>
      </c>
      <c r="F2345" s="538">
        <v>5722431</v>
      </c>
      <c r="G2345" s="538">
        <v>187</v>
      </c>
    </row>
    <row r="2346" spans="1:7" x14ac:dyDescent="0.2">
      <c r="A2346" s="538">
        <v>2</v>
      </c>
      <c r="B2346" s="538" t="s">
        <v>6573</v>
      </c>
      <c r="C2346" s="538" t="s">
        <v>740</v>
      </c>
      <c r="D2346" s="538" t="s">
        <v>740</v>
      </c>
      <c r="E2346" s="538" t="s">
        <v>402</v>
      </c>
      <c r="F2346" s="538">
        <v>13127903</v>
      </c>
      <c r="G2346" s="538">
        <v>551</v>
      </c>
    </row>
    <row r="2347" spans="1:7" x14ac:dyDescent="0.2">
      <c r="A2347" s="538">
        <v>4</v>
      </c>
      <c r="B2347" s="538" t="s">
        <v>6562</v>
      </c>
      <c r="C2347" s="538" t="s">
        <v>740</v>
      </c>
      <c r="D2347" s="538" t="s">
        <v>393</v>
      </c>
      <c r="E2347" s="538" t="s">
        <v>202</v>
      </c>
      <c r="F2347" s="538">
        <v>11328</v>
      </c>
      <c r="G2347" s="538">
        <v>1</v>
      </c>
    </row>
    <row r="2348" spans="1:7" x14ac:dyDescent="0.2">
      <c r="A2348" s="538">
        <v>9</v>
      </c>
      <c r="B2348" s="538" t="s">
        <v>6657</v>
      </c>
      <c r="C2348" s="538" t="s">
        <v>393</v>
      </c>
      <c r="D2348" s="538" t="s">
        <v>393</v>
      </c>
      <c r="E2348" s="538" t="s">
        <v>212</v>
      </c>
      <c r="F2348" s="538">
        <v>419136</v>
      </c>
      <c r="G2348" s="538">
        <v>37</v>
      </c>
    </row>
    <row r="2349" spans="1:7" x14ac:dyDescent="0.2">
      <c r="A2349" s="538">
        <v>5</v>
      </c>
      <c r="B2349" s="538" t="s">
        <v>6650</v>
      </c>
      <c r="C2349" s="538" t="s">
        <v>393</v>
      </c>
      <c r="D2349" s="538" t="s">
        <v>393</v>
      </c>
      <c r="E2349" s="538" t="s">
        <v>438</v>
      </c>
      <c r="F2349" s="538">
        <v>7429305</v>
      </c>
      <c r="G2349" s="538">
        <v>45</v>
      </c>
    </row>
    <row r="2350" spans="1:7" x14ac:dyDescent="0.2">
      <c r="A2350" s="538">
        <v>10</v>
      </c>
      <c r="B2350" s="538" t="s">
        <v>6600</v>
      </c>
      <c r="C2350" s="538" t="s">
        <v>393</v>
      </c>
      <c r="D2350" s="538" t="s">
        <v>393</v>
      </c>
      <c r="E2350" s="538" t="s">
        <v>202</v>
      </c>
      <c r="F2350" s="538">
        <v>6443040</v>
      </c>
      <c r="G2350" s="538">
        <v>60</v>
      </c>
    </row>
    <row r="2351" spans="1:7" x14ac:dyDescent="0.2">
      <c r="A2351" s="538">
        <v>6</v>
      </c>
      <c r="B2351" s="538" t="s">
        <v>6565</v>
      </c>
      <c r="C2351" s="538" t="s">
        <v>393</v>
      </c>
      <c r="D2351" s="538" t="s">
        <v>740</v>
      </c>
      <c r="E2351" s="538" t="s">
        <v>449</v>
      </c>
      <c r="F2351" s="538">
        <v>118236</v>
      </c>
      <c r="G2351" s="538">
        <v>7</v>
      </c>
    </row>
    <row r="2352" spans="1:7" x14ac:dyDescent="0.2">
      <c r="A2352" s="538">
        <v>11</v>
      </c>
      <c r="B2352" s="538" t="s">
        <v>6584</v>
      </c>
      <c r="C2352" s="538" t="s">
        <v>740</v>
      </c>
      <c r="D2352" s="538" t="s">
        <v>393</v>
      </c>
      <c r="E2352" s="538" t="s">
        <v>210</v>
      </c>
      <c r="F2352" s="538">
        <v>1021113</v>
      </c>
      <c r="G2352" s="538">
        <v>41</v>
      </c>
    </row>
    <row r="2353" spans="1:7" x14ac:dyDescent="0.2">
      <c r="A2353" s="538">
        <v>5</v>
      </c>
      <c r="B2353" s="538" t="s">
        <v>6598</v>
      </c>
      <c r="C2353" s="538" t="s">
        <v>393</v>
      </c>
      <c r="D2353" s="538" t="s">
        <v>393</v>
      </c>
      <c r="E2353" s="538" t="s">
        <v>416</v>
      </c>
      <c r="F2353" s="538">
        <v>56808809</v>
      </c>
      <c r="G2353" s="538">
        <v>1143</v>
      </c>
    </row>
    <row r="2354" spans="1:7" x14ac:dyDescent="0.2">
      <c r="A2354" s="538">
        <v>10</v>
      </c>
      <c r="B2354" s="538" t="s">
        <v>6587</v>
      </c>
      <c r="C2354" s="538" t="s">
        <v>740</v>
      </c>
      <c r="D2354" s="538" t="s">
        <v>393</v>
      </c>
      <c r="E2354" s="538" t="s">
        <v>230</v>
      </c>
      <c r="F2354" s="538">
        <v>1246861</v>
      </c>
      <c r="G2354" s="538">
        <v>12</v>
      </c>
    </row>
    <row r="2355" spans="1:7" x14ac:dyDescent="0.2">
      <c r="A2355" s="538">
        <v>10</v>
      </c>
      <c r="B2355" s="538" t="s">
        <v>6600</v>
      </c>
      <c r="C2355" s="538" t="s">
        <v>740</v>
      </c>
      <c r="D2355" s="538" t="s">
        <v>393</v>
      </c>
      <c r="E2355" s="538" t="s">
        <v>390</v>
      </c>
      <c r="F2355" s="538">
        <v>4025303</v>
      </c>
      <c r="G2355" s="538">
        <v>86</v>
      </c>
    </row>
    <row r="2356" spans="1:7" x14ac:dyDescent="0.2">
      <c r="A2356" s="538">
        <v>6</v>
      </c>
      <c r="B2356" s="538" t="s">
        <v>6617</v>
      </c>
      <c r="C2356" s="538" t="s">
        <v>393</v>
      </c>
      <c r="D2356" s="538" t="s">
        <v>393</v>
      </c>
      <c r="E2356" s="538" t="s">
        <v>449</v>
      </c>
      <c r="F2356" s="538">
        <v>119475</v>
      </c>
      <c r="G2356" s="538">
        <v>5</v>
      </c>
    </row>
    <row r="2357" spans="1:7" x14ac:dyDescent="0.2">
      <c r="A2357" s="538">
        <v>5</v>
      </c>
      <c r="B2357" s="538" t="s">
        <v>6566</v>
      </c>
      <c r="C2357" s="538" t="s">
        <v>740</v>
      </c>
      <c r="D2357" s="538" t="s">
        <v>393</v>
      </c>
      <c r="E2357" s="538" t="s">
        <v>416</v>
      </c>
      <c r="F2357" s="538">
        <v>11328</v>
      </c>
      <c r="G2357" s="538">
        <v>1</v>
      </c>
    </row>
    <row r="2358" spans="1:7" x14ac:dyDescent="0.2">
      <c r="A2358" s="538">
        <v>4</v>
      </c>
      <c r="B2358" s="538" t="s">
        <v>6572</v>
      </c>
      <c r="C2358" s="538" t="s">
        <v>740</v>
      </c>
      <c r="D2358" s="538" t="s">
        <v>393</v>
      </c>
      <c r="E2358" s="538" t="s">
        <v>449</v>
      </c>
      <c r="F2358" s="538">
        <v>436659</v>
      </c>
      <c r="G2358" s="538">
        <v>33</v>
      </c>
    </row>
    <row r="2359" spans="1:7" x14ac:dyDescent="0.2">
      <c r="A2359" s="538">
        <v>11</v>
      </c>
      <c r="B2359" s="538" t="s">
        <v>6659</v>
      </c>
      <c r="C2359" s="538" t="s">
        <v>393</v>
      </c>
      <c r="D2359" s="538" t="s">
        <v>393</v>
      </c>
      <c r="E2359" s="538" t="s">
        <v>209</v>
      </c>
      <c r="F2359" s="538">
        <v>3599462</v>
      </c>
      <c r="G2359" s="538">
        <v>9</v>
      </c>
    </row>
    <row r="2360" spans="1:7" x14ac:dyDescent="0.2">
      <c r="A2360" s="538">
        <v>2</v>
      </c>
      <c r="B2360" s="538" t="s">
        <v>6576</v>
      </c>
      <c r="C2360" s="538" t="s">
        <v>393</v>
      </c>
      <c r="D2360" s="538" t="s">
        <v>740</v>
      </c>
      <c r="E2360" s="538" t="s">
        <v>401</v>
      </c>
      <c r="F2360" s="538">
        <v>67968</v>
      </c>
      <c r="G2360" s="538">
        <v>6</v>
      </c>
    </row>
    <row r="2361" spans="1:7" x14ac:dyDescent="0.2">
      <c r="A2361" s="538">
        <v>4</v>
      </c>
      <c r="B2361" s="538" t="s">
        <v>6562</v>
      </c>
      <c r="C2361" s="538" t="s">
        <v>393</v>
      </c>
      <c r="D2361" s="538" t="s">
        <v>393</v>
      </c>
      <c r="E2361" s="538" t="s">
        <v>438</v>
      </c>
      <c r="F2361" s="538">
        <v>9936000</v>
      </c>
      <c r="G2361" s="538">
        <v>90</v>
      </c>
    </row>
    <row r="2362" spans="1:7" x14ac:dyDescent="0.2">
      <c r="A2362" s="538">
        <v>4</v>
      </c>
      <c r="B2362" s="538" t="s">
        <v>6562</v>
      </c>
      <c r="C2362" s="538" t="s">
        <v>393</v>
      </c>
      <c r="D2362" s="538" t="s">
        <v>393</v>
      </c>
      <c r="E2362" s="538" t="s">
        <v>206</v>
      </c>
      <c r="F2362" s="538">
        <v>11328</v>
      </c>
      <c r="G2362" s="538">
        <v>1</v>
      </c>
    </row>
    <row r="2363" spans="1:7" x14ac:dyDescent="0.2">
      <c r="A2363" s="538">
        <v>9</v>
      </c>
      <c r="B2363" s="538" t="s">
        <v>6614</v>
      </c>
      <c r="C2363" s="538" t="s">
        <v>393</v>
      </c>
      <c r="D2363" s="538" t="s">
        <v>393</v>
      </c>
      <c r="E2363" s="538" t="s">
        <v>212</v>
      </c>
      <c r="F2363" s="538">
        <v>978227</v>
      </c>
      <c r="G2363" s="538">
        <v>29</v>
      </c>
    </row>
    <row r="2364" spans="1:7" x14ac:dyDescent="0.2">
      <c r="A2364" s="538">
        <v>5</v>
      </c>
      <c r="B2364" s="538" t="s">
        <v>6568</v>
      </c>
      <c r="C2364" s="538" t="s">
        <v>740</v>
      </c>
      <c r="D2364" s="538" t="s">
        <v>393</v>
      </c>
      <c r="E2364" s="538" t="s">
        <v>210</v>
      </c>
      <c r="F2364" s="538">
        <v>3240412</v>
      </c>
      <c r="G2364" s="538">
        <v>114</v>
      </c>
    </row>
    <row r="2365" spans="1:7" x14ac:dyDescent="0.2">
      <c r="A2365" s="538">
        <v>11</v>
      </c>
      <c r="B2365" s="538" t="s">
        <v>6610</v>
      </c>
      <c r="C2365" s="538" t="s">
        <v>393</v>
      </c>
      <c r="D2365" s="538" t="s">
        <v>393</v>
      </c>
      <c r="E2365" s="538" t="s">
        <v>313</v>
      </c>
      <c r="F2365" s="538">
        <v>3535440</v>
      </c>
      <c r="G2365" s="538">
        <v>15</v>
      </c>
    </row>
    <row r="2366" spans="1:7" x14ac:dyDescent="0.2">
      <c r="A2366" s="538">
        <v>3</v>
      </c>
      <c r="B2366" s="538" t="s">
        <v>6605</v>
      </c>
      <c r="C2366" s="538" t="s">
        <v>740</v>
      </c>
      <c r="D2366" s="538" t="s">
        <v>740</v>
      </c>
      <c r="E2366" s="538" t="s">
        <v>207</v>
      </c>
      <c r="F2366" s="538">
        <v>430287</v>
      </c>
      <c r="G2366" s="538">
        <v>29</v>
      </c>
    </row>
    <row r="2367" spans="1:7" x14ac:dyDescent="0.2">
      <c r="A2367" s="538">
        <v>9</v>
      </c>
      <c r="B2367" s="538" t="s">
        <v>6615</v>
      </c>
      <c r="C2367" s="538" t="s">
        <v>740</v>
      </c>
      <c r="D2367" s="538" t="s">
        <v>393</v>
      </c>
      <c r="E2367" s="538" t="s">
        <v>416</v>
      </c>
      <c r="F2367" s="538">
        <v>170982</v>
      </c>
      <c r="G2367" s="538">
        <v>4</v>
      </c>
    </row>
    <row r="2368" spans="1:7" x14ac:dyDescent="0.2">
      <c r="A2368" s="538">
        <v>12</v>
      </c>
      <c r="B2368" s="538" t="s">
        <v>6569</v>
      </c>
      <c r="C2368" s="538" t="s">
        <v>740</v>
      </c>
      <c r="D2368" s="538" t="s">
        <v>393</v>
      </c>
      <c r="E2368" s="538" t="s">
        <v>212</v>
      </c>
      <c r="F2368" s="538">
        <v>556134</v>
      </c>
      <c r="G2368" s="538">
        <v>38</v>
      </c>
    </row>
    <row r="2369" spans="1:7" x14ac:dyDescent="0.2">
      <c r="A2369" s="538">
        <v>3</v>
      </c>
      <c r="B2369" s="538" t="s">
        <v>6578</v>
      </c>
      <c r="C2369" s="538" t="s">
        <v>740</v>
      </c>
      <c r="D2369" s="538" t="s">
        <v>393</v>
      </c>
      <c r="E2369" s="538" t="s">
        <v>409</v>
      </c>
      <c r="F2369" s="538">
        <v>843530</v>
      </c>
      <c r="G2369" s="538">
        <v>15</v>
      </c>
    </row>
    <row r="2370" spans="1:7" x14ac:dyDescent="0.2">
      <c r="A2370" s="538">
        <v>2</v>
      </c>
      <c r="B2370" s="538" t="s">
        <v>6662</v>
      </c>
      <c r="C2370" s="538" t="s">
        <v>740</v>
      </c>
      <c r="D2370" s="538" t="s">
        <v>393</v>
      </c>
      <c r="E2370" s="538" t="s">
        <v>211</v>
      </c>
      <c r="F2370" s="538">
        <v>5915257</v>
      </c>
      <c r="G2370" s="538">
        <v>149</v>
      </c>
    </row>
    <row r="2371" spans="1:7" x14ac:dyDescent="0.2">
      <c r="A2371" s="538">
        <v>2</v>
      </c>
      <c r="B2371" s="538" t="s">
        <v>6055</v>
      </c>
      <c r="C2371" s="538" t="s">
        <v>393</v>
      </c>
      <c r="D2371" s="538" t="s">
        <v>740</v>
      </c>
      <c r="E2371" s="538" t="s">
        <v>210</v>
      </c>
      <c r="F2371" s="538">
        <v>148326</v>
      </c>
      <c r="G2371" s="538">
        <v>2</v>
      </c>
    </row>
    <row r="2372" spans="1:7" x14ac:dyDescent="0.2">
      <c r="A2372" s="538">
        <v>8</v>
      </c>
      <c r="B2372" s="538" t="s">
        <v>6658</v>
      </c>
      <c r="C2372" s="538" t="s">
        <v>740</v>
      </c>
      <c r="D2372" s="538" t="s">
        <v>393</v>
      </c>
      <c r="E2372" s="538" t="s">
        <v>390</v>
      </c>
      <c r="F2372" s="538">
        <v>56640</v>
      </c>
      <c r="G2372" s="538">
        <v>5</v>
      </c>
    </row>
    <row r="2373" spans="1:7" x14ac:dyDescent="0.2">
      <c r="A2373" s="538">
        <v>1</v>
      </c>
      <c r="B2373" s="538" t="s">
        <v>1288</v>
      </c>
      <c r="C2373" s="538" t="s">
        <v>740</v>
      </c>
      <c r="D2373" s="538" t="s">
        <v>393</v>
      </c>
      <c r="E2373" s="538" t="s">
        <v>449</v>
      </c>
      <c r="F2373" s="538">
        <v>45312</v>
      </c>
      <c r="G2373" s="538">
        <v>4</v>
      </c>
    </row>
    <row r="2374" spans="1:7" x14ac:dyDescent="0.2">
      <c r="A2374" s="538">
        <v>3</v>
      </c>
      <c r="B2374" s="538" t="s">
        <v>6605</v>
      </c>
      <c r="C2374" s="538" t="s">
        <v>393</v>
      </c>
      <c r="D2374" s="538" t="s">
        <v>393</v>
      </c>
      <c r="E2374" s="538" t="s">
        <v>212</v>
      </c>
      <c r="F2374" s="538">
        <v>888363</v>
      </c>
      <c r="G2374" s="538">
        <v>66</v>
      </c>
    </row>
    <row r="2375" spans="1:7" x14ac:dyDescent="0.2">
      <c r="A2375" s="538">
        <v>9</v>
      </c>
      <c r="B2375" s="538" t="s">
        <v>6606</v>
      </c>
      <c r="C2375" s="538" t="s">
        <v>740</v>
      </c>
      <c r="D2375" s="538" t="s">
        <v>740</v>
      </c>
      <c r="E2375" s="538" t="s">
        <v>390</v>
      </c>
      <c r="F2375" s="538">
        <v>19897820</v>
      </c>
      <c r="G2375" s="538">
        <v>480</v>
      </c>
    </row>
    <row r="2376" spans="1:7" x14ac:dyDescent="0.2">
      <c r="A2376" s="538">
        <v>4</v>
      </c>
      <c r="B2376" s="538" t="s">
        <v>6562</v>
      </c>
      <c r="C2376" s="538" t="s">
        <v>740</v>
      </c>
      <c r="D2376" s="538" t="s">
        <v>393</v>
      </c>
      <c r="E2376" s="538" t="s">
        <v>211</v>
      </c>
      <c r="F2376" s="538">
        <v>11328</v>
      </c>
      <c r="G2376" s="538">
        <v>1</v>
      </c>
    </row>
    <row r="2377" spans="1:7" x14ac:dyDescent="0.2">
      <c r="A2377" s="538">
        <v>3</v>
      </c>
      <c r="B2377" s="538" t="s">
        <v>6591</v>
      </c>
      <c r="C2377" s="538" t="s">
        <v>740</v>
      </c>
      <c r="D2377" s="538" t="s">
        <v>740</v>
      </c>
      <c r="E2377" s="538" t="s">
        <v>207</v>
      </c>
      <c r="F2377" s="538">
        <v>982527</v>
      </c>
      <c r="G2377" s="538">
        <v>59</v>
      </c>
    </row>
    <row r="2378" spans="1:7" x14ac:dyDescent="0.2">
      <c r="A2378" s="538">
        <v>12</v>
      </c>
      <c r="B2378" s="538" t="s">
        <v>6616</v>
      </c>
      <c r="C2378" s="538" t="s">
        <v>740</v>
      </c>
      <c r="D2378" s="538" t="s">
        <v>393</v>
      </c>
      <c r="E2378" s="538" t="s">
        <v>202</v>
      </c>
      <c r="F2378" s="538">
        <v>1078357</v>
      </c>
      <c r="G2378" s="538">
        <v>4</v>
      </c>
    </row>
    <row r="2379" spans="1:7" x14ac:dyDescent="0.2">
      <c r="A2379" s="538">
        <v>4</v>
      </c>
      <c r="B2379" s="538" t="s">
        <v>6572</v>
      </c>
      <c r="C2379" s="538" t="s">
        <v>740</v>
      </c>
      <c r="D2379" s="538" t="s">
        <v>393</v>
      </c>
      <c r="E2379" s="538" t="s">
        <v>860</v>
      </c>
      <c r="F2379" s="538">
        <v>72924</v>
      </c>
      <c r="G2379" s="538">
        <v>3</v>
      </c>
    </row>
    <row r="2380" spans="1:7" x14ac:dyDescent="0.2">
      <c r="A2380" s="538">
        <v>8</v>
      </c>
      <c r="B2380" s="538" t="s">
        <v>6567</v>
      </c>
      <c r="C2380" s="538" t="s">
        <v>740</v>
      </c>
      <c r="D2380" s="538" t="s">
        <v>740</v>
      </c>
      <c r="E2380" s="538" t="s">
        <v>211</v>
      </c>
      <c r="F2380" s="538">
        <v>1376654</v>
      </c>
      <c r="G2380" s="538">
        <v>33</v>
      </c>
    </row>
    <row r="2381" spans="1:7" x14ac:dyDescent="0.2">
      <c r="A2381" s="538">
        <v>2</v>
      </c>
      <c r="B2381" s="538" t="s">
        <v>6608</v>
      </c>
      <c r="C2381" s="538" t="s">
        <v>393</v>
      </c>
      <c r="D2381" s="538" t="s">
        <v>393</v>
      </c>
      <c r="E2381" s="538" t="s">
        <v>401</v>
      </c>
      <c r="F2381" s="538">
        <v>721577</v>
      </c>
      <c r="G2381" s="538">
        <v>14</v>
      </c>
    </row>
    <row r="2382" spans="1:7" x14ac:dyDescent="0.2">
      <c r="A2382" s="538">
        <v>6</v>
      </c>
      <c r="B2382" s="538" t="s">
        <v>1668</v>
      </c>
      <c r="C2382" s="538" t="s">
        <v>740</v>
      </c>
      <c r="D2382" s="538" t="s">
        <v>393</v>
      </c>
      <c r="E2382" s="538" t="s">
        <v>402</v>
      </c>
      <c r="F2382" s="538">
        <v>2162180</v>
      </c>
      <c r="G2382" s="538">
        <v>115</v>
      </c>
    </row>
    <row r="2383" spans="1:7" x14ac:dyDescent="0.2">
      <c r="A2383" s="538">
        <v>8</v>
      </c>
      <c r="B2383" s="538" t="s">
        <v>6577</v>
      </c>
      <c r="C2383" s="538" t="s">
        <v>740</v>
      </c>
      <c r="D2383" s="538" t="s">
        <v>740</v>
      </c>
      <c r="E2383" s="538" t="s">
        <v>210</v>
      </c>
      <c r="F2383" s="538">
        <v>61596</v>
      </c>
      <c r="G2383" s="538">
        <v>2</v>
      </c>
    </row>
    <row r="2384" spans="1:7" x14ac:dyDescent="0.2">
      <c r="A2384" s="538">
        <v>12</v>
      </c>
      <c r="B2384" s="538" t="s">
        <v>6616</v>
      </c>
      <c r="C2384" s="538" t="s">
        <v>393</v>
      </c>
      <c r="D2384" s="538" t="s">
        <v>393</v>
      </c>
      <c r="E2384" s="538" t="s">
        <v>497</v>
      </c>
      <c r="F2384" s="538">
        <v>22656</v>
      </c>
      <c r="G2384" s="538">
        <v>2</v>
      </c>
    </row>
    <row r="2385" spans="1:7" x14ac:dyDescent="0.2">
      <c r="A2385" s="538">
        <v>2</v>
      </c>
      <c r="B2385" s="538" t="s">
        <v>6656</v>
      </c>
      <c r="C2385" s="538" t="s">
        <v>393</v>
      </c>
      <c r="D2385" s="538" t="s">
        <v>740</v>
      </c>
      <c r="E2385" s="538" t="s">
        <v>401</v>
      </c>
      <c r="F2385" s="538">
        <v>113280</v>
      </c>
      <c r="G2385" s="538">
        <v>10</v>
      </c>
    </row>
    <row r="2386" spans="1:7" x14ac:dyDescent="0.2">
      <c r="A2386" s="538">
        <v>1</v>
      </c>
      <c r="B2386" s="538" t="s">
        <v>6649</v>
      </c>
      <c r="C2386" s="538" t="s">
        <v>740</v>
      </c>
      <c r="D2386" s="538" t="s">
        <v>393</v>
      </c>
      <c r="E2386" s="538" t="s">
        <v>210</v>
      </c>
      <c r="F2386" s="538">
        <v>294351</v>
      </c>
      <c r="G2386" s="538">
        <v>17</v>
      </c>
    </row>
    <row r="2387" spans="1:7" x14ac:dyDescent="0.2">
      <c r="A2387" s="538">
        <v>9</v>
      </c>
      <c r="B2387" s="538" t="s">
        <v>6606</v>
      </c>
      <c r="C2387" s="538" t="s">
        <v>740</v>
      </c>
      <c r="D2387" s="538" t="s">
        <v>740</v>
      </c>
      <c r="E2387" s="538" t="s">
        <v>230</v>
      </c>
      <c r="F2387" s="538">
        <v>770658</v>
      </c>
      <c r="G2387" s="538">
        <v>21</v>
      </c>
    </row>
    <row r="2388" spans="1:7" x14ac:dyDescent="0.2">
      <c r="A2388" s="538">
        <v>9</v>
      </c>
      <c r="B2388" s="538" t="s">
        <v>6615</v>
      </c>
      <c r="C2388" s="538" t="s">
        <v>740</v>
      </c>
      <c r="D2388" s="538" t="s">
        <v>740</v>
      </c>
      <c r="E2388" s="538" t="s">
        <v>438</v>
      </c>
      <c r="F2388" s="538">
        <v>96819</v>
      </c>
      <c r="G2388" s="538">
        <v>3</v>
      </c>
    </row>
    <row r="2389" spans="1:7" x14ac:dyDescent="0.2">
      <c r="A2389" s="538">
        <v>2</v>
      </c>
      <c r="B2389" s="538" t="s">
        <v>6656</v>
      </c>
      <c r="C2389" s="538" t="s">
        <v>740</v>
      </c>
      <c r="D2389" s="538" t="s">
        <v>393</v>
      </c>
      <c r="E2389" s="538" t="s">
        <v>210</v>
      </c>
      <c r="F2389" s="538">
        <v>22656</v>
      </c>
      <c r="G2389" s="538">
        <v>2</v>
      </c>
    </row>
    <row r="2390" spans="1:7" x14ac:dyDescent="0.2">
      <c r="A2390" s="538">
        <v>2</v>
      </c>
      <c r="B2390" s="538" t="s">
        <v>6573</v>
      </c>
      <c r="C2390" s="538" t="s">
        <v>740</v>
      </c>
      <c r="D2390" s="538" t="s">
        <v>393</v>
      </c>
      <c r="E2390" s="538" t="s">
        <v>401</v>
      </c>
      <c r="F2390" s="538">
        <v>460377</v>
      </c>
      <c r="G2390" s="538">
        <v>24</v>
      </c>
    </row>
    <row r="2391" spans="1:7" x14ac:dyDescent="0.2">
      <c r="A2391" s="538">
        <v>1</v>
      </c>
      <c r="B2391" s="538" t="s">
        <v>1288</v>
      </c>
      <c r="C2391" s="538" t="s">
        <v>740</v>
      </c>
      <c r="D2391" s="538" t="s">
        <v>393</v>
      </c>
      <c r="E2391" s="538" t="s">
        <v>210</v>
      </c>
      <c r="F2391" s="538">
        <v>22656</v>
      </c>
      <c r="G2391" s="538">
        <v>2</v>
      </c>
    </row>
    <row r="2392" spans="1:7" x14ac:dyDescent="0.2">
      <c r="A2392" s="538">
        <v>7</v>
      </c>
      <c r="B2392" s="538" t="s">
        <v>6564</v>
      </c>
      <c r="C2392" s="538" t="s">
        <v>740</v>
      </c>
      <c r="D2392" s="538" t="s">
        <v>393</v>
      </c>
      <c r="E2392" s="538" t="s">
        <v>390</v>
      </c>
      <c r="F2392" s="538">
        <v>24142540</v>
      </c>
      <c r="G2392" s="538">
        <v>1115</v>
      </c>
    </row>
    <row r="2393" spans="1:7" x14ac:dyDescent="0.2">
      <c r="A2393" s="538">
        <v>7</v>
      </c>
      <c r="B2393" s="538" t="s">
        <v>6594</v>
      </c>
      <c r="C2393" s="538" t="s">
        <v>740</v>
      </c>
      <c r="D2393" s="538" t="s">
        <v>740</v>
      </c>
      <c r="E2393" s="538" t="s">
        <v>402</v>
      </c>
      <c r="F2393" s="538">
        <v>4733001</v>
      </c>
      <c r="G2393" s="538">
        <v>162</v>
      </c>
    </row>
    <row r="2394" spans="1:7" x14ac:dyDescent="0.2">
      <c r="A2394" s="538">
        <v>10</v>
      </c>
      <c r="B2394" s="538" t="s">
        <v>6653</v>
      </c>
      <c r="C2394" s="538" t="s">
        <v>393</v>
      </c>
      <c r="D2394" s="538" t="s">
        <v>393</v>
      </c>
      <c r="E2394" s="538" t="s">
        <v>419</v>
      </c>
      <c r="F2394" s="538">
        <v>11328</v>
      </c>
      <c r="G2394" s="538">
        <v>1</v>
      </c>
    </row>
    <row r="2395" spans="1:7" x14ac:dyDescent="0.2">
      <c r="A2395" s="538">
        <v>4</v>
      </c>
      <c r="B2395" s="538" t="s">
        <v>6574</v>
      </c>
      <c r="C2395" s="538" t="s">
        <v>393</v>
      </c>
      <c r="D2395" s="538" t="s">
        <v>740</v>
      </c>
      <c r="E2395" s="538" t="s">
        <v>401</v>
      </c>
      <c r="F2395" s="538">
        <v>56640</v>
      </c>
      <c r="G2395" s="538">
        <v>5</v>
      </c>
    </row>
    <row r="2396" spans="1:7" x14ac:dyDescent="0.2">
      <c r="A2396" s="538">
        <v>9</v>
      </c>
      <c r="B2396" s="538" t="s">
        <v>6614</v>
      </c>
      <c r="C2396" s="538" t="s">
        <v>393</v>
      </c>
      <c r="D2396" s="538" t="s">
        <v>393</v>
      </c>
      <c r="E2396" s="538" t="s">
        <v>401</v>
      </c>
      <c r="F2396" s="538">
        <v>176115</v>
      </c>
      <c r="G2396" s="538">
        <v>10</v>
      </c>
    </row>
    <row r="2397" spans="1:7" x14ac:dyDescent="0.2">
      <c r="A2397" s="538">
        <v>3</v>
      </c>
      <c r="B2397" s="538" t="s">
        <v>6578</v>
      </c>
      <c r="C2397" s="538" t="s">
        <v>740</v>
      </c>
      <c r="D2397" s="538" t="s">
        <v>393</v>
      </c>
      <c r="E2397" s="538" t="s">
        <v>449</v>
      </c>
      <c r="F2397" s="538">
        <v>45312</v>
      </c>
      <c r="G2397" s="538">
        <v>4</v>
      </c>
    </row>
    <row r="2398" spans="1:7" x14ac:dyDescent="0.2">
      <c r="A2398" s="538">
        <v>11</v>
      </c>
      <c r="B2398" s="538" t="s">
        <v>6612</v>
      </c>
      <c r="C2398" s="538" t="s">
        <v>740</v>
      </c>
      <c r="D2398" s="538" t="s">
        <v>393</v>
      </c>
      <c r="E2398" s="538" t="s">
        <v>230</v>
      </c>
      <c r="F2398" s="538">
        <v>119475</v>
      </c>
      <c r="G2398" s="538">
        <v>5</v>
      </c>
    </row>
    <row r="2399" spans="1:7" x14ac:dyDescent="0.2">
      <c r="A2399" s="538">
        <v>3</v>
      </c>
      <c r="B2399" s="538" t="s">
        <v>6647</v>
      </c>
      <c r="C2399" s="538" t="s">
        <v>740</v>
      </c>
      <c r="D2399" s="538" t="s">
        <v>393</v>
      </c>
      <c r="E2399" s="538" t="s">
        <v>416</v>
      </c>
      <c r="F2399" s="538">
        <v>5568160</v>
      </c>
      <c r="G2399" s="538">
        <v>130</v>
      </c>
    </row>
    <row r="2400" spans="1:7" x14ac:dyDescent="0.2">
      <c r="A2400" s="538">
        <v>4</v>
      </c>
      <c r="B2400" s="538" t="s">
        <v>6562</v>
      </c>
      <c r="C2400" s="538" t="s">
        <v>740</v>
      </c>
      <c r="D2400" s="538" t="s">
        <v>393</v>
      </c>
      <c r="E2400" s="538" t="s">
        <v>202</v>
      </c>
      <c r="F2400" s="538">
        <v>5130460</v>
      </c>
      <c r="G2400" s="538">
        <v>30</v>
      </c>
    </row>
    <row r="2401" spans="1:7" x14ac:dyDescent="0.2">
      <c r="A2401" s="538">
        <v>3</v>
      </c>
      <c r="B2401" s="538" t="s">
        <v>6578</v>
      </c>
      <c r="C2401" s="538" t="s">
        <v>740</v>
      </c>
      <c r="D2401" s="538" t="s">
        <v>393</v>
      </c>
      <c r="E2401" s="538" t="s">
        <v>210</v>
      </c>
      <c r="F2401" s="538">
        <v>11037085</v>
      </c>
      <c r="G2401" s="538">
        <v>575</v>
      </c>
    </row>
    <row r="2402" spans="1:7" x14ac:dyDescent="0.2">
      <c r="A2402" s="538">
        <v>4</v>
      </c>
      <c r="B2402" s="538" t="s">
        <v>6562</v>
      </c>
      <c r="C2402" s="538" t="s">
        <v>740</v>
      </c>
      <c r="D2402" s="538" t="s">
        <v>393</v>
      </c>
      <c r="E2402" s="538" t="s">
        <v>212</v>
      </c>
      <c r="F2402" s="538">
        <v>927480</v>
      </c>
      <c r="G2402" s="538">
        <v>75</v>
      </c>
    </row>
    <row r="2403" spans="1:7" x14ac:dyDescent="0.2">
      <c r="A2403" s="538">
        <v>3</v>
      </c>
      <c r="B2403" s="538" t="s">
        <v>6605</v>
      </c>
      <c r="C2403" s="538" t="s">
        <v>393</v>
      </c>
      <c r="D2403" s="538" t="s">
        <v>393</v>
      </c>
      <c r="E2403" s="538" t="s">
        <v>860</v>
      </c>
      <c r="F2403" s="538">
        <v>2529174</v>
      </c>
      <c r="G2403" s="538">
        <v>38</v>
      </c>
    </row>
    <row r="2404" spans="1:7" x14ac:dyDescent="0.2">
      <c r="A2404" s="538">
        <v>8</v>
      </c>
      <c r="B2404" s="538" t="s">
        <v>6560</v>
      </c>
      <c r="C2404" s="538" t="s">
        <v>740</v>
      </c>
      <c r="D2404" s="538" t="s">
        <v>740</v>
      </c>
      <c r="E2404" s="538" t="s">
        <v>390</v>
      </c>
      <c r="F2404" s="538">
        <v>30140810</v>
      </c>
      <c r="G2404" s="538">
        <v>980</v>
      </c>
    </row>
    <row r="2405" spans="1:7" x14ac:dyDescent="0.2">
      <c r="A2405" s="538">
        <v>9</v>
      </c>
      <c r="B2405" s="538" t="s">
        <v>6606</v>
      </c>
      <c r="C2405" s="538" t="s">
        <v>393</v>
      </c>
      <c r="D2405" s="538" t="s">
        <v>740</v>
      </c>
      <c r="E2405" s="538" t="s">
        <v>416</v>
      </c>
      <c r="F2405" s="538">
        <v>690071</v>
      </c>
      <c r="G2405" s="538">
        <v>7</v>
      </c>
    </row>
    <row r="2406" spans="1:7" x14ac:dyDescent="0.2">
      <c r="A2406" s="538">
        <v>5</v>
      </c>
      <c r="B2406" s="538" t="s">
        <v>6599</v>
      </c>
      <c r="C2406" s="538" t="s">
        <v>393</v>
      </c>
      <c r="D2406" s="538" t="s">
        <v>740</v>
      </c>
      <c r="E2406" s="538" t="s">
        <v>860</v>
      </c>
      <c r="F2406" s="538">
        <v>72924</v>
      </c>
      <c r="G2406" s="538">
        <v>3</v>
      </c>
    </row>
    <row r="2407" spans="1:7" x14ac:dyDescent="0.2">
      <c r="A2407" s="538">
        <v>3</v>
      </c>
      <c r="B2407" s="538" t="s">
        <v>1390</v>
      </c>
      <c r="C2407" s="538" t="s">
        <v>740</v>
      </c>
      <c r="D2407" s="538" t="s">
        <v>393</v>
      </c>
      <c r="E2407" s="538" t="s">
        <v>209</v>
      </c>
      <c r="F2407" s="538">
        <v>198594</v>
      </c>
      <c r="G2407" s="538">
        <v>3</v>
      </c>
    </row>
    <row r="2408" spans="1:7" x14ac:dyDescent="0.2">
      <c r="A2408" s="538">
        <v>2</v>
      </c>
      <c r="B2408" s="538" t="s">
        <v>6576</v>
      </c>
      <c r="C2408" s="538" t="s">
        <v>740</v>
      </c>
      <c r="D2408" s="538" t="s">
        <v>740</v>
      </c>
      <c r="E2408" s="538" t="s">
        <v>210</v>
      </c>
      <c r="F2408" s="538">
        <v>11328</v>
      </c>
      <c r="G2408" s="538">
        <v>1</v>
      </c>
    </row>
    <row r="2409" spans="1:7" x14ac:dyDescent="0.2">
      <c r="A2409" s="538">
        <v>2</v>
      </c>
      <c r="B2409" s="538" t="s">
        <v>6055</v>
      </c>
      <c r="C2409" s="538" t="s">
        <v>740</v>
      </c>
      <c r="D2409" s="538" t="s">
        <v>393</v>
      </c>
      <c r="E2409" s="538" t="s">
        <v>402</v>
      </c>
      <c r="F2409" s="538">
        <v>176397693</v>
      </c>
      <c r="G2409" s="538">
        <v>8276</v>
      </c>
    </row>
    <row r="2410" spans="1:7" x14ac:dyDescent="0.2">
      <c r="A2410" s="538">
        <v>9</v>
      </c>
      <c r="B2410" s="538" t="s">
        <v>6657</v>
      </c>
      <c r="C2410" s="538" t="s">
        <v>393</v>
      </c>
      <c r="D2410" s="538" t="s">
        <v>740</v>
      </c>
      <c r="E2410" s="538" t="s">
        <v>202</v>
      </c>
      <c r="F2410" s="538">
        <v>85491</v>
      </c>
      <c r="G2410" s="538">
        <v>2</v>
      </c>
    </row>
    <row r="2411" spans="1:7" x14ac:dyDescent="0.2">
      <c r="A2411" s="538">
        <v>4</v>
      </c>
      <c r="B2411" s="538" t="s">
        <v>6572</v>
      </c>
      <c r="C2411" s="538" t="s">
        <v>740</v>
      </c>
      <c r="D2411" s="538" t="s">
        <v>393</v>
      </c>
      <c r="E2411" s="538" t="s">
        <v>409</v>
      </c>
      <c r="F2411" s="538">
        <v>7428097</v>
      </c>
      <c r="G2411" s="538">
        <v>129</v>
      </c>
    </row>
    <row r="2412" spans="1:7" x14ac:dyDescent="0.2">
      <c r="A2412" s="538">
        <v>5</v>
      </c>
      <c r="B2412" s="538" t="s">
        <v>6651</v>
      </c>
      <c r="C2412" s="538" t="s">
        <v>393</v>
      </c>
      <c r="D2412" s="538" t="s">
        <v>393</v>
      </c>
      <c r="E2412" s="538" t="s">
        <v>211</v>
      </c>
      <c r="F2412" s="538">
        <v>5729428</v>
      </c>
      <c r="G2412" s="538">
        <v>76</v>
      </c>
    </row>
    <row r="2413" spans="1:7" x14ac:dyDescent="0.2">
      <c r="A2413" s="538">
        <v>6</v>
      </c>
      <c r="B2413" s="538" t="s">
        <v>6575</v>
      </c>
      <c r="C2413" s="538" t="s">
        <v>740</v>
      </c>
      <c r="D2413" s="538" t="s">
        <v>740</v>
      </c>
      <c r="E2413" s="538" t="s">
        <v>449</v>
      </c>
      <c r="F2413" s="538">
        <v>260544</v>
      </c>
      <c r="G2413" s="538">
        <v>23</v>
      </c>
    </row>
    <row r="2414" spans="1:7" x14ac:dyDescent="0.2">
      <c r="A2414" s="538">
        <v>8</v>
      </c>
      <c r="B2414" s="538" t="s">
        <v>6583</v>
      </c>
      <c r="C2414" s="538" t="s">
        <v>740</v>
      </c>
      <c r="D2414" s="538" t="s">
        <v>393</v>
      </c>
      <c r="E2414" s="538" t="s">
        <v>230</v>
      </c>
      <c r="F2414" s="538">
        <v>11328</v>
      </c>
      <c r="G2414" s="538">
        <v>1</v>
      </c>
    </row>
    <row r="2415" spans="1:7" x14ac:dyDescent="0.2">
      <c r="A2415" s="538">
        <v>2</v>
      </c>
      <c r="B2415" s="538" t="s">
        <v>6576</v>
      </c>
      <c r="C2415" s="538" t="s">
        <v>393</v>
      </c>
      <c r="D2415" s="538" t="s">
        <v>393</v>
      </c>
      <c r="E2415" s="538" t="s">
        <v>449</v>
      </c>
      <c r="F2415" s="538">
        <v>186204</v>
      </c>
      <c r="G2415" s="538">
        <v>13</v>
      </c>
    </row>
    <row r="2416" spans="1:7" x14ac:dyDescent="0.2">
      <c r="A2416" s="538">
        <v>7</v>
      </c>
      <c r="B2416" s="538" t="s">
        <v>6579</v>
      </c>
      <c r="C2416" s="538" t="s">
        <v>740</v>
      </c>
      <c r="D2416" s="538" t="s">
        <v>393</v>
      </c>
      <c r="E2416" s="538" t="s">
        <v>212</v>
      </c>
      <c r="F2416" s="538">
        <v>7827596</v>
      </c>
      <c r="G2416" s="538">
        <v>492</v>
      </c>
    </row>
    <row r="2417" spans="1:7" x14ac:dyDescent="0.2">
      <c r="A2417" s="538">
        <v>3</v>
      </c>
      <c r="B2417" s="538" t="s">
        <v>6561</v>
      </c>
      <c r="C2417" s="538" t="s">
        <v>740</v>
      </c>
      <c r="D2417" s="538" t="s">
        <v>740</v>
      </c>
      <c r="E2417" s="538" t="s">
        <v>210</v>
      </c>
      <c r="F2417" s="538">
        <v>11328</v>
      </c>
      <c r="G2417" s="538">
        <v>1</v>
      </c>
    </row>
    <row r="2418" spans="1:7" x14ac:dyDescent="0.2">
      <c r="A2418" s="538">
        <v>6</v>
      </c>
      <c r="B2418" s="538" t="s">
        <v>6607</v>
      </c>
      <c r="C2418" s="538" t="s">
        <v>740</v>
      </c>
      <c r="D2418" s="538" t="s">
        <v>393</v>
      </c>
      <c r="E2418" s="538" t="s">
        <v>402</v>
      </c>
      <c r="F2418" s="538">
        <v>84252</v>
      </c>
      <c r="G2418" s="538">
        <v>4</v>
      </c>
    </row>
    <row r="2419" spans="1:7" x14ac:dyDescent="0.2">
      <c r="A2419" s="538">
        <v>7</v>
      </c>
      <c r="B2419" s="538" t="s">
        <v>6588</v>
      </c>
      <c r="C2419" s="538" t="s">
        <v>740</v>
      </c>
      <c r="D2419" s="538" t="s">
        <v>740</v>
      </c>
      <c r="E2419" s="538" t="s">
        <v>211</v>
      </c>
      <c r="F2419" s="538">
        <v>7759847</v>
      </c>
      <c r="G2419" s="538">
        <v>139</v>
      </c>
    </row>
    <row r="2420" spans="1:7" x14ac:dyDescent="0.2">
      <c r="A2420" s="538">
        <v>11</v>
      </c>
      <c r="B2420" s="538" t="s">
        <v>6612</v>
      </c>
      <c r="C2420" s="538" t="s">
        <v>740</v>
      </c>
      <c r="D2420" s="538" t="s">
        <v>393</v>
      </c>
      <c r="E2420" s="538" t="s">
        <v>416</v>
      </c>
      <c r="F2420" s="538">
        <v>250278</v>
      </c>
      <c r="G2420" s="538">
        <v>11</v>
      </c>
    </row>
    <row r="2421" spans="1:7" x14ac:dyDescent="0.2">
      <c r="A2421" s="538">
        <v>9</v>
      </c>
      <c r="B2421" s="538" t="s">
        <v>6657</v>
      </c>
      <c r="C2421" s="538" t="s">
        <v>393</v>
      </c>
      <c r="D2421" s="538" t="s">
        <v>393</v>
      </c>
      <c r="E2421" s="538" t="s">
        <v>207</v>
      </c>
      <c r="F2421" s="538">
        <v>10647810</v>
      </c>
      <c r="G2421" s="538">
        <v>630</v>
      </c>
    </row>
    <row r="2422" spans="1:7" x14ac:dyDescent="0.2">
      <c r="A2422" s="538">
        <v>6</v>
      </c>
      <c r="B2422" s="538" t="s">
        <v>6596</v>
      </c>
      <c r="C2422" s="538" t="s">
        <v>393</v>
      </c>
      <c r="D2422" s="538" t="s">
        <v>740</v>
      </c>
      <c r="E2422" s="538" t="s">
        <v>390</v>
      </c>
      <c r="F2422" s="538">
        <v>3058175</v>
      </c>
      <c r="G2422" s="538">
        <v>35</v>
      </c>
    </row>
    <row r="2423" spans="1:7" x14ac:dyDescent="0.2">
      <c r="A2423" s="538">
        <v>8</v>
      </c>
      <c r="B2423" s="538" t="s">
        <v>6570</v>
      </c>
      <c r="C2423" s="538" t="s">
        <v>740</v>
      </c>
      <c r="D2423" s="538" t="s">
        <v>393</v>
      </c>
      <c r="E2423" s="538" t="s">
        <v>402</v>
      </c>
      <c r="F2423" s="538">
        <v>9556043</v>
      </c>
      <c r="G2423" s="538">
        <v>376</v>
      </c>
    </row>
    <row r="2424" spans="1:7" x14ac:dyDescent="0.2">
      <c r="A2424" s="538">
        <v>7</v>
      </c>
      <c r="B2424" s="538" t="s">
        <v>6661</v>
      </c>
      <c r="C2424" s="538" t="s">
        <v>740</v>
      </c>
      <c r="D2424" s="538" t="s">
        <v>740</v>
      </c>
      <c r="E2424" s="538" t="s">
        <v>207</v>
      </c>
      <c r="F2424" s="538">
        <v>486927</v>
      </c>
      <c r="G2424" s="538">
        <v>34</v>
      </c>
    </row>
    <row r="2425" spans="1:7" x14ac:dyDescent="0.2">
      <c r="A2425" s="538">
        <v>9</v>
      </c>
      <c r="B2425" s="538" t="s">
        <v>948</v>
      </c>
      <c r="C2425" s="538" t="s">
        <v>740</v>
      </c>
      <c r="D2425" s="538" t="s">
        <v>393</v>
      </c>
      <c r="E2425" s="538" t="s">
        <v>390</v>
      </c>
      <c r="F2425" s="538">
        <v>11328</v>
      </c>
      <c r="G2425" s="538">
        <v>1</v>
      </c>
    </row>
    <row r="2426" spans="1:7" x14ac:dyDescent="0.2">
      <c r="A2426" s="538">
        <v>9</v>
      </c>
      <c r="B2426" s="538" t="s">
        <v>6615</v>
      </c>
      <c r="C2426" s="538" t="s">
        <v>740</v>
      </c>
      <c r="D2426" s="538" t="s">
        <v>393</v>
      </c>
      <c r="E2426" s="538" t="s">
        <v>230</v>
      </c>
      <c r="F2426" s="538">
        <v>145848</v>
      </c>
      <c r="G2426" s="538">
        <v>6</v>
      </c>
    </row>
    <row r="2427" spans="1:7" x14ac:dyDescent="0.2">
      <c r="A2427" s="538">
        <v>6</v>
      </c>
      <c r="B2427" s="538" t="s">
        <v>6565</v>
      </c>
      <c r="C2427" s="538" t="s">
        <v>740</v>
      </c>
      <c r="D2427" s="538" t="s">
        <v>393</v>
      </c>
      <c r="E2427" s="538" t="s">
        <v>401</v>
      </c>
      <c r="F2427" s="538">
        <v>333114</v>
      </c>
      <c r="G2427" s="538">
        <v>8</v>
      </c>
    </row>
    <row r="2428" spans="1:7" x14ac:dyDescent="0.2">
      <c r="A2428" s="538">
        <v>9</v>
      </c>
      <c r="B2428" s="538" t="s">
        <v>6614</v>
      </c>
      <c r="C2428" s="538" t="s">
        <v>740</v>
      </c>
      <c r="D2428" s="538" t="s">
        <v>393</v>
      </c>
      <c r="E2428" s="538" t="s">
        <v>212</v>
      </c>
      <c r="F2428" s="538">
        <v>11328</v>
      </c>
      <c r="G2428" s="538">
        <v>1</v>
      </c>
    </row>
    <row r="2429" spans="1:7" x14ac:dyDescent="0.2">
      <c r="A2429" s="538">
        <v>2</v>
      </c>
      <c r="B2429" s="538" t="s">
        <v>6573</v>
      </c>
      <c r="C2429" s="538" t="s">
        <v>740</v>
      </c>
      <c r="D2429" s="538" t="s">
        <v>393</v>
      </c>
      <c r="E2429" s="538" t="s">
        <v>230</v>
      </c>
      <c r="F2429" s="538">
        <v>152220</v>
      </c>
      <c r="G2429" s="538">
        <v>10</v>
      </c>
    </row>
    <row r="2430" spans="1:7" x14ac:dyDescent="0.2">
      <c r="A2430" s="538">
        <v>6</v>
      </c>
      <c r="B2430" s="538" t="s">
        <v>6607</v>
      </c>
      <c r="C2430" s="538" t="s">
        <v>393</v>
      </c>
      <c r="D2430" s="538" t="s">
        <v>393</v>
      </c>
      <c r="E2430" s="538" t="s">
        <v>212</v>
      </c>
      <c r="F2430" s="538">
        <v>759861</v>
      </c>
      <c r="G2430" s="538">
        <v>47</v>
      </c>
    </row>
    <row r="2431" spans="1:7" x14ac:dyDescent="0.2">
      <c r="A2431" s="538">
        <v>6</v>
      </c>
      <c r="B2431" s="538" t="s">
        <v>6429</v>
      </c>
      <c r="C2431" s="538" t="s">
        <v>740</v>
      </c>
      <c r="D2431" s="538" t="s">
        <v>740</v>
      </c>
      <c r="E2431" s="538" t="s">
        <v>449</v>
      </c>
      <c r="F2431" s="538">
        <v>11328</v>
      </c>
      <c r="G2431" s="538">
        <v>1</v>
      </c>
    </row>
    <row r="2432" spans="1:7" x14ac:dyDescent="0.2">
      <c r="A2432" s="538">
        <v>7</v>
      </c>
      <c r="B2432" s="538" t="s">
        <v>6579</v>
      </c>
      <c r="C2432" s="538" t="s">
        <v>740</v>
      </c>
      <c r="D2432" s="538" t="s">
        <v>393</v>
      </c>
      <c r="E2432" s="538" t="s">
        <v>401</v>
      </c>
      <c r="F2432" s="538">
        <v>1413293</v>
      </c>
      <c r="G2432" s="538">
        <v>46</v>
      </c>
    </row>
    <row r="2433" spans="1:7" x14ac:dyDescent="0.2">
      <c r="A2433" s="538">
        <v>3</v>
      </c>
      <c r="B2433" s="538" t="s">
        <v>6591</v>
      </c>
      <c r="C2433" s="538" t="s">
        <v>740</v>
      </c>
      <c r="D2433" s="538" t="s">
        <v>740</v>
      </c>
      <c r="E2433" s="538" t="s">
        <v>419</v>
      </c>
      <c r="F2433" s="538">
        <v>50268</v>
      </c>
      <c r="G2433" s="538">
        <v>1</v>
      </c>
    </row>
    <row r="2434" spans="1:7" x14ac:dyDescent="0.2">
      <c r="A2434" s="538">
        <v>3</v>
      </c>
      <c r="B2434" s="538" t="s">
        <v>6591</v>
      </c>
      <c r="C2434" s="538" t="s">
        <v>740</v>
      </c>
      <c r="D2434" s="538" t="s">
        <v>740</v>
      </c>
      <c r="E2434" s="538" t="s">
        <v>202</v>
      </c>
      <c r="F2434" s="538">
        <v>3605886</v>
      </c>
      <c r="G2434" s="538">
        <v>17</v>
      </c>
    </row>
    <row r="2435" spans="1:7" x14ac:dyDescent="0.2">
      <c r="A2435" s="538">
        <v>5</v>
      </c>
      <c r="B2435" s="538" t="s">
        <v>6599</v>
      </c>
      <c r="C2435" s="538" t="s">
        <v>393</v>
      </c>
      <c r="D2435" s="538" t="s">
        <v>393</v>
      </c>
      <c r="E2435" s="538" t="s">
        <v>212</v>
      </c>
      <c r="F2435" s="538">
        <v>2033095</v>
      </c>
      <c r="G2435" s="538">
        <v>55</v>
      </c>
    </row>
    <row r="2436" spans="1:7" x14ac:dyDescent="0.2">
      <c r="A2436" s="538">
        <v>8</v>
      </c>
      <c r="B2436" s="538" t="s">
        <v>6577</v>
      </c>
      <c r="C2436" s="538" t="s">
        <v>393</v>
      </c>
      <c r="D2436" s="538" t="s">
        <v>740</v>
      </c>
      <c r="E2436" s="538" t="s">
        <v>860</v>
      </c>
      <c r="F2436" s="538">
        <v>22656</v>
      </c>
      <c r="G2436" s="538">
        <v>2</v>
      </c>
    </row>
    <row r="2437" spans="1:7" x14ac:dyDescent="0.2">
      <c r="A2437" s="538">
        <v>3</v>
      </c>
      <c r="B2437" s="538" t="s">
        <v>6591</v>
      </c>
      <c r="C2437" s="538" t="s">
        <v>740</v>
      </c>
      <c r="D2437" s="538" t="s">
        <v>393</v>
      </c>
      <c r="E2437" s="538" t="s">
        <v>207</v>
      </c>
      <c r="F2437" s="538">
        <v>691008</v>
      </c>
      <c r="G2437" s="538">
        <v>61</v>
      </c>
    </row>
    <row r="2438" spans="1:7" x14ac:dyDescent="0.2">
      <c r="A2438" s="538">
        <v>1</v>
      </c>
      <c r="B2438" s="538" t="s">
        <v>6609</v>
      </c>
      <c r="C2438" s="538" t="s">
        <v>393</v>
      </c>
      <c r="D2438" s="538" t="s">
        <v>393</v>
      </c>
      <c r="E2438" s="538" t="s">
        <v>438</v>
      </c>
      <c r="F2438" s="538">
        <v>1977111</v>
      </c>
      <c r="G2438" s="538">
        <v>17</v>
      </c>
    </row>
    <row r="2439" spans="1:7" x14ac:dyDescent="0.2">
      <c r="A2439" s="538">
        <v>4</v>
      </c>
      <c r="B2439" s="538" t="s">
        <v>6559</v>
      </c>
      <c r="C2439" s="538" t="s">
        <v>740</v>
      </c>
      <c r="D2439" s="538" t="s">
        <v>393</v>
      </c>
      <c r="E2439" s="538" t="s">
        <v>210</v>
      </c>
      <c r="F2439" s="538">
        <v>1512465</v>
      </c>
      <c r="G2439" s="538">
        <v>110</v>
      </c>
    </row>
    <row r="2440" spans="1:7" x14ac:dyDescent="0.2">
      <c r="A2440" s="538">
        <v>3</v>
      </c>
      <c r="B2440" s="538" t="s">
        <v>6586</v>
      </c>
      <c r="C2440" s="538" t="s">
        <v>740</v>
      </c>
      <c r="D2440" s="538" t="s">
        <v>740</v>
      </c>
      <c r="E2440" s="538" t="s">
        <v>207</v>
      </c>
      <c r="F2440" s="538">
        <v>2621547</v>
      </c>
      <c r="G2440" s="538">
        <v>154</v>
      </c>
    </row>
    <row r="2441" spans="1:7" x14ac:dyDescent="0.2">
      <c r="A2441" s="538">
        <v>1</v>
      </c>
      <c r="B2441" s="538" t="s">
        <v>6663</v>
      </c>
      <c r="C2441" s="538" t="s">
        <v>393</v>
      </c>
      <c r="D2441" s="538" t="s">
        <v>393</v>
      </c>
      <c r="E2441" s="538" t="s">
        <v>210</v>
      </c>
      <c r="F2441" s="538">
        <v>1046195</v>
      </c>
      <c r="G2441" s="538">
        <v>35</v>
      </c>
    </row>
    <row r="2442" spans="1:7" x14ac:dyDescent="0.2">
      <c r="A2442" s="538">
        <v>10</v>
      </c>
      <c r="B2442" s="538" t="s">
        <v>6597</v>
      </c>
      <c r="C2442" s="538" t="s">
        <v>740</v>
      </c>
      <c r="D2442" s="538" t="s">
        <v>740</v>
      </c>
      <c r="E2442" s="538" t="s">
        <v>202</v>
      </c>
      <c r="F2442" s="538">
        <v>209922</v>
      </c>
      <c r="G2442" s="538">
        <v>4</v>
      </c>
    </row>
    <row r="2443" spans="1:7" x14ac:dyDescent="0.2">
      <c r="A2443" s="538">
        <v>9</v>
      </c>
      <c r="B2443" s="538" t="s">
        <v>6657</v>
      </c>
      <c r="C2443" s="538" t="s">
        <v>393</v>
      </c>
      <c r="D2443" s="538" t="s">
        <v>740</v>
      </c>
      <c r="E2443" s="538" t="s">
        <v>230</v>
      </c>
      <c r="F2443" s="538">
        <v>74163</v>
      </c>
      <c r="G2443" s="538">
        <v>1</v>
      </c>
    </row>
    <row r="2444" spans="1:7" x14ac:dyDescent="0.2">
      <c r="A2444" s="538">
        <v>6</v>
      </c>
      <c r="B2444" s="538" t="s">
        <v>6429</v>
      </c>
      <c r="C2444" s="538" t="s">
        <v>740</v>
      </c>
      <c r="D2444" s="538" t="s">
        <v>393</v>
      </c>
      <c r="E2444" s="538" t="s">
        <v>202</v>
      </c>
      <c r="F2444" s="538">
        <v>96819</v>
      </c>
      <c r="G2444" s="538">
        <v>3</v>
      </c>
    </row>
    <row r="2445" spans="1:7" x14ac:dyDescent="0.2">
      <c r="A2445" s="538">
        <v>6</v>
      </c>
      <c r="B2445" s="538" t="s">
        <v>6565</v>
      </c>
      <c r="C2445" s="538" t="s">
        <v>740</v>
      </c>
      <c r="D2445" s="538" t="s">
        <v>393</v>
      </c>
      <c r="E2445" s="538" t="s">
        <v>860</v>
      </c>
      <c r="F2445" s="538">
        <v>494361</v>
      </c>
      <c r="G2445" s="538">
        <v>27</v>
      </c>
    </row>
    <row r="2446" spans="1:7" x14ac:dyDescent="0.2">
      <c r="A2446" s="538">
        <v>8</v>
      </c>
      <c r="B2446" s="538" t="s">
        <v>6570</v>
      </c>
      <c r="C2446" s="538" t="s">
        <v>740</v>
      </c>
      <c r="D2446" s="538" t="s">
        <v>393</v>
      </c>
      <c r="E2446" s="538" t="s">
        <v>212</v>
      </c>
      <c r="F2446" s="538">
        <v>791544</v>
      </c>
      <c r="G2446" s="538">
        <v>63</v>
      </c>
    </row>
    <row r="2447" spans="1:7" x14ac:dyDescent="0.2">
      <c r="A2447" s="538">
        <v>2</v>
      </c>
      <c r="B2447" s="538" t="s">
        <v>6573</v>
      </c>
      <c r="C2447" s="538" t="s">
        <v>740</v>
      </c>
      <c r="D2447" s="538" t="s">
        <v>393</v>
      </c>
      <c r="E2447" s="538" t="s">
        <v>449</v>
      </c>
      <c r="F2447" s="538">
        <v>312051</v>
      </c>
      <c r="G2447" s="538">
        <v>22</v>
      </c>
    </row>
    <row r="2448" spans="1:7" x14ac:dyDescent="0.2">
      <c r="A2448" s="538">
        <v>2</v>
      </c>
      <c r="B2448" s="538" t="s">
        <v>6662</v>
      </c>
      <c r="C2448" s="538" t="s">
        <v>393</v>
      </c>
      <c r="D2448" s="538" t="s">
        <v>740</v>
      </c>
      <c r="E2448" s="538" t="s">
        <v>409</v>
      </c>
      <c r="F2448" s="538">
        <v>351168</v>
      </c>
      <c r="G2448" s="538">
        <v>31</v>
      </c>
    </row>
    <row r="2449" spans="1:7" x14ac:dyDescent="0.2">
      <c r="A2449" s="538">
        <v>3</v>
      </c>
      <c r="B2449" s="538" t="s">
        <v>1390</v>
      </c>
      <c r="C2449" s="538" t="s">
        <v>740</v>
      </c>
      <c r="D2449" s="538" t="s">
        <v>393</v>
      </c>
      <c r="E2449" s="538" t="s">
        <v>207</v>
      </c>
      <c r="F2449" s="538">
        <v>867123</v>
      </c>
      <c r="G2449" s="538">
        <v>71</v>
      </c>
    </row>
    <row r="2450" spans="1:7" x14ac:dyDescent="0.2">
      <c r="A2450" s="538">
        <v>9</v>
      </c>
      <c r="B2450" s="538" t="s">
        <v>6614</v>
      </c>
      <c r="C2450" s="538" t="s">
        <v>740</v>
      </c>
      <c r="D2450" s="538" t="s">
        <v>393</v>
      </c>
      <c r="E2450" s="538" t="s">
        <v>409</v>
      </c>
      <c r="F2450" s="538">
        <v>819635</v>
      </c>
      <c r="G2450" s="538">
        <v>15</v>
      </c>
    </row>
    <row r="2451" spans="1:7" x14ac:dyDescent="0.2">
      <c r="A2451" s="538">
        <v>11</v>
      </c>
      <c r="B2451" s="538" t="s">
        <v>6660</v>
      </c>
      <c r="C2451" s="538" t="s">
        <v>393</v>
      </c>
      <c r="D2451" s="538" t="s">
        <v>393</v>
      </c>
      <c r="E2451" s="538" t="s">
        <v>313</v>
      </c>
      <c r="F2451" s="538">
        <v>10159197</v>
      </c>
      <c r="G2451" s="538">
        <v>59</v>
      </c>
    </row>
    <row r="2452" spans="1:7" x14ac:dyDescent="0.2">
      <c r="A2452" s="538">
        <v>8</v>
      </c>
      <c r="B2452" s="538" t="s">
        <v>6648</v>
      </c>
      <c r="C2452" s="538" t="s">
        <v>740</v>
      </c>
      <c r="D2452" s="538" t="s">
        <v>393</v>
      </c>
      <c r="E2452" s="538" t="s">
        <v>416</v>
      </c>
      <c r="F2452" s="538">
        <v>7958514</v>
      </c>
      <c r="G2452" s="538">
        <v>138</v>
      </c>
    </row>
    <row r="2453" spans="1:7" x14ac:dyDescent="0.2">
      <c r="A2453" s="538">
        <v>3</v>
      </c>
      <c r="B2453" s="538" t="s">
        <v>6586</v>
      </c>
      <c r="C2453" s="538" t="s">
        <v>740</v>
      </c>
      <c r="D2453" s="538" t="s">
        <v>393</v>
      </c>
      <c r="E2453" s="538" t="s">
        <v>211</v>
      </c>
      <c r="F2453" s="538">
        <v>30150556</v>
      </c>
      <c r="G2453" s="538">
        <v>777</v>
      </c>
    </row>
    <row r="2454" spans="1:7" x14ac:dyDescent="0.2">
      <c r="A2454" s="538">
        <v>2</v>
      </c>
      <c r="B2454" s="538" t="s">
        <v>6573</v>
      </c>
      <c r="C2454" s="538" t="s">
        <v>740</v>
      </c>
      <c r="D2454" s="538" t="s">
        <v>740</v>
      </c>
      <c r="E2454" s="538" t="s">
        <v>401</v>
      </c>
      <c r="F2454" s="538">
        <v>22656</v>
      </c>
      <c r="G2454" s="538">
        <v>2</v>
      </c>
    </row>
    <row r="2455" spans="1:7" x14ac:dyDescent="0.2">
      <c r="A2455" s="538">
        <v>10</v>
      </c>
      <c r="B2455" s="538" t="s">
        <v>6582</v>
      </c>
      <c r="C2455" s="538" t="s">
        <v>740</v>
      </c>
      <c r="D2455" s="538" t="s">
        <v>393</v>
      </c>
      <c r="E2455" s="538" t="s">
        <v>449</v>
      </c>
      <c r="F2455" s="538">
        <v>11328</v>
      </c>
      <c r="G2455" s="538">
        <v>1</v>
      </c>
    </row>
    <row r="2456" spans="1:7" x14ac:dyDescent="0.2">
      <c r="A2456" s="538">
        <v>1</v>
      </c>
      <c r="B2456" s="538" t="s">
        <v>6609</v>
      </c>
      <c r="C2456" s="538" t="s">
        <v>393</v>
      </c>
      <c r="D2456" s="538" t="s">
        <v>740</v>
      </c>
      <c r="E2456" s="538" t="s">
        <v>207</v>
      </c>
      <c r="F2456" s="538">
        <v>79296</v>
      </c>
      <c r="G2456" s="538">
        <v>7</v>
      </c>
    </row>
    <row r="2457" spans="1:7" x14ac:dyDescent="0.2">
      <c r="A2457" s="538">
        <v>6</v>
      </c>
      <c r="B2457" s="538" t="s">
        <v>6429</v>
      </c>
      <c r="C2457" s="538" t="s">
        <v>740</v>
      </c>
      <c r="D2457" s="538" t="s">
        <v>740</v>
      </c>
      <c r="E2457" s="538" t="s">
        <v>416</v>
      </c>
      <c r="F2457" s="538">
        <v>246673429</v>
      </c>
      <c r="G2457" s="538">
        <v>4508</v>
      </c>
    </row>
    <row r="2458" spans="1:7" x14ac:dyDescent="0.2">
      <c r="A2458" s="538">
        <v>2</v>
      </c>
      <c r="B2458" s="538" t="s">
        <v>6055</v>
      </c>
      <c r="C2458" s="538" t="s">
        <v>740</v>
      </c>
      <c r="D2458" s="538" t="s">
        <v>393</v>
      </c>
      <c r="E2458" s="538" t="s">
        <v>449</v>
      </c>
      <c r="F2458" s="538">
        <v>3122176</v>
      </c>
      <c r="G2458" s="538">
        <v>107</v>
      </c>
    </row>
    <row r="2459" spans="1:7" x14ac:dyDescent="0.2">
      <c r="A2459" s="538">
        <v>9</v>
      </c>
      <c r="B2459" s="538" t="s">
        <v>6613</v>
      </c>
      <c r="C2459" s="538" t="s">
        <v>740</v>
      </c>
      <c r="D2459" s="538" t="s">
        <v>393</v>
      </c>
      <c r="E2459" s="538" t="s">
        <v>416</v>
      </c>
      <c r="F2459" s="538">
        <v>1073859</v>
      </c>
      <c r="G2459" s="538">
        <v>38</v>
      </c>
    </row>
    <row r="2460" spans="1:7" x14ac:dyDescent="0.2">
      <c r="A2460" s="538">
        <v>3</v>
      </c>
      <c r="B2460" s="538" t="s">
        <v>6647</v>
      </c>
      <c r="C2460" s="538" t="s">
        <v>393</v>
      </c>
      <c r="D2460" s="538" t="s">
        <v>740</v>
      </c>
      <c r="E2460" s="538" t="s">
        <v>390</v>
      </c>
      <c r="F2460" s="538">
        <v>641094</v>
      </c>
      <c r="G2460" s="538">
        <v>13</v>
      </c>
    </row>
    <row r="2461" spans="1:7" x14ac:dyDescent="0.2">
      <c r="A2461" s="538">
        <v>10</v>
      </c>
      <c r="B2461" s="538" t="s">
        <v>6597</v>
      </c>
      <c r="C2461" s="538" t="s">
        <v>740</v>
      </c>
      <c r="D2461" s="538" t="s">
        <v>393</v>
      </c>
      <c r="E2461" s="538" t="s">
        <v>207</v>
      </c>
      <c r="F2461" s="538">
        <v>1354935</v>
      </c>
      <c r="G2461" s="538">
        <v>90</v>
      </c>
    </row>
    <row r="2462" spans="1:7" x14ac:dyDescent="0.2">
      <c r="A2462" s="538">
        <v>10</v>
      </c>
      <c r="B2462" s="538" t="s">
        <v>6587</v>
      </c>
      <c r="C2462" s="538" t="s">
        <v>393</v>
      </c>
      <c r="D2462" s="538" t="s">
        <v>393</v>
      </c>
      <c r="E2462" s="538" t="s">
        <v>313</v>
      </c>
      <c r="F2462" s="538">
        <v>222489</v>
      </c>
      <c r="G2462" s="538">
        <v>3</v>
      </c>
    </row>
    <row r="2463" spans="1:7" x14ac:dyDescent="0.2">
      <c r="A2463" s="538">
        <v>5</v>
      </c>
      <c r="B2463" s="538" t="s">
        <v>6598</v>
      </c>
      <c r="C2463" s="538" t="s">
        <v>740</v>
      </c>
      <c r="D2463" s="538" t="s">
        <v>740</v>
      </c>
      <c r="E2463" s="538" t="s">
        <v>402</v>
      </c>
      <c r="F2463" s="538">
        <v>6105032</v>
      </c>
      <c r="G2463" s="538">
        <v>364</v>
      </c>
    </row>
    <row r="2464" spans="1:7" x14ac:dyDescent="0.2">
      <c r="A2464" s="538">
        <v>3</v>
      </c>
      <c r="B2464" s="538" t="s">
        <v>6561</v>
      </c>
      <c r="C2464" s="538" t="s">
        <v>393</v>
      </c>
      <c r="D2464" s="538" t="s">
        <v>393</v>
      </c>
      <c r="E2464" s="538" t="s">
        <v>313</v>
      </c>
      <c r="F2464" s="538">
        <v>2218310</v>
      </c>
      <c r="G2464" s="538">
        <v>10</v>
      </c>
    </row>
    <row r="2465" spans="1:7" x14ac:dyDescent="0.2">
      <c r="A2465" s="538">
        <v>1</v>
      </c>
      <c r="B2465" s="538" t="s">
        <v>6646</v>
      </c>
      <c r="C2465" s="538" t="s">
        <v>740</v>
      </c>
      <c r="D2465" s="538" t="s">
        <v>393</v>
      </c>
      <c r="E2465" s="538" t="s">
        <v>202</v>
      </c>
      <c r="F2465" s="538">
        <v>85491</v>
      </c>
      <c r="G2465" s="538">
        <v>2</v>
      </c>
    </row>
    <row r="2466" spans="1:7" x14ac:dyDescent="0.2">
      <c r="A2466" s="538">
        <v>6</v>
      </c>
      <c r="B2466" s="538" t="s">
        <v>6565</v>
      </c>
      <c r="C2466" s="538" t="s">
        <v>740</v>
      </c>
      <c r="D2466" s="538" t="s">
        <v>740</v>
      </c>
      <c r="E2466" s="538" t="s">
        <v>210</v>
      </c>
      <c r="F2466" s="538">
        <v>50268</v>
      </c>
      <c r="G2466" s="538">
        <v>1</v>
      </c>
    </row>
    <row r="2467" spans="1:7" x14ac:dyDescent="0.2">
      <c r="A2467" s="538">
        <v>4</v>
      </c>
      <c r="B2467" s="538" t="s">
        <v>6572</v>
      </c>
      <c r="C2467" s="538" t="s">
        <v>740</v>
      </c>
      <c r="D2467" s="538" t="s">
        <v>740</v>
      </c>
      <c r="E2467" s="538" t="s">
        <v>207</v>
      </c>
      <c r="F2467" s="538">
        <v>6610367</v>
      </c>
      <c r="G2467" s="538">
        <v>374</v>
      </c>
    </row>
    <row r="2468" spans="1:7" x14ac:dyDescent="0.2">
      <c r="A2468" s="538">
        <v>3</v>
      </c>
      <c r="B2468" s="538" t="s">
        <v>6578</v>
      </c>
      <c r="C2468" s="538" t="s">
        <v>740</v>
      </c>
      <c r="D2468" s="538" t="s">
        <v>393</v>
      </c>
      <c r="E2468" s="538" t="s">
        <v>212</v>
      </c>
      <c r="F2468" s="538">
        <v>33984</v>
      </c>
      <c r="G2468" s="538">
        <v>3</v>
      </c>
    </row>
    <row r="2469" spans="1:7" x14ac:dyDescent="0.2">
      <c r="A2469" s="538">
        <v>5</v>
      </c>
      <c r="B2469" s="538" t="s">
        <v>6599</v>
      </c>
      <c r="C2469" s="538" t="s">
        <v>740</v>
      </c>
      <c r="D2469" s="538" t="s">
        <v>393</v>
      </c>
      <c r="E2469" s="538" t="s">
        <v>390</v>
      </c>
      <c r="F2469" s="538">
        <v>35859753</v>
      </c>
      <c r="G2469" s="538">
        <v>1356</v>
      </c>
    </row>
    <row r="2470" spans="1:7" x14ac:dyDescent="0.2">
      <c r="A2470" s="538">
        <v>12</v>
      </c>
      <c r="B2470" s="538" t="s">
        <v>6616</v>
      </c>
      <c r="C2470" s="538" t="s">
        <v>740</v>
      </c>
      <c r="D2470" s="538" t="s">
        <v>393</v>
      </c>
      <c r="E2470" s="538" t="s">
        <v>390</v>
      </c>
      <c r="F2470" s="538">
        <v>158592</v>
      </c>
      <c r="G2470" s="538">
        <v>14</v>
      </c>
    </row>
    <row r="2471" spans="1:7" x14ac:dyDescent="0.2">
      <c r="A2471" s="538">
        <v>7</v>
      </c>
      <c r="B2471" s="538" t="s">
        <v>6604</v>
      </c>
      <c r="C2471" s="538" t="s">
        <v>740</v>
      </c>
      <c r="D2471" s="538" t="s">
        <v>740</v>
      </c>
      <c r="E2471" s="538" t="s">
        <v>449</v>
      </c>
      <c r="F2471" s="538">
        <v>101952</v>
      </c>
      <c r="G2471" s="538">
        <v>9</v>
      </c>
    </row>
    <row r="2472" spans="1:7" x14ac:dyDescent="0.2">
      <c r="A2472" s="538">
        <v>8</v>
      </c>
      <c r="B2472" s="538" t="s">
        <v>6648</v>
      </c>
      <c r="C2472" s="538" t="s">
        <v>393</v>
      </c>
      <c r="D2472" s="538" t="s">
        <v>393</v>
      </c>
      <c r="E2472" s="538" t="s">
        <v>390</v>
      </c>
      <c r="F2472" s="538">
        <v>13500686</v>
      </c>
      <c r="G2472" s="538">
        <v>307</v>
      </c>
    </row>
    <row r="2473" spans="1:7" x14ac:dyDescent="0.2">
      <c r="A2473" s="538">
        <v>7</v>
      </c>
      <c r="B2473" s="538" t="s">
        <v>6661</v>
      </c>
      <c r="C2473" s="538" t="s">
        <v>740</v>
      </c>
      <c r="D2473" s="538" t="s">
        <v>740</v>
      </c>
      <c r="E2473" s="538" t="s">
        <v>416</v>
      </c>
      <c r="F2473" s="538">
        <v>1933444</v>
      </c>
      <c r="G2473" s="538">
        <v>38</v>
      </c>
    </row>
    <row r="2474" spans="1:7" x14ac:dyDescent="0.2">
      <c r="A2474" s="538">
        <v>3</v>
      </c>
      <c r="B2474" s="538" t="s">
        <v>6561</v>
      </c>
      <c r="C2474" s="538" t="s">
        <v>740</v>
      </c>
      <c r="D2474" s="538" t="s">
        <v>393</v>
      </c>
      <c r="E2474" s="538" t="s">
        <v>416</v>
      </c>
      <c r="F2474" s="538">
        <v>6441749</v>
      </c>
      <c r="G2474" s="538">
        <v>58</v>
      </c>
    </row>
    <row r="2475" spans="1:7" x14ac:dyDescent="0.2">
      <c r="A2475" s="538">
        <v>9</v>
      </c>
      <c r="B2475" s="538" t="s">
        <v>6657</v>
      </c>
      <c r="C2475" s="538" t="s">
        <v>740</v>
      </c>
      <c r="D2475" s="538" t="s">
        <v>393</v>
      </c>
      <c r="E2475" s="538" t="s">
        <v>860</v>
      </c>
      <c r="F2475" s="538">
        <v>786057</v>
      </c>
      <c r="G2475" s="538">
        <v>39</v>
      </c>
    </row>
    <row r="2476" spans="1:7" x14ac:dyDescent="0.2">
      <c r="A2476" s="538">
        <v>6</v>
      </c>
      <c r="B2476" s="538" t="s">
        <v>6607</v>
      </c>
      <c r="C2476" s="538" t="s">
        <v>393</v>
      </c>
      <c r="D2476" s="538" t="s">
        <v>393</v>
      </c>
      <c r="E2476" s="538" t="s">
        <v>313</v>
      </c>
      <c r="F2476" s="538">
        <v>222489</v>
      </c>
      <c r="G2476" s="538">
        <v>3</v>
      </c>
    </row>
    <row r="2477" spans="1:7" x14ac:dyDescent="0.2">
      <c r="A2477" s="538">
        <v>1</v>
      </c>
      <c r="B2477" s="538" t="s">
        <v>6609</v>
      </c>
      <c r="C2477" s="538" t="s">
        <v>740</v>
      </c>
      <c r="D2477" s="538" t="s">
        <v>393</v>
      </c>
      <c r="E2477" s="538" t="s">
        <v>402</v>
      </c>
      <c r="F2477" s="538">
        <v>72924</v>
      </c>
      <c r="G2477" s="538">
        <v>3</v>
      </c>
    </row>
    <row r="2478" spans="1:7" x14ac:dyDescent="0.2">
      <c r="A2478" s="538">
        <v>12</v>
      </c>
      <c r="B2478" s="538" t="s">
        <v>6616</v>
      </c>
      <c r="C2478" s="538" t="s">
        <v>740</v>
      </c>
      <c r="D2478" s="538" t="s">
        <v>393</v>
      </c>
      <c r="E2478" s="538" t="s">
        <v>860</v>
      </c>
      <c r="F2478" s="538">
        <v>1103064</v>
      </c>
      <c r="G2478" s="538">
        <v>58</v>
      </c>
    </row>
    <row r="2479" spans="1:7" x14ac:dyDescent="0.2">
      <c r="A2479" s="538">
        <v>12</v>
      </c>
      <c r="B2479" s="538" t="s">
        <v>6563</v>
      </c>
      <c r="C2479" s="538" t="s">
        <v>740</v>
      </c>
      <c r="D2479" s="538" t="s">
        <v>740</v>
      </c>
      <c r="E2479" s="538" t="s">
        <v>860</v>
      </c>
      <c r="F2479" s="538">
        <v>11328</v>
      </c>
      <c r="G2479" s="538">
        <v>1</v>
      </c>
    </row>
    <row r="2480" spans="1:7" x14ac:dyDescent="0.2">
      <c r="A2480" s="538">
        <v>6</v>
      </c>
      <c r="B2480" s="538" t="s">
        <v>6433</v>
      </c>
      <c r="C2480" s="538" t="s">
        <v>393</v>
      </c>
      <c r="D2480" s="538" t="s">
        <v>740</v>
      </c>
      <c r="E2480" s="538" t="s">
        <v>449</v>
      </c>
      <c r="F2480" s="538">
        <v>661980</v>
      </c>
      <c r="G2480" s="538">
        <v>55</v>
      </c>
    </row>
    <row r="2481" spans="1:7" x14ac:dyDescent="0.2">
      <c r="A2481" s="538">
        <v>8</v>
      </c>
      <c r="B2481" s="538" t="s">
        <v>6560</v>
      </c>
      <c r="C2481" s="538" t="s">
        <v>740</v>
      </c>
      <c r="D2481" s="538" t="s">
        <v>393</v>
      </c>
      <c r="E2481" s="538" t="s">
        <v>409</v>
      </c>
      <c r="F2481" s="538">
        <v>8395954</v>
      </c>
      <c r="G2481" s="538">
        <v>138</v>
      </c>
    </row>
    <row r="2482" spans="1:7" x14ac:dyDescent="0.2">
      <c r="A2482" s="538">
        <v>5</v>
      </c>
      <c r="B2482" s="538" t="s">
        <v>6650</v>
      </c>
      <c r="C2482" s="538" t="s">
        <v>393</v>
      </c>
      <c r="D2482" s="538" t="s">
        <v>393</v>
      </c>
      <c r="E2482" s="538" t="s">
        <v>401</v>
      </c>
      <c r="F2482" s="538">
        <v>798218</v>
      </c>
      <c r="G2482" s="538">
        <v>11</v>
      </c>
    </row>
    <row r="2483" spans="1:7" x14ac:dyDescent="0.2">
      <c r="A2483" s="538">
        <v>7</v>
      </c>
      <c r="B2483" s="538" t="s">
        <v>6594</v>
      </c>
      <c r="C2483" s="538" t="s">
        <v>740</v>
      </c>
      <c r="D2483" s="538" t="s">
        <v>740</v>
      </c>
      <c r="E2483" s="538" t="s">
        <v>409</v>
      </c>
      <c r="F2483" s="538">
        <v>231516</v>
      </c>
      <c r="G2483" s="538">
        <v>17</v>
      </c>
    </row>
    <row r="2484" spans="1:7" x14ac:dyDescent="0.2">
      <c r="A2484" s="538">
        <v>7</v>
      </c>
      <c r="B2484" s="538" t="s">
        <v>6580</v>
      </c>
      <c r="C2484" s="538" t="s">
        <v>393</v>
      </c>
      <c r="D2484" s="538" t="s">
        <v>393</v>
      </c>
      <c r="E2484" s="538" t="s">
        <v>212</v>
      </c>
      <c r="F2484" s="538">
        <v>2011449</v>
      </c>
      <c r="G2484" s="538">
        <v>38</v>
      </c>
    </row>
    <row r="2485" spans="1:7" x14ac:dyDescent="0.2">
      <c r="A2485" s="538">
        <v>11</v>
      </c>
      <c r="B2485" s="538" t="s">
        <v>6612</v>
      </c>
      <c r="C2485" s="538" t="s">
        <v>740</v>
      </c>
      <c r="D2485" s="538" t="s">
        <v>393</v>
      </c>
      <c r="E2485" s="538" t="s">
        <v>449</v>
      </c>
      <c r="F2485" s="538">
        <v>411171</v>
      </c>
      <c r="G2485" s="538">
        <v>17</v>
      </c>
    </row>
    <row r="2486" spans="1:7" x14ac:dyDescent="0.2">
      <c r="A2486" s="538">
        <v>7</v>
      </c>
      <c r="B2486" s="538" t="s">
        <v>6564</v>
      </c>
      <c r="C2486" s="538" t="s">
        <v>740</v>
      </c>
      <c r="D2486" s="538" t="s">
        <v>393</v>
      </c>
      <c r="E2486" s="538" t="s">
        <v>402</v>
      </c>
      <c r="F2486" s="538">
        <v>147264</v>
      </c>
      <c r="G2486" s="538">
        <v>13</v>
      </c>
    </row>
    <row r="2487" spans="1:7" x14ac:dyDescent="0.2">
      <c r="A2487" s="538">
        <v>12</v>
      </c>
      <c r="B2487" s="538" t="s">
        <v>6563</v>
      </c>
      <c r="C2487" s="538" t="s">
        <v>740</v>
      </c>
      <c r="D2487" s="538" t="s">
        <v>393</v>
      </c>
      <c r="E2487" s="538" t="s">
        <v>401</v>
      </c>
      <c r="F2487" s="538">
        <v>35945016</v>
      </c>
      <c r="G2487" s="538">
        <v>882</v>
      </c>
    </row>
    <row r="2488" spans="1:7" x14ac:dyDescent="0.2">
      <c r="A2488" s="538">
        <v>4</v>
      </c>
      <c r="B2488" s="538" t="s">
        <v>6559</v>
      </c>
      <c r="C2488" s="538" t="s">
        <v>740</v>
      </c>
      <c r="D2488" s="538" t="s">
        <v>393</v>
      </c>
      <c r="E2488" s="538" t="s">
        <v>860</v>
      </c>
      <c r="F2488" s="538">
        <v>11328</v>
      </c>
      <c r="G2488" s="538">
        <v>1</v>
      </c>
    </row>
    <row r="2489" spans="1:7" x14ac:dyDescent="0.2">
      <c r="A2489" s="538">
        <v>8</v>
      </c>
      <c r="B2489" s="538" t="s">
        <v>6648</v>
      </c>
      <c r="C2489" s="538" t="s">
        <v>740</v>
      </c>
      <c r="D2489" s="538" t="s">
        <v>740</v>
      </c>
      <c r="E2489" s="538" t="s">
        <v>207</v>
      </c>
      <c r="F2489" s="538">
        <v>407808</v>
      </c>
      <c r="G2489" s="538">
        <v>36</v>
      </c>
    </row>
    <row r="2490" spans="1:7" x14ac:dyDescent="0.2">
      <c r="A2490" s="538">
        <v>11</v>
      </c>
      <c r="B2490" s="538" t="s">
        <v>6584</v>
      </c>
      <c r="C2490" s="538" t="s">
        <v>740</v>
      </c>
      <c r="D2490" s="538" t="s">
        <v>393</v>
      </c>
      <c r="E2490" s="538" t="s">
        <v>409</v>
      </c>
      <c r="F2490" s="538">
        <v>11328</v>
      </c>
      <c r="G2490" s="538">
        <v>1</v>
      </c>
    </row>
    <row r="2491" spans="1:7" x14ac:dyDescent="0.2">
      <c r="A2491" s="538">
        <v>5</v>
      </c>
      <c r="B2491" s="538" t="s">
        <v>6650</v>
      </c>
      <c r="C2491" s="538" t="s">
        <v>740</v>
      </c>
      <c r="D2491" s="538" t="s">
        <v>740</v>
      </c>
      <c r="E2491" s="538" t="s">
        <v>209</v>
      </c>
      <c r="F2491" s="538">
        <v>496433</v>
      </c>
      <c r="G2491" s="538">
        <v>1</v>
      </c>
    </row>
    <row r="2492" spans="1:7" x14ac:dyDescent="0.2">
      <c r="A2492" s="538">
        <v>3</v>
      </c>
      <c r="B2492" s="538" t="s">
        <v>6561</v>
      </c>
      <c r="C2492" s="538" t="s">
        <v>740</v>
      </c>
      <c r="D2492" s="538" t="s">
        <v>740</v>
      </c>
      <c r="E2492" s="538" t="s">
        <v>212</v>
      </c>
      <c r="F2492" s="538">
        <v>22656</v>
      </c>
      <c r="G2492" s="538">
        <v>2</v>
      </c>
    </row>
    <row r="2493" spans="1:7" x14ac:dyDescent="0.2">
      <c r="A2493" s="538">
        <v>3</v>
      </c>
      <c r="B2493" s="538" t="s">
        <v>6591</v>
      </c>
      <c r="C2493" s="538" t="s">
        <v>740</v>
      </c>
      <c r="D2493" s="538" t="s">
        <v>393</v>
      </c>
      <c r="E2493" s="538" t="s">
        <v>419</v>
      </c>
      <c r="F2493" s="538">
        <v>754905</v>
      </c>
      <c r="G2493" s="538">
        <v>50</v>
      </c>
    </row>
    <row r="2494" spans="1:7" x14ac:dyDescent="0.2">
      <c r="A2494" s="538">
        <v>10</v>
      </c>
      <c r="B2494" s="538" t="s">
        <v>6597</v>
      </c>
      <c r="C2494" s="538" t="s">
        <v>393</v>
      </c>
      <c r="D2494" s="538" t="s">
        <v>740</v>
      </c>
      <c r="E2494" s="538" t="s">
        <v>202</v>
      </c>
      <c r="F2494" s="538">
        <v>158415</v>
      </c>
      <c r="G2494" s="538">
        <v>5</v>
      </c>
    </row>
    <row r="2495" spans="1:7" x14ac:dyDescent="0.2">
      <c r="A2495" s="538">
        <v>4</v>
      </c>
      <c r="B2495" s="538" t="s">
        <v>6574</v>
      </c>
      <c r="C2495" s="538" t="s">
        <v>740</v>
      </c>
      <c r="D2495" s="538" t="s">
        <v>393</v>
      </c>
      <c r="E2495" s="538" t="s">
        <v>230</v>
      </c>
      <c r="F2495" s="538">
        <v>93647861</v>
      </c>
      <c r="G2495" s="538">
        <v>2287</v>
      </c>
    </row>
    <row r="2496" spans="1:7" x14ac:dyDescent="0.2">
      <c r="A2496" s="538">
        <v>2</v>
      </c>
      <c r="B2496" s="538" t="s">
        <v>6654</v>
      </c>
      <c r="C2496" s="538" t="s">
        <v>740</v>
      </c>
      <c r="D2496" s="538" t="s">
        <v>740</v>
      </c>
      <c r="E2496" s="538" t="s">
        <v>401</v>
      </c>
      <c r="F2496" s="538">
        <v>22656</v>
      </c>
      <c r="G2496" s="538">
        <v>2</v>
      </c>
    </row>
    <row r="2497" spans="1:7" x14ac:dyDescent="0.2">
      <c r="A2497" s="538">
        <v>4</v>
      </c>
      <c r="B2497" s="538" t="s">
        <v>6562</v>
      </c>
      <c r="C2497" s="538" t="s">
        <v>740</v>
      </c>
      <c r="D2497" s="538" t="s">
        <v>393</v>
      </c>
      <c r="E2497" s="538" t="s">
        <v>210</v>
      </c>
      <c r="F2497" s="538">
        <v>1514839</v>
      </c>
      <c r="G2497" s="538">
        <v>28</v>
      </c>
    </row>
    <row r="2498" spans="1:7" x14ac:dyDescent="0.2">
      <c r="A2498" s="538">
        <v>10</v>
      </c>
      <c r="B2498" s="538" t="s">
        <v>6652</v>
      </c>
      <c r="C2498" s="538" t="s">
        <v>740</v>
      </c>
      <c r="D2498" s="538" t="s">
        <v>393</v>
      </c>
      <c r="E2498" s="538" t="s">
        <v>211</v>
      </c>
      <c r="F2498" s="538">
        <v>862469</v>
      </c>
      <c r="G2498" s="538">
        <v>23</v>
      </c>
    </row>
    <row r="2499" spans="1:7" x14ac:dyDescent="0.2">
      <c r="A2499" s="538">
        <v>6</v>
      </c>
      <c r="B2499" s="538" t="s">
        <v>6596</v>
      </c>
      <c r="C2499" s="538" t="s">
        <v>393</v>
      </c>
      <c r="D2499" s="538" t="s">
        <v>393</v>
      </c>
      <c r="E2499" s="538" t="s">
        <v>230</v>
      </c>
      <c r="F2499" s="538">
        <v>7213500</v>
      </c>
      <c r="G2499" s="538">
        <v>150</v>
      </c>
    </row>
    <row r="2500" spans="1:7" x14ac:dyDescent="0.2">
      <c r="A2500" s="538">
        <v>8</v>
      </c>
      <c r="B2500" s="538" t="s">
        <v>6567</v>
      </c>
      <c r="C2500" s="538" t="s">
        <v>740</v>
      </c>
      <c r="D2500" s="538" t="s">
        <v>393</v>
      </c>
      <c r="E2500" s="538" t="s">
        <v>202</v>
      </c>
      <c r="F2500" s="538">
        <v>8870814</v>
      </c>
      <c r="G2500" s="538">
        <v>43</v>
      </c>
    </row>
    <row r="2501" spans="1:7" x14ac:dyDescent="0.2">
      <c r="A2501" s="538">
        <v>9</v>
      </c>
      <c r="B2501" s="538" t="s">
        <v>6606</v>
      </c>
      <c r="C2501" s="538" t="s">
        <v>740</v>
      </c>
      <c r="D2501" s="538" t="s">
        <v>393</v>
      </c>
      <c r="E2501" s="538" t="s">
        <v>409</v>
      </c>
      <c r="F2501" s="538">
        <v>1074869</v>
      </c>
      <c r="G2501" s="538">
        <v>23</v>
      </c>
    </row>
    <row r="2502" spans="1:7" x14ac:dyDescent="0.2">
      <c r="A2502" s="538">
        <v>10</v>
      </c>
      <c r="B2502" s="538" t="s">
        <v>6597</v>
      </c>
      <c r="C2502" s="538" t="s">
        <v>740</v>
      </c>
      <c r="D2502" s="538" t="s">
        <v>393</v>
      </c>
      <c r="E2502" s="538" t="s">
        <v>210</v>
      </c>
      <c r="F2502" s="538">
        <v>3602658</v>
      </c>
      <c r="G2502" s="538">
        <v>211</v>
      </c>
    </row>
    <row r="2503" spans="1:7" x14ac:dyDescent="0.2">
      <c r="A2503" s="538">
        <v>8</v>
      </c>
      <c r="B2503" s="538" t="s">
        <v>6583</v>
      </c>
      <c r="C2503" s="538" t="s">
        <v>393</v>
      </c>
      <c r="D2503" s="538" t="s">
        <v>740</v>
      </c>
      <c r="E2503" s="538" t="s">
        <v>416</v>
      </c>
      <c r="F2503" s="538">
        <v>72924</v>
      </c>
      <c r="G2503" s="538">
        <v>3</v>
      </c>
    </row>
    <row r="2504" spans="1:7" x14ac:dyDescent="0.2">
      <c r="A2504" s="538">
        <v>4</v>
      </c>
      <c r="B2504" s="538" t="s">
        <v>6559</v>
      </c>
      <c r="C2504" s="538" t="s">
        <v>740</v>
      </c>
      <c r="D2504" s="538" t="s">
        <v>740</v>
      </c>
      <c r="E2504" s="538" t="s">
        <v>210</v>
      </c>
      <c r="F2504" s="538">
        <v>1503511</v>
      </c>
      <c r="G2504" s="538">
        <v>27</v>
      </c>
    </row>
    <row r="2505" spans="1:7" x14ac:dyDescent="0.2">
      <c r="A2505" s="538">
        <v>7</v>
      </c>
      <c r="B2505" s="538" t="s">
        <v>6579</v>
      </c>
      <c r="C2505" s="538" t="s">
        <v>393</v>
      </c>
      <c r="D2505" s="538" t="s">
        <v>740</v>
      </c>
      <c r="E2505" s="538" t="s">
        <v>211</v>
      </c>
      <c r="F2505" s="538">
        <v>604580</v>
      </c>
      <c r="G2505" s="538">
        <v>5</v>
      </c>
    </row>
    <row r="2506" spans="1:7" x14ac:dyDescent="0.2">
      <c r="A2506" s="538">
        <v>7</v>
      </c>
      <c r="B2506" s="538" t="s">
        <v>6564</v>
      </c>
      <c r="C2506" s="538" t="s">
        <v>393</v>
      </c>
      <c r="D2506" s="538" t="s">
        <v>393</v>
      </c>
      <c r="E2506" s="538" t="s">
        <v>210</v>
      </c>
      <c r="F2506" s="538">
        <v>2761044</v>
      </c>
      <c r="G2506" s="538">
        <v>73</v>
      </c>
    </row>
    <row r="2507" spans="1:7" x14ac:dyDescent="0.2">
      <c r="A2507" s="538">
        <v>4</v>
      </c>
      <c r="B2507" s="538" t="s">
        <v>6559</v>
      </c>
      <c r="C2507" s="538" t="s">
        <v>740</v>
      </c>
      <c r="D2507" s="538" t="s">
        <v>393</v>
      </c>
      <c r="E2507" s="538" t="s">
        <v>230</v>
      </c>
      <c r="F2507" s="538">
        <v>129217554</v>
      </c>
      <c r="G2507" s="538">
        <v>3233</v>
      </c>
    </row>
    <row r="2508" spans="1:7" x14ac:dyDescent="0.2">
      <c r="A2508" s="538">
        <v>2</v>
      </c>
      <c r="B2508" s="538" t="s">
        <v>6055</v>
      </c>
      <c r="C2508" s="538" t="s">
        <v>393</v>
      </c>
      <c r="D2508" s="538" t="s">
        <v>393</v>
      </c>
      <c r="E2508" s="538" t="s">
        <v>209</v>
      </c>
      <c r="F2508" s="538">
        <v>718922</v>
      </c>
      <c r="G2508" s="538">
        <v>4</v>
      </c>
    </row>
    <row r="2509" spans="1:7" x14ac:dyDescent="0.2">
      <c r="A2509" s="538">
        <v>8</v>
      </c>
      <c r="B2509" s="538" t="s">
        <v>6560</v>
      </c>
      <c r="C2509" s="538" t="s">
        <v>740</v>
      </c>
      <c r="D2509" s="538" t="s">
        <v>393</v>
      </c>
      <c r="E2509" s="538" t="s">
        <v>207</v>
      </c>
      <c r="F2509" s="538">
        <v>701982</v>
      </c>
      <c r="G2509" s="538">
        <v>44</v>
      </c>
    </row>
    <row r="2510" spans="1:7" x14ac:dyDescent="0.2">
      <c r="A2510" s="538">
        <v>6</v>
      </c>
      <c r="B2510" s="538" t="s">
        <v>6607</v>
      </c>
      <c r="C2510" s="538" t="s">
        <v>393</v>
      </c>
      <c r="D2510" s="538" t="s">
        <v>393</v>
      </c>
      <c r="E2510" s="538" t="s">
        <v>416</v>
      </c>
      <c r="F2510" s="538">
        <v>37021239</v>
      </c>
      <c r="G2510" s="538">
        <v>643</v>
      </c>
    </row>
    <row r="2511" spans="1:7" x14ac:dyDescent="0.2">
      <c r="A2511" s="538">
        <v>4</v>
      </c>
      <c r="B2511" s="538" t="s">
        <v>6590</v>
      </c>
      <c r="C2511" s="538" t="s">
        <v>740</v>
      </c>
      <c r="D2511" s="538" t="s">
        <v>393</v>
      </c>
      <c r="E2511" s="538" t="s">
        <v>211</v>
      </c>
      <c r="F2511" s="538">
        <v>45312</v>
      </c>
      <c r="G2511" s="538">
        <v>4</v>
      </c>
    </row>
    <row r="2512" spans="1:7" x14ac:dyDescent="0.2">
      <c r="A2512" s="538">
        <v>6</v>
      </c>
      <c r="B2512" s="538" t="s">
        <v>6596</v>
      </c>
      <c r="C2512" s="538" t="s">
        <v>740</v>
      </c>
      <c r="D2512" s="538" t="s">
        <v>393</v>
      </c>
      <c r="E2512" s="538" t="s">
        <v>212</v>
      </c>
      <c r="F2512" s="538">
        <v>101952</v>
      </c>
      <c r="G2512" s="538">
        <v>9</v>
      </c>
    </row>
    <row r="2513" spans="1:7" x14ac:dyDescent="0.2">
      <c r="A2513" s="538">
        <v>9</v>
      </c>
      <c r="B2513" s="538" t="s">
        <v>6657</v>
      </c>
      <c r="C2513" s="538" t="s">
        <v>740</v>
      </c>
      <c r="D2513" s="538" t="s">
        <v>393</v>
      </c>
      <c r="E2513" s="538" t="s">
        <v>438</v>
      </c>
      <c r="F2513" s="538">
        <v>3338491</v>
      </c>
      <c r="G2513" s="538">
        <v>37</v>
      </c>
    </row>
    <row r="2514" spans="1:7" x14ac:dyDescent="0.2">
      <c r="A2514" s="538">
        <v>9</v>
      </c>
      <c r="B2514" s="538" t="s">
        <v>6657</v>
      </c>
      <c r="C2514" s="538" t="s">
        <v>740</v>
      </c>
      <c r="D2514" s="538" t="s">
        <v>393</v>
      </c>
      <c r="E2514" s="538" t="s">
        <v>206</v>
      </c>
      <c r="F2514" s="538">
        <v>74163</v>
      </c>
      <c r="G2514" s="538">
        <v>1</v>
      </c>
    </row>
    <row r="2515" spans="1:7" x14ac:dyDescent="0.2">
      <c r="A2515" s="538">
        <v>1</v>
      </c>
      <c r="B2515" s="538" t="s">
        <v>6663</v>
      </c>
      <c r="C2515" s="538" t="s">
        <v>393</v>
      </c>
      <c r="D2515" s="538" t="s">
        <v>393</v>
      </c>
      <c r="E2515" s="538" t="s">
        <v>211</v>
      </c>
      <c r="F2515" s="538">
        <v>13893210</v>
      </c>
      <c r="G2515" s="538">
        <v>160</v>
      </c>
    </row>
    <row r="2516" spans="1:7" x14ac:dyDescent="0.2">
      <c r="A2516" s="538">
        <v>6</v>
      </c>
      <c r="B2516" s="538" t="s">
        <v>6565</v>
      </c>
      <c r="C2516" s="538" t="s">
        <v>740</v>
      </c>
      <c r="D2516" s="538" t="s">
        <v>740</v>
      </c>
      <c r="E2516" s="538" t="s">
        <v>416</v>
      </c>
      <c r="F2516" s="538">
        <v>658794</v>
      </c>
      <c r="G2516" s="538">
        <v>18</v>
      </c>
    </row>
    <row r="2517" spans="1:7" x14ac:dyDescent="0.2">
      <c r="A2517" s="538">
        <v>5</v>
      </c>
      <c r="B2517" s="538" t="s">
        <v>6599</v>
      </c>
      <c r="C2517" s="538" t="s">
        <v>740</v>
      </c>
      <c r="D2517" s="538" t="s">
        <v>393</v>
      </c>
      <c r="E2517" s="538" t="s">
        <v>207</v>
      </c>
      <c r="F2517" s="538">
        <v>1176998</v>
      </c>
      <c r="G2517" s="538">
        <v>41</v>
      </c>
    </row>
    <row r="2518" spans="1:7" x14ac:dyDescent="0.2">
      <c r="A2518" s="538">
        <v>3</v>
      </c>
      <c r="B2518" s="538" t="s">
        <v>6578</v>
      </c>
      <c r="C2518" s="538" t="s">
        <v>740</v>
      </c>
      <c r="D2518" s="538" t="s">
        <v>393</v>
      </c>
      <c r="E2518" s="538" t="s">
        <v>207</v>
      </c>
      <c r="F2518" s="538">
        <v>90624</v>
      </c>
      <c r="G2518" s="538">
        <v>8</v>
      </c>
    </row>
    <row r="2519" spans="1:7" x14ac:dyDescent="0.2">
      <c r="A2519" s="538">
        <v>2</v>
      </c>
      <c r="B2519" s="538" t="s">
        <v>6585</v>
      </c>
      <c r="C2519" s="538" t="s">
        <v>740</v>
      </c>
      <c r="D2519" s="538" t="s">
        <v>393</v>
      </c>
      <c r="E2519" s="538" t="s">
        <v>409</v>
      </c>
      <c r="F2519" s="538">
        <v>521973</v>
      </c>
      <c r="G2519" s="538">
        <v>26</v>
      </c>
    </row>
    <row r="2520" spans="1:7" x14ac:dyDescent="0.2">
      <c r="A2520" s="538">
        <v>2</v>
      </c>
      <c r="B2520" s="538" t="s">
        <v>6608</v>
      </c>
      <c r="C2520" s="538" t="s">
        <v>393</v>
      </c>
      <c r="D2520" s="538" t="s">
        <v>393</v>
      </c>
      <c r="E2520" s="538" t="s">
        <v>210</v>
      </c>
      <c r="F2520" s="538">
        <v>926543</v>
      </c>
      <c r="G2520" s="538">
        <v>21</v>
      </c>
    </row>
    <row r="2521" spans="1:7" x14ac:dyDescent="0.2">
      <c r="A2521" s="538">
        <v>5</v>
      </c>
      <c r="B2521" s="538" t="s">
        <v>6599</v>
      </c>
      <c r="C2521" s="538" t="s">
        <v>740</v>
      </c>
      <c r="D2521" s="538" t="s">
        <v>740</v>
      </c>
      <c r="E2521" s="538" t="s">
        <v>211</v>
      </c>
      <c r="F2521" s="538">
        <v>11328</v>
      </c>
      <c r="G2521" s="538">
        <v>1</v>
      </c>
    </row>
    <row r="2522" spans="1:7" x14ac:dyDescent="0.2">
      <c r="A2522" s="538">
        <v>6</v>
      </c>
      <c r="B2522" s="538" t="s">
        <v>6575</v>
      </c>
      <c r="C2522" s="538" t="s">
        <v>740</v>
      </c>
      <c r="D2522" s="538" t="s">
        <v>393</v>
      </c>
      <c r="E2522" s="538" t="s">
        <v>419</v>
      </c>
      <c r="F2522" s="538">
        <v>301785</v>
      </c>
      <c r="G2522" s="538">
        <v>10</v>
      </c>
    </row>
    <row r="2523" spans="1:7" x14ac:dyDescent="0.2">
      <c r="A2523" s="538">
        <v>3</v>
      </c>
      <c r="B2523" s="538" t="s">
        <v>6578</v>
      </c>
      <c r="C2523" s="538" t="s">
        <v>740</v>
      </c>
      <c r="D2523" s="538" t="s">
        <v>393</v>
      </c>
      <c r="E2523" s="538" t="s">
        <v>212</v>
      </c>
      <c r="F2523" s="538">
        <v>6546876</v>
      </c>
      <c r="G2523" s="538">
        <v>482</v>
      </c>
    </row>
    <row r="2524" spans="1:7" x14ac:dyDescent="0.2">
      <c r="A2524" s="538">
        <v>2</v>
      </c>
      <c r="B2524" s="538" t="s">
        <v>6573</v>
      </c>
      <c r="C2524" s="538" t="s">
        <v>393</v>
      </c>
      <c r="D2524" s="538" t="s">
        <v>740</v>
      </c>
      <c r="E2524" s="538" t="s">
        <v>202</v>
      </c>
      <c r="F2524" s="538">
        <v>1925656</v>
      </c>
      <c r="G2524" s="538">
        <v>22</v>
      </c>
    </row>
    <row r="2525" spans="1:7" x14ac:dyDescent="0.2">
      <c r="A2525" s="538">
        <v>4</v>
      </c>
      <c r="B2525" s="538" t="s">
        <v>6562</v>
      </c>
      <c r="C2525" s="538" t="s">
        <v>740</v>
      </c>
      <c r="D2525" s="538" t="s">
        <v>393</v>
      </c>
      <c r="E2525" s="538" t="s">
        <v>402</v>
      </c>
      <c r="F2525" s="538">
        <v>50268</v>
      </c>
      <c r="G2525" s="538">
        <v>1</v>
      </c>
    </row>
    <row r="2526" spans="1:7" x14ac:dyDescent="0.2">
      <c r="A2526" s="538">
        <v>8</v>
      </c>
      <c r="B2526" s="538" t="s">
        <v>6560</v>
      </c>
      <c r="C2526" s="538" t="s">
        <v>740</v>
      </c>
      <c r="D2526" s="538" t="s">
        <v>393</v>
      </c>
      <c r="E2526" s="538" t="s">
        <v>210</v>
      </c>
      <c r="F2526" s="538">
        <v>1572645</v>
      </c>
      <c r="G2526" s="538">
        <v>105</v>
      </c>
    </row>
    <row r="2527" spans="1:7" x14ac:dyDescent="0.2">
      <c r="A2527" s="538">
        <v>5</v>
      </c>
      <c r="B2527" s="538" t="s">
        <v>6568</v>
      </c>
      <c r="C2527" s="538" t="s">
        <v>740</v>
      </c>
      <c r="D2527" s="538" t="s">
        <v>740</v>
      </c>
      <c r="E2527" s="538" t="s">
        <v>401</v>
      </c>
      <c r="F2527" s="538">
        <v>33984</v>
      </c>
      <c r="G2527" s="538">
        <v>3</v>
      </c>
    </row>
    <row r="2528" spans="1:7" x14ac:dyDescent="0.2">
      <c r="A2528" s="538">
        <v>2</v>
      </c>
      <c r="B2528" s="538" t="s">
        <v>6654</v>
      </c>
      <c r="C2528" s="538" t="s">
        <v>393</v>
      </c>
      <c r="D2528" s="538" t="s">
        <v>393</v>
      </c>
      <c r="E2528" s="538" t="s">
        <v>202</v>
      </c>
      <c r="F2528" s="538">
        <v>4790016</v>
      </c>
      <c r="G2528" s="538">
        <v>42</v>
      </c>
    </row>
    <row r="2529" spans="1:7" x14ac:dyDescent="0.2">
      <c r="A2529" s="538">
        <v>8</v>
      </c>
      <c r="B2529" s="538" t="s">
        <v>6648</v>
      </c>
      <c r="C2529" s="538" t="s">
        <v>740</v>
      </c>
      <c r="D2529" s="538" t="s">
        <v>393</v>
      </c>
      <c r="E2529" s="538" t="s">
        <v>210</v>
      </c>
      <c r="F2529" s="538">
        <v>1900220</v>
      </c>
      <c r="G2529" s="538">
        <v>80</v>
      </c>
    </row>
    <row r="2530" spans="1:7" x14ac:dyDescent="0.2">
      <c r="A2530" s="538">
        <v>3</v>
      </c>
      <c r="B2530" s="538" t="s">
        <v>6605</v>
      </c>
      <c r="C2530" s="538" t="s">
        <v>393</v>
      </c>
      <c r="D2530" s="538" t="s">
        <v>740</v>
      </c>
      <c r="E2530" s="538" t="s">
        <v>207</v>
      </c>
      <c r="F2530" s="538">
        <v>1769823</v>
      </c>
      <c r="G2530" s="538">
        <v>96</v>
      </c>
    </row>
    <row r="2531" spans="1:7" x14ac:dyDescent="0.2">
      <c r="A2531" s="538">
        <v>3</v>
      </c>
      <c r="B2531" s="538" t="s">
        <v>6561</v>
      </c>
      <c r="C2531" s="538" t="s">
        <v>393</v>
      </c>
      <c r="D2531" s="538" t="s">
        <v>740</v>
      </c>
      <c r="E2531" s="538" t="s">
        <v>207</v>
      </c>
      <c r="F2531" s="538">
        <v>3491981</v>
      </c>
      <c r="G2531" s="538">
        <v>192</v>
      </c>
    </row>
    <row r="2532" spans="1:7" x14ac:dyDescent="0.2">
      <c r="A2532" s="538">
        <v>9</v>
      </c>
      <c r="B2532" s="538" t="s">
        <v>6644</v>
      </c>
      <c r="C2532" s="538" t="s">
        <v>740</v>
      </c>
      <c r="D2532" s="538" t="s">
        <v>393</v>
      </c>
      <c r="E2532" s="538" t="s">
        <v>211</v>
      </c>
      <c r="F2532" s="538">
        <v>43044132</v>
      </c>
      <c r="G2532" s="538">
        <v>1059</v>
      </c>
    </row>
    <row r="2533" spans="1:7" x14ac:dyDescent="0.2">
      <c r="A2533" s="538">
        <v>7</v>
      </c>
      <c r="B2533" s="538" t="s">
        <v>6580</v>
      </c>
      <c r="C2533" s="538" t="s">
        <v>740</v>
      </c>
      <c r="D2533" s="538" t="s">
        <v>393</v>
      </c>
      <c r="E2533" s="538" t="s">
        <v>860</v>
      </c>
      <c r="F2533" s="538">
        <v>860397</v>
      </c>
      <c r="G2533" s="538">
        <v>49</v>
      </c>
    </row>
    <row r="2534" spans="1:7" x14ac:dyDescent="0.2">
      <c r="A2534" s="538">
        <v>10</v>
      </c>
      <c r="B2534" s="538" t="s">
        <v>6587</v>
      </c>
      <c r="C2534" s="538" t="s">
        <v>393</v>
      </c>
      <c r="D2534" s="538" t="s">
        <v>393</v>
      </c>
      <c r="E2534" s="538" t="s">
        <v>211</v>
      </c>
      <c r="F2534" s="538">
        <v>11308760</v>
      </c>
      <c r="G2534" s="538">
        <v>120</v>
      </c>
    </row>
    <row r="2535" spans="1:7" x14ac:dyDescent="0.2">
      <c r="A2535" s="538">
        <v>8</v>
      </c>
      <c r="B2535" s="538" t="s">
        <v>6658</v>
      </c>
      <c r="C2535" s="538" t="s">
        <v>393</v>
      </c>
      <c r="D2535" s="538" t="s">
        <v>393</v>
      </c>
      <c r="E2535" s="538" t="s">
        <v>211</v>
      </c>
      <c r="F2535" s="538">
        <v>16971573</v>
      </c>
      <c r="G2535" s="538">
        <v>301</v>
      </c>
    </row>
    <row r="2536" spans="1:7" x14ac:dyDescent="0.2">
      <c r="A2536" s="538">
        <v>4</v>
      </c>
      <c r="B2536" s="538" t="s">
        <v>6593</v>
      </c>
      <c r="C2536" s="538" t="s">
        <v>740</v>
      </c>
      <c r="D2536" s="538" t="s">
        <v>740</v>
      </c>
      <c r="E2536" s="538" t="s">
        <v>230</v>
      </c>
      <c r="F2536" s="538">
        <v>4231029</v>
      </c>
      <c r="G2536" s="538">
        <v>63</v>
      </c>
    </row>
    <row r="2537" spans="1:7" x14ac:dyDescent="0.2">
      <c r="A2537" s="538">
        <v>3</v>
      </c>
      <c r="B2537" s="538" t="s">
        <v>1390</v>
      </c>
      <c r="C2537" s="538" t="s">
        <v>740</v>
      </c>
      <c r="D2537" s="538" t="s">
        <v>740</v>
      </c>
      <c r="E2537" s="538" t="s">
        <v>416</v>
      </c>
      <c r="F2537" s="538">
        <v>2444974</v>
      </c>
      <c r="G2537" s="538">
        <v>48</v>
      </c>
    </row>
    <row r="2538" spans="1:7" x14ac:dyDescent="0.2">
      <c r="A2538" s="538">
        <v>4</v>
      </c>
      <c r="B2538" s="538" t="s">
        <v>6559</v>
      </c>
      <c r="C2538" s="538" t="s">
        <v>740</v>
      </c>
      <c r="D2538" s="538" t="s">
        <v>740</v>
      </c>
      <c r="E2538" s="538" t="s">
        <v>416</v>
      </c>
      <c r="F2538" s="538">
        <v>28232511</v>
      </c>
      <c r="G2538" s="538">
        <v>762</v>
      </c>
    </row>
    <row r="2539" spans="1:7" x14ac:dyDescent="0.2">
      <c r="A2539" s="538">
        <v>7</v>
      </c>
      <c r="B2539" s="538" t="s">
        <v>6571</v>
      </c>
      <c r="C2539" s="538" t="s">
        <v>740</v>
      </c>
      <c r="D2539" s="538" t="s">
        <v>393</v>
      </c>
      <c r="E2539" s="538" t="s">
        <v>402</v>
      </c>
      <c r="F2539" s="538">
        <v>2680259</v>
      </c>
      <c r="G2539" s="538">
        <v>133</v>
      </c>
    </row>
    <row r="2540" spans="1:7" x14ac:dyDescent="0.2">
      <c r="A2540" s="538">
        <v>3</v>
      </c>
      <c r="B2540" s="538" t="s">
        <v>6647</v>
      </c>
      <c r="C2540" s="538" t="s">
        <v>740</v>
      </c>
      <c r="D2540" s="538" t="s">
        <v>393</v>
      </c>
      <c r="E2540" s="538" t="s">
        <v>390</v>
      </c>
      <c r="F2540" s="538">
        <v>5084700</v>
      </c>
      <c r="G2540" s="538">
        <v>165</v>
      </c>
    </row>
    <row r="2541" spans="1:7" x14ac:dyDescent="0.2">
      <c r="A2541" s="538">
        <v>6</v>
      </c>
      <c r="B2541" s="538" t="s">
        <v>6596</v>
      </c>
      <c r="C2541" s="538" t="s">
        <v>740</v>
      </c>
      <c r="D2541" s="538" t="s">
        <v>393</v>
      </c>
      <c r="E2541" s="538" t="s">
        <v>860</v>
      </c>
      <c r="F2541" s="538">
        <v>1731539</v>
      </c>
      <c r="G2541" s="538">
        <v>63</v>
      </c>
    </row>
    <row r="2542" spans="1:7" x14ac:dyDescent="0.2">
      <c r="A2542" s="538">
        <v>6</v>
      </c>
      <c r="B2542" s="538" t="s">
        <v>6596</v>
      </c>
      <c r="C2542" s="538" t="s">
        <v>740</v>
      </c>
      <c r="D2542" s="538" t="s">
        <v>393</v>
      </c>
      <c r="E2542" s="538" t="s">
        <v>212</v>
      </c>
      <c r="F2542" s="538">
        <v>510822</v>
      </c>
      <c r="G2542" s="538">
        <v>34</v>
      </c>
    </row>
    <row r="2543" spans="1:7" x14ac:dyDescent="0.2">
      <c r="A2543" s="538">
        <v>7</v>
      </c>
      <c r="B2543" s="538" t="s">
        <v>6564</v>
      </c>
      <c r="C2543" s="538" t="s">
        <v>393</v>
      </c>
      <c r="D2543" s="538" t="s">
        <v>393</v>
      </c>
      <c r="E2543" s="538" t="s">
        <v>860</v>
      </c>
      <c r="F2543" s="538">
        <v>607464</v>
      </c>
      <c r="G2543" s="538">
        <v>28</v>
      </c>
    </row>
    <row r="2544" spans="1:7" x14ac:dyDescent="0.2">
      <c r="A2544" s="538">
        <v>2</v>
      </c>
      <c r="B2544" s="538" t="s">
        <v>6576</v>
      </c>
      <c r="C2544" s="538" t="s">
        <v>393</v>
      </c>
      <c r="D2544" s="538" t="s">
        <v>740</v>
      </c>
      <c r="E2544" s="538" t="s">
        <v>402</v>
      </c>
      <c r="F2544" s="538">
        <v>1756902</v>
      </c>
      <c r="G2544" s="538">
        <v>79</v>
      </c>
    </row>
    <row r="2545" spans="1:7" x14ac:dyDescent="0.2">
      <c r="A2545" s="538">
        <v>7</v>
      </c>
      <c r="B2545" s="538" t="s">
        <v>6594</v>
      </c>
      <c r="C2545" s="538" t="s">
        <v>393</v>
      </c>
      <c r="D2545" s="538" t="s">
        <v>393</v>
      </c>
      <c r="E2545" s="538" t="s">
        <v>416</v>
      </c>
      <c r="F2545" s="538">
        <v>25225823</v>
      </c>
      <c r="G2545" s="538">
        <v>501</v>
      </c>
    </row>
    <row r="2546" spans="1:7" x14ac:dyDescent="0.2">
      <c r="A2546" s="538">
        <v>6</v>
      </c>
      <c r="B2546" s="538" t="s">
        <v>6429</v>
      </c>
      <c r="C2546" s="538" t="s">
        <v>740</v>
      </c>
      <c r="D2546" s="538" t="s">
        <v>393</v>
      </c>
      <c r="E2546" s="538" t="s">
        <v>419</v>
      </c>
      <c r="F2546" s="538">
        <v>33984</v>
      </c>
      <c r="G2546" s="538">
        <v>3</v>
      </c>
    </row>
    <row r="2547" spans="1:7" x14ac:dyDescent="0.2">
      <c r="A2547" s="538">
        <v>11</v>
      </c>
      <c r="B2547" s="538" t="s">
        <v>6584</v>
      </c>
      <c r="C2547" s="538" t="s">
        <v>393</v>
      </c>
      <c r="D2547" s="538" t="s">
        <v>393</v>
      </c>
      <c r="E2547" s="538" t="s">
        <v>207</v>
      </c>
      <c r="F2547" s="538">
        <v>12937451</v>
      </c>
      <c r="G2547" s="538">
        <v>632</v>
      </c>
    </row>
    <row r="2548" spans="1:7" x14ac:dyDescent="0.2">
      <c r="A2548" s="538">
        <v>6</v>
      </c>
      <c r="B2548" s="538" t="s">
        <v>6575</v>
      </c>
      <c r="C2548" s="538" t="s">
        <v>740</v>
      </c>
      <c r="D2548" s="538" t="s">
        <v>393</v>
      </c>
      <c r="E2548" s="538" t="s">
        <v>202</v>
      </c>
      <c r="F2548" s="538">
        <v>5712436</v>
      </c>
      <c r="G2548" s="538">
        <v>42</v>
      </c>
    </row>
    <row r="2549" spans="1:7" x14ac:dyDescent="0.2">
      <c r="A2549" s="538">
        <v>1</v>
      </c>
      <c r="B2549" s="538" t="s">
        <v>1288</v>
      </c>
      <c r="C2549" s="538" t="s">
        <v>740</v>
      </c>
      <c r="D2549" s="538" t="s">
        <v>393</v>
      </c>
      <c r="E2549" s="538" t="s">
        <v>230</v>
      </c>
      <c r="F2549" s="538">
        <v>56640</v>
      </c>
      <c r="G2549" s="538">
        <v>5</v>
      </c>
    </row>
    <row r="2550" spans="1:7" x14ac:dyDescent="0.2">
      <c r="A2550" s="538">
        <v>9</v>
      </c>
      <c r="B2550" s="538" t="s">
        <v>6613</v>
      </c>
      <c r="C2550" s="538" t="s">
        <v>740</v>
      </c>
      <c r="D2550" s="538" t="s">
        <v>393</v>
      </c>
      <c r="E2550" s="538" t="s">
        <v>207</v>
      </c>
      <c r="F2550" s="538">
        <v>768305</v>
      </c>
      <c r="G2550" s="538">
        <v>25</v>
      </c>
    </row>
    <row r="2551" spans="1:7" x14ac:dyDescent="0.2">
      <c r="A2551" s="538">
        <v>1</v>
      </c>
      <c r="B2551" s="538" t="s">
        <v>6649</v>
      </c>
      <c r="C2551" s="538" t="s">
        <v>393</v>
      </c>
      <c r="D2551" s="538" t="s">
        <v>393</v>
      </c>
      <c r="E2551" s="538" t="s">
        <v>409</v>
      </c>
      <c r="F2551" s="538">
        <v>1514839</v>
      </c>
      <c r="G2551" s="538">
        <v>28</v>
      </c>
    </row>
    <row r="2552" spans="1:7" x14ac:dyDescent="0.2">
      <c r="A2552" s="538">
        <v>1</v>
      </c>
      <c r="B2552" s="538" t="s">
        <v>6581</v>
      </c>
      <c r="C2552" s="538" t="s">
        <v>393</v>
      </c>
      <c r="D2552" s="538" t="s">
        <v>740</v>
      </c>
      <c r="E2552" s="538" t="s">
        <v>202</v>
      </c>
      <c r="F2552" s="538">
        <v>986723</v>
      </c>
      <c r="G2552" s="538">
        <v>11</v>
      </c>
    </row>
    <row r="2553" spans="1:7" x14ac:dyDescent="0.2">
      <c r="A2553" s="538">
        <v>12</v>
      </c>
      <c r="B2553" s="538" t="s">
        <v>6569</v>
      </c>
      <c r="C2553" s="538" t="s">
        <v>740</v>
      </c>
      <c r="D2553" s="538" t="s">
        <v>393</v>
      </c>
      <c r="E2553" s="538" t="s">
        <v>230</v>
      </c>
      <c r="F2553" s="538">
        <v>749418</v>
      </c>
      <c r="G2553" s="538">
        <v>26</v>
      </c>
    </row>
    <row r="2554" spans="1:7" x14ac:dyDescent="0.2">
      <c r="A2554" s="538">
        <v>11</v>
      </c>
      <c r="B2554" s="538" t="s">
        <v>6584</v>
      </c>
      <c r="C2554" s="538" t="s">
        <v>740</v>
      </c>
      <c r="D2554" s="538" t="s">
        <v>393</v>
      </c>
      <c r="E2554" s="538" t="s">
        <v>207</v>
      </c>
      <c r="F2554" s="538">
        <v>713310</v>
      </c>
      <c r="G2554" s="538">
        <v>45</v>
      </c>
    </row>
    <row r="2555" spans="1:7" x14ac:dyDescent="0.2">
      <c r="A2555" s="538">
        <v>3</v>
      </c>
      <c r="B2555" s="538" t="s">
        <v>6605</v>
      </c>
      <c r="C2555" s="538" t="s">
        <v>740</v>
      </c>
      <c r="D2555" s="538" t="s">
        <v>393</v>
      </c>
      <c r="E2555" s="538" t="s">
        <v>416</v>
      </c>
      <c r="F2555" s="538">
        <v>10641678</v>
      </c>
      <c r="G2555" s="538">
        <v>206</v>
      </c>
    </row>
    <row r="2556" spans="1:7" x14ac:dyDescent="0.2">
      <c r="A2556" s="538">
        <v>3</v>
      </c>
      <c r="B2556" s="538" t="s">
        <v>6591</v>
      </c>
      <c r="C2556" s="538" t="s">
        <v>740</v>
      </c>
      <c r="D2556" s="538" t="s">
        <v>393</v>
      </c>
      <c r="E2556" s="538" t="s">
        <v>207</v>
      </c>
      <c r="F2556" s="538">
        <v>3537116</v>
      </c>
      <c r="G2556" s="538">
        <v>257</v>
      </c>
    </row>
    <row r="2557" spans="1:7" x14ac:dyDescent="0.2">
      <c r="A2557" s="538">
        <v>12</v>
      </c>
      <c r="B2557" s="538" t="s">
        <v>6616</v>
      </c>
      <c r="C2557" s="538" t="s">
        <v>393</v>
      </c>
      <c r="D2557" s="538" t="s">
        <v>393</v>
      </c>
      <c r="E2557" s="538" t="s">
        <v>438</v>
      </c>
      <c r="F2557" s="538">
        <v>18179526</v>
      </c>
      <c r="G2557" s="538">
        <v>127</v>
      </c>
    </row>
    <row r="2558" spans="1:7" x14ac:dyDescent="0.2">
      <c r="A2558" s="538">
        <v>5</v>
      </c>
      <c r="B2558" s="538" t="s">
        <v>6568</v>
      </c>
      <c r="C2558" s="538" t="s">
        <v>740</v>
      </c>
      <c r="D2558" s="538" t="s">
        <v>740</v>
      </c>
      <c r="E2558" s="538" t="s">
        <v>210</v>
      </c>
      <c r="F2558" s="538">
        <v>61596</v>
      </c>
      <c r="G2558" s="538">
        <v>2</v>
      </c>
    </row>
    <row r="2559" spans="1:7" x14ac:dyDescent="0.2">
      <c r="A2559" s="538">
        <v>3</v>
      </c>
      <c r="B2559" s="538" t="s">
        <v>1390</v>
      </c>
      <c r="C2559" s="538" t="s">
        <v>740</v>
      </c>
      <c r="D2559" s="538" t="s">
        <v>393</v>
      </c>
      <c r="E2559" s="538" t="s">
        <v>860</v>
      </c>
      <c r="F2559" s="538">
        <v>33984</v>
      </c>
      <c r="G2559" s="538">
        <v>3</v>
      </c>
    </row>
    <row r="2560" spans="1:7" x14ac:dyDescent="0.2">
      <c r="A2560" s="538">
        <v>9</v>
      </c>
      <c r="B2560" s="538" t="s">
        <v>6615</v>
      </c>
      <c r="C2560" s="538" t="s">
        <v>740</v>
      </c>
      <c r="D2560" s="538" t="s">
        <v>393</v>
      </c>
      <c r="E2560" s="538" t="s">
        <v>390</v>
      </c>
      <c r="F2560" s="538">
        <v>208683</v>
      </c>
      <c r="G2560" s="538">
        <v>6</v>
      </c>
    </row>
    <row r="2561" spans="1:7" x14ac:dyDescent="0.2">
      <c r="A2561" s="538">
        <v>8</v>
      </c>
      <c r="B2561" s="538" t="s">
        <v>6570</v>
      </c>
      <c r="C2561" s="538" t="s">
        <v>740</v>
      </c>
      <c r="D2561" s="538" t="s">
        <v>393</v>
      </c>
      <c r="E2561" s="538" t="s">
        <v>207</v>
      </c>
      <c r="F2561" s="538">
        <v>1669995</v>
      </c>
      <c r="G2561" s="538">
        <v>135</v>
      </c>
    </row>
    <row r="2562" spans="1:7" x14ac:dyDescent="0.2">
      <c r="A2562" s="538">
        <v>3</v>
      </c>
      <c r="B2562" s="538" t="s">
        <v>6605</v>
      </c>
      <c r="C2562" s="538" t="s">
        <v>393</v>
      </c>
      <c r="D2562" s="538" t="s">
        <v>740</v>
      </c>
      <c r="E2562" s="538" t="s">
        <v>202</v>
      </c>
      <c r="F2562" s="538">
        <v>174699</v>
      </c>
      <c r="G2562" s="538">
        <v>3</v>
      </c>
    </row>
    <row r="2563" spans="1:7" x14ac:dyDescent="0.2">
      <c r="A2563" s="538">
        <v>5</v>
      </c>
      <c r="B2563" s="538" t="s">
        <v>6599</v>
      </c>
      <c r="C2563" s="538" t="s">
        <v>740</v>
      </c>
      <c r="D2563" s="538" t="s">
        <v>740</v>
      </c>
      <c r="E2563" s="538" t="s">
        <v>416</v>
      </c>
      <c r="F2563" s="538">
        <v>2118409</v>
      </c>
      <c r="G2563" s="538">
        <v>53</v>
      </c>
    </row>
    <row r="2564" spans="1:7" x14ac:dyDescent="0.2">
      <c r="A2564" s="538">
        <v>5</v>
      </c>
      <c r="B2564" s="538" t="s">
        <v>6566</v>
      </c>
      <c r="C2564" s="538" t="s">
        <v>740</v>
      </c>
      <c r="D2564" s="538" t="s">
        <v>393</v>
      </c>
      <c r="E2564" s="538" t="s">
        <v>230</v>
      </c>
      <c r="F2564" s="538">
        <v>496433</v>
      </c>
      <c r="G2564" s="538">
        <v>1</v>
      </c>
    </row>
    <row r="2565" spans="1:7" x14ac:dyDescent="0.2">
      <c r="A2565" s="538">
        <v>2</v>
      </c>
      <c r="B2565" s="538" t="s">
        <v>6608</v>
      </c>
      <c r="C2565" s="538" t="s">
        <v>740</v>
      </c>
      <c r="D2565" s="538" t="s">
        <v>393</v>
      </c>
      <c r="E2565" s="538" t="s">
        <v>860</v>
      </c>
      <c r="F2565" s="538">
        <v>11328</v>
      </c>
      <c r="G2565" s="538">
        <v>1</v>
      </c>
    </row>
    <row r="2566" spans="1:7" x14ac:dyDescent="0.2">
      <c r="A2566" s="538">
        <v>2</v>
      </c>
      <c r="B2566" s="538" t="s">
        <v>6585</v>
      </c>
      <c r="C2566" s="538" t="s">
        <v>393</v>
      </c>
      <c r="D2566" s="538" t="s">
        <v>740</v>
      </c>
      <c r="E2566" s="538" t="s">
        <v>390</v>
      </c>
      <c r="F2566" s="538">
        <v>5747284</v>
      </c>
      <c r="G2566" s="538">
        <v>103</v>
      </c>
    </row>
    <row r="2567" spans="1:7" x14ac:dyDescent="0.2">
      <c r="A2567" s="538">
        <v>7</v>
      </c>
      <c r="B2567" s="538" t="s">
        <v>6655</v>
      </c>
      <c r="C2567" s="538" t="s">
        <v>393</v>
      </c>
      <c r="D2567" s="538" t="s">
        <v>393</v>
      </c>
      <c r="E2567" s="538" t="s">
        <v>211</v>
      </c>
      <c r="F2567" s="538">
        <v>24589321</v>
      </c>
      <c r="G2567" s="538">
        <v>232</v>
      </c>
    </row>
    <row r="2568" spans="1:7" x14ac:dyDescent="0.2">
      <c r="A2568" s="538">
        <v>4</v>
      </c>
      <c r="B2568" s="538" t="s">
        <v>6574</v>
      </c>
      <c r="C2568" s="538" t="s">
        <v>740</v>
      </c>
      <c r="D2568" s="538" t="s">
        <v>393</v>
      </c>
      <c r="E2568" s="538" t="s">
        <v>401</v>
      </c>
      <c r="F2568" s="538">
        <v>2291338</v>
      </c>
      <c r="G2568" s="538">
        <v>91</v>
      </c>
    </row>
    <row r="2569" spans="1:7" x14ac:dyDescent="0.2">
      <c r="A2569" s="538">
        <v>6</v>
      </c>
      <c r="B2569" s="538" t="s">
        <v>6596</v>
      </c>
      <c r="C2569" s="538" t="s">
        <v>740</v>
      </c>
      <c r="D2569" s="538" t="s">
        <v>393</v>
      </c>
      <c r="E2569" s="538" t="s">
        <v>401</v>
      </c>
      <c r="F2569" s="538">
        <v>1060834</v>
      </c>
      <c r="G2569" s="538">
        <v>8</v>
      </c>
    </row>
    <row r="2570" spans="1:7" x14ac:dyDescent="0.2">
      <c r="A2570" s="538">
        <v>4</v>
      </c>
      <c r="B2570" s="538" t="s">
        <v>6590</v>
      </c>
      <c r="C2570" s="538" t="s">
        <v>740</v>
      </c>
      <c r="D2570" s="538" t="s">
        <v>393</v>
      </c>
      <c r="E2570" s="538" t="s">
        <v>212</v>
      </c>
      <c r="F2570" s="538">
        <v>1253993</v>
      </c>
      <c r="G2570" s="538">
        <v>61</v>
      </c>
    </row>
    <row r="2571" spans="1:7" x14ac:dyDescent="0.2">
      <c r="A2571" s="538">
        <v>9</v>
      </c>
      <c r="B2571" s="538" t="s">
        <v>948</v>
      </c>
      <c r="C2571" s="538" t="s">
        <v>393</v>
      </c>
      <c r="D2571" s="538" t="s">
        <v>393</v>
      </c>
      <c r="E2571" s="538" t="s">
        <v>209</v>
      </c>
      <c r="F2571" s="538">
        <v>2482165</v>
      </c>
      <c r="G2571" s="538">
        <v>5</v>
      </c>
    </row>
    <row r="2572" spans="1:7" x14ac:dyDescent="0.2">
      <c r="A2572" s="538">
        <v>2</v>
      </c>
      <c r="B2572" s="538" t="s">
        <v>6573</v>
      </c>
      <c r="C2572" s="538" t="s">
        <v>740</v>
      </c>
      <c r="D2572" s="538" t="s">
        <v>740</v>
      </c>
      <c r="E2572" s="538" t="s">
        <v>211</v>
      </c>
      <c r="F2572" s="538">
        <v>1424215</v>
      </c>
      <c r="G2572" s="538">
        <v>20</v>
      </c>
    </row>
    <row r="2573" spans="1:7" x14ac:dyDescent="0.2">
      <c r="A2573" s="538">
        <v>4</v>
      </c>
      <c r="B2573" s="538" t="s">
        <v>6574</v>
      </c>
      <c r="C2573" s="538" t="s">
        <v>393</v>
      </c>
      <c r="D2573" s="538" t="s">
        <v>393</v>
      </c>
      <c r="E2573" s="538" t="s">
        <v>211</v>
      </c>
      <c r="F2573" s="538">
        <v>30492385</v>
      </c>
      <c r="G2573" s="538">
        <v>515</v>
      </c>
    </row>
    <row r="2574" spans="1:7" x14ac:dyDescent="0.2">
      <c r="A2574" s="538">
        <v>7</v>
      </c>
      <c r="B2574" s="538" t="s">
        <v>6588</v>
      </c>
      <c r="C2574" s="538" t="s">
        <v>393</v>
      </c>
      <c r="D2574" s="538" t="s">
        <v>393</v>
      </c>
      <c r="E2574" s="538" t="s">
        <v>390</v>
      </c>
      <c r="F2574" s="538">
        <v>5519183</v>
      </c>
      <c r="G2574" s="538">
        <v>141</v>
      </c>
    </row>
    <row r="2575" spans="1:7" x14ac:dyDescent="0.2">
      <c r="A2575" s="538">
        <v>10</v>
      </c>
      <c r="B2575" s="538" t="s">
        <v>6582</v>
      </c>
      <c r="C2575" s="538" t="s">
        <v>740</v>
      </c>
      <c r="D2575" s="538" t="s">
        <v>740</v>
      </c>
      <c r="E2575" s="538" t="s">
        <v>416</v>
      </c>
      <c r="F2575" s="538">
        <v>3835153</v>
      </c>
      <c r="G2575" s="538">
        <v>56</v>
      </c>
    </row>
    <row r="2576" spans="1:7" x14ac:dyDescent="0.2">
      <c r="A2576" s="538">
        <v>1</v>
      </c>
      <c r="B2576" s="538" t="s">
        <v>6649</v>
      </c>
      <c r="C2576" s="538" t="s">
        <v>740</v>
      </c>
      <c r="D2576" s="538" t="s">
        <v>393</v>
      </c>
      <c r="E2576" s="538" t="s">
        <v>390</v>
      </c>
      <c r="F2576" s="538">
        <v>3164604</v>
      </c>
      <c r="G2576" s="538">
        <v>88</v>
      </c>
    </row>
    <row r="2577" spans="1:7" x14ac:dyDescent="0.2">
      <c r="A2577" s="538">
        <v>4</v>
      </c>
      <c r="B2577" s="538" t="s">
        <v>6562</v>
      </c>
      <c r="C2577" s="538" t="s">
        <v>740</v>
      </c>
      <c r="D2577" s="538" t="s">
        <v>393</v>
      </c>
      <c r="E2577" s="538" t="s">
        <v>230</v>
      </c>
      <c r="F2577" s="538">
        <v>8921904</v>
      </c>
      <c r="G2577" s="538">
        <v>198</v>
      </c>
    </row>
    <row r="2578" spans="1:7" x14ac:dyDescent="0.2">
      <c r="A2578" s="538">
        <v>7</v>
      </c>
      <c r="B2578" s="538" t="s">
        <v>6580</v>
      </c>
      <c r="C2578" s="538" t="s">
        <v>393</v>
      </c>
      <c r="D2578" s="538" t="s">
        <v>740</v>
      </c>
      <c r="E2578" s="538" t="s">
        <v>390</v>
      </c>
      <c r="F2578" s="538">
        <v>61596</v>
      </c>
      <c r="G2578" s="538">
        <v>2</v>
      </c>
    </row>
    <row r="2579" spans="1:7" x14ac:dyDescent="0.2">
      <c r="A2579" s="538">
        <v>3</v>
      </c>
      <c r="B2579" s="538" t="s">
        <v>6586</v>
      </c>
      <c r="C2579" s="538" t="s">
        <v>740</v>
      </c>
      <c r="D2579" s="538" t="s">
        <v>393</v>
      </c>
      <c r="E2579" s="538" t="s">
        <v>211</v>
      </c>
      <c r="F2579" s="538">
        <v>3062704</v>
      </c>
      <c r="G2579" s="538">
        <v>83</v>
      </c>
    </row>
    <row r="2580" spans="1:7" x14ac:dyDescent="0.2">
      <c r="A2580" s="538">
        <v>8</v>
      </c>
      <c r="B2580" s="538" t="s">
        <v>6560</v>
      </c>
      <c r="C2580" s="538" t="s">
        <v>740</v>
      </c>
      <c r="D2580" s="538" t="s">
        <v>393</v>
      </c>
      <c r="E2580" s="538" t="s">
        <v>230</v>
      </c>
      <c r="F2580" s="538">
        <v>1102710</v>
      </c>
      <c r="G2580" s="538">
        <v>35</v>
      </c>
    </row>
    <row r="2581" spans="1:7" x14ac:dyDescent="0.2">
      <c r="A2581" s="538">
        <v>10</v>
      </c>
      <c r="B2581" s="538" t="s">
        <v>6582</v>
      </c>
      <c r="C2581" s="538" t="s">
        <v>740</v>
      </c>
      <c r="D2581" s="538" t="s">
        <v>393</v>
      </c>
      <c r="E2581" s="538" t="s">
        <v>202</v>
      </c>
      <c r="F2581" s="538">
        <v>108147</v>
      </c>
      <c r="G2581" s="538">
        <v>4</v>
      </c>
    </row>
    <row r="2582" spans="1:7" x14ac:dyDescent="0.2">
      <c r="A2582" s="538">
        <v>4</v>
      </c>
      <c r="B2582" s="538" t="s">
        <v>6590</v>
      </c>
      <c r="C2582" s="538" t="s">
        <v>740</v>
      </c>
      <c r="D2582" s="538" t="s">
        <v>740</v>
      </c>
      <c r="E2582" s="538" t="s">
        <v>207</v>
      </c>
      <c r="F2582" s="538">
        <v>56640</v>
      </c>
      <c r="G2582" s="538">
        <v>5</v>
      </c>
    </row>
    <row r="2583" spans="1:7" x14ac:dyDescent="0.2">
      <c r="A2583" s="538">
        <v>7</v>
      </c>
      <c r="B2583" s="538" t="s">
        <v>6588</v>
      </c>
      <c r="C2583" s="538" t="s">
        <v>393</v>
      </c>
      <c r="D2583" s="538" t="s">
        <v>393</v>
      </c>
      <c r="E2583" s="538" t="s">
        <v>416</v>
      </c>
      <c r="F2583" s="538">
        <v>22414511</v>
      </c>
      <c r="G2583" s="538">
        <v>362</v>
      </c>
    </row>
    <row r="2584" spans="1:7" x14ac:dyDescent="0.2">
      <c r="A2584" s="538">
        <v>7</v>
      </c>
      <c r="B2584" s="538" t="s">
        <v>6579</v>
      </c>
      <c r="C2584" s="538" t="s">
        <v>740</v>
      </c>
      <c r="D2584" s="538" t="s">
        <v>740</v>
      </c>
      <c r="E2584" s="538" t="s">
        <v>230</v>
      </c>
      <c r="F2584" s="538">
        <v>11328</v>
      </c>
      <c r="G2584" s="538">
        <v>1</v>
      </c>
    </row>
    <row r="2585" spans="1:7" x14ac:dyDescent="0.2">
      <c r="A2585" s="538">
        <v>3</v>
      </c>
      <c r="B2585" s="538" t="s">
        <v>6586</v>
      </c>
      <c r="C2585" s="538" t="s">
        <v>740</v>
      </c>
      <c r="D2585" s="538" t="s">
        <v>740</v>
      </c>
      <c r="E2585" s="538" t="s">
        <v>390</v>
      </c>
      <c r="F2585" s="538">
        <v>8163917</v>
      </c>
      <c r="G2585" s="538">
        <v>264</v>
      </c>
    </row>
    <row r="2586" spans="1:7" x14ac:dyDescent="0.2">
      <c r="A2586" s="538">
        <v>1</v>
      </c>
      <c r="B2586" s="538" t="s">
        <v>6581</v>
      </c>
      <c r="C2586" s="538" t="s">
        <v>393</v>
      </c>
      <c r="D2586" s="538" t="s">
        <v>740</v>
      </c>
      <c r="E2586" s="538" t="s">
        <v>230</v>
      </c>
      <c r="F2586" s="538">
        <v>50268</v>
      </c>
      <c r="G2586" s="538">
        <v>1</v>
      </c>
    </row>
    <row r="2587" spans="1:7" x14ac:dyDescent="0.2">
      <c r="A2587" s="538">
        <v>7</v>
      </c>
      <c r="B2587" s="538" t="s">
        <v>6579</v>
      </c>
      <c r="C2587" s="538" t="s">
        <v>740</v>
      </c>
      <c r="D2587" s="538" t="s">
        <v>740</v>
      </c>
      <c r="E2587" s="538" t="s">
        <v>416</v>
      </c>
      <c r="F2587" s="538">
        <v>11328</v>
      </c>
      <c r="G2587" s="538">
        <v>1</v>
      </c>
    </row>
    <row r="2588" spans="1:7" x14ac:dyDescent="0.2">
      <c r="A2588" s="538">
        <v>8</v>
      </c>
      <c r="B2588" s="538" t="s">
        <v>6583</v>
      </c>
      <c r="C2588" s="538" t="s">
        <v>740</v>
      </c>
      <c r="D2588" s="538" t="s">
        <v>393</v>
      </c>
      <c r="E2588" s="538" t="s">
        <v>438</v>
      </c>
      <c r="F2588" s="538">
        <v>22656</v>
      </c>
      <c r="G2588" s="538">
        <v>2</v>
      </c>
    </row>
    <row r="2589" spans="1:7" x14ac:dyDescent="0.2">
      <c r="A2589" s="538">
        <v>4</v>
      </c>
      <c r="B2589" s="538" t="s">
        <v>6593</v>
      </c>
      <c r="C2589" s="538" t="s">
        <v>740</v>
      </c>
      <c r="D2589" s="538" t="s">
        <v>393</v>
      </c>
      <c r="E2589" s="538" t="s">
        <v>211</v>
      </c>
      <c r="F2589" s="538">
        <v>237711</v>
      </c>
      <c r="G2589" s="538">
        <v>12</v>
      </c>
    </row>
    <row r="2590" spans="1:7" x14ac:dyDescent="0.2">
      <c r="A2590" s="538">
        <v>7</v>
      </c>
      <c r="B2590" s="538" t="s">
        <v>6571</v>
      </c>
      <c r="C2590" s="538" t="s">
        <v>740</v>
      </c>
      <c r="D2590" s="538" t="s">
        <v>740</v>
      </c>
      <c r="E2590" s="538" t="s">
        <v>230</v>
      </c>
      <c r="F2590" s="538">
        <v>11328</v>
      </c>
      <c r="G2590" s="538">
        <v>1</v>
      </c>
    </row>
    <row r="2591" spans="1:7" x14ac:dyDescent="0.2">
      <c r="A2591" s="538">
        <v>4</v>
      </c>
      <c r="B2591" s="538" t="s">
        <v>6593</v>
      </c>
      <c r="C2591" s="538" t="s">
        <v>740</v>
      </c>
      <c r="D2591" s="538" t="s">
        <v>393</v>
      </c>
      <c r="E2591" s="538" t="s">
        <v>438</v>
      </c>
      <c r="F2591" s="538">
        <v>26313957</v>
      </c>
      <c r="G2591" s="538">
        <v>269</v>
      </c>
    </row>
    <row r="2592" spans="1:7" x14ac:dyDescent="0.2">
      <c r="A2592" s="538">
        <v>4</v>
      </c>
      <c r="B2592" s="538" t="s">
        <v>6593</v>
      </c>
      <c r="C2592" s="538" t="s">
        <v>740</v>
      </c>
      <c r="D2592" s="538" t="s">
        <v>393</v>
      </c>
      <c r="E2592" s="538" t="s">
        <v>206</v>
      </c>
      <c r="F2592" s="538">
        <v>147087</v>
      </c>
      <c r="G2592" s="538">
        <v>4</v>
      </c>
    </row>
    <row r="2593" spans="1:7" x14ac:dyDescent="0.2">
      <c r="A2593" s="538">
        <v>5</v>
      </c>
      <c r="B2593" s="538" t="s">
        <v>6568</v>
      </c>
      <c r="C2593" s="538" t="s">
        <v>740</v>
      </c>
      <c r="D2593" s="538" t="s">
        <v>393</v>
      </c>
      <c r="E2593" s="538" t="s">
        <v>402</v>
      </c>
      <c r="F2593" s="538">
        <v>17026120</v>
      </c>
      <c r="G2593" s="538">
        <v>690</v>
      </c>
    </row>
    <row r="2594" spans="1:7" x14ac:dyDescent="0.2">
      <c r="A2594" s="538">
        <v>8</v>
      </c>
      <c r="B2594" s="538" t="s">
        <v>6567</v>
      </c>
      <c r="C2594" s="538" t="s">
        <v>740</v>
      </c>
      <c r="D2594" s="538" t="s">
        <v>740</v>
      </c>
      <c r="E2594" s="538" t="s">
        <v>207</v>
      </c>
      <c r="F2594" s="538">
        <v>11328</v>
      </c>
      <c r="G2594" s="538">
        <v>1</v>
      </c>
    </row>
    <row r="2595" spans="1:7" x14ac:dyDescent="0.2">
      <c r="A2595" s="538">
        <v>5</v>
      </c>
      <c r="B2595" s="538" t="s">
        <v>6650</v>
      </c>
      <c r="C2595" s="538" t="s">
        <v>393</v>
      </c>
      <c r="D2595" s="538" t="s">
        <v>740</v>
      </c>
      <c r="E2595" s="538" t="s">
        <v>416</v>
      </c>
      <c r="F2595" s="538">
        <v>9433153</v>
      </c>
      <c r="G2595" s="538">
        <v>246</v>
      </c>
    </row>
    <row r="2596" spans="1:7" x14ac:dyDescent="0.2">
      <c r="A2596" s="538">
        <v>3</v>
      </c>
      <c r="B2596" s="538" t="s">
        <v>6647</v>
      </c>
      <c r="C2596" s="538" t="s">
        <v>740</v>
      </c>
      <c r="D2596" s="538" t="s">
        <v>740</v>
      </c>
      <c r="E2596" s="538" t="s">
        <v>207</v>
      </c>
      <c r="F2596" s="538">
        <v>740922</v>
      </c>
      <c r="G2596" s="538">
        <v>44</v>
      </c>
    </row>
    <row r="2597" spans="1:7" x14ac:dyDescent="0.2">
      <c r="A2597" s="538">
        <v>7</v>
      </c>
      <c r="B2597" s="538" t="s">
        <v>6564</v>
      </c>
      <c r="C2597" s="538" t="s">
        <v>740</v>
      </c>
      <c r="D2597" s="538" t="s">
        <v>393</v>
      </c>
      <c r="E2597" s="538" t="s">
        <v>207</v>
      </c>
      <c r="F2597" s="538">
        <v>2695710</v>
      </c>
      <c r="G2597" s="538">
        <v>220</v>
      </c>
    </row>
    <row r="2598" spans="1:7" x14ac:dyDescent="0.2">
      <c r="A2598" s="538">
        <v>2</v>
      </c>
      <c r="B2598" s="538" t="s">
        <v>6055</v>
      </c>
      <c r="C2598" s="538" t="s">
        <v>740</v>
      </c>
      <c r="D2598" s="538" t="s">
        <v>740</v>
      </c>
      <c r="E2598" s="538" t="s">
        <v>401</v>
      </c>
      <c r="F2598" s="538">
        <v>2434531</v>
      </c>
      <c r="G2598" s="538">
        <v>87</v>
      </c>
    </row>
    <row r="2599" spans="1:7" x14ac:dyDescent="0.2">
      <c r="A2599" s="538">
        <v>12</v>
      </c>
      <c r="B2599" s="538" t="s">
        <v>6569</v>
      </c>
      <c r="C2599" s="538" t="s">
        <v>740</v>
      </c>
      <c r="D2599" s="538" t="s">
        <v>393</v>
      </c>
      <c r="E2599" s="538" t="s">
        <v>210</v>
      </c>
      <c r="F2599" s="538">
        <v>215232</v>
      </c>
      <c r="G2599" s="538">
        <v>19</v>
      </c>
    </row>
    <row r="2600" spans="1:7" x14ac:dyDescent="0.2">
      <c r="A2600" s="538">
        <v>8</v>
      </c>
      <c r="B2600" s="538" t="s">
        <v>6567</v>
      </c>
      <c r="C2600" s="538" t="s">
        <v>393</v>
      </c>
      <c r="D2600" s="538" t="s">
        <v>740</v>
      </c>
      <c r="E2600" s="538" t="s">
        <v>210</v>
      </c>
      <c r="F2600" s="538">
        <v>174699</v>
      </c>
      <c r="G2600" s="538">
        <v>3</v>
      </c>
    </row>
    <row r="2601" spans="1:7" x14ac:dyDescent="0.2">
      <c r="A2601" s="538">
        <v>8</v>
      </c>
      <c r="B2601" s="538" t="s">
        <v>6658</v>
      </c>
      <c r="C2601" s="538" t="s">
        <v>740</v>
      </c>
      <c r="D2601" s="538" t="s">
        <v>393</v>
      </c>
      <c r="E2601" s="538" t="s">
        <v>390</v>
      </c>
      <c r="F2601" s="538">
        <v>5280035</v>
      </c>
      <c r="G2601" s="538">
        <v>265</v>
      </c>
    </row>
    <row r="2602" spans="1:7" x14ac:dyDescent="0.2">
      <c r="A2602" s="538">
        <v>10</v>
      </c>
      <c r="B2602" s="538" t="s">
        <v>6600</v>
      </c>
      <c r="C2602" s="538" t="s">
        <v>740</v>
      </c>
      <c r="D2602" s="538" t="s">
        <v>393</v>
      </c>
      <c r="E2602" s="538" t="s">
        <v>207</v>
      </c>
      <c r="F2602" s="538">
        <v>1577851</v>
      </c>
      <c r="G2602" s="538">
        <v>37</v>
      </c>
    </row>
    <row r="2603" spans="1:7" x14ac:dyDescent="0.2">
      <c r="A2603" s="538">
        <v>11</v>
      </c>
      <c r="B2603" s="538" t="s">
        <v>6610</v>
      </c>
      <c r="C2603" s="538" t="s">
        <v>740</v>
      </c>
      <c r="D2603" s="538" t="s">
        <v>393</v>
      </c>
      <c r="E2603" s="538" t="s">
        <v>210</v>
      </c>
      <c r="F2603" s="538">
        <v>142131</v>
      </c>
      <c r="G2603" s="538">
        <v>7</v>
      </c>
    </row>
    <row r="2604" spans="1:7" x14ac:dyDescent="0.2">
      <c r="A2604" s="538">
        <v>7</v>
      </c>
      <c r="B2604" s="538" t="s">
        <v>6655</v>
      </c>
      <c r="C2604" s="538" t="s">
        <v>740</v>
      </c>
      <c r="D2604" s="538" t="s">
        <v>393</v>
      </c>
      <c r="E2604" s="538" t="s">
        <v>230</v>
      </c>
      <c r="F2604" s="538">
        <v>50268</v>
      </c>
      <c r="G2604" s="538">
        <v>1</v>
      </c>
    </row>
    <row r="2605" spans="1:7" x14ac:dyDescent="0.2">
      <c r="A2605" s="538">
        <v>10</v>
      </c>
      <c r="B2605" s="538" t="s">
        <v>6611</v>
      </c>
      <c r="C2605" s="538" t="s">
        <v>740</v>
      </c>
      <c r="D2605" s="538" t="s">
        <v>393</v>
      </c>
      <c r="E2605" s="538" t="s">
        <v>438</v>
      </c>
      <c r="F2605" s="538">
        <v>74163</v>
      </c>
      <c r="G2605" s="538">
        <v>1</v>
      </c>
    </row>
    <row r="2606" spans="1:7" x14ac:dyDescent="0.2">
      <c r="A2606" s="538">
        <v>5</v>
      </c>
      <c r="B2606" s="538" t="s">
        <v>6598</v>
      </c>
      <c r="C2606" s="538" t="s">
        <v>393</v>
      </c>
      <c r="D2606" s="538" t="s">
        <v>393</v>
      </c>
      <c r="E2606" s="538" t="s">
        <v>230</v>
      </c>
      <c r="F2606" s="538">
        <v>7717898</v>
      </c>
      <c r="G2606" s="538">
        <v>171</v>
      </c>
    </row>
    <row r="2607" spans="1:7" x14ac:dyDescent="0.2">
      <c r="A2607" s="538">
        <v>6</v>
      </c>
      <c r="B2607" s="538" t="s">
        <v>6596</v>
      </c>
      <c r="C2607" s="538" t="s">
        <v>740</v>
      </c>
      <c r="D2607" s="538" t="s">
        <v>393</v>
      </c>
      <c r="E2607" s="538" t="s">
        <v>210</v>
      </c>
      <c r="F2607" s="538">
        <v>2501083</v>
      </c>
      <c r="G2607" s="538">
        <v>91</v>
      </c>
    </row>
    <row r="2608" spans="1:7" x14ac:dyDescent="0.2">
      <c r="A2608" s="538">
        <v>10</v>
      </c>
      <c r="B2608" s="538" t="s">
        <v>6597</v>
      </c>
      <c r="C2608" s="538" t="s">
        <v>393</v>
      </c>
      <c r="D2608" s="538" t="s">
        <v>393</v>
      </c>
      <c r="E2608" s="538" t="s">
        <v>390</v>
      </c>
      <c r="F2608" s="538">
        <v>10046791</v>
      </c>
      <c r="G2608" s="538">
        <v>227</v>
      </c>
    </row>
    <row r="2609" spans="1:7" x14ac:dyDescent="0.2">
      <c r="A2609" s="538">
        <v>4</v>
      </c>
      <c r="B2609" s="538" t="s">
        <v>6593</v>
      </c>
      <c r="C2609" s="538" t="s">
        <v>393</v>
      </c>
      <c r="D2609" s="538" t="s">
        <v>393</v>
      </c>
      <c r="E2609" s="538" t="s">
        <v>202</v>
      </c>
      <c r="F2609" s="538">
        <v>6826245</v>
      </c>
      <c r="G2609" s="538">
        <v>55</v>
      </c>
    </row>
    <row r="2610" spans="1:7" x14ac:dyDescent="0.2">
      <c r="A2610" s="538">
        <v>9</v>
      </c>
      <c r="B2610" s="538" t="s">
        <v>6613</v>
      </c>
      <c r="C2610" s="538" t="s">
        <v>393</v>
      </c>
      <c r="D2610" s="538" t="s">
        <v>393</v>
      </c>
      <c r="E2610" s="538" t="s">
        <v>449</v>
      </c>
      <c r="F2610" s="538">
        <v>362319</v>
      </c>
      <c r="G2610" s="538">
        <v>23</v>
      </c>
    </row>
    <row r="2611" spans="1:7" x14ac:dyDescent="0.2">
      <c r="A2611" s="538">
        <v>11</v>
      </c>
      <c r="B2611" s="538" t="s">
        <v>6558</v>
      </c>
      <c r="C2611" s="538" t="s">
        <v>393</v>
      </c>
      <c r="D2611" s="538" t="s">
        <v>393</v>
      </c>
      <c r="E2611" s="538" t="s">
        <v>230</v>
      </c>
      <c r="F2611" s="538">
        <v>5471341</v>
      </c>
      <c r="G2611" s="538">
        <v>127</v>
      </c>
    </row>
    <row r="2612" spans="1:7" x14ac:dyDescent="0.2">
      <c r="A2612" s="538">
        <v>8</v>
      </c>
      <c r="B2612" s="538" t="s">
        <v>6658</v>
      </c>
      <c r="C2612" s="538" t="s">
        <v>393</v>
      </c>
      <c r="D2612" s="538" t="s">
        <v>393</v>
      </c>
      <c r="E2612" s="538" t="s">
        <v>409</v>
      </c>
      <c r="F2612" s="538">
        <v>1962066</v>
      </c>
      <c r="G2612" s="538">
        <v>17</v>
      </c>
    </row>
    <row r="2613" spans="1:7" x14ac:dyDescent="0.2">
      <c r="A2613" s="538">
        <v>1</v>
      </c>
      <c r="B2613" s="538" t="s">
        <v>6602</v>
      </c>
      <c r="C2613" s="538" t="s">
        <v>740</v>
      </c>
      <c r="D2613" s="538" t="s">
        <v>740</v>
      </c>
      <c r="E2613" s="538" t="s">
        <v>409</v>
      </c>
      <c r="F2613" s="538">
        <v>226560</v>
      </c>
      <c r="G2613" s="538">
        <v>20</v>
      </c>
    </row>
    <row r="2614" spans="1:7" x14ac:dyDescent="0.2">
      <c r="A2614" s="538">
        <v>7</v>
      </c>
      <c r="B2614" s="538" t="s">
        <v>6588</v>
      </c>
      <c r="C2614" s="538" t="s">
        <v>740</v>
      </c>
      <c r="D2614" s="538" t="s">
        <v>740</v>
      </c>
      <c r="E2614" s="538" t="s">
        <v>402</v>
      </c>
      <c r="F2614" s="538">
        <v>84364699</v>
      </c>
      <c r="G2614" s="538">
        <v>3153</v>
      </c>
    </row>
    <row r="2615" spans="1:7" x14ac:dyDescent="0.2">
      <c r="A2615" s="538">
        <v>2</v>
      </c>
      <c r="B2615" s="538" t="s">
        <v>6573</v>
      </c>
      <c r="C2615" s="538" t="s">
        <v>393</v>
      </c>
      <c r="D2615" s="538" t="s">
        <v>740</v>
      </c>
      <c r="E2615" s="538" t="s">
        <v>449</v>
      </c>
      <c r="F2615" s="538">
        <v>776499</v>
      </c>
      <c r="G2615" s="538">
        <v>63</v>
      </c>
    </row>
    <row r="2616" spans="1:7" x14ac:dyDescent="0.2">
      <c r="A2616" s="538">
        <v>3</v>
      </c>
      <c r="B2616" s="538" t="s">
        <v>6586</v>
      </c>
      <c r="C2616" s="538" t="s">
        <v>740</v>
      </c>
      <c r="D2616" s="538" t="s">
        <v>393</v>
      </c>
      <c r="E2616" s="538" t="s">
        <v>416</v>
      </c>
      <c r="F2616" s="538">
        <v>111360401</v>
      </c>
      <c r="G2616" s="538">
        <v>1902</v>
      </c>
    </row>
    <row r="2617" spans="1:7" x14ac:dyDescent="0.2">
      <c r="A2617" s="538">
        <v>4</v>
      </c>
      <c r="B2617" s="538" t="s">
        <v>6593</v>
      </c>
      <c r="C2617" s="538" t="s">
        <v>393</v>
      </c>
      <c r="D2617" s="538" t="s">
        <v>393</v>
      </c>
      <c r="E2617" s="538" t="s">
        <v>209</v>
      </c>
      <c r="F2617" s="538">
        <v>4329712</v>
      </c>
      <c r="G2617" s="538">
        <v>14</v>
      </c>
    </row>
    <row r="2618" spans="1:7" x14ac:dyDescent="0.2">
      <c r="A2618" s="538">
        <v>2</v>
      </c>
      <c r="B2618" s="538" t="s">
        <v>6576</v>
      </c>
      <c r="C2618" s="538" t="s">
        <v>393</v>
      </c>
      <c r="D2618" s="538" t="s">
        <v>740</v>
      </c>
      <c r="E2618" s="538" t="s">
        <v>409</v>
      </c>
      <c r="F2618" s="538">
        <v>158592</v>
      </c>
      <c r="G2618" s="538">
        <v>14</v>
      </c>
    </row>
    <row r="2619" spans="1:7" x14ac:dyDescent="0.2">
      <c r="A2619" s="538">
        <v>7</v>
      </c>
      <c r="B2619" s="538" t="s">
        <v>6564</v>
      </c>
      <c r="C2619" s="538" t="s">
        <v>740</v>
      </c>
      <c r="D2619" s="538" t="s">
        <v>740</v>
      </c>
      <c r="E2619" s="538" t="s">
        <v>211</v>
      </c>
      <c r="F2619" s="538">
        <v>519089</v>
      </c>
      <c r="G2619" s="538">
        <v>3</v>
      </c>
    </row>
    <row r="2620" spans="1:7" x14ac:dyDescent="0.2">
      <c r="A2620" s="538">
        <v>1</v>
      </c>
      <c r="B2620" s="538" t="s">
        <v>6581</v>
      </c>
      <c r="C2620" s="538" t="s">
        <v>740</v>
      </c>
      <c r="D2620" s="538" t="s">
        <v>393</v>
      </c>
      <c r="E2620" s="538" t="s">
        <v>409</v>
      </c>
      <c r="F2620" s="538">
        <v>22656</v>
      </c>
      <c r="G2620" s="538">
        <v>2</v>
      </c>
    </row>
    <row r="2621" spans="1:7" x14ac:dyDescent="0.2">
      <c r="A2621" s="538">
        <v>10</v>
      </c>
      <c r="B2621" s="538" t="s">
        <v>6653</v>
      </c>
      <c r="C2621" s="538" t="s">
        <v>740</v>
      </c>
      <c r="D2621" s="538" t="s">
        <v>393</v>
      </c>
      <c r="E2621" s="538" t="s">
        <v>402</v>
      </c>
      <c r="F2621" s="538">
        <v>11328</v>
      </c>
      <c r="G2621" s="538">
        <v>1</v>
      </c>
    </row>
    <row r="2622" spans="1:7" x14ac:dyDescent="0.2">
      <c r="A2622" s="538">
        <v>3</v>
      </c>
      <c r="B2622" s="538" t="s">
        <v>6605</v>
      </c>
      <c r="C2622" s="538" t="s">
        <v>740</v>
      </c>
      <c r="D2622" s="538" t="s">
        <v>393</v>
      </c>
      <c r="E2622" s="538" t="s">
        <v>860</v>
      </c>
      <c r="F2622" s="538">
        <v>11328</v>
      </c>
      <c r="G2622" s="538">
        <v>1</v>
      </c>
    </row>
    <row r="2623" spans="1:7" x14ac:dyDescent="0.2">
      <c r="A2623" s="538">
        <v>2</v>
      </c>
      <c r="B2623" s="538" t="s">
        <v>6608</v>
      </c>
      <c r="C2623" s="538" t="s">
        <v>393</v>
      </c>
      <c r="D2623" s="538" t="s">
        <v>393</v>
      </c>
      <c r="E2623" s="538" t="s">
        <v>860</v>
      </c>
      <c r="F2623" s="538">
        <v>1709310</v>
      </c>
      <c r="G2623" s="538">
        <v>10</v>
      </c>
    </row>
    <row r="2624" spans="1:7" x14ac:dyDescent="0.2">
      <c r="A2624" s="538">
        <v>2</v>
      </c>
      <c r="B2624" s="538" t="s">
        <v>6055</v>
      </c>
      <c r="C2624" s="538" t="s">
        <v>740</v>
      </c>
      <c r="D2624" s="538" t="s">
        <v>393</v>
      </c>
      <c r="E2624" s="538" t="s">
        <v>211</v>
      </c>
      <c r="F2624" s="538">
        <v>419648932</v>
      </c>
      <c r="G2624" s="538">
        <v>9539</v>
      </c>
    </row>
    <row r="2625" spans="1:7" x14ac:dyDescent="0.2">
      <c r="A2625" s="538">
        <v>8</v>
      </c>
      <c r="B2625" s="538" t="s">
        <v>6658</v>
      </c>
      <c r="C2625" s="538" t="s">
        <v>393</v>
      </c>
      <c r="D2625" s="538" t="s">
        <v>740</v>
      </c>
      <c r="E2625" s="538" t="s">
        <v>438</v>
      </c>
      <c r="F2625" s="538">
        <v>227622</v>
      </c>
      <c r="G2625" s="538">
        <v>9</v>
      </c>
    </row>
    <row r="2626" spans="1:7" x14ac:dyDescent="0.2">
      <c r="A2626" s="538">
        <v>7</v>
      </c>
      <c r="B2626" s="538" t="s">
        <v>6580</v>
      </c>
      <c r="C2626" s="538" t="s">
        <v>740</v>
      </c>
      <c r="D2626" s="538" t="s">
        <v>393</v>
      </c>
      <c r="E2626" s="538" t="s">
        <v>211</v>
      </c>
      <c r="F2626" s="538">
        <v>11328</v>
      </c>
      <c r="G2626" s="538">
        <v>1</v>
      </c>
    </row>
    <row r="2627" spans="1:7" x14ac:dyDescent="0.2">
      <c r="A2627" s="538">
        <v>2</v>
      </c>
      <c r="B2627" s="538" t="s">
        <v>6608</v>
      </c>
      <c r="C2627" s="538" t="s">
        <v>740</v>
      </c>
      <c r="D2627" s="538" t="s">
        <v>393</v>
      </c>
      <c r="E2627" s="538" t="s">
        <v>209</v>
      </c>
      <c r="F2627" s="538">
        <v>1337360</v>
      </c>
      <c r="G2627" s="538">
        <v>15</v>
      </c>
    </row>
    <row r="2628" spans="1:7" x14ac:dyDescent="0.2">
      <c r="A2628" s="538">
        <v>11</v>
      </c>
      <c r="B2628" s="538" t="s">
        <v>6610</v>
      </c>
      <c r="C2628" s="538" t="s">
        <v>740</v>
      </c>
      <c r="D2628" s="538" t="s">
        <v>393</v>
      </c>
      <c r="E2628" s="538" t="s">
        <v>860</v>
      </c>
      <c r="F2628" s="538">
        <v>3139980</v>
      </c>
      <c r="G2628" s="538">
        <v>190</v>
      </c>
    </row>
    <row r="2629" spans="1:7" x14ac:dyDescent="0.2">
      <c r="A2629" s="538">
        <v>3</v>
      </c>
      <c r="B2629" s="538" t="s">
        <v>6586</v>
      </c>
      <c r="C2629" s="538" t="s">
        <v>393</v>
      </c>
      <c r="D2629" s="538" t="s">
        <v>740</v>
      </c>
      <c r="E2629" s="538" t="s">
        <v>209</v>
      </c>
      <c r="F2629" s="538">
        <v>496433</v>
      </c>
      <c r="G2629" s="538">
        <v>1</v>
      </c>
    </row>
    <row r="2630" spans="1:7" x14ac:dyDescent="0.2">
      <c r="A2630" s="538">
        <v>1</v>
      </c>
      <c r="B2630" s="538" t="s">
        <v>6581</v>
      </c>
      <c r="C2630" s="538" t="s">
        <v>740</v>
      </c>
      <c r="D2630" s="538" t="s">
        <v>740</v>
      </c>
      <c r="E2630" s="538" t="s">
        <v>210</v>
      </c>
      <c r="F2630" s="538">
        <v>45312</v>
      </c>
      <c r="G2630" s="538">
        <v>4</v>
      </c>
    </row>
    <row r="2631" spans="1:7" x14ac:dyDescent="0.2">
      <c r="A2631" s="538">
        <v>1</v>
      </c>
      <c r="B2631" s="538" t="s">
        <v>6646</v>
      </c>
      <c r="C2631" s="538" t="s">
        <v>393</v>
      </c>
      <c r="D2631" s="538" t="s">
        <v>393</v>
      </c>
      <c r="E2631" s="538" t="s">
        <v>210</v>
      </c>
      <c r="F2631" s="538">
        <v>1269517</v>
      </c>
      <c r="G2631" s="538">
        <v>14</v>
      </c>
    </row>
    <row r="2632" spans="1:7" x14ac:dyDescent="0.2">
      <c r="A2632" s="538">
        <v>7</v>
      </c>
      <c r="B2632" s="538" t="s">
        <v>6580</v>
      </c>
      <c r="C2632" s="538" t="s">
        <v>740</v>
      </c>
      <c r="D2632" s="538" t="s">
        <v>393</v>
      </c>
      <c r="E2632" s="538" t="s">
        <v>212</v>
      </c>
      <c r="F2632" s="538">
        <v>878451</v>
      </c>
      <c r="G2632" s="538">
        <v>72</v>
      </c>
    </row>
    <row r="2633" spans="1:7" x14ac:dyDescent="0.2">
      <c r="A2633" s="538">
        <v>11</v>
      </c>
      <c r="B2633" s="538" t="s">
        <v>6659</v>
      </c>
      <c r="C2633" s="538" t="s">
        <v>393</v>
      </c>
      <c r="D2633" s="538" t="s">
        <v>393</v>
      </c>
      <c r="E2633" s="538" t="s">
        <v>211</v>
      </c>
      <c r="F2633" s="538">
        <v>6377779</v>
      </c>
      <c r="G2633" s="538">
        <v>73</v>
      </c>
    </row>
    <row r="2634" spans="1:7" x14ac:dyDescent="0.2">
      <c r="A2634" s="538">
        <v>3</v>
      </c>
      <c r="B2634" s="538" t="s">
        <v>6561</v>
      </c>
      <c r="C2634" s="538" t="s">
        <v>740</v>
      </c>
      <c r="D2634" s="538" t="s">
        <v>740</v>
      </c>
      <c r="E2634" s="538" t="s">
        <v>860</v>
      </c>
      <c r="F2634" s="538">
        <v>33984</v>
      </c>
      <c r="G2634" s="538">
        <v>3</v>
      </c>
    </row>
    <row r="2635" spans="1:7" x14ac:dyDescent="0.2">
      <c r="A2635" s="538">
        <v>2</v>
      </c>
      <c r="B2635" s="538" t="s">
        <v>6654</v>
      </c>
      <c r="C2635" s="538" t="s">
        <v>393</v>
      </c>
      <c r="D2635" s="538" t="s">
        <v>740</v>
      </c>
      <c r="E2635" s="538" t="s">
        <v>449</v>
      </c>
      <c r="F2635" s="538">
        <v>45312</v>
      </c>
      <c r="G2635" s="538">
        <v>4</v>
      </c>
    </row>
    <row r="2636" spans="1:7" x14ac:dyDescent="0.2">
      <c r="A2636" s="538">
        <v>1</v>
      </c>
      <c r="B2636" s="538" t="s">
        <v>6581</v>
      </c>
      <c r="C2636" s="538" t="s">
        <v>393</v>
      </c>
      <c r="D2636" s="538" t="s">
        <v>393</v>
      </c>
      <c r="E2636" s="538" t="s">
        <v>416</v>
      </c>
      <c r="F2636" s="538">
        <v>31546816</v>
      </c>
      <c r="G2636" s="538">
        <v>592</v>
      </c>
    </row>
    <row r="2637" spans="1:7" x14ac:dyDescent="0.2">
      <c r="A2637" s="538">
        <v>8</v>
      </c>
      <c r="B2637" s="538" t="s">
        <v>6577</v>
      </c>
      <c r="C2637" s="538" t="s">
        <v>393</v>
      </c>
      <c r="D2637" s="538" t="s">
        <v>393</v>
      </c>
      <c r="E2637" s="538" t="s">
        <v>402</v>
      </c>
      <c r="F2637" s="538">
        <v>3708348</v>
      </c>
      <c r="G2637" s="538">
        <v>136</v>
      </c>
    </row>
    <row r="2638" spans="1:7" x14ac:dyDescent="0.2">
      <c r="A2638" s="538">
        <v>7</v>
      </c>
      <c r="B2638" s="538" t="s">
        <v>6588</v>
      </c>
      <c r="C2638" s="538" t="s">
        <v>393</v>
      </c>
      <c r="D2638" s="538" t="s">
        <v>740</v>
      </c>
      <c r="E2638" s="538" t="s">
        <v>390</v>
      </c>
      <c r="F2638" s="538">
        <v>352053</v>
      </c>
      <c r="G2638" s="538">
        <v>11</v>
      </c>
    </row>
    <row r="2639" spans="1:7" x14ac:dyDescent="0.2">
      <c r="A2639" s="538">
        <v>3</v>
      </c>
      <c r="B2639" s="538" t="s">
        <v>1390</v>
      </c>
      <c r="C2639" s="538" t="s">
        <v>393</v>
      </c>
      <c r="D2639" s="538" t="s">
        <v>393</v>
      </c>
      <c r="E2639" s="538" t="s">
        <v>402</v>
      </c>
      <c r="F2639" s="538">
        <v>15958831</v>
      </c>
      <c r="G2639" s="538">
        <v>362</v>
      </c>
    </row>
    <row r="2640" spans="1:7" x14ac:dyDescent="0.2">
      <c r="A2640" s="538">
        <v>7</v>
      </c>
      <c r="B2640" s="538" t="s">
        <v>6580</v>
      </c>
      <c r="C2640" s="538" t="s">
        <v>393</v>
      </c>
      <c r="D2640" s="538" t="s">
        <v>393</v>
      </c>
      <c r="E2640" s="538" t="s">
        <v>416</v>
      </c>
      <c r="F2640" s="538">
        <v>34669992</v>
      </c>
      <c r="G2640" s="538">
        <v>589</v>
      </c>
    </row>
    <row r="2641" spans="1:7" x14ac:dyDescent="0.2">
      <c r="A2641" s="538">
        <v>5</v>
      </c>
      <c r="B2641" s="538" t="s">
        <v>6650</v>
      </c>
      <c r="C2641" s="538" t="s">
        <v>393</v>
      </c>
      <c r="D2641" s="538" t="s">
        <v>393</v>
      </c>
      <c r="E2641" s="538" t="s">
        <v>402</v>
      </c>
      <c r="F2641" s="538">
        <v>1889725</v>
      </c>
      <c r="G2641" s="538">
        <v>50</v>
      </c>
    </row>
    <row r="2642" spans="1:7" x14ac:dyDescent="0.2">
      <c r="A2642" s="538">
        <v>11</v>
      </c>
      <c r="B2642" s="538" t="s">
        <v>6610</v>
      </c>
      <c r="C2642" s="538" t="s">
        <v>740</v>
      </c>
      <c r="D2642" s="538" t="s">
        <v>740</v>
      </c>
      <c r="E2642" s="538" t="s">
        <v>390</v>
      </c>
      <c r="F2642" s="538">
        <v>22656</v>
      </c>
      <c r="G2642" s="538">
        <v>2</v>
      </c>
    </row>
    <row r="2643" spans="1:7" x14ac:dyDescent="0.2">
      <c r="A2643" s="538">
        <v>9</v>
      </c>
      <c r="B2643" s="538" t="s">
        <v>6606</v>
      </c>
      <c r="C2643" s="538" t="s">
        <v>740</v>
      </c>
      <c r="D2643" s="538" t="s">
        <v>393</v>
      </c>
      <c r="E2643" s="538" t="s">
        <v>211</v>
      </c>
      <c r="F2643" s="538">
        <v>17530976</v>
      </c>
      <c r="G2643" s="538">
        <v>487</v>
      </c>
    </row>
    <row r="2644" spans="1:7" x14ac:dyDescent="0.2">
      <c r="A2644" s="538">
        <v>5</v>
      </c>
      <c r="B2644" s="538" t="s">
        <v>6599</v>
      </c>
      <c r="C2644" s="538" t="s">
        <v>740</v>
      </c>
      <c r="D2644" s="538" t="s">
        <v>393</v>
      </c>
      <c r="E2644" s="538" t="s">
        <v>402</v>
      </c>
      <c r="F2644" s="538">
        <v>514716</v>
      </c>
      <c r="G2644" s="538">
        <v>42</v>
      </c>
    </row>
    <row r="2645" spans="1:7" x14ac:dyDescent="0.2">
      <c r="A2645" s="538">
        <v>2</v>
      </c>
      <c r="B2645" s="538" t="s">
        <v>6573</v>
      </c>
      <c r="C2645" s="538" t="s">
        <v>740</v>
      </c>
      <c r="D2645" s="538" t="s">
        <v>393</v>
      </c>
      <c r="E2645" s="538" t="s">
        <v>419</v>
      </c>
      <c r="F2645" s="538">
        <v>842291</v>
      </c>
      <c r="G2645" s="538">
        <v>17</v>
      </c>
    </row>
    <row r="2646" spans="1:7" x14ac:dyDescent="0.2">
      <c r="A2646" s="538">
        <v>3</v>
      </c>
      <c r="B2646" s="538" t="s">
        <v>6561</v>
      </c>
      <c r="C2646" s="538" t="s">
        <v>740</v>
      </c>
      <c r="D2646" s="538" t="s">
        <v>740</v>
      </c>
      <c r="E2646" s="538" t="s">
        <v>401</v>
      </c>
      <c r="F2646" s="538">
        <v>22656</v>
      </c>
      <c r="G2646" s="538">
        <v>2</v>
      </c>
    </row>
    <row r="2647" spans="1:7" x14ac:dyDescent="0.2">
      <c r="A2647" s="538">
        <v>2</v>
      </c>
      <c r="B2647" s="538" t="s">
        <v>6576</v>
      </c>
      <c r="C2647" s="538" t="s">
        <v>740</v>
      </c>
      <c r="D2647" s="538" t="s">
        <v>393</v>
      </c>
      <c r="E2647" s="538" t="s">
        <v>409</v>
      </c>
      <c r="F2647" s="538">
        <v>1196999</v>
      </c>
      <c r="G2647" s="538">
        <v>38</v>
      </c>
    </row>
    <row r="2648" spans="1:7" x14ac:dyDescent="0.2">
      <c r="A2648" s="538">
        <v>1</v>
      </c>
      <c r="B2648" s="538" t="s">
        <v>6609</v>
      </c>
      <c r="C2648" s="538" t="s">
        <v>393</v>
      </c>
      <c r="D2648" s="538" t="s">
        <v>393</v>
      </c>
      <c r="E2648" s="538" t="s">
        <v>212</v>
      </c>
      <c r="F2648" s="538">
        <v>1221831</v>
      </c>
      <c r="G2648" s="538">
        <v>92</v>
      </c>
    </row>
    <row r="2649" spans="1:7" x14ac:dyDescent="0.2">
      <c r="A2649" s="538">
        <v>2</v>
      </c>
      <c r="B2649" s="538" t="s">
        <v>6656</v>
      </c>
      <c r="C2649" s="538" t="s">
        <v>740</v>
      </c>
      <c r="D2649" s="538" t="s">
        <v>393</v>
      </c>
      <c r="E2649" s="538" t="s">
        <v>860</v>
      </c>
      <c r="F2649" s="538">
        <v>450288</v>
      </c>
      <c r="G2649" s="538">
        <v>26</v>
      </c>
    </row>
    <row r="2650" spans="1:7" x14ac:dyDescent="0.2">
      <c r="A2650" s="538">
        <v>1</v>
      </c>
      <c r="B2650" s="538" t="s">
        <v>6595</v>
      </c>
      <c r="C2650" s="538" t="s">
        <v>393</v>
      </c>
      <c r="D2650" s="538" t="s">
        <v>393</v>
      </c>
      <c r="E2650" s="538" t="s">
        <v>409</v>
      </c>
      <c r="F2650" s="538">
        <v>351168</v>
      </c>
      <c r="G2650" s="538">
        <v>31</v>
      </c>
    </row>
    <row r="2651" spans="1:7" x14ac:dyDescent="0.2">
      <c r="A2651" s="538">
        <v>4</v>
      </c>
      <c r="B2651" s="538" t="s">
        <v>6590</v>
      </c>
      <c r="C2651" s="538" t="s">
        <v>393</v>
      </c>
      <c r="D2651" s="538" t="s">
        <v>393</v>
      </c>
      <c r="E2651" s="538" t="s">
        <v>212</v>
      </c>
      <c r="F2651" s="538">
        <v>2183420</v>
      </c>
      <c r="G2651" s="538">
        <v>105</v>
      </c>
    </row>
    <row r="2652" spans="1:7" x14ac:dyDescent="0.2">
      <c r="A2652" s="538">
        <v>7</v>
      </c>
      <c r="B2652" s="538" t="s">
        <v>6588</v>
      </c>
      <c r="C2652" s="538" t="s">
        <v>740</v>
      </c>
      <c r="D2652" s="538" t="s">
        <v>740</v>
      </c>
      <c r="E2652" s="538" t="s">
        <v>409</v>
      </c>
      <c r="F2652" s="538">
        <v>9182823</v>
      </c>
      <c r="G2652" s="538">
        <v>221</v>
      </c>
    </row>
    <row r="2653" spans="1:7" x14ac:dyDescent="0.2">
      <c r="A2653" s="538">
        <v>1</v>
      </c>
      <c r="B2653" s="538" t="s">
        <v>1288</v>
      </c>
      <c r="C2653" s="538" t="s">
        <v>740</v>
      </c>
      <c r="D2653" s="538" t="s">
        <v>393</v>
      </c>
      <c r="E2653" s="538" t="s">
        <v>409</v>
      </c>
      <c r="F2653" s="538">
        <v>101952</v>
      </c>
      <c r="G2653" s="538">
        <v>9</v>
      </c>
    </row>
    <row r="2654" spans="1:7" x14ac:dyDescent="0.2">
      <c r="A2654" s="538">
        <v>3</v>
      </c>
      <c r="B2654" s="538" t="s">
        <v>6647</v>
      </c>
      <c r="C2654" s="538" t="s">
        <v>740</v>
      </c>
      <c r="D2654" s="538" t="s">
        <v>740</v>
      </c>
      <c r="E2654" s="538" t="s">
        <v>390</v>
      </c>
      <c r="F2654" s="538">
        <v>666176</v>
      </c>
      <c r="G2654" s="538">
        <v>7</v>
      </c>
    </row>
    <row r="2655" spans="1:7" x14ac:dyDescent="0.2">
      <c r="A2655" s="538">
        <v>9</v>
      </c>
      <c r="B2655" s="538" t="s">
        <v>6606</v>
      </c>
      <c r="C2655" s="538" t="s">
        <v>740</v>
      </c>
      <c r="D2655" s="538" t="s">
        <v>393</v>
      </c>
      <c r="E2655" s="538" t="s">
        <v>202</v>
      </c>
      <c r="F2655" s="538">
        <v>496433</v>
      </c>
      <c r="G2655" s="538">
        <v>1</v>
      </c>
    </row>
    <row r="2656" spans="1:7" x14ac:dyDescent="0.2">
      <c r="A2656" s="538">
        <v>2</v>
      </c>
      <c r="B2656" s="538" t="s">
        <v>6573</v>
      </c>
      <c r="C2656" s="538" t="s">
        <v>740</v>
      </c>
      <c r="D2656" s="538" t="s">
        <v>393</v>
      </c>
      <c r="E2656" s="538" t="s">
        <v>860</v>
      </c>
      <c r="F2656" s="538">
        <v>2165897</v>
      </c>
      <c r="G2656" s="538">
        <v>109</v>
      </c>
    </row>
    <row r="2657" spans="1:7" x14ac:dyDescent="0.2">
      <c r="A2657" s="538">
        <v>11</v>
      </c>
      <c r="B2657" s="538" t="s">
        <v>6612</v>
      </c>
      <c r="C2657" s="538" t="s">
        <v>393</v>
      </c>
      <c r="D2657" s="538" t="s">
        <v>393</v>
      </c>
      <c r="E2657" s="538" t="s">
        <v>449</v>
      </c>
      <c r="F2657" s="538">
        <v>276651</v>
      </c>
      <c r="G2657" s="538">
        <v>12</v>
      </c>
    </row>
    <row r="2658" spans="1:7" x14ac:dyDescent="0.2">
      <c r="A2658" s="538">
        <v>12</v>
      </c>
      <c r="B2658" s="538" t="s">
        <v>6563</v>
      </c>
      <c r="C2658" s="538" t="s">
        <v>740</v>
      </c>
      <c r="D2658" s="538" t="s">
        <v>740</v>
      </c>
      <c r="E2658" s="538" t="s">
        <v>209</v>
      </c>
      <c r="F2658" s="538">
        <v>21418460</v>
      </c>
      <c r="G2658" s="538">
        <v>65</v>
      </c>
    </row>
    <row r="2659" spans="1:7" x14ac:dyDescent="0.2">
      <c r="A2659" s="538">
        <v>7</v>
      </c>
      <c r="B2659" s="538" t="s">
        <v>6594</v>
      </c>
      <c r="C2659" s="538" t="s">
        <v>393</v>
      </c>
      <c r="D2659" s="538" t="s">
        <v>393</v>
      </c>
      <c r="E2659" s="538" t="s">
        <v>860</v>
      </c>
      <c r="F2659" s="538">
        <v>694017</v>
      </c>
      <c r="G2659" s="538">
        <v>19</v>
      </c>
    </row>
    <row r="2660" spans="1:7" x14ac:dyDescent="0.2">
      <c r="A2660" s="538">
        <v>11</v>
      </c>
      <c r="B2660" s="538" t="s">
        <v>6612</v>
      </c>
      <c r="C2660" s="538" t="s">
        <v>740</v>
      </c>
      <c r="D2660" s="538" t="s">
        <v>393</v>
      </c>
      <c r="E2660" s="538" t="s">
        <v>313</v>
      </c>
      <c r="F2660" s="538">
        <v>1141192</v>
      </c>
      <c r="G2660" s="538">
        <v>4</v>
      </c>
    </row>
    <row r="2661" spans="1:7" x14ac:dyDescent="0.2">
      <c r="A2661" s="538">
        <v>5</v>
      </c>
      <c r="B2661" s="538" t="s">
        <v>6650</v>
      </c>
      <c r="C2661" s="538" t="s">
        <v>393</v>
      </c>
      <c r="D2661" s="538" t="s">
        <v>393</v>
      </c>
      <c r="E2661" s="538" t="s">
        <v>210</v>
      </c>
      <c r="F2661" s="538">
        <v>648882</v>
      </c>
      <c r="G2661" s="538">
        <v>24</v>
      </c>
    </row>
    <row r="2662" spans="1:7" x14ac:dyDescent="0.2">
      <c r="A2662" s="538">
        <v>1</v>
      </c>
      <c r="B2662" s="538" t="s">
        <v>6602</v>
      </c>
      <c r="C2662" s="538" t="s">
        <v>740</v>
      </c>
      <c r="D2662" s="538" t="s">
        <v>393</v>
      </c>
      <c r="E2662" s="538" t="s">
        <v>449</v>
      </c>
      <c r="F2662" s="538">
        <v>11328</v>
      </c>
      <c r="G2662" s="538">
        <v>1</v>
      </c>
    </row>
    <row r="2663" spans="1:7" x14ac:dyDescent="0.2">
      <c r="A2663" s="538">
        <v>1</v>
      </c>
      <c r="B2663" s="538" t="s">
        <v>6646</v>
      </c>
      <c r="C2663" s="538" t="s">
        <v>740</v>
      </c>
      <c r="D2663" s="538" t="s">
        <v>393</v>
      </c>
      <c r="E2663" s="538" t="s">
        <v>313</v>
      </c>
      <c r="F2663" s="538">
        <v>22656</v>
      </c>
      <c r="G2663" s="538">
        <v>2</v>
      </c>
    </row>
    <row r="2664" spans="1:7" x14ac:dyDescent="0.2">
      <c r="A2664" s="538">
        <v>3</v>
      </c>
      <c r="B2664" s="538" t="s">
        <v>6561</v>
      </c>
      <c r="C2664" s="538" t="s">
        <v>740</v>
      </c>
      <c r="D2664" s="538" t="s">
        <v>393</v>
      </c>
      <c r="E2664" s="538" t="s">
        <v>207</v>
      </c>
      <c r="F2664" s="538">
        <v>1392407</v>
      </c>
      <c r="G2664" s="538">
        <v>69</v>
      </c>
    </row>
    <row r="2665" spans="1:7" x14ac:dyDescent="0.2">
      <c r="A2665" s="538">
        <v>6</v>
      </c>
      <c r="B2665" s="538" t="s">
        <v>1668</v>
      </c>
      <c r="C2665" s="538" t="s">
        <v>393</v>
      </c>
      <c r="D2665" s="538" t="s">
        <v>740</v>
      </c>
      <c r="E2665" s="538" t="s">
        <v>202</v>
      </c>
      <c r="F2665" s="538">
        <v>2043663</v>
      </c>
      <c r="G2665" s="538">
        <v>16</v>
      </c>
    </row>
    <row r="2666" spans="1:7" x14ac:dyDescent="0.2">
      <c r="A2666" s="538">
        <v>9</v>
      </c>
      <c r="B2666" s="538" t="s">
        <v>6645</v>
      </c>
      <c r="C2666" s="538" t="s">
        <v>740</v>
      </c>
      <c r="D2666" s="538" t="s">
        <v>393</v>
      </c>
      <c r="E2666" s="538" t="s">
        <v>230</v>
      </c>
      <c r="F2666" s="538">
        <v>61596</v>
      </c>
      <c r="G2666" s="538">
        <v>2</v>
      </c>
    </row>
    <row r="2667" spans="1:7" x14ac:dyDescent="0.2">
      <c r="A2667" s="538">
        <v>2</v>
      </c>
      <c r="B2667" s="538" t="s">
        <v>6576</v>
      </c>
      <c r="C2667" s="538" t="s">
        <v>740</v>
      </c>
      <c r="D2667" s="538" t="s">
        <v>740</v>
      </c>
      <c r="E2667" s="538" t="s">
        <v>416</v>
      </c>
      <c r="F2667" s="538">
        <v>3506995</v>
      </c>
      <c r="G2667" s="538">
        <v>45</v>
      </c>
    </row>
    <row r="2668" spans="1:7" x14ac:dyDescent="0.2">
      <c r="A2668" s="538">
        <v>4</v>
      </c>
      <c r="B2668" s="538" t="s">
        <v>6562</v>
      </c>
      <c r="C2668" s="538" t="s">
        <v>740</v>
      </c>
      <c r="D2668" s="538" t="s">
        <v>740</v>
      </c>
      <c r="E2668" s="538" t="s">
        <v>409</v>
      </c>
      <c r="F2668" s="538">
        <v>366036</v>
      </c>
      <c r="G2668" s="538">
        <v>22</v>
      </c>
    </row>
    <row r="2669" spans="1:7" x14ac:dyDescent="0.2">
      <c r="A2669" s="538">
        <v>7</v>
      </c>
      <c r="B2669" s="538" t="s">
        <v>6579</v>
      </c>
      <c r="C2669" s="538" t="s">
        <v>740</v>
      </c>
      <c r="D2669" s="538" t="s">
        <v>393</v>
      </c>
      <c r="E2669" s="538" t="s">
        <v>438</v>
      </c>
      <c r="F2669" s="538">
        <v>22656</v>
      </c>
      <c r="G2669" s="538">
        <v>2</v>
      </c>
    </row>
    <row r="2670" spans="1:7" x14ac:dyDescent="0.2">
      <c r="A2670" s="538">
        <v>8</v>
      </c>
      <c r="B2670" s="538" t="s">
        <v>6560</v>
      </c>
      <c r="C2670" s="538" t="s">
        <v>740</v>
      </c>
      <c r="D2670" s="538" t="s">
        <v>393</v>
      </c>
      <c r="E2670" s="538" t="s">
        <v>211</v>
      </c>
      <c r="F2670" s="538">
        <v>175588847</v>
      </c>
      <c r="G2670" s="538">
        <v>4329</v>
      </c>
    </row>
    <row r="2671" spans="1:7" x14ac:dyDescent="0.2">
      <c r="A2671" s="538">
        <v>3</v>
      </c>
      <c r="B2671" s="538" t="s">
        <v>6561</v>
      </c>
      <c r="C2671" s="538" t="s">
        <v>393</v>
      </c>
      <c r="D2671" s="538" t="s">
        <v>393</v>
      </c>
      <c r="E2671" s="538" t="s">
        <v>212</v>
      </c>
      <c r="F2671" s="538">
        <v>2819683</v>
      </c>
      <c r="G2671" s="538">
        <v>126</v>
      </c>
    </row>
    <row r="2672" spans="1:7" x14ac:dyDescent="0.2">
      <c r="A2672" s="538">
        <v>8</v>
      </c>
      <c r="B2672" s="538" t="s">
        <v>6577</v>
      </c>
      <c r="C2672" s="538" t="s">
        <v>740</v>
      </c>
      <c r="D2672" s="538" t="s">
        <v>740</v>
      </c>
      <c r="E2672" s="538" t="s">
        <v>402</v>
      </c>
      <c r="F2672" s="538">
        <v>207650596</v>
      </c>
      <c r="G2672" s="538">
        <v>8207</v>
      </c>
    </row>
    <row r="2673" spans="1:7" x14ac:dyDescent="0.2">
      <c r="A2673" s="538">
        <v>2</v>
      </c>
      <c r="B2673" s="538" t="s">
        <v>6654</v>
      </c>
      <c r="C2673" s="538" t="s">
        <v>740</v>
      </c>
      <c r="D2673" s="538" t="s">
        <v>393</v>
      </c>
      <c r="E2673" s="538" t="s">
        <v>438</v>
      </c>
      <c r="F2673" s="538">
        <v>2317836</v>
      </c>
      <c r="G2673" s="538">
        <v>27</v>
      </c>
    </row>
    <row r="2674" spans="1:7" x14ac:dyDescent="0.2">
      <c r="A2674" s="538">
        <v>7</v>
      </c>
      <c r="B2674" s="538" t="s">
        <v>6579</v>
      </c>
      <c r="C2674" s="538" t="s">
        <v>740</v>
      </c>
      <c r="D2674" s="538" t="s">
        <v>740</v>
      </c>
      <c r="E2674" s="538" t="s">
        <v>416</v>
      </c>
      <c r="F2674" s="538">
        <v>10488125</v>
      </c>
      <c r="G2674" s="538">
        <v>350</v>
      </c>
    </row>
    <row r="2675" spans="1:7" x14ac:dyDescent="0.2">
      <c r="A2675" s="538">
        <v>12</v>
      </c>
      <c r="B2675" s="538" t="s">
        <v>6616</v>
      </c>
      <c r="C2675" s="538" t="s">
        <v>740</v>
      </c>
      <c r="D2675" s="538" t="s">
        <v>393</v>
      </c>
      <c r="E2675" s="538" t="s">
        <v>390</v>
      </c>
      <c r="F2675" s="538">
        <v>7128571</v>
      </c>
      <c r="G2675" s="538">
        <v>282</v>
      </c>
    </row>
    <row r="2676" spans="1:7" x14ac:dyDescent="0.2">
      <c r="A2676" s="538">
        <v>7</v>
      </c>
      <c r="B2676" s="538" t="s">
        <v>6655</v>
      </c>
      <c r="C2676" s="538" t="s">
        <v>740</v>
      </c>
      <c r="D2676" s="538" t="s">
        <v>393</v>
      </c>
      <c r="E2676" s="538" t="s">
        <v>207</v>
      </c>
      <c r="F2676" s="538">
        <v>22656</v>
      </c>
      <c r="G2676" s="538">
        <v>2</v>
      </c>
    </row>
    <row r="2677" spans="1:7" x14ac:dyDescent="0.2">
      <c r="A2677" s="538">
        <v>5</v>
      </c>
      <c r="B2677" s="538" t="s">
        <v>6568</v>
      </c>
      <c r="C2677" s="538" t="s">
        <v>393</v>
      </c>
      <c r="D2677" s="538" t="s">
        <v>740</v>
      </c>
      <c r="E2677" s="538" t="s">
        <v>230</v>
      </c>
      <c r="F2677" s="538">
        <v>221250</v>
      </c>
      <c r="G2677" s="538">
        <v>5</v>
      </c>
    </row>
    <row r="2678" spans="1:7" x14ac:dyDescent="0.2">
      <c r="A2678" s="538">
        <v>9</v>
      </c>
      <c r="B2678" s="538" t="s">
        <v>6614</v>
      </c>
      <c r="C2678" s="538" t="s">
        <v>393</v>
      </c>
      <c r="D2678" s="538" t="s">
        <v>393</v>
      </c>
      <c r="E2678" s="538" t="s">
        <v>230</v>
      </c>
      <c r="F2678" s="538">
        <v>3077572</v>
      </c>
      <c r="G2678" s="538">
        <v>69</v>
      </c>
    </row>
    <row r="2679" spans="1:7" x14ac:dyDescent="0.2">
      <c r="A2679" s="538">
        <v>3</v>
      </c>
      <c r="B2679" s="538" t="s">
        <v>6578</v>
      </c>
      <c r="C2679" s="538" t="s">
        <v>740</v>
      </c>
      <c r="D2679" s="538" t="s">
        <v>393</v>
      </c>
      <c r="E2679" s="538" t="s">
        <v>230</v>
      </c>
      <c r="F2679" s="538">
        <v>108147</v>
      </c>
      <c r="G2679" s="538">
        <v>4</v>
      </c>
    </row>
    <row r="2680" spans="1:7" x14ac:dyDescent="0.2">
      <c r="A2680" s="538">
        <v>12</v>
      </c>
      <c r="B2680" s="538" t="s">
        <v>6563</v>
      </c>
      <c r="C2680" s="538" t="s">
        <v>740</v>
      </c>
      <c r="D2680" s="538" t="s">
        <v>740</v>
      </c>
      <c r="E2680" s="538" t="s">
        <v>449</v>
      </c>
      <c r="F2680" s="538">
        <v>5121693</v>
      </c>
      <c r="G2680" s="538">
        <v>256</v>
      </c>
    </row>
    <row r="2681" spans="1:7" x14ac:dyDescent="0.2">
      <c r="A2681" s="538">
        <v>9</v>
      </c>
      <c r="B2681" s="538" t="s">
        <v>6645</v>
      </c>
      <c r="C2681" s="538" t="s">
        <v>740</v>
      </c>
      <c r="D2681" s="538" t="s">
        <v>393</v>
      </c>
      <c r="E2681" s="538" t="s">
        <v>860</v>
      </c>
      <c r="F2681" s="538">
        <v>22656</v>
      </c>
      <c r="G2681" s="538">
        <v>2</v>
      </c>
    </row>
    <row r="2682" spans="1:7" x14ac:dyDescent="0.2">
      <c r="A2682" s="538">
        <v>3</v>
      </c>
      <c r="B2682" s="538" t="s">
        <v>6578</v>
      </c>
      <c r="C2682" s="538" t="s">
        <v>740</v>
      </c>
      <c r="D2682" s="538" t="s">
        <v>740</v>
      </c>
      <c r="E2682" s="538" t="s">
        <v>409</v>
      </c>
      <c r="F2682" s="538">
        <v>45312</v>
      </c>
      <c r="G2682" s="538">
        <v>4</v>
      </c>
    </row>
    <row r="2683" spans="1:7" x14ac:dyDescent="0.2">
      <c r="A2683" s="538">
        <v>4</v>
      </c>
      <c r="B2683" s="538" t="s">
        <v>6590</v>
      </c>
      <c r="C2683" s="538" t="s">
        <v>740</v>
      </c>
      <c r="D2683" s="538" t="s">
        <v>393</v>
      </c>
      <c r="E2683" s="538" t="s">
        <v>210</v>
      </c>
      <c r="F2683" s="538">
        <v>1095453</v>
      </c>
      <c r="G2683" s="538">
        <v>56</v>
      </c>
    </row>
    <row r="2684" spans="1:7" x14ac:dyDescent="0.2">
      <c r="A2684" s="538">
        <v>1</v>
      </c>
      <c r="B2684" s="538" t="s">
        <v>6609</v>
      </c>
      <c r="C2684" s="538" t="s">
        <v>393</v>
      </c>
      <c r="D2684" s="538" t="s">
        <v>393</v>
      </c>
      <c r="E2684" s="538" t="s">
        <v>401</v>
      </c>
      <c r="F2684" s="538">
        <v>192576</v>
      </c>
      <c r="G2684" s="538">
        <v>17</v>
      </c>
    </row>
    <row r="2685" spans="1:7" x14ac:dyDescent="0.2">
      <c r="A2685" s="538">
        <v>2</v>
      </c>
      <c r="B2685" s="538" t="s">
        <v>6576</v>
      </c>
      <c r="C2685" s="538" t="s">
        <v>740</v>
      </c>
      <c r="D2685" s="538" t="s">
        <v>740</v>
      </c>
      <c r="E2685" s="538" t="s">
        <v>390</v>
      </c>
      <c r="F2685" s="538">
        <v>574542</v>
      </c>
      <c r="G2685" s="538">
        <v>14</v>
      </c>
    </row>
    <row r="2686" spans="1:7" x14ac:dyDescent="0.2">
      <c r="A2686" s="538">
        <v>5</v>
      </c>
      <c r="B2686" s="538" t="s">
        <v>6650</v>
      </c>
      <c r="C2686" s="538" t="s">
        <v>740</v>
      </c>
      <c r="D2686" s="538" t="s">
        <v>393</v>
      </c>
      <c r="E2686" s="538" t="s">
        <v>416</v>
      </c>
      <c r="F2686" s="538">
        <v>12288007</v>
      </c>
      <c r="G2686" s="538">
        <v>299</v>
      </c>
    </row>
    <row r="2687" spans="1:7" x14ac:dyDescent="0.2">
      <c r="A2687" s="538">
        <v>10</v>
      </c>
      <c r="B2687" s="538" t="s">
        <v>6653</v>
      </c>
      <c r="C2687" s="538" t="s">
        <v>740</v>
      </c>
      <c r="D2687" s="538" t="s">
        <v>740</v>
      </c>
      <c r="E2687" s="538" t="s">
        <v>402</v>
      </c>
      <c r="F2687" s="538">
        <v>420198</v>
      </c>
      <c r="G2687" s="538">
        <v>26</v>
      </c>
    </row>
    <row r="2688" spans="1:7" x14ac:dyDescent="0.2">
      <c r="A2688" s="538">
        <v>5</v>
      </c>
      <c r="B2688" s="538" t="s">
        <v>6599</v>
      </c>
      <c r="C2688" s="538" t="s">
        <v>740</v>
      </c>
      <c r="D2688" s="538" t="s">
        <v>393</v>
      </c>
      <c r="E2688" s="538" t="s">
        <v>230</v>
      </c>
      <c r="F2688" s="538">
        <v>20366506</v>
      </c>
      <c r="G2688" s="538">
        <v>427</v>
      </c>
    </row>
    <row r="2689" spans="1:7" x14ac:dyDescent="0.2">
      <c r="A2689" s="538">
        <v>4</v>
      </c>
      <c r="B2689" s="538" t="s">
        <v>6590</v>
      </c>
      <c r="C2689" s="538" t="s">
        <v>740</v>
      </c>
      <c r="D2689" s="538" t="s">
        <v>740</v>
      </c>
      <c r="E2689" s="538" t="s">
        <v>402</v>
      </c>
      <c r="F2689" s="538">
        <v>79296</v>
      </c>
      <c r="G2689" s="538">
        <v>7</v>
      </c>
    </row>
    <row r="2690" spans="1:7" x14ac:dyDescent="0.2">
      <c r="A2690" s="538">
        <v>3</v>
      </c>
      <c r="B2690" s="538" t="s">
        <v>6647</v>
      </c>
      <c r="C2690" s="538" t="s">
        <v>740</v>
      </c>
      <c r="D2690" s="538" t="s">
        <v>740</v>
      </c>
      <c r="E2690" s="538" t="s">
        <v>416</v>
      </c>
      <c r="F2690" s="538">
        <v>1117703</v>
      </c>
      <c r="G2690" s="538">
        <v>31</v>
      </c>
    </row>
    <row r="2691" spans="1:7" x14ac:dyDescent="0.2">
      <c r="A2691" s="538">
        <v>10</v>
      </c>
      <c r="B2691" s="538" t="s">
        <v>6653</v>
      </c>
      <c r="C2691" s="538" t="s">
        <v>393</v>
      </c>
      <c r="D2691" s="538" t="s">
        <v>740</v>
      </c>
      <c r="E2691" s="538" t="s">
        <v>210</v>
      </c>
      <c r="F2691" s="538">
        <v>203727</v>
      </c>
      <c r="G2691" s="538">
        <v>9</v>
      </c>
    </row>
    <row r="2692" spans="1:7" x14ac:dyDescent="0.2">
      <c r="A2692" s="538">
        <v>6</v>
      </c>
      <c r="B2692" s="538" t="s">
        <v>6565</v>
      </c>
      <c r="C2692" s="538" t="s">
        <v>740</v>
      </c>
      <c r="D2692" s="538" t="s">
        <v>393</v>
      </c>
      <c r="E2692" s="538" t="s">
        <v>416</v>
      </c>
      <c r="F2692" s="538">
        <v>9206895</v>
      </c>
      <c r="G2692" s="538">
        <v>240</v>
      </c>
    </row>
    <row r="2693" spans="1:7" x14ac:dyDescent="0.2">
      <c r="A2693" s="538">
        <v>9</v>
      </c>
      <c r="B2693" s="538" t="s">
        <v>6644</v>
      </c>
      <c r="C2693" s="538" t="s">
        <v>740</v>
      </c>
      <c r="D2693" s="538" t="s">
        <v>393</v>
      </c>
      <c r="E2693" s="538" t="s">
        <v>402</v>
      </c>
      <c r="F2693" s="538">
        <v>13683860</v>
      </c>
      <c r="G2693" s="538">
        <v>570</v>
      </c>
    </row>
    <row r="2694" spans="1:7" x14ac:dyDescent="0.2">
      <c r="A2694" s="538">
        <v>1</v>
      </c>
      <c r="B2694" s="538" t="s">
        <v>6581</v>
      </c>
      <c r="C2694" s="538" t="s">
        <v>393</v>
      </c>
      <c r="D2694" s="538" t="s">
        <v>393</v>
      </c>
      <c r="E2694" s="538" t="s">
        <v>207</v>
      </c>
      <c r="F2694" s="538">
        <v>17021986</v>
      </c>
      <c r="G2694" s="538">
        <v>1172</v>
      </c>
    </row>
    <row r="2695" spans="1:7" x14ac:dyDescent="0.2">
      <c r="A2695" s="538">
        <v>6</v>
      </c>
      <c r="B2695" s="538" t="s">
        <v>6575</v>
      </c>
      <c r="C2695" s="538" t="s">
        <v>740</v>
      </c>
      <c r="D2695" s="538" t="s">
        <v>740</v>
      </c>
      <c r="E2695" s="538" t="s">
        <v>438</v>
      </c>
      <c r="F2695" s="538">
        <v>654848</v>
      </c>
      <c r="G2695" s="538">
        <v>6</v>
      </c>
    </row>
    <row r="2696" spans="1:7" x14ac:dyDescent="0.2">
      <c r="A2696" s="538">
        <v>3</v>
      </c>
      <c r="B2696" s="538" t="s">
        <v>6647</v>
      </c>
      <c r="C2696" s="538" t="s">
        <v>740</v>
      </c>
      <c r="D2696" s="538" t="s">
        <v>393</v>
      </c>
      <c r="E2696" s="538" t="s">
        <v>313</v>
      </c>
      <c r="F2696" s="538">
        <v>2355308</v>
      </c>
      <c r="G2696" s="538">
        <v>11</v>
      </c>
    </row>
    <row r="2697" spans="1:7" x14ac:dyDescent="0.2">
      <c r="A2697" s="538">
        <v>8</v>
      </c>
      <c r="B2697" s="538" t="s">
        <v>6577</v>
      </c>
      <c r="C2697" s="538" t="s">
        <v>740</v>
      </c>
      <c r="D2697" s="538" t="s">
        <v>393</v>
      </c>
      <c r="E2697" s="538" t="s">
        <v>402</v>
      </c>
      <c r="F2697" s="538">
        <v>6576154</v>
      </c>
      <c r="G2697" s="538">
        <v>358</v>
      </c>
    </row>
    <row r="2698" spans="1:7" x14ac:dyDescent="0.2">
      <c r="A2698" s="538">
        <v>5</v>
      </c>
      <c r="B2698" s="538" t="s">
        <v>6599</v>
      </c>
      <c r="C2698" s="538" t="s">
        <v>740</v>
      </c>
      <c r="D2698" s="538" t="s">
        <v>393</v>
      </c>
      <c r="E2698" s="538" t="s">
        <v>212</v>
      </c>
      <c r="F2698" s="538">
        <v>898452</v>
      </c>
      <c r="G2698" s="538">
        <v>69</v>
      </c>
    </row>
    <row r="2699" spans="1:7" x14ac:dyDescent="0.2">
      <c r="A2699" s="538">
        <v>7</v>
      </c>
      <c r="B2699" s="538" t="s">
        <v>6604</v>
      </c>
      <c r="C2699" s="538" t="s">
        <v>740</v>
      </c>
      <c r="D2699" s="538" t="s">
        <v>740</v>
      </c>
      <c r="E2699" s="538" t="s">
        <v>202</v>
      </c>
      <c r="F2699" s="538">
        <v>1122482</v>
      </c>
      <c r="G2699" s="538">
        <v>14</v>
      </c>
    </row>
    <row r="2700" spans="1:7" x14ac:dyDescent="0.2">
      <c r="A2700" s="538">
        <v>7</v>
      </c>
      <c r="B2700" s="538" t="s">
        <v>6564</v>
      </c>
      <c r="C2700" s="538" t="s">
        <v>740</v>
      </c>
      <c r="D2700" s="538" t="s">
        <v>740</v>
      </c>
      <c r="E2700" s="538" t="s">
        <v>860</v>
      </c>
      <c r="F2700" s="538">
        <v>124608</v>
      </c>
      <c r="G2700" s="538">
        <v>11</v>
      </c>
    </row>
    <row r="2701" spans="1:7" x14ac:dyDescent="0.2">
      <c r="A2701" s="538">
        <v>6</v>
      </c>
      <c r="B2701" s="538" t="s">
        <v>6607</v>
      </c>
      <c r="C2701" s="538" t="s">
        <v>740</v>
      </c>
      <c r="D2701" s="538" t="s">
        <v>393</v>
      </c>
      <c r="E2701" s="538" t="s">
        <v>210</v>
      </c>
      <c r="F2701" s="538">
        <v>90624</v>
      </c>
      <c r="G2701" s="538">
        <v>8</v>
      </c>
    </row>
    <row r="2702" spans="1:7" x14ac:dyDescent="0.2">
      <c r="A2702" s="538">
        <v>1</v>
      </c>
      <c r="B2702" s="538" t="s">
        <v>6649</v>
      </c>
      <c r="C2702" s="538" t="s">
        <v>740</v>
      </c>
      <c r="D2702" s="538" t="s">
        <v>393</v>
      </c>
      <c r="E2702" s="538" t="s">
        <v>207</v>
      </c>
      <c r="F2702" s="538">
        <v>621624</v>
      </c>
      <c r="G2702" s="538">
        <v>48</v>
      </c>
    </row>
    <row r="2703" spans="1:7" x14ac:dyDescent="0.2">
      <c r="A2703" s="538">
        <v>1</v>
      </c>
      <c r="B2703" s="538" t="s">
        <v>6602</v>
      </c>
      <c r="C2703" s="538" t="s">
        <v>393</v>
      </c>
      <c r="D2703" s="538" t="s">
        <v>740</v>
      </c>
      <c r="E2703" s="538" t="s">
        <v>212</v>
      </c>
      <c r="F2703" s="538">
        <v>124608</v>
      </c>
      <c r="G2703" s="538">
        <v>11</v>
      </c>
    </row>
    <row r="2704" spans="1:7" x14ac:dyDescent="0.2">
      <c r="A2704" s="538">
        <v>10</v>
      </c>
      <c r="B2704" s="538" t="s">
        <v>6582</v>
      </c>
      <c r="C2704" s="538" t="s">
        <v>740</v>
      </c>
      <c r="D2704" s="538" t="s">
        <v>393</v>
      </c>
      <c r="E2704" s="538" t="s">
        <v>212</v>
      </c>
      <c r="F2704" s="538">
        <v>106908</v>
      </c>
      <c r="G2704" s="538">
        <v>6</v>
      </c>
    </row>
    <row r="2705" spans="1:7" x14ac:dyDescent="0.2">
      <c r="A2705" s="538">
        <v>2</v>
      </c>
      <c r="B2705" s="538" t="s">
        <v>6585</v>
      </c>
      <c r="C2705" s="538" t="s">
        <v>393</v>
      </c>
      <c r="D2705" s="538" t="s">
        <v>393</v>
      </c>
      <c r="E2705" s="538" t="s">
        <v>202</v>
      </c>
      <c r="F2705" s="538">
        <v>6865133</v>
      </c>
      <c r="G2705" s="538">
        <v>51</v>
      </c>
    </row>
    <row r="2706" spans="1:7" x14ac:dyDescent="0.2">
      <c r="A2706" s="538">
        <v>2</v>
      </c>
      <c r="B2706" s="538" t="s">
        <v>6576</v>
      </c>
      <c r="C2706" s="538" t="s">
        <v>740</v>
      </c>
      <c r="D2706" s="538" t="s">
        <v>740</v>
      </c>
      <c r="E2706" s="538" t="s">
        <v>207</v>
      </c>
      <c r="F2706" s="538">
        <v>1371573</v>
      </c>
      <c r="G2706" s="538">
        <v>101</v>
      </c>
    </row>
    <row r="2707" spans="1:7" x14ac:dyDescent="0.2">
      <c r="A2707" s="538">
        <v>6</v>
      </c>
      <c r="B2707" s="538" t="s">
        <v>6596</v>
      </c>
      <c r="C2707" s="538" t="s">
        <v>740</v>
      </c>
      <c r="D2707" s="538" t="s">
        <v>393</v>
      </c>
      <c r="E2707" s="538" t="s">
        <v>211</v>
      </c>
      <c r="F2707" s="538">
        <v>5604976</v>
      </c>
      <c r="G2707" s="538">
        <v>87</v>
      </c>
    </row>
    <row r="2708" spans="1:7" x14ac:dyDescent="0.2">
      <c r="A2708" s="538">
        <v>8</v>
      </c>
      <c r="B2708" s="538" t="s">
        <v>6648</v>
      </c>
      <c r="C2708" s="538" t="s">
        <v>740</v>
      </c>
      <c r="D2708" s="538" t="s">
        <v>393</v>
      </c>
      <c r="E2708" s="538" t="s">
        <v>402</v>
      </c>
      <c r="F2708" s="538">
        <v>22656</v>
      </c>
      <c r="G2708" s="538">
        <v>2</v>
      </c>
    </row>
    <row r="2709" spans="1:7" x14ac:dyDescent="0.2">
      <c r="A2709" s="538">
        <v>8</v>
      </c>
      <c r="B2709" s="538" t="s">
        <v>6570</v>
      </c>
      <c r="C2709" s="538" t="s">
        <v>740</v>
      </c>
      <c r="D2709" s="538" t="s">
        <v>393</v>
      </c>
      <c r="E2709" s="538" t="s">
        <v>390</v>
      </c>
      <c r="F2709" s="538">
        <v>85933501</v>
      </c>
      <c r="G2709" s="538">
        <v>3682</v>
      </c>
    </row>
    <row r="2710" spans="1:7" x14ac:dyDescent="0.2">
      <c r="A2710" s="538">
        <v>3</v>
      </c>
      <c r="B2710" s="538" t="s">
        <v>6591</v>
      </c>
      <c r="C2710" s="538" t="s">
        <v>740</v>
      </c>
      <c r="D2710" s="538" t="s">
        <v>393</v>
      </c>
      <c r="E2710" s="538" t="s">
        <v>390</v>
      </c>
      <c r="F2710" s="538">
        <v>1854731</v>
      </c>
      <c r="G2710" s="538">
        <v>67</v>
      </c>
    </row>
    <row r="2711" spans="1:7" x14ac:dyDescent="0.2">
      <c r="A2711" s="538">
        <v>3</v>
      </c>
      <c r="B2711" s="538" t="s">
        <v>6591</v>
      </c>
      <c r="C2711" s="538" t="s">
        <v>393</v>
      </c>
      <c r="D2711" s="538" t="s">
        <v>740</v>
      </c>
      <c r="E2711" s="538" t="s">
        <v>449</v>
      </c>
      <c r="F2711" s="538">
        <v>1162713</v>
      </c>
      <c r="G2711" s="538">
        <v>86</v>
      </c>
    </row>
    <row r="2712" spans="1:7" x14ac:dyDescent="0.2">
      <c r="A2712" s="538">
        <v>3</v>
      </c>
      <c r="B2712" s="538" t="s">
        <v>6605</v>
      </c>
      <c r="C2712" s="538" t="s">
        <v>740</v>
      </c>
      <c r="D2712" s="538" t="s">
        <v>740</v>
      </c>
      <c r="E2712" s="538" t="s">
        <v>416</v>
      </c>
      <c r="F2712" s="538">
        <v>855264</v>
      </c>
      <c r="G2712" s="538">
        <v>43</v>
      </c>
    </row>
    <row r="2713" spans="1:7" x14ac:dyDescent="0.2">
      <c r="A2713" s="538">
        <v>3</v>
      </c>
      <c r="B2713" s="538" t="s">
        <v>6586</v>
      </c>
      <c r="C2713" s="538" t="s">
        <v>740</v>
      </c>
      <c r="D2713" s="538" t="s">
        <v>740</v>
      </c>
      <c r="E2713" s="538" t="s">
        <v>401</v>
      </c>
      <c r="F2713" s="538">
        <v>181248</v>
      </c>
      <c r="G2713" s="538">
        <v>16</v>
      </c>
    </row>
    <row r="2714" spans="1:7" x14ac:dyDescent="0.2">
      <c r="A2714" s="538">
        <v>3</v>
      </c>
      <c r="B2714" s="538" t="s">
        <v>6578</v>
      </c>
      <c r="C2714" s="538" t="s">
        <v>393</v>
      </c>
      <c r="D2714" s="538" t="s">
        <v>740</v>
      </c>
      <c r="E2714" s="538" t="s">
        <v>438</v>
      </c>
      <c r="F2714" s="538">
        <v>85491</v>
      </c>
      <c r="G2714" s="538">
        <v>2</v>
      </c>
    </row>
    <row r="2715" spans="1:7" x14ac:dyDescent="0.2">
      <c r="A2715" s="538">
        <v>4</v>
      </c>
      <c r="B2715" s="538" t="s">
        <v>6574</v>
      </c>
      <c r="C2715" s="538" t="s">
        <v>393</v>
      </c>
      <c r="D2715" s="538" t="s">
        <v>740</v>
      </c>
      <c r="E2715" s="538" t="s">
        <v>416</v>
      </c>
      <c r="F2715" s="538">
        <v>2294399</v>
      </c>
      <c r="G2715" s="538">
        <v>58</v>
      </c>
    </row>
    <row r="2716" spans="1:7" x14ac:dyDescent="0.2">
      <c r="A2716" s="538">
        <v>5</v>
      </c>
      <c r="B2716" s="538" t="s">
        <v>6650</v>
      </c>
      <c r="C2716" s="538" t="s">
        <v>393</v>
      </c>
      <c r="D2716" s="538" t="s">
        <v>393</v>
      </c>
      <c r="E2716" s="538" t="s">
        <v>207</v>
      </c>
      <c r="F2716" s="538">
        <v>7558504</v>
      </c>
      <c r="G2716" s="538">
        <v>473</v>
      </c>
    </row>
    <row r="2717" spans="1:7" x14ac:dyDescent="0.2">
      <c r="A2717" s="538">
        <v>9</v>
      </c>
      <c r="B2717" s="538" t="s">
        <v>6613</v>
      </c>
      <c r="C2717" s="538" t="s">
        <v>393</v>
      </c>
      <c r="D2717" s="538" t="s">
        <v>393</v>
      </c>
      <c r="E2717" s="538" t="s">
        <v>390</v>
      </c>
      <c r="F2717" s="538">
        <v>13049971</v>
      </c>
      <c r="G2717" s="538">
        <v>397</v>
      </c>
    </row>
    <row r="2718" spans="1:7" x14ac:dyDescent="0.2">
      <c r="A2718" s="538">
        <v>1</v>
      </c>
      <c r="B2718" s="538" t="s">
        <v>6609</v>
      </c>
      <c r="C2718" s="538" t="s">
        <v>393</v>
      </c>
      <c r="D2718" s="538" t="s">
        <v>393</v>
      </c>
      <c r="E2718" s="538" t="s">
        <v>390</v>
      </c>
      <c r="F2718" s="538">
        <v>6181111</v>
      </c>
      <c r="G2718" s="538">
        <v>117</v>
      </c>
    </row>
    <row r="2719" spans="1:7" x14ac:dyDescent="0.2">
      <c r="A2719" s="538">
        <v>11</v>
      </c>
      <c r="B2719" s="538" t="s">
        <v>6558</v>
      </c>
      <c r="C2719" s="538" t="s">
        <v>393</v>
      </c>
      <c r="D2719" s="538" t="s">
        <v>393</v>
      </c>
      <c r="E2719" s="538" t="s">
        <v>860</v>
      </c>
      <c r="F2719" s="538">
        <v>691893</v>
      </c>
      <c r="G2719" s="538">
        <v>41</v>
      </c>
    </row>
    <row r="2720" spans="1:7" x14ac:dyDescent="0.2">
      <c r="A2720" s="538">
        <v>2</v>
      </c>
      <c r="B2720" s="538" t="s">
        <v>6656</v>
      </c>
      <c r="C2720" s="538" t="s">
        <v>393</v>
      </c>
      <c r="D2720" s="538" t="s">
        <v>740</v>
      </c>
      <c r="E2720" s="538" t="s">
        <v>416</v>
      </c>
      <c r="F2720" s="538">
        <v>8071086</v>
      </c>
      <c r="G2720" s="538">
        <v>172</v>
      </c>
    </row>
    <row r="2721" spans="1:7" x14ac:dyDescent="0.2">
      <c r="A2721" s="538">
        <v>7</v>
      </c>
      <c r="B2721" s="538" t="s">
        <v>6661</v>
      </c>
      <c r="C2721" s="538" t="s">
        <v>740</v>
      </c>
      <c r="D2721" s="538" t="s">
        <v>393</v>
      </c>
      <c r="E2721" s="538" t="s">
        <v>860</v>
      </c>
      <c r="F2721" s="538">
        <v>182310</v>
      </c>
      <c r="G2721" s="538">
        <v>5</v>
      </c>
    </row>
    <row r="2722" spans="1:7" x14ac:dyDescent="0.2">
      <c r="A2722" s="538">
        <v>1</v>
      </c>
      <c r="B2722" s="538" t="s">
        <v>6602</v>
      </c>
      <c r="C2722" s="538" t="s">
        <v>393</v>
      </c>
      <c r="D2722" s="538" t="s">
        <v>393</v>
      </c>
      <c r="E2722" s="538" t="s">
        <v>402</v>
      </c>
      <c r="F2722" s="538">
        <v>6685405</v>
      </c>
      <c r="G2722" s="538">
        <v>130</v>
      </c>
    </row>
    <row r="2723" spans="1:7" x14ac:dyDescent="0.2">
      <c r="A2723" s="538">
        <v>3</v>
      </c>
      <c r="B2723" s="538" t="s">
        <v>1390</v>
      </c>
      <c r="C2723" s="538" t="s">
        <v>740</v>
      </c>
      <c r="D2723" s="538" t="s">
        <v>393</v>
      </c>
      <c r="E2723" s="538" t="s">
        <v>207</v>
      </c>
      <c r="F2723" s="538">
        <v>45312</v>
      </c>
      <c r="G2723" s="538">
        <v>4</v>
      </c>
    </row>
    <row r="2724" spans="1:7" x14ac:dyDescent="0.2">
      <c r="A2724" s="538">
        <v>8</v>
      </c>
      <c r="B2724" s="538" t="s">
        <v>6583</v>
      </c>
      <c r="C2724" s="538" t="s">
        <v>740</v>
      </c>
      <c r="D2724" s="538" t="s">
        <v>740</v>
      </c>
      <c r="E2724" s="538" t="s">
        <v>212</v>
      </c>
      <c r="F2724" s="538">
        <v>135936</v>
      </c>
      <c r="G2724" s="538">
        <v>12</v>
      </c>
    </row>
    <row r="2725" spans="1:7" x14ac:dyDescent="0.2">
      <c r="A2725" s="538">
        <v>9</v>
      </c>
      <c r="B2725" s="538" t="s">
        <v>6606</v>
      </c>
      <c r="C2725" s="538" t="s">
        <v>393</v>
      </c>
      <c r="D2725" s="538" t="s">
        <v>393</v>
      </c>
      <c r="E2725" s="538" t="s">
        <v>210</v>
      </c>
      <c r="F2725" s="538">
        <v>1695910</v>
      </c>
      <c r="G2725" s="538">
        <v>35</v>
      </c>
    </row>
    <row r="2726" spans="1:7" x14ac:dyDescent="0.2">
      <c r="A2726" s="538">
        <v>9</v>
      </c>
      <c r="B2726" s="538" t="s">
        <v>6615</v>
      </c>
      <c r="C2726" s="538" t="s">
        <v>740</v>
      </c>
      <c r="D2726" s="538" t="s">
        <v>393</v>
      </c>
      <c r="E2726" s="538" t="s">
        <v>202</v>
      </c>
      <c r="F2726" s="538">
        <v>632192</v>
      </c>
      <c r="G2726" s="538">
        <v>4</v>
      </c>
    </row>
    <row r="2727" spans="1:7" x14ac:dyDescent="0.2">
      <c r="A2727" s="538">
        <v>4</v>
      </c>
      <c r="B2727" s="538" t="s">
        <v>6590</v>
      </c>
      <c r="C2727" s="538" t="s">
        <v>740</v>
      </c>
      <c r="D2727" s="538" t="s">
        <v>393</v>
      </c>
      <c r="E2727" s="538" t="s">
        <v>449</v>
      </c>
      <c r="F2727" s="538">
        <v>1270756</v>
      </c>
      <c r="G2727" s="538">
        <v>12</v>
      </c>
    </row>
    <row r="2728" spans="1:7" x14ac:dyDescent="0.2">
      <c r="A2728" s="538">
        <v>9</v>
      </c>
      <c r="B2728" s="538" t="s">
        <v>6613</v>
      </c>
      <c r="C2728" s="538" t="s">
        <v>393</v>
      </c>
      <c r="D2728" s="538" t="s">
        <v>393</v>
      </c>
      <c r="E2728" s="538" t="s">
        <v>202</v>
      </c>
      <c r="F2728" s="538">
        <v>8457623</v>
      </c>
      <c r="G2728" s="538">
        <v>61</v>
      </c>
    </row>
    <row r="2729" spans="1:7" x14ac:dyDescent="0.2">
      <c r="A2729" s="538">
        <v>7</v>
      </c>
      <c r="B2729" s="538" t="s">
        <v>6594</v>
      </c>
      <c r="C2729" s="538" t="s">
        <v>393</v>
      </c>
      <c r="D2729" s="538" t="s">
        <v>740</v>
      </c>
      <c r="E2729" s="538" t="s">
        <v>207</v>
      </c>
      <c r="F2729" s="538">
        <v>1683270</v>
      </c>
      <c r="G2729" s="538">
        <v>105</v>
      </c>
    </row>
    <row r="2730" spans="1:7" x14ac:dyDescent="0.2">
      <c r="A2730" s="538">
        <v>7</v>
      </c>
      <c r="B2730" s="538" t="s">
        <v>6604</v>
      </c>
      <c r="C2730" s="538" t="s">
        <v>740</v>
      </c>
      <c r="D2730" s="538" t="s">
        <v>393</v>
      </c>
      <c r="E2730" s="538" t="s">
        <v>211</v>
      </c>
      <c r="F2730" s="538">
        <v>1523793</v>
      </c>
      <c r="G2730" s="538">
        <v>46</v>
      </c>
    </row>
    <row r="2731" spans="1:7" x14ac:dyDescent="0.2">
      <c r="A2731" s="538">
        <v>9</v>
      </c>
      <c r="B2731" s="538" t="s">
        <v>6615</v>
      </c>
      <c r="C2731" s="538" t="s">
        <v>393</v>
      </c>
      <c r="D2731" s="538" t="s">
        <v>740</v>
      </c>
      <c r="E2731" s="538" t="s">
        <v>416</v>
      </c>
      <c r="F2731" s="538">
        <v>5021386</v>
      </c>
      <c r="G2731" s="538">
        <v>127</v>
      </c>
    </row>
    <row r="2732" spans="1:7" x14ac:dyDescent="0.2">
      <c r="A2732" s="538">
        <v>3</v>
      </c>
      <c r="B2732" s="538" t="s">
        <v>6561</v>
      </c>
      <c r="C2732" s="538" t="s">
        <v>740</v>
      </c>
      <c r="D2732" s="538" t="s">
        <v>393</v>
      </c>
      <c r="E2732" s="538" t="s">
        <v>209</v>
      </c>
      <c r="F2732" s="538">
        <v>7925613</v>
      </c>
      <c r="G2732" s="538">
        <v>46</v>
      </c>
    </row>
    <row r="2733" spans="1:7" x14ac:dyDescent="0.2">
      <c r="A2733" s="538">
        <v>3</v>
      </c>
      <c r="B2733" s="538" t="s">
        <v>1390</v>
      </c>
      <c r="C2733" s="538" t="s">
        <v>393</v>
      </c>
      <c r="D2733" s="538" t="s">
        <v>740</v>
      </c>
      <c r="E2733" s="538" t="s">
        <v>401</v>
      </c>
      <c r="F2733" s="538">
        <v>140892</v>
      </c>
      <c r="G2733" s="538">
        <v>9</v>
      </c>
    </row>
    <row r="2734" spans="1:7" x14ac:dyDescent="0.2">
      <c r="A2734" s="538">
        <v>3</v>
      </c>
      <c r="B2734" s="538" t="s">
        <v>6647</v>
      </c>
      <c r="C2734" s="538" t="s">
        <v>740</v>
      </c>
      <c r="D2734" s="538" t="s">
        <v>393</v>
      </c>
      <c r="E2734" s="538" t="s">
        <v>212</v>
      </c>
      <c r="F2734" s="538">
        <v>1097400</v>
      </c>
      <c r="G2734" s="538">
        <v>90</v>
      </c>
    </row>
    <row r="2735" spans="1:7" x14ac:dyDescent="0.2">
      <c r="A2735" s="538">
        <v>3</v>
      </c>
      <c r="B2735" s="538" t="s">
        <v>1390</v>
      </c>
      <c r="C2735" s="538" t="s">
        <v>740</v>
      </c>
      <c r="D2735" s="538" t="s">
        <v>393</v>
      </c>
      <c r="E2735" s="538" t="s">
        <v>860</v>
      </c>
      <c r="F2735" s="538">
        <v>391170</v>
      </c>
      <c r="G2735" s="538">
        <v>20</v>
      </c>
    </row>
    <row r="2736" spans="1:7" x14ac:dyDescent="0.2">
      <c r="A2736" s="538">
        <v>6</v>
      </c>
      <c r="B2736" s="538" t="s">
        <v>6565</v>
      </c>
      <c r="C2736" s="538" t="s">
        <v>740</v>
      </c>
      <c r="D2736" s="538" t="s">
        <v>393</v>
      </c>
      <c r="E2736" s="538" t="s">
        <v>416</v>
      </c>
      <c r="F2736" s="538">
        <v>2523385</v>
      </c>
      <c r="G2736" s="538">
        <v>70</v>
      </c>
    </row>
    <row r="2737" spans="1:7" x14ac:dyDescent="0.2">
      <c r="A2737" s="538">
        <v>4</v>
      </c>
      <c r="B2737" s="538" t="s">
        <v>6562</v>
      </c>
      <c r="C2737" s="538" t="s">
        <v>740</v>
      </c>
      <c r="D2737" s="538" t="s">
        <v>740</v>
      </c>
      <c r="E2737" s="538" t="s">
        <v>402</v>
      </c>
      <c r="F2737" s="538">
        <v>2794247</v>
      </c>
      <c r="G2737" s="538">
        <v>114</v>
      </c>
    </row>
    <row r="2738" spans="1:7" x14ac:dyDescent="0.2">
      <c r="A2738" s="538">
        <v>2</v>
      </c>
      <c r="B2738" s="538" t="s">
        <v>6573</v>
      </c>
      <c r="C2738" s="538" t="s">
        <v>740</v>
      </c>
      <c r="D2738" s="538" t="s">
        <v>393</v>
      </c>
      <c r="E2738" s="538" t="s">
        <v>210</v>
      </c>
      <c r="F2738" s="538">
        <v>169920</v>
      </c>
      <c r="G2738" s="538">
        <v>15</v>
      </c>
    </row>
    <row r="2739" spans="1:7" x14ac:dyDescent="0.2">
      <c r="A2739" s="538">
        <v>1</v>
      </c>
      <c r="B2739" s="538" t="s">
        <v>6602</v>
      </c>
      <c r="C2739" s="538" t="s">
        <v>740</v>
      </c>
      <c r="D2739" s="538" t="s">
        <v>393</v>
      </c>
      <c r="E2739" s="538" t="s">
        <v>207</v>
      </c>
      <c r="F2739" s="538">
        <v>5851797</v>
      </c>
      <c r="G2739" s="538">
        <v>464</v>
      </c>
    </row>
    <row r="2740" spans="1:7" x14ac:dyDescent="0.2">
      <c r="A2740" s="538">
        <v>8</v>
      </c>
      <c r="B2740" s="538" t="s">
        <v>6560</v>
      </c>
      <c r="C2740" s="538" t="s">
        <v>740</v>
      </c>
      <c r="D2740" s="538" t="s">
        <v>740</v>
      </c>
      <c r="E2740" s="538" t="s">
        <v>212</v>
      </c>
      <c r="F2740" s="538">
        <v>351168</v>
      </c>
      <c r="G2740" s="538">
        <v>31</v>
      </c>
    </row>
    <row r="2741" spans="1:7" x14ac:dyDescent="0.2">
      <c r="A2741" s="538">
        <v>4</v>
      </c>
      <c r="B2741" s="538" t="s">
        <v>6562</v>
      </c>
      <c r="C2741" s="538" t="s">
        <v>393</v>
      </c>
      <c r="D2741" s="538" t="s">
        <v>740</v>
      </c>
      <c r="E2741" s="538" t="s">
        <v>230</v>
      </c>
      <c r="F2741" s="538">
        <v>159654</v>
      </c>
      <c r="G2741" s="538">
        <v>3</v>
      </c>
    </row>
    <row r="2742" spans="1:7" x14ac:dyDescent="0.2">
      <c r="A2742" s="538">
        <v>7</v>
      </c>
      <c r="B2742" s="538" t="s">
        <v>6594</v>
      </c>
      <c r="C2742" s="538" t="s">
        <v>740</v>
      </c>
      <c r="D2742" s="538" t="s">
        <v>740</v>
      </c>
      <c r="E2742" s="538" t="s">
        <v>416</v>
      </c>
      <c r="F2742" s="538">
        <v>5649861</v>
      </c>
      <c r="G2742" s="538">
        <v>207</v>
      </c>
    </row>
    <row r="2743" spans="1:7" x14ac:dyDescent="0.2">
      <c r="A2743" s="538">
        <v>11</v>
      </c>
      <c r="B2743" s="538" t="s">
        <v>6584</v>
      </c>
      <c r="C2743" s="538" t="s">
        <v>393</v>
      </c>
      <c r="D2743" s="538" t="s">
        <v>740</v>
      </c>
      <c r="E2743" s="538" t="s">
        <v>211</v>
      </c>
      <c r="F2743" s="538">
        <v>570596</v>
      </c>
      <c r="G2743" s="538">
        <v>2</v>
      </c>
    </row>
    <row r="2744" spans="1:7" x14ac:dyDescent="0.2">
      <c r="A2744" s="538">
        <v>10</v>
      </c>
      <c r="B2744" s="538" t="s">
        <v>6653</v>
      </c>
      <c r="C2744" s="538" t="s">
        <v>740</v>
      </c>
      <c r="D2744" s="538" t="s">
        <v>393</v>
      </c>
      <c r="E2744" s="538" t="s">
        <v>438</v>
      </c>
      <c r="F2744" s="538">
        <v>992866</v>
      </c>
      <c r="G2744" s="538">
        <v>2</v>
      </c>
    </row>
    <row r="2745" spans="1:7" x14ac:dyDescent="0.2">
      <c r="A2745" s="538">
        <v>7</v>
      </c>
      <c r="B2745" s="538" t="s">
        <v>6564</v>
      </c>
      <c r="C2745" s="538" t="s">
        <v>740</v>
      </c>
      <c r="D2745" s="538" t="s">
        <v>393</v>
      </c>
      <c r="E2745" s="538" t="s">
        <v>409</v>
      </c>
      <c r="F2745" s="538">
        <v>153459</v>
      </c>
      <c r="G2745" s="538">
        <v>8</v>
      </c>
    </row>
    <row r="2746" spans="1:7" x14ac:dyDescent="0.2">
      <c r="A2746" s="538">
        <v>2</v>
      </c>
      <c r="B2746" s="538" t="s">
        <v>6608</v>
      </c>
      <c r="C2746" s="538" t="s">
        <v>740</v>
      </c>
      <c r="D2746" s="538" t="s">
        <v>393</v>
      </c>
      <c r="E2746" s="538" t="s">
        <v>409</v>
      </c>
      <c r="F2746" s="538">
        <v>84252</v>
      </c>
      <c r="G2746" s="538">
        <v>4</v>
      </c>
    </row>
    <row r="2747" spans="1:7" x14ac:dyDescent="0.2">
      <c r="A2747" s="538">
        <v>3</v>
      </c>
      <c r="B2747" s="538" t="s">
        <v>1390</v>
      </c>
      <c r="C2747" s="538" t="s">
        <v>393</v>
      </c>
      <c r="D2747" s="538" t="s">
        <v>740</v>
      </c>
      <c r="E2747" s="538" t="s">
        <v>212</v>
      </c>
      <c r="F2747" s="538">
        <v>197532</v>
      </c>
      <c r="G2747" s="538">
        <v>14</v>
      </c>
    </row>
    <row r="2748" spans="1:7" x14ac:dyDescent="0.2">
      <c r="A2748" s="538">
        <v>1</v>
      </c>
      <c r="B2748" s="538" t="s">
        <v>6646</v>
      </c>
      <c r="C2748" s="538" t="s">
        <v>393</v>
      </c>
      <c r="D2748" s="538" t="s">
        <v>393</v>
      </c>
      <c r="E2748" s="538" t="s">
        <v>207</v>
      </c>
      <c r="F2748" s="538">
        <v>12669931</v>
      </c>
      <c r="G2748" s="538">
        <v>782</v>
      </c>
    </row>
    <row r="2749" spans="1:7" x14ac:dyDescent="0.2">
      <c r="A2749" s="538">
        <v>1</v>
      </c>
      <c r="B2749" s="538" t="s">
        <v>6609</v>
      </c>
      <c r="C2749" s="538" t="s">
        <v>393</v>
      </c>
      <c r="D2749" s="538" t="s">
        <v>393</v>
      </c>
      <c r="E2749" s="538" t="s">
        <v>230</v>
      </c>
      <c r="F2749" s="538">
        <v>3187739</v>
      </c>
      <c r="G2749" s="538">
        <v>43</v>
      </c>
    </row>
    <row r="2750" spans="1:7" x14ac:dyDescent="0.2">
      <c r="A2750" s="538">
        <v>11</v>
      </c>
      <c r="B2750" s="538" t="s">
        <v>6659</v>
      </c>
      <c r="C2750" s="538" t="s">
        <v>393</v>
      </c>
      <c r="D2750" s="538" t="s">
        <v>393</v>
      </c>
      <c r="E2750" s="538" t="s">
        <v>449</v>
      </c>
      <c r="F2750" s="538">
        <v>147264</v>
      </c>
      <c r="G2750" s="538">
        <v>13</v>
      </c>
    </row>
    <row r="2751" spans="1:7" x14ac:dyDescent="0.2">
      <c r="A2751" s="538">
        <v>7</v>
      </c>
      <c r="B2751" s="538" t="s">
        <v>6604</v>
      </c>
      <c r="C2751" s="538" t="s">
        <v>740</v>
      </c>
      <c r="D2751" s="538" t="s">
        <v>740</v>
      </c>
      <c r="E2751" s="538" t="s">
        <v>449</v>
      </c>
      <c r="F2751" s="538">
        <v>11328</v>
      </c>
      <c r="G2751" s="538">
        <v>1</v>
      </c>
    </row>
    <row r="2752" spans="1:7" x14ac:dyDescent="0.2">
      <c r="A2752" s="538">
        <v>11</v>
      </c>
      <c r="B2752" s="538" t="s">
        <v>6592</v>
      </c>
      <c r="C2752" s="538" t="s">
        <v>393</v>
      </c>
      <c r="D2752" s="538" t="s">
        <v>393</v>
      </c>
      <c r="E2752" s="538" t="s">
        <v>230</v>
      </c>
      <c r="F2752" s="538">
        <v>4165966</v>
      </c>
      <c r="G2752" s="538">
        <v>72</v>
      </c>
    </row>
    <row r="2753" spans="1:7" x14ac:dyDescent="0.2">
      <c r="A2753" s="538">
        <v>10</v>
      </c>
      <c r="B2753" s="538" t="s">
        <v>6611</v>
      </c>
      <c r="C2753" s="538" t="s">
        <v>740</v>
      </c>
      <c r="D2753" s="538" t="s">
        <v>393</v>
      </c>
      <c r="E2753" s="538" t="s">
        <v>202</v>
      </c>
      <c r="F2753" s="538">
        <v>159654</v>
      </c>
      <c r="G2753" s="538">
        <v>3</v>
      </c>
    </row>
    <row r="2754" spans="1:7" x14ac:dyDescent="0.2">
      <c r="A2754" s="538">
        <v>3</v>
      </c>
      <c r="B2754" s="538" t="s">
        <v>6603</v>
      </c>
      <c r="C2754" s="538" t="s">
        <v>740</v>
      </c>
      <c r="D2754" s="538" t="s">
        <v>393</v>
      </c>
      <c r="E2754" s="538" t="s">
        <v>438</v>
      </c>
      <c r="F2754" s="538">
        <v>148326</v>
      </c>
      <c r="G2754" s="538">
        <v>2</v>
      </c>
    </row>
    <row r="2755" spans="1:7" x14ac:dyDescent="0.2">
      <c r="A2755" s="538">
        <v>5</v>
      </c>
      <c r="B2755" s="538" t="s">
        <v>6599</v>
      </c>
      <c r="C2755" s="538" t="s">
        <v>393</v>
      </c>
      <c r="D2755" s="538" t="s">
        <v>393</v>
      </c>
      <c r="E2755" s="538" t="s">
        <v>416</v>
      </c>
      <c r="F2755" s="538">
        <v>61598618</v>
      </c>
      <c r="G2755" s="538">
        <v>836</v>
      </c>
    </row>
    <row r="2756" spans="1:7" x14ac:dyDescent="0.2">
      <c r="A2756" s="538">
        <v>4</v>
      </c>
      <c r="B2756" s="538" t="s">
        <v>6572</v>
      </c>
      <c r="C2756" s="538" t="s">
        <v>740</v>
      </c>
      <c r="D2756" s="538" t="s">
        <v>393</v>
      </c>
      <c r="E2756" s="538" t="s">
        <v>209</v>
      </c>
      <c r="F2756" s="538">
        <v>496433</v>
      </c>
      <c r="G2756" s="538">
        <v>1</v>
      </c>
    </row>
    <row r="2757" spans="1:7" x14ac:dyDescent="0.2">
      <c r="A2757" s="538">
        <v>11</v>
      </c>
      <c r="B2757" s="538" t="s">
        <v>6584</v>
      </c>
      <c r="C2757" s="538" t="s">
        <v>740</v>
      </c>
      <c r="D2757" s="538" t="s">
        <v>393</v>
      </c>
      <c r="E2757" s="538" t="s">
        <v>210</v>
      </c>
      <c r="F2757" s="538">
        <v>2049962</v>
      </c>
      <c r="G2757" s="538">
        <v>94</v>
      </c>
    </row>
    <row r="2758" spans="1:7" x14ac:dyDescent="0.2">
      <c r="A2758" s="538">
        <v>6</v>
      </c>
      <c r="B2758" s="538" t="s">
        <v>6429</v>
      </c>
      <c r="C2758" s="538" t="s">
        <v>740</v>
      </c>
      <c r="D2758" s="538" t="s">
        <v>393</v>
      </c>
      <c r="E2758" s="538" t="s">
        <v>209</v>
      </c>
      <c r="F2758" s="538">
        <v>74163</v>
      </c>
      <c r="G2758" s="538">
        <v>1</v>
      </c>
    </row>
    <row r="2759" spans="1:7" x14ac:dyDescent="0.2">
      <c r="A2759" s="538">
        <v>1</v>
      </c>
      <c r="B2759" s="538" t="s">
        <v>6646</v>
      </c>
      <c r="C2759" s="538" t="s">
        <v>740</v>
      </c>
      <c r="D2759" s="538" t="s">
        <v>393</v>
      </c>
      <c r="E2759" s="538" t="s">
        <v>207</v>
      </c>
      <c r="F2759" s="538">
        <v>11328</v>
      </c>
      <c r="G2759" s="538">
        <v>1</v>
      </c>
    </row>
    <row r="2760" spans="1:7" x14ac:dyDescent="0.2">
      <c r="A2760" s="538">
        <v>7</v>
      </c>
      <c r="B2760" s="538" t="s">
        <v>6655</v>
      </c>
      <c r="C2760" s="538" t="s">
        <v>393</v>
      </c>
      <c r="D2760" s="538" t="s">
        <v>740</v>
      </c>
      <c r="E2760" s="538" t="s">
        <v>402</v>
      </c>
      <c r="F2760" s="538">
        <v>496433</v>
      </c>
      <c r="G2760" s="538">
        <v>1</v>
      </c>
    </row>
    <row r="2761" spans="1:7" x14ac:dyDescent="0.2">
      <c r="A2761" s="538">
        <v>8</v>
      </c>
      <c r="B2761" s="538" t="s">
        <v>6567</v>
      </c>
      <c r="C2761" s="538" t="s">
        <v>740</v>
      </c>
      <c r="D2761" s="538" t="s">
        <v>393</v>
      </c>
      <c r="E2761" s="538" t="s">
        <v>860</v>
      </c>
      <c r="F2761" s="538">
        <v>11328</v>
      </c>
      <c r="G2761" s="538">
        <v>1</v>
      </c>
    </row>
    <row r="2762" spans="1:7" x14ac:dyDescent="0.2">
      <c r="A2762" s="538">
        <v>2</v>
      </c>
      <c r="B2762" s="538" t="s">
        <v>6654</v>
      </c>
      <c r="C2762" s="538" t="s">
        <v>393</v>
      </c>
      <c r="D2762" s="538" t="s">
        <v>393</v>
      </c>
      <c r="E2762" s="538" t="s">
        <v>860</v>
      </c>
      <c r="F2762" s="538">
        <v>1167742</v>
      </c>
      <c r="G2762" s="538">
        <v>14</v>
      </c>
    </row>
    <row r="2763" spans="1:7" x14ac:dyDescent="0.2">
      <c r="A2763" s="538">
        <v>6</v>
      </c>
      <c r="B2763" s="538" t="s">
        <v>6565</v>
      </c>
      <c r="C2763" s="538" t="s">
        <v>740</v>
      </c>
      <c r="D2763" s="538" t="s">
        <v>393</v>
      </c>
      <c r="E2763" s="538" t="s">
        <v>210</v>
      </c>
      <c r="F2763" s="538">
        <v>2691587</v>
      </c>
      <c r="G2763" s="538">
        <v>134</v>
      </c>
    </row>
    <row r="2764" spans="1:7" x14ac:dyDescent="0.2">
      <c r="A2764" s="538">
        <v>3</v>
      </c>
      <c r="B2764" s="538" t="s">
        <v>6603</v>
      </c>
      <c r="C2764" s="538" t="s">
        <v>393</v>
      </c>
      <c r="D2764" s="538" t="s">
        <v>393</v>
      </c>
      <c r="E2764" s="538" t="s">
        <v>313</v>
      </c>
      <c r="F2764" s="538">
        <v>570596</v>
      </c>
      <c r="G2764" s="538">
        <v>2</v>
      </c>
    </row>
    <row r="2765" spans="1:7" x14ac:dyDescent="0.2">
      <c r="A2765" s="538">
        <v>2</v>
      </c>
      <c r="B2765" s="538" t="s">
        <v>6573</v>
      </c>
      <c r="C2765" s="538" t="s">
        <v>740</v>
      </c>
      <c r="D2765" s="538" t="s">
        <v>393</v>
      </c>
      <c r="E2765" s="538" t="s">
        <v>313</v>
      </c>
      <c r="F2765" s="538">
        <v>100536</v>
      </c>
      <c r="G2765" s="538">
        <v>2</v>
      </c>
    </row>
    <row r="2766" spans="1:7" x14ac:dyDescent="0.2">
      <c r="A2766" s="538">
        <v>6</v>
      </c>
      <c r="B2766" s="538" t="s">
        <v>6565</v>
      </c>
      <c r="C2766" s="538" t="s">
        <v>740</v>
      </c>
      <c r="D2766" s="538" t="s">
        <v>393</v>
      </c>
      <c r="E2766" s="538" t="s">
        <v>390</v>
      </c>
      <c r="F2766" s="538">
        <v>3286838</v>
      </c>
      <c r="G2766" s="538">
        <v>116</v>
      </c>
    </row>
    <row r="2767" spans="1:7" x14ac:dyDescent="0.2">
      <c r="A2767" s="538">
        <v>4</v>
      </c>
      <c r="B2767" s="538" t="s">
        <v>6593</v>
      </c>
      <c r="C2767" s="538" t="s">
        <v>393</v>
      </c>
      <c r="D2767" s="538" t="s">
        <v>393</v>
      </c>
      <c r="E2767" s="538" t="s">
        <v>449</v>
      </c>
      <c r="F2767" s="538">
        <v>181248</v>
      </c>
      <c r="G2767" s="538">
        <v>16</v>
      </c>
    </row>
    <row r="2768" spans="1:7" x14ac:dyDescent="0.2">
      <c r="A2768" s="538">
        <v>3</v>
      </c>
      <c r="B2768" s="538" t="s">
        <v>6586</v>
      </c>
      <c r="C2768" s="538" t="s">
        <v>740</v>
      </c>
      <c r="D2768" s="538" t="s">
        <v>393</v>
      </c>
      <c r="E2768" s="538" t="s">
        <v>313</v>
      </c>
      <c r="F2768" s="538">
        <v>11328</v>
      </c>
      <c r="G2768" s="538">
        <v>1</v>
      </c>
    </row>
    <row r="2769" spans="1:7" x14ac:dyDescent="0.2">
      <c r="A2769" s="538">
        <v>7</v>
      </c>
      <c r="B2769" s="538" t="s">
        <v>6594</v>
      </c>
      <c r="C2769" s="538" t="s">
        <v>393</v>
      </c>
      <c r="D2769" s="538" t="s">
        <v>740</v>
      </c>
      <c r="E2769" s="538" t="s">
        <v>401</v>
      </c>
      <c r="F2769" s="538">
        <v>152220</v>
      </c>
      <c r="G2769" s="538">
        <v>10</v>
      </c>
    </row>
    <row r="2770" spans="1:7" x14ac:dyDescent="0.2">
      <c r="A2770" s="538">
        <v>10</v>
      </c>
      <c r="B2770" s="538" t="s">
        <v>6652</v>
      </c>
      <c r="C2770" s="538" t="s">
        <v>393</v>
      </c>
      <c r="D2770" s="538" t="s">
        <v>393</v>
      </c>
      <c r="E2770" s="538" t="s">
        <v>212</v>
      </c>
      <c r="F2770" s="538">
        <v>79296</v>
      </c>
      <c r="G2770" s="538">
        <v>7</v>
      </c>
    </row>
    <row r="2771" spans="1:7" x14ac:dyDescent="0.2">
      <c r="A2771" s="538">
        <v>5</v>
      </c>
      <c r="B2771" s="538" t="s">
        <v>6599</v>
      </c>
      <c r="C2771" s="538" t="s">
        <v>740</v>
      </c>
      <c r="D2771" s="538" t="s">
        <v>393</v>
      </c>
      <c r="E2771" s="538" t="s">
        <v>449</v>
      </c>
      <c r="F2771" s="538">
        <v>11328</v>
      </c>
      <c r="G2771" s="538">
        <v>1</v>
      </c>
    </row>
    <row r="2772" spans="1:7" x14ac:dyDescent="0.2">
      <c r="A2772" s="538">
        <v>11</v>
      </c>
      <c r="B2772" s="538" t="s">
        <v>6592</v>
      </c>
      <c r="C2772" s="538" t="s">
        <v>740</v>
      </c>
      <c r="D2772" s="538" t="s">
        <v>740</v>
      </c>
      <c r="E2772" s="538" t="s">
        <v>402</v>
      </c>
      <c r="F2772" s="538">
        <v>5426310</v>
      </c>
      <c r="G2772" s="538">
        <v>215</v>
      </c>
    </row>
    <row r="2773" spans="1:7" x14ac:dyDescent="0.2">
      <c r="A2773" s="538">
        <v>3</v>
      </c>
      <c r="B2773" s="538" t="s">
        <v>6603</v>
      </c>
      <c r="C2773" s="538" t="s">
        <v>740</v>
      </c>
      <c r="D2773" s="538" t="s">
        <v>393</v>
      </c>
      <c r="E2773" s="538" t="s">
        <v>210</v>
      </c>
      <c r="F2773" s="538">
        <v>2007784</v>
      </c>
      <c r="G2773" s="538">
        <v>48</v>
      </c>
    </row>
    <row r="2774" spans="1:7" x14ac:dyDescent="0.2">
      <c r="A2774" s="538">
        <v>3</v>
      </c>
      <c r="B2774" s="538" t="s">
        <v>6578</v>
      </c>
      <c r="C2774" s="538" t="s">
        <v>740</v>
      </c>
      <c r="D2774" s="538" t="s">
        <v>393</v>
      </c>
      <c r="E2774" s="538" t="s">
        <v>210</v>
      </c>
      <c r="F2774" s="538">
        <v>33984</v>
      </c>
      <c r="G2774" s="538">
        <v>3</v>
      </c>
    </row>
    <row r="2775" spans="1:7" x14ac:dyDescent="0.2">
      <c r="A2775" s="538">
        <v>3</v>
      </c>
      <c r="B2775" s="538" t="s">
        <v>6603</v>
      </c>
      <c r="C2775" s="538" t="s">
        <v>740</v>
      </c>
      <c r="D2775" s="538" t="s">
        <v>393</v>
      </c>
      <c r="E2775" s="538" t="s">
        <v>207</v>
      </c>
      <c r="F2775" s="538">
        <v>2241351</v>
      </c>
      <c r="G2775" s="538">
        <v>182</v>
      </c>
    </row>
    <row r="2776" spans="1:7" x14ac:dyDescent="0.2">
      <c r="A2776" s="538">
        <v>5</v>
      </c>
      <c r="B2776" s="538" t="s">
        <v>6568</v>
      </c>
      <c r="C2776" s="538" t="s">
        <v>740</v>
      </c>
      <c r="D2776" s="538" t="s">
        <v>740</v>
      </c>
      <c r="E2776" s="538" t="s">
        <v>402</v>
      </c>
      <c r="F2776" s="538">
        <v>11328</v>
      </c>
      <c r="G2776" s="538">
        <v>1</v>
      </c>
    </row>
    <row r="2777" spans="1:7" x14ac:dyDescent="0.2">
      <c r="A2777" s="538">
        <v>5</v>
      </c>
      <c r="B2777" s="538" t="s">
        <v>6568</v>
      </c>
      <c r="C2777" s="538" t="s">
        <v>740</v>
      </c>
      <c r="D2777" s="538" t="s">
        <v>393</v>
      </c>
      <c r="E2777" s="538" t="s">
        <v>402</v>
      </c>
      <c r="F2777" s="538">
        <v>7397455</v>
      </c>
      <c r="G2777" s="538">
        <v>250</v>
      </c>
    </row>
    <row r="2778" spans="1:7" x14ac:dyDescent="0.2">
      <c r="A2778" s="538">
        <v>8</v>
      </c>
      <c r="B2778" s="538" t="s">
        <v>6567</v>
      </c>
      <c r="C2778" s="538" t="s">
        <v>740</v>
      </c>
      <c r="D2778" s="538" t="s">
        <v>740</v>
      </c>
      <c r="E2778" s="538" t="s">
        <v>390</v>
      </c>
      <c r="F2778" s="538">
        <v>12611115</v>
      </c>
      <c r="G2778" s="538">
        <v>405</v>
      </c>
    </row>
    <row r="2779" spans="1:7" x14ac:dyDescent="0.2">
      <c r="A2779" s="538">
        <v>3</v>
      </c>
      <c r="B2779" s="538" t="s">
        <v>1390</v>
      </c>
      <c r="C2779" s="538" t="s">
        <v>740</v>
      </c>
      <c r="D2779" s="538" t="s">
        <v>393</v>
      </c>
      <c r="E2779" s="538" t="s">
        <v>313</v>
      </c>
      <c r="F2779" s="538">
        <v>74163</v>
      </c>
      <c r="G2779" s="538">
        <v>1</v>
      </c>
    </row>
    <row r="2780" spans="1:7" x14ac:dyDescent="0.2">
      <c r="A2780" s="538">
        <v>3</v>
      </c>
      <c r="B2780" s="538" t="s">
        <v>6586</v>
      </c>
      <c r="C2780" s="538" t="s">
        <v>740</v>
      </c>
      <c r="D2780" s="538" t="s">
        <v>393</v>
      </c>
      <c r="E2780" s="538" t="s">
        <v>860</v>
      </c>
      <c r="F2780" s="538">
        <v>271872</v>
      </c>
      <c r="G2780" s="538">
        <v>24</v>
      </c>
    </row>
    <row r="2781" spans="1:7" x14ac:dyDescent="0.2">
      <c r="A2781" s="538">
        <v>4</v>
      </c>
      <c r="B2781" s="538" t="s">
        <v>6559</v>
      </c>
      <c r="C2781" s="538" t="s">
        <v>740</v>
      </c>
      <c r="D2781" s="538" t="s">
        <v>740</v>
      </c>
      <c r="E2781" s="538" t="s">
        <v>390</v>
      </c>
      <c r="F2781" s="538">
        <v>99106290</v>
      </c>
      <c r="G2781" s="538">
        <v>3590</v>
      </c>
    </row>
    <row r="2782" spans="1:7" x14ac:dyDescent="0.2">
      <c r="A2782" s="538">
        <v>4</v>
      </c>
      <c r="B2782" s="538" t="s">
        <v>6559</v>
      </c>
      <c r="C2782" s="538" t="s">
        <v>740</v>
      </c>
      <c r="D2782" s="538" t="s">
        <v>393</v>
      </c>
      <c r="E2782" s="538" t="s">
        <v>401</v>
      </c>
      <c r="F2782" s="538">
        <v>67968</v>
      </c>
      <c r="G2782" s="538">
        <v>6</v>
      </c>
    </row>
    <row r="2783" spans="1:7" x14ac:dyDescent="0.2">
      <c r="A2783" s="538">
        <v>10</v>
      </c>
      <c r="B2783" s="538" t="s">
        <v>6653</v>
      </c>
      <c r="C2783" s="538" t="s">
        <v>740</v>
      </c>
      <c r="D2783" s="538" t="s">
        <v>393</v>
      </c>
      <c r="E2783" s="538" t="s">
        <v>419</v>
      </c>
      <c r="F2783" s="538">
        <v>11328</v>
      </c>
      <c r="G2783" s="538">
        <v>1</v>
      </c>
    </row>
    <row r="2784" spans="1:7" x14ac:dyDescent="0.2">
      <c r="A2784" s="538">
        <v>7</v>
      </c>
      <c r="B2784" s="538" t="s">
        <v>6564</v>
      </c>
      <c r="C2784" s="538" t="s">
        <v>393</v>
      </c>
      <c r="D2784" s="538" t="s">
        <v>393</v>
      </c>
      <c r="E2784" s="538" t="s">
        <v>207</v>
      </c>
      <c r="F2784" s="538">
        <v>13879372</v>
      </c>
      <c r="G2784" s="538">
        <v>944</v>
      </c>
    </row>
    <row r="2785" spans="1:7" x14ac:dyDescent="0.2">
      <c r="A2785" s="538">
        <v>3</v>
      </c>
      <c r="B2785" s="538" t="s">
        <v>6591</v>
      </c>
      <c r="C2785" s="538" t="s">
        <v>740</v>
      </c>
      <c r="D2785" s="538" t="s">
        <v>393</v>
      </c>
      <c r="E2785" s="538" t="s">
        <v>390</v>
      </c>
      <c r="F2785" s="538">
        <v>946950</v>
      </c>
      <c r="G2785" s="538">
        <v>40</v>
      </c>
    </row>
    <row r="2786" spans="1:7" x14ac:dyDescent="0.2">
      <c r="A2786" s="538">
        <v>3</v>
      </c>
      <c r="B2786" s="538" t="s">
        <v>1390</v>
      </c>
      <c r="C2786" s="538" t="s">
        <v>740</v>
      </c>
      <c r="D2786" s="538" t="s">
        <v>393</v>
      </c>
      <c r="E2786" s="538" t="s">
        <v>402</v>
      </c>
      <c r="F2786" s="538">
        <v>3578940</v>
      </c>
      <c r="G2786" s="538">
        <v>210</v>
      </c>
    </row>
    <row r="2787" spans="1:7" x14ac:dyDescent="0.2">
      <c r="A2787" s="538">
        <v>1</v>
      </c>
      <c r="B2787" s="538" t="s">
        <v>1288</v>
      </c>
      <c r="C2787" s="538" t="s">
        <v>393</v>
      </c>
      <c r="D2787" s="538" t="s">
        <v>393</v>
      </c>
      <c r="E2787" s="538" t="s">
        <v>449</v>
      </c>
      <c r="F2787" s="538">
        <v>90624</v>
      </c>
      <c r="G2787" s="538">
        <v>8</v>
      </c>
    </row>
    <row r="2788" spans="1:7" x14ac:dyDescent="0.2">
      <c r="A2788" s="538">
        <v>7</v>
      </c>
      <c r="B2788" s="538" t="s">
        <v>6594</v>
      </c>
      <c r="C2788" s="538" t="s">
        <v>393</v>
      </c>
      <c r="D2788" s="538" t="s">
        <v>740</v>
      </c>
      <c r="E2788" s="538" t="s">
        <v>449</v>
      </c>
      <c r="F2788" s="538">
        <v>237888</v>
      </c>
      <c r="G2788" s="538">
        <v>21</v>
      </c>
    </row>
    <row r="2789" spans="1:7" x14ac:dyDescent="0.2">
      <c r="A2789" s="538">
        <v>5</v>
      </c>
      <c r="B2789" s="538" t="s">
        <v>6651</v>
      </c>
      <c r="C2789" s="538" t="s">
        <v>740</v>
      </c>
      <c r="D2789" s="538" t="s">
        <v>393</v>
      </c>
      <c r="E2789" s="538" t="s">
        <v>409</v>
      </c>
      <c r="F2789" s="538">
        <v>951677</v>
      </c>
      <c r="G2789" s="538">
        <v>19</v>
      </c>
    </row>
    <row r="2790" spans="1:7" x14ac:dyDescent="0.2">
      <c r="A2790" s="538">
        <v>2</v>
      </c>
      <c r="B2790" s="538" t="s">
        <v>6055</v>
      </c>
      <c r="C2790" s="538" t="s">
        <v>740</v>
      </c>
      <c r="D2790" s="538" t="s">
        <v>740</v>
      </c>
      <c r="E2790" s="538" t="s">
        <v>230</v>
      </c>
      <c r="F2790" s="538">
        <v>1721450</v>
      </c>
      <c r="G2790" s="538">
        <v>60</v>
      </c>
    </row>
    <row r="2791" spans="1:7" x14ac:dyDescent="0.2">
      <c r="A2791" s="538">
        <v>9</v>
      </c>
      <c r="B2791" s="538" t="s">
        <v>6615</v>
      </c>
      <c r="C2791" s="538" t="s">
        <v>393</v>
      </c>
      <c r="D2791" s="538" t="s">
        <v>740</v>
      </c>
      <c r="E2791" s="538" t="s">
        <v>390</v>
      </c>
      <c r="F2791" s="538">
        <v>3041943</v>
      </c>
      <c r="G2791" s="538">
        <v>46</v>
      </c>
    </row>
    <row r="2792" spans="1:7" x14ac:dyDescent="0.2">
      <c r="A2792" s="538">
        <v>3</v>
      </c>
      <c r="B2792" s="538" t="s">
        <v>6586</v>
      </c>
      <c r="C2792" s="538" t="s">
        <v>740</v>
      </c>
      <c r="D2792" s="538" t="s">
        <v>740</v>
      </c>
      <c r="E2792" s="538" t="s">
        <v>402</v>
      </c>
      <c r="F2792" s="538">
        <v>8667378</v>
      </c>
      <c r="G2792" s="538">
        <v>291</v>
      </c>
    </row>
    <row r="2793" spans="1:7" x14ac:dyDescent="0.2">
      <c r="A2793" s="538">
        <v>12</v>
      </c>
      <c r="B2793" s="538" t="s">
        <v>6569</v>
      </c>
      <c r="C2793" s="538" t="s">
        <v>740</v>
      </c>
      <c r="D2793" s="538" t="s">
        <v>393</v>
      </c>
      <c r="E2793" s="538" t="s">
        <v>390</v>
      </c>
      <c r="F2793" s="538">
        <v>131102049</v>
      </c>
      <c r="G2793" s="538">
        <v>4888</v>
      </c>
    </row>
    <row r="2794" spans="1:7" x14ac:dyDescent="0.2">
      <c r="A2794" s="538">
        <v>8</v>
      </c>
      <c r="B2794" s="538" t="s">
        <v>6583</v>
      </c>
      <c r="C2794" s="538" t="s">
        <v>393</v>
      </c>
      <c r="D2794" s="538" t="s">
        <v>393</v>
      </c>
      <c r="E2794" s="538" t="s">
        <v>212</v>
      </c>
      <c r="F2794" s="538">
        <v>2088600</v>
      </c>
      <c r="G2794" s="538">
        <v>145</v>
      </c>
    </row>
    <row r="2795" spans="1:7" x14ac:dyDescent="0.2">
      <c r="A2795" s="538">
        <v>8</v>
      </c>
      <c r="B2795" s="538" t="s">
        <v>6570</v>
      </c>
      <c r="C2795" s="538" t="s">
        <v>740</v>
      </c>
      <c r="D2795" s="538" t="s">
        <v>740</v>
      </c>
      <c r="E2795" s="538" t="s">
        <v>390</v>
      </c>
      <c r="F2795" s="538">
        <v>3370507</v>
      </c>
      <c r="G2795" s="538">
        <v>84</v>
      </c>
    </row>
    <row r="2796" spans="1:7" x14ac:dyDescent="0.2">
      <c r="A2796" s="538">
        <v>3</v>
      </c>
      <c r="B2796" s="538" t="s">
        <v>6591</v>
      </c>
      <c r="C2796" s="538" t="s">
        <v>740</v>
      </c>
      <c r="D2796" s="538" t="s">
        <v>740</v>
      </c>
      <c r="E2796" s="538" t="s">
        <v>860</v>
      </c>
      <c r="F2796" s="538">
        <v>11328</v>
      </c>
      <c r="G2796" s="538">
        <v>1</v>
      </c>
    </row>
    <row r="2797" spans="1:7" x14ac:dyDescent="0.2">
      <c r="A2797" s="538">
        <v>11</v>
      </c>
      <c r="B2797" s="538" t="s">
        <v>6584</v>
      </c>
      <c r="C2797" s="538" t="s">
        <v>740</v>
      </c>
      <c r="D2797" s="538" t="s">
        <v>740</v>
      </c>
      <c r="E2797" s="538" t="s">
        <v>207</v>
      </c>
      <c r="F2797" s="538">
        <v>983360</v>
      </c>
      <c r="G2797" s="538">
        <v>35</v>
      </c>
    </row>
    <row r="2798" spans="1:7" x14ac:dyDescent="0.2">
      <c r="A2798" s="538">
        <v>4</v>
      </c>
      <c r="B2798" s="538" t="s">
        <v>6559</v>
      </c>
      <c r="C2798" s="538" t="s">
        <v>740</v>
      </c>
      <c r="D2798" s="538" t="s">
        <v>393</v>
      </c>
      <c r="E2798" s="538" t="s">
        <v>212</v>
      </c>
      <c r="F2798" s="538">
        <v>1116162</v>
      </c>
      <c r="G2798" s="538">
        <v>84</v>
      </c>
    </row>
    <row r="2799" spans="1:7" x14ac:dyDescent="0.2">
      <c r="A2799" s="538">
        <v>5</v>
      </c>
      <c r="B2799" s="538" t="s">
        <v>6599</v>
      </c>
      <c r="C2799" s="538" t="s">
        <v>740</v>
      </c>
      <c r="D2799" s="538" t="s">
        <v>393</v>
      </c>
      <c r="E2799" s="538" t="s">
        <v>416</v>
      </c>
      <c r="F2799" s="538">
        <v>26409318</v>
      </c>
      <c r="G2799" s="538">
        <v>496</v>
      </c>
    </row>
    <row r="2800" spans="1:7" x14ac:dyDescent="0.2">
      <c r="A2800" s="538">
        <v>11</v>
      </c>
      <c r="B2800" s="538" t="s">
        <v>6610</v>
      </c>
      <c r="C2800" s="538" t="s">
        <v>740</v>
      </c>
      <c r="D2800" s="538" t="s">
        <v>740</v>
      </c>
      <c r="E2800" s="538" t="s">
        <v>449</v>
      </c>
      <c r="F2800" s="538">
        <v>464448</v>
      </c>
      <c r="G2800" s="538">
        <v>41</v>
      </c>
    </row>
    <row r="2801" spans="1:7" x14ac:dyDescent="0.2">
      <c r="A2801" s="538">
        <v>3</v>
      </c>
      <c r="B2801" s="538" t="s">
        <v>6586</v>
      </c>
      <c r="C2801" s="538" t="s">
        <v>740</v>
      </c>
      <c r="D2801" s="538" t="s">
        <v>393</v>
      </c>
      <c r="E2801" s="538" t="s">
        <v>207</v>
      </c>
      <c r="F2801" s="538">
        <v>8827771</v>
      </c>
      <c r="G2801" s="538">
        <v>542</v>
      </c>
    </row>
    <row r="2802" spans="1:7" x14ac:dyDescent="0.2">
      <c r="A2802" s="538">
        <v>10</v>
      </c>
      <c r="B2802" s="538" t="s">
        <v>6582</v>
      </c>
      <c r="C2802" s="538" t="s">
        <v>740</v>
      </c>
      <c r="D2802" s="538" t="s">
        <v>393</v>
      </c>
      <c r="E2802" s="538" t="s">
        <v>211</v>
      </c>
      <c r="F2802" s="538">
        <v>3569986</v>
      </c>
      <c r="G2802" s="538">
        <v>132</v>
      </c>
    </row>
    <row r="2803" spans="1:7" x14ac:dyDescent="0.2">
      <c r="A2803" s="538">
        <v>4</v>
      </c>
      <c r="B2803" s="538" t="s">
        <v>6562</v>
      </c>
      <c r="C2803" s="538" t="s">
        <v>393</v>
      </c>
      <c r="D2803" s="538" t="s">
        <v>740</v>
      </c>
      <c r="E2803" s="538" t="s">
        <v>416</v>
      </c>
      <c r="F2803" s="538">
        <v>15450216</v>
      </c>
      <c r="G2803" s="538">
        <v>407</v>
      </c>
    </row>
    <row r="2804" spans="1:7" x14ac:dyDescent="0.2">
      <c r="A2804" s="538">
        <v>1</v>
      </c>
      <c r="B2804" s="538" t="s">
        <v>6581</v>
      </c>
      <c r="C2804" s="538" t="s">
        <v>393</v>
      </c>
      <c r="D2804" s="538" t="s">
        <v>740</v>
      </c>
      <c r="E2804" s="538" t="s">
        <v>401</v>
      </c>
      <c r="F2804" s="538">
        <v>101952</v>
      </c>
      <c r="G2804" s="538">
        <v>9</v>
      </c>
    </row>
    <row r="2805" spans="1:7" x14ac:dyDescent="0.2">
      <c r="A2805" s="538">
        <v>5</v>
      </c>
      <c r="B2805" s="538" t="s">
        <v>6568</v>
      </c>
      <c r="C2805" s="538" t="s">
        <v>393</v>
      </c>
      <c r="D2805" s="538" t="s">
        <v>740</v>
      </c>
      <c r="E2805" s="538" t="s">
        <v>207</v>
      </c>
      <c r="F2805" s="538">
        <v>4200210</v>
      </c>
      <c r="G2805" s="538">
        <v>240</v>
      </c>
    </row>
    <row r="2806" spans="1:7" x14ac:dyDescent="0.2">
      <c r="A2806" s="538">
        <v>11</v>
      </c>
      <c r="B2806" s="538" t="s">
        <v>6612</v>
      </c>
      <c r="C2806" s="538" t="s">
        <v>393</v>
      </c>
      <c r="D2806" s="538" t="s">
        <v>393</v>
      </c>
      <c r="E2806" s="538" t="s">
        <v>209</v>
      </c>
      <c r="F2806" s="538">
        <v>3896114</v>
      </c>
      <c r="G2806" s="538">
        <v>13</v>
      </c>
    </row>
    <row r="2807" spans="1:7" x14ac:dyDescent="0.2">
      <c r="A2807" s="538">
        <v>7</v>
      </c>
      <c r="B2807" s="538" t="s">
        <v>6661</v>
      </c>
      <c r="C2807" s="538" t="s">
        <v>740</v>
      </c>
      <c r="D2807" s="538" t="s">
        <v>393</v>
      </c>
      <c r="E2807" s="538" t="s">
        <v>212</v>
      </c>
      <c r="F2807" s="538">
        <v>491883</v>
      </c>
      <c r="G2807" s="538">
        <v>31</v>
      </c>
    </row>
    <row r="2808" spans="1:7" x14ac:dyDescent="0.2">
      <c r="A2808" s="538">
        <v>9</v>
      </c>
      <c r="B2808" s="538" t="s">
        <v>6657</v>
      </c>
      <c r="C2808" s="538" t="s">
        <v>740</v>
      </c>
      <c r="D2808" s="538" t="s">
        <v>393</v>
      </c>
      <c r="E2808" s="538" t="s">
        <v>212</v>
      </c>
      <c r="F2808" s="538">
        <v>1667163</v>
      </c>
      <c r="G2808" s="538">
        <v>121</v>
      </c>
    </row>
    <row r="2809" spans="1:7" x14ac:dyDescent="0.2">
      <c r="A2809" s="538">
        <v>8</v>
      </c>
      <c r="B2809" s="538" t="s">
        <v>6577</v>
      </c>
      <c r="C2809" s="538" t="s">
        <v>740</v>
      </c>
      <c r="D2809" s="538" t="s">
        <v>740</v>
      </c>
      <c r="E2809" s="538" t="s">
        <v>409</v>
      </c>
      <c r="F2809" s="538">
        <v>14559979</v>
      </c>
      <c r="G2809" s="538">
        <v>358</v>
      </c>
    </row>
    <row r="2810" spans="1:7" x14ac:dyDescent="0.2">
      <c r="A2810" s="538">
        <v>4</v>
      </c>
      <c r="B2810" s="538" t="s">
        <v>6559</v>
      </c>
      <c r="C2810" s="538" t="s">
        <v>740</v>
      </c>
      <c r="D2810" s="538" t="s">
        <v>393</v>
      </c>
      <c r="E2810" s="538" t="s">
        <v>207</v>
      </c>
      <c r="F2810" s="538">
        <v>174876</v>
      </c>
      <c r="G2810" s="538">
        <v>12</v>
      </c>
    </row>
    <row r="2811" spans="1:7" x14ac:dyDescent="0.2">
      <c r="A2811" s="538">
        <v>6</v>
      </c>
      <c r="B2811" s="538" t="s">
        <v>1668</v>
      </c>
      <c r="C2811" s="538" t="s">
        <v>393</v>
      </c>
      <c r="D2811" s="538" t="s">
        <v>393</v>
      </c>
      <c r="E2811" s="538" t="s">
        <v>401</v>
      </c>
      <c r="F2811" s="538">
        <v>693788</v>
      </c>
      <c r="G2811" s="538">
        <v>6</v>
      </c>
    </row>
    <row r="2812" spans="1:7" x14ac:dyDescent="0.2">
      <c r="A2812" s="538">
        <v>1</v>
      </c>
      <c r="B2812" s="538" t="s">
        <v>6581</v>
      </c>
      <c r="C2812" s="538" t="s">
        <v>740</v>
      </c>
      <c r="D2812" s="538" t="s">
        <v>393</v>
      </c>
      <c r="E2812" s="538" t="s">
        <v>202</v>
      </c>
      <c r="F2812" s="538">
        <v>85491</v>
      </c>
      <c r="G2812" s="538">
        <v>2</v>
      </c>
    </row>
    <row r="2813" spans="1:7" x14ac:dyDescent="0.2">
      <c r="A2813" s="538">
        <v>8</v>
      </c>
      <c r="B2813" s="538" t="s">
        <v>6583</v>
      </c>
      <c r="C2813" s="538" t="s">
        <v>740</v>
      </c>
      <c r="D2813" s="538" t="s">
        <v>740</v>
      </c>
      <c r="E2813" s="538" t="s">
        <v>402</v>
      </c>
      <c r="F2813" s="538">
        <v>13429136</v>
      </c>
      <c r="G2813" s="538">
        <v>527</v>
      </c>
    </row>
    <row r="2814" spans="1:7" x14ac:dyDescent="0.2">
      <c r="A2814" s="538">
        <v>4</v>
      </c>
      <c r="B2814" s="538" t="s">
        <v>6559</v>
      </c>
      <c r="C2814" s="538" t="s">
        <v>740</v>
      </c>
      <c r="D2814" s="538" t="s">
        <v>393</v>
      </c>
      <c r="E2814" s="538" t="s">
        <v>409</v>
      </c>
      <c r="F2814" s="538">
        <v>1077347</v>
      </c>
      <c r="G2814" s="538">
        <v>24</v>
      </c>
    </row>
    <row r="2815" spans="1:7" x14ac:dyDescent="0.2">
      <c r="A2815" s="538">
        <v>1</v>
      </c>
      <c r="B2815" s="538" t="s">
        <v>6602</v>
      </c>
      <c r="C2815" s="538" t="s">
        <v>740</v>
      </c>
      <c r="D2815" s="538" t="s">
        <v>393</v>
      </c>
      <c r="E2815" s="538" t="s">
        <v>449</v>
      </c>
      <c r="F2815" s="538">
        <v>459315</v>
      </c>
      <c r="G2815" s="538">
        <v>35</v>
      </c>
    </row>
    <row r="2816" spans="1:7" x14ac:dyDescent="0.2">
      <c r="A2816" s="538">
        <v>7</v>
      </c>
      <c r="B2816" s="538" t="s">
        <v>6655</v>
      </c>
      <c r="C2816" s="538" t="s">
        <v>740</v>
      </c>
      <c r="D2816" s="538" t="s">
        <v>393</v>
      </c>
      <c r="E2816" s="538" t="s">
        <v>416</v>
      </c>
      <c r="F2816" s="538">
        <v>3979158</v>
      </c>
      <c r="G2816" s="538">
        <v>101</v>
      </c>
    </row>
    <row r="2817" spans="1:7" x14ac:dyDescent="0.2">
      <c r="A2817" s="538">
        <v>3</v>
      </c>
      <c r="B2817" s="538" t="s">
        <v>6578</v>
      </c>
      <c r="C2817" s="538" t="s">
        <v>740</v>
      </c>
      <c r="D2817" s="538" t="s">
        <v>393</v>
      </c>
      <c r="E2817" s="538" t="s">
        <v>210</v>
      </c>
      <c r="F2817" s="538">
        <v>1083896</v>
      </c>
      <c r="G2817" s="538">
        <v>37</v>
      </c>
    </row>
    <row r="2818" spans="1:7" x14ac:dyDescent="0.2">
      <c r="A2818" s="538">
        <v>8</v>
      </c>
      <c r="B2818" s="538" t="s">
        <v>6570</v>
      </c>
      <c r="C2818" s="538" t="s">
        <v>740</v>
      </c>
      <c r="D2818" s="538" t="s">
        <v>740</v>
      </c>
      <c r="E2818" s="538" t="s">
        <v>416</v>
      </c>
      <c r="F2818" s="538">
        <v>753135</v>
      </c>
      <c r="G2818" s="538">
        <v>25</v>
      </c>
    </row>
    <row r="2819" spans="1:7" x14ac:dyDescent="0.2">
      <c r="A2819" s="538">
        <v>2</v>
      </c>
      <c r="B2819" s="538" t="s">
        <v>6608</v>
      </c>
      <c r="C2819" s="538" t="s">
        <v>740</v>
      </c>
      <c r="D2819" s="538" t="s">
        <v>393</v>
      </c>
      <c r="E2819" s="538" t="s">
        <v>211</v>
      </c>
      <c r="F2819" s="538">
        <v>13763916</v>
      </c>
      <c r="G2819" s="538">
        <v>432</v>
      </c>
    </row>
    <row r="2820" spans="1:7" x14ac:dyDescent="0.2">
      <c r="A2820" s="538">
        <v>7</v>
      </c>
      <c r="B2820" s="538" t="s">
        <v>6604</v>
      </c>
      <c r="C2820" s="538" t="s">
        <v>740</v>
      </c>
      <c r="D2820" s="538" t="s">
        <v>740</v>
      </c>
      <c r="E2820" s="538" t="s">
        <v>207</v>
      </c>
      <c r="F2820" s="538">
        <v>729771</v>
      </c>
      <c r="G2820" s="538">
        <v>52</v>
      </c>
    </row>
    <row r="2821" spans="1:7" x14ac:dyDescent="0.2">
      <c r="A2821" s="538">
        <v>7</v>
      </c>
      <c r="B2821" s="538" t="s">
        <v>6564</v>
      </c>
      <c r="C2821" s="538" t="s">
        <v>393</v>
      </c>
      <c r="D2821" s="538" t="s">
        <v>393</v>
      </c>
      <c r="E2821" s="538" t="s">
        <v>401</v>
      </c>
      <c r="F2821" s="538">
        <v>90624</v>
      </c>
      <c r="G2821" s="538">
        <v>8</v>
      </c>
    </row>
    <row r="2822" spans="1:7" x14ac:dyDescent="0.2">
      <c r="A2822" s="538">
        <v>9</v>
      </c>
      <c r="B2822" s="538" t="s">
        <v>6657</v>
      </c>
      <c r="C2822" s="538" t="s">
        <v>393</v>
      </c>
      <c r="D2822" s="538" t="s">
        <v>393</v>
      </c>
      <c r="E2822" s="538" t="s">
        <v>210</v>
      </c>
      <c r="F2822" s="538">
        <v>817386</v>
      </c>
      <c r="G2822" s="538">
        <v>32</v>
      </c>
    </row>
    <row r="2823" spans="1:7" x14ac:dyDescent="0.2">
      <c r="A2823" s="538">
        <v>12</v>
      </c>
      <c r="B2823" s="538" t="s">
        <v>6569</v>
      </c>
      <c r="C2823" s="538" t="s">
        <v>740</v>
      </c>
      <c r="D2823" s="538" t="s">
        <v>740</v>
      </c>
      <c r="E2823" s="538" t="s">
        <v>390</v>
      </c>
      <c r="F2823" s="538">
        <v>32909726</v>
      </c>
      <c r="G2823" s="538">
        <v>847</v>
      </c>
    </row>
    <row r="2824" spans="1:7" x14ac:dyDescent="0.2">
      <c r="A2824" s="538">
        <v>10</v>
      </c>
      <c r="B2824" s="538" t="s">
        <v>6653</v>
      </c>
      <c r="C2824" s="538" t="s">
        <v>393</v>
      </c>
      <c r="D2824" s="538" t="s">
        <v>740</v>
      </c>
      <c r="E2824" s="538" t="s">
        <v>402</v>
      </c>
      <c r="F2824" s="538">
        <v>1204610</v>
      </c>
      <c r="G2824" s="538">
        <v>40</v>
      </c>
    </row>
    <row r="2825" spans="1:7" x14ac:dyDescent="0.2">
      <c r="A2825" s="538">
        <v>6</v>
      </c>
      <c r="B2825" s="538" t="s">
        <v>6575</v>
      </c>
      <c r="C2825" s="538" t="s">
        <v>740</v>
      </c>
      <c r="D2825" s="538" t="s">
        <v>740</v>
      </c>
      <c r="E2825" s="538" t="s">
        <v>211</v>
      </c>
      <c r="F2825" s="538">
        <v>1209160</v>
      </c>
      <c r="G2825" s="538">
        <v>10</v>
      </c>
    </row>
    <row r="2826" spans="1:7" x14ac:dyDescent="0.2">
      <c r="A2826" s="538">
        <v>3</v>
      </c>
      <c r="B2826" s="538" t="s">
        <v>6605</v>
      </c>
      <c r="C2826" s="538" t="s">
        <v>740</v>
      </c>
      <c r="D2826" s="538" t="s">
        <v>393</v>
      </c>
      <c r="E2826" s="538" t="s">
        <v>230</v>
      </c>
      <c r="F2826" s="538">
        <v>5002218</v>
      </c>
      <c r="G2826" s="538">
        <v>116</v>
      </c>
    </row>
    <row r="2827" spans="1:7" x14ac:dyDescent="0.2">
      <c r="A2827" s="538">
        <v>3</v>
      </c>
      <c r="B2827" s="538" t="s">
        <v>6578</v>
      </c>
      <c r="C2827" s="538" t="s">
        <v>740</v>
      </c>
      <c r="D2827" s="538" t="s">
        <v>393</v>
      </c>
      <c r="E2827" s="538" t="s">
        <v>438</v>
      </c>
      <c r="F2827" s="538">
        <v>16874036</v>
      </c>
      <c r="G2827" s="538">
        <v>172</v>
      </c>
    </row>
    <row r="2828" spans="1:7" x14ac:dyDescent="0.2">
      <c r="A2828" s="538">
        <v>4</v>
      </c>
      <c r="B2828" s="538" t="s">
        <v>6562</v>
      </c>
      <c r="C2828" s="538" t="s">
        <v>740</v>
      </c>
      <c r="D2828" s="538" t="s">
        <v>393</v>
      </c>
      <c r="E2828" s="538" t="s">
        <v>390</v>
      </c>
      <c r="F2828" s="538">
        <v>1023414</v>
      </c>
      <c r="G2828" s="538">
        <v>33</v>
      </c>
    </row>
    <row r="2829" spans="1:7" x14ac:dyDescent="0.2">
      <c r="A2829" s="538">
        <v>5</v>
      </c>
      <c r="B2829" s="538" t="s">
        <v>6568</v>
      </c>
      <c r="C2829" s="538" t="s">
        <v>740</v>
      </c>
      <c r="D2829" s="538" t="s">
        <v>393</v>
      </c>
      <c r="E2829" s="538" t="s">
        <v>209</v>
      </c>
      <c r="F2829" s="538">
        <v>15056954</v>
      </c>
      <c r="G2829" s="538">
        <v>88</v>
      </c>
    </row>
    <row r="2830" spans="1:7" x14ac:dyDescent="0.2">
      <c r="A2830" s="538">
        <v>8</v>
      </c>
      <c r="B2830" s="538" t="s">
        <v>6570</v>
      </c>
      <c r="C2830" s="538" t="s">
        <v>393</v>
      </c>
      <c r="D2830" s="538" t="s">
        <v>740</v>
      </c>
      <c r="E2830" s="538" t="s">
        <v>402</v>
      </c>
      <c r="F2830" s="538">
        <v>5116154</v>
      </c>
      <c r="G2830" s="538">
        <v>158</v>
      </c>
    </row>
    <row r="2831" spans="1:7" x14ac:dyDescent="0.2">
      <c r="A2831" s="538">
        <v>12</v>
      </c>
      <c r="B2831" s="538" t="s">
        <v>6616</v>
      </c>
      <c r="C2831" s="538" t="s">
        <v>393</v>
      </c>
      <c r="D2831" s="538" t="s">
        <v>740</v>
      </c>
      <c r="E2831" s="538" t="s">
        <v>230</v>
      </c>
      <c r="F2831" s="538">
        <v>74163</v>
      </c>
      <c r="G2831" s="538">
        <v>1</v>
      </c>
    </row>
    <row r="2832" spans="1:7" x14ac:dyDescent="0.2">
      <c r="A2832" s="538">
        <v>6</v>
      </c>
      <c r="B2832" s="538" t="s">
        <v>1668</v>
      </c>
      <c r="C2832" s="538" t="s">
        <v>740</v>
      </c>
      <c r="D2832" s="538" t="s">
        <v>393</v>
      </c>
      <c r="E2832" s="538" t="s">
        <v>409</v>
      </c>
      <c r="F2832" s="538">
        <v>614669</v>
      </c>
      <c r="G2832" s="538">
        <v>8</v>
      </c>
    </row>
    <row r="2833" spans="1:7" x14ac:dyDescent="0.2">
      <c r="A2833" s="538">
        <v>8</v>
      </c>
      <c r="B2833" s="538" t="s">
        <v>6570</v>
      </c>
      <c r="C2833" s="538" t="s">
        <v>740</v>
      </c>
      <c r="D2833" s="538" t="s">
        <v>393</v>
      </c>
      <c r="E2833" s="538" t="s">
        <v>230</v>
      </c>
      <c r="F2833" s="538">
        <v>9003907</v>
      </c>
      <c r="G2833" s="538">
        <v>209</v>
      </c>
    </row>
    <row r="2834" spans="1:7" x14ac:dyDescent="0.2">
      <c r="A2834" s="538">
        <v>10</v>
      </c>
      <c r="B2834" s="538" t="s">
        <v>6587</v>
      </c>
      <c r="C2834" s="538" t="s">
        <v>740</v>
      </c>
      <c r="D2834" s="538" t="s">
        <v>393</v>
      </c>
      <c r="E2834" s="538" t="s">
        <v>438</v>
      </c>
      <c r="F2834" s="538">
        <v>2132819</v>
      </c>
      <c r="G2834" s="538">
        <v>8</v>
      </c>
    </row>
    <row r="2835" spans="1:7" x14ac:dyDescent="0.2">
      <c r="A2835" s="538">
        <v>10</v>
      </c>
      <c r="B2835" s="538" t="s">
        <v>6587</v>
      </c>
      <c r="C2835" s="538" t="s">
        <v>740</v>
      </c>
      <c r="D2835" s="538" t="s">
        <v>393</v>
      </c>
      <c r="E2835" s="538" t="s">
        <v>206</v>
      </c>
      <c r="F2835" s="538">
        <v>11328</v>
      </c>
      <c r="G2835" s="538">
        <v>1</v>
      </c>
    </row>
    <row r="2836" spans="1:7" x14ac:dyDescent="0.2">
      <c r="A2836" s="538">
        <v>5</v>
      </c>
      <c r="B2836" s="538" t="s">
        <v>6598</v>
      </c>
      <c r="C2836" s="538" t="s">
        <v>393</v>
      </c>
      <c r="D2836" s="538" t="s">
        <v>393</v>
      </c>
      <c r="E2836" s="538" t="s">
        <v>409</v>
      </c>
      <c r="F2836" s="538">
        <v>1438604</v>
      </c>
      <c r="G2836" s="538">
        <v>53</v>
      </c>
    </row>
    <row r="2837" spans="1:7" x14ac:dyDescent="0.2">
      <c r="A2837" s="538">
        <v>3</v>
      </c>
      <c r="B2837" s="538" t="s">
        <v>6561</v>
      </c>
      <c r="C2837" s="538" t="s">
        <v>740</v>
      </c>
      <c r="D2837" s="538" t="s">
        <v>393</v>
      </c>
      <c r="E2837" s="538" t="s">
        <v>419</v>
      </c>
      <c r="F2837" s="538">
        <v>61596</v>
      </c>
      <c r="G2837" s="538">
        <v>2</v>
      </c>
    </row>
    <row r="2838" spans="1:7" x14ac:dyDescent="0.2">
      <c r="A2838" s="538">
        <v>10</v>
      </c>
      <c r="B2838" s="538" t="s">
        <v>6582</v>
      </c>
      <c r="C2838" s="538" t="s">
        <v>740</v>
      </c>
      <c r="D2838" s="538" t="s">
        <v>393</v>
      </c>
      <c r="E2838" s="538" t="s">
        <v>402</v>
      </c>
      <c r="F2838" s="538">
        <v>1193865</v>
      </c>
      <c r="G2838" s="538">
        <v>75</v>
      </c>
    </row>
    <row r="2839" spans="1:7" x14ac:dyDescent="0.2">
      <c r="A2839" s="538">
        <v>5</v>
      </c>
      <c r="B2839" s="538" t="s">
        <v>6568</v>
      </c>
      <c r="C2839" s="538" t="s">
        <v>740</v>
      </c>
      <c r="D2839" s="538" t="s">
        <v>393</v>
      </c>
      <c r="E2839" s="538" t="s">
        <v>211</v>
      </c>
      <c r="F2839" s="538">
        <v>41591826</v>
      </c>
      <c r="G2839" s="538">
        <v>1087</v>
      </c>
    </row>
    <row r="2840" spans="1:7" x14ac:dyDescent="0.2">
      <c r="A2840" s="538">
        <v>2</v>
      </c>
      <c r="B2840" s="538" t="s">
        <v>6608</v>
      </c>
      <c r="C2840" s="538" t="s">
        <v>393</v>
      </c>
      <c r="D2840" s="538" t="s">
        <v>393</v>
      </c>
      <c r="E2840" s="538" t="s">
        <v>230</v>
      </c>
      <c r="F2840" s="538">
        <v>4337000</v>
      </c>
      <c r="G2840" s="538">
        <v>80</v>
      </c>
    </row>
    <row r="2841" spans="1:7" x14ac:dyDescent="0.2">
      <c r="A2841" s="538">
        <v>10</v>
      </c>
      <c r="B2841" s="538" t="s">
        <v>6597</v>
      </c>
      <c r="C2841" s="538" t="s">
        <v>393</v>
      </c>
      <c r="D2841" s="538" t="s">
        <v>393</v>
      </c>
      <c r="E2841" s="538" t="s">
        <v>313</v>
      </c>
      <c r="F2841" s="538">
        <v>61596</v>
      </c>
      <c r="G2841" s="538">
        <v>2</v>
      </c>
    </row>
    <row r="2842" spans="1:7" x14ac:dyDescent="0.2">
      <c r="A2842" s="538">
        <v>6</v>
      </c>
      <c r="B2842" s="538" t="s">
        <v>6565</v>
      </c>
      <c r="C2842" s="538" t="s">
        <v>740</v>
      </c>
      <c r="D2842" s="538" t="s">
        <v>740</v>
      </c>
      <c r="E2842" s="538" t="s">
        <v>416</v>
      </c>
      <c r="F2842" s="538">
        <v>4637900</v>
      </c>
      <c r="G2842" s="538">
        <v>120</v>
      </c>
    </row>
    <row r="2843" spans="1:7" x14ac:dyDescent="0.2">
      <c r="A2843" s="538">
        <v>1</v>
      </c>
      <c r="B2843" s="538" t="s">
        <v>6602</v>
      </c>
      <c r="C2843" s="538" t="s">
        <v>393</v>
      </c>
      <c r="D2843" s="538" t="s">
        <v>740</v>
      </c>
      <c r="E2843" s="538" t="s">
        <v>210</v>
      </c>
      <c r="F2843" s="538">
        <v>250278</v>
      </c>
      <c r="G2843" s="538">
        <v>11</v>
      </c>
    </row>
    <row r="2844" spans="1:7" x14ac:dyDescent="0.2">
      <c r="A2844" s="538">
        <v>8</v>
      </c>
      <c r="B2844" s="538" t="s">
        <v>6577</v>
      </c>
      <c r="C2844" s="538" t="s">
        <v>740</v>
      </c>
      <c r="D2844" s="538" t="s">
        <v>393</v>
      </c>
      <c r="E2844" s="538" t="s">
        <v>211</v>
      </c>
      <c r="F2844" s="538">
        <v>9722121</v>
      </c>
      <c r="G2844" s="538">
        <v>257</v>
      </c>
    </row>
    <row r="2845" spans="1:7" x14ac:dyDescent="0.2">
      <c r="A2845" s="538">
        <v>4</v>
      </c>
      <c r="B2845" s="538" t="s">
        <v>6559</v>
      </c>
      <c r="C2845" s="538" t="s">
        <v>740</v>
      </c>
      <c r="D2845" s="538" t="s">
        <v>740</v>
      </c>
      <c r="E2845" s="538" t="s">
        <v>419</v>
      </c>
      <c r="F2845" s="538">
        <v>74163</v>
      </c>
      <c r="G2845" s="538">
        <v>1</v>
      </c>
    </row>
    <row r="2846" spans="1:7" x14ac:dyDescent="0.2">
      <c r="A2846" s="538">
        <v>9</v>
      </c>
      <c r="B2846" s="538" t="s">
        <v>6615</v>
      </c>
      <c r="C2846" s="538" t="s">
        <v>740</v>
      </c>
      <c r="D2846" s="538" t="s">
        <v>740</v>
      </c>
      <c r="E2846" s="538" t="s">
        <v>402</v>
      </c>
      <c r="F2846" s="538">
        <v>5848226</v>
      </c>
      <c r="G2846" s="538">
        <v>192</v>
      </c>
    </row>
    <row r="2847" spans="1:7" x14ac:dyDescent="0.2">
      <c r="A2847" s="538">
        <v>10</v>
      </c>
      <c r="B2847" s="538" t="s">
        <v>6582</v>
      </c>
      <c r="C2847" s="538" t="s">
        <v>393</v>
      </c>
      <c r="D2847" s="538" t="s">
        <v>740</v>
      </c>
      <c r="E2847" s="538" t="s">
        <v>401</v>
      </c>
      <c r="F2847" s="538">
        <v>11328</v>
      </c>
      <c r="G2847" s="538">
        <v>1</v>
      </c>
    </row>
    <row r="2848" spans="1:7" x14ac:dyDescent="0.2">
      <c r="A2848" s="538">
        <v>8</v>
      </c>
      <c r="B2848" s="538" t="s">
        <v>6570</v>
      </c>
      <c r="C2848" s="538" t="s">
        <v>740</v>
      </c>
      <c r="D2848" s="538" t="s">
        <v>393</v>
      </c>
      <c r="E2848" s="538" t="s">
        <v>860</v>
      </c>
      <c r="F2848" s="538">
        <v>1652472</v>
      </c>
      <c r="G2848" s="538">
        <v>69</v>
      </c>
    </row>
    <row r="2849" spans="1:7" x14ac:dyDescent="0.2">
      <c r="A2849" s="538">
        <v>6</v>
      </c>
      <c r="B2849" s="538" t="s">
        <v>6433</v>
      </c>
      <c r="C2849" s="538" t="s">
        <v>740</v>
      </c>
      <c r="D2849" s="538" t="s">
        <v>393</v>
      </c>
      <c r="E2849" s="538" t="s">
        <v>402</v>
      </c>
      <c r="F2849" s="538">
        <v>45312</v>
      </c>
      <c r="G2849" s="538">
        <v>4</v>
      </c>
    </row>
    <row r="2850" spans="1:7" x14ac:dyDescent="0.2">
      <c r="A2850" s="538">
        <v>2</v>
      </c>
      <c r="B2850" s="538" t="s">
        <v>6662</v>
      </c>
      <c r="C2850" s="538" t="s">
        <v>393</v>
      </c>
      <c r="D2850" s="538" t="s">
        <v>393</v>
      </c>
      <c r="E2850" s="538" t="s">
        <v>212</v>
      </c>
      <c r="F2850" s="538">
        <v>1519014</v>
      </c>
      <c r="G2850" s="538">
        <v>123</v>
      </c>
    </row>
    <row r="2851" spans="1:7" x14ac:dyDescent="0.2">
      <c r="A2851" s="538">
        <v>1</v>
      </c>
      <c r="B2851" s="538" t="s">
        <v>6602</v>
      </c>
      <c r="C2851" s="538" t="s">
        <v>740</v>
      </c>
      <c r="D2851" s="538" t="s">
        <v>393</v>
      </c>
      <c r="E2851" s="538" t="s">
        <v>409</v>
      </c>
      <c r="F2851" s="538">
        <v>56640</v>
      </c>
      <c r="G2851" s="538">
        <v>5</v>
      </c>
    </row>
    <row r="2852" spans="1:7" x14ac:dyDescent="0.2">
      <c r="A2852" s="538">
        <v>8</v>
      </c>
      <c r="B2852" s="538" t="s">
        <v>6567</v>
      </c>
      <c r="C2852" s="538" t="s">
        <v>740</v>
      </c>
      <c r="D2852" s="538" t="s">
        <v>393</v>
      </c>
      <c r="E2852" s="538" t="s">
        <v>230</v>
      </c>
      <c r="F2852" s="538">
        <v>35839982</v>
      </c>
      <c r="G2852" s="538">
        <v>794</v>
      </c>
    </row>
    <row r="2853" spans="1:7" x14ac:dyDescent="0.2">
      <c r="A2853" s="538">
        <v>7</v>
      </c>
      <c r="B2853" s="538" t="s">
        <v>6604</v>
      </c>
      <c r="C2853" s="538" t="s">
        <v>740</v>
      </c>
      <c r="D2853" s="538" t="s">
        <v>740</v>
      </c>
      <c r="E2853" s="538" t="s">
        <v>416</v>
      </c>
      <c r="F2853" s="538">
        <v>2488995</v>
      </c>
      <c r="G2853" s="538">
        <v>40</v>
      </c>
    </row>
    <row r="2854" spans="1:7" x14ac:dyDescent="0.2">
      <c r="A2854" s="538">
        <v>10</v>
      </c>
      <c r="B2854" s="538" t="s">
        <v>6582</v>
      </c>
      <c r="C2854" s="538" t="s">
        <v>740</v>
      </c>
      <c r="D2854" s="538" t="s">
        <v>393</v>
      </c>
      <c r="E2854" s="538" t="s">
        <v>209</v>
      </c>
      <c r="F2854" s="538">
        <v>1862592</v>
      </c>
      <c r="G2854" s="538">
        <v>9</v>
      </c>
    </row>
    <row r="2855" spans="1:7" x14ac:dyDescent="0.2">
      <c r="A2855" s="538">
        <v>12</v>
      </c>
      <c r="B2855" s="538" t="s">
        <v>6563</v>
      </c>
      <c r="C2855" s="538" t="s">
        <v>740</v>
      </c>
      <c r="D2855" s="538" t="s">
        <v>393</v>
      </c>
      <c r="E2855" s="538" t="s">
        <v>390</v>
      </c>
      <c r="F2855" s="538">
        <v>11742555</v>
      </c>
      <c r="G2855" s="538">
        <v>495</v>
      </c>
    </row>
    <row r="2856" spans="1:7" x14ac:dyDescent="0.2">
      <c r="A2856" s="538">
        <v>10</v>
      </c>
      <c r="B2856" s="538" t="s">
        <v>6653</v>
      </c>
      <c r="C2856" s="538" t="s">
        <v>740</v>
      </c>
      <c r="D2856" s="538" t="s">
        <v>393</v>
      </c>
      <c r="E2856" s="538" t="s">
        <v>416</v>
      </c>
      <c r="F2856" s="538">
        <v>22656</v>
      </c>
      <c r="G2856" s="538">
        <v>2</v>
      </c>
    </row>
    <row r="2857" spans="1:7" x14ac:dyDescent="0.2">
      <c r="A2857" s="538">
        <v>2</v>
      </c>
      <c r="B2857" s="538" t="s">
        <v>6662</v>
      </c>
      <c r="C2857" s="538" t="s">
        <v>740</v>
      </c>
      <c r="D2857" s="538" t="s">
        <v>393</v>
      </c>
      <c r="E2857" s="538" t="s">
        <v>230</v>
      </c>
      <c r="F2857" s="538">
        <v>85491</v>
      </c>
      <c r="G2857" s="538">
        <v>2</v>
      </c>
    </row>
    <row r="2858" spans="1:7" x14ac:dyDescent="0.2">
      <c r="A2858" s="538">
        <v>4</v>
      </c>
      <c r="B2858" s="538" t="s">
        <v>6593</v>
      </c>
      <c r="C2858" s="538" t="s">
        <v>740</v>
      </c>
      <c r="D2858" s="538" t="s">
        <v>393</v>
      </c>
      <c r="E2858" s="538" t="s">
        <v>409</v>
      </c>
      <c r="F2858" s="538">
        <v>9982561</v>
      </c>
      <c r="G2858" s="538">
        <v>262</v>
      </c>
    </row>
    <row r="2859" spans="1:7" x14ac:dyDescent="0.2">
      <c r="A2859" s="538">
        <v>6</v>
      </c>
      <c r="B2859" s="538" t="s">
        <v>6617</v>
      </c>
      <c r="C2859" s="538" t="s">
        <v>393</v>
      </c>
      <c r="D2859" s="538" t="s">
        <v>393</v>
      </c>
      <c r="E2859" s="538" t="s">
        <v>401</v>
      </c>
      <c r="F2859" s="538">
        <v>169920</v>
      </c>
      <c r="G2859" s="538">
        <v>15</v>
      </c>
    </row>
    <row r="2860" spans="1:7" x14ac:dyDescent="0.2">
      <c r="A2860" s="538">
        <v>1</v>
      </c>
      <c r="B2860" s="538" t="s">
        <v>6602</v>
      </c>
      <c r="C2860" s="538" t="s">
        <v>740</v>
      </c>
      <c r="D2860" s="538" t="s">
        <v>393</v>
      </c>
      <c r="E2860" s="538" t="s">
        <v>416</v>
      </c>
      <c r="F2860" s="538">
        <v>111864</v>
      </c>
      <c r="G2860" s="538">
        <v>3</v>
      </c>
    </row>
    <row r="2861" spans="1:7" x14ac:dyDescent="0.2">
      <c r="A2861" s="538">
        <v>1</v>
      </c>
      <c r="B2861" s="538" t="s">
        <v>6646</v>
      </c>
      <c r="C2861" s="538" t="s">
        <v>740</v>
      </c>
      <c r="D2861" s="538" t="s">
        <v>393</v>
      </c>
      <c r="E2861" s="538" t="s">
        <v>207</v>
      </c>
      <c r="F2861" s="538">
        <v>113280</v>
      </c>
      <c r="G2861" s="538">
        <v>10</v>
      </c>
    </row>
    <row r="2862" spans="1:7" x14ac:dyDescent="0.2">
      <c r="A2862" s="538">
        <v>3</v>
      </c>
      <c r="B2862" s="538" t="s">
        <v>6578</v>
      </c>
      <c r="C2862" s="538" t="s">
        <v>393</v>
      </c>
      <c r="D2862" s="538" t="s">
        <v>740</v>
      </c>
      <c r="E2862" s="538" t="s">
        <v>449</v>
      </c>
      <c r="F2862" s="538">
        <v>237888</v>
      </c>
      <c r="G2862" s="538">
        <v>21</v>
      </c>
    </row>
    <row r="2863" spans="1:7" x14ac:dyDescent="0.2">
      <c r="A2863" s="538">
        <v>1</v>
      </c>
      <c r="B2863" s="538" t="s">
        <v>1288</v>
      </c>
      <c r="C2863" s="538" t="s">
        <v>740</v>
      </c>
      <c r="D2863" s="538" t="s">
        <v>393</v>
      </c>
      <c r="E2863" s="538" t="s">
        <v>210</v>
      </c>
      <c r="F2863" s="538">
        <v>90624</v>
      </c>
      <c r="G2863" s="538">
        <v>8</v>
      </c>
    </row>
    <row r="2864" spans="1:7" x14ac:dyDescent="0.2">
      <c r="A2864" s="538">
        <v>2</v>
      </c>
      <c r="B2864" s="538" t="s">
        <v>6662</v>
      </c>
      <c r="C2864" s="538" t="s">
        <v>393</v>
      </c>
      <c r="D2864" s="538" t="s">
        <v>393</v>
      </c>
      <c r="E2864" s="538" t="s">
        <v>401</v>
      </c>
      <c r="F2864" s="538">
        <v>192576</v>
      </c>
      <c r="G2864" s="538">
        <v>17</v>
      </c>
    </row>
    <row r="2865" spans="1:7" x14ac:dyDescent="0.2">
      <c r="A2865" s="538">
        <v>3</v>
      </c>
      <c r="B2865" s="538" t="s">
        <v>6603</v>
      </c>
      <c r="C2865" s="538" t="s">
        <v>740</v>
      </c>
      <c r="D2865" s="538" t="s">
        <v>393</v>
      </c>
      <c r="E2865" s="538" t="s">
        <v>210</v>
      </c>
      <c r="F2865" s="538">
        <v>67968</v>
      </c>
      <c r="G2865" s="538">
        <v>6</v>
      </c>
    </row>
    <row r="2866" spans="1:7" x14ac:dyDescent="0.2">
      <c r="A2866" s="538">
        <v>4</v>
      </c>
      <c r="B2866" s="538" t="s">
        <v>6562</v>
      </c>
      <c r="C2866" s="538" t="s">
        <v>740</v>
      </c>
      <c r="D2866" s="538" t="s">
        <v>393</v>
      </c>
      <c r="E2866" s="538" t="s">
        <v>209</v>
      </c>
      <c r="F2866" s="538">
        <v>74163</v>
      </c>
      <c r="G2866" s="538">
        <v>1</v>
      </c>
    </row>
    <row r="2867" spans="1:7" x14ac:dyDescent="0.2">
      <c r="A2867" s="538">
        <v>11</v>
      </c>
      <c r="B2867" s="538" t="s">
        <v>6659</v>
      </c>
      <c r="C2867" s="538" t="s">
        <v>740</v>
      </c>
      <c r="D2867" s="538" t="s">
        <v>393</v>
      </c>
      <c r="E2867" s="538" t="s">
        <v>212</v>
      </c>
      <c r="F2867" s="538">
        <v>22656</v>
      </c>
      <c r="G2867" s="538">
        <v>2</v>
      </c>
    </row>
    <row r="2868" spans="1:7" x14ac:dyDescent="0.2">
      <c r="A2868" s="538">
        <v>3</v>
      </c>
      <c r="B2868" s="538" t="s">
        <v>1390</v>
      </c>
      <c r="C2868" s="538" t="s">
        <v>740</v>
      </c>
      <c r="D2868" s="538" t="s">
        <v>393</v>
      </c>
      <c r="E2868" s="538" t="s">
        <v>212</v>
      </c>
      <c r="F2868" s="538">
        <v>11328</v>
      </c>
      <c r="G2868" s="538">
        <v>1</v>
      </c>
    </row>
    <row r="2869" spans="1:7" x14ac:dyDescent="0.2">
      <c r="A2869" s="538">
        <v>3</v>
      </c>
      <c r="B2869" s="538" t="s">
        <v>6586</v>
      </c>
      <c r="C2869" s="538" t="s">
        <v>740</v>
      </c>
      <c r="D2869" s="538" t="s">
        <v>393</v>
      </c>
      <c r="E2869" s="538" t="s">
        <v>402</v>
      </c>
      <c r="F2869" s="538">
        <v>288156</v>
      </c>
      <c r="G2869" s="538">
        <v>22</v>
      </c>
    </row>
    <row r="2870" spans="1:7" x14ac:dyDescent="0.2">
      <c r="A2870" s="538">
        <v>1</v>
      </c>
      <c r="B2870" s="538" t="s">
        <v>6581</v>
      </c>
      <c r="C2870" s="538" t="s">
        <v>740</v>
      </c>
      <c r="D2870" s="538" t="s">
        <v>393</v>
      </c>
      <c r="E2870" s="538" t="s">
        <v>449</v>
      </c>
      <c r="F2870" s="538">
        <v>584808</v>
      </c>
      <c r="G2870" s="538">
        <v>26</v>
      </c>
    </row>
    <row r="2871" spans="1:7" x14ac:dyDescent="0.2">
      <c r="A2871" s="538">
        <v>9</v>
      </c>
      <c r="B2871" s="538" t="s">
        <v>948</v>
      </c>
      <c r="C2871" s="538" t="s">
        <v>393</v>
      </c>
      <c r="D2871" s="538" t="s">
        <v>393</v>
      </c>
      <c r="E2871" s="538" t="s">
        <v>211</v>
      </c>
      <c r="F2871" s="538">
        <v>13738137</v>
      </c>
      <c r="G2871" s="538">
        <v>214</v>
      </c>
    </row>
    <row r="2872" spans="1:7" x14ac:dyDescent="0.2">
      <c r="A2872" s="538">
        <v>3</v>
      </c>
      <c r="B2872" s="538" t="s">
        <v>6586</v>
      </c>
      <c r="C2872" s="538" t="s">
        <v>740</v>
      </c>
      <c r="D2872" s="538" t="s">
        <v>393</v>
      </c>
      <c r="E2872" s="538" t="s">
        <v>409</v>
      </c>
      <c r="F2872" s="538">
        <v>1913443</v>
      </c>
      <c r="G2872" s="538">
        <v>41</v>
      </c>
    </row>
    <row r="2873" spans="1:7" x14ac:dyDescent="0.2">
      <c r="A2873" s="538">
        <v>6</v>
      </c>
      <c r="B2873" s="538" t="s">
        <v>6433</v>
      </c>
      <c r="C2873" s="538" t="s">
        <v>740</v>
      </c>
      <c r="D2873" s="538" t="s">
        <v>393</v>
      </c>
      <c r="E2873" s="538" t="s">
        <v>211</v>
      </c>
      <c r="F2873" s="538">
        <v>45312</v>
      </c>
      <c r="G2873" s="538">
        <v>4</v>
      </c>
    </row>
    <row r="2874" spans="1:7" x14ac:dyDescent="0.2">
      <c r="A2874" s="538">
        <v>2</v>
      </c>
      <c r="B2874" s="538" t="s">
        <v>6656</v>
      </c>
      <c r="C2874" s="538" t="s">
        <v>740</v>
      </c>
      <c r="D2874" s="538" t="s">
        <v>393</v>
      </c>
      <c r="E2874" s="538" t="s">
        <v>860</v>
      </c>
      <c r="F2874" s="538">
        <v>384798</v>
      </c>
      <c r="G2874" s="538">
        <v>16</v>
      </c>
    </row>
    <row r="2875" spans="1:7" x14ac:dyDescent="0.2">
      <c r="A2875" s="538">
        <v>6</v>
      </c>
      <c r="B2875" s="538" t="s">
        <v>6575</v>
      </c>
      <c r="C2875" s="538" t="s">
        <v>740</v>
      </c>
      <c r="D2875" s="538" t="s">
        <v>393</v>
      </c>
      <c r="E2875" s="538" t="s">
        <v>416</v>
      </c>
      <c r="F2875" s="538">
        <v>1063947</v>
      </c>
      <c r="G2875" s="538">
        <v>49</v>
      </c>
    </row>
    <row r="2876" spans="1:7" x14ac:dyDescent="0.2">
      <c r="A2876" s="538">
        <v>7</v>
      </c>
      <c r="B2876" s="538" t="s">
        <v>6655</v>
      </c>
      <c r="C2876" s="538" t="s">
        <v>393</v>
      </c>
      <c r="D2876" s="538" t="s">
        <v>393</v>
      </c>
      <c r="E2876" s="538" t="s">
        <v>313</v>
      </c>
      <c r="F2876" s="538">
        <v>1217833</v>
      </c>
      <c r="G2876" s="538">
        <v>6</v>
      </c>
    </row>
    <row r="2877" spans="1:7" x14ac:dyDescent="0.2">
      <c r="A2877" s="538">
        <v>2</v>
      </c>
      <c r="B2877" s="538" t="s">
        <v>6585</v>
      </c>
      <c r="C2877" s="538" t="s">
        <v>740</v>
      </c>
      <c r="D2877" s="538" t="s">
        <v>393</v>
      </c>
      <c r="E2877" s="538" t="s">
        <v>207</v>
      </c>
      <c r="F2877" s="538">
        <v>3088369</v>
      </c>
      <c r="G2877" s="538">
        <v>178</v>
      </c>
    </row>
    <row r="2878" spans="1:7" x14ac:dyDescent="0.2">
      <c r="A2878" s="538">
        <v>1</v>
      </c>
      <c r="B2878" s="538" t="s">
        <v>6602</v>
      </c>
      <c r="C2878" s="538" t="s">
        <v>740</v>
      </c>
      <c r="D2878" s="538" t="s">
        <v>393</v>
      </c>
      <c r="E2878" s="538" t="s">
        <v>860</v>
      </c>
      <c r="F2878" s="538">
        <v>56640</v>
      </c>
      <c r="G2878" s="538">
        <v>5</v>
      </c>
    </row>
    <row r="2879" spans="1:7" x14ac:dyDescent="0.2">
      <c r="A2879" s="538">
        <v>4</v>
      </c>
      <c r="B2879" s="538" t="s">
        <v>6593</v>
      </c>
      <c r="C2879" s="538" t="s">
        <v>740</v>
      </c>
      <c r="D2879" s="538" t="s">
        <v>740</v>
      </c>
      <c r="E2879" s="538" t="s">
        <v>409</v>
      </c>
      <c r="F2879" s="538">
        <v>1751894</v>
      </c>
      <c r="G2879" s="538">
        <v>73</v>
      </c>
    </row>
    <row r="2880" spans="1:7" x14ac:dyDescent="0.2">
      <c r="A2880" s="538">
        <v>4</v>
      </c>
      <c r="B2880" s="538" t="s">
        <v>6562</v>
      </c>
      <c r="C2880" s="538" t="s">
        <v>740</v>
      </c>
      <c r="D2880" s="538" t="s">
        <v>393</v>
      </c>
      <c r="E2880" s="538" t="s">
        <v>210</v>
      </c>
      <c r="F2880" s="538">
        <v>250278</v>
      </c>
      <c r="G2880" s="538">
        <v>11</v>
      </c>
    </row>
    <row r="2881" spans="1:7" x14ac:dyDescent="0.2">
      <c r="A2881" s="538">
        <v>11</v>
      </c>
      <c r="B2881" s="538" t="s">
        <v>6584</v>
      </c>
      <c r="C2881" s="538" t="s">
        <v>740</v>
      </c>
      <c r="D2881" s="538" t="s">
        <v>393</v>
      </c>
      <c r="E2881" s="538" t="s">
        <v>416</v>
      </c>
      <c r="F2881" s="538">
        <v>84252</v>
      </c>
      <c r="G2881" s="538">
        <v>4</v>
      </c>
    </row>
    <row r="2882" spans="1:7" x14ac:dyDescent="0.2">
      <c r="A2882" s="538">
        <v>4</v>
      </c>
      <c r="B2882" s="538" t="s">
        <v>6574</v>
      </c>
      <c r="C2882" s="538" t="s">
        <v>393</v>
      </c>
      <c r="D2882" s="538" t="s">
        <v>393</v>
      </c>
      <c r="E2882" s="538" t="s">
        <v>313</v>
      </c>
      <c r="F2882" s="538">
        <v>706355</v>
      </c>
      <c r="G2882" s="538">
        <v>5</v>
      </c>
    </row>
    <row r="2883" spans="1:7" x14ac:dyDescent="0.2">
      <c r="A2883" s="538">
        <v>11</v>
      </c>
      <c r="B2883" s="538" t="s">
        <v>6584</v>
      </c>
      <c r="C2883" s="538" t="s">
        <v>740</v>
      </c>
      <c r="D2883" s="538" t="s">
        <v>393</v>
      </c>
      <c r="E2883" s="538" t="s">
        <v>409</v>
      </c>
      <c r="F2883" s="538">
        <v>2277834</v>
      </c>
      <c r="G2883" s="538">
        <v>38</v>
      </c>
    </row>
    <row r="2884" spans="1:7" x14ac:dyDescent="0.2">
      <c r="A2884" s="538">
        <v>6</v>
      </c>
      <c r="B2884" s="538" t="s">
        <v>6429</v>
      </c>
      <c r="C2884" s="538" t="s">
        <v>740</v>
      </c>
      <c r="D2884" s="538" t="s">
        <v>740</v>
      </c>
      <c r="E2884" s="538" t="s">
        <v>202</v>
      </c>
      <c r="F2884" s="538">
        <v>74163</v>
      </c>
      <c r="G2884" s="538">
        <v>1</v>
      </c>
    </row>
    <row r="2885" spans="1:7" x14ac:dyDescent="0.2">
      <c r="A2885" s="538">
        <v>5</v>
      </c>
      <c r="B2885" s="538" t="s">
        <v>6568</v>
      </c>
      <c r="C2885" s="538" t="s">
        <v>740</v>
      </c>
      <c r="D2885" s="538" t="s">
        <v>393</v>
      </c>
      <c r="E2885" s="538" t="s">
        <v>202</v>
      </c>
      <c r="F2885" s="538">
        <v>2533901</v>
      </c>
      <c r="G2885" s="538">
        <v>22</v>
      </c>
    </row>
    <row r="2886" spans="1:7" x14ac:dyDescent="0.2">
      <c r="A2886" s="538">
        <v>11</v>
      </c>
      <c r="B2886" s="538" t="s">
        <v>6592</v>
      </c>
      <c r="C2886" s="538" t="s">
        <v>740</v>
      </c>
      <c r="D2886" s="538" t="s">
        <v>393</v>
      </c>
      <c r="E2886" s="538" t="s">
        <v>313</v>
      </c>
      <c r="F2886" s="538">
        <v>1995873</v>
      </c>
      <c r="G2886" s="538">
        <v>11</v>
      </c>
    </row>
    <row r="2887" spans="1:7" x14ac:dyDescent="0.2">
      <c r="A2887" s="538">
        <v>8</v>
      </c>
      <c r="B2887" s="538" t="s">
        <v>6570</v>
      </c>
      <c r="C2887" s="538" t="s">
        <v>740</v>
      </c>
      <c r="D2887" s="538" t="s">
        <v>393</v>
      </c>
      <c r="E2887" s="538" t="s">
        <v>210</v>
      </c>
      <c r="F2887" s="538">
        <v>242844</v>
      </c>
      <c r="G2887" s="538">
        <v>18</v>
      </c>
    </row>
    <row r="2888" spans="1:7" x14ac:dyDescent="0.2">
      <c r="A2888" s="538">
        <v>4</v>
      </c>
      <c r="B2888" s="538" t="s">
        <v>6562</v>
      </c>
      <c r="C2888" s="538" t="s">
        <v>740</v>
      </c>
      <c r="D2888" s="538" t="s">
        <v>393</v>
      </c>
      <c r="E2888" s="538" t="s">
        <v>390</v>
      </c>
      <c r="F2888" s="538">
        <v>541974</v>
      </c>
      <c r="G2888" s="538">
        <v>23</v>
      </c>
    </row>
    <row r="2889" spans="1:7" x14ac:dyDescent="0.2">
      <c r="A2889" s="538">
        <v>11</v>
      </c>
      <c r="B2889" s="538" t="s">
        <v>6584</v>
      </c>
      <c r="C2889" s="538" t="s">
        <v>740</v>
      </c>
      <c r="D2889" s="538" t="s">
        <v>393</v>
      </c>
      <c r="E2889" s="538" t="s">
        <v>230</v>
      </c>
      <c r="F2889" s="538">
        <v>971907</v>
      </c>
      <c r="G2889" s="538">
        <v>29</v>
      </c>
    </row>
    <row r="2890" spans="1:7" x14ac:dyDescent="0.2">
      <c r="A2890" s="538">
        <v>6</v>
      </c>
      <c r="B2890" s="538" t="s">
        <v>6607</v>
      </c>
      <c r="C2890" s="538" t="s">
        <v>740</v>
      </c>
      <c r="D2890" s="538" t="s">
        <v>393</v>
      </c>
      <c r="E2890" s="538" t="s">
        <v>209</v>
      </c>
      <c r="F2890" s="538">
        <v>10656640</v>
      </c>
      <c r="G2890" s="538">
        <v>50</v>
      </c>
    </row>
    <row r="2891" spans="1:7" x14ac:dyDescent="0.2">
      <c r="A2891" s="538">
        <v>9</v>
      </c>
      <c r="B2891" s="538" t="s">
        <v>6615</v>
      </c>
      <c r="C2891" s="538" t="s">
        <v>393</v>
      </c>
      <c r="D2891" s="538" t="s">
        <v>740</v>
      </c>
      <c r="E2891" s="538" t="s">
        <v>438</v>
      </c>
      <c r="F2891" s="538">
        <v>604580</v>
      </c>
      <c r="G2891" s="538">
        <v>5</v>
      </c>
    </row>
    <row r="2892" spans="1:7" x14ac:dyDescent="0.2">
      <c r="A2892" s="538">
        <v>11</v>
      </c>
      <c r="B2892" s="538" t="s">
        <v>6584</v>
      </c>
      <c r="C2892" s="538" t="s">
        <v>393</v>
      </c>
      <c r="D2892" s="538" t="s">
        <v>740</v>
      </c>
      <c r="E2892" s="538" t="s">
        <v>390</v>
      </c>
      <c r="F2892" s="538">
        <v>607110</v>
      </c>
      <c r="G2892" s="538">
        <v>10</v>
      </c>
    </row>
    <row r="2893" spans="1:7" x14ac:dyDescent="0.2">
      <c r="A2893" s="538">
        <v>11</v>
      </c>
      <c r="B2893" s="538" t="s">
        <v>6660</v>
      </c>
      <c r="C2893" s="538" t="s">
        <v>393</v>
      </c>
      <c r="D2893" s="538" t="s">
        <v>393</v>
      </c>
      <c r="E2893" s="538" t="s">
        <v>230</v>
      </c>
      <c r="F2893" s="538">
        <v>10199459</v>
      </c>
      <c r="G2893" s="538">
        <v>223</v>
      </c>
    </row>
    <row r="2894" spans="1:7" x14ac:dyDescent="0.2">
      <c r="A2894" s="538">
        <v>6</v>
      </c>
      <c r="B2894" s="538" t="s">
        <v>6575</v>
      </c>
      <c r="C2894" s="538" t="s">
        <v>740</v>
      </c>
      <c r="D2894" s="538" t="s">
        <v>393</v>
      </c>
      <c r="E2894" s="538" t="s">
        <v>390</v>
      </c>
      <c r="F2894" s="538">
        <v>401259</v>
      </c>
      <c r="G2894" s="538">
        <v>23</v>
      </c>
    </row>
    <row r="2895" spans="1:7" x14ac:dyDescent="0.2">
      <c r="A2895" s="538">
        <v>3</v>
      </c>
      <c r="B2895" s="538" t="s">
        <v>6561</v>
      </c>
      <c r="C2895" s="538" t="s">
        <v>740</v>
      </c>
      <c r="D2895" s="538" t="s">
        <v>740</v>
      </c>
      <c r="E2895" s="538" t="s">
        <v>449</v>
      </c>
      <c r="F2895" s="538">
        <v>67968</v>
      </c>
      <c r="G2895" s="538">
        <v>6</v>
      </c>
    </row>
    <row r="2896" spans="1:7" x14ac:dyDescent="0.2">
      <c r="A2896" s="538">
        <v>9</v>
      </c>
      <c r="B2896" s="538" t="s">
        <v>948</v>
      </c>
      <c r="C2896" s="538" t="s">
        <v>393</v>
      </c>
      <c r="D2896" s="538" t="s">
        <v>393</v>
      </c>
      <c r="E2896" s="538" t="s">
        <v>207</v>
      </c>
      <c r="F2896" s="538">
        <v>9514625</v>
      </c>
      <c r="G2896" s="538">
        <v>435</v>
      </c>
    </row>
    <row r="2897" spans="1:7" x14ac:dyDescent="0.2">
      <c r="A2897" s="538">
        <v>11</v>
      </c>
      <c r="B2897" s="538" t="s">
        <v>6592</v>
      </c>
      <c r="C2897" s="538" t="s">
        <v>740</v>
      </c>
      <c r="D2897" s="538" t="s">
        <v>393</v>
      </c>
      <c r="E2897" s="538" t="s">
        <v>211</v>
      </c>
      <c r="F2897" s="538">
        <v>22656</v>
      </c>
      <c r="G2897" s="538">
        <v>2</v>
      </c>
    </row>
    <row r="2898" spans="1:7" x14ac:dyDescent="0.2">
      <c r="A2898" s="538">
        <v>2</v>
      </c>
      <c r="B2898" s="538" t="s">
        <v>6576</v>
      </c>
      <c r="C2898" s="538" t="s">
        <v>393</v>
      </c>
      <c r="D2898" s="538" t="s">
        <v>740</v>
      </c>
      <c r="E2898" s="538" t="s">
        <v>449</v>
      </c>
      <c r="F2898" s="538">
        <v>249216</v>
      </c>
      <c r="G2898" s="538">
        <v>22</v>
      </c>
    </row>
    <row r="2899" spans="1:7" x14ac:dyDescent="0.2">
      <c r="A2899" s="538">
        <v>2</v>
      </c>
      <c r="B2899" s="538" t="s">
        <v>6055</v>
      </c>
      <c r="C2899" s="538" t="s">
        <v>740</v>
      </c>
      <c r="D2899" s="538" t="s">
        <v>740</v>
      </c>
      <c r="E2899" s="538" t="s">
        <v>390</v>
      </c>
      <c r="F2899" s="538">
        <v>186204</v>
      </c>
      <c r="G2899" s="538">
        <v>13</v>
      </c>
    </row>
    <row r="2900" spans="1:7" x14ac:dyDescent="0.2">
      <c r="A2900" s="538">
        <v>2</v>
      </c>
      <c r="B2900" s="538" t="s">
        <v>6055</v>
      </c>
      <c r="C2900" s="538" t="s">
        <v>393</v>
      </c>
      <c r="D2900" s="538" t="s">
        <v>393</v>
      </c>
      <c r="E2900" s="538" t="s">
        <v>230</v>
      </c>
      <c r="F2900" s="538">
        <v>2897511</v>
      </c>
      <c r="G2900" s="538">
        <v>47</v>
      </c>
    </row>
    <row r="2901" spans="1:7" x14ac:dyDescent="0.2">
      <c r="A2901" s="538">
        <v>3</v>
      </c>
      <c r="B2901" s="538" t="s">
        <v>6586</v>
      </c>
      <c r="C2901" s="538" t="s">
        <v>740</v>
      </c>
      <c r="D2901" s="538" t="s">
        <v>393</v>
      </c>
      <c r="E2901" s="538" t="s">
        <v>210</v>
      </c>
      <c r="F2901" s="538">
        <v>339840</v>
      </c>
      <c r="G2901" s="538">
        <v>30</v>
      </c>
    </row>
    <row r="2902" spans="1:7" x14ac:dyDescent="0.2">
      <c r="A2902" s="538">
        <v>1</v>
      </c>
      <c r="B2902" s="538" t="s">
        <v>6581</v>
      </c>
      <c r="C2902" s="538" t="s">
        <v>740</v>
      </c>
      <c r="D2902" s="538" t="s">
        <v>393</v>
      </c>
      <c r="E2902" s="538" t="s">
        <v>390</v>
      </c>
      <c r="F2902" s="538">
        <v>652776</v>
      </c>
      <c r="G2902" s="538">
        <v>37</v>
      </c>
    </row>
    <row r="2903" spans="1:7" x14ac:dyDescent="0.2">
      <c r="A2903" s="538">
        <v>2</v>
      </c>
      <c r="B2903" s="538" t="s">
        <v>6585</v>
      </c>
      <c r="C2903" s="538" t="s">
        <v>740</v>
      </c>
      <c r="D2903" s="538" t="s">
        <v>393</v>
      </c>
      <c r="E2903" s="538" t="s">
        <v>207</v>
      </c>
      <c r="F2903" s="538">
        <v>197532</v>
      </c>
      <c r="G2903" s="538">
        <v>14</v>
      </c>
    </row>
    <row r="2904" spans="1:7" x14ac:dyDescent="0.2">
      <c r="A2904" s="538">
        <v>2</v>
      </c>
      <c r="B2904" s="538" t="s">
        <v>6662</v>
      </c>
      <c r="C2904" s="538" t="s">
        <v>393</v>
      </c>
      <c r="D2904" s="538" t="s">
        <v>393</v>
      </c>
      <c r="E2904" s="538" t="s">
        <v>210</v>
      </c>
      <c r="F2904" s="538">
        <v>941994</v>
      </c>
      <c r="G2904" s="538">
        <v>43</v>
      </c>
    </row>
    <row r="2905" spans="1:7" x14ac:dyDescent="0.2">
      <c r="A2905" s="538">
        <v>4</v>
      </c>
      <c r="B2905" s="538" t="s">
        <v>6562</v>
      </c>
      <c r="C2905" s="538" t="s">
        <v>393</v>
      </c>
      <c r="D2905" s="538" t="s">
        <v>393</v>
      </c>
      <c r="E2905" s="538" t="s">
        <v>409</v>
      </c>
      <c r="F2905" s="538">
        <v>2244433</v>
      </c>
      <c r="G2905" s="538">
        <v>71</v>
      </c>
    </row>
    <row r="2906" spans="1:7" x14ac:dyDescent="0.2">
      <c r="A2906" s="538">
        <v>9</v>
      </c>
      <c r="B2906" s="538" t="s">
        <v>6606</v>
      </c>
      <c r="C2906" s="538" t="s">
        <v>740</v>
      </c>
      <c r="D2906" s="538" t="s">
        <v>393</v>
      </c>
      <c r="E2906" s="538" t="s">
        <v>416</v>
      </c>
      <c r="F2906" s="538">
        <v>22656</v>
      </c>
      <c r="G2906" s="538">
        <v>2</v>
      </c>
    </row>
    <row r="2907" spans="1:7" x14ac:dyDescent="0.2">
      <c r="A2907" s="538">
        <v>1</v>
      </c>
      <c r="B2907" s="538" t="s">
        <v>1288</v>
      </c>
      <c r="C2907" s="538" t="s">
        <v>740</v>
      </c>
      <c r="D2907" s="538" t="s">
        <v>393</v>
      </c>
      <c r="E2907" s="538" t="s">
        <v>209</v>
      </c>
      <c r="F2907" s="538">
        <v>496433</v>
      </c>
      <c r="G2907" s="538">
        <v>1</v>
      </c>
    </row>
    <row r="2908" spans="1:7" x14ac:dyDescent="0.2">
      <c r="A2908" s="538">
        <v>12</v>
      </c>
      <c r="B2908" s="538" t="s">
        <v>6563</v>
      </c>
      <c r="C2908" s="538" t="s">
        <v>740</v>
      </c>
      <c r="D2908" s="538" t="s">
        <v>393</v>
      </c>
      <c r="E2908" s="538" t="s">
        <v>211</v>
      </c>
      <c r="F2908" s="538">
        <v>10483450</v>
      </c>
      <c r="G2908" s="538">
        <v>335</v>
      </c>
    </row>
    <row r="2909" spans="1:7" x14ac:dyDescent="0.2">
      <c r="A2909" s="538">
        <v>9</v>
      </c>
      <c r="B2909" s="538" t="s">
        <v>6614</v>
      </c>
      <c r="C2909" s="538" t="s">
        <v>740</v>
      </c>
      <c r="D2909" s="538" t="s">
        <v>393</v>
      </c>
      <c r="E2909" s="538" t="s">
        <v>401</v>
      </c>
      <c r="F2909" s="538">
        <v>96819</v>
      </c>
      <c r="G2909" s="538">
        <v>3</v>
      </c>
    </row>
    <row r="2910" spans="1:7" x14ac:dyDescent="0.2">
      <c r="A2910" s="538">
        <v>1</v>
      </c>
      <c r="B2910" s="538" t="s">
        <v>6602</v>
      </c>
      <c r="C2910" s="538" t="s">
        <v>740</v>
      </c>
      <c r="D2910" s="538" t="s">
        <v>393</v>
      </c>
      <c r="E2910" s="538" t="s">
        <v>212</v>
      </c>
      <c r="F2910" s="538">
        <v>3350079</v>
      </c>
      <c r="G2910" s="538">
        <v>273</v>
      </c>
    </row>
    <row r="2911" spans="1:7" x14ac:dyDescent="0.2">
      <c r="A2911" s="538">
        <v>1</v>
      </c>
      <c r="B2911" s="538" t="s">
        <v>6581</v>
      </c>
      <c r="C2911" s="538" t="s">
        <v>740</v>
      </c>
      <c r="D2911" s="538" t="s">
        <v>393</v>
      </c>
      <c r="E2911" s="538" t="s">
        <v>209</v>
      </c>
      <c r="F2911" s="538">
        <v>20854548</v>
      </c>
      <c r="G2911" s="538">
        <v>106</v>
      </c>
    </row>
    <row r="2912" spans="1:7" x14ac:dyDescent="0.2">
      <c r="A2912" s="538">
        <v>1</v>
      </c>
      <c r="B2912" s="538" t="s">
        <v>6649</v>
      </c>
      <c r="C2912" s="538" t="s">
        <v>393</v>
      </c>
      <c r="D2912" s="538" t="s">
        <v>393</v>
      </c>
      <c r="E2912" s="538" t="s">
        <v>419</v>
      </c>
      <c r="F2912" s="538">
        <v>22656</v>
      </c>
      <c r="G2912" s="538">
        <v>2</v>
      </c>
    </row>
    <row r="2913" spans="1:7" x14ac:dyDescent="0.2">
      <c r="A2913" s="538">
        <v>1</v>
      </c>
      <c r="B2913" s="538" t="s">
        <v>1288</v>
      </c>
      <c r="C2913" s="538" t="s">
        <v>740</v>
      </c>
      <c r="D2913" s="538" t="s">
        <v>393</v>
      </c>
      <c r="E2913" s="538" t="s">
        <v>402</v>
      </c>
      <c r="F2913" s="538">
        <v>153459</v>
      </c>
      <c r="G2913" s="538">
        <v>8</v>
      </c>
    </row>
    <row r="2914" spans="1:7" x14ac:dyDescent="0.2">
      <c r="A2914" s="538">
        <v>2</v>
      </c>
      <c r="B2914" s="538" t="s">
        <v>6573</v>
      </c>
      <c r="C2914" s="538" t="s">
        <v>740</v>
      </c>
      <c r="D2914" s="538" t="s">
        <v>393</v>
      </c>
      <c r="E2914" s="538" t="s">
        <v>210</v>
      </c>
      <c r="F2914" s="538">
        <v>3012082</v>
      </c>
      <c r="G2914" s="538">
        <v>134</v>
      </c>
    </row>
    <row r="2915" spans="1:7" x14ac:dyDescent="0.2">
      <c r="A2915" s="538">
        <v>4</v>
      </c>
      <c r="B2915" s="538" t="s">
        <v>6562</v>
      </c>
      <c r="C2915" s="538" t="s">
        <v>393</v>
      </c>
      <c r="D2915" s="538" t="s">
        <v>740</v>
      </c>
      <c r="E2915" s="538" t="s">
        <v>438</v>
      </c>
      <c r="F2915" s="538">
        <v>145848</v>
      </c>
      <c r="G2915" s="538">
        <v>6</v>
      </c>
    </row>
    <row r="2916" spans="1:7" x14ac:dyDescent="0.2">
      <c r="A2916" s="538">
        <v>11</v>
      </c>
      <c r="B2916" s="538" t="s">
        <v>6592</v>
      </c>
      <c r="C2916" s="538" t="s">
        <v>740</v>
      </c>
      <c r="D2916" s="538" t="s">
        <v>740</v>
      </c>
      <c r="E2916" s="538" t="s">
        <v>202</v>
      </c>
      <c r="F2916" s="538">
        <v>2924665</v>
      </c>
      <c r="G2916" s="538">
        <v>15</v>
      </c>
    </row>
    <row r="2917" spans="1:7" x14ac:dyDescent="0.2">
      <c r="A2917" s="538">
        <v>1</v>
      </c>
      <c r="B2917" s="538" t="s">
        <v>6609</v>
      </c>
      <c r="C2917" s="538" t="s">
        <v>393</v>
      </c>
      <c r="D2917" s="538" t="s">
        <v>393</v>
      </c>
      <c r="E2917" s="538" t="s">
        <v>211</v>
      </c>
      <c r="F2917" s="538">
        <v>16330271</v>
      </c>
      <c r="G2917" s="538">
        <v>177</v>
      </c>
    </row>
    <row r="2918" spans="1:7" x14ac:dyDescent="0.2">
      <c r="A2918" s="538">
        <v>1</v>
      </c>
      <c r="B2918" s="538" t="s">
        <v>6602</v>
      </c>
      <c r="C2918" s="538" t="s">
        <v>740</v>
      </c>
      <c r="D2918" s="538" t="s">
        <v>393</v>
      </c>
      <c r="E2918" s="538" t="s">
        <v>401</v>
      </c>
      <c r="F2918" s="538">
        <v>255411</v>
      </c>
      <c r="G2918" s="538">
        <v>17</v>
      </c>
    </row>
    <row r="2919" spans="1:7" x14ac:dyDescent="0.2">
      <c r="A2919" s="538">
        <v>3</v>
      </c>
      <c r="B2919" s="538" t="s">
        <v>6603</v>
      </c>
      <c r="C2919" s="538" t="s">
        <v>740</v>
      </c>
      <c r="D2919" s="538" t="s">
        <v>393</v>
      </c>
      <c r="E2919" s="538" t="s">
        <v>211</v>
      </c>
      <c r="F2919" s="538">
        <v>113280</v>
      </c>
      <c r="G2919" s="538">
        <v>10</v>
      </c>
    </row>
    <row r="2920" spans="1:7" x14ac:dyDescent="0.2">
      <c r="A2920" s="538">
        <v>10</v>
      </c>
      <c r="B2920" s="538" t="s">
        <v>6653</v>
      </c>
      <c r="C2920" s="538" t="s">
        <v>740</v>
      </c>
      <c r="D2920" s="538" t="s">
        <v>740</v>
      </c>
      <c r="E2920" s="538" t="s">
        <v>390</v>
      </c>
      <c r="F2920" s="538">
        <v>465333</v>
      </c>
      <c r="G2920" s="538">
        <v>21</v>
      </c>
    </row>
    <row r="2921" spans="1:7" x14ac:dyDescent="0.2">
      <c r="A2921" s="538">
        <v>4</v>
      </c>
      <c r="B2921" s="538" t="s">
        <v>6593</v>
      </c>
      <c r="C2921" s="538" t="s">
        <v>740</v>
      </c>
      <c r="D2921" s="538" t="s">
        <v>393</v>
      </c>
      <c r="E2921" s="538" t="s">
        <v>401</v>
      </c>
      <c r="F2921" s="538">
        <v>507761</v>
      </c>
      <c r="G2921" s="538">
        <v>2</v>
      </c>
    </row>
    <row r="2922" spans="1:7" x14ac:dyDescent="0.2">
      <c r="A2922" s="538">
        <v>10</v>
      </c>
      <c r="B2922" s="538" t="s">
        <v>6582</v>
      </c>
      <c r="C2922" s="538" t="s">
        <v>393</v>
      </c>
      <c r="D2922" s="538" t="s">
        <v>393</v>
      </c>
      <c r="E2922" s="538" t="s">
        <v>419</v>
      </c>
      <c r="F2922" s="538">
        <v>22656</v>
      </c>
      <c r="G2922" s="538">
        <v>2</v>
      </c>
    </row>
    <row r="2923" spans="1:7" x14ac:dyDescent="0.2">
      <c r="A2923" s="538">
        <v>10</v>
      </c>
      <c r="B2923" s="538" t="s">
        <v>6587</v>
      </c>
      <c r="C2923" s="538" t="s">
        <v>740</v>
      </c>
      <c r="D2923" s="538" t="s">
        <v>393</v>
      </c>
      <c r="E2923" s="538" t="s">
        <v>390</v>
      </c>
      <c r="F2923" s="538">
        <v>9433288</v>
      </c>
      <c r="G2923" s="538">
        <v>356</v>
      </c>
    </row>
    <row r="2924" spans="1:7" x14ac:dyDescent="0.2">
      <c r="A2924" s="538">
        <v>6</v>
      </c>
      <c r="B2924" s="538" t="s">
        <v>6429</v>
      </c>
      <c r="C2924" s="538" t="s">
        <v>740</v>
      </c>
      <c r="D2924" s="538" t="s">
        <v>393</v>
      </c>
      <c r="E2924" s="538" t="s">
        <v>860</v>
      </c>
      <c r="F2924" s="538">
        <v>85491</v>
      </c>
      <c r="G2924" s="538">
        <v>2</v>
      </c>
    </row>
    <row r="2925" spans="1:7" x14ac:dyDescent="0.2">
      <c r="A2925" s="538">
        <v>1</v>
      </c>
      <c r="B2925" s="538" t="s">
        <v>6663</v>
      </c>
      <c r="C2925" s="538" t="s">
        <v>393</v>
      </c>
      <c r="D2925" s="538" t="s">
        <v>393</v>
      </c>
      <c r="E2925" s="538" t="s">
        <v>449</v>
      </c>
      <c r="F2925" s="538">
        <v>124608</v>
      </c>
      <c r="G2925" s="538">
        <v>11</v>
      </c>
    </row>
    <row r="2926" spans="1:7" x14ac:dyDescent="0.2">
      <c r="A2926" s="538">
        <v>4</v>
      </c>
      <c r="B2926" s="538" t="s">
        <v>6572</v>
      </c>
      <c r="C2926" s="538" t="s">
        <v>740</v>
      </c>
      <c r="D2926" s="538" t="s">
        <v>740</v>
      </c>
      <c r="E2926" s="538" t="s">
        <v>449</v>
      </c>
      <c r="F2926" s="538">
        <v>843051</v>
      </c>
      <c r="G2926" s="538">
        <v>62</v>
      </c>
    </row>
    <row r="2927" spans="1:7" x14ac:dyDescent="0.2">
      <c r="A2927" s="538">
        <v>7</v>
      </c>
      <c r="B2927" s="538" t="s">
        <v>6661</v>
      </c>
      <c r="C2927" s="538" t="s">
        <v>393</v>
      </c>
      <c r="D2927" s="538" t="s">
        <v>393</v>
      </c>
      <c r="E2927" s="538" t="s">
        <v>860</v>
      </c>
      <c r="F2927" s="538">
        <v>915215</v>
      </c>
      <c r="G2927" s="538">
        <v>20</v>
      </c>
    </row>
    <row r="2928" spans="1:7" x14ac:dyDescent="0.2">
      <c r="A2928" s="538">
        <v>9</v>
      </c>
      <c r="B2928" s="538" t="s">
        <v>6615</v>
      </c>
      <c r="C2928" s="538" t="s">
        <v>393</v>
      </c>
      <c r="D2928" s="538" t="s">
        <v>393</v>
      </c>
      <c r="E2928" s="538" t="s">
        <v>409</v>
      </c>
      <c r="F2928" s="538">
        <v>2052086</v>
      </c>
      <c r="G2928" s="538">
        <v>67</v>
      </c>
    </row>
    <row r="2929" spans="1:7" x14ac:dyDescent="0.2">
      <c r="A2929" s="538">
        <v>8</v>
      </c>
      <c r="B2929" s="538" t="s">
        <v>6583</v>
      </c>
      <c r="C2929" s="538" t="s">
        <v>740</v>
      </c>
      <c r="D2929" s="538" t="s">
        <v>393</v>
      </c>
      <c r="E2929" s="538" t="s">
        <v>313</v>
      </c>
      <c r="F2929" s="538">
        <v>2684705</v>
      </c>
      <c r="G2929" s="538">
        <v>20</v>
      </c>
    </row>
    <row r="2930" spans="1:7" x14ac:dyDescent="0.2">
      <c r="A2930" s="538">
        <v>10</v>
      </c>
      <c r="B2930" s="538" t="s">
        <v>6582</v>
      </c>
      <c r="C2930" s="538" t="s">
        <v>740</v>
      </c>
      <c r="D2930" s="538" t="s">
        <v>740</v>
      </c>
      <c r="E2930" s="538" t="s">
        <v>211</v>
      </c>
      <c r="F2930" s="538">
        <v>85491</v>
      </c>
      <c r="G2930" s="538">
        <v>2</v>
      </c>
    </row>
    <row r="2931" spans="1:7" x14ac:dyDescent="0.2">
      <c r="A2931" s="538">
        <v>1</v>
      </c>
      <c r="B2931" s="538" t="s">
        <v>6646</v>
      </c>
      <c r="C2931" s="538" t="s">
        <v>393</v>
      </c>
      <c r="D2931" s="538" t="s">
        <v>393</v>
      </c>
      <c r="E2931" s="538" t="s">
        <v>211</v>
      </c>
      <c r="F2931" s="538">
        <v>18505591</v>
      </c>
      <c r="G2931" s="538">
        <v>177</v>
      </c>
    </row>
    <row r="2932" spans="1:7" x14ac:dyDescent="0.2">
      <c r="A2932" s="538">
        <v>3</v>
      </c>
      <c r="B2932" s="538" t="s">
        <v>6578</v>
      </c>
      <c r="C2932" s="538" t="s">
        <v>740</v>
      </c>
      <c r="D2932" s="538" t="s">
        <v>393</v>
      </c>
      <c r="E2932" s="538" t="s">
        <v>449</v>
      </c>
      <c r="F2932" s="538">
        <v>475599</v>
      </c>
      <c r="G2932" s="538">
        <v>33</v>
      </c>
    </row>
    <row r="2933" spans="1:7" x14ac:dyDescent="0.2">
      <c r="A2933" s="538">
        <v>10</v>
      </c>
      <c r="B2933" s="538" t="s">
        <v>6652</v>
      </c>
      <c r="C2933" s="538" t="s">
        <v>393</v>
      </c>
      <c r="D2933" s="538" t="s">
        <v>740</v>
      </c>
      <c r="E2933" s="538" t="s">
        <v>409</v>
      </c>
      <c r="F2933" s="538">
        <v>192399</v>
      </c>
      <c r="G2933" s="538">
        <v>8</v>
      </c>
    </row>
    <row r="2934" spans="1:7" x14ac:dyDescent="0.2">
      <c r="A2934" s="538">
        <v>11</v>
      </c>
      <c r="B2934" s="538" t="s">
        <v>6659</v>
      </c>
      <c r="C2934" s="538" t="s">
        <v>393</v>
      </c>
      <c r="D2934" s="538" t="s">
        <v>393</v>
      </c>
      <c r="E2934" s="538" t="s">
        <v>212</v>
      </c>
      <c r="F2934" s="538">
        <v>368691</v>
      </c>
      <c r="G2934" s="538">
        <v>27</v>
      </c>
    </row>
    <row r="2935" spans="1:7" x14ac:dyDescent="0.2">
      <c r="A2935" s="538">
        <v>3</v>
      </c>
      <c r="B2935" s="538" t="s">
        <v>1390</v>
      </c>
      <c r="C2935" s="538" t="s">
        <v>740</v>
      </c>
      <c r="D2935" s="538" t="s">
        <v>393</v>
      </c>
      <c r="E2935" s="538" t="s">
        <v>402</v>
      </c>
      <c r="F2935" s="538">
        <v>45312</v>
      </c>
      <c r="G2935" s="538">
        <v>4</v>
      </c>
    </row>
    <row r="2936" spans="1:7" x14ac:dyDescent="0.2">
      <c r="A2936" s="538">
        <v>4</v>
      </c>
      <c r="B2936" s="538" t="s">
        <v>6562</v>
      </c>
      <c r="C2936" s="538" t="s">
        <v>740</v>
      </c>
      <c r="D2936" s="538" t="s">
        <v>393</v>
      </c>
      <c r="E2936" s="538" t="s">
        <v>416</v>
      </c>
      <c r="F2936" s="538">
        <v>5312166</v>
      </c>
      <c r="G2936" s="538">
        <v>82</v>
      </c>
    </row>
    <row r="2937" spans="1:7" x14ac:dyDescent="0.2">
      <c r="A2937" s="538">
        <v>4</v>
      </c>
      <c r="B2937" s="538" t="s">
        <v>6562</v>
      </c>
      <c r="C2937" s="538" t="s">
        <v>740</v>
      </c>
      <c r="D2937" s="538" t="s">
        <v>393</v>
      </c>
      <c r="E2937" s="538" t="s">
        <v>313</v>
      </c>
      <c r="F2937" s="538">
        <v>50268</v>
      </c>
      <c r="G2937" s="538">
        <v>1</v>
      </c>
    </row>
    <row r="2938" spans="1:7" x14ac:dyDescent="0.2">
      <c r="A2938" s="538">
        <v>7</v>
      </c>
      <c r="B2938" s="538" t="s">
        <v>6579</v>
      </c>
      <c r="C2938" s="538" t="s">
        <v>393</v>
      </c>
      <c r="D2938" s="538" t="s">
        <v>393</v>
      </c>
      <c r="E2938" s="538" t="s">
        <v>230</v>
      </c>
      <c r="F2938" s="538">
        <v>6108083</v>
      </c>
      <c r="G2938" s="538">
        <v>101</v>
      </c>
    </row>
    <row r="2939" spans="1:7" x14ac:dyDescent="0.2">
      <c r="A2939" s="538">
        <v>4</v>
      </c>
      <c r="B2939" s="538" t="s">
        <v>6559</v>
      </c>
      <c r="C2939" s="538" t="s">
        <v>740</v>
      </c>
      <c r="D2939" s="538" t="s">
        <v>393</v>
      </c>
      <c r="E2939" s="538" t="s">
        <v>449</v>
      </c>
      <c r="F2939" s="538">
        <v>85491</v>
      </c>
      <c r="G2939" s="538">
        <v>2</v>
      </c>
    </row>
    <row r="2940" spans="1:7" x14ac:dyDescent="0.2">
      <c r="A2940" s="538">
        <v>7</v>
      </c>
      <c r="B2940" s="538" t="s">
        <v>6594</v>
      </c>
      <c r="C2940" s="538" t="s">
        <v>393</v>
      </c>
      <c r="D2940" s="538" t="s">
        <v>393</v>
      </c>
      <c r="E2940" s="538" t="s">
        <v>438</v>
      </c>
      <c r="F2940" s="538">
        <v>4309940</v>
      </c>
      <c r="G2940" s="538">
        <v>35</v>
      </c>
    </row>
    <row r="2941" spans="1:7" x14ac:dyDescent="0.2">
      <c r="A2941" s="538">
        <v>5</v>
      </c>
      <c r="B2941" s="538" t="s">
        <v>6566</v>
      </c>
      <c r="C2941" s="538" t="s">
        <v>740</v>
      </c>
      <c r="D2941" s="538" t="s">
        <v>393</v>
      </c>
      <c r="E2941" s="538" t="s">
        <v>409</v>
      </c>
      <c r="F2941" s="538">
        <v>11328</v>
      </c>
      <c r="G2941" s="538">
        <v>1</v>
      </c>
    </row>
    <row r="2942" spans="1:7" x14ac:dyDescent="0.2">
      <c r="A2942" s="538">
        <v>4</v>
      </c>
      <c r="B2942" s="538" t="s">
        <v>6593</v>
      </c>
      <c r="C2942" s="538" t="s">
        <v>740</v>
      </c>
      <c r="D2942" s="538" t="s">
        <v>393</v>
      </c>
      <c r="E2942" s="538" t="s">
        <v>212</v>
      </c>
      <c r="F2942" s="538">
        <v>119475</v>
      </c>
      <c r="G2942" s="538">
        <v>5</v>
      </c>
    </row>
    <row r="2943" spans="1:7" x14ac:dyDescent="0.2">
      <c r="A2943" s="538">
        <v>7</v>
      </c>
      <c r="B2943" s="538" t="s">
        <v>6604</v>
      </c>
      <c r="C2943" s="538" t="s">
        <v>393</v>
      </c>
      <c r="D2943" s="538" t="s">
        <v>393</v>
      </c>
      <c r="E2943" s="538" t="s">
        <v>202</v>
      </c>
      <c r="F2943" s="538">
        <v>6566055</v>
      </c>
      <c r="G2943" s="538">
        <v>55</v>
      </c>
    </row>
    <row r="2944" spans="1:7" x14ac:dyDescent="0.2">
      <c r="A2944" s="538">
        <v>8</v>
      </c>
      <c r="B2944" s="538" t="s">
        <v>6570</v>
      </c>
      <c r="C2944" s="538" t="s">
        <v>740</v>
      </c>
      <c r="D2944" s="538" t="s">
        <v>393</v>
      </c>
      <c r="E2944" s="538" t="s">
        <v>438</v>
      </c>
      <c r="F2944" s="538">
        <v>3563458</v>
      </c>
      <c r="G2944" s="538">
        <v>36</v>
      </c>
    </row>
    <row r="2945" spans="1:7" x14ac:dyDescent="0.2">
      <c r="A2945" s="538">
        <v>3</v>
      </c>
      <c r="B2945" s="538" t="s">
        <v>1390</v>
      </c>
      <c r="C2945" s="538" t="s">
        <v>393</v>
      </c>
      <c r="D2945" s="538" t="s">
        <v>740</v>
      </c>
      <c r="E2945" s="538" t="s">
        <v>202</v>
      </c>
      <c r="F2945" s="538">
        <v>108147</v>
      </c>
      <c r="G2945" s="538">
        <v>4</v>
      </c>
    </row>
    <row r="2946" spans="1:7" x14ac:dyDescent="0.2">
      <c r="A2946" s="538">
        <v>1</v>
      </c>
      <c r="B2946" s="538" t="s">
        <v>6649</v>
      </c>
      <c r="C2946" s="538" t="s">
        <v>740</v>
      </c>
      <c r="D2946" s="538" t="s">
        <v>393</v>
      </c>
      <c r="E2946" s="538" t="s">
        <v>409</v>
      </c>
      <c r="F2946" s="538">
        <v>33984</v>
      </c>
      <c r="G2946" s="538">
        <v>3</v>
      </c>
    </row>
    <row r="2947" spans="1:7" x14ac:dyDescent="0.2">
      <c r="A2947" s="538">
        <v>6</v>
      </c>
      <c r="B2947" s="538" t="s">
        <v>6596</v>
      </c>
      <c r="C2947" s="538" t="s">
        <v>740</v>
      </c>
      <c r="D2947" s="538" t="s">
        <v>393</v>
      </c>
      <c r="E2947" s="538" t="s">
        <v>438</v>
      </c>
      <c r="F2947" s="538">
        <v>730250</v>
      </c>
      <c r="G2947" s="538">
        <v>5</v>
      </c>
    </row>
    <row r="2948" spans="1:7" x14ac:dyDescent="0.2">
      <c r="A2948" s="538">
        <v>2</v>
      </c>
      <c r="B2948" s="538" t="s">
        <v>6656</v>
      </c>
      <c r="C2948" s="538" t="s">
        <v>393</v>
      </c>
      <c r="D2948" s="538" t="s">
        <v>393</v>
      </c>
      <c r="E2948" s="538" t="s">
        <v>206</v>
      </c>
      <c r="F2948" s="538">
        <v>33984</v>
      </c>
      <c r="G2948" s="538">
        <v>3</v>
      </c>
    </row>
    <row r="2949" spans="1:7" x14ac:dyDescent="0.2">
      <c r="A2949" s="538">
        <v>3</v>
      </c>
      <c r="B2949" s="538" t="s">
        <v>6586</v>
      </c>
      <c r="C2949" s="538" t="s">
        <v>740</v>
      </c>
      <c r="D2949" s="538" t="s">
        <v>740</v>
      </c>
      <c r="E2949" s="538" t="s">
        <v>860</v>
      </c>
      <c r="F2949" s="538">
        <v>198771</v>
      </c>
      <c r="G2949" s="538">
        <v>12</v>
      </c>
    </row>
    <row r="2950" spans="1:7" x14ac:dyDescent="0.2">
      <c r="A2950" s="538">
        <v>5</v>
      </c>
      <c r="B2950" s="538" t="s">
        <v>6651</v>
      </c>
      <c r="C2950" s="538" t="s">
        <v>740</v>
      </c>
      <c r="D2950" s="538" t="s">
        <v>393</v>
      </c>
      <c r="E2950" s="538" t="s">
        <v>209</v>
      </c>
      <c r="F2950" s="538">
        <v>1339786</v>
      </c>
      <c r="G2950" s="538">
        <v>7</v>
      </c>
    </row>
    <row r="2951" spans="1:7" x14ac:dyDescent="0.2">
      <c r="A2951" s="538">
        <v>4</v>
      </c>
      <c r="B2951" s="538" t="s">
        <v>6593</v>
      </c>
      <c r="C2951" s="538" t="s">
        <v>393</v>
      </c>
      <c r="D2951" s="538" t="s">
        <v>740</v>
      </c>
      <c r="E2951" s="538" t="s">
        <v>409</v>
      </c>
      <c r="F2951" s="538">
        <v>147264</v>
      </c>
      <c r="G2951" s="538">
        <v>13</v>
      </c>
    </row>
    <row r="2952" spans="1:7" x14ac:dyDescent="0.2">
      <c r="A2952" s="538">
        <v>4</v>
      </c>
      <c r="B2952" s="538" t="s">
        <v>6562</v>
      </c>
      <c r="C2952" s="538" t="s">
        <v>740</v>
      </c>
      <c r="D2952" s="538" t="s">
        <v>393</v>
      </c>
      <c r="E2952" s="538" t="s">
        <v>207</v>
      </c>
      <c r="F2952" s="538">
        <v>1167492</v>
      </c>
      <c r="G2952" s="538">
        <v>74</v>
      </c>
    </row>
    <row r="2953" spans="1:7" x14ac:dyDescent="0.2">
      <c r="A2953" s="538">
        <v>4</v>
      </c>
      <c r="B2953" s="538" t="s">
        <v>6593</v>
      </c>
      <c r="C2953" s="538" t="s">
        <v>740</v>
      </c>
      <c r="D2953" s="538" t="s">
        <v>740</v>
      </c>
      <c r="E2953" s="538" t="s">
        <v>212</v>
      </c>
      <c r="F2953" s="538">
        <v>323379</v>
      </c>
      <c r="G2953" s="538">
        <v>23</v>
      </c>
    </row>
    <row r="2954" spans="1:7" x14ac:dyDescent="0.2">
      <c r="A2954" s="538">
        <v>7</v>
      </c>
      <c r="B2954" s="538" t="s">
        <v>6564</v>
      </c>
      <c r="C2954" s="538" t="s">
        <v>740</v>
      </c>
      <c r="D2954" s="538" t="s">
        <v>740</v>
      </c>
      <c r="E2954" s="538" t="s">
        <v>409</v>
      </c>
      <c r="F2954" s="538">
        <v>113280</v>
      </c>
      <c r="G2954" s="538">
        <v>10</v>
      </c>
    </row>
    <row r="2955" spans="1:7" x14ac:dyDescent="0.2">
      <c r="A2955" s="538">
        <v>11</v>
      </c>
      <c r="B2955" s="538" t="s">
        <v>6610</v>
      </c>
      <c r="C2955" s="538" t="s">
        <v>740</v>
      </c>
      <c r="D2955" s="538" t="s">
        <v>393</v>
      </c>
      <c r="E2955" s="538" t="s">
        <v>207</v>
      </c>
      <c r="F2955" s="538">
        <v>6929977</v>
      </c>
      <c r="G2955" s="538">
        <v>459</v>
      </c>
    </row>
    <row r="2956" spans="1:7" x14ac:dyDescent="0.2">
      <c r="A2956" s="538">
        <v>11</v>
      </c>
      <c r="B2956" s="538" t="s">
        <v>6610</v>
      </c>
      <c r="C2956" s="538" t="s">
        <v>393</v>
      </c>
      <c r="D2956" s="538" t="s">
        <v>393</v>
      </c>
      <c r="E2956" s="538" t="s">
        <v>401</v>
      </c>
      <c r="F2956" s="538">
        <v>181248</v>
      </c>
      <c r="G2956" s="538">
        <v>16</v>
      </c>
    </row>
    <row r="2957" spans="1:7" x14ac:dyDescent="0.2">
      <c r="A2957" s="538">
        <v>7</v>
      </c>
      <c r="B2957" s="538" t="s">
        <v>6655</v>
      </c>
      <c r="C2957" s="538" t="s">
        <v>740</v>
      </c>
      <c r="D2957" s="538" t="s">
        <v>393</v>
      </c>
      <c r="E2957" s="538" t="s">
        <v>409</v>
      </c>
      <c r="F2957" s="538">
        <v>592013</v>
      </c>
      <c r="G2957" s="538">
        <v>6</v>
      </c>
    </row>
    <row r="2958" spans="1:7" x14ac:dyDescent="0.2">
      <c r="A2958" s="538">
        <v>11</v>
      </c>
      <c r="B2958" s="538" t="s">
        <v>6612</v>
      </c>
      <c r="C2958" s="538" t="s">
        <v>740</v>
      </c>
      <c r="D2958" s="538" t="s">
        <v>393</v>
      </c>
      <c r="E2958" s="538" t="s">
        <v>212</v>
      </c>
      <c r="F2958" s="538">
        <v>45312</v>
      </c>
      <c r="G2958" s="538">
        <v>4</v>
      </c>
    </row>
    <row r="2959" spans="1:7" x14ac:dyDescent="0.2">
      <c r="A2959" s="538">
        <v>4</v>
      </c>
      <c r="B2959" s="538" t="s">
        <v>6572</v>
      </c>
      <c r="C2959" s="538" t="s">
        <v>393</v>
      </c>
      <c r="D2959" s="538" t="s">
        <v>393</v>
      </c>
      <c r="E2959" s="538" t="s">
        <v>202</v>
      </c>
      <c r="F2959" s="538">
        <v>3352120</v>
      </c>
      <c r="G2959" s="538">
        <v>25</v>
      </c>
    </row>
    <row r="2960" spans="1:7" x14ac:dyDescent="0.2">
      <c r="A2960" s="538">
        <v>8</v>
      </c>
      <c r="B2960" s="538" t="s">
        <v>6577</v>
      </c>
      <c r="C2960" s="538" t="s">
        <v>740</v>
      </c>
      <c r="D2960" s="538" t="s">
        <v>740</v>
      </c>
      <c r="E2960" s="538" t="s">
        <v>449</v>
      </c>
      <c r="F2960" s="538">
        <v>3935012</v>
      </c>
      <c r="G2960" s="538">
        <v>234</v>
      </c>
    </row>
    <row r="2961" spans="1:7" x14ac:dyDescent="0.2">
      <c r="A2961" s="538">
        <v>4</v>
      </c>
      <c r="B2961" s="538" t="s">
        <v>6572</v>
      </c>
      <c r="C2961" s="538" t="s">
        <v>740</v>
      </c>
      <c r="D2961" s="538" t="s">
        <v>393</v>
      </c>
      <c r="E2961" s="538" t="s">
        <v>409</v>
      </c>
      <c r="F2961" s="538">
        <v>203727</v>
      </c>
      <c r="G2961" s="538">
        <v>9</v>
      </c>
    </row>
    <row r="2962" spans="1:7" x14ac:dyDescent="0.2">
      <c r="A2962" s="538">
        <v>7</v>
      </c>
      <c r="B2962" s="538" t="s">
        <v>6571</v>
      </c>
      <c r="C2962" s="538" t="s">
        <v>740</v>
      </c>
      <c r="D2962" s="538" t="s">
        <v>393</v>
      </c>
      <c r="E2962" s="538" t="s">
        <v>212</v>
      </c>
      <c r="F2962" s="538">
        <v>79296</v>
      </c>
      <c r="G2962" s="538">
        <v>7</v>
      </c>
    </row>
    <row r="2963" spans="1:7" x14ac:dyDescent="0.2">
      <c r="A2963" s="538">
        <v>7</v>
      </c>
      <c r="B2963" s="538" t="s">
        <v>6580</v>
      </c>
      <c r="C2963" s="538" t="s">
        <v>740</v>
      </c>
      <c r="D2963" s="538" t="s">
        <v>393</v>
      </c>
      <c r="E2963" s="538" t="s">
        <v>230</v>
      </c>
      <c r="F2963" s="538">
        <v>3981230</v>
      </c>
      <c r="G2963" s="538">
        <v>75</v>
      </c>
    </row>
    <row r="2964" spans="1:7" x14ac:dyDescent="0.2">
      <c r="A2964" s="538">
        <v>4</v>
      </c>
      <c r="B2964" s="538" t="s">
        <v>6574</v>
      </c>
      <c r="C2964" s="538" t="s">
        <v>740</v>
      </c>
      <c r="D2964" s="538" t="s">
        <v>393</v>
      </c>
      <c r="E2964" s="538" t="s">
        <v>313</v>
      </c>
      <c r="F2964" s="538">
        <v>2735025</v>
      </c>
      <c r="G2964" s="538">
        <v>25</v>
      </c>
    </row>
    <row r="2965" spans="1:7" x14ac:dyDescent="0.2">
      <c r="A2965" s="538">
        <v>8</v>
      </c>
      <c r="B2965" s="538" t="s">
        <v>6648</v>
      </c>
      <c r="C2965" s="538" t="s">
        <v>393</v>
      </c>
      <c r="D2965" s="538" t="s">
        <v>393</v>
      </c>
      <c r="E2965" s="538" t="s">
        <v>419</v>
      </c>
      <c r="F2965" s="538">
        <v>11328</v>
      </c>
      <c r="G2965" s="538">
        <v>1</v>
      </c>
    </row>
    <row r="2966" spans="1:7" x14ac:dyDescent="0.2">
      <c r="A2966" s="538">
        <v>12</v>
      </c>
      <c r="B2966" s="538" t="s">
        <v>6616</v>
      </c>
      <c r="C2966" s="538" t="s">
        <v>740</v>
      </c>
      <c r="D2966" s="538" t="s">
        <v>393</v>
      </c>
      <c r="E2966" s="538" t="s">
        <v>416</v>
      </c>
      <c r="F2966" s="538">
        <v>277890</v>
      </c>
      <c r="G2966" s="538">
        <v>10</v>
      </c>
    </row>
    <row r="2967" spans="1:7" x14ac:dyDescent="0.2">
      <c r="A2967" s="538">
        <v>3</v>
      </c>
      <c r="B2967" s="538" t="s">
        <v>6578</v>
      </c>
      <c r="C2967" s="538" t="s">
        <v>393</v>
      </c>
      <c r="D2967" s="538" t="s">
        <v>740</v>
      </c>
      <c r="E2967" s="538" t="s">
        <v>211</v>
      </c>
      <c r="F2967" s="538">
        <v>667415</v>
      </c>
      <c r="G2967" s="538">
        <v>5</v>
      </c>
    </row>
    <row r="2968" spans="1:7" x14ac:dyDescent="0.2">
      <c r="A2968" s="538">
        <v>2</v>
      </c>
      <c r="B2968" s="538" t="s">
        <v>6654</v>
      </c>
      <c r="C2968" s="538" t="s">
        <v>393</v>
      </c>
      <c r="D2968" s="538" t="s">
        <v>740</v>
      </c>
      <c r="E2968" s="538" t="s">
        <v>211</v>
      </c>
      <c r="F2968" s="538">
        <v>507761</v>
      </c>
      <c r="G2968" s="538">
        <v>2</v>
      </c>
    </row>
    <row r="2969" spans="1:7" x14ac:dyDescent="0.2">
      <c r="A2969" s="538">
        <v>6</v>
      </c>
      <c r="B2969" s="538" t="s">
        <v>6617</v>
      </c>
      <c r="C2969" s="538" t="s">
        <v>393</v>
      </c>
      <c r="D2969" s="538" t="s">
        <v>740</v>
      </c>
      <c r="E2969" s="538" t="s">
        <v>211</v>
      </c>
      <c r="F2969" s="538">
        <v>33984</v>
      </c>
      <c r="G2969" s="538">
        <v>3</v>
      </c>
    </row>
    <row r="2970" spans="1:7" x14ac:dyDescent="0.2">
      <c r="A2970" s="538">
        <v>11</v>
      </c>
      <c r="B2970" s="538" t="s">
        <v>6610</v>
      </c>
      <c r="C2970" s="538" t="s">
        <v>393</v>
      </c>
      <c r="D2970" s="538" t="s">
        <v>393</v>
      </c>
      <c r="E2970" s="538" t="s">
        <v>212</v>
      </c>
      <c r="F2970" s="538">
        <v>1766231</v>
      </c>
      <c r="G2970" s="538">
        <v>102</v>
      </c>
    </row>
    <row r="2971" spans="1:7" x14ac:dyDescent="0.2">
      <c r="A2971" s="538">
        <v>3</v>
      </c>
      <c r="B2971" s="538" t="s">
        <v>6591</v>
      </c>
      <c r="C2971" s="538" t="s">
        <v>740</v>
      </c>
      <c r="D2971" s="538" t="s">
        <v>393</v>
      </c>
      <c r="E2971" s="538" t="s">
        <v>401</v>
      </c>
      <c r="F2971" s="538">
        <v>2823473</v>
      </c>
      <c r="G2971" s="538">
        <v>51</v>
      </c>
    </row>
    <row r="2972" spans="1:7" x14ac:dyDescent="0.2">
      <c r="A2972" s="538">
        <v>11</v>
      </c>
      <c r="B2972" s="538" t="s">
        <v>6584</v>
      </c>
      <c r="C2972" s="538" t="s">
        <v>740</v>
      </c>
      <c r="D2972" s="538" t="s">
        <v>393</v>
      </c>
      <c r="E2972" s="538" t="s">
        <v>409</v>
      </c>
      <c r="F2972" s="538">
        <v>792023</v>
      </c>
      <c r="G2972" s="538">
        <v>16</v>
      </c>
    </row>
    <row r="2973" spans="1:7" x14ac:dyDescent="0.2">
      <c r="A2973" s="538">
        <v>2</v>
      </c>
      <c r="B2973" s="538" t="s">
        <v>6055</v>
      </c>
      <c r="C2973" s="538" t="s">
        <v>740</v>
      </c>
      <c r="D2973" s="538" t="s">
        <v>740</v>
      </c>
      <c r="E2973" s="538" t="s">
        <v>438</v>
      </c>
      <c r="F2973" s="538">
        <v>3339553</v>
      </c>
      <c r="G2973" s="538">
        <v>26</v>
      </c>
    </row>
    <row r="2974" spans="1:7" x14ac:dyDescent="0.2">
      <c r="A2974" s="538">
        <v>8</v>
      </c>
      <c r="B2974" s="538" t="s">
        <v>6583</v>
      </c>
      <c r="C2974" s="538" t="s">
        <v>740</v>
      </c>
      <c r="D2974" s="538" t="s">
        <v>393</v>
      </c>
      <c r="E2974" s="538" t="s">
        <v>416</v>
      </c>
      <c r="F2974" s="538">
        <v>345858</v>
      </c>
      <c r="G2974" s="538">
        <v>16</v>
      </c>
    </row>
    <row r="2975" spans="1:7" x14ac:dyDescent="0.2">
      <c r="A2975" s="538">
        <v>5</v>
      </c>
      <c r="B2975" s="538" t="s">
        <v>6566</v>
      </c>
      <c r="C2975" s="538" t="s">
        <v>393</v>
      </c>
      <c r="D2975" s="538" t="s">
        <v>393</v>
      </c>
      <c r="E2975" s="538" t="s">
        <v>207</v>
      </c>
      <c r="F2975" s="538">
        <v>5502493</v>
      </c>
      <c r="G2975" s="538">
        <v>181</v>
      </c>
    </row>
    <row r="2976" spans="1:7" x14ac:dyDescent="0.2">
      <c r="A2976" s="538">
        <v>3</v>
      </c>
      <c r="B2976" s="538" t="s">
        <v>6591</v>
      </c>
      <c r="C2976" s="538" t="s">
        <v>393</v>
      </c>
      <c r="D2976" s="538" t="s">
        <v>393</v>
      </c>
      <c r="E2976" s="538" t="s">
        <v>210</v>
      </c>
      <c r="F2976" s="538">
        <v>715205</v>
      </c>
      <c r="G2976" s="538">
        <v>10</v>
      </c>
    </row>
    <row r="2977" spans="1:7" x14ac:dyDescent="0.2">
      <c r="A2977" s="538">
        <v>1</v>
      </c>
      <c r="B2977" s="538" t="s">
        <v>1288</v>
      </c>
      <c r="C2977" s="538" t="s">
        <v>740</v>
      </c>
      <c r="D2977" s="538" t="s">
        <v>393</v>
      </c>
      <c r="E2977" s="538" t="s">
        <v>211</v>
      </c>
      <c r="F2977" s="538">
        <v>7651627</v>
      </c>
      <c r="G2977" s="538">
        <v>199</v>
      </c>
    </row>
    <row r="2978" spans="1:7" x14ac:dyDescent="0.2">
      <c r="A2978" s="538">
        <v>7</v>
      </c>
      <c r="B2978" s="538" t="s">
        <v>6564</v>
      </c>
      <c r="C2978" s="538" t="s">
        <v>740</v>
      </c>
      <c r="D2978" s="538" t="s">
        <v>393</v>
      </c>
      <c r="E2978" s="538" t="s">
        <v>860</v>
      </c>
      <c r="F2978" s="538">
        <v>2663142</v>
      </c>
      <c r="G2978" s="538">
        <v>159</v>
      </c>
    </row>
    <row r="2979" spans="1:7" x14ac:dyDescent="0.2">
      <c r="A2979" s="538">
        <v>4</v>
      </c>
      <c r="B2979" s="538" t="s">
        <v>6574</v>
      </c>
      <c r="C2979" s="538" t="s">
        <v>740</v>
      </c>
      <c r="D2979" s="538" t="s">
        <v>740</v>
      </c>
      <c r="E2979" s="538" t="s">
        <v>416</v>
      </c>
      <c r="F2979" s="538">
        <v>34748350</v>
      </c>
      <c r="G2979" s="538">
        <v>870</v>
      </c>
    </row>
    <row r="2980" spans="1:7" x14ac:dyDescent="0.2">
      <c r="A2980" s="538">
        <v>6</v>
      </c>
      <c r="B2980" s="538" t="s">
        <v>1668</v>
      </c>
      <c r="C2980" s="538" t="s">
        <v>393</v>
      </c>
      <c r="D2980" s="538" t="s">
        <v>393</v>
      </c>
      <c r="E2980" s="538" t="s">
        <v>313</v>
      </c>
      <c r="F2980" s="538">
        <v>50268</v>
      </c>
      <c r="G2980" s="538">
        <v>1</v>
      </c>
    </row>
    <row r="2981" spans="1:7" x14ac:dyDescent="0.2">
      <c r="A2981" s="538">
        <v>2</v>
      </c>
      <c r="B2981" s="538" t="s">
        <v>6573</v>
      </c>
      <c r="C2981" s="538" t="s">
        <v>740</v>
      </c>
      <c r="D2981" s="538" t="s">
        <v>740</v>
      </c>
      <c r="E2981" s="538" t="s">
        <v>409</v>
      </c>
      <c r="F2981" s="538">
        <v>769950</v>
      </c>
      <c r="G2981" s="538">
        <v>50</v>
      </c>
    </row>
    <row r="2982" spans="1:7" x14ac:dyDescent="0.2">
      <c r="A2982" s="538">
        <v>6</v>
      </c>
      <c r="B2982" s="538" t="s">
        <v>6596</v>
      </c>
      <c r="C2982" s="538" t="s">
        <v>393</v>
      </c>
      <c r="D2982" s="538" t="s">
        <v>740</v>
      </c>
      <c r="E2982" s="538" t="s">
        <v>416</v>
      </c>
      <c r="F2982" s="538">
        <v>1312632</v>
      </c>
      <c r="G2982" s="538">
        <v>39</v>
      </c>
    </row>
    <row r="2983" spans="1:7" x14ac:dyDescent="0.2">
      <c r="A2983" s="538">
        <v>6</v>
      </c>
      <c r="B2983" s="538" t="s">
        <v>6607</v>
      </c>
      <c r="C2983" s="538" t="s">
        <v>740</v>
      </c>
      <c r="D2983" s="538" t="s">
        <v>393</v>
      </c>
      <c r="E2983" s="538" t="s">
        <v>212</v>
      </c>
      <c r="F2983" s="538">
        <v>176115</v>
      </c>
      <c r="G2983" s="538">
        <v>10</v>
      </c>
    </row>
    <row r="2984" spans="1:7" x14ac:dyDescent="0.2">
      <c r="A2984" s="538">
        <v>2</v>
      </c>
      <c r="B2984" s="538" t="s">
        <v>6055</v>
      </c>
      <c r="C2984" s="538" t="s">
        <v>740</v>
      </c>
      <c r="D2984" s="538" t="s">
        <v>393</v>
      </c>
      <c r="E2984" s="538" t="s">
        <v>313</v>
      </c>
      <c r="F2984" s="538">
        <v>248862</v>
      </c>
      <c r="G2984" s="538">
        <v>4</v>
      </c>
    </row>
    <row r="2985" spans="1:7" x14ac:dyDescent="0.2">
      <c r="A2985" s="538">
        <v>7</v>
      </c>
      <c r="B2985" s="538" t="s">
        <v>6661</v>
      </c>
      <c r="C2985" s="538" t="s">
        <v>393</v>
      </c>
      <c r="D2985" s="538" t="s">
        <v>393</v>
      </c>
      <c r="E2985" s="538" t="s">
        <v>211</v>
      </c>
      <c r="F2985" s="538">
        <v>21838522</v>
      </c>
      <c r="G2985" s="538">
        <v>254</v>
      </c>
    </row>
    <row r="2986" spans="1:7" x14ac:dyDescent="0.2">
      <c r="A2986" s="538">
        <v>4</v>
      </c>
      <c r="B2986" s="538" t="s">
        <v>6562</v>
      </c>
      <c r="C2986" s="538" t="s">
        <v>740</v>
      </c>
      <c r="D2986" s="538" t="s">
        <v>740</v>
      </c>
      <c r="E2986" s="538" t="s">
        <v>438</v>
      </c>
      <c r="F2986" s="538">
        <v>50268</v>
      </c>
      <c r="G2986" s="538">
        <v>1</v>
      </c>
    </row>
    <row r="2987" spans="1:7" x14ac:dyDescent="0.2">
      <c r="A2987" s="538">
        <v>4</v>
      </c>
      <c r="B2987" s="538" t="s">
        <v>6574</v>
      </c>
      <c r="C2987" s="538" t="s">
        <v>393</v>
      </c>
      <c r="D2987" s="538" t="s">
        <v>393</v>
      </c>
      <c r="E2987" s="538" t="s">
        <v>409</v>
      </c>
      <c r="F2987" s="538">
        <v>2221777</v>
      </c>
      <c r="G2987" s="538">
        <v>69</v>
      </c>
    </row>
    <row r="2988" spans="1:7" x14ac:dyDescent="0.2">
      <c r="A2988" s="538">
        <v>7</v>
      </c>
      <c r="B2988" s="538" t="s">
        <v>6571</v>
      </c>
      <c r="C2988" s="538" t="s">
        <v>740</v>
      </c>
      <c r="D2988" s="538" t="s">
        <v>740</v>
      </c>
      <c r="E2988" s="538" t="s">
        <v>207</v>
      </c>
      <c r="F2988" s="538">
        <v>515955</v>
      </c>
      <c r="G2988" s="538">
        <v>40</v>
      </c>
    </row>
    <row r="2989" spans="1:7" x14ac:dyDescent="0.2">
      <c r="A2989" s="538">
        <v>2</v>
      </c>
      <c r="B2989" s="538" t="s">
        <v>6573</v>
      </c>
      <c r="C2989" s="538" t="s">
        <v>393</v>
      </c>
      <c r="D2989" s="538" t="s">
        <v>740</v>
      </c>
      <c r="E2989" s="538" t="s">
        <v>211</v>
      </c>
      <c r="F2989" s="538">
        <v>940172</v>
      </c>
      <c r="G2989" s="538">
        <v>9</v>
      </c>
    </row>
    <row r="2990" spans="1:7" x14ac:dyDescent="0.2">
      <c r="A2990" s="538">
        <v>4</v>
      </c>
      <c r="B2990" s="538" t="s">
        <v>6593</v>
      </c>
      <c r="C2990" s="538" t="s">
        <v>393</v>
      </c>
      <c r="D2990" s="538" t="s">
        <v>740</v>
      </c>
      <c r="E2990" s="538" t="s">
        <v>449</v>
      </c>
      <c r="F2990" s="538">
        <v>192576</v>
      </c>
      <c r="G2990" s="538">
        <v>17</v>
      </c>
    </row>
    <row r="2991" spans="1:7" x14ac:dyDescent="0.2">
      <c r="A2991" s="538">
        <v>1</v>
      </c>
      <c r="B2991" s="538" t="s">
        <v>6581</v>
      </c>
      <c r="C2991" s="538" t="s">
        <v>740</v>
      </c>
      <c r="D2991" s="538" t="s">
        <v>393</v>
      </c>
      <c r="E2991" s="538" t="s">
        <v>416</v>
      </c>
      <c r="F2991" s="538">
        <v>249039</v>
      </c>
      <c r="G2991" s="538">
        <v>13</v>
      </c>
    </row>
    <row r="2992" spans="1:7" x14ac:dyDescent="0.2">
      <c r="A2992" s="538">
        <v>1</v>
      </c>
      <c r="B2992" s="538" t="s">
        <v>6646</v>
      </c>
      <c r="C2992" s="538" t="s">
        <v>740</v>
      </c>
      <c r="D2992" s="538" t="s">
        <v>393</v>
      </c>
      <c r="E2992" s="538" t="s">
        <v>438</v>
      </c>
      <c r="F2992" s="538">
        <v>2286278</v>
      </c>
      <c r="G2992" s="538">
        <v>16</v>
      </c>
    </row>
    <row r="2993" spans="1:7" x14ac:dyDescent="0.2">
      <c r="A2993" s="538">
        <v>8</v>
      </c>
      <c r="B2993" s="538" t="s">
        <v>6648</v>
      </c>
      <c r="C2993" s="538" t="s">
        <v>393</v>
      </c>
      <c r="D2993" s="538" t="s">
        <v>393</v>
      </c>
      <c r="E2993" s="538" t="s">
        <v>212</v>
      </c>
      <c r="F2993" s="538">
        <v>1282011</v>
      </c>
      <c r="G2993" s="538">
        <v>82</v>
      </c>
    </row>
    <row r="2994" spans="1:7" x14ac:dyDescent="0.2">
      <c r="A2994" s="538">
        <v>3</v>
      </c>
      <c r="B2994" s="538" t="s">
        <v>1390</v>
      </c>
      <c r="C2994" s="538" t="s">
        <v>740</v>
      </c>
      <c r="D2994" s="538" t="s">
        <v>393</v>
      </c>
      <c r="E2994" s="538" t="s">
        <v>210</v>
      </c>
      <c r="F2994" s="538">
        <v>449049</v>
      </c>
      <c r="G2994" s="538">
        <v>23</v>
      </c>
    </row>
    <row r="2995" spans="1:7" x14ac:dyDescent="0.2">
      <c r="A2995" s="538">
        <v>7</v>
      </c>
      <c r="B2995" s="538" t="s">
        <v>6604</v>
      </c>
      <c r="C2995" s="538" t="s">
        <v>740</v>
      </c>
      <c r="D2995" s="538" t="s">
        <v>393</v>
      </c>
      <c r="E2995" s="538" t="s">
        <v>860</v>
      </c>
      <c r="F2995" s="538">
        <v>11328</v>
      </c>
      <c r="G2995" s="538">
        <v>1</v>
      </c>
    </row>
    <row r="2996" spans="1:7" x14ac:dyDescent="0.2">
      <c r="A2996" s="538">
        <v>3</v>
      </c>
      <c r="B2996" s="538" t="s">
        <v>6578</v>
      </c>
      <c r="C2996" s="538" t="s">
        <v>393</v>
      </c>
      <c r="D2996" s="538" t="s">
        <v>740</v>
      </c>
      <c r="E2996" s="538" t="s">
        <v>202</v>
      </c>
      <c r="F2996" s="538">
        <v>530417</v>
      </c>
      <c r="G2996" s="538">
        <v>4</v>
      </c>
    </row>
    <row r="2997" spans="1:7" x14ac:dyDescent="0.2">
      <c r="A2997" s="538">
        <v>2</v>
      </c>
      <c r="B2997" s="538" t="s">
        <v>6573</v>
      </c>
      <c r="C2997" s="538" t="s">
        <v>740</v>
      </c>
      <c r="D2997" s="538" t="s">
        <v>393</v>
      </c>
      <c r="E2997" s="538" t="s">
        <v>209</v>
      </c>
      <c r="F2997" s="538">
        <v>50268</v>
      </c>
      <c r="G2997" s="538">
        <v>1</v>
      </c>
    </row>
    <row r="2998" spans="1:7" x14ac:dyDescent="0.2">
      <c r="A2998" s="538">
        <v>8</v>
      </c>
      <c r="B2998" s="538" t="s">
        <v>6560</v>
      </c>
      <c r="C2998" s="538" t="s">
        <v>393</v>
      </c>
      <c r="D2998" s="538" t="s">
        <v>393</v>
      </c>
      <c r="E2998" s="538" t="s">
        <v>860</v>
      </c>
      <c r="F2998" s="538">
        <v>2309569</v>
      </c>
      <c r="G2998" s="538">
        <v>58</v>
      </c>
    </row>
    <row r="2999" spans="1:7" x14ac:dyDescent="0.2">
      <c r="A2999" s="538">
        <v>4</v>
      </c>
      <c r="B2999" s="538" t="s">
        <v>6559</v>
      </c>
      <c r="C2999" s="538" t="s">
        <v>740</v>
      </c>
      <c r="D2999" s="538" t="s">
        <v>393</v>
      </c>
      <c r="E2999" s="538" t="s">
        <v>202</v>
      </c>
      <c r="F2999" s="538">
        <v>148326</v>
      </c>
      <c r="G2999" s="538">
        <v>2</v>
      </c>
    </row>
    <row r="3000" spans="1:7" x14ac:dyDescent="0.2">
      <c r="A3000" s="538">
        <v>11</v>
      </c>
      <c r="B3000" s="538" t="s">
        <v>6592</v>
      </c>
      <c r="C3000" s="538" t="s">
        <v>740</v>
      </c>
      <c r="D3000" s="538" t="s">
        <v>393</v>
      </c>
      <c r="E3000" s="538" t="s">
        <v>409</v>
      </c>
      <c r="F3000" s="538">
        <v>50268</v>
      </c>
      <c r="G3000" s="538">
        <v>1</v>
      </c>
    </row>
    <row r="3001" spans="1:7" x14ac:dyDescent="0.2">
      <c r="A3001" s="538">
        <v>6</v>
      </c>
      <c r="B3001" s="538" t="s">
        <v>6433</v>
      </c>
      <c r="C3001" s="538" t="s">
        <v>393</v>
      </c>
      <c r="D3001" s="538" t="s">
        <v>740</v>
      </c>
      <c r="E3001" s="538" t="s">
        <v>860</v>
      </c>
      <c r="F3001" s="538">
        <v>72924</v>
      </c>
      <c r="G3001" s="538">
        <v>3</v>
      </c>
    </row>
    <row r="3002" spans="1:7" x14ac:dyDescent="0.2">
      <c r="A3002" s="538">
        <v>3</v>
      </c>
      <c r="B3002" s="538" t="s">
        <v>6647</v>
      </c>
      <c r="C3002" s="538" t="s">
        <v>740</v>
      </c>
      <c r="D3002" s="538" t="s">
        <v>393</v>
      </c>
      <c r="E3002" s="538" t="s">
        <v>390</v>
      </c>
      <c r="F3002" s="538">
        <v>67968</v>
      </c>
      <c r="G3002" s="538">
        <v>6</v>
      </c>
    </row>
    <row r="3003" spans="1:7" x14ac:dyDescent="0.2">
      <c r="A3003" s="538">
        <v>5</v>
      </c>
      <c r="B3003" s="538" t="s">
        <v>6651</v>
      </c>
      <c r="C3003" s="538" t="s">
        <v>393</v>
      </c>
      <c r="D3003" s="538" t="s">
        <v>393</v>
      </c>
      <c r="E3003" s="538" t="s">
        <v>313</v>
      </c>
      <c r="F3003" s="538">
        <v>1141192</v>
      </c>
      <c r="G3003" s="538">
        <v>4</v>
      </c>
    </row>
    <row r="3004" spans="1:7" x14ac:dyDescent="0.2">
      <c r="A3004" s="538">
        <v>4</v>
      </c>
      <c r="B3004" s="538" t="s">
        <v>6559</v>
      </c>
      <c r="C3004" s="538" t="s">
        <v>740</v>
      </c>
      <c r="D3004" s="538" t="s">
        <v>393</v>
      </c>
      <c r="E3004" s="538" t="s">
        <v>449</v>
      </c>
      <c r="F3004" s="538">
        <v>693965</v>
      </c>
      <c r="G3004" s="538">
        <v>15</v>
      </c>
    </row>
    <row r="3005" spans="1:7" x14ac:dyDescent="0.2">
      <c r="A3005" s="538">
        <v>6</v>
      </c>
      <c r="B3005" s="538" t="s">
        <v>1668</v>
      </c>
      <c r="C3005" s="538" t="s">
        <v>393</v>
      </c>
      <c r="D3005" s="538" t="s">
        <v>393</v>
      </c>
      <c r="E3005" s="538" t="s">
        <v>212</v>
      </c>
      <c r="F3005" s="538">
        <v>485511</v>
      </c>
      <c r="G3005" s="538">
        <v>27</v>
      </c>
    </row>
    <row r="3006" spans="1:7" x14ac:dyDescent="0.2">
      <c r="A3006" s="538">
        <v>7</v>
      </c>
      <c r="B3006" s="538" t="s">
        <v>6588</v>
      </c>
      <c r="C3006" s="538" t="s">
        <v>740</v>
      </c>
      <c r="D3006" s="538" t="s">
        <v>393</v>
      </c>
      <c r="E3006" s="538" t="s">
        <v>230</v>
      </c>
      <c r="F3006" s="538">
        <v>1345502</v>
      </c>
      <c r="G3006" s="538">
        <v>49</v>
      </c>
    </row>
    <row r="3007" spans="1:7" x14ac:dyDescent="0.2">
      <c r="A3007" s="538">
        <v>8</v>
      </c>
      <c r="B3007" s="538" t="s">
        <v>6567</v>
      </c>
      <c r="C3007" s="538" t="s">
        <v>740</v>
      </c>
      <c r="D3007" s="538" t="s">
        <v>393</v>
      </c>
      <c r="E3007" s="538" t="s">
        <v>402</v>
      </c>
      <c r="F3007" s="538">
        <v>24219525</v>
      </c>
      <c r="G3007" s="538">
        <v>995</v>
      </c>
    </row>
    <row r="3008" spans="1:7" x14ac:dyDescent="0.2">
      <c r="A3008" s="538">
        <v>12</v>
      </c>
      <c r="B3008" s="538" t="s">
        <v>6563</v>
      </c>
      <c r="C3008" s="538" t="s">
        <v>740</v>
      </c>
      <c r="D3008" s="538" t="s">
        <v>740</v>
      </c>
      <c r="E3008" s="538" t="s">
        <v>230</v>
      </c>
      <c r="F3008" s="538">
        <v>108147</v>
      </c>
      <c r="G3008" s="538">
        <v>4</v>
      </c>
    </row>
    <row r="3009" spans="1:7" x14ac:dyDescent="0.2">
      <c r="A3009" s="538">
        <v>10</v>
      </c>
      <c r="B3009" s="538" t="s">
        <v>6597</v>
      </c>
      <c r="C3009" s="538" t="s">
        <v>740</v>
      </c>
      <c r="D3009" s="538" t="s">
        <v>393</v>
      </c>
      <c r="E3009" s="538" t="s">
        <v>402</v>
      </c>
      <c r="F3009" s="538">
        <v>3616412</v>
      </c>
      <c r="G3009" s="538">
        <v>204</v>
      </c>
    </row>
    <row r="3010" spans="1:7" x14ac:dyDescent="0.2">
      <c r="A3010" s="538">
        <v>5</v>
      </c>
      <c r="B3010" s="538" t="s">
        <v>6650</v>
      </c>
      <c r="C3010" s="538" t="s">
        <v>393</v>
      </c>
      <c r="D3010" s="538" t="s">
        <v>740</v>
      </c>
      <c r="E3010" s="538" t="s">
        <v>409</v>
      </c>
      <c r="F3010" s="538">
        <v>781455</v>
      </c>
      <c r="G3010" s="538">
        <v>60</v>
      </c>
    </row>
    <row r="3011" spans="1:7" x14ac:dyDescent="0.2">
      <c r="A3011" s="538">
        <v>6</v>
      </c>
      <c r="B3011" s="538" t="s">
        <v>6575</v>
      </c>
      <c r="C3011" s="538" t="s">
        <v>740</v>
      </c>
      <c r="D3011" s="538" t="s">
        <v>393</v>
      </c>
      <c r="E3011" s="538" t="s">
        <v>401</v>
      </c>
      <c r="F3011" s="538">
        <v>747294</v>
      </c>
      <c r="G3011" s="538">
        <v>48</v>
      </c>
    </row>
    <row r="3012" spans="1:7" x14ac:dyDescent="0.2">
      <c r="A3012" s="538">
        <v>9</v>
      </c>
      <c r="B3012" s="538" t="s">
        <v>6645</v>
      </c>
      <c r="C3012" s="538" t="s">
        <v>740</v>
      </c>
      <c r="D3012" s="538" t="s">
        <v>393</v>
      </c>
      <c r="E3012" s="538" t="s">
        <v>230</v>
      </c>
      <c r="F3012" s="538">
        <v>2077043</v>
      </c>
      <c r="G3012" s="538">
        <v>61</v>
      </c>
    </row>
    <row r="3013" spans="1:7" x14ac:dyDescent="0.2">
      <c r="A3013" s="538">
        <v>4</v>
      </c>
      <c r="B3013" s="538" t="s">
        <v>6593</v>
      </c>
      <c r="C3013" s="538" t="s">
        <v>740</v>
      </c>
      <c r="D3013" s="538" t="s">
        <v>393</v>
      </c>
      <c r="E3013" s="538" t="s">
        <v>211</v>
      </c>
      <c r="F3013" s="538">
        <v>106604314</v>
      </c>
      <c r="G3013" s="538">
        <v>2433</v>
      </c>
    </row>
    <row r="3014" spans="1:7" x14ac:dyDescent="0.2">
      <c r="A3014" s="538">
        <v>8</v>
      </c>
      <c r="B3014" s="538" t="s">
        <v>6567</v>
      </c>
      <c r="C3014" s="538" t="s">
        <v>740</v>
      </c>
      <c r="D3014" s="538" t="s">
        <v>740</v>
      </c>
      <c r="E3014" s="538" t="s">
        <v>401</v>
      </c>
      <c r="F3014" s="538">
        <v>192576</v>
      </c>
      <c r="G3014" s="538">
        <v>17</v>
      </c>
    </row>
    <row r="3015" spans="1:7" x14ac:dyDescent="0.2">
      <c r="A3015" s="538">
        <v>4</v>
      </c>
      <c r="B3015" s="538" t="s">
        <v>6559</v>
      </c>
      <c r="C3015" s="538" t="s">
        <v>740</v>
      </c>
      <c r="D3015" s="538" t="s">
        <v>740</v>
      </c>
      <c r="E3015" s="538" t="s">
        <v>390</v>
      </c>
      <c r="F3015" s="538">
        <v>758039</v>
      </c>
      <c r="G3015" s="538">
        <v>13</v>
      </c>
    </row>
    <row r="3016" spans="1:7" x14ac:dyDescent="0.2">
      <c r="A3016" s="538">
        <v>9</v>
      </c>
      <c r="B3016" s="538" t="s">
        <v>6657</v>
      </c>
      <c r="C3016" s="538" t="s">
        <v>740</v>
      </c>
      <c r="D3016" s="538" t="s">
        <v>393</v>
      </c>
      <c r="E3016" s="538" t="s">
        <v>449</v>
      </c>
      <c r="F3016" s="538">
        <v>140892</v>
      </c>
      <c r="G3016" s="538">
        <v>9</v>
      </c>
    </row>
    <row r="3017" spans="1:7" x14ac:dyDescent="0.2">
      <c r="A3017" s="538">
        <v>1</v>
      </c>
      <c r="B3017" s="538" t="s">
        <v>6581</v>
      </c>
      <c r="C3017" s="538" t="s">
        <v>393</v>
      </c>
      <c r="D3017" s="538" t="s">
        <v>393</v>
      </c>
      <c r="E3017" s="538" t="s">
        <v>402</v>
      </c>
      <c r="F3017" s="538">
        <v>8913179</v>
      </c>
      <c r="G3017" s="538">
        <v>203</v>
      </c>
    </row>
    <row r="3018" spans="1:7" x14ac:dyDescent="0.2">
      <c r="A3018" s="538">
        <v>2</v>
      </c>
      <c r="B3018" s="538" t="s">
        <v>6576</v>
      </c>
      <c r="C3018" s="538" t="s">
        <v>740</v>
      </c>
      <c r="D3018" s="538" t="s">
        <v>393</v>
      </c>
      <c r="E3018" s="538" t="s">
        <v>409</v>
      </c>
      <c r="F3018" s="538">
        <v>95580</v>
      </c>
      <c r="G3018" s="538">
        <v>5</v>
      </c>
    </row>
    <row r="3019" spans="1:7" x14ac:dyDescent="0.2">
      <c r="A3019" s="538">
        <v>4</v>
      </c>
      <c r="B3019" s="538" t="s">
        <v>6574</v>
      </c>
      <c r="C3019" s="538" t="s">
        <v>393</v>
      </c>
      <c r="D3019" s="538" t="s">
        <v>740</v>
      </c>
      <c r="E3019" s="538" t="s">
        <v>409</v>
      </c>
      <c r="F3019" s="538">
        <v>67968</v>
      </c>
      <c r="G3019" s="538">
        <v>6</v>
      </c>
    </row>
    <row r="3020" spans="1:7" x14ac:dyDescent="0.2">
      <c r="A3020" s="538">
        <v>8</v>
      </c>
      <c r="B3020" s="538" t="s">
        <v>6658</v>
      </c>
      <c r="C3020" s="538" t="s">
        <v>740</v>
      </c>
      <c r="D3020" s="538" t="s">
        <v>393</v>
      </c>
      <c r="E3020" s="538" t="s">
        <v>212</v>
      </c>
      <c r="F3020" s="538">
        <v>656847</v>
      </c>
      <c r="G3020" s="538">
        <v>49</v>
      </c>
    </row>
    <row r="3021" spans="1:7" x14ac:dyDescent="0.2">
      <c r="A3021" s="538">
        <v>10</v>
      </c>
      <c r="B3021" s="538" t="s">
        <v>6600</v>
      </c>
      <c r="C3021" s="538" t="s">
        <v>740</v>
      </c>
      <c r="D3021" s="538" t="s">
        <v>393</v>
      </c>
      <c r="E3021" s="538" t="s">
        <v>438</v>
      </c>
      <c r="F3021" s="538">
        <v>2350352</v>
      </c>
      <c r="G3021" s="538">
        <v>14</v>
      </c>
    </row>
    <row r="3022" spans="1:7" x14ac:dyDescent="0.2">
      <c r="A3022" s="538">
        <v>4</v>
      </c>
      <c r="B3022" s="538" t="s">
        <v>6590</v>
      </c>
      <c r="C3022" s="538" t="s">
        <v>740</v>
      </c>
      <c r="D3022" s="538" t="s">
        <v>740</v>
      </c>
      <c r="E3022" s="538" t="s">
        <v>409</v>
      </c>
      <c r="F3022" s="538">
        <v>176115</v>
      </c>
      <c r="G3022" s="538">
        <v>10</v>
      </c>
    </row>
    <row r="3023" spans="1:7" x14ac:dyDescent="0.2">
      <c r="A3023" s="538">
        <v>8</v>
      </c>
      <c r="B3023" s="538" t="s">
        <v>6658</v>
      </c>
      <c r="C3023" s="538" t="s">
        <v>393</v>
      </c>
      <c r="D3023" s="538" t="s">
        <v>393</v>
      </c>
      <c r="E3023" s="538" t="s">
        <v>390</v>
      </c>
      <c r="F3023" s="538">
        <v>9311554</v>
      </c>
      <c r="G3023" s="538">
        <v>198</v>
      </c>
    </row>
    <row r="3024" spans="1:7" x14ac:dyDescent="0.2">
      <c r="A3024" s="538">
        <v>1</v>
      </c>
      <c r="B3024" s="538" t="s">
        <v>1288</v>
      </c>
      <c r="C3024" s="538" t="s">
        <v>393</v>
      </c>
      <c r="D3024" s="538" t="s">
        <v>393</v>
      </c>
      <c r="E3024" s="538" t="s">
        <v>210</v>
      </c>
      <c r="F3024" s="538">
        <v>990794</v>
      </c>
      <c r="G3024" s="538">
        <v>28</v>
      </c>
    </row>
    <row r="3025" spans="1:7" x14ac:dyDescent="0.2">
      <c r="A3025" s="538">
        <v>3</v>
      </c>
      <c r="B3025" s="538" t="s">
        <v>6578</v>
      </c>
      <c r="C3025" s="538" t="s">
        <v>740</v>
      </c>
      <c r="D3025" s="538" t="s">
        <v>393</v>
      </c>
      <c r="E3025" s="538" t="s">
        <v>207</v>
      </c>
      <c r="F3025" s="538">
        <v>113280</v>
      </c>
      <c r="G3025" s="538">
        <v>10</v>
      </c>
    </row>
    <row r="3026" spans="1:7" x14ac:dyDescent="0.2">
      <c r="A3026" s="538">
        <v>6</v>
      </c>
      <c r="B3026" s="538" t="s">
        <v>6575</v>
      </c>
      <c r="C3026" s="538" t="s">
        <v>740</v>
      </c>
      <c r="D3026" s="538" t="s">
        <v>740</v>
      </c>
      <c r="E3026" s="538" t="s">
        <v>212</v>
      </c>
      <c r="F3026" s="538">
        <v>135936</v>
      </c>
      <c r="G3026" s="538">
        <v>12</v>
      </c>
    </row>
    <row r="3027" spans="1:7" x14ac:dyDescent="0.2">
      <c r="A3027" s="538">
        <v>7</v>
      </c>
      <c r="B3027" s="538" t="s">
        <v>6571</v>
      </c>
      <c r="C3027" s="538" t="s">
        <v>740</v>
      </c>
      <c r="D3027" s="538" t="s">
        <v>393</v>
      </c>
      <c r="E3027" s="538" t="s">
        <v>209</v>
      </c>
      <c r="F3027" s="538">
        <v>4567246</v>
      </c>
      <c r="G3027" s="538">
        <v>17</v>
      </c>
    </row>
    <row r="3028" spans="1:7" x14ac:dyDescent="0.2">
      <c r="A3028" s="538">
        <v>7</v>
      </c>
      <c r="B3028" s="538" t="s">
        <v>6579</v>
      </c>
      <c r="C3028" s="538" t="s">
        <v>393</v>
      </c>
      <c r="D3028" s="538" t="s">
        <v>393</v>
      </c>
      <c r="E3028" s="538" t="s">
        <v>207</v>
      </c>
      <c r="F3028" s="538">
        <v>7789187</v>
      </c>
      <c r="G3028" s="538">
        <v>514</v>
      </c>
    </row>
    <row r="3029" spans="1:7" x14ac:dyDescent="0.2">
      <c r="A3029" s="538">
        <v>4</v>
      </c>
      <c r="B3029" s="538" t="s">
        <v>6590</v>
      </c>
      <c r="C3029" s="538" t="s">
        <v>393</v>
      </c>
      <c r="D3029" s="538" t="s">
        <v>740</v>
      </c>
      <c r="E3029" s="538" t="s">
        <v>416</v>
      </c>
      <c r="F3029" s="538">
        <v>9933126</v>
      </c>
      <c r="G3029" s="538">
        <v>232</v>
      </c>
    </row>
    <row r="3030" spans="1:7" x14ac:dyDescent="0.2">
      <c r="A3030" s="538">
        <v>5</v>
      </c>
      <c r="B3030" s="538" t="s">
        <v>6568</v>
      </c>
      <c r="C3030" s="538" t="s">
        <v>740</v>
      </c>
      <c r="D3030" s="538" t="s">
        <v>393</v>
      </c>
      <c r="E3030" s="538" t="s">
        <v>209</v>
      </c>
      <c r="F3030" s="538">
        <v>5624186</v>
      </c>
      <c r="G3030" s="538">
        <v>22</v>
      </c>
    </row>
    <row r="3031" spans="1:7" x14ac:dyDescent="0.2">
      <c r="A3031" s="538">
        <v>3</v>
      </c>
      <c r="B3031" s="538" t="s">
        <v>6647</v>
      </c>
      <c r="C3031" s="538" t="s">
        <v>393</v>
      </c>
      <c r="D3031" s="538" t="s">
        <v>393</v>
      </c>
      <c r="E3031" s="538" t="s">
        <v>409</v>
      </c>
      <c r="F3031" s="538">
        <v>3319958</v>
      </c>
      <c r="G3031" s="538">
        <v>56</v>
      </c>
    </row>
    <row r="3032" spans="1:7" x14ac:dyDescent="0.2">
      <c r="A3032" s="538">
        <v>8</v>
      </c>
      <c r="B3032" s="538" t="s">
        <v>6658</v>
      </c>
      <c r="C3032" s="538" t="s">
        <v>740</v>
      </c>
      <c r="D3032" s="538" t="s">
        <v>393</v>
      </c>
      <c r="E3032" s="538" t="s">
        <v>401</v>
      </c>
      <c r="F3032" s="538">
        <v>22656</v>
      </c>
      <c r="G3032" s="538">
        <v>2</v>
      </c>
    </row>
    <row r="3033" spans="1:7" x14ac:dyDescent="0.2">
      <c r="A3033" s="538">
        <v>2</v>
      </c>
      <c r="B3033" s="538" t="s">
        <v>6055</v>
      </c>
      <c r="C3033" s="538" t="s">
        <v>740</v>
      </c>
      <c r="D3033" s="538" t="s">
        <v>393</v>
      </c>
      <c r="E3033" s="538" t="s">
        <v>401</v>
      </c>
      <c r="F3033" s="538">
        <v>45312</v>
      </c>
      <c r="G3033" s="538">
        <v>4</v>
      </c>
    </row>
    <row r="3034" spans="1:7" x14ac:dyDescent="0.2">
      <c r="A3034" s="538">
        <v>10</v>
      </c>
      <c r="B3034" s="538" t="s">
        <v>6653</v>
      </c>
      <c r="C3034" s="538" t="s">
        <v>740</v>
      </c>
      <c r="D3034" s="538" t="s">
        <v>393</v>
      </c>
      <c r="E3034" s="538" t="s">
        <v>860</v>
      </c>
      <c r="F3034" s="538">
        <v>11328</v>
      </c>
      <c r="G3034" s="538">
        <v>1</v>
      </c>
    </row>
    <row r="3035" spans="1:7" x14ac:dyDescent="0.2">
      <c r="A3035" s="538">
        <v>3</v>
      </c>
      <c r="B3035" s="538" t="s">
        <v>6605</v>
      </c>
      <c r="C3035" s="538" t="s">
        <v>393</v>
      </c>
      <c r="D3035" s="538" t="s">
        <v>393</v>
      </c>
      <c r="E3035" s="538" t="s">
        <v>402</v>
      </c>
      <c r="F3035" s="538">
        <v>8777545</v>
      </c>
      <c r="G3035" s="538">
        <v>185</v>
      </c>
    </row>
    <row r="3036" spans="1:7" x14ac:dyDescent="0.2">
      <c r="A3036" s="538">
        <v>4</v>
      </c>
      <c r="B3036" s="538" t="s">
        <v>6572</v>
      </c>
      <c r="C3036" s="538" t="s">
        <v>740</v>
      </c>
      <c r="D3036" s="538" t="s">
        <v>393</v>
      </c>
      <c r="E3036" s="538" t="s">
        <v>860</v>
      </c>
      <c r="F3036" s="538">
        <v>108147</v>
      </c>
      <c r="G3036" s="538">
        <v>4</v>
      </c>
    </row>
    <row r="3037" spans="1:7" x14ac:dyDescent="0.2">
      <c r="A3037" s="538">
        <v>3</v>
      </c>
      <c r="B3037" s="538" t="s">
        <v>6603</v>
      </c>
      <c r="C3037" s="538" t="s">
        <v>393</v>
      </c>
      <c r="D3037" s="538" t="s">
        <v>393</v>
      </c>
      <c r="E3037" s="538" t="s">
        <v>401</v>
      </c>
      <c r="F3037" s="538">
        <v>407631</v>
      </c>
      <c r="G3037" s="538">
        <v>27</v>
      </c>
    </row>
    <row r="3038" spans="1:7" x14ac:dyDescent="0.2">
      <c r="A3038" s="538">
        <v>5</v>
      </c>
      <c r="B3038" s="538" t="s">
        <v>6650</v>
      </c>
      <c r="C3038" s="538" t="s">
        <v>740</v>
      </c>
      <c r="D3038" s="538" t="s">
        <v>740</v>
      </c>
      <c r="E3038" s="538" t="s">
        <v>390</v>
      </c>
      <c r="F3038" s="538">
        <v>1965179</v>
      </c>
      <c r="G3038" s="538">
        <v>58</v>
      </c>
    </row>
    <row r="3039" spans="1:7" x14ac:dyDescent="0.2">
      <c r="A3039" s="538">
        <v>9</v>
      </c>
      <c r="B3039" s="538" t="s">
        <v>6615</v>
      </c>
      <c r="C3039" s="538" t="s">
        <v>740</v>
      </c>
      <c r="D3039" s="538" t="s">
        <v>740</v>
      </c>
      <c r="E3039" s="538" t="s">
        <v>449</v>
      </c>
      <c r="F3039" s="538">
        <v>124608</v>
      </c>
      <c r="G3039" s="538">
        <v>11</v>
      </c>
    </row>
    <row r="3040" spans="1:7" x14ac:dyDescent="0.2">
      <c r="A3040" s="538">
        <v>4</v>
      </c>
      <c r="B3040" s="538" t="s">
        <v>6562</v>
      </c>
      <c r="C3040" s="538" t="s">
        <v>740</v>
      </c>
      <c r="D3040" s="538" t="s">
        <v>393</v>
      </c>
      <c r="E3040" s="538" t="s">
        <v>230</v>
      </c>
      <c r="F3040" s="538">
        <v>271695</v>
      </c>
      <c r="G3040" s="538">
        <v>15</v>
      </c>
    </row>
    <row r="3041" spans="1:7" x14ac:dyDescent="0.2">
      <c r="A3041" s="538">
        <v>9</v>
      </c>
      <c r="B3041" s="538" t="s">
        <v>6615</v>
      </c>
      <c r="C3041" s="538" t="s">
        <v>740</v>
      </c>
      <c r="D3041" s="538" t="s">
        <v>393</v>
      </c>
      <c r="E3041" s="538" t="s">
        <v>409</v>
      </c>
      <c r="F3041" s="538">
        <v>22656</v>
      </c>
      <c r="G3041" s="538">
        <v>2</v>
      </c>
    </row>
    <row r="3042" spans="1:7" x14ac:dyDescent="0.2">
      <c r="A3042" s="538">
        <v>3</v>
      </c>
      <c r="B3042" s="538" t="s">
        <v>6561</v>
      </c>
      <c r="C3042" s="538" t="s">
        <v>740</v>
      </c>
      <c r="D3042" s="538" t="s">
        <v>393</v>
      </c>
      <c r="E3042" s="538" t="s">
        <v>211</v>
      </c>
      <c r="F3042" s="538">
        <v>33984</v>
      </c>
      <c r="G3042" s="538">
        <v>3</v>
      </c>
    </row>
    <row r="3043" spans="1:7" x14ac:dyDescent="0.2">
      <c r="A3043" s="538">
        <v>2</v>
      </c>
      <c r="B3043" s="538" t="s">
        <v>6662</v>
      </c>
      <c r="C3043" s="538" t="s">
        <v>740</v>
      </c>
      <c r="D3043" s="538" t="s">
        <v>393</v>
      </c>
      <c r="E3043" s="538" t="s">
        <v>401</v>
      </c>
      <c r="F3043" s="538">
        <v>45312</v>
      </c>
      <c r="G3043" s="538">
        <v>4</v>
      </c>
    </row>
    <row r="3044" spans="1:7" x14ac:dyDescent="0.2">
      <c r="A3044" s="538">
        <v>11</v>
      </c>
      <c r="B3044" s="538" t="s">
        <v>6592</v>
      </c>
      <c r="C3044" s="538" t="s">
        <v>740</v>
      </c>
      <c r="D3044" s="538" t="s">
        <v>740</v>
      </c>
      <c r="E3044" s="538" t="s">
        <v>390</v>
      </c>
      <c r="F3044" s="538">
        <v>656087</v>
      </c>
      <c r="G3044" s="538">
        <v>4</v>
      </c>
    </row>
    <row r="3045" spans="1:7" x14ac:dyDescent="0.2">
      <c r="A3045" s="538">
        <v>5</v>
      </c>
      <c r="B3045" s="538" t="s">
        <v>6568</v>
      </c>
      <c r="C3045" s="538" t="s">
        <v>740</v>
      </c>
      <c r="D3045" s="538" t="s">
        <v>393</v>
      </c>
      <c r="E3045" s="538" t="s">
        <v>390</v>
      </c>
      <c r="F3045" s="538">
        <v>1647287</v>
      </c>
      <c r="G3045" s="538">
        <v>59</v>
      </c>
    </row>
    <row r="3046" spans="1:7" x14ac:dyDescent="0.2">
      <c r="A3046" s="538">
        <v>1</v>
      </c>
      <c r="B3046" s="538" t="s">
        <v>6663</v>
      </c>
      <c r="C3046" s="538" t="s">
        <v>393</v>
      </c>
      <c r="D3046" s="538" t="s">
        <v>393</v>
      </c>
      <c r="E3046" s="538" t="s">
        <v>313</v>
      </c>
      <c r="F3046" s="538">
        <v>1215355</v>
      </c>
      <c r="G3046" s="538">
        <v>5</v>
      </c>
    </row>
    <row r="3047" spans="1:7" x14ac:dyDescent="0.2">
      <c r="A3047" s="538">
        <v>3</v>
      </c>
      <c r="B3047" s="538" t="s">
        <v>6586</v>
      </c>
      <c r="C3047" s="538" t="s">
        <v>393</v>
      </c>
      <c r="D3047" s="538" t="s">
        <v>393</v>
      </c>
      <c r="E3047" s="538" t="s">
        <v>212</v>
      </c>
      <c r="F3047" s="538">
        <v>2251742</v>
      </c>
      <c r="G3047" s="538">
        <v>129</v>
      </c>
    </row>
    <row r="3048" spans="1:7" x14ac:dyDescent="0.2">
      <c r="A3048" s="538">
        <v>3</v>
      </c>
      <c r="B3048" s="538" t="s">
        <v>6605</v>
      </c>
      <c r="C3048" s="538" t="s">
        <v>740</v>
      </c>
      <c r="D3048" s="538" t="s">
        <v>393</v>
      </c>
      <c r="E3048" s="538" t="s">
        <v>416</v>
      </c>
      <c r="F3048" s="538">
        <v>96819</v>
      </c>
      <c r="G3048" s="538">
        <v>3</v>
      </c>
    </row>
    <row r="3049" spans="1:7" x14ac:dyDescent="0.2">
      <c r="A3049" s="538">
        <v>1</v>
      </c>
      <c r="B3049" s="538" t="s">
        <v>6602</v>
      </c>
      <c r="C3049" s="538" t="s">
        <v>740</v>
      </c>
      <c r="D3049" s="538" t="s">
        <v>740</v>
      </c>
      <c r="E3049" s="538" t="s">
        <v>416</v>
      </c>
      <c r="F3049" s="538">
        <v>11370897</v>
      </c>
      <c r="G3049" s="538">
        <v>314</v>
      </c>
    </row>
    <row r="3050" spans="1:7" x14ac:dyDescent="0.2">
      <c r="A3050" s="538">
        <v>3</v>
      </c>
      <c r="B3050" s="538" t="s">
        <v>1390</v>
      </c>
      <c r="C3050" s="538" t="s">
        <v>740</v>
      </c>
      <c r="D3050" s="538" t="s">
        <v>740</v>
      </c>
      <c r="E3050" s="538" t="s">
        <v>212</v>
      </c>
      <c r="F3050" s="538">
        <v>11328</v>
      </c>
      <c r="G3050" s="538">
        <v>1</v>
      </c>
    </row>
    <row r="3051" spans="1:7" x14ac:dyDescent="0.2">
      <c r="A3051" s="538">
        <v>6</v>
      </c>
      <c r="B3051" s="538" t="s">
        <v>6617</v>
      </c>
      <c r="C3051" s="538" t="s">
        <v>393</v>
      </c>
      <c r="D3051" s="538" t="s">
        <v>740</v>
      </c>
      <c r="E3051" s="538" t="s">
        <v>416</v>
      </c>
      <c r="F3051" s="538">
        <v>13941624</v>
      </c>
      <c r="G3051" s="538">
        <v>438</v>
      </c>
    </row>
    <row r="3052" spans="1:7" x14ac:dyDescent="0.2">
      <c r="A3052" s="538">
        <v>6</v>
      </c>
      <c r="B3052" s="538" t="s">
        <v>6429</v>
      </c>
      <c r="C3052" s="538" t="s">
        <v>740</v>
      </c>
      <c r="D3052" s="538" t="s">
        <v>393</v>
      </c>
      <c r="E3052" s="538" t="s">
        <v>401</v>
      </c>
      <c r="F3052" s="538">
        <v>11328</v>
      </c>
      <c r="G3052" s="538">
        <v>1</v>
      </c>
    </row>
    <row r="3053" spans="1:7" x14ac:dyDescent="0.2">
      <c r="A3053" s="538">
        <v>1</v>
      </c>
      <c r="B3053" s="538" t="s">
        <v>6595</v>
      </c>
      <c r="C3053" s="538" t="s">
        <v>740</v>
      </c>
      <c r="D3053" s="538" t="s">
        <v>393</v>
      </c>
      <c r="E3053" s="538" t="s">
        <v>416</v>
      </c>
      <c r="F3053" s="538">
        <v>5554354</v>
      </c>
      <c r="G3053" s="538">
        <v>133</v>
      </c>
    </row>
    <row r="3054" spans="1:7" x14ac:dyDescent="0.2">
      <c r="A3054" s="538">
        <v>1</v>
      </c>
      <c r="B3054" s="538" t="s">
        <v>6609</v>
      </c>
      <c r="C3054" s="538" t="s">
        <v>393</v>
      </c>
      <c r="D3054" s="538" t="s">
        <v>393</v>
      </c>
      <c r="E3054" s="538" t="s">
        <v>402</v>
      </c>
      <c r="F3054" s="538">
        <v>2970789</v>
      </c>
      <c r="G3054" s="538">
        <v>68</v>
      </c>
    </row>
    <row r="3055" spans="1:7" x14ac:dyDescent="0.2">
      <c r="A3055" s="538">
        <v>2</v>
      </c>
      <c r="B3055" s="538" t="s">
        <v>6608</v>
      </c>
      <c r="C3055" s="538" t="s">
        <v>393</v>
      </c>
      <c r="D3055" s="538" t="s">
        <v>393</v>
      </c>
      <c r="E3055" s="538" t="s">
        <v>209</v>
      </c>
      <c r="F3055" s="538">
        <v>2430710</v>
      </c>
      <c r="G3055" s="538">
        <v>10</v>
      </c>
    </row>
    <row r="3056" spans="1:7" x14ac:dyDescent="0.2">
      <c r="A3056" s="538">
        <v>2</v>
      </c>
      <c r="B3056" s="538" t="s">
        <v>6573</v>
      </c>
      <c r="C3056" s="538" t="s">
        <v>740</v>
      </c>
      <c r="D3056" s="538" t="s">
        <v>393</v>
      </c>
      <c r="E3056" s="538" t="s">
        <v>860</v>
      </c>
      <c r="F3056" s="538">
        <v>5772220</v>
      </c>
      <c r="G3056" s="538">
        <v>240</v>
      </c>
    </row>
    <row r="3057" spans="1:7" x14ac:dyDescent="0.2">
      <c r="A3057" s="538">
        <v>4</v>
      </c>
      <c r="B3057" s="538" t="s">
        <v>6572</v>
      </c>
      <c r="C3057" s="538" t="s">
        <v>740</v>
      </c>
      <c r="D3057" s="538" t="s">
        <v>393</v>
      </c>
      <c r="E3057" s="538" t="s">
        <v>402</v>
      </c>
      <c r="F3057" s="538">
        <v>22656</v>
      </c>
      <c r="G3057" s="538">
        <v>2</v>
      </c>
    </row>
    <row r="3058" spans="1:7" x14ac:dyDescent="0.2">
      <c r="A3058" s="538">
        <v>4</v>
      </c>
      <c r="B3058" s="538" t="s">
        <v>6559</v>
      </c>
      <c r="C3058" s="538" t="s">
        <v>740</v>
      </c>
      <c r="D3058" s="538" t="s">
        <v>740</v>
      </c>
      <c r="E3058" s="538" t="s">
        <v>402</v>
      </c>
      <c r="F3058" s="538">
        <v>14032248</v>
      </c>
      <c r="G3058" s="538">
        <v>611</v>
      </c>
    </row>
    <row r="3059" spans="1:7" x14ac:dyDescent="0.2">
      <c r="A3059" s="538">
        <v>4</v>
      </c>
      <c r="B3059" s="538" t="s">
        <v>6559</v>
      </c>
      <c r="C3059" s="538" t="s">
        <v>740</v>
      </c>
      <c r="D3059" s="538" t="s">
        <v>393</v>
      </c>
      <c r="E3059" s="538" t="s">
        <v>209</v>
      </c>
      <c r="F3059" s="538">
        <v>3524112</v>
      </c>
      <c r="G3059" s="538">
        <v>14</v>
      </c>
    </row>
    <row r="3060" spans="1:7" x14ac:dyDescent="0.2">
      <c r="A3060" s="538">
        <v>8</v>
      </c>
      <c r="B3060" s="538" t="s">
        <v>6583</v>
      </c>
      <c r="C3060" s="538" t="s">
        <v>740</v>
      </c>
      <c r="D3060" s="538" t="s">
        <v>740</v>
      </c>
      <c r="E3060" s="538" t="s">
        <v>202</v>
      </c>
      <c r="F3060" s="538">
        <v>1894098</v>
      </c>
      <c r="G3060" s="538">
        <v>11</v>
      </c>
    </row>
    <row r="3061" spans="1:7" x14ac:dyDescent="0.2">
      <c r="A3061" s="538">
        <v>12</v>
      </c>
      <c r="B3061" s="538" t="s">
        <v>6563</v>
      </c>
      <c r="C3061" s="538" t="s">
        <v>740</v>
      </c>
      <c r="D3061" s="538" t="s">
        <v>740</v>
      </c>
      <c r="E3061" s="538" t="s">
        <v>230</v>
      </c>
      <c r="F3061" s="538">
        <v>4567735</v>
      </c>
      <c r="G3061" s="538">
        <v>145</v>
      </c>
    </row>
    <row r="3062" spans="1:7" x14ac:dyDescent="0.2">
      <c r="A3062" s="538">
        <v>4</v>
      </c>
      <c r="B3062" s="538" t="s">
        <v>6574</v>
      </c>
      <c r="C3062" s="538" t="s">
        <v>393</v>
      </c>
      <c r="D3062" s="538" t="s">
        <v>393</v>
      </c>
      <c r="E3062" s="538" t="s">
        <v>449</v>
      </c>
      <c r="F3062" s="538">
        <v>932915</v>
      </c>
      <c r="G3062" s="538">
        <v>25</v>
      </c>
    </row>
    <row r="3063" spans="1:7" x14ac:dyDescent="0.2">
      <c r="A3063" s="538">
        <v>9</v>
      </c>
      <c r="B3063" s="538" t="s">
        <v>6645</v>
      </c>
      <c r="C3063" s="538" t="s">
        <v>393</v>
      </c>
      <c r="D3063" s="538" t="s">
        <v>393</v>
      </c>
      <c r="E3063" s="538" t="s">
        <v>209</v>
      </c>
      <c r="F3063" s="538">
        <v>2630491</v>
      </c>
      <c r="G3063" s="538">
        <v>7</v>
      </c>
    </row>
    <row r="3064" spans="1:7" x14ac:dyDescent="0.2">
      <c r="A3064" s="538">
        <v>10</v>
      </c>
      <c r="B3064" s="538" t="s">
        <v>6587</v>
      </c>
      <c r="C3064" s="538" t="s">
        <v>740</v>
      </c>
      <c r="D3064" s="538" t="s">
        <v>393</v>
      </c>
      <c r="E3064" s="538" t="s">
        <v>207</v>
      </c>
      <c r="F3064" s="538">
        <v>11328</v>
      </c>
      <c r="G3064" s="538">
        <v>1</v>
      </c>
    </row>
    <row r="3065" spans="1:7" x14ac:dyDescent="0.2">
      <c r="A3065" s="538">
        <v>5</v>
      </c>
      <c r="B3065" s="538" t="s">
        <v>6598</v>
      </c>
      <c r="C3065" s="538" t="s">
        <v>740</v>
      </c>
      <c r="D3065" s="538" t="s">
        <v>740</v>
      </c>
      <c r="E3065" s="538" t="s">
        <v>202</v>
      </c>
      <c r="F3065" s="538">
        <v>233817</v>
      </c>
      <c r="G3065" s="538">
        <v>4</v>
      </c>
    </row>
    <row r="3066" spans="1:7" x14ac:dyDescent="0.2">
      <c r="A3066" s="538">
        <v>6</v>
      </c>
      <c r="B3066" s="538" t="s">
        <v>6429</v>
      </c>
      <c r="C3066" s="538" t="s">
        <v>393</v>
      </c>
      <c r="D3066" s="538" t="s">
        <v>740</v>
      </c>
      <c r="E3066" s="538" t="s">
        <v>313</v>
      </c>
      <c r="F3066" s="538">
        <v>11328</v>
      </c>
      <c r="G3066" s="538">
        <v>1</v>
      </c>
    </row>
    <row r="3067" spans="1:7" x14ac:dyDescent="0.2">
      <c r="A3067" s="538">
        <v>4</v>
      </c>
      <c r="B3067" s="538" t="s">
        <v>6574</v>
      </c>
      <c r="C3067" s="538" t="s">
        <v>740</v>
      </c>
      <c r="D3067" s="538" t="s">
        <v>740</v>
      </c>
      <c r="E3067" s="538" t="s">
        <v>210</v>
      </c>
      <c r="F3067" s="538">
        <v>1646704</v>
      </c>
      <c r="G3067" s="538">
        <v>23</v>
      </c>
    </row>
    <row r="3068" spans="1:7" x14ac:dyDescent="0.2">
      <c r="A3068" s="538">
        <v>7</v>
      </c>
      <c r="B3068" s="538" t="s">
        <v>6571</v>
      </c>
      <c r="C3068" s="538" t="s">
        <v>393</v>
      </c>
      <c r="D3068" s="538" t="s">
        <v>393</v>
      </c>
      <c r="E3068" s="538" t="s">
        <v>230</v>
      </c>
      <c r="F3068" s="538">
        <v>6217875</v>
      </c>
      <c r="G3068" s="538">
        <v>130</v>
      </c>
    </row>
    <row r="3069" spans="1:7" x14ac:dyDescent="0.2">
      <c r="A3069" s="538">
        <v>5</v>
      </c>
      <c r="B3069" s="538" t="s">
        <v>6651</v>
      </c>
      <c r="C3069" s="538" t="s">
        <v>393</v>
      </c>
      <c r="D3069" s="538" t="s">
        <v>393</v>
      </c>
      <c r="E3069" s="538" t="s">
        <v>207</v>
      </c>
      <c r="F3069" s="538">
        <v>7178131</v>
      </c>
      <c r="G3069" s="538">
        <v>422</v>
      </c>
    </row>
    <row r="3070" spans="1:7" x14ac:dyDescent="0.2">
      <c r="A3070" s="538">
        <v>8</v>
      </c>
      <c r="B3070" s="538" t="s">
        <v>6567</v>
      </c>
      <c r="C3070" s="538" t="s">
        <v>740</v>
      </c>
      <c r="D3070" s="538" t="s">
        <v>740</v>
      </c>
      <c r="E3070" s="538" t="s">
        <v>212</v>
      </c>
      <c r="F3070" s="538">
        <v>198771</v>
      </c>
      <c r="G3070" s="538">
        <v>12</v>
      </c>
    </row>
    <row r="3071" spans="1:7" x14ac:dyDescent="0.2">
      <c r="A3071" s="538">
        <v>5</v>
      </c>
      <c r="B3071" s="538" t="s">
        <v>6589</v>
      </c>
      <c r="C3071" s="538" t="s">
        <v>740</v>
      </c>
      <c r="D3071" s="538" t="s">
        <v>393</v>
      </c>
      <c r="E3071" s="538" t="s">
        <v>207</v>
      </c>
      <c r="F3071" s="538">
        <v>33984</v>
      </c>
      <c r="G3071" s="538">
        <v>3</v>
      </c>
    </row>
    <row r="3072" spans="1:7" x14ac:dyDescent="0.2">
      <c r="A3072" s="538">
        <v>11</v>
      </c>
      <c r="B3072" s="538" t="s">
        <v>6612</v>
      </c>
      <c r="C3072" s="538" t="s">
        <v>393</v>
      </c>
      <c r="D3072" s="538" t="s">
        <v>393</v>
      </c>
      <c r="E3072" s="538" t="s">
        <v>207</v>
      </c>
      <c r="F3072" s="538">
        <v>7745489</v>
      </c>
      <c r="G3072" s="538">
        <v>388</v>
      </c>
    </row>
    <row r="3073" spans="1:7" x14ac:dyDescent="0.2">
      <c r="A3073" s="538">
        <v>6</v>
      </c>
      <c r="B3073" s="538" t="s">
        <v>6565</v>
      </c>
      <c r="C3073" s="538" t="s">
        <v>740</v>
      </c>
      <c r="D3073" s="538" t="s">
        <v>740</v>
      </c>
      <c r="E3073" s="538" t="s">
        <v>402</v>
      </c>
      <c r="F3073" s="538">
        <v>1282667</v>
      </c>
      <c r="G3073" s="538">
        <v>49</v>
      </c>
    </row>
    <row r="3074" spans="1:7" x14ac:dyDescent="0.2">
      <c r="A3074" s="538">
        <v>6</v>
      </c>
      <c r="B3074" s="538" t="s">
        <v>6429</v>
      </c>
      <c r="C3074" s="538" t="s">
        <v>740</v>
      </c>
      <c r="D3074" s="538" t="s">
        <v>393</v>
      </c>
      <c r="E3074" s="538" t="s">
        <v>390</v>
      </c>
      <c r="F3074" s="538">
        <v>6924313</v>
      </c>
      <c r="G3074" s="538">
        <v>236</v>
      </c>
    </row>
    <row r="3075" spans="1:7" x14ac:dyDescent="0.2">
      <c r="A3075" s="538">
        <v>2</v>
      </c>
      <c r="B3075" s="538" t="s">
        <v>6656</v>
      </c>
      <c r="C3075" s="538" t="s">
        <v>740</v>
      </c>
      <c r="D3075" s="538" t="s">
        <v>393</v>
      </c>
      <c r="E3075" s="538" t="s">
        <v>390</v>
      </c>
      <c r="F3075" s="538">
        <v>56640</v>
      </c>
      <c r="G3075" s="538">
        <v>5</v>
      </c>
    </row>
    <row r="3076" spans="1:7" x14ac:dyDescent="0.2">
      <c r="A3076" s="538">
        <v>3</v>
      </c>
      <c r="B3076" s="538" t="s">
        <v>6591</v>
      </c>
      <c r="C3076" s="538" t="s">
        <v>393</v>
      </c>
      <c r="D3076" s="538" t="s">
        <v>740</v>
      </c>
      <c r="E3076" s="538" t="s">
        <v>202</v>
      </c>
      <c r="F3076" s="538">
        <v>786942</v>
      </c>
      <c r="G3076" s="538">
        <v>14</v>
      </c>
    </row>
    <row r="3077" spans="1:7" x14ac:dyDescent="0.2">
      <c r="A3077" s="538">
        <v>6</v>
      </c>
      <c r="B3077" s="538" t="s">
        <v>6565</v>
      </c>
      <c r="C3077" s="538" t="s">
        <v>740</v>
      </c>
      <c r="D3077" s="538" t="s">
        <v>393</v>
      </c>
      <c r="E3077" s="538" t="s">
        <v>212</v>
      </c>
      <c r="F3077" s="538">
        <v>1446975</v>
      </c>
      <c r="G3077" s="538">
        <v>105</v>
      </c>
    </row>
    <row r="3078" spans="1:7" x14ac:dyDescent="0.2">
      <c r="A3078" s="538">
        <v>10</v>
      </c>
      <c r="B3078" s="538" t="s">
        <v>6653</v>
      </c>
      <c r="C3078" s="538" t="s">
        <v>740</v>
      </c>
      <c r="D3078" s="538" t="s">
        <v>740</v>
      </c>
      <c r="E3078" s="538" t="s">
        <v>211</v>
      </c>
      <c r="F3078" s="538">
        <v>85491</v>
      </c>
      <c r="G3078" s="538">
        <v>2</v>
      </c>
    </row>
    <row r="3079" spans="1:7" x14ac:dyDescent="0.2">
      <c r="A3079" s="538">
        <v>9</v>
      </c>
      <c r="B3079" s="538" t="s">
        <v>6645</v>
      </c>
      <c r="C3079" s="538" t="s">
        <v>740</v>
      </c>
      <c r="D3079" s="538" t="s">
        <v>393</v>
      </c>
      <c r="E3079" s="538" t="s">
        <v>401</v>
      </c>
      <c r="F3079" s="538">
        <v>79296</v>
      </c>
      <c r="G3079" s="538">
        <v>7</v>
      </c>
    </row>
    <row r="3080" spans="1:7" x14ac:dyDescent="0.2">
      <c r="A3080" s="538">
        <v>5</v>
      </c>
      <c r="B3080" s="538" t="s">
        <v>6598</v>
      </c>
      <c r="C3080" s="538" t="s">
        <v>393</v>
      </c>
      <c r="D3080" s="538" t="s">
        <v>393</v>
      </c>
      <c r="E3080" s="538" t="s">
        <v>210</v>
      </c>
      <c r="F3080" s="538">
        <v>664104</v>
      </c>
      <c r="G3080" s="538">
        <v>33</v>
      </c>
    </row>
    <row r="3081" spans="1:7" x14ac:dyDescent="0.2">
      <c r="A3081" s="538">
        <v>9</v>
      </c>
      <c r="B3081" s="538" t="s">
        <v>6614</v>
      </c>
      <c r="C3081" s="538" t="s">
        <v>740</v>
      </c>
      <c r="D3081" s="538" t="s">
        <v>393</v>
      </c>
      <c r="E3081" s="538" t="s">
        <v>209</v>
      </c>
      <c r="F3081" s="538">
        <v>1762056</v>
      </c>
      <c r="G3081" s="538">
        <v>7</v>
      </c>
    </row>
    <row r="3082" spans="1:7" x14ac:dyDescent="0.2">
      <c r="A3082" s="538">
        <v>2</v>
      </c>
      <c r="B3082" s="538" t="s">
        <v>6585</v>
      </c>
      <c r="C3082" s="538" t="s">
        <v>740</v>
      </c>
      <c r="D3082" s="538" t="s">
        <v>740</v>
      </c>
      <c r="E3082" s="538" t="s">
        <v>402</v>
      </c>
      <c r="F3082" s="538">
        <v>1218416</v>
      </c>
      <c r="G3082" s="538">
        <v>37</v>
      </c>
    </row>
    <row r="3083" spans="1:7" x14ac:dyDescent="0.2">
      <c r="A3083" s="538">
        <v>5</v>
      </c>
      <c r="B3083" s="538" t="s">
        <v>6599</v>
      </c>
      <c r="C3083" s="538" t="s">
        <v>740</v>
      </c>
      <c r="D3083" s="538" t="s">
        <v>393</v>
      </c>
      <c r="E3083" s="538" t="s">
        <v>401</v>
      </c>
      <c r="F3083" s="538">
        <v>790784</v>
      </c>
      <c r="G3083" s="538">
        <v>18</v>
      </c>
    </row>
    <row r="3084" spans="1:7" x14ac:dyDescent="0.2">
      <c r="A3084" s="538">
        <v>6</v>
      </c>
      <c r="B3084" s="538" t="s">
        <v>6429</v>
      </c>
      <c r="C3084" s="538" t="s">
        <v>393</v>
      </c>
      <c r="D3084" s="538" t="s">
        <v>393</v>
      </c>
      <c r="E3084" s="538" t="s">
        <v>211</v>
      </c>
      <c r="F3084" s="538">
        <v>4385904</v>
      </c>
      <c r="G3084" s="538">
        <v>88</v>
      </c>
    </row>
    <row r="3085" spans="1:7" x14ac:dyDescent="0.2">
      <c r="A3085" s="538">
        <v>7</v>
      </c>
      <c r="B3085" s="538" t="s">
        <v>6594</v>
      </c>
      <c r="C3085" s="538" t="s">
        <v>393</v>
      </c>
      <c r="D3085" s="538" t="s">
        <v>393</v>
      </c>
      <c r="E3085" s="538" t="s">
        <v>390</v>
      </c>
      <c r="F3085" s="538">
        <v>8245608</v>
      </c>
      <c r="G3085" s="538">
        <v>166</v>
      </c>
    </row>
    <row r="3086" spans="1:7" x14ac:dyDescent="0.2">
      <c r="A3086" s="538">
        <v>1</v>
      </c>
      <c r="B3086" s="538" t="s">
        <v>6609</v>
      </c>
      <c r="C3086" s="538" t="s">
        <v>740</v>
      </c>
      <c r="D3086" s="538" t="s">
        <v>740</v>
      </c>
      <c r="E3086" s="538" t="s">
        <v>207</v>
      </c>
      <c r="F3086" s="538">
        <v>1046601</v>
      </c>
      <c r="G3086" s="538">
        <v>62</v>
      </c>
    </row>
    <row r="3087" spans="1:7" x14ac:dyDescent="0.2">
      <c r="A3087" s="538">
        <v>11</v>
      </c>
      <c r="B3087" s="538" t="s">
        <v>6610</v>
      </c>
      <c r="C3087" s="538" t="s">
        <v>393</v>
      </c>
      <c r="D3087" s="538" t="s">
        <v>740</v>
      </c>
      <c r="E3087" s="538" t="s">
        <v>207</v>
      </c>
      <c r="F3087" s="538">
        <v>6135476</v>
      </c>
      <c r="G3087" s="538">
        <v>302</v>
      </c>
    </row>
    <row r="3088" spans="1:7" x14ac:dyDescent="0.2">
      <c r="A3088" s="538">
        <v>3</v>
      </c>
      <c r="B3088" s="538" t="s">
        <v>6647</v>
      </c>
      <c r="C3088" s="538" t="s">
        <v>393</v>
      </c>
      <c r="D3088" s="538" t="s">
        <v>740</v>
      </c>
      <c r="E3088" s="538" t="s">
        <v>401</v>
      </c>
      <c r="F3088" s="538">
        <v>142131</v>
      </c>
      <c r="G3088" s="538">
        <v>7</v>
      </c>
    </row>
    <row r="3089" spans="1:7" x14ac:dyDescent="0.2">
      <c r="A3089" s="538">
        <v>6</v>
      </c>
      <c r="B3089" s="538" t="s">
        <v>6565</v>
      </c>
      <c r="C3089" s="538" t="s">
        <v>740</v>
      </c>
      <c r="D3089" s="538" t="s">
        <v>740</v>
      </c>
      <c r="E3089" s="538" t="s">
        <v>212</v>
      </c>
      <c r="F3089" s="538">
        <v>11328</v>
      </c>
      <c r="G3089" s="538">
        <v>1</v>
      </c>
    </row>
    <row r="3090" spans="1:7" x14ac:dyDescent="0.2">
      <c r="A3090" s="538">
        <v>12</v>
      </c>
      <c r="B3090" s="538" t="s">
        <v>6569</v>
      </c>
      <c r="C3090" s="538" t="s">
        <v>393</v>
      </c>
      <c r="D3090" s="538" t="s">
        <v>740</v>
      </c>
      <c r="E3090" s="538" t="s">
        <v>438</v>
      </c>
      <c r="F3090" s="538">
        <v>118236</v>
      </c>
      <c r="G3090" s="538">
        <v>7</v>
      </c>
    </row>
    <row r="3091" spans="1:7" x14ac:dyDescent="0.2">
      <c r="A3091" s="538">
        <v>3</v>
      </c>
      <c r="B3091" s="538" t="s">
        <v>6605</v>
      </c>
      <c r="C3091" s="538" t="s">
        <v>740</v>
      </c>
      <c r="D3091" s="538" t="s">
        <v>393</v>
      </c>
      <c r="E3091" s="538" t="s">
        <v>438</v>
      </c>
      <c r="F3091" s="538">
        <v>1788658</v>
      </c>
      <c r="G3091" s="538">
        <v>26</v>
      </c>
    </row>
    <row r="3092" spans="1:7" x14ac:dyDescent="0.2">
      <c r="A3092" s="538">
        <v>4</v>
      </c>
      <c r="B3092" s="538" t="s">
        <v>6559</v>
      </c>
      <c r="C3092" s="538" t="s">
        <v>740</v>
      </c>
      <c r="D3092" s="538" t="s">
        <v>393</v>
      </c>
      <c r="E3092" s="538" t="s">
        <v>416</v>
      </c>
      <c r="F3092" s="538">
        <v>1463155</v>
      </c>
      <c r="G3092" s="538">
        <v>20</v>
      </c>
    </row>
    <row r="3093" spans="1:7" x14ac:dyDescent="0.2">
      <c r="A3093" s="538">
        <v>11</v>
      </c>
      <c r="B3093" s="538" t="s">
        <v>6584</v>
      </c>
      <c r="C3093" s="538" t="s">
        <v>393</v>
      </c>
      <c r="D3093" s="538" t="s">
        <v>740</v>
      </c>
      <c r="E3093" s="538" t="s">
        <v>202</v>
      </c>
      <c r="F3093" s="538">
        <v>1648953</v>
      </c>
      <c r="G3093" s="538">
        <v>6</v>
      </c>
    </row>
    <row r="3094" spans="1:7" x14ac:dyDescent="0.2">
      <c r="A3094" s="538">
        <v>2</v>
      </c>
      <c r="B3094" s="538" t="s">
        <v>6656</v>
      </c>
      <c r="C3094" s="538" t="s">
        <v>740</v>
      </c>
      <c r="D3094" s="538" t="s">
        <v>393</v>
      </c>
      <c r="E3094" s="538" t="s">
        <v>416</v>
      </c>
      <c r="F3094" s="538">
        <v>1053629</v>
      </c>
      <c r="G3094" s="538">
        <v>28</v>
      </c>
    </row>
    <row r="3095" spans="1:7" x14ac:dyDescent="0.2">
      <c r="A3095" s="538">
        <v>12</v>
      </c>
      <c r="B3095" s="538" t="s">
        <v>6569</v>
      </c>
      <c r="C3095" s="538" t="s">
        <v>740</v>
      </c>
      <c r="D3095" s="538" t="s">
        <v>393</v>
      </c>
      <c r="E3095" s="538" t="s">
        <v>313</v>
      </c>
      <c r="F3095" s="538">
        <v>148326</v>
      </c>
      <c r="G3095" s="538">
        <v>2</v>
      </c>
    </row>
    <row r="3096" spans="1:7" x14ac:dyDescent="0.2">
      <c r="A3096" s="538">
        <v>3</v>
      </c>
      <c r="B3096" s="538" t="s">
        <v>6591</v>
      </c>
      <c r="C3096" s="538" t="s">
        <v>740</v>
      </c>
      <c r="D3096" s="538" t="s">
        <v>393</v>
      </c>
      <c r="E3096" s="538" t="s">
        <v>230</v>
      </c>
      <c r="F3096" s="538">
        <v>4145611</v>
      </c>
      <c r="G3096" s="538">
        <v>62</v>
      </c>
    </row>
    <row r="3097" spans="1:7" x14ac:dyDescent="0.2">
      <c r="A3097" s="538">
        <v>8</v>
      </c>
      <c r="B3097" s="538" t="s">
        <v>6658</v>
      </c>
      <c r="C3097" s="538" t="s">
        <v>740</v>
      </c>
      <c r="D3097" s="538" t="s">
        <v>393</v>
      </c>
      <c r="E3097" s="538" t="s">
        <v>202</v>
      </c>
      <c r="F3097" s="538">
        <v>581924</v>
      </c>
      <c r="G3097" s="538">
        <v>3</v>
      </c>
    </row>
    <row r="3098" spans="1:7" x14ac:dyDescent="0.2">
      <c r="A3098" s="538">
        <v>12</v>
      </c>
      <c r="B3098" s="538" t="s">
        <v>6616</v>
      </c>
      <c r="C3098" s="538" t="s">
        <v>740</v>
      </c>
      <c r="D3098" s="538" t="s">
        <v>740</v>
      </c>
      <c r="E3098" s="538" t="s">
        <v>401</v>
      </c>
      <c r="F3098" s="538">
        <v>11328</v>
      </c>
      <c r="G3098" s="538">
        <v>1</v>
      </c>
    </row>
    <row r="3099" spans="1:7" x14ac:dyDescent="0.2">
      <c r="A3099" s="538">
        <v>3</v>
      </c>
      <c r="B3099" s="538" t="s">
        <v>6578</v>
      </c>
      <c r="C3099" s="538" t="s">
        <v>740</v>
      </c>
      <c r="D3099" s="538" t="s">
        <v>393</v>
      </c>
      <c r="E3099" s="538" t="s">
        <v>230</v>
      </c>
      <c r="F3099" s="538">
        <v>25218961</v>
      </c>
      <c r="G3099" s="538">
        <v>607</v>
      </c>
    </row>
    <row r="3100" spans="1:7" x14ac:dyDescent="0.2">
      <c r="A3100" s="538">
        <v>7</v>
      </c>
      <c r="B3100" s="538" t="s">
        <v>6588</v>
      </c>
      <c r="C3100" s="538" t="s">
        <v>393</v>
      </c>
      <c r="D3100" s="538" t="s">
        <v>393</v>
      </c>
      <c r="E3100" s="538" t="s">
        <v>207</v>
      </c>
      <c r="F3100" s="538">
        <v>2208429</v>
      </c>
      <c r="G3100" s="538">
        <v>168</v>
      </c>
    </row>
    <row r="3101" spans="1:7" x14ac:dyDescent="0.2">
      <c r="A3101" s="538">
        <v>1</v>
      </c>
      <c r="B3101" s="538" t="s">
        <v>6595</v>
      </c>
      <c r="C3101" s="538" t="s">
        <v>393</v>
      </c>
      <c r="D3101" s="538" t="s">
        <v>740</v>
      </c>
      <c r="E3101" s="538" t="s">
        <v>210</v>
      </c>
      <c r="F3101" s="538">
        <v>11328</v>
      </c>
      <c r="G3101" s="538">
        <v>1</v>
      </c>
    </row>
    <row r="3102" spans="1:7" x14ac:dyDescent="0.2">
      <c r="A3102" s="538">
        <v>11</v>
      </c>
      <c r="B3102" s="538" t="s">
        <v>6584</v>
      </c>
      <c r="C3102" s="538" t="s">
        <v>393</v>
      </c>
      <c r="D3102" s="538" t="s">
        <v>393</v>
      </c>
      <c r="E3102" s="538" t="s">
        <v>230</v>
      </c>
      <c r="F3102" s="538">
        <v>9644616</v>
      </c>
      <c r="G3102" s="538">
        <v>187</v>
      </c>
    </row>
    <row r="3103" spans="1:7" x14ac:dyDescent="0.2">
      <c r="A3103" s="538">
        <v>2</v>
      </c>
      <c r="B3103" s="538" t="s">
        <v>6573</v>
      </c>
      <c r="C3103" s="538" t="s">
        <v>740</v>
      </c>
      <c r="D3103" s="538" t="s">
        <v>740</v>
      </c>
      <c r="E3103" s="538" t="s">
        <v>449</v>
      </c>
      <c r="F3103" s="538">
        <v>895797</v>
      </c>
      <c r="G3103" s="538">
        <v>59</v>
      </c>
    </row>
    <row r="3104" spans="1:7" x14ac:dyDescent="0.2">
      <c r="A3104" s="538">
        <v>7</v>
      </c>
      <c r="B3104" s="538" t="s">
        <v>6571</v>
      </c>
      <c r="C3104" s="538" t="s">
        <v>393</v>
      </c>
      <c r="D3104" s="538" t="s">
        <v>393</v>
      </c>
      <c r="E3104" s="538" t="s">
        <v>209</v>
      </c>
      <c r="F3104" s="538">
        <v>3981605</v>
      </c>
      <c r="G3104" s="538">
        <v>15</v>
      </c>
    </row>
    <row r="3105" spans="1:7" x14ac:dyDescent="0.2">
      <c r="A3105" s="538">
        <v>12</v>
      </c>
      <c r="B3105" s="538" t="s">
        <v>6569</v>
      </c>
      <c r="C3105" s="538" t="s">
        <v>740</v>
      </c>
      <c r="D3105" s="538" t="s">
        <v>393</v>
      </c>
      <c r="E3105" s="538" t="s">
        <v>207</v>
      </c>
      <c r="F3105" s="538">
        <v>6988262</v>
      </c>
      <c r="G3105" s="538">
        <v>489</v>
      </c>
    </row>
    <row r="3106" spans="1:7" x14ac:dyDescent="0.2">
      <c r="A3106" s="538">
        <v>7</v>
      </c>
      <c r="B3106" s="538" t="s">
        <v>6604</v>
      </c>
      <c r="C3106" s="538" t="s">
        <v>740</v>
      </c>
      <c r="D3106" s="538" t="s">
        <v>740</v>
      </c>
      <c r="E3106" s="538" t="s">
        <v>207</v>
      </c>
      <c r="F3106" s="538">
        <v>1193688</v>
      </c>
      <c r="G3106" s="538">
        <v>66</v>
      </c>
    </row>
    <row r="3107" spans="1:7" x14ac:dyDescent="0.2">
      <c r="A3107" s="538">
        <v>1</v>
      </c>
      <c r="B3107" s="538" t="s">
        <v>6602</v>
      </c>
      <c r="C3107" s="538" t="s">
        <v>740</v>
      </c>
      <c r="D3107" s="538" t="s">
        <v>393</v>
      </c>
      <c r="E3107" s="538" t="s">
        <v>212</v>
      </c>
      <c r="F3107" s="538">
        <v>45312</v>
      </c>
      <c r="G3107" s="538">
        <v>4</v>
      </c>
    </row>
    <row r="3108" spans="1:7" x14ac:dyDescent="0.2">
      <c r="A3108" s="538">
        <v>5</v>
      </c>
      <c r="B3108" s="538" t="s">
        <v>6566</v>
      </c>
      <c r="C3108" s="538" t="s">
        <v>740</v>
      </c>
      <c r="D3108" s="538" t="s">
        <v>393</v>
      </c>
      <c r="E3108" s="538" t="s">
        <v>210</v>
      </c>
      <c r="F3108" s="538">
        <v>11328</v>
      </c>
      <c r="G3108" s="538">
        <v>1</v>
      </c>
    </row>
    <row r="3109" spans="1:7" x14ac:dyDescent="0.2">
      <c r="A3109" s="538">
        <v>2</v>
      </c>
      <c r="B3109" s="538" t="s">
        <v>6573</v>
      </c>
      <c r="C3109" s="538" t="s">
        <v>393</v>
      </c>
      <c r="D3109" s="538" t="s">
        <v>393</v>
      </c>
      <c r="E3109" s="538" t="s">
        <v>860</v>
      </c>
      <c r="F3109" s="538">
        <v>2724405</v>
      </c>
      <c r="G3109" s="538">
        <v>65</v>
      </c>
    </row>
    <row r="3110" spans="1:7" x14ac:dyDescent="0.2">
      <c r="A3110" s="538">
        <v>9</v>
      </c>
      <c r="B3110" s="538" t="s">
        <v>6657</v>
      </c>
      <c r="C3110" s="538" t="s">
        <v>740</v>
      </c>
      <c r="D3110" s="538" t="s">
        <v>740</v>
      </c>
      <c r="E3110" s="538" t="s">
        <v>207</v>
      </c>
      <c r="F3110" s="538">
        <v>528345</v>
      </c>
      <c r="G3110" s="538">
        <v>30</v>
      </c>
    </row>
    <row r="3111" spans="1:7" x14ac:dyDescent="0.2">
      <c r="A3111" s="538">
        <v>4</v>
      </c>
      <c r="B3111" s="538" t="s">
        <v>6572</v>
      </c>
      <c r="C3111" s="538" t="s">
        <v>740</v>
      </c>
      <c r="D3111" s="538" t="s">
        <v>393</v>
      </c>
      <c r="E3111" s="538" t="s">
        <v>313</v>
      </c>
      <c r="F3111" s="538">
        <v>992866</v>
      </c>
      <c r="G3111" s="538">
        <v>2</v>
      </c>
    </row>
    <row r="3112" spans="1:7" x14ac:dyDescent="0.2">
      <c r="A3112" s="538">
        <v>4</v>
      </c>
      <c r="B3112" s="538" t="s">
        <v>6572</v>
      </c>
      <c r="C3112" s="538" t="s">
        <v>740</v>
      </c>
      <c r="D3112" s="538" t="s">
        <v>393</v>
      </c>
      <c r="E3112" s="538" t="s">
        <v>207</v>
      </c>
      <c r="F3112" s="538">
        <v>33984</v>
      </c>
      <c r="G3112" s="538">
        <v>3</v>
      </c>
    </row>
    <row r="3113" spans="1:7" x14ac:dyDescent="0.2">
      <c r="A3113" s="538">
        <v>3</v>
      </c>
      <c r="B3113" s="538" t="s">
        <v>6591</v>
      </c>
      <c r="C3113" s="538" t="s">
        <v>740</v>
      </c>
      <c r="D3113" s="538" t="s">
        <v>393</v>
      </c>
      <c r="E3113" s="538" t="s">
        <v>402</v>
      </c>
      <c r="F3113" s="538">
        <v>507761</v>
      </c>
      <c r="G3113" s="538">
        <v>2</v>
      </c>
    </row>
    <row r="3114" spans="1:7" x14ac:dyDescent="0.2">
      <c r="A3114" s="538">
        <v>3</v>
      </c>
      <c r="B3114" s="538" t="s">
        <v>6561</v>
      </c>
      <c r="C3114" s="538" t="s">
        <v>740</v>
      </c>
      <c r="D3114" s="538" t="s">
        <v>740</v>
      </c>
      <c r="E3114" s="538" t="s">
        <v>390</v>
      </c>
      <c r="F3114" s="538">
        <v>3419484</v>
      </c>
      <c r="G3114" s="538">
        <v>78</v>
      </c>
    </row>
    <row r="3115" spans="1:7" x14ac:dyDescent="0.2">
      <c r="A3115" s="538">
        <v>1</v>
      </c>
      <c r="B3115" s="538" t="s">
        <v>6646</v>
      </c>
      <c r="C3115" s="538" t="s">
        <v>740</v>
      </c>
      <c r="D3115" s="538" t="s">
        <v>393</v>
      </c>
      <c r="E3115" s="538" t="s">
        <v>390</v>
      </c>
      <c r="F3115" s="538">
        <v>3362948</v>
      </c>
      <c r="G3115" s="538">
        <v>156</v>
      </c>
    </row>
    <row r="3116" spans="1:7" x14ac:dyDescent="0.2">
      <c r="A3116" s="538">
        <v>2</v>
      </c>
      <c r="B3116" s="538" t="s">
        <v>6055</v>
      </c>
      <c r="C3116" s="538" t="s">
        <v>740</v>
      </c>
      <c r="D3116" s="538" t="s">
        <v>740</v>
      </c>
      <c r="E3116" s="538" t="s">
        <v>409</v>
      </c>
      <c r="F3116" s="538">
        <v>4074384</v>
      </c>
      <c r="G3116" s="538">
        <v>153</v>
      </c>
    </row>
    <row r="3117" spans="1:7" x14ac:dyDescent="0.2">
      <c r="A3117" s="538">
        <v>9</v>
      </c>
      <c r="B3117" s="538" t="s">
        <v>6615</v>
      </c>
      <c r="C3117" s="538" t="s">
        <v>740</v>
      </c>
      <c r="D3117" s="538" t="s">
        <v>393</v>
      </c>
      <c r="E3117" s="538" t="s">
        <v>210</v>
      </c>
      <c r="F3117" s="538">
        <v>22656</v>
      </c>
      <c r="G3117" s="538">
        <v>2</v>
      </c>
    </row>
    <row r="3118" spans="1:7" x14ac:dyDescent="0.2">
      <c r="A3118" s="538">
        <v>9</v>
      </c>
      <c r="B3118" s="538" t="s">
        <v>6606</v>
      </c>
      <c r="C3118" s="538" t="s">
        <v>393</v>
      </c>
      <c r="D3118" s="538" t="s">
        <v>393</v>
      </c>
      <c r="E3118" s="538" t="s">
        <v>211</v>
      </c>
      <c r="F3118" s="538">
        <v>5826174</v>
      </c>
      <c r="G3118" s="538">
        <v>83</v>
      </c>
    </row>
    <row r="3119" spans="1:7" x14ac:dyDescent="0.2">
      <c r="A3119" s="538">
        <v>3</v>
      </c>
      <c r="B3119" s="538" t="s">
        <v>6578</v>
      </c>
      <c r="C3119" s="538" t="s">
        <v>740</v>
      </c>
      <c r="D3119" s="538" t="s">
        <v>393</v>
      </c>
      <c r="E3119" s="538" t="s">
        <v>416</v>
      </c>
      <c r="F3119" s="538">
        <v>59126228</v>
      </c>
      <c r="G3119" s="538">
        <v>1556</v>
      </c>
    </row>
    <row r="3120" spans="1:7" x14ac:dyDescent="0.2">
      <c r="A3120" s="538">
        <v>4</v>
      </c>
      <c r="B3120" s="538" t="s">
        <v>6562</v>
      </c>
      <c r="C3120" s="538" t="s">
        <v>393</v>
      </c>
      <c r="D3120" s="538" t="s">
        <v>740</v>
      </c>
      <c r="E3120" s="538" t="s">
        <v>207</v>
      </c>
      <c r="F3120" s="538">
        <v>2855541</v>
      </c>
      <c r="G3120" s="538">
        <v>167</v>
      </c>
    </row>
    <row r="3121" spans="1:7" x14ac:dyDescent="0.2">
      <c r="A3121" s="538">
        <v>2</v>
      </c>
      <c r="B3121" s="538" t="s">
        <v>6573</v>
      </c>
      <c r="C3121" s="538" t="s">
        <v>740</v>
      </c>
      <c r="D3121" s="538" t="s">
        <v>393</v>
      </c>
      <c r="E3121" s="538" t="s">
        <v>212</v>
      </c>
      <c r="F3121" s="538">
        <v>2022402</v>
      </c>
      <c r="G3121" s="538">
        <v>164</v>
      </c>
    </row>
    <row r="3122" spans="1:7" x14ac:dyDescent="0.2">
      <c r="A3122" s="538">
        <v>7</v>
      </c>
      <c r="B3122" s="538" t="s">
        <v>6571</v>
      </c>
      <c r="C3122" s="538" t="s">
        <v>740</v>
      </c>
      <c r="D3122" s="538" t="s">
        <v>740</v>
      </c>
      <c r="E3122" s="538" t="s">
        <v>390</v>
      </c>
      <c r="F3122" s="538">
        <v>475245</v>
      </c>
      <c r="G3122" s="538">
        <v>15</v>
      </c>
    </row>
    <row r="3123" spans="1:7" x14ac:dyDescent="0.2">
      <c r="A3123" s="538">
        <v>6</v>
      </c>
      <c r="B3123" s="538" t="s">
        <v>6575</v>
      </c>
      <c r="C3123" s="538" t="s">
        <v>740</v>
      </c>
      <c r="D3123" s="538" t="s">
        <v>393</v>
      </c>
      <c r="E3123" s="538" t="s">
        <v>313</v>
      </c>
      <c r="F3123" s="538">
        <v>8905006</v>
      </c>
      <c r="G3123" s="538">
        <v>72</v>
      </c>
    </row>
    <row r="3124" spans="1:7" x14ac:dyDescent="0.2">
      <c r="A3124" s="538">
        <v>1</v>
      </c>
      <c r="B3124" s="538" t="s">
        <v>6595</v>
      </c>
      <c r="C3124" s="538" t="s">
        <v>740</v>
      </c>
      <c r="D3124" s="538" t="s">
        <v>393</v>
      </c>
      <c r="E3124" s="538" t="s">
        <v>409</v>
      </c>
      <c r="F3124" s="538">
        <v>253995</v>
      </c>
      <c r="G3124" s="538">
        <v>10</v>
      </c>
    </row>
    <row r="3125" spans="1:7" x14ac:dyDescent="0.2">
      <c r="A3125" s="538">
        <v>6</v>
      </c>
      <c r="B3125" s="538" t="s">
        <v>6429</v>
      </c>
      <c r="C3125" s="538" t="s">
        <v>740</v>
      </c>
      <c r="D3125" s="538" t="s">
        <v>393</v>
      </c>
      <c r="E3125" s="538" t="s">
        <v>211</v>
      </c>
      <c r="F3125" s="538">
        <v>377187</v>
      </c>
      <c r="G3125" s="538">
        <v>14</v>
      </c>
    </row>
    <row r="3126" spans="1:7" x14ac:dyDescent="0.2">
      <c r="A3126" s="538">
        <v>3</v>
      </c>
      <c r="B3126" s="538" t="s">
        <v>6561</v>
      </c>
      <c r="C3126" s="538" t="s">
        <v>740</v>
      </c>
      <c r="D3126" s="538" t="s">
        <v>740</v>
      </c>
      <c r="E3126" s="538" t="s">
        <v>416</v>
      </c>
      <c r="F3126" s="538">
        <v>3793131</v>
      </c>
      <c r="G3126" s="538">
        <v>102</v>
      </c>
    </row>
    <row r="3127" spans="1:7" x14ac:dyDescent="0.2">
      <c r="A3127" s="538">
        <v>1</v>
      </c>
      <c r="B3127" s="538" t="s">
        <v>6649</v>
      </c>
      <c r="C3127" s="538" t="s">
        <v>740</v>
      </c>
      <c r="D3127" s="538" t="s">
        <v>393</v>
      </c>
      <c r="E3127" s="538" t="s">
        <v>438</v>
      </c>
      <c r="F3127" s="538">
        <v>318069</v>
      </c>
      <c r="G3127" s="538">
        <v>8</v>
      </c>
    </row>
    <row r="3128" spans="1:7" x14ac:dyDescent="0.2">
      <c r="A3128" s="538">
        <v>7</v>
      </c>
      <c r="B3128" s="538" t="s">
        <v>6579</v>
      </c>
      <c r="C3128" s="538" t="s">
        <v>740</v>
      </c>
      <c r="D3128" s="538" t="s">
        <v>740</v>
      </c>
      <c r="E3128" s="538" t="s">
        <v>207</v>
      </c>
      <c r="F3128" s="538">
        <v>1940097</v>
      </c>
      <c r="G3128" s="538">
        <v>129</v>
      </c>
    </row>
    <row r="3129" spans="1:7" x14ac:dyDescent="0.2">
      <c r="A3129" s="538">
        <v>7</v>
      </c>
      <c r="B3129" s="538" t="s">
        <v>6580</v>
      </c>
      <c r="C3129" s="538" t="s">
        <v>393</v>
      </c>
      <c r="D3129" s="538" t="s">
        <v>393</v>
      </c>
      <c r="E3129" s="538" t="s">
        <v>210</v>
      </c>
      <c r="F3129" s="538">
        <v>2281728</v>
      </c>
      <c r="G3129" s="538">
        <v>46</v>
      </c>
    </row>
    <row r="3130" spans="1:7" x14ac:dyDescent="0.2">
      <c r="A3130" s="538">
        <v>4</v>
      </c>
      <c r="B3130" s="538" t="s">
        <v>6572</v>
      </c>
      <c r="C3130" s="538" t="s">
        <v>740</v>
      </c>
      <c r="D3130" s="538" t="s">
        <v>393</v>
      </c>
      <c r="E3130" s="538" t="s">
        <v>449</v>
      </c>
      <c r="F3130" s="538">
        <v>22656</v>
      </c>
      <c r="G3130" s="538">
        <v>2</v>
      </c>
    </row>
    <row r="3131" spans="1:7" x14ac:dyDescent="0.2">
      <c r="A3131" s="538">
        <v>4</v>
      </c>
      <c r="B3131" s="538" t="s">
        <v>6574</v>
      </c>
      <c r="C3131" s="538" t="s">
        <v>740</v>
      </c>
      <c r="D3131" s="538" t="s">
        <v>393</v>
      </c>
      <c r="E3131" s="538" t="s">
        <v>390</v>
      </c>
      <c r="F3131" s="538">
        <v>5977290</v>
      </c>
      <c r="G3131" s="538">
        <v>275</v>
      </c>
    </row>
    <row r="3132" spans="1:7" x14ac:dyDescent="0.2">
      <c r="A3132" s="538">
        <v>12</v>
      </c>
      <c r="B3132" s="538" t="s">
        <v>6563</v>
      </c>
      <c r="C3132" s="538" t="s">
        <v>740</v>
      </c>
      <c r="D3132" s="538" t="s">
        <v>740</v>
      </c>
      <c r="E3132" s="538" t="s">
        <v>401</v>
      </c>
      <c r="F3132" s="538">
        <v>22656</v>
      </c>
      <c r="G3132" s="538">
        <v>2</v>
      </c>
    </row>
    <row r="3133" spans="1:7" x14ac:dyDescent="0.2">
      <c r="A3133" s="538">
        <v>5</v>
      </c>
      <c r="B3133" s="538" t="s">
        <v>6589</v>
      </c>
      <c r="C3133" s="538" t="s">
        <v>393</v>
      </c>
      <c r="D3133" s="538" t="s">
        <v>393</v>
      </c>
      <c r="E3133" s="538" t="s">
        <v>202</v>
      </c>
      <c r="F3133" s="538">
        <v>8474188</v>
      </c>
      <c r="G3133" s="538">
        <v>81</v>
      </c>
    </row>
    <row r="3134" spans="1:7" x14ac:dyDescent="0.2">
      <c r="A3134" s="538">
        <v>2</v>
      </c>
      <c r="B3134" s="538" t="s">
        <v>6656</v>
      </c>
      <c r="C3134" s="538" t="s">
        <v>393</v>
      </c>
      <c r="D3134" s="538" t="s">
        <v>740</v>
      </c>
      <c r="E3134" s="538" t="s">
        <v>211</v>
      </c>
      <c r="F3134" s="538">
        <v>1141192</v>
      </c>
      <c r="G3134" s="538">
        <v>4</v>
      </c>
    </row>
    <row r="3135" spans="1:7" x14ac:dyDescent="0.2">
      <c r="A3135" s="538">
        <v>4</v>
      </c>
      <c r="B3135" s="538" t="s">
        <v>6562</v>
      </c>
      <c r="C3135" s="538" t="s">
        <v>740</v>
      </c>
      <c r="D3135" s="538" t="s">
        <v>393</v>
      </c>
      <c r="E3135" s="538" t="s">
        <v>206</v>
      </c>
      <c r="F3135" s="538">
        <v>496433</v>
      </c>
      <c r="G3135" s="538">
        <v>1</v>
      </c>
    </row>
    <row r="3136" spans="1:7" x14ac:dyDescent="0.2">
      <c r="A3136" s="538">
        <v>11</v>
      </c>
      <c r="B3136" s="538" t="s">
        <v>6592</v>
      </c>
      <c r="C3136" s="538" t="s">
        <v>393</v>
      </c>
      <c r="D3136" s="538" t="s">
        <v>393</v>
      </c>
      <c r="E3136" s="538" t="s">
        <v>409</v>
      </c>
      <c r="F3136" s="538">
        <v>803351</v>
      </c>
      <c r="G3136" s="538">
        <v>17</v>
      </c>
    </row>
    <row r="3137" spans="1:7" x14ac:dyDescent="0.2">
      <c r="A3137" s="538">
        <v>9</v>
      </c>
      <c r="B3137" s="538" t="s">
        <v>6614</v>
      </c>
      <c r="C3137" s="538" t="s">
        <v>740</v>
      </c>
      <c r="D3137" s="538" t="s">
        <v>393</v>
      </c>
      <c r="E3137" s="538" t="s">
        <v>211</v>
      </c>
      <c r="F3137" s="538">
        <v>11328</v>
      </c>
      <c r="G3137" s="538">
        <v>1</v>
      </c>
    </row>
    <row r="3138" spans="1:7" x14ac:dyDescent="0.2">
      <c r="A3138" s="538">
        <v>8</v>
      </c>
      <c r="B3138" s="538" t="s">
        <v>6658</v>
      </c>
      <c r="C3138" s="538" t="s">
        <v>393</v>
      </c>
      <c r="D3138" s="538" t="s">
        <v>740</v>
      </c>
      <c r="E3138" s="538" t="s">
        <v>409</v>
      </c>
      <c r="F3138" s="538">
        <v>423915</v>
      </c>
      <c r="G3138" s="538">
        <v>25</v>
      </c>
    </row>
    <row r="3139" spans="1:7" x14ac:dyDescent="0.2">
      <c r="A3139" s="538">
        <v>2</v>
      </c>
      <c r="B3139" s="538" t="s">
        <v>6055</v>
      </c>
      <c r="C3139" s="538" t="s">
        <v>393</v>
      </c>
      <c r="D3139" s="538" t="s">
        <v>393</v>
      </c>
      <c r="E3139" s="538" t="s">
        <v>860</v>
      </c>
      <c r="F3139" s="538">
        <v>347097</v>
      </c>
      <c r="G3139" s="538">
        <v>14</v>
      </c>
    </row>
    <row r="3140" spans="1:7" x14ac:dyDescent="0.2">
      <c r="A3140" s="538">
        <v>9</v>
      </c>
      <c r="B3140" s="538" t="s">
        <v>6645</v>
      </c>
      <c r="C3140" s="538" t="s">
        <v>393</v>
      </c>
      <c r="D3140" s="538" t="s">
        <v>393</v>
      </c>
      <c r="E3140" s="538" t="s">
        <v>449</v>
      </c>
      <c r="F3140" s="538">
        <v>147264</v>
      </c>
      <c r="G3140" s="538">
        <v>13</v>
      </c>
    </row>
    <row r="3141" spans="1:7" x14ac:dyDescent="0.2">
      <c r="A3141" s="538">
        <v>3</v>
      </c>
      <c r="B3141" s="538" t="s">
        <v>6586</v>
      </c>
      <c r="C3141" s="538" t="s">
        <v>393</v>
      </c>
      <c r="D3141" s="538" t="s">
        <v>393</v>
      </c>
      <c r="E3141" s="538" t="s">
        <v>207</v>
      </c>
      <c r="F3141" s="538">
        <v>13730567</v>
      </c>
      <c r="G3141" s="538">
        <v>794</v>
      </c>
    </row>
    <row r="3142" spans="1:7" x14ac:dyDescent="0.2">
      <c r="A3142" s="538">
        <v>1</v>
      </c>
      <c r="B3142" s="538" t="s">
        <v>6649</v>
      </c>
      <c r="C3142" s="538" t="s">
        <v>740</v>
      </c>
      <c r="D3142" s="538" t="s">
        <v>393</v>
      </c>
      <c r="E3142" s="538" t="s">
        <v>416</v>
      </c>
      <c r="F3142" s="538">
        <v>1396426</v>
      </c>
      <c r="G3142" s="538">
        <v>12</v>
      </c>
    </row>
    <row r="3143" spans="1:7" x14ac:dyDescent="0.2">
      <c r="A3143" s="538">
        <v>6</v>
      </c>
      <c r="B3143" s="538" t="s">
        <v>6429</v>
      </c>
      <c r="C3143" s="538" t="s">
        <v>740</v>
      </c>
      <c r="D3143" s="538" t="s">
        <v>393</v>
      </c>
      <c r="E3143" s="538" t="s">
        <v>212</v>
      </c>
      <c r="F3143" s="538">
        <v>67968</v>
      </c>
      <c r="G3143" s="538">
        <v>6</v>
      </c>
    </row>
    <row r="3144" spans="1:7" x14ac:dyDescent="0.2">
      <c r="A3144" s="538">
        <v>9</v>
      </c>
      <c r="B3144" s="538" t="s">
        <v>6615</v>
      </c>
      <c r="C3144" s="538" t="s">
        <v>393</v>
      </c>
      <c r="D3144" s="538" t="s">
        <v>740</v>
      </c>
      <c r="E3144" s="538" t="s">
        <v>402</v>
      </c>
      <c r="F3144" s="538">
        <v>3672313</v>
      </c>
      <c r="G3144" s="538">
        <v>81</v>
      </c>
    </row>
    <row r="3145" spans="1:7" x14ac:dyDescent="0.2">
      <c r="A3145" s="538">
        <v>4</v>
      </c>
      <c r="B3145" s="538" t="s">
        <v>6559</v>
      </c>
      <c r="C3145" s="538" t="s">
        <v>740</v>
      </c>
      <c r="D3145" s="538" t="s">
        <v>740</v>
      </c>
      <c r="E3145" s="538" t="s">
        <v>402</v>
      </c>
      <c r="F3145" s="538">
        <v>379842</v>
      </c>
      <c r="G3145" s="538">
        <v>19</v>
      </c>
    </row>
    <row r="3146" spans="1:7" x14ac:dyDescent="0.2">
      <c r="A3146" s="538">
        <v>1</v>
      </c>
      <c r="B3146" s="538" t="s">
        <v>6595</v>
      </c>
      <c r="C3146" s="538" t="s">
        <v>393</v>
      </c>
      <c r="D3146" s="538" t="s">
        <v>740</v>
      </c>
      <c r="E3146" s="538" t="s">
        <v>438</v>
      </c>
      <c r="F3146" s="538">
        <v>11328</v>
      </c>
      <c r="G3146" s="538">
        <v>1</v>
      </c>
    </row>
    <row r="3147" spans="1:7" x14ac:dyDescent="0.2">
      <c r="A3147" s="538">
        <v>4</v>
      </c>
      <c r="B3147" s="538" t="s">
        <v>6559</v>
      </c>
      <c r="C3147" s="538" t="s">
        <v>740</v>
      </c>
      <c r="D3147" s="538" t="s">
        <v>393</v>
      </c>
      <c r="E3147" s="538" t="s">
        <v>209</v>
      </c>
      <c r="F3147" s="538">
        <v>3654967</v>
      </c>
      <c r="G3147" s="538">
        <v>24</v>
      </c>
    </row>
    <row r="3148" spans="1:7" x14ac:dyDescent="0.2">
      <c r="A3148" s="538">
        <v>2</v>
      </c>
      <c r="B3148" s="538" t="s">
        <v>6055</v>
      </c>
      <c r="C3148" s="538" t="s">
        <v>740</v>
      </c>
      <c r="D3148" s="538" t="s">
        <v>740</v>
      </c>
      <c r="E3148" s="538" t="s">
        <v>449</v>
      </c>
      <c r="F3148" s="538">
        <v>1637250</v>
      </c>
      <c r="G3148" s="538">
        <v>130</v>
      </c>
    </row>
    <row r="3149" spans="1:7" x14ac:dyDescent="0.2">
      <c r="A3149" s="538">
        <v>6</v>
      </c>
      <c r="B3149" s="538" t="s">
        <v>6565</v>
      </c>
      <c r="C3149" s="538" t="s">
        <v>740</v>
      </c>
      <c r="D3149" s="538" t="s">
        <v>393</v>
      </c>
      <c r="E3149" s="538" t="s">
        <v>211</v>
      </c>
      <c r="F3149" s="538">
        <v>4011726</v>
      </c>
      <c r="G3149" s="538">
        <v>97</v>
      </c>
    </row>
    <row r="3150" spans="1:7" x14ac:dyDescent="0.2">
      <c r="A3150" s="538">
        <v>5</v>
      </c>
      <c r="B3150" s="538" t="s">
        <v>6568</v>
      </c>
      <c r="C3150" s="538" t="s">
        <v>740</v>
      </c>
      <c r="D3150" s="538" t="s">
        <v>393</v>
      </c>
      <c r="E3150" s="538" t="s">
        <v>860</v>
      </c>
      <c r="F3150" s="538">
        <v>101952</v>
      </c>
      <c r="G3150" s="538">
        <v>9</v>
      </c>
    </row>
    <row r="3151" spans="1:7" x14ac:dyDescent="0.2">
      <c r="A3151" s="538">
        <v>2</v>
      </c>
      <c r="B3151" s="538" t="s">
        <v>6608</v>
      </c>
      <c r="C3151" s="538" t="s">
        <v>393</v>
      </c>
      <c r="D3151" s="538" t="s">
        <v>393</v>
      </c>
      <c r="E3151" s="538" t="s">
        <v>211</v>
      </c>
      <c r="F3151" s="538">
        <v>23142429</v>
      </c>
      <c r="G3151" s="538">
        <v>228</v>
      </c>
    </row>
    <row r="3152" spans="1:7" x14ac:dyDescent="0.2">
      <c r="A3152" s="538">
        <v>9</v>
      </c>
      <c r="B3152" s="538" t="s">
        <v>6606</v>
      </c>
      <c r="C3152" s="538" t="s">
        <v>393</v>
      </c>
      <c r="D3152" s="538" t="s">
        <v>393</v>
      </c>
      <c r="E3152" s="538" t="s">
        <v>860</v>
      </c>
      <c r="F3152" s="538">
        <v>1133987</v>
      </c>
      <c r="G3152" s="538">
        <v>24</v>
      </c>
    </row>
    <row r="3153" spans="1:7" x14ac:dyDescent="0.2">
      <c r="A3153" s="538">
        <v>9</v>
      </c>
      <c r="B3153" s="538" t="s">
        <v>6606</v>
      </c>
      <c r="C3153" s="538" t="s">
        <v>393</v>
      </c>
      <c r="D3153" s="538" t="s">
        <v>740</v>
      </c>
      <c r="E3153" s="538" t="s">
        <v>409</v>
      </c>
      <c r="F3153" s="538">
        <v>11328</v>
      </c>
      <c r="G3153" s="538">
        <v>1</v>
      </c>
    </row>
    <row r="3154" spans="1:7" x14ac:dyDescent="0.2">
      <c r="A3154" s="538">
        <v>4</v>
      </c>
      <c r="B3154" s="538" t="s">
        <v>6593</v>
      </c>
      <c r="C3154" s="538" t="s">
        <v>740</v>
      </c>
      <c r="D3154" s="538" t="s">
        <v>740</v>
      </c>
      <c r="E3154" s="538" t="s">
        <v>449</v>
      </c>
      <c r="F3154" s="538">
        <v>537372</v>
      </c>
      <c r="G3154" s="538">
        <v>44</v>
      </c>
    </row>
    <row r="3155" spans="1:7" x14ac:dyDescent="0.2">
      <c r="A3155" s="538">
        <v>8</v>
      </c>
      <c r="B3155" s="538" t="s">
        <v>6567</v>
      </c>
      <c r="C3155" s="538" t="s">
        <v>740</v>
      </c>
      <c r="D3155" s="538" t="s">
        <v>740</v>
      </c>
      <c r="E3155" s="538" t="s">
        <v>402</v>
      </c>
      <c r="F3155" s="538">
        <v>11328</v>
      </c>
      <c r="G3155" s="538">
        <v>1</v>
      </c>
    </row>
    <row r="3156" spans="1:7" x14ac:dyDescent="0.2">
      <c r="A3156" s="538">
        <v>2</v>
      </c>
      <c r="B3156" s="538" t="s">
        <v>6573</v>
      </c>
      <c r="C3156" s="538" t="s">
        <v>740</v>
      </c>
      <c r="D3156" s="538" t="s">
        <v>393</v>
      </c>
      <c r="E3156" s="538" t="s">
        <v>409</v>
      </c>
      <c r="F3156" s="538">
        <v>1012211</v>
      </c>
      <c r="G3156" s="538">
        <v>32</v>
      </c>
    </row>
    <row r="3157" spans="1:7" x14ac:dyDescent="0.2">
      <c r="A3157" s="538">
        <v>3</v>
      </c>
      <c r="B3157" s="538" t="s">
        <v>1390</v>
      </c>
      <c r="C3157" s="538" t="s">
        <v>393</v>
      </c>
      <c r="D3157" s="538" t="s">
        <v>393</v>
      </c>
      <c r="E3157" s="538" t="s">
        <v>419</v>
      </c>
      <c r="F3157" s="538">
        <v>22656</v>
      </c>
      <c r="G3157" s="538">
        <v>2</v>
      </c>
    </row>
    <row r="3158" spans="1:7" x14ac:dyDescent="0.2">
      <c r="A3158" s="538">
        <v>7</v>
      </c>
      <c r="B3158" s="538" t="s">
        <v>6604</v>
      </c>
      <c r="C3158" s="538" t="s">
        <v>740</v>
      </c>
      <c r="D3158" s="538" t="s">
        <v>393</v>
      </c>
      <c r="E3158" s="538" t="s">
        <v>230</v>
      </c>
      <c r="F3158" s="538">
        <v>129564</v>
      </c>
      <c r="G3158" s="538">
        <v>8</v>
      </c>
    </row>
    <row r="3159" spans="1:7" x14ac:dyDescent="0.2">
      <c r="A3159" s="538">
        <v>9</v>
      </c>
      <c r="B3159" s="538" t="s">
        <v>6644</v>
      </c>
      <c r="C3159" s="538" t="s">
        <v>740</v>
      </c>
      <c r="D3159" s="538" t="s">
        <v>393</v>
      </c>
      <c r="E3159" s="538" t="s">
        <v>390</v>
      </c>
      <c r="F3159" s="538">
        <v>27685164</v>
      </c>
      <c r="G3159" s="538">
        <v>1048</v>
      </c>
    </row>
    <row r="3160" spans="1:7" x14ac:dyDescent="0.2">
      <c r="A3160" s="538">
        <v>3</v>
      </c>
      <c r="B3160" s="538" t="s">
        <v>6578</v>
      </c>
      <c r="C3160" s="538" t="s">
        <v>393</v>
      </c>
      <c r="D3160" s="538" t="s">
        <v>740</v>
      </c>
      <c r="E3160" s="538" t="s">
        <v>401</v>
      </c>
      <c r="F3160" s="538">
        <v>192576</v>
      </c>
      <c r="G3160" s="538">
        <v>17</v>
      </c>
    </row>
    <row r="3161" spans="1:7" x14ac:dyDescent="0.2">
      <c r="A3161" s="538">
        <v>6</v>
      </c>
      <c r="B3161" s="538" t="s">
        <v>6617</v>
      </c>
      <c r="C3161" s="538" t="s">
        <v>740</v>
      </c>
      <c r="D3161" s="538" t="s">
        <v>393</v>
      </c>
      <c r="E3161" s="538" t="s">
        <v>416</v>
      </c>
      <c r="F3161" s="538">
        <v>11328</v>
      </c>
      <c r="G3161" s="538">
        <v>1</v>
      </c>
    </row>
    <row r="3162" spans="1:7" x14ac:dyDescent="0.2">
      <c r="A3162" s="538">
        <v>1</v>
      </c>
      <c r="B3162" s="538" t="s">
        <v>6581</v>
      </c>
      <c r="C3162" s="538" t="s">
        <v>393</v>
      </c>
      <c r="D3162" s="538" t="s">
        <v>393</v>
      </c>
      <c r="E3162" s="538" t="s">
        <v>209</v>
      </c>
      <c r="F3162" s="538">
        <v>2059895</v>
      </c>
      <c r="G3162" s="538">
        <v>5</v>
      </c>
    </row>
    <row r="3163" spans="1:7" x14ac:dyDescent="0.2">
      <c r="A3163" s="538">
        <v>12</v>
      </c>
      <c r="B3163" s="538" t="s">
        <v>6569</v>
      </c>
      <c r="C3163" s="538" t="s">
        <v>393</v>
      </c>
      <c r="D3163" s="538" t="s">
        <v>393</v>
      </c>
      <c r="E3163" s="538" t="s">
        <v>390</v>
      </c>
      <c r="F3163" s="538">
        <v>3206480</v>
      </c>
      <c r="G3163" s="538">
        <v>120</v>
      </c>
    </row>
    <row r="3164" spans="1:7" x14ac:dyDescent="0.2">
      <c r="A3164" s="538">
        <v>4</v>
      </c>
      <c r="B3164" s="538" t="s">
        <v>6574</v>
      </c>
      <c r="C3164" s="538" t="s">
        <v>740</v>
      </c>
      <c r="D3164" s="538" t="s">
        <v>740</v>
      </c>
      <c r="E3164" s="538" t="s">
        <v>230</v>
      </c>
      <c r="F3164" s="538">
        <v>1257179</v>
      </c>
      <c r="G3164" s="538">
        <v>33</v>
      </c>
    </row>
    <row r="3165" spans="1:7" x14ac:dyDescent="0.2">
      <c r="A3165" s="538">
        <v>2</v>
      </c>
      <c r="B3165" s="538" t="s">
        <v>6585</v>
      </c>
      <c r="C3165" s="538" t="s">
        <v>393</v>
      </c>
      <c r="D3165" s="538" t="s">
        <v>393</v>
      </c>
      <c r="E3165" s="538" t="s">
        <v>409</v>
      </c>
      <c r="F3165" s="538">
        <v>1841935</v>
      </c>
      <c r="G3165" s="538">
        <v>50</v>
      </c>
    </row>
    <row r="3166" spans="1:7" x14ac:dyDescent="0.2">
      <c r="A3166" s="538">
        <v>8</v>
      </c>
      <c r="B3166" s="538" t="s">
        <v>6560</v>
      </c>
      <c r="C3166" s="538" t="s">
        <v>393</v>
      </c>
      <c r="D3166" s="538" t="s">
        <v>393</v>
      </c>
      <c r="E3166" s="538" t="s">
        <v>390</v>
      </c>
      <c r="F3166" s="538">
        <v>17869015</v>
      </c>
      <c r="G3166" s="538">
        <v>455</v>
      </c>
    </row>
    <row r="3167" spans="1:7" x14ac:dyDescent="0.2">
      <c r="A3167" s="538">
        <v>7</v>
      </c>
      <c r="B3167" s="538" t="s">
        <v>6571</v>
      </c>
      <c r="C3167" s="538" t="s">
        <v>393</v>
      </c>
      <c r="D3167" s="538" t="s">
        <v>393</v>
      </c>
      <c r="E3167" s="538" t="s">
        <v>401</v>
      </c>
      <c r="F3167" s="538">
        <v>208860</v>
      </c>
      <c r="G3167" s="538">
        <v>15</v>
      </c>
    </row>
    <row r="3168" spans="1:7" x14ac:dyDescent="0.2">
      <c r="A3168" s="538">
        <v>2</v>
      </c>
      <c r="B3168" s="538" t="s">
        <v>6585</v>
      </c>
      <c r="C3168" s="538" t="s">
        <v>740</v>
      </c>
      <c r="D3168" s="538" t="s">
        <v>393</v>
      </c>
      <c r="E3168" s="538" t="s">
        <v>409</v>
      </c>
      <c r="F3168" s="538">
        <v>179832</v>
      </c>
      <c r="G3168" s="538">
        <v>9</v>
      </c>
    </row>
    <row r="3169" spans="1:7" x14ac:dyDescent="0.2">
      <c r="A3169" s="538">
        <v>3</v>
      </c>
      <c r="B3169" s="538" t="s">
        <v>6561</v>
      </c>
      <c r="C3169" s="538" t="s">
        <v>393</v>
      </c>
      <c r="D3169" s="538" t="s">
        <v>393</v>
      </c>
      <c r="E3169" s="538" t="s">
        <v>438</v>
      </c>
      <c r="F3169" s="538">
        <v>11957007</v>
      </c>
      <c r="G3169" s="538">
        <v>109</v>
      </c>
    </row>
    <row r="3170" spans="1:7" x14ac:dyDescent="0.2">
      <c r="A3170" s="538">
        <v>3</v>
      </c>
      <c r="B3170" s="538" t="s">
        <v>6561</v>
      </c>
      <c r="C3170" s="538" t="s">
        <v>393</v>
      </c>
      <c r="D3170" s="538" t="s">
        <v>393</v>
      </c>
      <c r="E3170" s="538" t="s">
        <v>206</v>
      </c>
      <c r="F3170" s="538">
        <v>507761</v>
      </c>
      <c r="G3170" s="538">
        <v>2</v>
      </c>
    </row>
    <row r="3171" spans="1:7" x14ac:dyDescent="0.2">
      <c r="A3171" s="538">
        <v>3</v>
      </c>
      <c r="B3171" s="538" t="s">
        <v>6586</v>
      </c>
      <c r="C3171" s="538" t="s">
        <v>740</v>
      </c>
      <c r="D3171" s="538" t="s">
        <v>393</v>
      </c>
      <c r="E3171" s="538" t="s">
        <v>390</v>
      </c>
      <c r="F3171" s="538">
        <v>41972979</v>
      </c>
      <c r="G3171" s="538">
        <v>1598</v>
      </c>
    </row>
    <row r="3172" spans="1:7" x14ac:dyDescent="0.2">
      <c r="A3172" s="538">
        <v>3</v>
      </c>
      <c r="B3172" s="538" t="s">
        <v>6647</v>
      </c>
      <c r="C3172" s="538" t="s">
        <v>740</v>
      </c>
      <c r="D3172" s="538" t="s">
        <v>393</v>
      </c>
      <c r="E3172" s="538" t="s">
        <v>210</v>
      </c>
      <c r="F3172" s="538">
        <v>1751665</v>
      </c>
      <c r="G3172" s="538">
        <v>60</v>
      </c>
    </row>
    <row r="3173" spans="1:7" x14ac:dyDescent="0.2">
      <c r="A3173" s="538">
        <v>4</v>
      </c>
      <c r="B3173" s="538" t="s">
        <v>6572</v>
      </c>
      <c r="C3173" s="538" t="s">
        <v>393</v>
      </c>
      <c r="D3173" s="538" t="s">
        <v>740</v>
      </c>
      <c r="E3173" s="538" t="s">
        <v>401</v>
      </c>
      <c r="F3173" s="538">
        <v>391347</v>
      </c>
      <c r="G3173" s="538">
        <v>29</v>
      </c>
    </row>
    <row r="3174" spans="1:7" x14ac:dyDescent="0.2">
      <c r="A3174" s="538">
        <v>7</v>
      </c>
      <c r="B3174" s="538" t="s">
        <v>6655</v>
      </c>
      <c r="C3174" s="538" t="s">
        <v>740</v>
      </c>
      <c r="D3174" s="538" t="s">
        <v>393</v>
      </c>
      <c r="E3174" s="538" t="s">
        <v>211</v>
      </c>
      <c r="F3174" s="538">
        <v>13389197</v>
      </c>
      <c r="G3174" s="538">
        <v>239</v>
      </c>
    </row>
    <row r="3175" spans="1:7" x14ac:dyDescent="0.2">
      <c r="A3175" s="538">
        <v>6</v>
      </c>
      <c r="B3175" s="538" t="s">
        <v>6575</v>
      </c>
      <c r="C3175" s="538" t="s">
        <v>740</v>
      </c>
      <c r="D3175" s="538" t="s">
        <v>393</v>
      </c>
      <c r="E3175" s="538" t="s">
        <v>230</v>
      </c>
      <c r="F3175" s="538">
        <v>129564</v>
      </c>
      <c r="G3175" s="538">
        <v>8</v>
      </c>
    </row>
    <row r="3176" spans="1:7" x14ac:dyDescent="0.2">
      <c r="A3176" s="538">
        <v>3</v>
      </c>
      <c r="B3176" s="538" t="s">
        <v>1390</v>
      </c>
      <c r="C3176" s="538" t="s">
        <v>740</v>
      </c>
      <c r="D3176" s="538" t="s">
        <v>393</v>
      </c>
      <c r="E3176" s="538" t="s">
        <v>209</v>
      </c>
      <c r="F3176" s="538">
        <v>6984202</v>
      </c>
      <c r="G3176" s="538">
        <v>34</v>
      </c>
    </row>
    <row r="3177" spans="1:7" x14ac:dyDescent="0.2">
      <c r="A3177" s="538">
        <v>7</v>
      </c>
      <c r="B3177" s="538" t="s">
        <v>6655</v>
      </c>
      <c r="C3177" s="538" t="s">
        <v>740</v>
      </c>
      <c r="D3177" s="538" t="s">
        <v>393</v>
      </c>
      <c r="E3177" s="538" t="s">
        <v>313</v>
      </c>
      <c r="F3177" s="538">
        <v>1077170</v>
      </c>
      <c r="G3177" s="538">
        <v>10</v>
      </c>
    </row>
    <row r="3178" spans="1:7" x14ac:dyDescent="0.2">
      <c r="A3178" s="538">
        <v>6</v>
      </c>
      <c r="B3178" s="538" t="s">
        <v>6433</v>
      </c>
      <c r="C3178" s="538" t="s">
        <v>740</v>
      </c>
      <c r="D3178" s="538" t="s">
        <v>393</v>
      </c>
      <c r="E3178" s="538" t="s">
        <v>860</v>
      </c>
      <c r="F3178" s="538">
        <v>11328</v>
      </c>
      <c r="G3178" s="538">
        <v>1</v>
      </c>
    </row>
    <row r="3179" spans="1:7" x14ac:dyDescent="0.2">
      <c r="A3179" s="538">
        <v>7</v>
      </c>
      <c r="B3179" s="538" t="s">
        <v>6579</v>
      </c>
      <c r="C3179" s="538" t="s">
        <v>393</v>
      </c>
      <c r="D3179" s="538" t="s">
        <v>393</v>
      </c>
      <c r="E3179" s="538" t="s">
        <v>401</v>
      </c>
      <c r="F3179" s="538">
        <v>271695</v>
      </c>
      <c r="G3179" s="538">
        <v>15</v>
      </c>
    </row>
    <row r="3180" spans="1:7" x14ac:dyDescent="0.2">
      <c r="A3180" s="538">
        <v>12</v>
      </c>
      <c r="B3180" s="538" t="s">
        <v>6563</v>
      </c>
      <c r="C3180" s="538" t="s">
        <v>740</v>
      </c>
      <c r="D3180" s="538" t="s">
        <v>740</v>
      </c>
      <c r="E3180" s="538" t="s">
        <v>401</v>
      </c>
      <c r="F3180" s="538">
        <v>9997325</v>
      </c>
      <c r="G3180" s="538">
        <v>245</v>
      </c>
    </row>
    <row r="3181" spans="1:7" x14ac:dyDescent="0.2">
      <c r="A3181" s="538">
        <v>10</v>
      </c>
      <c r="B3181" s="538" t="s">
        <v>6587</v>
      </c>
      <c r="C3181" s="538" t="s">
        <v>740</v>
      </c>
      <c r="D3181" s="538" t="s">
        <v>393</v>
      </c>
      <c r="E3181" s="538" t="s">
        <v>390</v>
      </c>
      <c r="F3181" s="538">
        <v>22656</v>
      </c>
      <c r="G3181" s="538">
        <v>2</v>
      </c>
    </row>
    <row r="3182" spans="1:7" x14ac:dyDescent="0.2">
      <c r="A3182" s="538">
        <v>7</v>
      </c>
      <c r="B3182" s="538" t="s">
        <v>6604</v>
      </c>
      <c r="C3182" s="538" t="s">
        <v>740</v>
      </c>
      <c r="D3182" s="538" t="s">
        <v>393</v>
      </c>
      <c r="E3182" s="538" t="s">
        <v>416</v>
      </c>
      <c r="F3182" s="538">
        <v>33984</v>
      </c>
      <c r="G3182" s="538">
        <v>3</v>
      </c>
    </row>
    <row r="3183" spans="1:7" x14ac:dyDescent="0.2">
      <c r="A3183" s="538">
        <v>8</v>
      </c>
      <c r="B3183" s="538" t="s">
        <v>6648</v>
      </c>
      <c r="C3183" s="538" t="s">
        <v>740</v>
      </c>
      <c r="D3183" s="538" t="s">
        <v>393</v>
      </c>
      <c r="E3183" s="538" t="s">
        <v>211</v>
      </c>
      <c r="F3183" s="538">
        <v>9117593</v>
      </c>
      <c r="G3183" s="538">
        <v>256</v>
      </c>
    </row>
    <row r="3184" spans="1:7" x14ac:dyDescent="0.2">
      <c r="A3184" s="538">
        <v>5</v>
      </c>
      <c r="B3184" s="538" t="s">
        <v>6568</v>
      </c>
      <c r="C3184" s="538" t="s">
        <v>740</v>
      </c>
      <c r="D3184" s="538" t="s">
        <v>393</v>
      </c>
      <c r="E3184" s="538" t="s">
        <v>207</v>
      </c>
      <c r="F3184" s="538">
        <v>169920</v>
      </c>
      <c r="G3184" s="538">
        <v>15</v>
      </c>
    </row>
    <row r="3185" spans="1:7" x14ac:dyDescent="0.2">
      <c r="A3185" s="538">
        <v>10</v>
      </c>
      <c r="B3185" s="538" t="s">
        <v>6653</v>
      </c>
      <c r="C3185" s="538" t="s">
        <v>740</v>
      </c>
      <c r="D3185" s="538" t="s">
        <v>740</v>
      </c>
      <c r="E3185" s="538" t="s">
        <v>860</v>
      </c>
      <c r="F3185" s="538">
        <v>85491</v>
      </c>
      <c r="G3185" s="538">
        <v>2</v>
      </c>
    </row>
    <row r="3186" spans="1:7" x14ac:dyDescent="0.2">
      <c r="A3186" s="538">
        <v>3</v>
      </c>
      <c r="B3186" s="538" t="s">
        <v>6591</v>
      </c>
      <c r="C3186" s="538" t="s">
        <v>393</v>
      </c>
      <c r="D3186" s="538" t="s">
        <v>740</v>
      </c>
      <c r="E3186" s="538" t="s">
        <v>416</v>
      </c>
      <c r="F3186" s="538">
        <v>16052526</v>
      </c>
      <c r="G3186" s="538">
        <v>497</v>
      </c>
    </row>
    <row r="3187" spans="1:7" x14ac:dyDescent="0.2">
      <c r="A3187" s="538">
        <v>7</v>
      </c>
      <c r="B3187" s="538" t="s">
        <v>6604</v>
      </c>
      <c r="C3187" s="538" t="s">
        <v>740</v>
      </c>
      <c r="D3187" s="538" t="s">
        <v>740</v>
      </c>
      <c r="E3187" s="538" t="s">
        <v>402</v>
      </c>
      <c r="F3187" s="538">
        <v>1281657</v>
      </c>
      <c r="G3187" s="538">
        <v>69</v>
      </c>
    </row>
    <row r="3188" spans="1:7" x14ac:dyDescent="0.2">
      <c r="A3188" s="538">
        <v>10</v>
      </c>
      <c r="B3188" s="538" t="s">
        <v>6597</v>
      </c>
      <c r="C3188" s="538" t="s">
        <v>393</v>
      </c>
      <c r="D3188" s="538" t="s">
        <v>740</v>
      </c>
      <c r="E3188" s="538" t="s">
        <v>390</v>
      </c>
      <c r="F3188" s="538">
        <v>460200</v>
      </c>
      <c r="G3188" s="538">
        <v>15</v>
      </c>
    </row>
    <row r="3189" spans="1:7" x14ac:dyDescent="0.2">
      <c r="A3189" s="538">
        <v>7</v>
      </c>
      <c r="B3189" s="538" t="s">
        <v>6588</v>
      </c>
      <c r="C3189" s="538" t="s">
        <v>393</v>
      </c>
      <c r="D3189" s="538" t="s">
        <v>393</v>
      </c>
      <c r="E3189" s="538" t="s">
        <v>409</v>
      </c>
      <c r="F3189" s="538">
        <v>1558964</v>
      </c>
      <c r="G3189" s="538">
        <v>38</v>
      </c>
    </row>
    <row r="3190" spans="1:7" x14ac:dyDescent="0.2">
      <c r="A3190" s="538">
        <v>8</v>
      </c>
      <c r="B3190" s="538" t="s">
        <v>6577</v>
      </c>
      <c r="C3190" s="538" t="s">
        <v>740</v>
      </c>
      <c r="D3190" s="538" t="s">
        <v>740</v>
      </c>
      <c r="E3190" s="538" t="s">
        <v>416</v>
      </c>
      <c r="F3190" s="538">
        <v>183281862</v>
      </c>
      <c r="G3190" s="538">
        <v>4729</v>
      </c>
    </row>
    <row r="3191" spans="1:7" x14ac:dyDescent="0.2">
      <c r="A3191" s="538">
        <v>4</v>
      </c>
      <c r="B3191" s="538" t="s">
        <v>6590</v>
      </c>
      <c r="C3191" s="538" t="s">
        <v>740</v>
      </c>
      <c r="D3191" s="538" t="s">
        <v>393</v>
      </c>
      <c r="E3191" s="538" t="s">
        <v>416</v>
      </c>
      <c r="F3191" s="538">
        <v>19718707</v>
      </c>
      <c r="G3191" s="538">
        <v>359</v>
      </c>
    </row>
    <row r="3192" spans="1:7" x14ac:dyDescent="0.2">
      <c r="A3192" s="538">
        <v>4</v>
      </c>
      <c r="B3192" s="538" t="s">
        <v>6562</v>
      </c>
      <c r="C3192" s="538" t="s">
        <v>740</v>
      </c>
      <c r="D3192" s="538" t="s">
        <v>740</v>
      </c>
      <c r="E3192" s="538" t="s">
        <v>210</v>
      </c>
      <c r="F3192" s="538">
        <v>22656</v>
      </c>
      <c r="G3192" s="538">
        <v>2</v>
      </c>
    </row>
    <row r="3193" spans="1:7" x14ac:dyDescent="0.2">
      <c r="A3193" s="538">
        <v>3</v>
      </c>
      <c r="B3193" s="538" t="s">
        <v>1390</v>
      </c>
      <c r="C3193" s="538" t="s">
        <v>740</v>
      </c>
      <c r="D3193" s="538" t="s">
        <v>393</v>
      </c>
      <c r="E3193" s="538" t="s">
        <v>230</v>
      </c>
      <c r="F3193" s="538">
        <v>2032741</v>
      </c>
      <c r="G3193" s="538">
        <v>37</v>
      </c>
    </row>
    <row r="3194" spans="1:7" x14ac:dyDescent="0.2">
      <c r="A3194" s="538">
        <v>2</v>
      </c>
      <c r="B3194" s="538" t="s">
        <v>6573</v>
      </c>
      <c r="C3194" s="538" t="s">
        <v>393</v>
      </c>
      <c r="D3194" s="538" t="s">
        <v>393</v>
      </c>
      <c r="E3194" s="538" t="s">
        <v>207</v>
      </c>
      <c r="F3194" s="538">
        <v>18452625</v>
      </c>
      <c r="G3194" s="538">
        <v>1385</v>
      </c>
    </row>
    <row r="3195" spans="1:7" x14ac:dyDescent="0.2">
      <c r="A3195" s="538">
        <v>2</v>
      </c>
      <c r="B3195" s="538" t="s">
        <v>6656</v>
      </c>
      <c r="C3195" s="538" t="s">
        <v>740</v>
      </c>
      <c r="D3195" s="538" t="s">
        <v>393</v>
      </c>
      <c r="E3195" s="538" t="s">
        <v>438</v>
      </c>
      <c r="F3195" s="538">
        <v>581924</v>
      </c>
      <c r="G3195" s="538">
        <v>3</v>
      </c>
    </row>
    <row r="3196" spans="1:7" x14ac:dyDescent="0.2">
      <c r="A3196" s="538">
        <v>10</v>
      </c>
      <c r="B3196" s="538" t="s">
        <v>6582</v>
      </c>
      <c r="C3196" s="538" t="s">
        <v>740</v>
      </c>
      <c r="D3196" s="538" t="s">
        <v>393</v>
      </c>
      <c r="E3196" s="538" t="s">
        <v>202</v>
      </c>
      <c r="F3196" s="538">
        <v>1077118</v>
      </c>
      <c r="G3196" s="538">
        <v>6</v>
      </c>
    </row>
    <row r="3197" spans="1:7" x14ac:dyDescent="0.2">
      <c r="A3197" s="538">
        <v>9</v>
      </c>
      <c r="B3197" s="538" t="s">
        <v>6645</v>
      </c>
      <c r="C3197" s="538" t="s">
        <v>740</v>
      </c>
      <c r="D3197" s="538" t="s">
        <v>393</v>
      </c>
      <c r="E3197" s="538" t="s">
        <v>212</v>
      </c>
      <c r="F3197" s="538">
        <v>1233336</v>
      </c>
      <c r="G3197" s="538">
        <v>102</v>
      </c>
    </row>
    <row r="3198" spans="1:7" x14ac:dyDescent="0.2">
      <c r="A3198" s="538">
        <v>8</v>
      </c>
      <c r="B3198" s="538" t="s">
        <v>6570</v>
      </c>
      <c r="C3198" s="538" t="s">
        <v>740</v>
      </c>
      <c r="D3198" s="538" t="s">
        <v>740</v>
      </c>
      <c r="E3198" s="538" t="s">
        <v>409</v>
      </c>
      <c r="F3198" s="538">
        <v>498432</v>
      </c>
      <c r="G3198" s="538">
        <v>44</v>
      </c>
    </row>
    <row r="3199" spans="1:7" x14ac:dyDescent="0.2">
      <c r="A3199" s="538">
        <v>6</v>
      </c>
      <c r="B3199" s="538" t="s">
        <v>6565</v>
      </c>
      <c r="C3199" s="538" t="s">
        <v>740</v>
      </c>
      <c r="D3199" s="538" t="s">
        <v>393</v>
      </c>
      <c r="E3199" s="538" t="s">
        <v>211</v>
      </c>
      <c r="F3199" s="538">
        <v>11675972</v>
      </c>
      <c r="G3199" s="538">
        <v>324</v>
      </c>
    </row>
    <row r="3200" spans="1:7" x14ac:dyDescent="0.2">
      <c r="A3200" s="538">
        <v>5</v>
      </c>
      <c r="B3200" s="538" t="s">
        <v>6599</v>
      </c>
      <c r="C3200" s="538" t="s">
        <v>740</v>
      </c>
      <c r="D3200" s="538" t="s">
        <v>740</v>
      </c>
      <c r="E3200" s="538" t="s">
        <v>409</v>
      </c>
      <c r="F3200" s="538">
        <v>72924</v>
      </c>
      <c r="G3200" s="538">
        <v>3</v>
      </c>
    </row>
    <row r="3201" spans="1:7" x14ac:dyDescent="0.2">
      <c r="A3201" s="538">
        <v>4</v>
      </c>
      <c r="B3201" s="538" t="s">
        <v>6593</v>
      </c>
      <c r="C3201" s="538" t="s">
        <v>740</v>
      </c>
      <c r="D3201" s="538" t="s">
        <v>393</v>
      </c>
      <c r="E3201" s="538" t="s">
        <v>313</v>
      </c>
      <c r="F3201" s="538">
        <v>5867134</v>
      </c>
      <c r="G3201" s="538">
        <v>48</v>
      </c>
    </row>
    <row r="3202" spans="1:7" x14ac:dyDescent="0.2">
      <c r="A3202" s="538">
        <v>6</v>
      </c>
      <c r="B3202" s="538" t="s">
        <v>6596</v>
      </c>
      <c r="C3202" s="538" t="s">
        <v>740</v>
      </c>
      <c r="D3202" s="538" t="s">
        <v>393</v>
      </c>
      <c r="E3202" s="538" t="s">
        <v>230</v>
      </c>
      <c r="F3202" s="538">
        <v>1684457</v>
      </c>
      <c r="G3202" s="538">
        <v>29</v>
      </c>
    </row>
    <row r="3203" spans="1:7" x14ac:dyDescent="0.2">
      <c r="A3203" s="538">
        <v>7</v>
      </c>
      <c r="B3203" s="538" t="s">
        <v>6604</v>
      </c>
      <c r="C3203" s="538" t="s">
        <v>740</v>
      </c>
      <c r="D3203" s="538" t="s">
        <v>393</v>
      </c>
      <c r="E3203" s="538" t="s">
        <v>390</v>
      </c>
      <c r="F3203" s="538">
        <v>61596</v>
      </c>
      <c r="G3203" s="538">
        <v>2</v>
      </c>
    </row>
    <row r="3204" spans="1:7" x14ac:dyDescent="0.2">
      <c r="A3204" s="538">
        <v>10</v>
      </c>
      <c r="B3204" s="538" t="s">
        <v>6611</v>
      </c>
      <c r="C3204" s="538" t="s">
        <v>393</v>
      </c>
      <c r="D3204" s="538" t="s">
        <v>393</v>
      </c>
      <c r="E3204" s="538" t="s">
        <v>209</v>
      </c>
      <c r="F3204" s="538">
        <v>1413949</v>
      </c>
      <c r="G3204" s="538">
        <v>8</v>
      </c>
    </row>
    <row r="3205" spans="1:7" x14ac:dyDescent="0.2">
      <c r="A3205" s="538">
        <v>8</v>
      </c>
      <c r="B3205" s="538" t="s">
        <v>6560</v>
      </c>
      <c r="C3205" s="538" t="s">
        <v>740</v>
      </c>
      <c r="D3205" s="538" t="s">
        <v>740</v>
      </c>
      <c r="E3205" s="538" t="s">
        <v>210</v>
      </c>
      <c r="F3205" s="538">
        <v>2031325</v>
      </c>
      <c r="G3205" s="538">
        <v>30</v>
      </c>
    </row>
    <row r="3206" spans="1:7" x14ac:dyDescent="0.2">
      <c r="A3206" s="538">
        <v>3</v>
      </c>
      <c r="B3206" s="538" t="s">
        <v>1390</v>
      </c>
      <c r="C3206" s="538" t="s">
        <v>740</v>
      </c>
      <c r="D3206" s="538" t="s">
        <v>393</v>
      </c>
      <c r="E3206" s="538" t="s">
        <v>390</v>
      </c>
      <c r="F3206" s="538">
        <v>4583665</v>
      </c>
      <c r="G3206" s="538">
        <v>110</v>
      </c>
    </row>
    <row r="3207" spans="1:7" x14ac:dyDescent="0.2">
      <c r="A3207" s="538">
        <v>6</v>
      </c>
      <c r="B3207" s="538" t="s">
        <v>6575</v>
      </c>
      <c r="C3207" s="538" t="s">
        <v>393</v>
      </c>
      <c r="D3207" s="538" t="s">
        <v>740</v>
      </c>
      <c r="E3207" s="538" t="s">
        <v>207</v>
      </c>
      <c r="F3207" s="538">
        <v>1346085</v>
      </c>
      <c r="G3207" s="538">
        <v>85</v>
      </c>
    </row>
    <row r="3208" spans="1:7" x14ac:dyDescent="0.2">
      <c r="A3208" s="538">
        <v>11</v>
      </c>
      <c r="B3208" s="538" t="s">
        <v>6612</v>
      </c>
      <c r="C3208" s="538" t="s">
        <v>740</v>
      </c>
      <c r="D3208" s="538" t="s">
        <v>393</v>
      </c>
      <c r="E3208" s="538" t="s">
        <v>210</v>
      </c>
      <c r="F3208" s="538">
        <v>56640</v>
      </c>
      <c r="G3208" s="538">
        <v>5</v>
      </c>
    </row>
    <row r="3209" spans="1:7" x14ac:dyDescent="0.2">
      <c r="A3209" s="538">
        <v>8</v>
      </c>
      <c r="B3209" s="538" t="s">
        <v>6560</v>
      </c>
      <c r="C3209" s="538" t="s">
        <v>740</v>
      </c>
      <c r="D3209" s="538" t="s">
        <v>393</v>
      </c>
      <c r="E3209" s="538" t="s">
        <v>207</v>
      </c>
      <c r="F3209" s="538">
        <v>804288</v>
      </c>
      <c r="G3209" s="538">
        <v>71</v>
      </c>
    </row>
    <row r="3210" spans="1:7" x14ac:dyDescent="0.2">
      <c r="A3210" s="538">
        <v>2</v>
      </c>
      <c r="B3210" s="538" t="s">
        <v>6576</v>
      </c>
      <c r="C3210" s="538" t="s">
        <v>393</v>
      </c>
      <c r="D3210" s="538" t="s">
        <v>740</v>
      </c>
      <c r="E3210" s="538" t="s">
        <v>210</v>
      </c>
      <c r="F3210" s="538">
        <v>74163</v>
      </c>
      <c r="G3210" s="538">
        <v>1</v>
      </c>
    </row>
    <row r="3211" spans="1:7" x14ac:dyDescent="0.2">
      <c r="A3211" s="538">
        <v>11</v>
      </c>
      <c r="B3211" s="538" t="s">
        <v>6592</v>
      </c>
      <c r="C3211" s="538" t="s">
        <v>393</v>
      </c>
      <c r="D3211" s="538" t="s">
        <v>393</v>
      </c>
      <c r="E3211" s="538" t="s">
        <v>860</v>
      </c>
      <c r="F3211" s="538">
        <v>1243144</v>
      </c>
      <c r="G3211" s="538">
        <v>13</v>
      </c>
    </row>
    <row r="3212" spans="1:7" x14ac:dyDescent="0.2">
      <c r="A3212" s="538">
        <v>7</v>
      </c>
      <c r="B3212" s="538" t="s">
        <v>6594</v>
      </c>
      <c r="C3212" s="538" t="s">
        <v>393</v>
      </c>
      <c r="D3212" s="538" t="s">
        <v>393</v>
      </c>
      <c r="E3212" s="538" t="s">
        <v>230</v>
      </c>
      <c r="F3212" s="538">
        <v>3296646</v>
      </c>
      <c r="G3212" s="538">
        <v>87</v>
      </c>
    </row>
    <row r="3213" spans="1:7" x14ac:dyDescent="0.2">
      <c r="A3213" s="538">
        <v>7</v>
      </c>
      <c r="B3213" s="538" t="s">
        <v>6661</v>
      </c>
      <c r="C3213" s="538" t="s">
        <v>740</v>
      </c>
      <c r="D3213" s="538" t="s">
        <v>393</v>
      </c>
      <c r="E3213" s="538" t="s">
        <v>402</v>
      </c>
      <c r="F3213" s="538">
        <v>2178162</v>
      </c>
      <c r="G3213" s="538">
        <v>164</v>
      </c>
    </row>
    <row r="3214" spans="1:7" x14ac:dyDescent="0.2">
      <c r="A3214" s="538">
        <v>7</v>
      </c>
      <c r="B3214" s="538" t="s">
        <v>6604</v>
      </c>
      <c r="C3214" s="538" t="s">
        <v>393</v>
      </c>
      <c r="D3214" s="538" t="s">
        <v>740</v>
      </c>
      <c r="E3214" s="538" t="s">
        <v>409</v>
      </c>
      <c r="F3214" s="538">
        <v>169920</v>
      </c>
      <c r="G3214" s="538">
        <v>15</v>
      </c>
    </row>
    <row r="3215" spans="1:7" x14ac:dyDescent="0.2">
      <c r="A3215" s="538">
        <v>7</v>
      </c>
      <c r="B3215" s="538" t="s">
        <v>6604</v>
      </c>
      <c r="C3215" s="538" t="s">
        <v>740</v>
      </c>
      <c r="D3215" s="538" t="s">
        <v>393</v>
      </c>
      <c r="E3215" s="538" t="s">
        <v>209</v>
      </c>
      <c r="F3215" s="538">
        <v>74163</v>
      </c>
      <c r="G3215" s="538">
        <v>1</v>
      </c>
    </row>
    <row r="3216" spans="1:7" x14ac:dyDescent="0.2">
      <c r="A3216" s="538">
        <v>5</v>
      </c>
      <c r="B3216" s="538" t="s">
        <v>6599</v>
      </c>
      <c r="C3216" s="538" t="s">
        <v>740</v>
      </c>
      <c r="D3216" s="538" t="s">
        <v>740</v>
      </c>
      <c r="E3216" s="538" t="s">
        <v>860</v>
      </c>
      <c r="F3216" s="538">
        <v>11328</v>
      </c>
      <c r="G3216" s="538">
        <v>1</v>
      </c>
    </row>
    <row r="3217" spans="1:7" x14ac:dyDescent="0.2">
      <c r="A3217" s="538">
        <v>5</v>
      </c>
      <c r="B3217" s="538" t="s">
        <v>6650</v>
      </c>
      <c r="C3217" s="538" t="s">
        <v>393</v>
      </c>
      <c r="D3217" s="538" t="s">
        <v>393</v>
      </c>
      <c r="E3217" s="538" t="s">
        <v>230</v>
      </c>
      <c r="F3217" s="538">
        <v>2357359</v>
      </c>
      <c r="G3217" s="538">
        <v>63</v>
      </c>
    </row>
    <row r="3218" spans="1:7" x14ac:dyDescent="0.2">
      <c r="A3218" s="538">
        <v>10</v>
      </c>
      <c r="B3218" s="538" t="s">
        <v>6597</v>
      </c>
      <c r="C3218" s="538" t="s">
        <v>740</v>
      </c>
      <c r="D3218" s="538" t="s">
        <v>393</v>
      </c>
      <c r="E3218" s="538" t="s">
        <v>313</v>
      </c>
      <c r="F3218" s="538">
        <v>50268</v>
      </c>
      <c r="G3218" s="538">
        <v>1</v>
      </c>
    </row>
    <row r="3219" spans="1:7" x14ac:dyDescent="0.2">
      <c r="A3219" s="538">
        <v>10</v>
      </c>
      <c r="B3219" s="538" t="s">
        <v>6587</v>
      </c>
      <c r="C3219" s="538" t="s">
        <v>740</v>
      </c>
      <c r="D3219" s="538" t="s">
        <v>740</v>
      </c>
      <c r="E3219" s="538" t="s">
        <v>402</v>
      </c>
      <c r="F3219" s="538">
        <v>553656</v>
      </c>
      <c r="G3219" s="538">
        <v>42</v>
      </c>
    </row>
    <row r="3220" spans="1:7" x14ac:dyDescent="0.2">
      <c r="A3220" s="538">
        <v>10</v>
      </c>
      <c r="B3220" s="538" t="s">
        <v>6601</v>
      </c>
      <c r="C3220" s="538" t="s">
        <v>393</v>
      </c>
      <c r="D3220" s="538" t="s">
        <v>393</v>
      </c>
      <c r="E3220" s="538" t="s">
        <v>402</v>
      </c>
      <c r="F3220" s="538">
        <v>1580381</v>
      </c>
      <c r="G3220" s="538">
        <v>42</v>
      </c>
    </row>
    <row r="3221" spans="1:7" x14ac:dyDescent="0.2">
      <c r="A3221" s="538">
        <v>8</v>
      </c>
      <c r="B3221" s="538" t="s">
        <v>6577</v>
      </c>
      <c r="C3221" s="538" t="s">
        <v>740</v>
      </c>
      <c r="D3221" s="538" t="s">
        <v>393</v>
      </c>
      <c r="E3221" s="538" t="s">
        <v>202</v>
      </c>
      <c r="F3221" s="538">
        <v>18872335</v>
      </c>
      <c r="G3221" s="538">
        <v>165</v>
      </c>
    </row>
    <row r="3222" spans="1:7" x14ac:dyDescent="0.2">
      <c r="A3222" s="538">
        <v>1</v>
      </c>
      <c r="B3222" s="538" t="s">
        <v>6581</v>
      </c>
      <c r="C3222" s="538" t="s">
        <v>740</v>
      </c>
      <c r="D3222" s="538" t="s">
        <v>393</v>
      </c>
      <c r="E3222" s="538" t="s">
        <v>860</v>
      </c>
      <c r="F3222" s="538">
        <v>56640</v>
      </c>
      <c r="G3222" s="538">
        <v>5</v>
      </c>
    </row>
    <row r="3223" spans="1:7" x14ac:dyDescent="0.2">
      <c r="A3223" s="538">
        <v>5</v>
      </c>
      <c r="B3223" s="538" t="s">
        <v>6589</v>
      </c>
      <c r="C3223" s="538" t="s">
        <v>393</v>
      </c>
      <c r="D3223" s="538" t="s">
        <v>393</v>
      </c>
      <c r="E3223" s="538" t="s">
        <v>209</v>
      </c>
      <c r="F3223" s="538">
        <v>1836219</v>
      </c>
      <c r="G3223" s="538">
        <v>8</v>
      </c>
    </row>
    <row r="3224" spans="1:7" x14ac:dyDescent="0.2">
      <c r="A3224" s="538">
        <v>6</v>
      </c>
      <c r="B3224" s="538" t="s">
        <v>6607</v>
      </c>
      <c r="C3224" s="538" t="s">
        <v>393</v>
      </c>
      <c r="D3224" s="538" t="s">
        <v>740</v>
      </c>
      <c r="E3224" s="538" t="s">
        <v>390</v>
      </c>
      <c r="F3224" s="538">
        <v>11328</v>
      </c>
      <c r="G3224" s="538">
        <v>1</v>
      </c>
    </row>
    <row r="3225" spans="1:7" x14ac:dyDescent="0.2">
      <c r="A3225" s="538">
        <v>1</v>
      </c>
      <c r="B3225" s="538" t="s">
        <v>6602</v>
      </c>
      <c r="C3225" s="538" t="s">
        <v>393</v>
      </c>
      <c r="D3225" s="538" t="s">
        <v>393</v>
      </c>
      <c r="E3225" s="538" t="s">
        <v>209</v>
      </c>
      <c r="F3225" s="538">
        <v>769190</v>
      </c>
      <c r="G3225" s="538">
        <v>5</v>
      </c>
    </row>
    <row r="3226" spans="1:7" x14ac:dyDescent="0.2">
      <c r="A3226" s="538">
        <v>9</v>
      </c>
      <c r="B3226" s="538" t="s">
        <v>6615</v>
      </c>
      <c r="C3226" s="538" t="s">
        <v>740</v>
      </c>
      <c r="D3226" s="538" t="s">
        <v>393</v>
      </c>
      <c r="E3226" s="538" t="s">
        <v>390</v>
      </c>
      <c r="F3226" s="538">
        <v>147264</v>
      </c>
      <c r="G3226" s="538">
        <v>13</v>
      </c>
    </row>
    <row r="3227" spans="1:7" x14ac:dyDescent="0.2">
      <c r="A3227" s="538">
        <v>7</v>
      </c>
      <c r="B3227" s="538" t="s">
        <v>6571</v>
      </c>
      <c r="C3227" s="538" t="s">
        <v>740</v>
      </c>
      <c r="D3227" s="538" t="s">
        <v>393</v>
      </c>
      <c r="E3227" s="538" t="s">
        <v>212</v>
      </c>
      <c r="F3227" s="538">
        <v>1361484</v>
      </c>
      <c r="G3227" s="538">
        <v>103</v>
      </c>
    </row>
    <row r="3228" spans="1:7" x14ac:dyDescent="0.2">
      <c r="A3228" s="538">
        <v>4</v>
      </c>
      <c r="B3228" s="538" t="s">
        <v>6572</v>
      </c>
      <c r="C3228" s="538" t="s">
        <v>393</v>
      </c>
      <c r="D3228" s="538" t="s">
        <v>393</v>
      </c>
      <c r="E3228" s="538" t="s">
        <v>313</v>
      </c>
      <c r="F3228" s="538">
        <v>1836219</v>
      </c>
      <c r="G3228" s="538">
        <v>8</v>
      </c>
    </row>
    <row r="3229" spans="1:7" x14ac:dyDescent="0.2">
      <c r="A3229" s="538">
        <v>7</v>
      </c>
      <c r="B3229" s="538" t="s">
        <v>6564</v>
      </c>
      <c r="C3229" s="538" t="s">
        <v>740</v>
      </c>
      <c r="D3229" s="538" t="s">
        <v>740</v>
      </c>
      <c r="E3229" s="538" t="s">
        <v>202</v>
      </c>
      <c r="F3229" s="538">
        <v>2264861</v>
      </c>
      <c r="G3229" s="538">
        <v>12</v>
      </c>
    </row>
    <row r="3230" spans="1:7" x14ac:dyDescent="0.2">
      <c r="A3230" s="538">
        <v>2</v>
      </c>
      <c r="B3230" s="538" t="s">
        <v>6654</v>
      </c>
      <c r="C3230" s="538" t="s">
        <v>740</v>
      </c>
      <c r="D3230" s="538" t="s">
        <v>393</v>
      </c>
      <c r="E3230" s="538" t="s">
        <v>416</v>
      </c>
      <c r="F3230" s="538">
        <v>3679320</v>
      </c>
      <c r="G3230" s="538">
        <v>130</v>
      </c>
    </row>
    <row r="3231" spans="1:7" x14ac:dyDescent="0.2">
      <c r="A3231" s="538">
        <v>9</v>
      </c>
      <c r="B3231" s="538" t="s">
        <v>6657</v>
      </c>
      <c r="C3231" s="538" t="s">
        <v>393</v>
      </c>
      <c r="D3231" s="538" t="s">
        <v>740</v>
      </c>
      <c r="E3231" s="538" t="s">
        <v>401</v>
      </c>
      <c r="F3231" s="538">
        <v>11328</v>
      </c>
      <c r="G3231" s="538">
        <v>1</v>
      </c>
    </row>
    <row r="3232" spans="1:7" x14ac:dyDescent="0.2">
      <c r="A3232" s="538">
        <v>5</v>
      </c>
      <c r="B3232" s="538" t="s">
        <v>6650</v>
      </c>
      <c r="C3232" s="538" t="s">
        <v>740</v>
      </c>
      <c r="D3232" s="538" t="s">
        <v>393</v>
      </c>
      <c r="E3232" s="538" t="s">
        <v>390</v>
      </c>
      <c r="F3232" s="538">
        <v>11923293</v>
      </c>
      <c r="G3232" s="538">
        <v>381</v>
      </c>
    </row>
    <row r="3233" spans="1:7" x14ac:dyDescent="0.2">
      <c r="A3233" s="538">
        <v>10</v>
      </c>
      <c r="B3233" s="538" t="s">
        <v>6611</v>
      </c>
      <c r="C3233" s="538" t="s">
        <v>740</v>
      </c>
      <c r="D3233" s="538" t="s">
        <v>393</v>
      </c>
      <c r="E3233" s="538" t="s">
        <v>449</v>
      </c>
      <c r="F3233" s="538">
        <v>11328</v>
      </c>
      <c r="G3233" s="538">
        <v>1</v>
      </c>
    </row>
    <row r="3234" spans="1:7" x14ac:dyDescent="0.2">
      <c r="A3234" s="538">
        <v>5</v>
      </c>
      <c r="B3234" s="538" t="s">
        <v>6599</v>
      </c>
      <c r="C3234" s="538" t="s">
        <v>740</v>
      </c>
      <c r="D3234" s="538" t="s">
        <v>393</v>
      </c>
      <c r="E3234" s="538" t="s">
        <v>860</v>
      </c>
      <c r="F3234" s="538">
        <v>4708273</v>
      </c>
      <c r="G3234" s="538">
        <v>191</v>
      </c>
    </row>
    <row r="3235" spans="1:7" x14ac:dyDescent="0.2">
      <c r="A3235" s="538">
        <v>10</v>
      </c>
      <c r="B3235" s="538" t="s">
        <v>6652</v>
      </c>
      <c r="C3235" s="538" t="s">
        <v>740</v>
      </c>
      <c r="D3235" s="538" t="s">
        <v>740</v>
      </c>
      <c r="E3235" s="538" t="s">
        <v>401</v>
      </c>
      <c r="F3235" s="538">
        <v>11328</v>
      </c>
      <c r="G3235" s="538">
        <v>1</v>
      </c>
    </row>
    <row r="3236" spans="1:7" x14ac:dyDescent="0.2">
      <c r="A3236" s="538">
        <v>6</v>
      </c>
      <c r="B3236" s="538" t="s">
        <v>6565</v>
      </c>
      <c r="C3236" s="538" t="s">
        <v>740</v>
      </c>
      <c r="D3236" s="538" t="s">
        <v>740</v>
      </c>
      <c r="E3236" s="538" t="s">
        <v>230</v>
      </c>
      <c r="F3236" s="538">
        <v>507761</v>
      </c>
      <c r="G3236" s="538">
        <v>2</v>
      </c>
    </row>
    <row r="3237" spans="1:7" x14ac:dyDescent="0.2">
      <c r="A3237" s="538">
        <v>5</v>
      </c>
      <c r="B3237" s="538" t="s">
        <v>6599</v>
      </c>
      <c r="C3237" s="538" t="s">
        <v>393</v>
      </c>
      <c r="D3237" s="538" t="s">
        <v>393</v>
      </c>
      <c r="E3237" s="538" t="s">
        <v>207</v>
      </c>
      <c r="F3237" s="538">
        <v>6408202</v>
      </c>
      <c r="G3237" s="538">
        <v>229</v>
      </c>
    </row>
    <row r="3238" spans="1:7" x14ac:dyDescent="0.2">
      <c r="A3238" s="538">
        <v>5</v>
      </c>
      <c r="B3238" s="538" t="s">
        <v>6589</v>
      </c>
      <c r="C3238" s="538" t="s">
        <v>740</v>
      </c>
      <c r="D3238" s="538" t="s">
        <v>393</v>
      </c>
      <c r="E3238" s="538" t="s">
        <v>313</v>
      </c>
      <c r="F3238" s="538">
        <v>903710</v>
      </c>
      <c r="G3238" s="538">
        <v>10</v>
      </c>
    </row>
    <row r="3239" spans="1:7" x14ac:dyDescent="0.2">
      <c r="A3239" s="538">
        <v>7</v>
      </c>
      <c r="B3239" s="538" t="s">
        <v>6564</v>
      </c>
      <c r="C3239" s="538" t="s">
        <v>740</v>
      </c>
      <c r="D3239" s="538" t="s">
        <v>393</v>
      </c>
      <c r="E3239" s="538" t="s">
        <v>209</v>
      </c>
      <c r="F3239" s="538">
        <v>3522925</v>
      </c>
      <c r="G3239" s="538">
        <v>20</v>
      </c>
    </row>
    <row r="3240" spans="1:7" x14ac:dyDescent="0.2">
      <c r="A3240" s="538">
        <v>7</v>
      </c>
      <c r="B3240" s="538" t="s">
        <v>6579</v>
      </c>
      <c r="C3240" s="538" t="s">
        <v>740</v>
      </c>
      <c r="D3240" s="538" t="s">
        <v>740</v>
      </c>
      <c r="E3240" s="538" t="s">
        <v>860</v>
      </c>
      <c r="F3240" s="538">
        <v>67968</v>
      </c>
      <c r="G3240" s="538">
        <v>6</v>
      </c>
    </row>
    <row r="3241" spans="1:7" x14ac:dyDescent="0.2">
      <c r="A3241" s="538">
        <v>7</v>
      </c>
      <c r="B3241" s="538" t="s">
        <v>6579</v>
      </c>
      <c r="C3241" s="538" t="s">
        <v>740</v>
      </c>
      <c r="D3241" s="538" t="s">
        <v>393</v>
      </c>
      <c r="E3241" s="538" t="s">
        <v>402</v>
      </c>
      <c r="F3241" s="538">
        <v>129564</v>
      </c>
      <c r="G3241" s="538">
        <v>8</v>
      </c>
    </row>
    <row r="3242" spans="1:7" x14ac:dyDescent="0.2">
      <c r="A3242" s="538">
        <v>12</v>
      </c>
      <c r="B3242" s="538" t="s">
        <v>6616</v>
      </c>
      <c r="C3242" s="538" t="s">
        <v>740</v>
      </c>
      <c r="D3242" s="538" t="s">
        <v>393</v>
      </c>
      <c r="E3242" s="538" t="s">
        <v>860</v>
      </c>
      <c r="F3242" s="538">
        <v>22656</v>
      </c>
      <c r="G3242" s="538">
        <v>2</v>
      </c>
    </row>
    <row r="3243" spans="1:7" x14ac:dyDescent="0.2">
      <c r="A3243" s="538">
        <v>8</v>
      </c>
      <c r="B3243" s="538" t="s">
        <v>6658</v>
      </c>
      <c r="C3243" s="538" t="s">
        <v>740</v>
      </c>
      <c r="D3243" s="538" t="s">
        <v>393</v>
      </c>
      <c r="E3243" s="538" t="s">
        <v>211</v>
      </c>
      <c r="F3243" s="538">
        <v>1021946</v>
      </c>
      <c r="G3243" s="538">
        <v>17</v>
      </c>
    </row>
    <row r="3244" spans="1:7" x14ac:dyDescent="0.2">
      <c r="A3244" s="538">
        <v>1</v>
      </c>
      <c r="B3244" s="538" t="s">
        <v>6663</v>
      </c>
      <c r="C3244" s="538" t="s">
        <v>393</v>
      </c>
      <c r="D3244" s="538" t="s">
        <v>740</v>
      </c>
      <c r="E3244" s="538" t="s">
        <v>416</v>
      </c>
      <c r="F3244" s="538">
        <v>1679907</v>
      </c>
      <c r="G3244" s="538">
        <v>59</v>
      </c>
    </row>
    <row r="3245" spans="1:7" x14ac:dyDescent="0.2">
      <c r="A3245" s="538">
        <v>3</v>
      </c>
      <c r="B3245" s="538" t="s">
        <v>6605</v>
      </c>
      <c r="C3245" s="538" t="s">
        <v>393</v>
      </c>
      <c r="D3245" s="538" t="s">
        <v>393</v>
      </c>
      <c r="E3245" s="538" t="s">
        <v>401</v>
      </c>
      <c r="F3245" s="538">
        <v>734144</v>
      </c>
      <c r="G3245" s="538">
        <v>13</v>
      </c>
    </row>
    <row r="3246" spans="1:7" x14ac:dyDescent="0.2">
      <c r="A3246" s="538">
        <v>4</v>
      </c>
      <c r="B3246" s="538" t="s">
        <v>6593</v>
      </c>
      <c r="C3246" s="538" t="s">
        <v>393</v>
      </c>
      <c r="D3246" s="538" t="s">
        <v>393</v>
      </c>
      <c r="E3246" s="538" t="s">
        <v>419</v>
      </c>
      <c r="F3246" s="538">
        <v>33984</v>
      </c>
      <c r="G3246" s="538">
        <v>3</v>
      </c>
    </row>
    <row r="3247" spans="1:7" x14ac:dyDescent="0.2">
      <c r="A3247" s="538">
        <v>2</v>
      </c>
      <c r="B3247" s="538" t="s">
        <v>6656</v>
      </c>
      <c r="C3247" s="538" t="s">
        <v>740</v>
      </c>
      <c r="D3247" s="538" t="s">
        <v>393</v>
      </c>
      <c r="E3247" s="538" t="s">
        <v>230</v>
      </c>
      <c r="F3247" s="538">
        <v>1135049</v>
      </c>
      <c r="G3247" s="538">
        <v>18</v>
      </c>
    </row>
    <row r="3248" spans="1:7" x14ac:dyDescent="0.2">
      <c r="A3248" s="538">
        <v>4</v>
      </c>
      <c r="B3248" s="538" t="s">
        <v>6574</v>
      </c>
      <c r="C3248" s="538" t="s">
        <v>740</v>
      </c>
      <c r="D3248" s="538" t="s">
        <v>393</v>
      </c>
      <c r="E3248" s="538" t="s">
        <v>209</v>
      </c>
      <c r="F3248" s="538">
        <v>1152520</v>
      </c>
      <c r="G3248" s="538">
        <v>5</v>
      </c>
    </row>
    <row r="3249" spans="1:7" x14ac:dyDescent="0.2">
      <c r="A3249" s="538">
        <v>7</v>
      </c>
      <c r="B3249" s="538" t="s">
        <v>6588</v>
      </c>
      <c r="C3249" s="538" t="s">
        <v>740</v>
      </c>
      <c r="D3249" s="538" t="s">
        <v>393</v>
      </c>
      <c r="E3249" s="538" t="s">
        <v>313</v>
      </c>
      <c r="F3249" s="538">
        <v>39430782</v>
      </c>
      <c r="G3249" s="538">
        <v>324</v>
      </c>
    </row>
    <row r="3250" spans="1:7" x14ac:dyDescent="0.2">
      <c r="A3250" s="538">
        <v>3</v>
      </c>
      <c r="B3250" s="538" t="s">
        <v>6605</v>
      </c>
      <c r="C3250" s="538" t="s">
        <v>740</v>
      </c>
      <c r="D3250" s="538" t="s">
        <v>740</v>
      </c>
      <c r="E3250" s="538" t="s">
        <v>402</v>
      </c>
      <c r="F3250" s="538">
        <v>1452233</v>
      </c>
      <c r="G3250" s="538">
        <v>46</v>
      </c>
    </row>
    <row r="3251" spans="1:7" x14ac:dyDescent="0.2">
      <c r="A3251" s="538">
        <v>11</v>
      </c>
      <c r="B3251" s="538" t="s">
        <v>6584</v>
      </c>
      <c r="C3251" s="538" t="s">
        <v>740</v>
      </c>
      <c r="D3251" s="538" t="s">
        <v>740</v>
      </c>
      <c r="E3251" s="538" t="s">
        <v>211</v>
      </c>
      <c r="F3251" s="538">
        <v>61596</v>
      </c>
      <c r="G3251" s="538">
        <v>2</v>
      </c>
    </row>
    <row r="3252" spans="1:7" x14ac:dyDescent="0.2">
      <c r="A3252" s="538">
        <v>7</v>
      </c>
      <c r="B3252" s="538" t="s">
        <v>6661</v>
      </c>
      <c r="C3252" s="538" t="s">
        <v>740</v>
      </c>
      <c r="D3252" s="538" t="s">
        <v>393</v>
      </c>
      <c r="E3252" s="538" t="s">
        <v>438</v>
      </c>
      <c r="F3252" s="538">
        <v>108147</v>
      </c>
      <c r="G3252" s="538">
        <v>4</v>
      </c>
    </row>
    <row r="3253" spans="1:7" x14ac:dyDescent="0.2">
      <c r="A3253" s="538">
        <v>10</v>
      </c>
      <c r="B3253" s="538" t="s">
        <v>6582</v>
      </c>
      <c r="C3253" s="538" t="s">
        <v>740</v>
      </c>
      <c r="D3253" s="538" t="s">
        <v>393</v>
      </c>
      <c r="E3253" s="538" t="s">
        <v>416</v>
      </c>
      <c r="F3253" s="538">
        <v>5394346</v>
      </c>
      <c r="G3253" s="538">
        <v>107</v>
      </c>
    </row>
    <row r="3254" spans="1:7" x14ac:dyDescent="0.2">
      <c r="A3254" s="538">
        <v>5</v>
      </c>
      <c r="B3254" s="538" t="s">
        <v>6568</v>
      </c>
      <c r="C3254" s="538" t="s">
        <v>740</v>
      </c>
      <c r="D3254" s="538" t="s">
        <v>393</v>
      </c>
      <c r="E3254" s="538" t="s">
        <v>202</v>
      </c>
      <c r="F3254" s="538">
        <v>949022</v>
      </c>
      <c r="G3254" s="538">
        <v>14</v>
      </c>
    </row>
    <row r="3255" spans="1:7" x14ac:dyDescent="0.2">
      <c r="A3255" s="538">
        <v>3</v>
      </c>
      <c r="B3255" s="538" t="s">
        <v>6605</v>
      </c>
      <c r="C3255" s="538" t="s">
        <v>393</v>
      </c>
      <c r="D3255" s="538" t="s">
        <v>393</v>
      </c>
      <c r="E3255" s="538" t="s">
        <v>449</v>
      </c>
      <c r="F3255" s="538">
        <v>203904</v>
      </c>
      <c r="G3255" s="538">
        <v>18</v>
      </c>
    </row>
    <row r="3256" spans="1:7" x14ac:dyDescent="0.2">
      <c r="A3256" s="538">
        <v>2</v>
      </c>
      <c r="B3256" s="538" t="s">
        <v>6573</v>
      </c>
      <c r="C3256" s="538" t="s">
        <v>393</v>
      </c>
      <c r="D3256" s="538" t="s">
        <v>740</v>
      </c>
      <c r="E3256" s="538" t="s">
        <v>401</v>
      </c>
      <c r="F3256" s="538">
        <v>560028</v>
      </c>
      <c r="G3256" s="538">
        <v>46</v>
      </c>
    </row>
    <row r="3257" spans="1:7" x14ac:dyDescent="0.2">
      <c r="A3257" s="538">
        <v>3</v>
      </c>
      <c r="B3257" s="538" t="s">
        <v>1390</v>
      </c>
      <c r="C3257" s="538" t="s">
        <v>740</v>
      </c>
      <c r="D3257" s="538" t="s">
        <v>393</v>
      </c>
      <c r="E3257" s="538" t="s">
        <v>230</v>
      </c>
      <c r="F3257" s="538">
        <v>646404</v>
      </c>
      <c r="G3257" s="538">
        <v>28</v>
      </c>
    </row>
    <row r="3258" spans="1:7" x14ac:dyDescent="0.2">
      <c r="A3258" s="538">
        <v>12</v>
      </c>
      <c r="B3258" s="538" t="s">
        <v>6569</v>
      </c>
      <c r="C3258" s="538" t="s">
        <v>393</v>
      </c>
      <c r="D3258" s="538" t="s">
        <v>393</v>
      </c>
      <c r="E3258" s="538" t="s">
        <v>416</v>
      </c>
      <c r="F3258" s="538">
        <v>16252568</v>
      </c>
      <c r="G3258" s="538">
        <v>276</v>
      </c>
    </row>
    <row r="3259" spans="1:7" x14ac:dyDescent="0.2">
      <c r="A3259" s="538">
        <v>7</v>
      </c>
      <c r="B3259" s="538" t="s">
        <v>6588</v>
      </c>
      <c r="C3259" s="538" t="s">
        <v>740</v>
      </c>
      <c r="D3259" s="538" t="s">
        <v>393</v>
      </c>
      <c r="E3259" s="538" t="s">
        <v>207</v>
      </c>
      <c r="F3259" s="538">
        <v>10088011</v>
      </c>
      <c r="G3259" s="538">
        <v>612</v>
      </c>
    </row>
    <row r="3260" spans="1:7" x14ac:dyDescent="0.2">
      <c r="A3260" s="538">
        <v>11</v>
      </c>
      <c r="B3260" s="538" t="s">
        <v>6584</v>
      </c>
      <c r="C3260" s="538" t="s">
        <v>740</v>
      </c>
      <c r="D3260" s="538" t="s">
        <v>740</v>
      </c>
      <c r="E3260" s="538" t="s">
        <v>409</v>
      </c>
      <c r="F3260" s="538">
        <v>807068</v>
      </c>
      <c r="G3260" s="538">
        <v>16</v>
      </c>
    </row>
    <row r="3261" spans="1:7" x14ac:dyDescent="0.2">
      <c r="A3261" s="538">
        <v>6</v>
      </c>
      <c r="B3261" s="538" t="s">
        <v>6565</v>
      </c>
      <c r="C3261" s="538" t="s">
        <v>393</v>
      </c>
      <c r="D3261" s="538" t="s">
        <v>740</v>
      </c>
      <c r="E3261" s="538" t="s">
        <v>860</v>
      </c>
      <c r="F3261" s="538">
        <v>85491</v>
      </c>
      <c r="G3261" s="538">
        <v>2</v>
      </c>
    </row>
    <row r="3262" spans="1:7" x14ac:dyDescent="0.2">
      <c r="A3262" s="538">
        <v>9</v>
      </c>
      <c r="B3262" s="538" t="s">
        <v>6644</v>
      </c>
      <c r="C3262" s="538" t="s">
        <v>393</v>
      </c>
      <c r="D3262" s="538" t="s">
        <v>393</v>
      </c>
      <c r="E3262" s="538" t="s">
        <v>230</v>
      </c>
      <c r="F3262" s="538">
        <v>7076679</v>
      </c>
      <c r="G3262" s="538">
        <v>153</v>
      </c>
    </row>
    <row r="3263" spans="1:7" x14ac:dyDescent="0.2">
      <c r="A3263" s="538">
        <v>7</v>
      </c>
      <c r="B3263" s="538" t="s">
        <v>6579</v>
      </c>
      <c r="C3263" s="538" t="s">
        <v>740</v>
      </c>
      <c r="D3263" s="538" t="s">
        <v>393</v>
      </c>
      <c r="E3263" s="538" t="s">
        <v>402</v>
      </c>
      <c r="F3263" s="538">
        <v>34788268</v>
      </c>
      <c r="G3263" s="538">
        <v>1391</v>
      </c>
    </row>
    <row r="3264" spans="1:7" x14ac:dyDescent="0.2">
      <c r="A3264" s="538">
        <v>12</v>
      </c>
      <c r="B3264" s="538" t="s">
        <v>6569</v>
      </c>
      <c r="C3264" s="538" t="s">
        <v>393</v>
      </c>
      <c r="D3264" s="538" t="s">
        <v>740</v>
      </c>
      <c r="E3264" s="538" t="s">
        <v>202</v>
      </c>
      <c r="F3264" s="538">
        <v>2022246</v>
      </c>
      <c r="G3264" s="538">
        <v>12</v>
      </c>
    </row>
    <row r="3265" spans="1:7" x14ac:dyDescent="0.2">
      <c r="A3265" s="538">
        <v>8</v>
      </c>
      <c r="B3265" s="538" t="s">
        <v>6560</v>
      </c>
      <c r="C3265" s="538" t="s">
        <v>740</v>
      </c>
      <c r="D3265" s="538" t="s">
        <v>740</v>
      </c>
      <c r="E3265" s="538" t="s">
        <v>209</v>
      </c>
      <c r="F3265" s="538">
        <v>2121491</v>
      </c>
      <c r="G3265" s="538">
        <v>7</v>
      </c>
    </row>
    <row r="3266" spans="1:7" x14ac:dyDescent="0.2">
      <c r="A3266" s="538">
        <v>4</v>
      </c>
      <c r="B3266" s="538" t="s">
        <v>6593</v>
      </c>
      <c r="C3266" s="538" t="s">
        <v>740</v>
      </c>
      <c r="D3266" s="538" t="s">
        <v>393</v>
      </c>
      <c r="E3266" s="538" t="s">
        <v>230</v>
      </c>
      <c r="F3266" s="538">
        <v>22656</v>
      </c>
      <c r="G3266" s="538">
        <v>2</v>
      </c>
    </row>
    <row r="3267" spans="1:7" x14ac:dyDescent="0.2">
      <c r="A3267" s="538">
        <v>4</v>
      </c>
      <c r="B3267" s="538" t="s">
        <v>6559</v>
      </c>
      <c r="C3267" s="538" t="s">
        <v>393</v>
      </c>
      <c r="D3267" s="538" t="s">
        <v>393</v>
      </c>
      <c r="E3267" s="538" t="s">
        <v>401</v>
      </c>
      <c r="F3267" s="538">
        <v>74163</v>
      </c>
      <c r="G3267" s="538">
        <v>1</v>
      </c>
    </row>
    <row r="3268" spans="1:7" x14ac:dyDescent="0.2">
      <c r="A3268" s="538">
        <v>3</v>
      </c>
      <c r="B3268" s="538" t="s">
        <v>6603</v>
      </c>
      <c r="C3268" s="538" t="s">
        <v>393</v>
      </c>
      <c r="D3268" s="538" t="s">
        <v>393</v>
      </c>
      <c r="E3268" s="538" t="s">
        <v>210</v>
      </c>
      <c r="F3268" s="538">
        <v>1294651</v>
      </c>
      <c r="G3268" s="538">
        <v>12</v>
      </c>
    </row>
    <row r="3269" spans="1:7" x14ac:dyDescent="0.2">
      <c r="A3269" s="538">
        <v>4</v>
      </c>
      <c r="B3269" s="538" t="s">
        <v>6574</v>
      </c>
      <c r="C3269" s="538" t="s">
        <v>740</v>
      </c>
      <c r="D3269" s="538" t="s">
        <v>393</v>
      </c>
      <c r="E3269" s="538" t="s">
        <v>416</v>
      </c>
      <c r="F3269" s="538">
        <v>6331686</v>
      </c>
      <c r="G3269" s="538">
        <v>172</v>
      </c>
    </row>
    <row r="3270" spans="1:7" x14ac:dyDescent="0.2">
      <c r="A3270" s="538">
        <v>3</v>
      </c>
      <c r="B3270" s="538" t="s">
        <v>6561</v>
      </c>
      <c r="C3270" s="538" t="s">
        <v>740</v>
      </c>
      <c r="D3270" s="538" t="s">
        <v>393</v>
      </c>
      <c r="E3270" s="538" t="s">
        <v>202</v>
      </c>
      <c r="F3270" s="538">
        <v>61596</v>
      </c>
      <c r="G3270" s="538">
        <v>2</v>
      </c>
    </row>
    <row r="3271" spans="1:7" x14ac:dyDescent="0.2">
      <c r="A3271" s="538">
        <v>3</v>
      </c>
      <c r="B3271" s="538" t="s">
        <v>6586</v>
      </c>
      <c r="C3271" s="538" t="s">
        <v>740</v>
      </c>
      <c r="D3271" s="538" t="s">
        <v>740</v>
      </c>
      <c r="E3271" s="538" t="s">
        <v>202</v>
      </c>
      <c r="F3271" s="538">
        <v>1327219</v>
      </c>
      <c r="G3271" s="538">
        <v>8</v>
      </c>
    </row>
    <row r="3272" spans="1:7" x14ac:dyDescent="0.2">
      <c r="A3272" s="538">
        <v>3</v>
      </c>
      <c r="B3272" s="538" t="s">
        <v>6591</v>
      </c>
      <c r="C3272" s="538" t="s">
        <v>740</v>
      </c>
      <c r="D3272" s="538" t="s">
        <v>740</v>
      </c>
      <c r="E3272" s="538" t="s">
        <v>438</v>
      </c>
      <c r="F3272" s="538">
        <v>33984</v>
      </c>
      <c r="G3272" s="538">
        <v>3</v>
      </c>
    </row>
    <row r="3273" spans="1:7" x14ac:dyDescent="0.2">
      <c r="A3273" s="538">
        <v>11</v>
      </c>
      <c r="B3273" s="538" t="s">
        <v>6584</v>
      </c>
      <c r="C3273" s="538" t="s">
        <v>393</v>
      </c>
      <c r="D3273" s="538" t="s">
        <v>740</v>
      </c>
      <c r="E3273" s="538" t="s">
        <v>416</v>
      </c>
      <c r="F3273" s="538">
        <v>4800688</v>
      </c>
      <c r="G3273" s="538">
        <v>76</v>
      </c>
    </row>
    <row r="3274" spans="1:7" x14ac:dyDescent="0.2">
      <c r="A3274" s="538">
        <v>11</v>
      </c>
      <c r="B3274" s="538" t="s">
        <v>6592</v>
      </c>
      <c r="C3274" s="538" t="s">
        <v>740</v>
      </c>
      <c r="D3274" s="538" t="s">
        <v>393</v>
      </c>
      <c r="E3274" s="538" t="s">
        <v>860</v>
      </c>
      <c r="F3274" s="538">
        <v>2588219</v>
      </c>
      <c r="G3274" s="538">
        <v>118</v>
      </c>
    </row>
    <row r="3275" spans="1:7" x14ac:dyDescent="0.2">
      <c r="A3275" s="538">
        <v>7</v>
      </c>
      <c r="B3275" s="538" t="s">
        <v>6661</v>
      </c>
      <c r="C3275" s="538" t="s">
        <v>740</v>
      </c>
      <c r="D3275" s="538" t="s">
        <v>740</v>
      </c>
      <c r="E3275" s="538" t="s">
        <v>409</v>
      </c>
      <c r="F3275" s="538">
        <v>22656</v>
      </c>
      <c r="G3275" s="538">
        <v>2</v>
      </c>
    </row>
    <row r="3276" spans="1:7" x14ac:dyDescent="0.2">
      <c r="A3276" s="538">
        <v>10</v>
      </c>
      <c r="B3276" s="538" t="s">
        <v>6664</v>
      </c>
      <c r="C3276" s="538" t="s">
        <v>393</v>
      </c>
      <c r="D3276" s="538" t="s">
        <v>393</v>
      </c>
      <c r="E3276" s="538" t="s">
        <v>207</v>
      </c>
      <c r="F3276" s="538">
        <v>4562727</v>
      </c>
      <c r="G3276" s="538">
        <v>194</v>
      </c>
    </row>
    <row r="3277" spans="1:7" x14ac:dyDescent="0.2">
      <c r="A3277" s="538">
        <v>7</v>
      </c>
      <c r="B3277" s="538" t="s">
        <v>6594</v>
      </c>
      <c r="C3277" s="538" t="s">
        <v>393</v>
      </c>
      <c r="D3277" s="538" t="s">
        <v>393</v>
      </c>
      <c r="E3277" s="538" t="s">
        <v>209</v>
      </c>
      <c r="F3277" s="538">
        <v>1067029</v>
      </c>
      <c r="G3277" s="538">
        <v>3</v>
      </c>
    </row>
    <row r="3278" spans="1:7" x14ac:dyDescent="0.2">
      <c r="A3278" s="538">
        <v>11</v>
      </c>
      <c r="B3278" s="538" t="s">
        <v>6592</v>
      </c>
      <c r="C3278" s="538" t="s">
        <v>393</v>
      </c>
      <c r="D3278" s="538" t="s">
        <v>740</v>
      </c>
      <c r="E3278" s="538" t="s">
        <v>210</v>
      </c>
      <c r="F3278" s="538">
        <v>74163</v>
      </c>
      <c r="G3278" s="538">
        <v>1</v>
      </c>
    </row>
    <row r="3279" spans="1:7" x14ac:dyDescent="0.2">
      <c r="A3279" s="538">
        <v>7</v>
      </c>
      <c r="B3279" s="538" t="s">
        <v>6564</v>
      </c>
      <c r="C3279" s="538" t="s">
        <v>740</v>
      </c>
      <c r="D3279" s="538" t="s">
        <v>740</v>
      </c>
      <c r="E3279" s="538" t="s">
        <v>202</v>
      </c>
      <c r="F3279" s="538">
        <v>330636</v>
      </c>
      <c r="G3279" s="538">
        <v>7</v>
      </c>
    </row>
    <row r="3280" spans="1:7" x14ac:dyDescent="0.2">
      <c r="A3280" s="538">
        <v>3</v>
      </c>
      <c r="B3280" s="538" t="s">
        <v>6578</v>
      </c>
      <c r="C3280" s="538" t="s">
        <v>740</v>
      </c>
      <c r="D3280" s="538" t="s">
        <v>393</v>
      </c>
      <c r="E3280" s="538" t="s">
        <v>211</v>
      </c>
      <c r="F3280" s="538">
        <v>158415</v>
      </c>
      <c r="G3280" s="538">
        <v>5</v>
      </c>
    </row>
    <row r="3281" spans="1:7" x14ac:dyDescent="0.2">
      <c r="A3281" s="538">
        <v>4</v>
      </c>
      <c r="B3281" s="538" t="s">
        <v>6572</v>
      </c>
      <c r="C3281" s="538" t="s">
        <v>740</v>
      </c>
      <c r="D3281" s="538" t="s">
        <v>393</v>
      </c>
      <c r="E3281" s="538" t="s">
        <v>207</v>
      </c>
      <c r="F3281" s="538">
        <v>373824</v>
      </c>
      <c r="G3281" s="538">
        <v>33</v>
      </c>
    </row>
    <row r="3282" spans="1:7" x14ac:dyDescent="0.2">
      <c r="A3282" s="538">
        <v>4</v>
      </c>
      <c r="B3282" s="538" t="s">
        <v>6590</v>
      </c>
      <c r="C3282" s="538" t="s">
        <v>740</v>
      </c>
      <c r="D3282" s="538" t="s">
        <v>393</v>
      </c>
      <c r="E3282" s="538" t="s">
        <v>212</v>
      </c>
      <c r="F3282" s="538">
        <v>2072670</v>
      </c>
      <c r="G3282" s="538">
        <v>165</v>
      </c>
    </row>
    <row r="3283" spans="1:7" x14ac:dyDescent="0.2">
      <c r="A3283" s="538">
        <v>7</v>
      </c>
      <c r="B3283" s="538" t="s">
        <v>6594</v>
      </c>
      <c r="C3283" s="538" t="s">
        <v>740</v>
      </c>
      <c r="D3283" s="538" t="s">
        <v>393</v>
      </c>
      <c r="E3283" s="538" t="s">
        <v>313</v>
      </c>
      <c r="F3283" s="538">
        <v>496433</v>
      </c>
      <c r="G3283" s="538">
        <v>1</v>
      </c>
    </row>
    <row r="3284" spans="1:7" x14ac:dyDescent="0.2">
      <c r="A3284" s="538">
        <v>6</v>
      </c>
      <c r="B3284" s="538" t="s">
        <v>6596</v>
      </c>
      <c r="C3284" s="538" t="s">
        <v>740</v>
      </c>
      <c r="D3284" s="538" t="s">
        <v>393</v>
      </c>
      <c r="E3284" s="538" t="s">
        <v>402</v>
      </c>
      <c r="F3284" s="538">
        <v>4303422</v>
      </c>
      <c r="G3284" s="538">
        <v>169</v>
      </c>
    </row>
    <row r="3285" spans="1:7" x14ac:dyDescent="0.2">
      <c r="A3285" s="538">
        <v>10</v>
      </c>
      <c r="B3285" s="538" t="s">
        <v>6611</v>
      </c>
      <c r="C3285" s="538" t="s">
        <v>393</v>
      </c>
      <c r="D3285" s="538" t="s">
        <v>393</v>
      </c>
      <c r="E3285" s="538" t="s">
        <v>210</v>
      </c>
      <c r="F3285" s="538">
        <v>1244612</v>
      </c>
      <c r="G3285" s="538">
        <v>29</v>
      </c>
    </row>
    <row r="3286" spans="1:7" x14ac:dyDescent="0.2">
      <c r="A3286" s="538">
        <v>3</v>
      </c>
      <c r="B3286" s="538" t="s">
        <v>6603</v>
      </c>
      <c r="C3286" s="538" t="s">
        <v>740</v>
      </c>
      <c r="D3286" s="538" t="s">
        <v>393</v>
      </c>
      <c r="E3286" s="538" t="s">
        <v>409</v>
      </c>
      <c r="F3286" s="538">
        <v>67968</v>
      </c>
      <c r="G3286" s="538">
        <v>6</v>
      </c>
    </row>
    <row r="3287" spans="1:7" x14ac:dyDescent="0.2">
      <c r="A3287" s="538">
        <v>8</v>
      </c>
      <c r="B3287" s="538" t="s">
        <v>6648</v>
      </c>
      <c r="C3287" s="538" t="s">
        <v>393</v>
      </c>
      <c r="D3287" s="538" t="s">
        <v>393</v>
      </c>
      <c r="E3287" s="538" t="s">
        <v>438</v>
      </c>
      <c r="F3287" s="538">
        <v>14702746</v>
      </c>
      <c r="G3287" s="538">
        <v>82</v>
      </c>
    </row>
    <row r="3288" spans="1:7" x14ac:dyDescent="0.2">
      <c r="A3288" s="538">
        <v>8</v>
      </c>
      <c r="B3288" s="538" t="s">
        <v>6648</v>
      </c>
      <c r="C3288" s="538" t="s">
        <v>393</v>
      </c>
      <c r="D3288" s="538" t="s">
        <v>393</v>
      </c>
      <c r="E3288" s="538" t="s">
        <v>206</v>
      </c>
      <c r="F3288" s="538">
        <v>11328</v>
      </c>
      <c r="G3288" s="538">
        <v>1</v>
      </c>
    </row>
    <row r="3289" spans="1:7" x14ac:dyDescent="0.2">
      <c r="A3289" s="538">
        <v>10</v>
      </c>
      <c r="B3289" s="538" t="s">
        <v>6582</v>
      </c>
      <c r="C3289" s="538" t="s">
        <v>393</v>
      </c>
      <c r="D3289" s="538" t="s">
        <v>393</v>
      </c>
      <c r="E3289" s="538" t="s">
        <v>409</v>
      </c>
      <c r="F3289" s="538">
        <v>525867</v>
      </c>
      <c r="G3289" s="538">
        <v>34</v>
      </c>
    </row>
    <row r="3290" spans="1:7" x14ac:dyDescent="0.2">
      <c r="A3290" s="538">
        <v>8</v>
      </c>
      <c r="B3290" s="538" t="s">
        <v>6648</v>
      </c>
      <c r="C3290" s="538" t="s">
        <v>740</v>
      </c>
      <c r="D3290" s="538" t="s">
        <v>393</v>
      </c>
      <c r="E3290" s="538" t="s">
        <v>409</v>
      </c>
      <c r="F3290" s="538">
        <v>363558</v>
      </c>
      <c r="G3290" s="538">
        <v>21</v>
      </c>
    </row>
    <row r="3291" spans="1:7" x14ac:dyDescent="0.2">
      <c r="A3291" s="538">
        <v>2</v>
      </c>
      <c r="B3291" s="538" t="s">
        <v>6656</v>
      </c>
      <c r="C3291" s="538" t="s">
        <v>393</v>
      </c>
      <c r="D3291" s="538" t="s">
        <v>740</v>
      </c>
      <c r="E3291" s="538" t="s">
        <v>402</v>
      </c>
      <c r="F3291" s="538">
        <v>2473044</v>
      </c>
      <c r="G3291" s="538">
        <v>138</v>
      </c>
    </row>
    <row r="3292" spans="1:7" x14ac:dyDescent="0.2">
      <c r="A3292" s="538">
        <v>7</v>
      </c>
      <c r="B3292" s="538" t="s">
        <v>6655</v>
      </c>
      <c r="C3292" s="538" t="s">
        <v>740</v>
      </c>
      <c r="D3292" s="538" t="s">
        <v>393</v>
      </c>
      <c r="E3292" s="538" t="s">
        <v>449</v>
      </c>
      <c r="F3292" s="538">
        <v>142131</v>
      </c>
      <c r="G3292" s="538">
        <v>7</v>
      </c>
    </row>
    <row r="3293" spans="1:7" x14ac:dyDescent="0.2">
      <c r="A3293" s="538">
        <v>3</v>
      </c>
      <c r="B3293" s="538" t="s">
        <v>6647</v>
      </c>
      <c r="C3293" s="538" t="s">
        <v>740</v>
      </c>
      <c r="D3293" s="538" t="s">
        <v>393</v>
      </c>
      <c r="E3293" s="538" t="s">
        <v>409</v>
      </c>
      <c r="F3293" s="538">
        <v>632369</v>
      </c>
      <c r="G3293" s="538">
        <v>13</v>
      </c>
    </row>
    <row r="3294" spans="1:7" x14ac:dyDescent="0.2">
      <c r="A3294" s="538">
        <v>8</v>
      </c>
      <c r="B3294" s="538" t="s">
        <v>6570</v>
      </c>
      <c r="C3294" s="538" t="s">
        <v>740</v>
      </c>
      <c r="D3294" s="538" t="s">
        <v>740</v>
      </c>
      <c r="E3294" s="538" t="s">
        <v>401</v>
      </c>
      <c r="F3294" s="538">
        <v>158592</v>
      </c>
      <c r="G3294" s="538">
        <v>14</v>
      </c>
    </row>
    <row r="3295" spans="1:7" x14ac:dyDescent="0.2">
      <c r="A3295" s="538">
        <v>8</v>
      </c>
      <c r="B3295" s="538" t="s">
        <v>6658</v>
      </c>
      <c r="C3295" s="538" t="s">
        <v>740</v>
      </c>
      <c r="D3295" s="538" t="s">
        <v>393</v>
      </c>
      <c r="E3295" s="538" t="s">
        <v>438</v>
      </c>
      <c r="F3295" s="538">
        <v>1978402</v>
      </c>
      <c r="G3295" s="538">
        <v>24</v>
      </c>
    </row>
    <row r="3296" spans="1:7" x14ac:dyDescent="0.2">
      <c r="A3296" s="538">
        <v>8</v>
      </c>
      <c r="B3296" s="538" t="s">
        <v>6658</v>
      </c>
      <c r="C3296" s="538" t="s">
        <v>740</v>
      </c>
      <c r="D3296" s="538" t="s">
        <v>393</v>
      </c>
      <c r="E3296" s="538" t="s">
        <v>206</v>
      </c>
      <c r="F3296" s="538">
        <v>11328</v>
      </c>
      <c r="G3296" s="538">
        <v>1</v>
      </c>
    </row>
    <row r="3297" spans="1:7" x14ac:dyDescent="0.2">
      <c r="A3297" s="538">
        <v>2</v>
      </c>
      <c r="B3297" s="538" t="s">
        <v>6585</v>
      </c>
      <c r="C3297" s="538" t="s">
        <v>393</v>
      </c>
      <c r="D3297" s="538" t="s">
        <v>740</v>
      </c>
      <c r="E3297" s="538" t="s">
        <v>401</v>
      </c>
      <c r="F3297" s="538">
        <v>469404</v>
      </c>
      <c r="G3297" s="538">
        <v>38</v>
      </c>
    </row>
    <row r="3298" spans="1:7" x14ac:dyDescent="0.2">
      <c r="A3298" s="538">
        <v>7</v>
      </c>
      <c r="B3298" s="538" t="s">
        <v>6655</v>
      </c>
      <c r="C3298" s="538" t="s">
        <v>393</v>
      </c>
      <c r="D3298" s="538" t="s">
        <v>393</v>
      </c>
      <c r="E3298" s="538" t="s">
        <v>390</v>
      </c>
      <c r="F3298" s="538">
        <v>7981201</v>
      </c>
      <c r="G3298" s="538">
        <v>152</v>
      </c>
    </row>
    <row r="3299" spans="1:7" x14ac:dyDescent="0.2">
      <c r="A3299" s="538">
        <v>2</v>
      </c>
      <c r="B3299" s="538" t="s">
        <v>6654</v>
      </c>
      <c r="C3299" s="538" t="s">
        <v>740</v>
      </c>
      <c r="D3299" s="538" t="s">
        <v>393</v>
      </c>
      <c r="E3299" s="538" t="s">
        <v>209</v>
      </c>
      <c r="F3299" s="538">
        <v>1054462</v>
      </c>
      <c r="G3299" s="538">
        <v>4</v>
      </c>
    </row>
    <row r="3300" spans="1:7" x14ac:dyDescent="0.2">
      <c r="A3300" s="538">
        <v>9</v>
      </c>
      <c r="B3300" s="538" t="s">
        <v>6614</v>
      </c>
      <c r="C3300" s="538" t="s">
        <v>740</v>
      </c>
      <c r="D3300" s="538" t="s">
        <v>393</v>
      </c>
      <c r="E3300" s="538" t="s">
        <v>230</v>
      </c>
      <c r="F3300" s="538">
        <v>2731891</v>
      </c>
      <c r="G3300" s="538">
        <v>67</v>
      </c>
    </row>
    <row r="3301" spans="1:7" x14ac:dyDescent="0.2">
      <c r="A3301" s="538">
        <v>3</v>
      </c>
      <c r="B3301" s="538" t="s">
        <v>6591</v>
      </c>
      <c r="C3301" s="538" t="s">
        <v>740</v>
      </c>
      <c r="D3301" s="538" t="s">
        <v>393</v>
      </c>
      <c r="E3301" s="538" t="s">
        <v>402</v>
      </c>
      <c r="F3301" s="538">
        <v>1051328</v>
      </c>
      <c r="G3301" s="538">
        <v>41</v>
      </c>
    </row>
    <row r="3302" spans="1:7" x14ac:dyDescent="0.2">
      <c r="A3302" s="538">
        <v>1</v>
      </c>
      <c r="B3302" s="538" t="s">
        <v>1288</v>
      </c>
      <c r="C3302" s="538" t="s">
        <v>740</v>
      </c>
      <c r="D3302" s="538" t="s">
        <v>393</v>
      </c>
      <c r="E3302" s="538" t="s">
        <v>860</v>
      </c>
      <c r="F3302" s="538">
        <v>470466</v>
      </c>
      <c r="G3302" s="538">
        <v>27</v>
      </c>
    </row>
    <row r="3303" spans="1:7" x14ac:dyDescent="0.2">
      <c r="A3303" s="538">
        <v>1</v>
      </c>
      <c r="B3303" s="538" t="s">
        <v>6663</v>
      </c>
      <c r="C3303" s="538" t="s">
        <v>393</v>
      </c>
      <c r="D3303" s="538" t="s">
        <v>393</v>
      </c>
      <c r="E3303" s="538" t="s">
        <v>209</v>
      </c>
      <c r="F3303" s="538">
        <v>1067029</v>
      </c>
      <c r="G3303" s="538">
        <v>3</v>
      </c>
    </row>
    <row r="3304" spans="1:7" x14ac:dyDescent="0.2">
      <c r="A3304" s="538">
        <v>6</v>
      </c>
      <c r="B3304" s="538" t="s">
        <v>6575</v>
      </c>
      <c r="C3304" s="538" t="s">
        <v>740</v>
      </c>
      <c r="D3304" s="538" t="s">
        <v>740</v>
      </c>
      <c r="E3304" s="538" t="s">
        <v>860</v>
      </c>
      <c r="F3304" s="538">
        <v>135759</v>
      </c>
      <c r="G3304" s="538">
        <v>3</v>
      </c>
    </row>
    <row r="3305" spans="1:7" x14ac:dyDescent="0.2">
      <c r="A3305" s="538">
        <v>1</v>
      </c>
      <c r="B3305" s="538" t="s">
        <v>6581</v>
      </c>
      <c r="C3305" s="538" t="s">
        <v>740</v>
      </c>
      <c r="D3305" s="538" t="s">
        <v>740</v>
      </c>
      <c r="E3305" s="538" t="s">
        <v>409</v>
      </c>
      <c r="F3305" s="538">
        <v>339840</v>
      </c>
      <c r="G3305" s="538">
        <v>30</v>
      </c>
    </row>
    <row r="3306" spans="1:7" x14ac:dyDescent="0.2">
      <c r="A3306" s="538">
        <v>12</v>
      </c>
      <c r="B3306" s="538" t="s">
        <v>6563</v>
      </c>
      <c r="C3306" s="538" t="s">
        <v>740</v>
      </c>
      <c r="D3306" s="538" t="s">
        <v>740</v>
      </c>
      <c r="E3306" s="538" t="s">
        <v>207</v>
      </c>
      <c r="F3306" s="538">
        <v>13648283</v>
      </c>
      <c r="G3306" s="538">
        <v>621</v>
      </c>
    </row>
    <row r="3307" spans="1:7" x14ac:dyDescent="0.2">
      <c r="A3307" s="538">
        <v>3</v>
      </c>
      <c r="B3307" s="538" t="s">
        <v>6586</v>
      </c>
      <c r="C3307" s="538" t="s">
        <v>740</v>
      </c>
      <c r="D3307" s="538" t="s">
        <v>393</v>
      </c>
      <c r="E3307" s="538" t="s">
        <v>230</v>
      </c>
      <c r="F3307" s="538">
        <v>1445684</v>
      </c>
      <c r="G3307" s="538">
        <v>33</v>
      </c>
    </row>
    <row r="3308" spans="1:7" x14ac:dyDescent="0.2">
      <c r="A3308" s="538">
        <v>10</v>
      </c>
      <c r="B3308" s="538" t="s">
        <v>6587</v>
      </c>
      <c r="C3308" s="538" t="s">
        <v>740</v>
      </c>
      <c r="D3308" s="538" t="s">
        <v>393</v>
      </c>
      <c r="E3308" s="538" t="s">
        <v>416</v>
      </c>
      <c r="F3308" s="538">
        <v>95580</v>
      </c>
      <c r="G3308" s="538">
        <v>5</v>
      </c>
    </row>
    <row r="3309" spans="1:7" x14ac:dyDescent="0.2">
      <c r="A3309" s="538">
        <v>3</v>
      </c>
      <c r="B3309" s="538" t="s">
        <v>6578</v>
      </c>
      <c r="C3309" s="538" t="s">
        <v>393</v>
      </c>
      <c r="D3309" s="538" t="s">
        <v>393</v>
      </c>
      <c r="E3309" s="538" t="s">
        <v>860</v>
      </c>
      <c r="F3309" s="538">
        <v>1458428</v>
      </c>
      <c r="G3309" s="538">
        <v>36</v>
      </c>
    </row>
    <row r="3310" spans="1:7" x14ac:dyDescent="0.2">
      <c r="A3310" s="538">
        <v>6</v>
      </c>
      <c r="B3310" s="538" t="s">
        <v>6575</v>
      </c>
      <c r="C3310" s="538" t="s">
        <v>393</v>
      </c>
      <c r="D3310" s="538" t="s">
        <v>393</v>
      </c>
      <c r="E3310" s="538" t="s">
        <v>449</v>
      </c>
      <c r="F3310" s="538">
        <v>426393</v>
      </c>
      <c r="G3310" s="538">
        <v>21</v>
      </c>
    </row>
    <row r="3311" spans="1:7" x14ac:dyDescent="0.2">
      <c r="A3311" s="538">
        <v>7</v>
      </c>
      <c r="B3311" s="538" t="s">
        <v>6604</v>
      </c>
      <c r="C3311" s="538" t="s">
        <v>393</v>
      </c>
      <c r="D3311" s="538" t="s">
        <v>740</v>
      </c>
      <c r="E3311" s="538" t="s">
        <v>449</v>
      </c>
      <c r="F3311" s="538">
        <v>101952</v>
      </c>
      <c r="G3311" s="538">
        <v>9</v>
      </c>
    </row>
    <row r="3312" spans="1:7" x14ac:dyDescent="0.2">
      <c r="A3312" s="538">
        <v>3</v>
      </c>
      <c r="B3312" s="538" t="s">
        <v>6591</v>
      </c>
      <c r="C3312" s="538" t="s">
        <v>740</v>
      </c>
      <c r="D3312" s="538" t="s">
        <v>393</v>
      </c>
      <c r="E3312" s="538" t="s">
        <v>402</v>
      </c>
      <c r="F3312" s="538">
        <v>368514</v>
      </c>
      <c r="G3312" s="538">
        <v>18</v>
      </c>
    </row>
    <row r="3313" spans="1:7" x14ac:dyDescent="0.2">
      <c r="A3313" s="538">
        <v>12</v>
      </c>
      <c r="B3313" s="538" t="s">
        <v>6563</v>
      </c>
      <c r="C3313" s="538" t="s">
        <v>740</v>
      </c>
      <c r="D3313" s="538" t="s">
        <v>393</v>
      </c>
      <c r="E3313" s="538" t="s">
        <v>409</v>
      </c>
      <c r="F3313" s="538">
        <v>469227</v>
      </c>
      <c r="G3313" s="538">
        <v>29</v>
      </c>
    </row>
    <row r="3314" spans="1:7" x14ac:dyDescent="0.2">
      <c r="A3314" s="538">
        <v>6</v>
      </c>
      <c r="B3314" s="538" t="s">
        <v>6565</v>
      </c>
      <c r="C3314" s="538" t="s">
        <v>393</v>
      </c>
      <c r="D3314" s="538" t="s">
        <v>740</v>
      </c>
      <c r="E3314" s="538" t="s">
        <v>207</v>
      </c>
      <c r="F3314" s="538">
        <v>5292144</v>
      </c>
      <c r="G3314" s="538">
        <v>228</v>
      </c>
    </row>
    <row r="3315" spans="1:7" x14ac:dyDescent="0.2">
      <c r="A3315" s="538">
        <v>4</v>
      </c>
      <c r="B3315" s="538" t="s">
        <v>6559</v>
      </c>
      <c r="C3315" s="538" t="s">
        <v>393</v>
      </c>
      <c r="D3315" s="538" t="s">
        <v>740</v>
      </c>
      <c r="E3315" s="538" t="s">
        <v>860</v>
      </c>
      <c r="F3315" s="538">
        <v>496433</v>
      </c>
      <c r="G3315" s="538">
        <v>1</v>
      </c>
    </row>
    <row r="3316" spans="1:7" x14ac:dyDescent="0.2">
      <c r="A3316" s="538">
        <v>5</v>
      </c>
      <c r="B3316" s="538" t="s">
        <v>6650</v>
      </c>
      <c r="C3316" s="538" t="s">
        <v>740</v>
      </c>
      <c r="D3316" s="538" t="s">
        <v>740</v>
      </c>
      <c r="E3316" s="538" t="s">
        <v>210</v>
      </c>
      <c r="F3316" s="538">
        <v>72924</v>
      </c>
      <c r="G3316" s="538">
        <v>3</v>
      </c>
    </row>
    <row r="3317" spans="1:7" x14ac:dyDescent="0.2">
      <c r="A3317" s="538">
        <v>11</v>
      </c>
      <c r="B3317" s="538" t="s">
        <v>6584</v>
      </c>
      <c r="C3317" s="538" t="s">
        <v>740</v>
      </c>
      <c r="D3317" s="538" t="s">
        <v>740</v>
      </c>
      <c r="E3317" s="538" t="s">
        <v>207</v>
      </c>
      <c r="F3317" s="538">
        <v>11328</v>
      </c>
      <c r="G3317" s="538">
        <v>1</v>
      </c>
    </row>
    <row r="3318" spans="1:7" x14ac:dyDescent="0.2">
      <c r="A3318" s="538">
        <v>6</v>
      </c>
      <c r="B3318" s="538" t="s">
        <v>6596</v>
      </c>
      <c r="C3318" s="538" t="s">
        <v>740</v>
      </c>
      <c r="D3318" s="538" t="s">
        <v>393</v>
      </c>
      <c r="E3318" s="538" t="s">
        <v>419</v>
      </c>
      <c r="F3318" s="538">
        <v>11328</v>
      </c>
      <c r="G3318" s="538">
        <v>1</v>
      </c>
    </row>
    <row r="3319" spans="1:7" x14ac:dyDescent="0.2">
      <c r="A3319" s="538">
        <v>5</v>
      </c>
      <c r="B3319" s="538" t="s">
        <v>6589</v>
      </c>
      <c r="C3319" s="538" t="s">
        <v>393</v>
      </c>
      <c r="D3319" s="538" t="s">
        <v>393</v>
      </c>
      <c r="E3319" s="538" t="s">
        <v>416</v>
      </c>
      <c r="F3319" s="538">
        <v>59526207</v>
      </c>
      <c r="G3319" s="538">
        <v>1144</v>
      </c>
    </row>
    <row r="3320" spans="1:7" x14ac:dyDescent="0.2">
      <c r="A3320" s="538">
        <v>10</v>
      </c>
      <c r="B3320" s="538" t="s">
        <v>6597</v>
      </c>
      <c r="C3320" s="538" t="s">
        <v>393</v>
      </c>
      <c r="D3320" s="538" t="s">
        <v>740</v>
      </c>
      <c r="E3320" s="538" t="s">
        <v>416</v>
      </c>
      <c r="F3320" s="538">
        <v>2651127</v>
      </c>
      <c r="G3320" s="538">
        <v>44</v>
      </c>
    </row>
    <row r="3321" spans="1:7" x14ac:dyDescent="0.2">
      <c r="A3321" s="538">
        <v>7</v>
      </c>
      <c r="B3321" s="538" t="s">
        <v>6594</v>
      </c>
      <c r="C3321" s="538" t="s">
        <v>740</v>
      </c>
      <c r="D3321" s="538" t="s">
        <v>393</v>
      </c>
      <c r="E3321" s="538" t="s">
        <v>212</v>
      </c>
      <c r="F3321" s="538">
        <v>33984</v>
      </c>
      <c r="G3321" s="538">
        <v>3</v>
      </c>
    </row>
    <row r="3322" spans="1:7" x14ac:dyDescent="0.2">
      <c r="A3322" s="538">
        <v>4</v>
      </c>
      <c r="B3322" s="538" t="s">
        <v>6590</v>
      </c>
      <c r="C3322" s="538" t="s">
        <v>740</v>
      </c>
      <c r="D3322" s="538" t="s">
        <v>393</v>
      </c>
      <c r="E3322" s="538" t="s">
        <v>390</v>
      </c>
      <c r="F3322" s="538">
        <v>15013463</v>
      </c>
      <c r="G3322" s="538">
        <v>546</v>
      </c>
    </row>
    <row r="3323" spans="1:7" x14ac:dyDescent="0.2">
      <c r="A3323" s="538">
        <v>8</v>
      </c>
      <c r="B3323" s="538" t="s">
        <v>6577</v>
      </c>
      <c r="C3323" s="538" t="s">
        <v>740</v>
      </c>
      <c r="D3323" s="538" t="s">
        <v>393</v>
      </c>
      <c r="E3323" s="538" t="s">
        <v>401</v>
      </c>
      <c r="F3323" s="538">
        <v>67968</v>
      </c>
      <c r="G3323" s="538">
        <v>6</v>
      </c>
    </row>
    <row r="3324" spans="1:7" x14ac:dyDescent="0.2">
      <c r="A3324" s="538">
        <v>11</v>
      </c>
      <c r="B3324" s="538" t="s">
        <v>6584</v>
      </c>
      <c r="C3324" s="538" t="s">
        <v>740</v>
      </c>
      <c r="D3324" s="538" t="s">
        <v>393</v>
      </c>
      <c r="E3324" s="538" t="s">
        <v>438</v>
      </c>
      <c r="F3324" s="538">
        <v>519089</v>
      </c>
      <c r="G3324" s="538">
        <v>3</v>
      </c>
    </row>
    <row r="3325" spans="1:7" x14ac:dyDescent="0.2">
      <c r="A3325" s="538">
        <v>10</v>
      </c>
      <c r="B3325" s="538" t="s">
        <v>6611</v>
      </c>
      <c r="C3325" s="538" t="s">
        <v>393</v>
      </c>
      <c r="D3325" s="538" t="s">
        <v>393</v>
      </c>
      <c r="E3325" s="538" t="s">
        <v>230</v>
      </c>
      <c r="F3325" s="538">
        <v>3695625</v>
      </c>
      <c r="G3325" s="538">
        <v>50</v>
      </c>
    </row>
    <row r="3326" spans="1:7" x14ac:dyDescent="0.2">
      <c r="A3326" s="538">
        <v>2</v>
      </c>
      <c r="B3326" s="538" t="s">
        <v>6055</v>
      </c>
      <c r="C3326" s="538" t="s">
        <v>740</v>
      </c>
      <c r="D3326" s="538" t="s">
        <v>740</v>
      </c>
      <c r="E3326" s="538" t="s">
        <v>313</v>
      </c>
      <c r="F3326" s="538">
        <v>148326</v>
      </c>
      <c r="G3326" s="538">
        <v>2</v>
      </c>
    </row>
    <row r="3327" spans="1:7" x14ac:dyDescent="0.2">
      <c r="A3327" s="538">
        <v>7</v>
      </c>
      <c r="B3327" s="538" t="s">
        <v>6594</v>
      </c>
      <c r="C3327" s="538" t="s">
        <v>740</v>
      </c>
      <c r="D3327" s="538" t="s">
        <v>393</v>
      </c>
      <c r="E3327" s="538" t="s">
        <v>207</v>
      </c>
      <c r="F3327" s="538">
        <v>90624</v>
      </c>
      <c r="G3327" s="538">
        <v>8</v>
      </c>
    </row>
    <row r="3328" spans="1:7" x14ac:dyDescent="0.2">
      <c r="A3328" s="538">
        <v>11</v>
      </c>
      <c r="B3328" s="538" t="s">
        <v>6660</v>
      </c>
      <c r="C3328" s="538" t="s">
        <v>393</v>
      </c>
      <c r="D3328" s="538" t="s">
        <v>393</v>
      </c>
      <c r="E3328" s="538" t="s">
        <v>401</v>
      </c>
      <c r="F3328" s="538">
        <v>271695</v>
      </c>
      <c r="G3328" s="538">
        <v>15</v>
      </c>
    </row>
    <row r="3329" spans="1:7" x14ac:dyDescent="0.2">
      <c r="A3329" s="538">
        <v>8</v>
      </c>
      <c r="B3329" s="538" t="s">
        <v>6560</v>
      </c>
      <c r="C3329" s="538" t="s">
        <v>740</v>
      </c>
      <c r="D3329" s="538" t="s">
        <v>393</v>
      </c>
      <c r="E3329" s="538" t="s">
        <v>860</v>
      </c>
      <c r="F3329" s="538">
        <v>27809470</v>
      </c>
      <c r="G3329" s="538">
        <v>1145</v>
      </c>
    </row>
    <row r="3330" spans="1:7" x14ac:dyDescent="0.2">
      <c r="A3330" s="538">
        <v>8</v>
      </c>
      <c r="B3330" s="538" t="s">
        <v>6658</v>
      </c>
      <c r="C3330" s="538" t="s">
        <v>740</v>
      </c>
      <c r="D3330" s="538" t="s">
        <v>393</v>
      </c>
      <c r="E3330" s="538" t="s">
        <v>210</v>
      </c>
      <c r="F3330" s="538">
        <v>11328</v>
      </c>
      <c r="G3330" s="538">
        <v>1</v>
      </c>
    </row>
    <row r="3331" spans="1:7" x14ac:dyDescent="0.2">
      <c r="A3331" s="538">
        <v>3</v>
      </c>
      <c r="B3331" s="538" t="s">
        <v>6591</v>
      </c>
      <c r="C3331" s="538" t="s">
        <v>393</v>
      </c>
      <c r="D3331" s="538" t="s">
        <v>740</v>
      </c>
      <c r="E3331" s="538" t="s">
        <v>390</v>
      </c>
      <c r="F3331" s="538">
        <v>7653772</v>
      </c>
      <c r="G3331" s="538">
        <v>104</v>
      </c>
    </row>
    <row r="3332" spans="1:7" x14ac:dyDescent="0.2">
      <c r="A3332" s="538">
        <v>7</v>
      </c>
      <c r="B3332" s="538" t="s">
        <v>6594</v>
      </c>
      <c r="C3332" s="538" t="s">
        <v>393</v>
      </c>
      <c r="D3332" s="538" t="s">
        <v>393</v>
      </c>
      <c r="E3332" s="538" t="s">
        <v>401</v>
      </c>
      <c r="F3332" s="538">
        <v>553073</v>
      </c>
      <c r="G3332" s="538">
        <v>6</v>
      </c>
    </row>
    <row r="3333" spans="1:7" x14ac:dyDescent="0.2">
      <c r="A3333" s="538">
        <v>2</v>
      </c>
      <c r="B3333" s="538" t="s">
        <v>6662</v>
      </c>
      <c r="C3333" s="538" t="s">
        <v>740</v>
      </c>
      <c r="D3333" s="538" t="s">
        <v>393</v>
      </c>
      <c r="E3333" s="538" t="s">
        <v>390</v>
      </c>
      <c r="F3333" s="538">
        <v>45312</v>
      </c>
      <c r="G3333" s="538">
        <v>4</v>
      </c>
    </row>
    <row r="3334" spans="1:7" x14ac:dyDescent="0.2">
      <c r="A3334" s="538">
        <v>2</v>
      </c>
      <c r="B3334" s="538" t="s">
        <v>6656</v>
      </c>
      <c r="C3334" s="538" t="s">
        <v>740</v>
      </c>
      <c r="D3334" s="538" t="s">
        <v>393</v>
      </c>
      <c r="E3334" s="538" t="s">
        <v>207</v>
      </c>
      <c r="F3334" s="538">
        <v>101952</v>
      </c>
      <c r="G3334" s="538">
        <v>9</v>
      </c>
    </row>
    <row r="3335" spans="1:7" x14ac:dyDescent="0.2">
      <c r="A3335" s="538">
        <v>10</v>
      </c>
      <c r="B3335" s="538" t="s">
        <v>6601</v>
      </c>
      <c r="C3335" s="538" t="s">
        <v>393</v>
      </c>
      <c r="D3335" s="538" t="s">
        <v>393</v>
      </c>
      <c r="E3335" s="538" t="s">
        <v>202</v>
      </c>
      <c r="F3335" s="538">
        <v>15398887</v>
      </c>
      <c r="G3335" s="538">
        <v>79</v>
      </c>
    </row>
    <row r="3336" spans="1:7" x14ac:dyDescent="0.2">
      <c r="A3336" s="538">
        <v>5</v>
      </c>
      <c r="B3336" s="538" t="s">
        <v>6589</v>
      </c>
      <c r="C3336" s="538" t="s">
        <v>740</v>
      </c>
      <c r="D3336" s="538" t="s">
        <v>393</v>
      </c>
      <c r="E3336" s="538" t="s">
        <v>202</v>
      </c>
      <c r="F3336" s="538">
        <v>134520</v>
      </c>
      <c r="G3336" s="538">
        <v>5</v>
      </c>
    </row>
    <row r="3337" spans="1:7" x14ac:dyDescent="0.2">
      <c r="A3337" s="538">
        <v>3</v>
      </c>
      <c r="B3337" s="538" t="s">
        <v>6647</v>
      </c>
      <c r="C3337" s="538" t="s">
        <v>740</v>
      </c>
      <c r="D3337" s="538" t="s">
        <v>393</v>
      </c>
      <c r="E3337" s="538" t="s">
        <v>860</v>
      </c>
      <c r="F3337" s="538">
        <v>792252</v>
      </c>
      <c r="G3337" s="538">
        <v>34</v>
      </c>
    </row>
    <row r="3338" spans="1:7" x14ac:dyDescent="0.2">
      <c r="A3338" s="538">
        <v>9</v>
      </c>
      <c r="B3338" s="538" t="s">
        <v>6615</v>
      </c>
      <c r="C3338" s="538" t="s">
        <v>740</v>
      </c>
      <c r="D3338" s="538" t="s">
        <v>393</v>
      </c>
      <c r="E3338" s="538" t="s">
        <v>207</v>
      </c>
      <c r="F3338" s="538">
        <v>11328</v>
      </c>
      <c r="G3338" s="538">
        <v>1</v>
      </c>
    </row>
    <row r="3339" spans="1:7" x14ac:dyDescent="0.2">
      <c r="A3339" s="538">
        <v>4</v>
      </c>
      <c r="B3339" s="538" t="s">
        <v>6590</v>
      </c>
      <c r="C3339" s="538" t="s">
        <v>740</v>
      </c>
      <c r="D3339" s="538" t="s">
        <v>740</v>
      </c>
      <c r="E3339" s="538" t="s">
        <v>390</v>
      </c>
      <c r="F3339" s="538">
        <v>1882947</v>
      </c>
      <c r="G3339" s="538">
        <v>24</v>
      </c>
    </row>
    <row r="3340" spans="1:7" x14ac:dyDescent="0.2">
      <c r="A3340" s="538">
        <v>1</v>
      </c>
      <c r="B3340" s="538" t="s">
        <v>6649</v>
      </c>
      <c r="C3340" s="538" t="s">
        <v>393</v>
      </c>
      <c r="D3340" s="538" t="s">
        <v>393</v>
      </c>
      <c r="E3340" s="538" t="s">
        <v>230</v>
      </c>
      <c r="F3340" s="538">
        <v>1838041</v>
      </c>
      <c r="G3340" s="538">
        <v>42</v>
      </c>
    </row>
    <row r="3341" spans="1:7" x14ac:dyDescent="0.2">
      <c r="A3341" s="538">
        <v>3</v>
      </c>
      <c r="B3341" s="538" t="s">
        <v>6603</v>
      </c>
      <c r="C3341" s="538" t="s">
        <v>740</v>
      </c>
      <c r="D3341" s="538" t="s">
        <v>393</v>
      </c>
      <c r="E3341" s="538" t="s">
        <v>230</v>
      </c>
      <c r="F3341" s="538">
        <v>282846</v>
      </c>
      <c r="G3341" s="538">
        <v>7</v>
      </c>
    </row>
    <row r="3342" spans="1:7" x14ac:dyDescent="0.2">
      <c r="A3342" s="538">
        <v>5</v>
      </c>
      <c r="B3342" s="538" t="s">
        <v>6568</v>
      </c>
      <c r="C3342" s="538" t="s">
        <v>740</v>
      </c>
      <c r="D3342" s="538" t="s">
        <v>393</v>
      </c>
      <c r="E3342" s="538" t="s">
        <v>449</v>
      </c>
      <c r="F3342" s="538">
        <v>260367</v>
      </c>
      <c r="G3342" s="538">
        <v>14</v>
      </c>
    </row>
    <row r="3343" spans="1:7" x14ac:dyDescent="0.2">
      <c r="A3343" s="538">
        <v>8</v>
      </c>
      <c r="B3343" s="538" t="s">
        <v>6577</v>
      </c>
      <c r="C3343" s="538" t="s">
        <v>740</v>
      </c>
      <c r="D3343" s="538" t="s">
        <v>740</v>
      </c>
      <c r="E3343" s="538" t="s">
        <v>402</v>
      </c>
      <c r="F3343" s="538">
        <v>1651004</v>
      </c>
      <c r="G3343" s="538">
        <v>58</v>
      </c>
    </row>
    <row r="3344" spans="1:7" x14ac:dyDescent="0.2">
      <c r="A3344" s="538">
        <v>2</v>
      </c>
      <c r="B3344" s="538" t="s">
        <v>6656</v>
      </c>
      <c r="C3344" s="538" t="s">
        <v>740</v>
      </c>
      <c r="D3344" s="538" t="s">
        <v>393</v>
      </c>
      <c r="E3344" s="538" t="s">
        <v>409</v>
      </c>
      <c r="F3344" s="538">
        <v>50268</v>
      </c>
      <c r="G3344" s="538">
        <v>1</v>
      </c>
    </row>
    <row r="3345" spans="1:7" x14ac:dyDescent="0.2">
      <c r="A3345" s="538">
        <v>3</v>
      </c>
      <c r="B3345" s="538" t="s">
        <v>6605</v>
      </c>
      <c r="C3345" s="538" t="s">
        <v>393</v>
      </c>
      <c r="D3345" s="538" t="s">
        <v>393</v>
      </c>
      <c r="E3345" s="538" t="s">
        <v>210</v>
      </c>
      <c r="F3345" s="538">
        <v>2384971</v>
      </c>
      <c r="G3345" s="538">
        <v>57</v>
      </c>
    </row>
    <row r="3346" spans="1:7" x14ac:dyDescent="0.2">
      <c r="A3346" s="538">
        <v>2</v>
      </c>
      <c r="B3346" s="538" t="s">
        <v>6656</v>
      </c>
      <c r="C3346" s="538" t="s">
        <v>740</v>
      </c>
      <c r="D3346" s="538" t="s">
        <v>393</v>
      </c>
      <c r="E3346" s="538" t="s">
        <v>401</v>
      </c>
      <c r="F3346" s="538">
        <v>11328</v>
      </c>
      <c r="G3346" s="538">
        <v>1</v>
      </c>
    </row>
    <row r="3347" spans="1:7" x14ac:dyDescent="0.2">
      <c r="A3347" s="538">
        <v>3</v>
      </c>
      <c r="B3347" s="538" t="s">
        <v>6578</v>
      </c>
      <c r="C3347" s="538" t="s">
        <v>740</v>
      </c>
      <c r="D3347" s="538" t="s">
        <v>740</v>
      </c>
      <c r="E3347" s="538" t="s">
        <v>211</v>
      </c>
      <c r="F3347" s="538">
        <v>496433</v>
      </c>
      <c r="G3347" s="538">
        <v>1</v>
      </c>
    </row>
    <row r="3348" spans="1:7" x14ac:dyDescent="0.2">
      <c r="A3348" s="538">
        <v>7</v>
      </c>
      <c r="B3348" s="538" t="s">
        <v>6588</v>
      </c>
      <c r="C3348" s="538" t="s">
        <v>740</v>
      </c>
      <c r="D3348" s="538" t="s">
        <v>393</v>
      </c>
      <c r="E3348" s="538" t="s">
        <v>409</v>
      </c>
      <c r="F3348" s="538">
        <v>1220488</v>
      </c>
      <c r="G3348" s="538">
        <v>11</v>
      </c>
    </row>
    <row r="3349" spans="1:7" x14ac:dyDescent="0.2">
      <c r="A3349" s="538">
        <v>7</v>
      </c>
      <c r="B3349" s="538" t="s">
        <v>6661</v>
      </c>
      <c r="C3349" s="538" t="s">
        <v>740</v>
      </c>
      <c r="D3349" s="538" t="s">
        <v>393</v>
      </c>
      <c r="E3349" s="538" t="s">
        <v>438</v>
      </c>
      <c r="F3349" s="538">
        <v>1045841</v>
      </c>
      <c r="G3349" s="538">
        <v>17</v>
      </c>
    </row>
    <row r="3350" spans="1:7" x14ac:dyDescent="0.2">
      <c r="A3350" s="538">
        <v>9</v>
      </c>
      <c r="B3350" s="538" t="s">
        <v>6645</v>
      </c>
      <c r="C3350" s="538" t="s">
        <v>740</v>
      </c>
      <c r="D3350" s="538" t="s">
        <v>393</v>
      </c>
      <c r="E3350" s="538" t="s">
        <v>860</v>
      </c>
      <c r="F3350" s="538">
        <v>683220</v>
      </c>
      <c r="G3350" s="538">
        <v>50</v>
      </c>
    </row>
    <row r="3351" spans="1:7" x14ac:dyDescent="0.2">
      <c r="A3351" s="538">
        <v>5</v>
      </c>
      <c r="B3351" s="538" t="s">
        <v>6568</v>
      </c>
      <c r="C3351" s="538" t="s">
        <v>393</v>
      </c>
      <c r="D3351" s="538" t="s">
        <v>740</v>
      </c>
      <c r="E3351" s="538" t="s">
        <v>390</v>
      </c>
      <c r="F3351" s="538">
        <v>10040190</v>
      </c>
      <c r="G3351" s="538">
        <v>255</v>
      </c>
    </row>
    <row r="3352" spans="1:7" x14ac:dyDescent="0.2">
      <c r="A3352" s="538">
        <v>8</v>
      </c>
      <c r="B3352" s="538" t="s">
        <v>6648</v>
      </c>
      <c r="C3352" s="538" t="s">
        <v>740</v>
      </c>
      <c r="D3352" s="538" t="s">
        <v>393</v>
      </c>
      <c r="E3352" s="538" t="s">
        <v>438</v>
      </c>
      <c r="F3352" s="538">
        <v>3090691</v>
      </c>
      <c r="G3352" s="538">
        <v>22</v>
      </c>
    </row>
    <row r="3353" spans="1:7" x14ac:dyDescent="0.2">
      <c r="A3353" s="538">
        <v>9</v>
      </c>
      <c r="B3353" s="538" t="s">
        <v>6606</v>
      </c>
      <c r="C3353" s="538" t="s">
        <v>740</v>
      </c>
      <c r="D3353" s="538" t="s">
        <v>393</v>
      </c>
      <c r="E3353" s="538" t="s">
        <v>449</v>
      </c>
      <c r="F3353" s="538">
        <v>553073</v>
      </c>
      <c r="G3353" s="538">
        <v>6</v>
      </c>
    </row>
    <row r="3354" spans="1:7" x14ac:dyDescent="0.2">
      <c r="A3354" s="538">
        <v>7</v>
      </c>
      <c r="B3354" s="538" t="s">
        <v>6579</v>
      </c>
      <c r="C3354" s="538" t="s">
        <v>740</v>
      </c>
      <c r="D3354" s="538" t="s">
        <v>740</v>
      </c>
      <c r="E3354" s="538" t="s">
        <v>207</v>
      </c>
      <c r="F3354" s="538">
        <v>358425</v>
      </c>
      <c r="G3354" s="538">
        <v>15</v>
      </c>
    </row>
    <row r="3355" spans="1:7" x14ac:dyDescent="0.2">
      <c r="A3355" s="538">
        <v>5</v>
      </c>
      <c r="B3355" s="538" t="s">
        <v>6568</v>
      </c>
      <c r="C3355" s="538" t="s">
        <v>740</v>
      </c>
      <c r="D3355" s="538" t="s">
        <v>393</v>
      </c>
      <c r="E3355" s="538" t="s">
        <v>209</v>
      </c>
      <c r="F3355" s="538">
        <v>148326</v>
      </c>
      <c r="G3355" s="538">
        <v>2</v>
      </c>
    </row>
    <row r="3356" spans="1:7" x14ac:dyDescent="0.2">
      <c r="A3356" s="538">
        <v>2</v>
      </c>
      <c r="B3356" s="538" t="s">
        <v>6055</v>
      </c>
      <c r="C3356" s="538" t="s">
        <v>393</v>
      </c>
      <c r="D3356" s="538" t="s">
        <v>393</v>
      </c>
      <c r="E3356" s="538" t="s">
        <v>419</v>
      </c>
      <c r="F3356" s="538">
        <v>74163</v>
      </c>
      <c r="G3356" s="538">
        <v>1</v>
      </c>
    </row>
    <row r="3357" spans="1:7" x14ac:dyDescent="0.2">
      <c r="A3357" s="538">
        <v>1</v>
      </c>
      <c r="B3357" s="538" t="s">
        <v>6581</v>
      </c>
      <c r="C3357" s="538" t="s">
        <v>393</v>
      </c>
      <c r="D3357" s="538" t="s">
        <v>740</v>
      </c>
      <c r="E3357" s="538" t="s">
        <v>207</v>
      </c>
      <c r="F3357" s="538">
        <v>2323479</v>
      </c>
      <c r="G3357" s="538">
        <v>138</v>
      </c>
    </row>
    <row r="3358" spans="1:7" x14ac:dyDescent="0.2">
      <c r="A3358" s="538">
        <v>2</v>
      </c>
      <c r="B3358" s="538" t="s">
        <v>6654</v>
      </c>
      <c r="C3358" s="538" t="s">
        <v>740</v>
      </c>
      <c r="D3358" s="538" t="s">
        <v>393</v>
      </c>
      <c r="E3358" s="538" t="s">
        <v>416</v>
      </c>
      <c r="F3358" s="538">
        <v>22656</v>
      </c>
      <c r="G3358" s="538">
        <v>2</v>
      </c>
    </row>
    <row r="3359" spans="1:7" x14ac:dyDescent="0.2">
      <c r="A3359" s="538">
        <v>6</v>
      </c>
      <c r="B3359" s="538" t="s">
        <v>6429</v>
      </c>
      <c r="C3359" s="538" t="s">
        <v>740</v>
      </c>
      <c r="D3359" s="538" t="s">
        <v>740</v>
      </c>
      <c r="E3359" s="538" t="s">
        <v>207</v>
      </c>
      <c r="F3359" s="538">
        <v>5216086</v>
      </c>
      <c r="G3359" s="538">
        <v>197</v>
      </c>
    </row>
    <row r="3360" spans="1:7" x14ac:dyDescent="0.2">
      <c r="A3360" s="538">
        <v>5</v>
      </c>
      <c r="B3360" s="538" t="s">
        <v>6589</v>
      </c>
      <c r="C3360" s="538" t="s">
        <v>393</v>
      </c>
      <c r="D3360" s="538" t="s">
        <v>393</v>
      </c>
      <c r="E3360" s="538" t="s">
        <v>449</v>
      </c>
      <c r="F3360" s="538">
        <v>113280</v>
      </c>
      <c r="G3360" s="538">
        <v>10</v>
      </c>
    </row>
    <row r="3361" spans="1:7" x14ac:dyDescent="0.2">
      <c r="A3361" s="538">
        <v>6</v>
      </c>
      <c r="B3361" s="538" t="s">
        <v>6565</v>
      </c>
      <c r="C3361" s="538" t="s">
        <v>740</v>
      </c>
      <c r="D3361" s="538" t="s">
        <v>393</v>
      </c>
      <c r="E3361" s="538" t="s">
        <v>438</v>
      </c>
      <c r="F3361" s="538">
        <v>130803</v>
      </c>
      <c r="G3361" s="538">
        <v>6</v>
      </c>
    </row>
    <row r="3362" spans="1:7" x14ac:dyDescent="0.2">
      <c r="A3362" s="538">
        <v>4</v>
      </c>
      <c r="B3362" s="538" t="s">
        <v>6562</v>
      </c>
      <c r="C3362" s="538" t="s">
        <v>740</v>
      </c>
      <c r="D3362" s="538" t="s">
        <v>393</v>
      </c>
      <c r="E3362" s="538" t="s">
        <v>211</v>
      </c>
      <c r="F3362" s="538">
        <v>50492969</v>
      </c>
      <c r="G3362" s="538">
        <v>1178</v>
      </c>
    </row>
    <row r="3363" spans="1:7" x14ac:dyDescent="0.2">
      <c r="A3363" s="538">
        <v>2</v>
      </c>
      <c r="B3363" s="538" t="s">
        <v>6654</v>
      </c>
      <c r="C3363" s="538" t="s">
        <v>393</v>
      </c>
      <c r="D3363" s="538" t="s">
        <v>393</v>
      </c>
      <c r="E3363" s="538" t="s">
        <v>419</v>
      </c>
      <c r="F3363" s="538">
        <v>56640</v>
      </c>
      <c r="G3363" s="538">
        <v>5</v>
      </c>
    </row>
    <row r="3364" spans="1:7" x14ac:dyDescent="0.2">
      <c r="A3364" s="538">
        <v>6</v>
      </c>
      <c r="B3364" s="538" t="s">
        <v>6575</v>
      </c>
      <c r="C3364" s="538" t="s">
        <v>393</v>
      </c>
      <c r="D3364" s="538" t="s">
        <v>393</v>
      </c>
      <c r="E3364" s="538" t="s">
        <v>212</v>
      </c>
      <c r="F3364" s="538">
        <v>1160235</v>
      </c>
      <c r="G3364" s="538">
        <v>90</v>
      </c>
    </row>
    <row r="3365" spans="1:7" x14ac:dyDescent="0.2">
      <c r="A3365" s="538">
        <v>3</v>
      </c>
      <c r="B3365" s="538" t="s">
        <v>6605</v>
      </c>
      <c r="C3365" s="538" t="s">
        <v>740</v>
      </c>
      <c r="D3365" s="538" t="s">
        <v>393</v>
      </c>
      <c r="E3365" s="538" t="s">
        <v>390</v>
      </c>
      <c r="F3365" s="538">
        <v>45312</v>
      </c>
      <c r="G3365" s="538">
        <v>4</v>
      </c>
    </row>
    <row r="3366" spans="1:7" x14ac:dyDescent="0.2">
      <c r="A3366" s="538">
        <v>3</v>
      </c>
      <c r="B3366" s="538" t="s">
        <v>6591</v>
      </c>
      <c r="C3366" s="538" t="s">
        <v>393</v>
      </c>
      <c r="D3366" s="538" t="s">
        <v>393</v>
      </c>
      <c r="E3366" s="538" t="s">
        <v>416</v>
      </c>
      <c r="F3366" s="538">
        <v>29981636</v>
      </c>
      <c r="G3366" s="538">
        <v>617</v>
      </c>
    </row>
    <row r="3367" spans="1:7" x14ac:dyDescent="0.2">
      <c r="A3367" s="538">
        <v>7</v>
      </c>
      <c r="B3367" s="538" t="s">
        <v>6564</v>
      </c>
      <c r="C3367" s="538" t="s">
        <v>740</v>
      </c>
      <c r="D3367" s="538" t="s">
        <v>393</v>
      </c>
      <c r="E3367" s="538" t="s">
        <v>230</v>
      </c>
      <c r="F3367" s="538">
        <v>10098298</v>
      </c>
      <c r="G3367" s="538">
        <v>276</v>
      </c>
    </row>
    <row r="3368" spans="1:7" x14ac:dyDescent="0.2">
      <c r="A3368" s="538">
        <v>4</v>
      </c>
      <c r="B3368" s="538" t="s">
        <v>6590</v>
      </c>
      <c r="C3368" s="538" t="s">
        <v>393</v>
      </c>
      <c r="D3368" s="538" t="s">
        <v>740</v>
      </c>
      <c r="E3368" s="538" t="s">
        <v>390</v>
      </c>
      <c r="F3368" s="538">
        <v>5331438</v>
      </c>
      <c r="G3368" s="538">
        <v>116</v>
      </c>
    </row>
    <row r="3369" spans="1:7" x14ac:dyDescent="0.2">
      <c r="A3369" s="538">
        <v>8</v>
      </c>
      <c r="B3369" s="538" t="s">
        <v>6567</v>
      </c>
      <c r="C3369" s="538" t="s">
        <v>740</v>
      </c>
      <c r="D3369" s="538" t="s">
        <v>393</v>
      </c>
      <c r="E3369" s="538" t="s">
        <v>416</v>
      </c>
      <c r="F3369" s="538">
        <v>66343123</v>
      </c>
      <c r="G3369" s="538">
        <v>1566</v>
      </c>
    </row>
    <row r="3370" spans="1:7" x14ac:dyDescent="0.2">
      <c r="A3370" s="538">
        <v>7</v>
      </c>
      <c r="B3370" s="538" t="s">
        <v>6594</v>
      </c>
      <c r="C3370" s="538" t="s">
        <v>393</v>
      </c>
      <c r="D3370" s="538" t="s">
        <v>393</v>
      </c>
      <c r="E3370" s="538" t="s">
        <v>210</v>
      </c>
      <c r="F3370" s="538">
        <v>1057346</v>
      </c>
      <c r="G3370" s="538">
        <v>27</v>
      </c>
    </row>
    <row r="3371" spans="1:7" x14ac:dyDescent="0.2">
      <c r="A3371" s="538">
        <v>3</v>
      </c>
      <c r="B3371" s="538" t="s">
        <v>6591</v>
      </c>
      <c r="C3371" s="538" t="s">
        <v>740</v>
      </c>
      <c r="D3371" s="538" t="s">
        <v>393</v>
      </c>
      <c r="E3371" s="538" t="s">
        <v>313</v>
      </c>
      <c r="F3371" s="538">
        <v>74163</v>
      </c>
      <c r="G3371" s="538">
        <v>1</v>
      </c>
    </row>
    <row r="3372" spans="1:7" x14ac:dyDescent="0.2">
      <c r="A3372" s="538">
        <v>8</v>
      </c>
      <c r="B3372" s="538" t="s">
        <v>6577</v>
      </c>
      <c r="C3372" s="538" t="s">
        <v>740</v>
      </c>
      <c r="D3372" s="538" t="s">
        <v>393</v>
      </c>
      <c r="E3372" s="538" t="s">
        <v>449</v>
      </c>
      <c r="F3372" s="538">
        <v>22656</v>
      </c>
      <c r="G3372" s="538">
        <v>2</v>
      </c>
    </row>
    <row r="3373" spans="1:7" x14ac:dyDescent="0.2">
      <c r="A3373" s="538">
        <v>7</v>
      </c>
      <c r="B3373" s="538" t="s">
        <v>6588</v>
      </c>
      <c r="C3373" s="538" t="s">
        <v>740</v>
      </c>
      <c r="D3373" s="538" t="s">
        <v>393</v>
      </c>
      <c r="E3373" s="538" t="s">
        <v>438</v>
      </c>
      <c r="F3373" s="538">
        <v>465156</v>
      </c>
      <c r="G3373" s="538">
        <v>12</v>
      </c>
    </row>
    <row r="3374" spans="1:7" x14ac:dyDescent="0.2">
      <c r="A3374" s="538">
        <v>8</v>
      </c>
      <c r="B3374" s="538" t="s">
        <v>6577</v>
      </c>
      <c r="C3374" s="538" t="s">
        <v>393</v>
      </c>
      <c r="D3374" s="538" t="s">
        <v>740</v>
      </c>
      <c r="E3374" s="538" t="s">
        <v>438</v>
      </c>
      <c r="F3374" s="538">
        <v>570596</v>
      </c>
      <c r="G3374" s="538">
        <v>2</v>
      </c>
    </row>
    <row r="3375" spans="1:7" x14ac:dyDescent="0.2">
      <c r="A3375" s="538">
        <v>9</v>
      </c>
      <c r="B3375" s="538" t="s">
        <v>6615</v>
      </c>
      <c r="C3375" s="538" t="s">
        <v>740</v>
      </c>
      <c r="D3375" s="538" t="s">
        <v>393</v>
      </c>
      <c r="E3375" s="538" t="s">
        <v>211</v>
      </c>
      <c r="F3375" s="538">
        <v>30175242</v>
      </c>
      <c r="G3375" s="538">
        <v>849</v>
      </c>
    </row>
    <row r="3376" spans="1:7" x14ac:dyDescent="0.2">
      <c r="A3376" s="538">
        <v>12</v>
      </c>
      <c r="B3376" s="538" t="s">
        <v>6563</v>
      </c>
      <c r="C3376" s="538" t="s">
        <v>740</v>
      </c>
      <c r="D3376" s="538" t="s">
        <v>393</v>
      </c>
      <c r="E3376" s="538" t="s">
        <v>212</v>
      </c>
      <c r="F3376" s="538">
        <v>91085908</v>
      </c>
      <c r="G3376" s="538">
        <v>5771</v>
      </c>
    </row>
    <row r="3377" spans="1:7" x14ac:dyDescent="0.2">
      <c r="A3377" s="538">
        <v>5</v>
      </c>
      <c r="B3377" s="538" t="s">
        <v>6568</v>
      </c>
      <c r="C3377" s="538" t="s">
        <v>740</v>
      </c>
      <c r="D3377" s="538" t="s">
        <v>740</v>
      </c>
      <c r="E3377" s="538" t="s">
        <v>409</v>
      </c>
      <c r="F3377" s="538">
        <v>896453</v>
      </c>
      <c r="G3377" s="538">
        <v>26</v>
      </c>
    </row>
    <row r="3378" spans="1:7" x14ac:dyDescent="0.2">
      <c r="A3378" s="538">
        <v>2</v>
      </c>
      <c r="B3378" s="538" t="s">
        <v>6608</v>
      </c>
      <c r="C3378" s="538" t="s">
        <v>740</v>
      </c>
      <c r="D3378" s="538" t="s">
        <v>393</v>
      </c>
      <c r="E3378" s="538" t="s">
        <v>209</v>
      </c>
      <c r="F3378" s="538">
        <v>1762056</v>
      </c>
      <c r="G3378" s="538">
        <v>7</v>
      </c>
    </row>
    <row r="3379" spans="1:7" x14ac:dyDescent="0.2">
      <c r="A3379" s="538">
        <v>6</v>
      </c>
      <c r="B3379" s="538" t="s">
        <v>6565</v>
      </c>
      <c r="C3379" s="538" t="s">
        <v>740</v>
      </c>
      <c r="D3379" s="538" t="s">
        <v>740</v>
      </c>
      <c r="E3379" s="538" t="s">
        <v>860</v>
      </c>
      <c r="F3379" s="538">
        <v>84252</v>
      </c>
      <c r="G3379" s="538">
        <v>4</v>
      </c>
    </row>
    <row r="3380" spans="1:7" x14ac:dyDescent="0.2">
      <c r="A3380" s="538">
        <v>5</v>
      </c>
      <c r="B3380" s="538" t="s">
        <v>6650</v>
      </c>
      <c r="C3380" s="538" t="s">
        <v>740</v>
      </c>
      <c r="D3380" s="538" t="s">
        <v>740</v>
      </c>
      <c r="E3380" s="538" t="s">
        <v>202</v>
      </c>
      <c r="F3380" s="538">
        <v>1785951</v>
      </c>
      <c r="G3380" s="538">
        <v>7</v>
      </c>
    </row>
    <row r="3381" spans="1:7" x14ac:dyDescent="0.2">
      <c r="A3381" s="538">
        <v>6</v>
      </c>
      <c r="B3381" s="538" t="s">
        <v>6617</v>
      </c>
      <c r="C3381" s="538" t="s">
        <v>740</v>
      </c>
      <c r="D3381" s="538" t="s">
        <v>393</v>
      </c>
      <c r="E3381" s="538" t="s">
        <v>210</v>
      </c>
      <c r="F3381" s="538">
        <v>11328</v>
      </c>
      <c r="G3381" s="538">
        <v>1</v>
      </c>
    </row>
    <row r="3382" spans="1:7" x14ac:dyDescent="0.2">
      <c r="A3382" s="538">
        <v>6</v>
      </c>
      <c r="B3382" s="538" t="s">
        <v>6596</v>
      </c>
      <c r="C3382" s="538" t="s">
        <v>740</v>
      </c>
      <c r="D3382" s="538" t="s">
        <v>393</v>
      </c>
      <c r="E3382" s="538" t="s">
        <v>401</v>
      </c>
      <c r="F3382" s="538">
        <v>108147</v>
      </c>
      <c r="G3382" s="538">
        <v>4</v>
      </c>
    </row>
    <row r="3383" spans="1:7" x14ac:dyDescent="0.2">
      <c r="A3383" s="538">
        <v>1</v>
      </c>
      <c r="B3383" s="538" t="s">
        <v>6595</v>
      </c>
      <c r="C3383" s="538" t="s">
        <v>393</v>
      </c>
      <c r="D3383" s="538" t="s">
        <v>740</v>
      </c>
      <c r="E3383" s="538" t="s">
        <v>212</v>
      </c>
      <c r="F3383" s="538">
        <v>33984</v>
      </c>
      <c r="G3383" s="538">
        <v>3</v>
      </c>
    </row>
    <row r="3384" spans="1:7" x14ac:dyDescent="0.2">
      <c r="A3384" s="538">
        <v>8</v>
      </c>
      <c r="B3384" s="538" t="s">
        <v>6583</v>
      </c>
      <c r="C3384" s="538" t="s">
        <v>740</v>
      </c>
      <c r="D3384" s="538" t="s">
        <v>740</v>
      </c>
      <c r="E3384" s="538" t="s">
        <v>438</v>
      </c>
      <c r="F3384" s="538">
        <v>1385098</v>
      </c>
      <c r="G3384" s="538">
        <v>11</v>
      </c>
    </row>
    <row r="3385" spans="1:7" x14ac:dyDescent="0.2">
      <c r="A3385" s="538">
        <v>4</v>
      </c>
      <c r="B3385" s="538" t="s">
        <v>6559</v>
      </c>
      <c r="C3385" s="538" t="s">
        <v>740</v>
      </c>
      <c r="D3385" s="538" t="s">
        <v>740</v>
      </c>
      <c r="E3385" s="538" t="s">
        <v>401</v>
      </c>
      <c r="F3385" s="538">
        <v>22656</v>
      </c>
      <c r="G3385" s="538">
        <v>2</v>
      </c>
    </row>
    <row r="3386" spans="1:7" x14ac:dyDescent="0.2">
      <c r="A3386" s="538">
        <v>10</v>
      </c>
      <c r="B3386" s="538" t="s">
        <v>6600</v>
      </c>
      <c r="C3386" s="538" t="s">
        <v>740</v>
      </c>
      <c r="D3386" s="538" t="s">
        <v>393</v>
      </c>
      <c r="E3386" s="538" t="s">
        <v>230</v>
      </c>
      <c r="F3386" s="538">
        <v>1302314</v>
      </c>
      <c r="G3386" s="538">
        <v>23</v>
      </c>
    </row>
    <row r="3387" spans="1:7" x14ac:dyDescent="0.2">
      <c r="A3387" s="538">
        <v>1</v>
      </c>
      <c r="B3387" s="538" t="s">
        <v>6581</v>
      </c>
      <c r="C3387" s="538" t="s">
        <v>740</v>
      </c>
      <c r="D3387" s="538" t="s">
        <v>740</v>
      </c>
      <c r="E3387" s="538" t="s">
        <v>230</v>
      </c>
      <c r="F3387" s="538">
        <v>119475</v>
      </c>
      <c r="G3387" s="538">
        <v>5</v>
      </c>
    </row>
    <row r="3388" spans="1:7" x14ac:dyDescent="0.2">
      <c r="A3388" s="538">
        <v>4</v>
      </c>
      <c r="B3388" s="538" t="s">
        <v>6559</v>
      </c>
      <c r="C3388" s="538" t="s">
        <v>740</v>
      </c>
      <c r="D3388" s="538" t="s">
        <v>393</v>
      </c>
      <c r="E3388" s="538" t="s">
        <v>402</v>
      </c>
      <c r="F3388" s="538">
        <v>2802212</v>
      </c>
      <c r="G3388" s="538">
        <v>139</v>
      </c>
    </row>
    <row r="3389" spans="1:7" x14ac:dyDescent="0.2">
      <c r="A3389" s="538">
        <v>6</v>
      </c>
      <c r="B3389" s="538" t="s">
        <v>6429</v>
      </c>
      <c r="C3389" s="538" t="s">
        <v>740</v>
      </c>
      <c r="D3389" s="538" t="s">
        <v>393</v>
      </c>
      <c r="E3389" s="538" t="s">
        <v>210</v>
      </c>
      <c r="F3389" s="538">
        <v>189520818</v>
      </c>
      <c r="G3389" s="538">
        <v>8706</v>
      </c>
    </row>
    <row r="3390" spans="1:7" x14ac:dyDescent="0.2">
      <c r="A3390" s="538">
        <v>11</v>
      </c>
      <c r="B3390" s="538" t="s">
        <v>6584</v>
      </c>
      <c r="C3390" s="538" t="s">
        <v>740</v>
      </c>
      <c r="D3390" s="538" t="s">
        <v>740</v>
      </c>
      <c r="E3390" s="538" t="s">
        <v>230</v>
      </c>
      <c r="F3390" s="538">
        <v>56640</v>
      </c>
      <c r="G3390" s="538">
        <v>5</v>
      </c>
    </row>
    <row r="3391" spans="1:7" x14ac:dyDescent="0.2">
      <c r="A3391" s="538">
        <v>6</v>
      </c>
      <c r="B3391" s="538" t="s">
        <v>6575</v>
      </c>
      <c r="C3391" s="538" t="s">
        <v>393</v>
      </c>
      <c r="D3391" s="538" t="s">
        <v>393</v>
      </c>
      <c r="E3391" s="538" t="s">
        <v>401</v>
      </c>
      <c r="F3391" s="538">
        <v>391347</v>
      </c>
      <c r="G3391" s="538">
        <v>29</v>
      </c>
    </row>
    <row r="3392" spans="1:7" x14ac:dyDescent="0.2">
      <c r="A3392" s="538">
        <v>11</v>
      </c>
      <c r="B3392" s="538" t="s">
        <v>6660</v>
      </c>
      <c r="C3392" s="538" t="s">
        <v>393</v>
      </c>
      <c r="D3392" s="538" t="s">
        <v>393</v>
      </c>
      <c r="E3392" s="538" t="s">
        <v>202</v>
      </c>
      <c r="F3392" s="538">
        <v>6499503</v>
      </c>
      <c r="G3392" s="538">
        <v>66</v>
      </c>
    </row>
    <row r="3393" spans="1:7" x14ac:dyDescent="0.2">
      <c r="A3393" s="538">
        <v>11</v>
      </c>
      <c r="B3393" s="538" t="s">
        <v>6660</v>
      </c>
      <c r="C3393" s="538" t="s">
        <v>393</v>
      </c>
      <c r="D3393" s="538" t="s">
        <v>393</v>
      </c>
      <c r="E3393" s="538" t="s">
        <v>419</v>
      </c>
      <c r="F3393" s="538">
        <v>96819</v>
      </c>
      <c r="G3393" s="538">
        <v>3</v>
      </c>
    </row>
    <row r="3394" spans="1:7" x14ac:dyDescent="0.2">
      <c r="A3394" s="538">
        <v>9</v>
      </c>
      <c r="B3394" s="538" t="s">
        <v>6645</v>
      </c>
      <c r="C3394" s="538" t="s">
        <v>393</v>
      </c>
      <c r="D3394" s="538" t="s">
        <v>393</v>
      </c>
      <c r="E3394" s="538" t="s">
        <v>402</v>
      </c>
      <c r="F3394" s="538">
        <v>4132440</v>
      </c>
      <c r="G3394" s="538">
        <v>100</v>
      </c>
    </row>
    <row r="3395" spans="1:7" x14ac:dyDescent="0.2">
      <c r="A3395" s="538">
        <v>8</v>
      </c>
      <c r="B3395" s="538" t="s">
        <v>6567</v>
      </c>
      <c r="C3395" s="538" t="s">
        <v>740</v>
      </c>
      <c r="D3395" s="538" t="s">
        <v>393</v>
      </c>
      <c r="E3395" s="538" t="s">
        <v>211</v>
      </c>
      <c r="F3395" s="538">
        <v>72165735</v>
      </c>
      <c r="G3395" s="538">
        <v>1710</v>
      </c>
    </row>
    <row r="3396" spans="1:7" x14ac:dyDescent="0.2">
      <c r="A3396" s="538">
        <v>1</v>
      </c>
      <c r="B3396" s="538" t="s">
        <v>1288</v>
      </c>
      <c r="C3396" s="538" t="s">
        <v>740</v>
      </c>
      <c r="D3396" s="538" t="s">
        <v>393</v>
      </c>
      <c r="E3396" s="538" t="s">
        <v>449</v>
      </c>
      <c r="F3396" s="538">
        <v>11328</v>
      </c>
      <c r="G3396" s="538">
        <v>1</v>
      </c>
    </row>
    <row r="3397" spans="1:7" x14ac:dyDescent="0.2">
      <c r="A3397" s="538">
        <v>10</v>
      </c>
      <c r="B3397" s="538" t="s">
        <v>6652</v>
      </c>
      <c r="C3397" s="538" t="s">
        <v>393</v>
      </c>
      <c r="D3397" s="538" t="s">
        <v>393</v>
      </c>
      <c r="E3397" s="538" t="s">
        <v>209</v>
      </c>
      <c r="F3397" s="538">
        <v>100536</v>
      </c>
      <c r="G3397" s="538">
        <v>2</v>
      </c>
    </row>
    <row r="3398" spans="1:7" x14ac:dyDescent="0.2">
      <c r="A3398" s="538">
        <v>3</v>
      </c>
      <c r="B3398" s="538" t="s">
        <v>6603</v>
      </c>
      <c r="C3398" s="538" t="s">
        <v>740</v>
      </c>
      <c r="D3398" s="538" t="s">
        <v>393</v>
      </c>
      <c r="E3398" s="538" t="s">
        <v>438</v>
      </c>
      <c r="F3398" s="538">
        <v>613482</v>
      </c>
      <c r="G3398" s="538">
        <v>14</v>
      </c>
    </row>
    <row r="3399" spans="1:7" x14ac:dyDescent="0.2">
      <c r="A3399" s="538">
        <v>3</v>
      </c>
      <c r="B3399" s="538" t="s">
        <v>6586</v>
      </c>
      <c r="C3399" s="538" t="s">
        <v>740</v>
      </c>
      <c r="D3399" s="538" t="s">
        <v>393</v>
      </c>
      <c r="E3399" s="538" t="s">
        <v>449</v>
      </c>
      <c r="F3399" s="538">
        <v>22656</v>
      </c>
      <c r="G3399" s="538">
        <v>2</v>
      </c>
    </row>
    <row r="3400" spans="1:7" x14ac:dyDescent="0.2">
      <c r="A3400" s="538">
        <v>5</v>
      </c>
      <c r="B3400" s="538" t="s">
        <v>6599</v>
      </c>
      <c r="C3400" s="538" t="s">
        <v>740</v>
      </c>
      <c r="D3400" s="538" t="s">
        <v>393</v>
      </c>
      <c r="E3400" s="538" t="s">
        <v>419</v>
      </c>
      <c r="F3400" s="538">
        <v>61596</v>
      </c>
      <c r="G3400" s="538">
        <v>2</v>
      </c>
    </row>
    <row r="3401" spans="1:7" x14ac:dyDescent="0.2">
      <c r="A3401" s="538">
        <v>1</v>
      </c>
      <c r="B3401" s="538" t="s">
        <v>6595</v>
      </c>
      <c r="C3401" s="538" t="s">
        <v>393</v>
      </c>
      <c r="D3401" s="538" t="s">
        <v>393</v>
      </c>
      <c r="E3401" s="538" t="s">
        <v>211</v>
      </c>
      <c r="F3401" s="538">
        <v>9041067</v>
      </c>
      <c r="G3401" s="538">
        <v>89</v>
      </c>
    </row>
    <row r="3402" spans="1:7" x14ac:dyDescent="0.2">
      <c r="A3402" s="538">
        <v>7</v>
      </c>
      <c r="B3402" s="538" t="s">
        <v>6604</v>
      </c>
      <c r="C3402" s="538" t="s">
        <v>740</v>
      </c>
      <c r="D3402" s="538" t="s">
        <v>393</v>
      </c>
      <c r="E3402" s="538" t="s">
        <v>438</v>
      </c>
      <c r="F3402" s="538">
        <v>403560</v>
      </c>
      <c r="G3402" s="538">
        <v>10</v>
      </c>
    </row>
    <row r="3403" spans="1:7" x14ac:dyDescent="0.2">
      <c r="A3403" s="538">
        <v>7</v>
      </c>
      <c r="B3403" s="538" t="s">
        <v>6604</v>
      </c>
      <c r="C3403" s="538" t="s">
        <v>740</v>
      </c>
      <c r="D3403" s="538" t="s">
        <v>393</v>
      </c>
      <c r="E3403" s="538" t="s">
        <v>206</v>
      </c>
      <c r="F3403" s="538">
        <v>496433</v>
      </c>
      <c r="G3403" s="538">
        <v>1</v>
      </c>
    </row>
    <row r="3404" spans="1:7" x14ac:dyDescent="0.2">
      <c r="A3404" s="538">
        <v>7</v>
      </c>
      <c r="B3404" s="538" t="s">
        <v>6564</v>
      </c>
      <c r="C3404" s="538" t="s">
        <v>740</v>
      </c>
      <c r="D3404" s="538" t="s">
        <v>393</v>
      </c>
      <c r="E3404" s="538" t="s">
        <v>449</v>
      </c>
      <c r="F3404" s="538">
        <v>221427</v>
      </c>
      <c r="G3404" s="538">
        <v>14</v>
      </c>
    </row>
    <row r="3405" spans="1:7" x14ac:dyDescent="0.2">
      <c r="A3405" s="538">
        <v>5</v>
      </c>
      <c r="B3405" s="538" t="s">
        <v>6650</v>
      </c>
      <c r="C3405" s="538" t="s">
        <v>740</v>
      </c>
      <c r="D3405" s="538" t="s">
        <v>740</v>
      </c>
      <c r="E3405" s="538" t="s">
        <v>207</v>
      </c>
      <c r="F3405" s="538">
        <v>2476053</v>
      </c>
      <c r="G3405" s="538">
        <v>166</v>
      </c>
    </row>
    <row r="3406" spans="1:7" x14ac:dyDescent="0.2">
      <c r="A3406" s="538">
        <v>5</v>
      </c>
      <c r="B3406" s="538" t="s">
        <v>6568</v>
      </c>
      <c r="C3406" s="538" t="s">
        <v>740</v>
      </c>
      <c r="D3406" s="538" t="s">
        <v>740</v>
      </c>
      <c r="E3406" s="538" t="s">
        <v>211</v>
      </c>
      <c r="F3406" s="538">
        <v>159654</v>
      </c>
      <c r="G3406" s="538">
        <v>3</v>
      </c>
    </row>
    <row r="3407" spans="1:7" x14ac:dyDescent="0.2">
      <c r="A3407" s="538">
        <v>7</v>
      </c>
      <c r="B3407" s="538" t="s">
        <v>6579</v>
      </c>
      <c r="C3407" s="538" t="s">
        <v>740</v>
      </c>
      <c r="D3407" s="538" t="s">
        <v>393</v>
      </c>
      <c r="E3407" s="538" t="s">
        <v>409</v>
      </c>
      <c r="F3407" s="538">
        <v>362142</v>
      </c>
      <c r="G3407" s="538">
        <v>14</v>
      </c>
    </row>
    <row r="3408" spans="1:7" x14ac:dyDescent="0.2">
      <c r="A3408" s="538">
        <v>2</v>
      </c>
      <c r="B3408" s="538" t="s">
        <v>6608</v>
      </c>
      <c r="C3408" s="538" t="s">
        <v>393</v>
      </c>
      <c r="D3408" s="538" t="s">
        <v>393</v>
      </c>
      <c r="E3408" s="538" t="s">
        <v>402</v>
      </c>
      <c r="F3408" s="538">
        <v>4351441</v>
      </c>
      <c r="G3408" s="538">
        <v>117</v>
      </c>
    </row>
    <row r="3409" spans="1:7" x14ac:dyDescent="0.2">
      <c r="A3409" s="538">
        <v>4</v>
      </c>
      <c r="B3409" s="538" t="s">
        <v>6562</v>
      </c>
      <c r="C3409" s="538" t="s">
        <v>740</v>
      </c>
      <c r="D3409" s="538" t="s">
        <v>393</v>
      </c>
      <c r="E3409" s="538" t="s">
        <v>390</v>
      </c>
      <c r="F3409" s="538">
        <v>581924</v>
      </c>
      <c r="G3409" s="538">
        <v>3</v>
      </c>
    </row>
    <row r="3410" spans="1:7" x14ac:dyDescent="0.2">
      <c r="A3410" s="538">
        <v>4</v>
      </c>
      <c r="B3410" s="538" t="s">
        <v>6559</v>
      </c>
      <c r="C3410" s="538" t="s">
        <v>740</v>
      </c>
      <c r="D3410" s="538" t="s">
        <v>740</v>
      </c>
      <c r="E3410" s="538" t="s">
        <v>211</v>
      </c>
      <c r="F3410" s="538">
        <v>85491</v>
      </c>
      <c r="G3410" s="538">
        <v>2</v>
      </c>
    </row>
    <row r="3411" spans="1:7" x14ac:dyDescent="0.2">
      <c r="A3411" s="538">
        <v>10</v>
      </c>
      <c r="B3411" s="538" t="s">
        <v>6653</v>
      </c>
      <c r="C3411" s="538" t="s">
        <v>740</v>
      </c>
      <c r="D3411" s="538" t="s">
        <v>393</v>
      </c>
      <c r="E3411" s="538" t="s">
        <v>401</v>
      </c>
      <c r="F3411" s="538">
        <v>530417</v>
      </c>
      <c r="G3411" s="538">
        <v>4</v>
      </c>
    </row>
    <row r="3412" spans="1:7" x14ac:dyDescent="0.2">
      <c r="A3412" s="538">
        <v>10</v>
      </c>
      <c r="B3412" s="538" t="s">
        <v>6582</v>
      </c>
      <c r="C3412" s="538" t="s">
        <v>740</v>
      </c>
      <c r="D3412" s="538" t="s">
        <v>393</v>
      </c>
      <c r="E3412" s="538" t="s">
        <v>230</v>
      </c>
      <c r="F3412" s="538">
        <v>1128021</v>
      </c>
      <c r="G3412" s="538">
        <v>47</v>
      </c>
    </row>
    <row r="3413" spans="1:7" x14ac:dyDescent="0.2">
      <c r="A3413" s="538">
        <v>3</v>
      </c>
      <c r="B3413" s="538" t="s">
        <v>6647</v>
      </c>
      <c r="C3413" s="538" t="s">
        <v>393</v>
      </c>
      <c r="D3413" s="538" t="s">
        <v>740</v>
      </c>
      <c r="E3413" s="538" t="s">
        <v>210</v>
      </c>
      <c r="F3413" s="538">
        <v>11328</v>
      </c>
      <c r="G3413" s="538">
        <v>1</v>
      </c>
    </row>
    <row r="3414" spans="1:7" x14ac:dyDescent="0.2">
      <c r="A3414" s="538">
        <v>7</v>
      </c>
      <c r="B3414" s="538" t="s">
        <v>6579</v>
      </c>
      <c r="C3414" s="538" t="s">
        <v>393</v>
      </c>
      <c r="D3414" s="538" t="s">
        <v>393</v>
      </c>
      <c r="E3414" s="538" t="s">
        <v>210</v>
      </c>
      <c r="F3414" s="538">
        <v>560913</v>
      </c>
      <c r="G3414" s="538">
        <v>26</v>
      </c>
    </row>
    <row r="3415" spans="1:7" x14ac:dyDescent="0.2">
      <c r="A3415" s="538">
        <v>3</v>
      </c>
      <c r="B3415" s="538" t="s">
        <v>6561</v>
      </c>
      <c r="C3415" s="538" t="s">
        <v>740</v>
      </c>
      <c r="D3415" s="538" t="s">
        <v>393</v>
      </c>
      <c r="E3415" s="538" t="s">
        <v>449</v>
      </c>
      <c r="F3415" s="538">
        <v>11328</v>
      </c>
      <c r="G3415" s="538">
        <v>1</v>
      </c>
    </row>
    <row r="3416" spans="1:7" x14ac:dyDescent="0.2">
      <c r="A3416" s="538">
        <v>4</v>
      </c>
      <c r="B3416" s="538" t="s">
        <v>6562</v>
      </c>
      <c r="C3416" s="538" t="s">
        <v>740</v>
      </c>
      <c r="D3416" s="538" t="s">
        <v>740</v>
      </c>
      <c r="E3416" s="538" t="s">
        <v>207</v>
      </c>
      <c r="F3416" s="538">
        <v>1722033</v>
      </c>
      <c r="G3416" s="538">
        <v>96</v>
      </c>
    </row>
    <row r="3417" spans="1:7" x14ac:dyDescent="0.2">
      <c r="A3417" s="538">
        <v>3</v>
      </c>
      <c r="B3417" s="538" t="s">
        <v>6578</v>
      </c>
      <c r="C3417" s="538" t="s">
        <v>740</v>
      </c>
      <c r="D3417" s="538" t="s">
        <v>393</v>
      </c>
      <c r="E3417" s="538" t="s">
        <v>390</v>
      </c>
      <c r="F3417" s="538">
        <v>74163</v>
      </c>
      <c r="G3417" s="538">
        <v>1</v>
      </c>
    </row>
    <row r="3418" spans="1:7" x14ac:dyDescent="0.2">
      <c r="A3418" s="538">
        <v>11</v>
      </c>
      <c r="B3418" s="538" t="s">
        <v>6610</v>
      </c>
      <c r="C3418" s="538" t="s">
        <v>740</v>
      </c>
      <c r="D3418" s="538" t="s">
        <v>740</v>
      </c>
      <c r="E3418" s="538" t="s">
        <v>401</v>
      </c>
      <c r="F3418" s="538">
        <v>328512</v>
      </c>
      <c r="G3418" s="538">
        <v>29</v>
      </c>
    </row>
    <row r="3419" spans="1:7" x14ac:dyDescent="0.2">
      <c r="A3419" s="538">
        <v>4</v>
      </c>
      <c r="B3419" s="538" t="s">
        <v>6559</v>
      </c>
      <c r="C3419" s="538" t="s">
        <v>740</v>
      </c>
      <c r="D3419" s="538" t="s">
        <v>740</v>
      </c>
      <c r="E3419" s="538" t="s">
        <v>230</v>
      </c>
      <c r="F3419" s="538">
        <v>3007532</v>
      </c>
      <c r="G3419" s="538">
        <v>99</v>
      </c>
    </row>
    <row r="3420" spans="1:7" x14ac:dyDescent="0.2">
      <c r="A3420" s="538">
        <v>2</v>
      </c>
      <c r="B3420" s="538" t="s">
        <v>6576</v>
      </c>
      <c r="C3420" s="538" t="s">
        <v>393</v>
      </c>
      <c r="D3420" s="538" t="s">
        <v>393</v>
      </c>
      <c r="E3420" s="538" t="s">
        <v>202</v>
      </c>
      <c r="F3420" s="538">
        <v>5226269</v>
      </c>
      <c r="G3420" s="538">
        <v>48</v>
      </c>
    </row>
    <row r="3421" spans="1:7" x14ac:dyDescent="0.2">
      <c r="A3421" s="538">
        <v>6</v>
      </c>
      <c r="B3421" s="538" t="s">
        <v>6565</v>
      </c>
      <c r="C3421" s="538" t="s">
        <v>740</v>
      </c>
      <c r="D3421" s="538" t="s">
        <v>740</v>
      </c>
      <c r="E3421" s="538" t="s">
        <v>438</v>
      </c>
      <c r="F3421" s="538">
        <v>130803</v>
      </c>
      <c r="G3421" s="538">
        <v>6</v>
      </c>
    </row>
    <row r="3422" spans="1:7" x14ac:dyDescent="0.2">
      <c r="A3422" s="538">
        <v>8</v>
      </c>
      <c r="B3422" s="538" t="s">
        <v>6577</v>
      </c>
      <c r="C3422" s="538" t="s">
        <v>740</v>
      </c>
      <c r="D3422" s="538" t="s">
        <v>393</v>
      </c>
      <c r="E3422" s="538" t="s">
        <v>212</v>
      </c>
      <c r="F3422" s="538">
        <v>77991479</v>
      </c>
      <c r="G3422" s="538">
        <v>5643</v>
      </c>
    </row>
    <row r="3423" spans="1:7" x14ac:dyDescent="0.2">
      <c r="A3423" s="538">
        <v>8</v>
      </c>
      <c r="B3423" s="538" t="s">
        <v>6570</v>
      </c>
      <c r="C3423" s="538" t="s">
        <v>393</v>
      </c>
      <c r="D3423" s="538" t="s">
        <v>393</v>
      </c>
      <c r="E3423" s="538" t="s">
        <v>230</v>
      </c>
      <c r="F3423" s="538">
        <v>6896472</v>
      </c>
      <c r="G3423" s="538">
        <v>209</v>
      </c>
    </row>
    <row r="3424" spans="1:7" x14ac:dyDescent="0.2">
      <c r="A3424" s="538">
        <v>4</v>
      </c>
      <c r="B3424" s="538" t="s">
        <v>6562</v>
      </c>
      <c r="C3424" s="538" t="s">
        <v>740</v>
      </c>
      <c r="D3424" s="538" t="s">
        <v>740</v>
      </c>
      <c r="E3424" s="538" t="s">
        <v>401</v>
      </c>
      <c r="F3424" s="538">
        <v>33984</v>
      </c>
      <c r="G3424" s="538">
        <v>3</v>
      </c>
    </row>
    <row r="3425" spans="1:7" x14ac:dyDescent="0.2">
      <c r="A3425" s="538">
        <v>5</v>
      </c>
      <c r="B3425" s="538" t="s">
        <v>6589</v>
      </c>
      <c r="C3425" s="538" t="s">
        <v>740</v>
      </c>
      <c r="D3425" s="538" t="s">
        <v>393</v>
      </c>
      <c r="E3425" s="538" t="s">
        <v>390</v>
      </c>
      <c r="F3425" s="538">
        <v>158415</v>
      </c>
      <c r="G3425" s="538">
        <v>5</v>
      </c>
    </row>
    <row r="3426" spans="1:7" x14ac:dyDescent="0.2">
      <c r="A3426" s="538">
        <v>6</v>
      </c>
      <c r="B3426" s="538" t="s">
        <v>1668</v>
      </c>
      <c r="C3426" s="538" t="s">
        <v>393</v>
      </c>
      <c r="D3426" s="538" t="s">
        <v>740</v>
      </c>
      <c r="E3426" s="538" t="s">
        <v>401</v>
      </c>
      <c r="F3426" s="538">
        <v>158592</v>
      </c>
      <c r="G3426" s="538">
        <v>14</v>
      </c>
    </row>
    <row r="3427" spans="1:7" x14ac:dyDescent="0.2">
      <c r="A3427" s="538">
        <v>5</v>
      </c>
      <c r="B3427" s="538" t="s">
        <v>6599</v>
      </c>
      <c r="C3427" s="538" t="s">
        <v>740</v>
      </c>
      <c r="D3427" s="538" t="s">
        <v>393</v>
      </c>
      <c r="E3427" s="538" t="s">
        <v>390</v>
      </c>
      <c r="F3427" s="538">
        <v>164787</v>
      </c>
      <c r="G3427" s="538">
        <v>9</v>
      </c>
    </row>
    <row r="3428" spans="1:7" x14ac:dyDescent="0.2">
      <c r="A3428" s="538">
        <v>1</v>
      </c>
      <c r="B3428" s="538" t="s">
        <v>6581</v>
      </c>
      <c r="C3428" s="538" t="s">
        <v>740</v>
      </c>
      <c r="D3428" s="538" t="s">
        <v>393</v>
      </c>
      <c r="E3428" s="538" t="s">
        <v>313</v>
      </c>
      <c r="F3428" s="538">
        <v>74163</v>
      </c>
      <c r="G3428" s="538">
        <v>1</v>
      </c>
    </row>
    <row r="3429" spans="1:7" x14ac:dyDescent="0.2">
      <c r="A3429" s="538">
        <v>3</v>
      </c>
      <c r="B3429" s="538" t="s">
        <v>6647</v>
      </c>
      <c r="C3429" s="538" t="s">
        <v>740</v>
      </c>
      <c r="D3429" s="538" t="s">
        <v>393</v>
      </c>
      <c r="E3429" s="538" t="s">
        <v>416</v>
      </c>
      <c r="F3429" s="538">
        <v>148326</v>
      </c>
      <c r="G3429" s="538">
        <v>2</v>
      </c>
    </row>
    <row r="3430" spans="1:7" x14ac:dyDescent="0.2">
      <c r="A3430" s="538">
        <v>7</v>
      </c>
      <c r="B3430" s="538" t="s">
        <v>6579</v>
      </c>
      <c r="C3430" s="538" t="s">
        <v>740</v>
      </c>
      <c r="D3430" s="538" t="s">
        <v>393</v>
      </c>
      <c r="E3430" s="538" t="s">
        <v>209</v>
      </c>
      <c r="F3430" s="538">
        <v>2444516</v>
      </c>
      <c r="G3430" s="538">
        <v>12</v>
      </c>
    </row>
    <row r="3431" spans="1:7" x14ac:dyDescent="0.2">
      <c r="A3431" s="538">
        <v>5</v>
      </c>
      <c r="B3431" s="538" t="s">
        <v>6650</v>
      </c>
      <c r="C3431" s="538" t="s">
        <v>740</v>
      </c>
      <c r="D3431" s="538" t="s">
        <v>393</v>
      </c>
      <c r="E3431" s="538" t="s">
        <v>438</v>
      </c>
      <c r="F3431" s="538">
        <v>3547403</v>
      </c>
      <c r="G3431" s="538">
        <v>56</v>
      </c>
    </row>
    <row r="3432" spans="1:7" x14ac:dyDescent="0.2">
      <c r="A3432" s="538">
        <v>9</v>
      </c>
      <c r="B3432" s="538" t="s">
        <v>6644</v>
      </c>
      <c r="C3432" s="538" t="s">
        <v>740</v>
      </c>
      <c r="D3432" s="538" t="s">
        <v>393</v>
      </c>
      <c r="E3432" s="538" t="s">
        <v>313</v>
      </c>
      <c r="F3432" s="538">
        <v>5900837</v>
      </c>
      <c r="G3432" s="538">
        <v>29</v>
      </c>
    </row>
    <row r="3433" spans="1:7" x14ac:dyDescent="0.2">
      <c r="A3433" s="538">
        <v>3</v>
      </c>
      <c r="B3433" s="538" t="s">
        <v>6561</v>
      </c>
      <c r="C3433" s="538" t="s">
        <v>740</v>
      </c>
      <c r="D3433" s="538" t="s">
        <v>740</v>
      </c>
      <c r="E3433" s="538" t="s">
        <v>409</v>
      </c>
      <c r="F3433" s="538">
        <v>56640</v>
      </c>
      <c r="G3433" s="538">
        <v>5</v>
      </c>
    </row>
    <row r="3434" spans="1:7" x14ac:dyDescent="0.2">
      <c r="A3434" s="538">
        <v>2</v>
      </c>
      <c r="B3434" s="538" t="s">
        <v>6055</v>
      </c>
      <c r="C3434" s="538" t="s">
        <v>393</v>
      </c>
      <c r="D3434" s="538" t="s">
        <v>393</v>
      </c>
      <c r="E3434" s="538" t="s">
        <v>210</v>
      </c>
      <c r="F3434" s="538">
        <v>323202</v>
      </c>
      <c r="G3434" s="538">
        <v>14</v>
      </c>
    </row>
    <row r="3435" spans="1:7" x14ac:dyDescent="0.2">
      <c r="A3435" s="538">
        <v>7</v>
      </c>
      <c r="B3435" s="538" t="s">
        <v>6579</v>
      </c>
      <c r="C3435" s="538" t="s">
        <v>393</v>
      </c>
      <c r="D3435" s="538" t="s">
        <v>740</v>
      </c>
      <c r="E3435" s="538" t="s">
        <v>416</v>
      </c>
      <c r="F3435" s="538">
        <v>12421350</v>
      </c>
      <c r="G3435" s="538">
        <v>460</v>
      </c>
    </row>
    <row r="3436" spans="1:7" x14ac:dyDescent="0.2">
      <c r="A3436" s="538">
        <v>7</v>
      </c>
      <c r="B3436" s="538" t="s">
        <v>6594</v>
      </c>
      <c r="C3436" s="538" t="s">
        <v>393</v>
      </c>
      <c r="D3436" s="538" t="s">
        <v>740</v>
      </c>
      <c r="E3436" s="538" t="s">
        <v>212</v>
      </c>
      <c r="F3436" s="538">
        <v>11328</v>
      </c>
      <c r="G3436" s="538">
        <v>1</v>
      </c>
    </row>
    <row r="3437" spans="1:7" x14ac:dyDescent="0.2">
      <c r="A3437" s="538">
        <v>4</v>
      </c>
      <c r="B3437" s="538" t="s">
        <v>6593</v>
      </c>
      <c r="C3437" s="538" t="s">
        <v>740</v>
      </c>
      <c r="D3437" s="538" t="s">
        <v>393</v>
      </c>
      <c r="E3437" s="538" t="s">
        <v>438</v>
      </c>
      <c r="F3437" s="538">
        <v>11328</v>
      </c>
      <c r="G3437" s="538">
        <v>1</v>
      </c>
    </row>
    <row r="3438" spans="1:7" x14ac:dyDescent="0.2">
      <c r="A3438" s="538">
        <v>10</v>
      </c>
      <c r="B3438" s="538" t="s">
        <v>6652</v>
      </c>
      <c r="C3438" s="538" t="s">
        <v>740</v>
      </c>
      <c r="D3438" s="538" t="s">
        <v>740</v>
      </c>
      <c r="E3438" s="538" t="s">
        <v>211</v>
      </c>
      <c r="F3438" s="538">
        <v>72924</v>
      </c>
      <c r="G3438" s="538">
        <v>3</v>
      </c>
    </row>
    <row r="3439" spans="1:7" x14ac:dyDescent="0.2">
      <c r="A3439" s="538">
        <v>4</v>
      </c>
      <c r="B3439" s="538" t="s">
        <v>6572</v>
      </c>
      <c r="C3439" s="538" t="s">
        <v>740</v>
      </c>
      <c r="D3439" s="538" t="s">
        <v>393</v>
      </c>
      <c r="E3439" s="538" t="s">
        <v>438</v>
      </c>
      <c r="F3439" s="538">
        <v>96819</v>
      </c>
      <c r="G3439" s="538">
        <v>3</v>
      </c>
    </row>
    <row r="3440" spans="1:7" x14ac:dyDescent="0.2">
      <c r="A3440" s="538">
        <v>9</v>
      </c>
      <c r="B3440" s="538" t="s">
        <v>6615</v>
      </c>
      <c r="C3440" s="538" t="s">
        <v>740</v>
      </c>
      <c r="D3440" s="538" t="s">
        <v>393</v>
      </c>
      <c r="E3440" s="538" t="s">
        <v>401</v>
      </c>
      <c r="F3440" s="538">
        <v>56640</v>
      </c>
      <c r="G3440" s="538">
        <v>5</v>
      </c>
    </row>
    <row r="3441" spans="1:7" x14ac:dyDescent="0.2">
      <c r="A3441" s="538">
        <v>8</v>
      </c>
      <c r="B3441" s="538" t="s">
        <v>6658</v>
      </c>
      <c r="C3441" s="538" t="s">
        <v>740</v>
      </c>
      <c r="D3441" s="538" t="s">
        <v>393</v>
      </c>
      <c r="E3441" s="538" t="s">
        <v>202</v>
      </c>
      <c r="F3441" s="538">
        <v>11328</v>
      </c>
      <c r="G3441" s="538">
        <v>1</v>
      </c>
    </row>
    <row r="3442" spans="1:7" x14ac:dyDescent="0.2">
      <c r="A3442" s="538">
        <v>1</v>
      </c>
      <c r="B3442" s="538" t="s">
        <v>6581</v>
      </c>
      <c r="C3442" s="538" t="s">
        <v>740</v>
      </c>
      <c r="D3442" s="538" t="s">
        <v>393</v>
      </c>
      <c r="E3442" s="538" t="s">
        <v>390</v>
      </c>
      <c r="F3442" s="538">
        <v>399843</v>
      </c>
      <c r="G3442" s="538">
        <v>16</v>
      </c>
    </row>
    <row r="3443" spans="1:7" x14ac:dyDescent="0.2">
      <c r="A3443" s="538">
        <v>8</v>
      </c>
      <c r="B3443" s="538" t="s">
        <v>6560</v>
      </c>
      <c r="C3443" s="538" t="s">
        <v>740</v>
      </c>
      <c r="D3443" s="538" t="s">
        <v>393</v>
      </c>
      <c r="E3443" s="538" t="s">
        <v>402</v>
      </c>
      <c r="F3443" s="538">
        <v>1454232</v>
      </c>
      <c r="G3443" s="538">
        <v>89</v>
      </c>
    </row>
    <row r="3444" spans="1:7" x14ac:dyDescent="0.2">
      <c r="A3444" s="538">
        <v>4</v>
      </c>
      <c r="B3444" s="538" t="s">
        <v>6572</v>
      </c>
      <c r="C3444" s="538" t="s">
        <v>740</v>
      </c>
      <c r="D3444" s="538" t="s">
        <v>393</v>
      </c>
      <c r="E3444" s="538" t="s">
        <v>202</v>
      </c>
      <c r="F3444" s="538">
        <v>4885367</v>
      </c>
      <c r="G3444" s="538">
        <v>34</v>
      </c>
    </row>
    <row r="3445" spans="1:7" x14ac:dyDescent="0.2">
      <c r="A3445" s="538">
        <v>3</v>
      </c>
      <c r="B3445" s="538" t="s">
        <v>6586</v>
      </c>
      <c r="C3445" s="538" t="s">
        <v>740</v>
      </c>
      <c r="D3445" s="538" t="s">
        <v>393</v>
      </c>
      <c r="E3445" s="538" t="s">
        <v>313</v>
      </c>
      <c r="F3445" s="538">
        <v>2056334</v>
      </c>
      <c r="G3445" s="538">
        <v>28</v>
      </c>
    </row>
    <row r="3446" spans="1:7" x14ac:dyDescent="0.2">
      <c r="A3446" s="538">
        <v>6</v>
      </c>
      <c r="B3446" s="538" t="s">
        <v>6433</v>
      </c>
      <c r="C3446" s="538" t="s">
        <v>393</v>
      </c>
      <c r="D3446" s="538" t="s">
        <v>740</v>
      </c>
      <c r="E3446" s="538" t="s">
        <v>230</v>
      </c>
      <c r="F3446" s="538">
        <v>174699</v>
      </c>
      <c r="G3446" s="538">
        <v>3</v>
      </c>
    </row>
    <row r="3447" spans="1:7" x14ac:dyDescent="0.2">
      <c r="A3447" s="538">
        <v>6</v>
      </c>
      <c r="B3447" s="538" t="s">
        <v>6565</v>
      </c>
      <c r="C3447" s="538" t="s">
        <v>740</v>
      </c>
      <c r="D3447" s="538" t="s">
        <v>393</v>
      </c>
      <c r="E3447" s="538" t="s">
        <v>211</v>
      </c>
      <c r="F3447" s="538">
        <v>11328</v>
      </c>
      <c r="G3447" s="538">
        <v>1</v>
      </c>
    </row>
    <row r="3448" spans="1:7" x14ac:dyDescent="0.2">
      <c r="A3448" s="538">
        <v>4</v>
      </c>
      <c r="B3448" s="538" t="s">
        <v>6590</v>
      </c>
      <c r="C3448" s="538" t="s">
        <v>740</v>
      </c>
      <c r="D3448" s="538" t="s">
        <v>393</v>
      </c>
      <c r="E3448" s="538" t="s">
        <v>416</v>
      </c>
      <c r="F3448" s="538">
        <v>320547</v>
      </c>
      <c r="G3448" s="538">
        <v>9</v>
      </c>
    </row>
    <row r="3449" spans="1:7" x14ac:dyDescent="0.2">
      <c r="A3449" s="538">
        <v>7</v>
      </c>
      <c r="B3449" s="538" t="s">
        <v>6579</v>
      </c>
      <c r="C3449" s="538" t="s">
        <v>740</v>
      </c>
      <c r="D3449" s="538" t="s">
        <v>740</v>
      </c>
      <c r="E3449" s="538" t="s">
        <v>438</v>
      </c>
      <c r="F3449" s="538">
        <v>859814</v>
      </c>
      <c r="G3449" s="538">
        <v>13</v>
      </c>
    </row>
    <row r="3450" spans="1:7" x14ac:dyDescent="0.2">
      <c r="A3450" s="538">
        <v>3</v>
      </c>
      <c r="B3450" s="538" t="s">
        <v>6578</v>
      </c>
      <c r="C3450" s="538" t="s">
        <v>393</v>
      </c>
      <c r="D3450" s="538" t="s">
        <v>393</v>
      </c>
      <c r="E3450" s="538" t="s">
        <v>390</v>
      </c>
      <c r="F3450" s="538">
        <v>8054656</v>
      </c>
      <c r="G3450" s="538">
        <v>192</v>
      </c>
    </row>
    <row r="3451" spans="1:7" x14ac:dyDescent="0.2">
      <c r="A3451" s="538">
        <v>3</v>
      </c>
      <c r="B3451" s="538" t="s">
        <v>6578</v>
      </c>
      <c r="C3451" s="538" t="s">
        <v>740</v>
      </c>
      <c r="D3451" s="538" t="s">
        <v>393</v>
      </c>
      <c r="E3451" s="538" t="s">
        <v>313</v>
      </c>
      <c r="F3451" s="538">
        <v>581924</v>
      </c>
      <c r="G3451" s="538">
        <v>3</v>
      </c>
    </row>
    <row r="3452" spans="1:7" x14ac:dyDescent="0.2">
      <c r="A3452" s="538">
        <v>4</v>
      </c>
      <c r="B3452" s="538" t="s">
        <v>6574</v>
      </c>
      <c r="C3452" s="538" t="s">
        <v>740</v>
      </c>
      <c r="D3452" s="538" t="s">
        <v>740</v>
      </c>
      <c r="E3452" s="538" t="s">
        <v>401</v>
      </c>
      <c r="F3452" s="538">
        <v>11328</v>
      </c>
      <c r="G3452" s="538">
        <v>1</v>
      </c>
    </row>
    <row r="3453" spans="1:7" x14ac:dyDescent="0.2">
      <c r="A3453" s="538">
        <v>6</v>
      </c>
      <c r="B3453" s="538" t="s">
        <v>6596</v>
      </c>
      <c r="C3453" s="538" t="s">
        <v>393</v>
      </c>
      <c r="D3453" s="538" t="s">
        <v>393</v>
      </c>
      <c r="E3453" s="538" t="s">
        <v>409</v>
      </c>
      <c r="F3453" s="538">
        <v>8913023</v>
      </c>
      <c r="G3453" s="538">
        <v>176</v>
      </c>
    </row>
    <row r="3454" spans="1:7" x14ac:dyDescent="0.2">
      <c r="A3454" s="538">
        <v>3</v>
      </c>
      <c r="B3454" s="538" t="s">
        <v>1390</v>
      </c>
      <c r="C3454" s="538" t="s">
        <v>740</v>
      </c>
      <c r="D3454" s="538" t="s">
        <v>393</v>
      </c>
      <c r="E3454" s="538" t="s">
        <v>210</v>
      </c>
      <c r="F3454" s="538">
        <v>1024778</v>
      </c>
      <c r="G3454" s="538">
        <v>31</v>
      </c>
    </row>
    <row r="3455" spans="1:7" x14ac:dyDescent="0.2">
      <c r="A3455" s="538">
        <v>4</v>
      </c>
      <c r="B3455" s="538" t="s">
        <v>6574</v>
      </c>
      <c r="C3455" s="538" t="s">
        <v>740</v>
      </c>
      <c r="D3455" s="538" t="s">
        <v>393</v>
      </c>
      <c r="E3455" s="538" t="s">
        <v>409</v>
      </c>
      <c r="F3455" s="538">
        <v>7108237</v>
      </c>
      <c r="G3455" s="538">
        <v>239</v>
      </c>
    </row>
    <row r="3456" spans="1:7" x14ac:dyDescent="0.2">
      <c r="A3456" s="538">
        <v>3</v>
      </c>
      <c r="B3456" s="538" t="s">
        <v>6561</v>
      </c>
      <c r="C3456" s="538" t="s">
        <v>740</v>
      </c>
      <c r="D3456" s="538" t="s">
        <v>393</v>
      </c>
      <c r="E3456" s="538" t="s">
        <v>211</v>
      </c>
      <c r="F3456" s="538">
        <v>2913920</v>
      </c>
      <c r="G3456" s="538">
        <v>50</v>
      </c>
    </row>
    <row r="3457" spans="1:7" x14ac:dyDescent="0.2">
      <c r="A3457" s="538">
        <v>7</v>
      </c>
      <c r="B3457" s="538" t="s">
        <v>6579</v>
      </c>
      <c r="C3457" s="538" t="s">
        <v>740</v>
      </c>
      <c r="D3457" s="538" t="s">
        <v>740</v>
      </c>
      <c r="E3457" s="538" t="s">
        <v>402</v>
      </c>
      <c r="F3457" s="538">
        <v>3092919</v>
      </c>
      <c r="G3457" s="538">
        <v>83</v>
      </c>
    </row>
    <row r="3458" spans="1:7" x14ac:dyDescent="0.2">
      <c r="A3458" s="538">
        <v>5</v>
      </c>
      <c r="B3458" s="538" t="s">
        <v>6568</v>
      </c>
      <c r="C3458" s="538" t="s">
        <v>393</v>
      </c>
      <c r="D3458" s="538" t="s">
        <v>740</v>
      </c>
      <c r="E3458" s="538" t="s">
        <v>402</v>
      </c>
      <c r="F3458" s="538">
        <v>8930681</v>
      </c>
      <c r="G3458" s="538">
        <v>332</v>
      </c>
    </row>
    <row r="3459" spans="1:7" x14ac:dyDescent="0.2">
      <c r="A3459" s="538">
        <v>9</v>
      </c>
      <c r="B3459" s="538" t="s">
        <v>6657</v>
      </c>
      <c r="C3459" s="538" t="s">
        <v>393</v>
      </c>
      <c r="D3459" s="538" t="s">
        <v>740</v>
      </c>
      <c r="E3459" s="538" t="s">
        <v>409</v>
      </c>
      <c r="F3459" s="538">
        <v>22656</v>
      </c>
      <c r="G3459" s="538">
        <v>2</v>
      </c>
    </row>
    <row r="3460" spans="1:7" x14ac:dyDescent="0.2">
      <c r="A3460" s="538">
        <v>2</v>
      </c>
      <c r="B3460" s="538" t="s">
        <v>6656</v>
      </c>
      <c r="C3460" s="538" t="s">
        <v>393</v>
      </c>
      <c r="D3460" s="538" t="s">
        <v>740</v>
      </c>
      <c r="E3460" s="538" t="s">
        <v>210</v>
      </c>
      <c r="F3460" s="538">
        <v>159654</v>
      </c>
      <c r="G3460" s="538">
        <v>3</v>
      </c>
    </row>
    <row r="3461" spans="1:7" x14ac:dyDescent="0.2">
      <c r="A3461" s="538">
        <v>5</v>
      </c>
      <c r="B3461" s="538" t="s">
        <v>6566</v>
      </c>
      <c r="C3461" s="538" t="s">
        <v>393</v>
      </c>
      <c r="D3461" s="538" t="s">
        <v>393</v>
      </c>
      <c r="E3461" s="538" t="s">
        <v>401</v>
      </c>
      <c r="F3461" s="538">
        <v>814679</v>
      </c>
      <c r="G3461" s="538">
        <v>18</v>
      </c>
    </row>
    <row r="3462" spans="1:7" x14ac:dyDescent="0.2">
      <c r="A3462" s="538">
        <v>6</v>
      </c>
      <c r="B3462" s="538" t="s">
        <v>6596</v>
      </c>
      <c r="C3462" s="538" t="s">
        <v>740</v>
      </c>
      <c r="D3462" s="538" t="s">
        <v>393</v>
      </c>
      <c r="E3462" s="538" t="s">
        <v>207</v>
      </c>
      <c r="F3462" s="538">
        <v>67968</v>
      </c>
      <c r="G3462" s="538">
        <v>6</v>
      </c>
    </row>
    <row r="3463" spans="1:7" x14ac:dyDescent="0.2">
      <c r="A3463" s="538">
        <v>3</v>
      </c>
      <c r="B3463" s="538" t="s">
        <v>1390</v>
      </c>
      <c r="C3463" s="538" t="s">
        <v>740</v>
      </c>
      <c r="D3463" s="538" t="s">
        <v>393</v>
      </c>
      <c r="E3463" s="538" t="s">
        <v>313</v>
      </c>
      <c r="F3463" s="538">
        <v>793085</v>
      </c>
      <c r="G3463" s="538">
        <v>5</v>
      </c>
    </row>
    <row r="3464" spans="1:7" x14ac:dyDescent="0.2">
      <c r="A3464" s="538">
        <v>11</v>
      </c>
      <c r="B3464" s="538" t="s">
        <v>6558</v>
      </c>
      <c r="C3464" s="538" t="s">
        <v>740</v>
      </c>
      <c r="D3464" s="538" t="s">
        <v>393</v>
      </c>
      <c r="E3464" s="538" t="s">
        <v>402</v>
      </c>
      <c r="F3464" s="538">
        <v>11328</v>
      </c>
      <c r="G3464" s="538">
        <v>1</v>
      </c>
    </row>
    <row r="3465" spans="1:7" x14ac:dyDescent="0.2">
      <c r="A3465" s="538">
        <v>4</v>
      </c>
      <c r="B3465" s="538" t="s">
        <v>6574</v>
      </c>
      <c r="C3465" s="538" t="s">
        <v>740</v>
      </c>
      <c r="D3465" s="538" t="s">
        <v>740</v>
      </c>
      <c r="E3465" s="538" t="s">
        <v>313</v>
      </c>
      <c r="F3465" s="538">
        <v>61596</v>
      </c>
      <c r="G3465" s="538">
        <v>2</v>
      </c>
    </row>
    <row r="3466" spans="1:7" x14ac:dyDescent="0.2">
      <c r="A3466" s="538">
        <v>3</v>
      </c>
      <c r="B3466" s="538" t="s">
        <v>6561</v>
      </c>
      <c r="C3466" s="538" t="s">
        <v>740</v>
      </c>
      <c r="D3466" s="538" t="s">
        <v>740</v>
      </c>
      <c r="E3466" s="538" t="s">
        <v>438</v>
      </c>
      <c r="F3466" s="538">
        <v>530417</v>
      </c>
      <c r="G3466" s="538">
        <v>4</v>
      </c>
    </row>
    <row r="3467" spans="1:7" x14ac:dyDescent="0.2">
      <c r="A3467" s="538">
        <v>5</v>
      </c>
      <c r="B3467" s="538" t="s">
        <v>6650</v>
      </c>
      <c r="C3467" s="538" t="s">
        <v>740</v>
      </c>
      <c r="D3467" s="538" t="s">
        <v>393</v>
      </c>
      <c r="E3467" s="538" t="s">
        <v>207</v>
      </c>
      <c r="F3467" s="538">
        <v>2113911</v>
      </c>
      <c r="G3467" s="538">
        <v>152</v>
      </c>
    </row>
    <row r="3468" spans="1:7" x14ac:dyDescent="0.2">
      <c r="A3468" s="538">
        <v>3</v>
      </c>
      <c r="B3468" s="538" t="s">
        <v>6603</v>
      </c>
      <c r="C3468" s="538" t="s">
        <v>393</v>
      </c>
      <c r="D3468" s="538" t="s">
        <v>393</v>
      </c>
      <c r="E3468" s="538" t="s">
        <v>860</v>
      </c>
      <c r="F3468" s="538">
        <v>1331342</v>
      </c>
      <c r="G3468" s="538">
        <v>29</v>
      </c>
    </row>
    <row r="3469" spans="1:7" x14ac:dyDescent="0.2">
      <c r="A3469" s="538">
        <v>5</v>
      </c>
      <c r="B3469" s="538" t="s">
        <v>6599</v>
      </c>
      <c r="C3469" s="538" t="s">
        <v>393</v>
      </c>
      <c r="D3469" s="538" t="s">
        <v>393</v>
      </c>
      <c r="E3469" s="538" t="s">
        <v>390</v>
      </c>
      <c r="F3469" s="538">
        <v>14493073</v>
      </c>
      <c r="G3469" s="538">
        <v>351</v>
      </c>
    </row>
    <row r="3470" spans="1:7" x14ac:dyDescent="0.2">
      <c r="A3470" s="538">
        <v>7</v>
      </c>
      <c r="B3470" s="538" t="s">
        <v>6579</v>
      </c>
      <c r="C3470" s="538" t="s">
        <v>740</v>
      </c>
      <c r="D3470" s="538" t="s">
        <v>393</v>
      </c>
      <c r="E3470" s="538" t="s">
        <v>206</v>
      </c>
      <c r="F3470" s="538">
        <v>666176</v>
      </c>
      <c r="G3470" s="538">
        <v>7</v>
      </c>
    </row>
    <row r="3471" spans="1:7" x14ac:dyDescent="0.2">
      <c r="A3471" s="538">
        <v>7</v>
      </c>
      <c r="B3471" s="538" t="s">
        <v>6579</v>
      </c>
      <c r="C3471" s="538" t="s">
        <v>740</v>
      </c>
      <c r="D3471" s="538" t="s">
        <v>393</v>
      </c>
      <c r="E3471" s="538" t="s">
        <v>438</v>
      </c>
      <c r="F3471" s="538">
        <v>16877097</v>
      </c>
      <c r="G3471" s="538">
        <v>194</v>
      </c>
    </row>
    <row r="3472" spans="1:7" x14ac:dyDescent="0.2">
      <c r="A3472" s="538">
        <v>3</v>
      </c>
      <c r="B3472" s="538" t="s">
        <v>6591</v>
      </c>
      <c r="C3472" s="538" t="s">
        <v>740</v>
      </c>
      <c r="D3472" s="538" t="s">
        <v>740</v>
      </c>
      <c r="E3472" s="538" t="s">
        <v>211</v>
      </c>
      <c r="F3472" s="538">
        <v>1321024</v>
      </c>
      <c r="G3472" s="538">
        <v>13</v>
      </c>
    </row>
    <row r="3473" spans="1:7" x14ac:dyDescent="0.2">
      <c r="A3473" s="538">
        <v>7</v>
      </c>
      <c r="B3473" s="538" t="s">
        <v>6655</v>
      </c>
      <c r="C3473" s="538" t="s">
        <v>740</v>
      </c>
      <c r="D3473" s="538" t="s">
        <v>393</v>
      </c>
      <c r="E3473" s="538" t="s">
        <v>230</v>
      </c>
      <c r="F3473" s="538">
        <v>3105132</v>
      </c>
      <c r="G3473" s="538">
        <v>64</v>
      </c>
    </row>
    <row r="3474" spans="1:7" x14ac:dyDescent="0.2">
      <c r="A3474" s="538">
        <v>10</v>
      </c>
      <c r="B3474" s="538" t="s">
        <v>6652</v>
      </c>
      <c r="C3474" s="538" t="s">
        <v>393</v>
      </c>
      <c r="D3474" s="538" t="s">
        <v>393</v>
      </c>
      <c r="E3474" s="538" t="s">
        <v>409</v>
      </c>
      <c r="F3474" s="538">
        <v>1309873</v>
      </c>
      <c r="G3474" s="538">
        <v>21</v>
      </c>
    </row>
    <row r="3475" spans="1:7" x14ac:dyDescent="0.2">
      <c r="A3475" s="538">
        <v>8</v>
      </c>
      <c r="B3475" s="538" t="s">
        <v>6570</v>
      </c>
      <c r="C3475" s="538" t="s">
        <v>740</v>
      </c>
      <c r="D3475" s="538" t="s">
        <v>740</v>
      </c>
      <c r="E3475" s="538" t="s">
        <v>230</v>
      </c>
      <c r="F3475" s="538">
        <v>50268</v>
      </c>
      <c r="G3475" s="538">
        <v>1</v>
      </c>
    </row>
    <row r="3476" spans="1:7" x14ac:dyDescent="0.2">
      <c r="A3476" s="538">
        <v>4</v>
      </c>
      <c r="B3476" s="538" t="s">
        <v>6562</v>
      </c>
      <c r="C3476" s="538" t="s">
        <v>393</v>
      </c>
      <c r="D3476" s="538" t="s">
        <v>740</v>
      </c>
      <c r="E3476" s="538" t="s">
        <v>390</v>
      </c>
      <c r="F3476" s="538">
        <v>5714664</v>
      </c>
      <c r="G3476" s="538">
        <v>98</v>
      </c>
    </row>
    <row r="3477" spans="1:7" x14ac:dyDescent="0.2">
      <c r="A3477" s="538">
        <v>6</v>
      </c>
      <c r="B3477" s="538" t="s">
        <v>6565</v>
      </c>
      <c r="C3477" s="538" t="s">
        <v>393</v>
      </c>
      <c r="D3477" s="538" t="s">
        <v>740</v>
      </c>
      <c r="E3477" s="538" t="s">
        <v>202</v>
      </c>
      <c r="F3477" s="538">
        <v>318069</v>
      </c>
      <c r="G3477" s="538">
        <v>8</v>
      </c>
    </row>
    <row r="3478" spans="1:7" x14ac:dyDescent="0.2">
      <c r="A3478" s="538">
        <v>1</v>
      </c>
      <c r="B3478" s="538" t="s">
        <v>6602</v>
      </c>
      <c r="C3478" s="538" t="s">
        <v>393</v>
      </c>
      <c r="D3478" s="538" t="s">
        <v>740</v>
      </c>
      <c r="E3478" s="538" t="s">
        <v>409</v>
      </c>
      <c r="F3478" s="538">
        <v>305856</v>
      </c>
      <c r="G3478" s="538">
        <v>27</v>
      </c>
    </row>
    <row r="3479" spans="1:7" x14ac:dyDescent="0.2">
      <c r="A3479" s="538">
        <v>7</v>
      </c>
      <c r="B3479" s="538" t="s">
        <v>6604</v>
      </c>
      <c r="C3479" s="538" t="s">
        <v>740</v>
      </c>
      <c r="D3479" s="538" t="s">
        <v>393</v>
      </c>
      <c r="E3479" s="538" t="s">
        <v>207</v>
      </c>
      <c r="F3479" s="538">
        <v>1035804</v>
      </c>
      <c r="G3479" s="538">
        <v>88</v>
      </c>
    </row>
    <row r="3480" spans="1:7" x14ac:dyDescent="0.2">
      <c r="A3480" s="538">
        <v>9</v>
      </c>
      <c r="B3480" s="538" t="s">
        <v>6657</v>
      </c>
      <c r="C3480" s="538" t="s">
        <v>740</v>
      </c>
      <c r="D3480" s="538" t="s">
        <v>393</v>
      </c>
      <c r="E3480" s="538" t="s">
        <v>230</v>
      </c>
      <c r="F3480" s="538">
        <v>74163</v>
      </c>
      <c r="G3480" s="538">
        <v>1</v>
      </c>
    </row>
    <row r="3481" spans="1:7" x14ac:dyDescent="0.2">
      <c r="A3481" s="538">
        <v>10</v>
      </c>
      <c r="B3481" s="538" t="s">
        <v>6611</v>
      </c>
      <c r="C3481" s="538" t="s">
        <v>393</v>
      </c>
      <c r="D3481" s="538" t="s">
        <v>393</v>
      </c>
      <c r="E3481" s="538" t="s">
        <v>409</v>
      </c>
      <c r="F3481" s="538">
        <v>216294</v>
      </c>
      <c r="G3481" s="538">
        <v>8</v>
      </c>
    </row>
    <row r="3482" spans="1:7" x14ac:dyDescent="0.2">
      <c r="A3482" s="538">
        <v>7</v>
      </c>
      <c r="B3482" s="538" t="s">
        <v>6604</v>
      </c>
      <c r="C3482" s="538" t="s">
        <v>740</v>
      </c>
      <c r="D3482" s="538" t="s">
        <v>393</v>
      </c>
      <c r="E3482" s="538" t="s">
        <v>313</v>
      </c>
      <c r="F3482" s="538">
        <v>111864</v>
      </c>
      <c r="G3482" s="538">
        <v>3</v>
      </c>
    </row>
    <row r="3483" spans="1:7" x14ac:dyDescent="0.2">
      <c r="A3483" s="538">
        <v>2</v>
      </c>
      <c r="B3483" s="538" t="s">
        <v>6573</v>
      </c>
      <c r="C3483" s="538" t="s">
        <v>393</v>
      </c>
      <c r="D3483" s="538" t="s">
        <v>393</v>
      </c>
      <c r="E3483" s="538" t="s">
        <v>202</v>
      </c>
      <c r="F3483" s="538">
        <v>7100366</v>
      </c>
      <c r="G3483" s="538">
        <v>72</v>
      </c>
    </row>
    <row r="3484" spans="1:7" x14ac:dyDescent="0.2">
      <c r="A3484" s="538">
        <v>3</v>
      </c>
      <c r="B3484" s="538" t="s">
        <v>6647</v>
      </c>
      <c r="C3484" s="538" t="s">
        <v>393</v>
      </c>
      <c r="D3484" s="538" t="s">
        <v>393</v>
      </c>
      <c r="E3484" s="538" t="s">
        <v>210</v>
      </c>
      <c r="F3484" s="538">
        <v>761756</v>
      </c>
      <c r="G3484" s="538">
        <v>12</v>
      </c>
    </row>
    <row r="3485" spans="1:7" x14ac:dyDescent="0.2">
      <c r="A3485" s="538">
        <v>12</v>
      </c>
      <c r="B3485" s="538" t="s">
        <v>6616</v>
      </c>
      <c r="C3485" s="538" t="s">
        <v>393</v>
      </c>
      <c r="D3485" s="538" t="s">
        <v>393</v>
      </c>
      <c r="E3485" s="538" t="s">
        <v>860</v>
      </c>
      <c r="F3485" s="538">
        <v>2444724</v>
      </c>
      <c r="G3485" s="538">
        <v>103</v>
      </c>
    </row>
    <row r="3486" spans="1:7" x14ac:dyDescent="0.2">
      <c r="A3486" s="538">
        <v>7</v>
      </c>
      <c r="B3486" s="538" t="s">
        <v>6604</v>
      </c>
      <c r="C3486" s="538" t="s">
        <v>740</v>
      </c>
      <c r="D3486" s="538" t="s">
        <v>740</v>
      </c>
      <c r="E3486" s="538" t="s">
        <v>401</v>
      </c>
      <c r="F3486" s="538">
        <v>11328</v>
      </c>
      <c r="G3486" s="538">
        <v>1</v>
      </c>
    </row>
    <row r="3487" spans="1:7" x14ac:dyDescent="0.2">
      <c r="A3487" s="538">
        <v>8</v>
      </c>
      <c r="B3487" s="538" t="s">
        <v>6570</v>
      </c>
      <c r="C3487" s="538" t="s">
        <v>740</v>
      </c>
      <c r="D3487" s="538" t="s">
        <v>740</v>
      </c>
      <c r="E3487" s="538" t="s">
        <v>209</v>
      </c>
      <c r="F3487" s="538">
        <v>496433</v>
      </c>
      <c r="G3487" s="538">
        <v>1</v>
      </c>
    </row>
    <row r="3488" spans="1:7" x14ac:dyDescent="0.2">
      <c r="A3488" s="538">
        <v>2</v>
      </c>
      <c r="B3488" s="538" t="s">
        <v>6585</v>
      </c>
      <c r="C3488" s="538" t="s">
        <v>740</v>
      </c>
      <c r="D3488" s="538" t="s">
        <v>393</v>
      </c>
      <c r="E3488" s="538" t="s">
        <v>212</v>
      </c>
      <c r="F3488" s="538">
        <v>45312</v>
      </c>
      <c r="G3488" s="538">
        <v>4</v>
      </c>
    </row>
    <row r="3489" spans="1:7" x14ac:dyDescent="0.2">
      <c r="A3489" s="538">
        <v>2</v>
      </c>
      <c r="B3489" s="538" t="s">
        <v>6573</v>
      </c>
      <c r="C3489" s="538" t="s">
        <v>740</v>
      </c>
      <c r="D3489" s="538" t="s">
        <v>393</v>
      </c>
      <c r="E3489" s="538" t="s">
        <v>860</v>
      </c>
      <c r="F3489" s="538">
        <v>67968</v>
      </c>
      <c r="G3489" s="538">
        <v>6</v>
      </c>
    </row>
    <row r="3490" spans="1:7" x14ac:dyDescent="0.2">
      <c r="A3490" s="538">
        <v>5</v>
      </c>
      <c r="B3490" s="538" t="s">
        <v>6598</v>
      </c>
      <c r="C3490" s="538" t="s">
        <v>740</v>
      </c>
      <c r="D3490" s="538" t="s">
        <v>393</v>
      </c>
      <c r="E3490" s="538" t="s">
        <v>409</v>
      </c>
      <c r="F3490" s="538">
        <v>1089258</v>
      </c>
      <c r="G3490" s="538">
        <v>56</v>
      </c>
    </row>
    <row r="3491" spans="1:7" x14ac:dyDescent="0.2">
      <c r="A3491" s="538">
        <v>4</v>
      </c>
      <c r="B3491" s="538" t="s">
        <v>6593</v>
      </c>
      <c r="C3491" s="538" t="s">
        <v>740</v>
      </c>
      <c r="D3491" s="538" t="s">
        <v>740</v>
      </c>
      <c r="E3491" s="538" t="s">
        <v>416</v>
      </c>
      <c r="F3491" s="538">
        <v>27258376</v>
      </c>
      <c r="G3491" s="538">
        <v>697</v>
      </c>
    </row>
    <row r="3492" spans="1:7" x14ac:dyDescent="0.2">
      <c r="A3492" s="538">
        <v>5</v>
      </c>
      <c r="B3492" s="538" t="s">
        <v>6589</v>
      </c>
      <c r="C3492" s="538" t="s">
        <v>393</v>
      </c>
      <c r="D3492" s="538" t="s">
        <v>393</v>
      </c>
      <c r="E3492" s="538" t="s">
        <v>402</v>
      </c>
      <c r="F3492" s="538">
        <v>7722677</v>
      </c>
      <c r="G3492" s="538">
        <v>164</v>
      </c>
    </row>
    <row r="3493" spans="1:7" x14ac:dyDescent="0.2">
      <c r="A3493" s="538">
        <v>4</v>
      </c>
      <c r="B3493" s="538" t="s">
        <v>6590</v>
      </c>
      <c r="C3493" s="538" t="s">
        <v>740</v>
      </c>
      <c r="D3493" s="538" t="s">
        <v>393</v>
      </c>
      <c r="E3493" s="538" t="s">
        <v>230</v>
      </c>
      <c r="F3493" s="538">
        <v>1125189</v>
      </c>
      <c r="G3493" s="538">
        <v>33</v>
      </c>
    </row>
    <row r="3494" spans="1:7" x14ac:dyDescent="0.2">
      <c r="A3494" s="538">
        <v>4</v>
      </c>
      <c r="B3494" s="538" t="s">
        <v>6590</v>
      </c>
      <c r="C3494" s="538" t="s">
        <v>393</v>
      </c>
      <c r="D3494" s="538" t="s">
        <v>740</v>
      </c>
      <c r="E3494" s="538" t="s">
        <v>860</v>
      </c>
      <c r="F3494" s="538">
        <v>33984</v>
      </c>
      <c r="G3494" s="538">
        <v>3</v>
      </c>
    </row>
    <row r="3495" spans="1:7" x14ac:dyDescent="0.2">
      <c r="A3495" s="538">
        <v>4</v>
      </c>
      <c r="B3495" s="538" t="s">
        <v>6574</v>
      </c>
      <c r="C3495" s="538" t="s">
        <v>740</v>
      </c>
      <c r="D3495" s="538" t="s">
        <v>740</v>
      </c>
      <c r="E3495" s="538" t="s">
        <v>860</v>
      </c>
      <c r="F3495" s="538">
        <v>662688</v>
      </c>
      <c r="G3495" s="538">
        <v>26</v>
      </c>
    </row>
    <row r="3496" spans="1:7" x14ac:dyDescent="0.2">
      <c r="A3496" s="538">
        <v>7</v>
      </c>
      <c r="B3496" s="538" t="s">
        <v>6579</v>
      </c>
      <c r="C3496" s="538" t="s">
        <v>740</v>
      </c>
      <c r="D3496" s="538" t="s">
        <v>393</v>
      </c>
      <c r="E3496" s="538" t="s">
        <v>416</v>
      </c>
      <c r="F3496" s="538">
        <v>9996336</v>
      </c>
      <c r="G3496" s="538">
        <v>172</v>
      </c>
    </row>
    <row r="3497" spans="1:7" x14ac:dyDescent="0.2">
      <c r="A3497" s="538">
        <v>4</v>
      </c>
      <c r="B3497" s="538" t="s">
        <v>6574</v>
      </c>
      <c r="C3497" s="538" t="s">
        <v>740</v>
      </c>
      <c r="D3497" s="538" t="s">
        <v>393</v>
      </c>
      <c r="E3497" s="538" t="s">
        <v>449</v>
      </c>
      <c r="F3497" s="538">
        <v>1094818</v>
      </c>
      <c r="G3497" s="538">
        <v>11</v>
      </c>
    </row>
    <row r="3498" spans="1:7" x14ac:dyDescent="0.2">
      <c r="A3498" s="538">
        <v>2</v>
      </c>
      <c r="B3498" s="538" t="s">
        <v>6576</v>
      </c>
      <c r="C3498" s="538" t="s">
        <v>393</v>
      </c>
      <c r="D3498" s="538" t="s">
        <v>740</v>
      </c>
      <c r="E3498" s="538" t="s">
        <v>438</v>
      </c>
      <c r="F3498" s="538">
        <v>581924</v>
      </c>
      <c r="G3498" s="538">
        <v>3</v>
      </c>
    </row>
    <row r="3499" spans="1:7" x14ac:dyDescent="0.2">
      <c r="A3499" s="538">
        <v>8</v>
      </c>
      <c r="B3499" s="538" t="s">
        <v>6570</v>
      </c>
      <c r="C3499" s="538" t="s">
        <v>740</v>
      </c>
      <c r="D3499" s="538" t="s">
        <v>393</v>
      </c>
      <c r="E3499" s="538" t="s">
        <v>210</v>
      </c>
      <c r="F3499" s="538">
        <v>998811</v>
      </c>
      <c r="G3499" s="538">
        <v>57</v>
      </c>
    </row>
    <row r="3500" spans="1:7" x14ac:dyDescent="0.2">
      <c r="A3500" s="538">
        <v>2</v>
      </c>
      <c r="B3500" s="538" t="s">
        <v>6573</v>
      </c>
      <c r="C3500" s="538" t="s">
        <v>393</v>
      </c>
      <c r="D3500" s="538" t="s">
        <v>740</v>
      </c>
      <c r="E3500" s="538" t="s">
        <v>402</v>
      </c>
      <c r="F3500" s="538">
        <v>9959332</v>
      </c>
      <c r="G3500" s="538">
        <v>444</v>
      </c>
    </row>
    <row r="3501" spans="1:7" x14ac:dyDescent="0.2">
      <c r="A3501" s="538">
        <v>6</v>
      </c>
      <c r="B3501" s="538" t="s">
        <v>1668</v>
      </c>
      <c r="C3501" s="538" t="s">
        <v>740</v>
      </c>
      <c r="D3501" s="538" t="s">
        <v>393</v>
      </c>
      <c r="E3501" s="538" t="s">
        <v>212</v>
      </c>
      <c r="F3501" s="538">
        <v>11328</v>
      </c>
      <c r="G3501" s="538">
        <v>1</v>
      </c>
    </row>
    <row r="3502" spans="1:7" x14ac:dyDescent="0.2">
      <c r="A3502" s="538">
        <v>9</v>
      </c>
      <c r="B3502" s="538" t="s">
        <v>6657</v>
      </c>
      <c r="C3502" s="538" t="s">
        <v>393</v>
      </c>
      <c r="D3502" s="538" t="s">
        <v>393</v>
      </c>
      <c r="E3502" s="538" t="s">
        <v>230</v>
      </c>
      <c r="F3502" s="538">
        <v>6311633</v>
      </c>
      <c r="G3502" s="538">
        <v>96</v>
      </c>
    </row>
    <row r="3503" spans="1:7" x14ac:dyDescent="0.2">
      <c r="A3503" s="538">
        <v>6</v>
      </c>
      <c r="B3503" s="538" t="s">
        <v>6433</v>
      </c>
      <c r="C3503" s="538" t="s">
        <v>393</v>
      </c>
      <c r="D3503" s="538" t="s">
        <v>740</v>
      </c>
      <c r="E3503" s="538" t="s">
        <v>202</v>
      </c>
      <c r="F3503" s="538">
        <v>1182839</v>
      </c>
      <c r="G3503" s="538">
        <v>18</v>
      </c>
    </row>
    <row r="3504" spans="1:7" x14ac:dyDescent="0.2">
      <c r="A3504" s="538">
        <v>9</v>
      </c>
      <c r="B3504" s="538" t="s">
        <v>6644</v>
      </c>
      <c r="C3504" s="538" t="s">
        <v>393</v>
      </c>
      <c r="D3504" s="538" t="s">
        <v>393</v>
      </c>
      <c r="E3504" s="538" t="s">
        <v>449</v>
      </c>
      <c r="F3504" s="538">
        <v>769367</v>
      </c>
      <c r="G3504" s="538">
        <v>14</v>
      </c>
    </row>
    <row r="3505" spans="1:7" x14ac:dyDescent="0.2">
      <c r="A3505" s="538">
        <v>11</v>
      </c>
      <c r="B3505" s="538" t="s">
        <v>6558</v>
      </c>
      <c r="C3505" s="538" t="s">
        <v>393</v>
      </c>
      <c r="D3505" s="538" t="s">
        <v>393</v>
      </c>
      <c r="E3505" s="538" t="s">
        <v>212</v>
      </c>
      <c r="F3505" s="538">
        <v>1515953</v>
      </c>
      <c r="G3505" s="538">
        <v>91</v>
      </c>
    </row>
    <row r="3506" spans="1:7" x14ac:dyDescent="0.2">
      <c r="A3506" s="538">
        <v>12</v>
      </c>
      <c r="B3506" s="538" t="s">
        <v>6616</v>
      </c>
      <c r="C3506" s="538" t="s">
        <v>740</v>
      </c>
      <c r="D3506" s="538" t="s">
        <v>740</v>
      </c>
      <c r="E3506" s="538" t="s">
        <v>416</v>
      </c>
      <c r="F3506" s="538">
        <v>283023</v>
      </c>
      <c r="G3506" s="538">
        <v>16</v>
      </c>
    </row>
    <row r="3507" spans="1:7" x14ac:dyDescent="0.2">
      <c r="A3507" s="538">
        <v>8</v>
      </c>
      <c r="B3507" s="538" t="s">
        <v>6560</v>
      </c>
      <c r="C3507" s="538" t="s">
        <v>393</v>
      </c>
      <c r="D3507" s="538" t="s">
        <v>393</v>
      </c>
      <c r="E3507" s="538" t="s">
        <v>402</v>
      </c>
      <c r="F3507" s="538">
        <v>3951119</v>
      </c>
      <c r="G3507" s="538">
        <v>163</v>
      </c>
    </row>
    <row r="3508" spans="1:7" x14ac:dyDescent="0.2">
      <c r="A3508" s="538">
        <v>6</v>
      </c>
      <c r="B3508" s="538" t="s">
        <v>6565</v>
      </c>
      <c r="C3508" s="538" t="s">
        <v>740</v>
      </c>
      <c r="D3508" s="538" t="s">
        <v>740</v>
      </c>
      <c r="E3508" s="538" t="s">
        <v>230</v>
      </c>
      <c r="F3508" s="538">
        <v>22656</v>
      </c>
      <c r="G3508" s="538">
        <v>2</v>
      </c>
    </row>
    <row r="3509" spans="1:7" x14ac:dyDescent="0.2">
      <c r="A3509" s="538">
        <v>12</v>
      </c>
      <c r="B3509" s="538" t="s">
        <v>6616</v>
      </c>
      <c r="C3509" s="538" t="s">
        <v>393</v>
      </c>
      <c r="D3509" s="538" t="s">
        <v>740</v>
      </c>
      <c r="E3509" s="538" t="s">
        <v>860</v>
      </c>
      <c r="F3509" s="538">
        <v>11328</v>
      </c>
      <c r="G3509" s="538">
        <v>1</v>
      </c>
    </row>
    <row r="3510" spans="1:7" x14ac:dyDescent="0.2">
      <c r="A3510" s="538">
        <v>8</v>
      </c>
      <c r="B3510" s="538" t="s">
        <v>6583</v>
      </c>
      <c r="C3510" s="538" t="s">
        <v>740</v>
      </c>
      <c r="D3510" s="538" t="s">
        <v>393</v>
      </c>
      <c r="E3510" s="538" t="s">
        <v>402</v>
      </c>
      <c r="F3510" s="538">
        <v>26547606</v>
      </c>
      <c r="G3510" s="538">
        <v>1302</v>
      </c>
    </row>
    <row r="3511" spans="1:7" x14ac:dyDescent="0.2">
      <c r="A3511" s="538">
        <v>4</v>
      </c>
      <c r="B3511" s="538" t="s">
        <v>6572</v>
      </c>
      <c r="C3511" s="538" t="s">
        <v>740</v>
      </c>
      <c r="D3511" s="538" t="s">
        <v>393</v>
      </c>
      <c r="E3511" s="538" t="s">
        <v>409</v>
      </c>
      <c r="F3511" s="538">
        <v>496433</v>
      </c>
      <c r="G3511" s="538">
        <v>1</v>
      </c>
    </row>
    <row r="3512" spans="1:7" x14ac:dyDescent="0.2">
      <c r="A3512" s="538">
        <v>8</v>
      </c>
      <c r="B3512" s="538" t="s">
        <v>6567</v>
      </c>
      <c r="C3512" s="538" t="s">
        <v>740</v>
      </c>
      <c r="D3512" s="538" t="s">
        <v>393</v>
      </c>
      <c r="E3512" s="538" t="s">
        <v>210</v>
      </c>
      <c r="F3512" s="538">
        <v>16578112</v>
      </c>
      <c r="G3512" s="538">
        <v>779</v>
      </c>
    </row>
    <row r="3513" spans="1:7" x14ac:dyDescent="0.2">
      <c r="A3513" s="538">
        <v>3</v>
      </c>
      <c r="B3513" s="538" t="s">
        <v>6578</v>
      </c>
      <c r="C3513" s="538" t="s">
        <v>740</v>
      </c>
      <c r="D3513" s="538" t="s">
        <v>740</v>
      </c>
      <c r="E3513" s="538" t="s">
        <v>207</v>
      </c>
      <c r="F3513" s="538">
        <v>5333364</v>
      </c>
      <c r="G3513" s="538">
        <v>358</v>
      </c>
    </row>
    <row r="3514" spans="1:7" x14ac:dyDescent="0.2">
      <c r="A3514" s="538">
        <v>3</v>
      </c>
      <c r="B3514" s="538" t="s">
        <v>6561</v>
      </c>
      <c r="C3514" s="538" t="s">
        <v>393</v>
      </c>
      <c r="D3514" s="538" t="s">
        <v>740</v>
      </c>
      <c r="E3514" s="538" t="s">
        <v>390</v>
      </c>
      <c r="F3514" s="538">
        <v>8881944</v>
      </c>
      <c r="G3514" s="538">
        <v>123</v>
      </c>
    </row>
    <row r="3515" spans="1:7" x14ac:dyDescent="0.2">
      <c r="A3515" s="538">
        <v>2</v>
      </c>
      <c r="B3515" s="538" t="s">
        <v>6585</v>
      </c>
      <c r="C3515" s="538" t="s">
        <v>740</v>
      </c>
      <c r="D3515" s="538" t="s">
        <v>393</v>
      </c>
      <c r="E3515" s="538" t="s">
        <v>438</v>
      </c>
      <c r="F3515" s="538">
        <v>861053</v>
      </c>
      <c r="G3515" s="538">
        <v>11</v>
      </c>
    </row>
    <row r="3516" spans="1:7" x14ac:dyDescent="0.2">
      <c r="A3516" s="538">
        <v>5</v>
      </c>
      <c r="B3516" s="538" t="s">
        <v>6599</v>
      </c>
      <c r="C3516" s="538" t="s">
        <v>740</v>
      </c>
      <c r="D3516" s="538" t="s">
        <v>740</v>
      </c>
      <c r="E3516" s="538" t="s">
        <v>202</v>
      </c>
      <c r="F3516" s="538">
        <v>186027</v>
      </c>
      <c r="G3516" s="538">
        <v>4</v>
      </c>
    </row>
    <row r="3517" spans="1:7" x14ac:dyDescent="0.2">
      <c r="A3517" s="538">
        <v>1</v>
      </c>
      <c r="B3517" s="538" t="s">
        <v>6581</v>
      </c>
      <c r="C3517" s="538" t="s">
        <v>740</v>
      </c>
      <c r="D3517" s="538" t="s">
        <v>393</v>
      </c>
      <c r="E3517" s="538" t="s">
        <v>211</v>
      </c>
      <c r="F3517" s="538">
        <v>958278</v>
      </c>
      <c r="G3517" s="538">
        <v>41</v>
      </c>
    </row>
    <row r="3518" spans="1:7" x14ac:dyDescent="0.2">
      <c r="A3518" s="538">
        <v>4</v>
      </c>
      <c r="B3518" s="538" t="s">
        <v>6562</v>
      </c>
      <c r="C3518" s="538" t="s">
        <v>740</v>
      </c>
      <c r="D3518" s="538" t="s">
        <v>393</v>
      </c>
      <c r="E3518" s="538" t="s">
        <v>860</v>
      </c>
      <c r="F3518" s="538">
        <v>625997</v>
      </c>
      <c r="G3518" s="538">
        <v>9</v>
      </c>
    </row>
    <row r="3519" spans="1:7" x14ac:dyDescent="0.2">
      <c r="A3519" s="538">
        <v>2</v>
      </c>
      <c r="B3519" s="538" t="s">
        <v>6573</v>
      </c>
      <c r="C3519" s="538" t="s">
        <v>740</v>
      </c>
      <c r="D3519" s="538" t="s">
        <v>740</v>
      </c>
      <c r="E3519" s="538" t="s">
        <v>416</v>
      </c>
      <c r="F3519" s="538">
        <v>541745</v>
      </c>
      <c r="G3519" s="538">
        <v>5</v>
      </c>
    </row>
    <row r="3520" spans="1:7" x14ac:dyDescent="0.2">
      <c r="A3520" s="538">
        <v>10</v>
      </c>
      <c r="B3520" s="538" t="s">
        <v>6653</v>
      </c>
      <c r="C3520" s="538" t="s">
        <v>393</v>
      </c>
      <c r="D3520" s="538" t="s">
        <v>393</v>
      </c>
      <c r="E3520" s="538" t="s">
        <v>409</v>
      </c>
      <c r="F3520" s="538">
        <v>769367</v>
      </c>
      <c r="G3520" s="538">
        <v>14</v>
      </c>
    </row>
    <row r="3521" spans="1:7" x14ac:dyDescent="0.2">
      <c r="A3521" s="538">
        <v>7</v>
      </c>
      <c r="B3521" s="538" t="s">
        <v>6604</v>
      </c>
      <c r="C3521" s="538" t="s">
        <v>740</v>
      </c>
      <c r="D3521" s="538" t="s">
        <v>393</v>
      </c>
      <c r="E3521" s="538" t="s">
        <v>860</v>
      </c>
      <c r="F3521" s="538">
        <v>413826</v>
      </c>
      <c r="G3521" s="538">
        <v>22</v>
      </c>
    </row>
    <row r="3522" spans="1:7" x14ac:dyDescent="0.2">
      <c r="A3522" s="538">
        <v>4</v>
      </c>
      <c r="B3522" s="538" t="s">
        <v>6574</v>
      </c>
      <c r="C3522" s="538" t="s">
        <v>740</v>
      </c>
      <c r="D3522" s="538" t="s">
        <v>393</v>
      </c>
      <c r="E3522" s="538" t="s">
        <v>211</v>
      </c>
      <c r="F3522" s="538">
        <v>9832007</v>
      </c>
      <c r="G3522" s="538">
        <v>209</v>
      </c>
    </row>
    <row r="3523" spans="1:7" x14ac:dyDescent="0.2">
      <c r="A3523" s="538">
        <v>7</v>
      </c>
      <c r="B3523" s="538" t="s">
        <v>6655</v>
      </c>
      <c r="C3523" s="538" t="s">
        <v>393</v>
      </c>
      <c r="D3523" s="538" t="s">
        <v>740</v>
      </c>
      <c r="E3523" s="538" t="s">
        <v>409</v>
      </c>
      <c r="F3523" s="538">
        <v>50268</v>
      </c>
      <c r="G3523" s="538">
        <v>1</v>
      </c>
    </row>
    <row r="3524" spans="1:7" x14ac:dyDescent="0.2">
      <c r="A3524" s="538">
        <v>6</v>
      </c>
      <c r="B3524" s="538" t="s">
        <v>6575</v>
      </c>
      <c r="C3524" s="538" t="s">
        <v>740</v>
      </c>
      <c r="D3524" s="538" t="s">
        <v>393</v>
      </c>
      <c r="E3524" s="538" t="s">
        <v>860</v>
      </c>
      <c r="F3524" s="538">
        <v>164787</v>
      </c>
      <c r="G3524" s="538">
        <v>9</v>
      </c>
    </row>
    <row r="3525" spans="1:7" x14ac:dyDescent="0.2">
      <c r="A3525" s="538">
        <v>2</v>
      </c>
      <c r="B3525" s="538" t="s">
        <v>6055</v>
      </c>
      <c r="C3525" s="538" t="s">
        <v>740</v>
      </c>
      <c r="D3525" s="538" t="s">
        <v>393</v>
      </c>
      <c r="E3525" s="538" t="s">
        <v>419</v>
      </c>
      <c r="F3525" s="538">
        <v>50268</v>
      </c>
      <c r="G3525" s="538">
        <v>1</v>
      </c>
    </row>
    <row r="3526" spans="1:7" x14ac:dyDescent="0.2">
      <c r="A3526" s="538">
        <v>7</v>
      </c>
      <c r="B3526" s="538" t="s">
        <v>6661</v>
      </c>
      <c r="C3526" s="538" t="s">
        <v>393</v>
      </c>
      <c r="D3526" s="538" t="s">
        <v>740</v>
      </c>
      <c r="E3526" s="538" t="s">
        <v>438</v>
      </c>
      <c r="F3526" s="538">
        <v>33984</v>
      </c>
      <c r="G3526" s="538">
        <v>3</v>
      </c>
    </row>
    <row r="3527" spans="1:7" x14ac:dyDescent="0.2">
      <c r="A3527" s="538">
        <v>4</v>
      </c>
      <c r="B3527" s="538" t="s">
        <v>6590</v>
      </c>
      <c r="C3527" s="538" t="s">
        <v>740</v>
      </c>
      <c r="D3527" s="538" t="s">
        <v>740</v>
      </c>
      <c r="E3527" s="538" t="s">
        <v>449</v>
      </c>
      <c r="F3527" s="538">
        <v>11328</v>
      </c>
      <c r="G3527" s="538">
        <v>1</v>
      </c>
    </row>
    <row r="3528" spans="1:7" x14ac:dyDescent="0.2">
      <c r="A3528" s="538">
        <v>1</v>
      </c>
      <c r="B3528" s="538" t="s">
        <v>1288</v>
      </c>
      <c r="C3528" s="538" t="s">
        <v>740</v>
      </c>
      <c r="D3528" s="538" t="s">
        <v>393</v>
      </c>
      <c r="E3528" s="538" t="s">
        <v>860</v>
      </c>
      <c r="F3528" s="538">
        <v>135759</v>
      </c>
      <c r="G3528" s="538">
        <v>3</v>
      </c>
    </row>
    <row r="3529" spans="1:7" x14ac:dyDescent="0.2">
      <c r="A3529" s="538">
        <v>9</v>
      </c>
      <c r="B3529" s="538" t="s">
        <v>6645</v>
      </c>
      <c r="C3529" s="538" t="s">
        <v>393</v>
      </c>
      <c r="D3529" s="538" t="s">
        <v>393</v>
      </c>
      <c r="E3529" s="538" t="s">
        <v>438</v>
      </c>
      <c r="F3529" s="538">
        <v>9882796</v>
      </c>
      <c r="G3529" s="538">
        <v>62</v>
      </c>
    </row>
    <row r="3530" spans="1:7" x14ac:dyDescent="0.2">
      <c r="A3530" s="538">
        <v>7</v>
      </c>
      <c r="B3530" s="538" t="s">
        <v>6588</v>
      </c>
      <c r="C3530" s="538" t="s">
        <v>740</v>
      </c>
      <c r="D3530" s="538" t="s">
        <v>393</v>
      </c>
      <c r="E3530" s="538" t="s">
        <v>209</v>
      </c>
      <c r="F3530" s="538">
        <v>128754080</v>
      </c>
      <c r="G3530" s="538">
        <v>725</v>
      </c>
    </row>
    <row r="3531" spans="1:7" x14ac:dyDescent="0.2">
      <c r="A3531" s="538">
        <v>7</v>
      </c>
      <c r="B3531" s="538" t="s">
        <v>6594</v>
      </c>
      <c r="C3531" s="538" t="s">
        <v>393</v>
      </c>
      <c r="D3531" s="538" t="s">
        <v>393</v>
      </c>
      <c r="E3531" s="538" t="s">
        <v>207</v>
      </c>
      <c r="F3531" s="538">
        <v>7672596</v>
      </c>
      <c r="G3531" s="538">
        <v>597</v>
      </c>
    </row>
    <row r="3532" spans="1:7" x14ac:dyDescent="0.2">
      <c r="A3532" s="538">
        <v>11</v>
      </c>
      <c r="B3532" s="538" t="s">
        <v>6584</v>
      </c>
      <c r="C3532" s="538" t="s">
        <v>740</v>
      </c>
      <c r="D3532" s="538" t="s">
        <v>393</v>
      </c>
      <c r="E3532" s="538" t="s">
        <v>202</v>
      </c>
      <c r="F3532" s="538">
        <v>233817</v>
      </c>
      <c r="G3532" s="538">
        <v>4</v>
      </c>
    </row>
    <row r="3533" spans="1:7" x14ac:dyDescent="0.2">
      <c r="A3533" s="538">
        <v>7</v>
      </c>
      <c r="B3533" s="538" t="s">
        <v>6604</v>
      </c>
      <c r="C3533" s="538" t="s">
        <v>740</v>
      </c>
      <c r="D3533" s="538" t="s">
        <v>393</v>
      </c>
      <c r="E3533" s="538" t="s">
        <v>212</v>
      </c>
      <c r="F3533" s="538">
        <v>849600</v>
      </c>
      <c r="G3533" s="538">
        <v>75</v>
      </c>
    </row>
    <row r="3534" spans="1:7" x14ac:dyDescent="0.2">
      <c r="A3534" s="538">
        <v>6</v>
      </c>
      <c r="B3534" s="538" t="s">
        <v>1668</v>
      </c>
      <c r="C3534" s="538" t="s">
        <v>740</v>
      </c>
      <c r="D3534" s="538" t="s">
        <v>740</v>
      </c>
      <c r="E3534" s="538" t="s">
        <v>210</v>
      </c>
      <c r="F3534" s="538">
        <v>74163</v>
      </c>
      <c r="G3534" s="538">
        <v>1</v>
      </c>
    </row>
    <row r="3535" spans="1:7" x14ac:dyDescent="0.2">
      <c r="A3535" s="538">
        <v>3</v>
      </c>
      <c r="B3535" s="538" t="s">
        <v>6578</v>
      </c>
      <c r="C3535" s="538" t="s">
        <v>740</v>
      </c>
      <c r="D3535" s="538" t="s">
        <v>393</v>
      </c>
      <c r="E3535" s="538" t="s">
        <v>416</v>
      </c>
      <c r="F3535" s="538">
        <v>976811</v>
      </c>
      <c r="G3535" s="538">
        <v>22</v>
      </c>
    </row>
    <row r="3536" spans="1:7" x14ac:dyDescent="0.2">
      <c r="A3536" s="538">
        <v>1</v>
      </c>
      <c r="B3536" s="538" t="s">
        <v>6646</v>
      </c>
      <c r="C3536" s="538" t="s">
        <v>393</v>
      </c>
      <c r="D3536" s="538" t="s">
        <v>393</v>
      </c>
      <c r="E3536" s="538" t="s">
        <v>401</v>
      </c>
      <c r="F3536" s="538">
        <v>153459</v>
      </c>
      <c r="G3536" s="538">
        <v>8</v>
      </c>
    </row>
    <row r="3537" spans="1:7" x14ac:dyDescent="0.2">
      <c r="A3537" s="538">
        <v>7</v>
      </c>
      <c r="B3537" s="538" t="s">
        <v>6661</v>
      </c>
      <c r="C3537" s="538" t="s">
        <v>740</v>
      </c>
      <c r="D3537" s="538" t="s">
        <v>393</v>
      </c>
      <c r="E3537" s="538" t="s">
        <v>313</v>
      </c>
      <c r="F3537" s="538">
        <v>570596</v>
      </c>
      <c r="G3537" s="538">
        <v>2</v>
      </c>
    </row>
    <row r="3538" spans="1:7" x14ac:dyDescent="0.2">
      <c r="A3538" s="538">
        <v>1</v>
      </c>
      <c r="B3538" s="538" t="s">
        <v>6595</v>
      </c>
      <c r="C3538" s="538" t="s">
        <v>393</v>
      </c>
      <c r="D3538" s="538" t="s">
        <v>740</v>
      </c>
      <c r="E3538" s="538" t="s">
        <v>860</v>
      </c>
      <c r="F3538" s="538">
        <v>74163</v>
      </c>
      <c r="G3538" s="538">
        <v>1</v>
      </c>
    </row>
    <row r="3539" spans="1:7" x14ac:dyDescent="0.2">
      <c r="A3539" s="538">
        <v>2</v>
      </c>
      <c r="B3539" s="538" t="s">
        <v>6055</v>
      </c>
      <c r="C3539" s="538" t="s">
        <v>740</v>
      </c>
      <c r="D3539" s="538" t="s">
        <v>393</v>
      </c>
      <c r="E3539" s="538" t="s">
        <v>209</v>
      </c>
      <c r="F3539" s="538">
        <v>99286482</v>
      </c>
      <c r="G3539" s="538">
        <v>609</v>
      </c>
    </row>
    <row r="3540" spans="1:7" x14ac:dyDescent="0.2">
      <c r="A3540" s="538">
        <v>4</v>
      </c>
      <c r="B3540" s="538" t="s">
        <v>6593</v>
      </c>
      <c r="C3540" s="538" t="s">
        <v>740</v>
      </c>
      <c r="D3540" s="538" t="s">
        <v>740</v>
      </c>
      <c r="E3540" s="538" t="s">
        <v>210</v>
      </c>
      <c r="F3540" s="538">
        <v>750428</v>
      </c>
      <c r="G3540" s="538">
        <v>11</v>
      </c>
    </row>
    <row r="3541" spans="1:7" x14ac:dyDescent="0.2">
      <c r="A3541" s="538">
        <v>5</v>
      </c>
      <c r="B3541" s="538" t="s">
        <v>6568</v>
      </c>
      <c r="C3541" s="538" t="s">
        <v>740</v>
      </c>
      <c r="D3541" s="538" t="s">
        <v>740</v>
      </c>
      <c r="E3541" s="538" t="s">
        <v>212</v>
      </c>
      <c r="F3541" s="538">
        <v>519089</v>
      </c>
      <c r="G3541" s="538">
        <v>3</v>
      </c>
    </row>
    <row r="3542" spans="1:7" x14ac:dyDescent="0.2">
      <c r="A3542" s="538">
        <v>5</v>
      </c>
      <c r="B3542" s="538" t="s">
        <v>6650</v>
      </c>
      <c r="C3542" s="538" t="s">
        <v>393</v>
      </c>
      <c r="D3542" s="538" t="s">
        <v>740</v>
      </c>
      <c r="E3542" s="538" t="s">
        <v>212</v>
      </c>
      <c r="F3542" s="538">
        <v>152220</v>
      </c>
      <c r="G3542" s="538">
        <v>10</v>
      </c>
    </row>
    <row r="3543" spans="1:7" x14ac:dyDescent="0.2">
      <c r="A3543" s="538">
        <v>7</v>
      </c>
      <c r="B3543" s="538" t="s">
        <v>6579</v>
      </c>
      <c r="C3543" s="538" t="s">
        <v>740</v>
      </c>
      <c r="D3543" s="538" t="s">
        <v>393</v>
      </c>
      <c r="E3543" s="538" t="s">
        <v>210</v>
      </c>
      <c r="F3543" s="538">
        <v>3968309</v>
      </c>
      <c r="G3543" s="538">
        <v>123</v>
      </c>
    </row>
    <row r="3544" spans="1:7" x14ac:dyDescent="0.2">
      <c r="A3544" s="538">
        <v>12</v>
      </c>
      <c r="B3544" s="538" t="s">
        <v>6563</v>
      </c>
      <c r="C3544" s="538" t="s">
        <v>740</v>
      </c>
      <c r="D3544" s="538" t="s">
        <v>393</v>
      </c>
      <c r="E3544" s="538" t="s">
        <v>230</v>
      </c>
      <c r="F3544" s="538">
        <v>2990540</v>
      </c>
      <c r="G3544" s="538">
        <v>130</v>
      </c>
    </row>
    <row r="3545" spans="1:7" x14ac:dyDescent="0.2">
      <c r="A3545" s="538">
        <v>10</v>
      </c>
      <c r="B3545" s="538" t="s">
        <v>6597</v>
      </c>
      <c r="C3545" s="538" t="s">
        <v>740</v>
      </c>
      <c r="D3545" s="538" t="s">
        <v>393</v>
      </c>
      <c r="E3545" s="538" t="s">
        <v>202</v>
      </c>
      <c r="F3545" s="538">
        <v>1202788</v>
      </c>
      <c r="G3545" s="538">
        <v>6</v>
      </c>
    </row>
    <row r="3546" spans="1:7" x14ac:dyDescent="0.2">
      <c r="A3546" s="538">
        <v>12</v>
      </c>
      <c r="B3546" s="538" t="s">
        <v>6569</v>
      </c>
      <c r="C3546" s="538" t="s">
        <v>393</v>
      </c>
      <c r="D3546" s="538" t="s">
        <v>393</v>
      </c>
      <c r="E3546" s="538" t="s">
        <v>211</v>
      </c>
      <c r="F3546" s="538">
        <v>7792540</v>
      </c>
      <c r="G3546" s="538">
        <v>130</v>
      </c>
    </row>
    <row r="3547" spans="1:7" x14ac:dyDescent="0.2">
      <c r="A3547" s="538">
        <v>2</v>
      </c>
      <c r="B3547" s="538" t="s">
        <v>6662</v>
      </c>
      <c r="C3547" s="538" t="s">
        <v>393</v>
      </c>
      <c r="D3547" s="538" t="s">
        <v>393</v>
      </c>
      <c r="E3547" s="538" t="s">
        <v>860</v>
      </c>
      <c r="F3547" s="538">
        <v>1188149</v>
      </c>
      <c r="G3547" s="538">
        <v>33</v>
      </c>
    </row>
    <row r="3548" spans="1:7" x14ac:dyDescent="0.2">
      <c r="A3548" s="538">
        <v>4</v>
      </c>
      <c r="B3548" s="538" t="s">
        <v>6590</v>
      </c>
      <c r="C3548" s="538" t="s">
        <v>740</v>
      </c>
      <c r="D3548" s="538" t="s">
        <v>740</v>
      </c>
      <c r="E3548" s="538" t="s">
        <v>416</v>
      </c>
      <c r="F3548" s="538">
        <v>90624</v>
      </c>
      <c r="G3548" s="538">
        <v>8</v>
      </c>
    </row>
    <row r="3549" spans="1:7" x14ac:dyDescent="0.2">
      <c r="A3549" s="538">
        <v>8</v>
      </c>
      <c r="B3549" s="538" t="s">
        <v>6583</v>
      </c>
      <c r="C3549" s="538" t="s">
        <v>393</v>
      </c>
      <c r="D3549" s="538" t="s">
        <v>740</v>
      </c>
      <c r="E3549" s="538" t="s">
        <v>860</v>
      </c>
      <c r="F3549" s="538">
        <v>11328</v>
      </c>
      <c r="G3549" s="538">
        <v>1</v>
      </c>
    </row>
    <row r="3550" spans="1:7" x14ac:dyDescent="0.2">
      <c r="A3550" s="538">
        <v>6</v>
      </c>
      <c r="B3550" s="538" t="s">
        <v>6617</v>
      </c>
      <c r="C3550" s="538" t="s">
        <v>393</v>
      </c>
      <c r="D3550" s="538" t="s">
        <v>393</v>
      </c>
      <c r="E3550" s="538" t="s">
        <v>202</v>
      </c>
      <c r="F3550" s="538">
        <v>9084682</v>
      </c>
      <c r="G3550" s="538">
        <v>64</v>
      </c>
    </row>
    <row r="3551" spans="1:7" x14ac:dyDescent="0.2">
      <c r="A3551" s="538">
        <v>11</v>
      </c>
      <c r="B3551" s="538" t="s">
        <v>6584</v>
      </c>
      <c r="C3551" s="538" t="s">
        <v>740</v>
      </c>
      <c r="D3551" s="538" t="s">
        <v>393</v>
      </c>
      <c r="E3551" s="538" t="s">
        <v>438</v>
      </c>
      <c r="F3551" s="538">
        <v>2399381</v>
      </c>
      <c r="G3551" s="538">
        <v>17</v>
      </c>
    </row>
    <row r="3552" spans="1:7" x14ac:dyDescent="0.2">
      <c r="A3552" s="538">
        <v>11</v>
      </c>
      <c r="B3552" s="538" t="s">
        <v>6584</v>
      </c>
      <c r="C3552" s="538" t="s">
        <v>740</v>
      </c>
      <c r="D3552" s="538" t="s">
        <v>393</v>
      </c>
      <c r="E3552" s="538" t="s">
        <v>206</v>
      </c>
      <c r="F3552" s="538">
        <v>496433</v>
      </c>
      <c r="G3552" s="538">
        <v>1</v>
      </c>
    </row>
    <row r="3553" spans="1:7" x14ac:dyDescent="0.2">
      <c r="A3553" s="538">
        <v>2</v>
      </c>
      <c r="B3553" s="538" t="s">
        <v>6654</v>
      </c>
      <c r="C3553" s="538" t="s">
        <v>393</v>
      </c>
      <c r="D3553" s="538" t="s">
        <v>393</v>
      </c>
      <c r="E3553" s="538" t="s">
        <v>313</v>
      </c>
      <c r="F3553" s="538">
        <v>632192</v>
      </c>
      <c r="G3553" s="538">
        <v>4</v>
      </c>
    </row>
    <row r="3554" spans="1:7" x14ac:dyDescent="0.2">
      <c r="A3554" s="538">
        <v>11</v>
      </c>
      <c r="B3554" s="538" t="s">
        <v>6610</v>
      </c>
      <c r="C3554" s="538" t="s">
        <v>393</v>
      </c>
      <c r="D3554" s="538" t="s">
        <v>393</v>
      </c>
      <c r="E3554" s="538" t="s">
        <v>390</v>
      </c>
      <c r="F3554" s="538">
        <v>12038801</v>
      </c>
      <c r="G3554" s="538">
        <v>367</v>
      </c>
    </row>
    <row r="3555" spans="1:7" x14ac:dyDescent="0.2">
      <c r="A3555" s="538">
        <v>2</v>
      </c>
      <c r="B3555" s="538" t="s">
        <v>6576</v>
      </c>
      <c r="C3555" s="538" t="s">
        <v>393</v>
      </c>
      <c r="D3555" s="538" t="s">
        <v>393</v>
      </c>
      <c r="E3555" s="538" t="s">
        <v>209</v>
      </c>
      <c r="F3555" s="538">
        <v>2195654</v>
      </c>
      <c r="G3555" s="538">
        <v>8</v>
      </c>
    </row>
    <row r="3556" spans="1:7" x14ac:dyDescent="0.2">
      <c r="A3556" s="538">
        <v>10</v>
      </c>
      <c r="B3556" s="538" t="s">
        <v>6587</v>
      </c>
      <c r="C3556" s="538" t="s">
        <v>740</v>
      </c>
      <c r="D3556" s="538" t="s">
        <v>740</v>
      </c>
      <c r="E3556" s="538" t="s">
        <v>401</v>
      </c>
      <c r="F3556" s="538">
        <v>11328</v>
      </c>
      <c r="G3556" s="538">
        <v>1</v>
      </c>
    </row>
    <row r="3557" spans="1:7" x14ac:dyDescent="0.2">
      <c r="A3557" s="538">
        <v>2</v>
      </c>
      <c r="B3557" s="538" t="s">
        <v>6585</v>
      </c>
      <c r="C3557" s="538" t="s">
        <v>393</v>
      </c>
      <c r="D3557" s="538" t="s">
        <v>740</v>
      </c>
      <c r="E3557" s="538" t="s">
        <v>202</v>
      </c>
      <c r="F3557" s="538">
        <v>404799</v>
      </c>
      <c r="G3557" s="538">
        <v>8</v>
      </c>
    </row>
    <row r="3558" spans="1:7" x14ac:dyDescent="0.2">
      <c r="A3558" s="538">
        <v>9</v>
      </c>
      <c r="B3558" s="538" t="s">
        <v>6645</v>
      </c>
      <c r="C3558" s="538" t="s">
        <v>740</v>
      </c>
      <c r="D3558" s="538" t="s">
        <v>393</v>
      </c>
      <c r="E3558" s="538" t="s">
        <v>402</v>
      </c>
      <c r="F3558" s="538">
        <v>278067</v>
      </c>
      <c r="G3558" s="538">
        <v>19</v>
      </c>
    </row>
    <row r="3559" spans="1:7" x14ac:dyDescent="0.2">
      <c r="A3559" s="538">
        <v>5</v>
      </c>
      <c r="B3559" s="538" t="s">
        <v>6568</v>
      </c>
      <c r="C3559" s="538" t="s">
        <v>393</v>
      </c>
      <c r="D3559" s="538" t="s">
        <v>740</v>
      </c>
      <c r="E3559" s="538" t="s">
        <v>401</v>
      </c>
      <c r="F3559" s="538">
        <v>187443</v>
      </c>
      <c r="G3559" s="538">
        <v>11</v>
      </c>
    </row>
    <row r="3560" spans="1:7" x14ac:dyDescent="0.2">
      <c r="A3560" s="538">
        <v>10</v>
      </c>
      <c r="B3560" s="538" t="s">
        <v>6597</v>
      </c>
      <c r="C3560" s="538" t="s">
        <v>393</v>
      </c>
      <c r="D3560" s="538" t="s">
        <v>740</v>
      </c>
      <c r="E3560" s="538" t="s">
        <v>860</v>
      </c>
      <c r="F3560" s="538">
        <v>11328</v>
      </c>
      <c r="G3560" s="538">
        <v>1</v>
      </c>
    </row>
    <row r="3561" spans="1:7" x14ac:dyDescent="0.2">
      <c r="A3561" s="538">
        <v>6</v>
      </c>
      <c r="B3561" s="538" t="s">
        <v>6433</v>
      </c>
      <c r="C3561" s="538" t="s">
        <v>393</v>
      </c>
      <c r="D3561" s="538" t="s">
        <v>393</v>
      </c>
      <c r="E3561" s="538" t="s">
        <v>860</v>
      </c>
      <c r="F3561" s="538">
        <v>3191633</v>
      </c>
      <c r="G3561" s="538">
        <v>51</v>
      </c>
    </row>
    <row r="3562" spans="1:7" x14ac:dyDescent="0.2">
      <c r="A3562" s="538">
        <v>10</v>
      </c>
      <c r="B3562" s="538" t="s">
        <v>6587</v>
      </c>
      <c r="C3562" s="538" t="s">
        <v>740</v>
      </c>
      <c r="D3562" s="538" t="s">
        <v>393</v>
      </c>
      <c r="E3562" s="538" t="s">
        <v>860</v>
      </c>
      <c r="F3562" s="538">
        <v>649059</v>
      </c>
      <c r="G3562" s="538">
        <v>38</v>
      </c>
    </row>
    <row r="3563" spans="1:7" x14ac:dyDescent="0.2">
      <c r="A3563" s="538">
        <v>11</v>
      </c>
      <c r="B3563" s="538" t="s">
        <v>6592</v>
      </c>
      <c r="C3563" s="538" t="s">
        <v>740</v>
      </c>
      <c r="D3563" s="538" t="s">
        <v>393</v>
      </c>
      <c r="E3563" s="538" t="s">
        <v>401</v>
      </c>
      <c r="F3563" s="538">
        <v>11328</v>
      </c>
      <c r="G3563" s="538">
        <v>1</v>
      </c>
    </row>
    <row r="3564" spans="1:7" x14ac:dyDescent="0.2">
      <c r="A3564" s="538">
        <v>9</v>
      </c>
      <c r="B3564" s="538" t="s">
        <v>6657</v>
      </c>
      <c r="C3564" s="538" t="s">
        <v>740</v>
      </c>
      <c r="D3564" s="538" t="s">
        <v>740</v>
      </c>
      <c r="E3564" s="538" t="s">
        <v>202</v>
      </c>
      <c r="F3564" s="538">
        <v>1078357</v>
      </c>
      <c r="G3564" s="538">
        <v>4</v>
      </c>
    </row>
    <row r="3565" spans="1:7" x14ac:dyDescent="0.2">
      <c r="A3565" s="538">
        <v>9</v>
      </c>
      <c r="B3565" s="538" t="s">
        <v>6614</v>
      </c>
      <c r="C3565" s="538" t="s">
        <v>740</v>
      </c>
      <c r="D3565" s="538" t="s">
        <v>393</v>
      </c>
      <c r="E3565" s="538" t="s">
        <v>449</v>
      </c>
      <c r="F3565" s="538">
        <v>95580</v>
      </c>
      <c r="G3565" s="538">
        <v>5</v>
      </c>
    </row>
    <row r="3566" spans="1:7" x14ac:dyDescent="0.2">
      <c r="A3566" s="538">
        <v>2</v>
      </c>
      <c r="B3566" s="538" t="s">
        <v>6662</v>
      </c>
      <c r="C3566" s="538" t="s">
        <v>393</v>
      </c>
      <c r="D3566" s="538" t="s">
        <v>393</v>
      </c>
      <c r="E3566" s="538" t="s">
        <v>202</v>
      </c>
      <c r="F3566" s="538">
        <v>8485339</v>
      </c>
      <c r="G3566" s="538">
        <v>73</v>
      </c>
    </row>
    <row r="3567" spans="1:7" x14ac:dyDescent="0.2">
      <c r="A3567" s="538">
        <v>3</v>
      </c>
      <c r="B3567" s="538" t="s">
        <v>6647</v>
      </c>
      <c r="C3567" s="538" t="s">
        <v>740</v>
      </c>
      <c r="D3567" s="538" t="s">
        <v>393</v>
      </c>
      <c r="E3567" s="538" t="s">
        <v>401</v>
      </c>
      <c r="F3567" s="538">
        <v>1214293</v>
      </c>
      <c r="G3567" s="538">
        <v>16</v>
      </c>
    </row>
    <row r="3568" spans="1:7" x14ac:dyDescent="0.2">
      <c r="A3568" s="538">
        <v>7</v>
      </c>
      <c r="B3568" s="538" t="s">
        <v>6588</v>
      </c>
      <c r="C3568" s="538" t="s">
        <v>740</v>
      </c>
      <c r="D3568" s="538" t="s">
        <v>393</v>
      </c>
      <c r="E3568" s="538" t="s">
        <v>210</v>
      </c>
      <c r="F3568" s="538">
        <v>1860874</v>
      </c>
      <c r="G3568" s="538">
        <v>53</v>
      </c>
    </row>
    <row r="3569" spans="1:7" x14ac:dyDescent="0.2">
      <c r="A3569" s="538">
        <v>6</v>
      </c>
      <c r="B3569" s="538" t="s">
        <v>6575</v>
      </c>
      <c r="C3569" s="538" t="s">
        <v>740</v>
      </c>
      <c r="D3569" s="538" t="s">
        <v>393</v>
      </c>
      <c r="E3569" s="538" t="s">
        <v>313</v>
      </c>
      <c r="F3569" s="538">
        <v>85491</v>
      </c>
      <c r="G3569" s="538">
        <v>2</v>
      </c>
    </row>
    <row r="3570" spans="1:7" x14ac:dyDescent="0.2">
      <c r="A3570" s="538">
        <v>8</v>
      </c>
      <c r="B3570" s="538" t="s">
        <v>6560</v>
      </c>
      <c r="C3570" s="538" t="s">
        <v>740</v>
      </c>
      <c r="D3570" s="538" t="s">
        <v>393</v>
      </c>
      <c r="E3570" s="538" t="s">
        <v>402</v>
      </c>
      <c r="F3570" s="538">
        <v>16702616</v>
      </c>
      <c r="G3570" s="538">
        <v>592</v>
      </c>
    </row>
    <row r="3571" spans="1:7" x14ac:dyDescent="0.2">
      <c r="A3571" s="538">
        <v>4</v>
      </c>
      <c r="B3571" s="538" t="s">
        <v>6590</v>
      </c>
      <c r="C3571" s="538" t="s">
        <v>393</v>
      </c>
      <c r="D3571" s="538" t="s">
        <v>393</v>
      </c>
      <c r="E3571" s="538" t="s">
        <v>313</v>
      </c>
      <c r="F3571" s="538">
        <v>519141</v>
      </c>
      <c r="G3571" s="538">
        <v>7</v>
      </c>
    </row>
    <row r="3572" spans="1:7" x14ac:dyDescent="0.2">
      <c r="A3572" s="538">
        <v>2</v>
      </c>
      <c r="B3572" s="538" t="s">
        <v>6573</v>
      </c>
      <c r="C3572" s="538" t="s">
        <v>740</v>
      </c>
      <c r="D3572" s="538" t="s">
        <v>740</v>
      </c>
      <c r="E3572" s="538" t="s">
        <v>390</v>
      </c>
      <c r="F3572" s="538">
        <v>355947</v>
      </c>
      <c r="G3572" s="538">
        <v>19</v>
      </c>
    </row>
    <row r="3573" spans="1:7" x14ac:dyDescent="0.2">
      <c r="A3573" s="538">
        <v>3</v>
      </c>
      <c r="B3573" s="538" t="s">
        <v>6578</v>
      </c>
      <c r="C3573" s="538" t="s">
        <v>393</v>
      </c>
      <c r="D3573" s="538" t="s">
        <v>393</v>
      </c>
      <c r="E3573" s="538" t="s">
        <v>419</v>
      </c>
      <c r="F3573" s="538">
        <v>74163</v>
      </c>
      <c r="G3573" s="538">
        <v>1</v>
      </c>
    </row>
    <row r="3574" spans="1:7" x14ac:dyDescent="0.2">
      <c r="A3574" s="538">
        <v>7</v>
      </c>
      <c r="B3574" s="538" t="s">
        <v>6588</v>
      </c>
      <c r="C3574" s="538" t="s">
        <v>393</v>
      </c>
      <c r="D3574" s="538" t="s">
        <v>393</v>
      </c>
      <c r="E3574" s="538" t="s">
        <v>210</v>
      </c>
      <c r="F3574" s="538">
        <v>1494890</v>
      </c>
      <c r="G3574" s="538">
        <v>40</v>
      </c>
    </row>
    <row r="3575" spans="1:7" x14ac:dyDescent="0.2">
      <c r="A3575" s="538">
        <v>7</v>
      </c>
      <c r="B3575" s="538" t="s">
        <v>6580</v>
      </c>
      <c r="C3575" s="538" t="s">
        <v>740</v>
      </c>
      <c r="D3575" s="538" t="s">
        <v>393</v>
      </c>
      <c r="E3575" s="538" t="s">
        <v>401</v>
      </c>
      <c r="F3575" s="538">
        <v>11328</v>
      </c>
      <c r="G3575" s="538">
        <v>1</v>
      </c>
    </row>
    <row r="3576" spans="1:7" x14ac:dyDescent="0.2">
      <c r="A3576" s="538">
        <v>2</v>
      </c>
      <c r="B3576" s="538" t="s">
        <v>6654</v>
      </c>
      <c r="C3576" s="538" t="s">
        <v>740</v>
      </c>
      <c r="D3576" s="538" t="s">
        <v>740</v>
      </c>
      <c r="E3576" s="538" t="s">
        <v>212</v>
      </c>
      <c r="F3576" s="538">
        <v>22656</v>
      </c>
      <c r="G3576" s="538">
        <v>2</v>
      </c>
    </row>
    <row r="3577" spans="1:7" x14ac:dyDescent="0.2">
      <c r="A3577" s="538">
        <v>4</v>
      </c>
      <c r="B3577" s="538" t="s">
        <v>6562</v>
      </c>
      <c r="C3577" s="538" t="s">
        <v>393</v>
      </c>
      <c r="D3577" s="538" t="s">
        <v>393</v>
      </c>
      <c r="E3577" s="538" t="s">
        <v>210</v>
      </c>
      <c r="F3577" s="538">
        <v>804819</v>
      </c>
      <c r="G3577" s="538">
        <v>33</v>
      </c>
    </row>
    <row r="3578" spans="1:7" x14ac:dyDescent="0.2">
      <c r="A3578" s="538">
        <v>4</v>
      </c>
      <c r="B3578" s="538" t="s">
        <v>6559</v>
      </c>
      <c r="C3578" s="538" t="s">
        <v>740</v>
      </c>
      <c r="D3578" s="538" t="s">
        <v>740</v>
      </c>
      <c r="E3578" s="538" t="s">
        <v>416</v>
      </c>
      <c r="F3578" s="538">
        <v>100901875</v>
      </c>
      <c r="G3578" s="538">
        <v>2210</v>
      </c>
    </row>
    <row r="3579" spans="1:7" x14ac:dyDescent="0.2">
      <c r="A3579" s="538">
        <v>5</v>
      </c>
      <c r="B3579" s="538" t="s">
        <v>6598</v>
      </c>
      <c r="C3579" s="538" t="s">
        <v>393</v>
      </c>
      <c r="D3579" s="538" t="s">
        <v>740</v>
      </c>
      <c r="E3579" s="538" t="s">
        <v>212</v>
      </c>
      <c r="F3579" s="538">
        <v>90624</v>
      </c>
      <c r="G3579" s="538">
        <v>8</v>
      </c>
    </row>
    <row r="3580" spans="1:7" x14ac:dyDescent="0.2">
      <c r="A3580" s="538">
        <v>3</v>
      </c>
      <c r="B3580" s="538" t="s">
        <v>6591</v>
      </c>
      <c r="C3580" s="538" t="s">
        <v>740</v>
      </c>
      <c r="D3580" s="538" t="s">
        <v>740</v>
      </c>
      <c r="E3580" s="538" t="s">
        <v>313</v>
      </c>
      <c r="F3580" s="538">
        <v>74163</v>
      </c>
      <c r="G3580" s="538">
        <v>1</v>
      </c>
    </row>
    <row r="3581" spans="1:7" x14ac:dyDescent="0.2">
      <c r="A3581" s="538">
        <v>12</v>
      </c>
      <c r="B3581" s="538" t="s">
        <v>6563</v>
      </c>
      <c r="C3581" s="538" t="s">
        <v>740</v>
      </c>
      <c r="D3581" s="538" t="s">
        <v>740</v>
      </c>
      <c r="E3581" s="538" t="s">
        <v>438</v>
      </c>
      <c r="F3581" s="538">
        <v>33984</v>
      </c>
      <c r="G3581" s="538">
        <v>3</v>
      </c>
    </row>
    <row r="3582" spans="1:7" x14ac:dyDescent="0.2">
      <c r="A3582" s="538">
        <v>10</v>
      </c>
      <c r="B3582" s="538" t="s">
        <v>6664</v>
      </c>
      <c r="C3582" s="538" t="s">
        <v>740</v>
      </c>
      <c r="D3582" s="538" t="s">
        <v>393</v>
      </c>
      <c r="E3582" s="538" t="s">
        <v>211</v>
      </c>
      <c r="F3582" s="538">
        <v>256473</v>
      </c>
      <c r="G3582" s="538">
        <v>6</v>
      </c>
    </row>
    <row r="3583" spans="1:7" x14ac:dyDescent="0.2">
      <c r="A3583" s="538">
        <v>12</v>
      </c>
      <c r="B3583" s="538" t="s">
        <v>6616</v>
      </c>
      <c r="C3583" s="538" t="s">
        <v>393</v>
      </c>
      <c r="D3583" s="538" t="s">
        <v>393</v>
      </c>
      <c r="E3583" s="538" t="s">
        <v>409</v>
      </c>
      <c r="F3583" s="538">
        <v>1276701</v>
      </c>
      <c r="G3583" s="538">
        <v>67</v>
      </c>
    </row>
    <row r="3584" spans="1:7" x14ac:dyDescent="0.2">
      <c r="A3584" s="538">
        <v>9</v>
      </c>
      <c r="B3584" s="538" t="s">
        <v>948</v>
      </c>
      <c r="C3584" s="538" t="s">
        <v>393</v>
      </c>
      <c r="D3584" s="538" t="s">
        <v>393</v>
      </c>
      <c r="E3584" s="538" t="s">
        <v>401</v>
      </c>
      <c r="F3584" s="538">
        <v>169743</v>
      </c>
      <c r="G3584" s="538">
        <v>6</v>
      </c>
    </row>
    <row r="3585" spans="1:7" x14ac:dyDescent="0.2">
      <c r="A3585" s="538">
        <v>9</v>
      </c>
      <c r="B3585" s="538" t="s">
        <v>6614</v>
      </c>
      <c r="C3585" s="538" t="s">
        <v>393</v>
      </c>
      <c r="D3585" s="538" t="s">
        <v>393</v>
      </c>
      <c r="E3585" s="538" t="s">
        <v>402</v>
      </c>
      <c r="F3585" s="538">
        <v>3596432</v>
      </c>
      <c r="G3585" s="538">
        <v>64</v>
      </c>
    </row>
    <row r="3586" spans="1:7" x14ac:dyDescent="0.2">
      <c r="A3586" s="538">
        <v>7</v>
      </c>
      <c r="B3586" s="538" t="s">
        <v>6661</v>
      </c>
      <c r="C3586" s="538" t="s">
        <v>393</v>
      </c>
      <c r="D3586" s="538" t="s">
        <v>393</v>
      </c>
      <c r="E3586" s="538" t="s">
        <v>419</v>
      </c>
      <c r="F3586" s="538">
        <v>11328</v>
      </c>
      <c r="G3586" s="538">
        <v>1</v>
      </c>
    </row>
    <row r="3587" spans="1:7" x14ac:dyDescent="0.2">
      <c r="A3587" s="538">
        <v>4</v>
      </c>
      <c r="B3587" s="538" t="s">
        <v>6559</v>
      </c>
      <c r="C3587" s="538" t="s">
        <v>740</v>
      </c>
      <c r="D3587" s="538" t="s">
        <v>393</v>
      </c>
      <c r="E3587" s="538" t="s">
        <v>409</v>
      </c>
      <c r="F3587" s="538">
        <v>19141895</v>
      </c>
      <c r="G3587" s="538">
        <v>505</v>
      </c>
    </row>
    <row r="3588" spans="1:7" x14ac:dyDescent="0.2">
      <c r="A3588" s="538">
        <v>2</v>
      </c>
      <c r="B3588" s="538" t="s">
        <v>6573</v>
      </c>
      <c r="C3588" s="538" t="s">
        <v>740</v>
      </c>
      <c r="D3588" s="538" t="s">
        <v>740</v>
      </c>
      <c r="E3588" s="538" t="s">
        <v>211</v>
      </c>
      <c r="F3588" s="538">
        <v>95580</v>
      </c>
      <c r="G3588" s="538">
        <v>5</v>
      </c>
    </row>
    <row r="3589" spans="1:7" x14ac:dyDescent="0.2">
      <c r="A3589" s="538">
        <v>6</v>
      </c>
      <c r="B3589" s="538" t="s">
        <v>6596</v>
      </c>
      <c r="C3589" s="538" t="s">
        <v>740</v>
      </c>
      <c r="D3589" s="538" t="s">
        <v>393</v>
      </c>
      <c r="E3589" s="538" t="s">
        <v>416</v>
      </c>
      <c r="F3589" s="538">
        <v>8828417</v>
      </c>
      <c r="G3589" s="538">
        <v>154</v>
      </c>
    </row>
    <row r="3590" spans="1:7" x14ac:dyDescent="0.2">
      <c r="A3590" s="538">
        <v>2</v>
      </c>
      <c r="B3590" s="538" t="s">
        <v>6585</v>
      </c>
      <c r="C3590" s="538" t="s">
        <v>393</v>
      </c>
      <c r="D3590" s="538" t="s">
        <v>393</v>
      </c>
      <c r="E3590" s="538" t="s">
        <v>210</v>
      </c>
      <c r="F3590" s="538">
        <v>2045256</v>
      </c>
      <c r="G3590" s="538">
        <v>32</v>
      </c>
    </row>
    <row r="3591" spans="1:7" x14ac:dyDescent="0.2">
      <c r="A3591" s="538">
        <v>8</v>
      </c>
      <c r="B3591" s="538" t="s">
        <v>6560</v>
      </c>
      <c r="C3591" s="538" t="s">
        <v>740</v>
      </c>
      <c r="D3591" s="538" t="s">
        <v>393</v>
      </c>
      <c r="E3591" s="538" t="s">
        <v>438</v>
      </c>
      <c r="F3591" s="538">
        <v>281607</v>
      </c>
      <c r="G3591" s="538">
        <v>9</v>
      </c>
    </row>
    <row r="3592" spans="1:7" x14ac:dyDescent="0.2">
      <c r="A3592" s="538">
        <v>2</v>
      </c>
      <c r="B3592" s="538" t="s">
        <v>6656</v>
      </c>
      <c r="C3592" s="538" t="s">
        <v>740</v>
      </c>
      <c r="D3592" s="538" t="s">
        <v>393</v>
      </c>
      <c r="E3592" s="538" t="s">
        <v>390</v>
      </c>
      <c r="F3592" s="538">
        <v>1093860</v>
      </c>
      <c r="G3592" s="538">
        <v>40</v>
      </c>
    </row>
    <row r="3593" spans="1:7" x14ac:dyDescent="0.2">
      <c r="A3593" s="538">
        <v>1</v>
      </c>
      <c r="B3593" s="538" t="s">
        <v>6649</v>
      </c>
      <c r="C3593" s="538" t="s">
        <v>740</v>
      </c>
      <c r="D3593" s="538" t="s">
        <v>393</v>
      </c>
      <c r="E3593" s="538" t="s">
        <v>416</v>
      </c>
      <c r="F3593" s="538">
        <v>594897</v>
      </c>
      <c r="G3593" s="538">
        <v>29</v>
      </c>
    </row>
    <row r="3594" spans="1:7" x14ac:dyDescent="0.2">
      <c r="A3594" s="538">
        <v>3</v>
      </c>
      <c r="B3594" s="538" t="s">
        <v>6591</v>
      </c>
      <c r="C3594" s="538" t="s">
        <v>740</v>
      </c>
      <c r="D3594" s="538" t="s">
        <v>740</v>
      </c>
      <c r="E3594" s="538" t="s">
        <v>390</v>
      </c>
      <c r="F3594" s="538">
        <v>74163</v>
      </c>
      <c r="G3594" s="538">
        <v>1</v>
      </c>
    </row>
    <row r="3595" spans="1:7" x14ac:dyDescent="0.2">
      <c r="A3595" s="538">
        <v>7</v>
      </c>
      <c r="B3595" s="538" t="s">
        <v>6579</v>
      </c>
      <c r="C3595" s="538" t="s">
        <v>740</v>
      </c>
      <c r="D3595" s="538" t="s">
        <v>740</v>
      </c>
      <c r="E3595" s="538" t="s">
        <v>210</v>
      </c>
      <c r="F3595" s="538">
        <v>96819</v>
      </c>
      <c r="G3595" s="538">
        <v>3</v>
      </c>
    </row>
    <row r="3596" spans="1:7" x14ac:dyDescent="0.2">
      <c r="A3596" s="538">
        <v>6</v>
      </c>
      <c r="B3596" s="538" t="s">
        <v>6617</v>
      </c>
      <c r="C3596" s="538" t="s">
        <v>393</v>
      </c>
      <c r="D3596" s="538" t="s">
        <v>740</v>
      </c>
      <c r="E3596" s="538" t="s">
        <v>449</v>
      </c>
      <c r="F3596" s="538">
        <v>288156</v>
      </c>
      <c r="G3596" s="538">
        <v>22</v>
      </c>
    </row>
    <row r="3597" spans="1:7" x14ac:dyDescent="0.2">
      <c r="A3597" s="538">
        <v>11</v>
      </c>
      <c r="B3597" s="538" t="s">
        <v>6584</v>
      </c>
      <c r="C3597" s="538" t="s">
        <v>740</v>
      </c>
      <c r="D3597" s="538" t="s">
        <v>393</v>
      </c>
      <c r="E3597" s="538" t="s">
        <v>211</v>
      </c>
      <c r="F3597" s="538">
        <v>1561213</v>
      </c>
      <c r="G3597" s="538">
        <v>21</v>
      </c>
    </row>
    <row r="3598" spans="1:7" x14ac:dyDescent="0.2">
      <c r="A3598" s="538">
        <v>6</v>
      </c>
      <c r="B3598" s="538" t="s">
        <v>6575</v>
      </c>
      <c r="C3598" s="538" t="s">
        <v>393</v>
      </c>
      <c r="D3598" s="538" t="s">
        <v>393</v>
      </c>
      <c r="E3598" s="538" t="s">
        <v>860</v>
      </c>
      <c r="F3598" s="538">
        <v>1877616</v>
      </c>
      <c r="G3598" s="538">
        <v>82</v>
      </c>
    </row>
    <row r="3599" spans="1:7" x14ac:dyDescent="0.2">
      <c r="A3599" s="538">
        <v>2</v>
      </c>
      <c r="B3599" s="538" t="s">
        <v>6573</v>
      </c>
      <c r="C3599" s="538" t="s">
        <v>740</v>
      </c>
      <c r="D3599" s="538" t="s">
        <v>393</v>
      </c>
      <c r="E3599" s="538" t="s">
        <v>313</v>
      </c>
      <c r="F3599" s="538">
        <v>3866180</v>
      </c>
      <c r="G3599" s="538">
        <v>35</v>
      </c>
    </row>
    <row r="3600" spans="1:7" x14ac:dyDescent="0.2">
      <c r="A3600" s="538">
        <v>5</v>
      </c>
      <c r="B3600" s="538" t="s">
        <v>6599</v>
      </c>
      <c r="C3600" s="538" t="s">
        <v>740</v>
      </c>
      <c r="D3600" s="538" t="s">
        <v>740</v>
      </c>
      <c r="E3600" s="538" t="s">
        <v>210</v>
      </c>
      <c r="F3600" s="538">
        <v>170982</v>
      </c>
      <c r="G3600" s="538">
        <v>4</v>
      </c>
    </row>
    <row r="3601" spans="1:7" x14ac:dyDescent="0.2">
      <c r="A3601" s="538">
        <v>9</v>
      </c>
      <c r="B3601" s="538" t="s">
        <v>6644</v>
      </c>
      <c r="C3601" s="538" t="s">
        <v>740</v>
      </c>
      <c r="D3601" s="538" t="s">
        <v>393</v>
      </c>
      <c r="E3601" s="538" t="s">
        <v>449</v>
      </c>
      <c r="F3601" s="538">
        <v>215232</v>
      </c>
      <c r="G3601" s="538">
        <v>19</v>
      </c>
    </row>
    <row r="3602" spans="1:7" x14ac:dyDescent="0.2">
      <c r="A3602" s="538">
        <v>3</v>
      </c>
      <c r="B3602" s="538" t="s">
        <v>6586</v>
      </c>
      <c r="C3602" s="538" t="s">
        <v>740</v>
      </c>
      <c r="D3602" s="538" t="s">
        <v>740</v>
      </c>
      <c r="E3602" s="538" t="s">
        <v>390</v>
      </c>
      <c r="F3602" s="538">
        <v>15566026</v>
      </c>
      <c r="G3602" s="538">
        <v>457</v>
      </c>
    </row>
    <row r="3603" spans="1:7" x14ac:dyDescent="0.2">
      <c r="A3603" s="538">
        <v>12</v>
      </c>
      <c r="B3603" s="538" t="s">
        <v>6616</v>
      </c>
      <c r="C3603" s="538" t="s">
        <v>740</v>
      </c>
      <c r="D3603" s="538" t="s">
        <v>740</v>
      </c>
      <c r="E3603" s="538" t="s">
        <v>230</v>
      </c>
      <c r="F3603" s="538">
        <v>11328</v>
      </c>
      <c r="G3603" s="538">
        <v>1</v>
      </c>
    </row>
    <row r="3604" spans="1:7" x14ac:dyDescent="0.2">
      <c r="A3604" s="538">
        <v>6</v>
      </c>
      <c r="B3604" s="538" t="s">
        <v>6429</v>
      </c>
      <c r="C3604" s="538" t="s">
        <v>740</v>
      </c>
      <c r="D3604" s="538" t="s">
        <v>740</v>
      </c>
      <c r="E3604" s="538" t="s">
        <v>402</v>
      </c>
      <c r="F3604" s="538">
        <v>294351</v>
      </c>
      <c r="G3604" s="538">
        <v>17</v>
      </c>
    </row>
    <row r="3605" spans="1:7" x14ac:dyDescent="0.2">
      <c r="A3605" s="538">
        <v>11</v>
      </c>
      <c r="B3605" s="538" t="s">
        <v>6584</v>
      </c>
      <c r="C3605" s="538" t="s">
        <v>393</v>
      </c>
      <c r="D3605" s="538" t="s">
        <v>393</v>
      </c>
      <c r="E3605" s="538" t="s">
        <v>497</v>
      </c>
      <c r="F3605" s="538">
        <v>496433</v>
      </c>
      <c r="G3605" s="538">
        <v>1</v>
      </c>
    </row>
    <row r="3606" spans="1:7" x14ac:dyDescent="0.2">
      <c r="A3606" s="538">
        <v>8</v>
      </c>
      <c r="B3606" s="538" t="s">
        <v>6577</v>
      </c>
      <c r="C3606" s="538" t="s">
        <v>740</v>
      </c>
      <c r="D3606" s="538" t="s">
        <v>740</v>
      </c>
      <c r="E3606" s="538" t="s">
        <v>209</v>
      </c>
      <c r="F3606" s="538">
        <v>12496420</v>
      </c>
      <c r="G3606" s="538">
        <v>40</v>
      </c>
    </row>
    <row r="3607" spans="1:7" x14ac:dyDescent="0.2">
      <c r="A3607" s="538">
        <v>2</v>
      </c>
      <c r="B3607" s="538" t="s">
        <v>6573</v>
      </c>
      <c r="C3607" s="538" t="s">
        <v>740</v>
      </c>
      <c r="D3607" s="538" t="s">
        <v>393</v>
      </c>
      <c r="E3607" s="538" t="s">
        <v>401</v>
      </c>
      <c r="F3607" s="538">
        <v>11328</v>
      </c>
      <c r="G3607" s="538">
        <v>1</v>
      </c>
    </row>
    <row r="3608" spans="1:7" x14ac:dyDescent="0.2">
      <c r="A3608" s="538">
        <v>4</v>
      </c>
      <c r="B3608" s="538" t="s">
        <v>6574</v>
      </c>
      <c r="C3608" s="538" t="s">
        <v>740</v>
      </c>
      <c r="D3608" s="538" t="s">
        <v>740</v>
      </c>
      <c r="E3608" s="538" t="s">
        <v>401</v>
      </c>
      <c r="F3608" s="538">
        <v>949553</v>
      </c>
      <c r="G3608" s="538">
        <v>41</v>
      </c>
    </row>
    <row r="3609" spans="1:7" x14ac:dyDescent="0.2">
      <c r="A3609" s="538">
        <v>4</v>
      </c>
      <c r="B3609" s="538" t="s">
        <v>6590</v>
      </c>
      <c r="C3609" s="538" t="s">
        <v>740</v>
      </c>
      <c r="D3609" s="538" t="s">
        <v>740</v>
      </c>
      <c r="E3609" s="538" t="s">
        <v>212</v>
      </c>
      <c r="F3609" s="538">
        <v>22656</v>
      </c>
      <c r="G3609" s="538">
        <v>2</v>
      </c>
    </row>
    <row r="3610" spans="1:7" x14ac:dyDescent="0.2">
      <c r="A3610" s="538">
        <v>9</v>
      </c>
      <c r="B3610" s="538" t="s">
        <v>6645</v>
      </c>
      <c r="C3610" s="538" t="s">
        <v>740</v>
      </c>
      <c r="D3610" s="538" t="s">
        <v>393</v>
      </c>
      <c r="E3610" s="538" t="s">
        <v>313</v>
      </c>
      <c r="F3610" s="538">
        <v>135759</v>
      </c>
      <c r="G3610" s="538">
        <v>3</v>
      </c>
    </row>
    <row r="3611" spans="1:7" x14ac:dyDescent="0.2">
      <c r="A3611" s="538">
        <v>3</v>
      </c>
      <c r="B3611" s="538" t="s">
        <v>6647</v>
      </c>
      <c r="C3611" s="538" t="s">
        <v>740</v>
      </c>
      <c r="D3611" s="538" t="s">
        <v>393</v>
      </c>
      <c r="E3611" s="538" t="s">
        <v>230</v>
      </c>
      <c r="F3611" s="538">
        <v>803351</v>
      </c>
      <c r="G3611" s="538">
        <v>17</v>
      </c>
    </row>
    <row r="3612" spans="1:7" x14ac:dyDescent="0.2">
      <c r="A3612" s="538">
        <v>7</v>
      </c>
      <c r="B3612" s="538" t="s">
        <v>6604</v>
      </c>
      <c r="C3612" s="538" t="s">
        <v>393</v>
      </c>
      <c r="D3612" s="538" t="s">
        <v>393</v>
      </c>
      <c r="E3612" s="538" t="s">
        <v>209</v>
      </c>
      <c r="F3612" s="538">
        <v>50268</v>
      </c>
      <c r="G3612" s="538">
        <v>1</v>
      </c>
    </row>
    <row r="3613" spans="1:7" x14ac:dyDescent="0.2">
      <c r="A3613" s="538">
        <v>5</v>
      </c>
      <c r="B3613" s="538" t="s">
        <v>6599</v>
      </c>
      <c r="C3613" s="538" t="s">
        <v>740</v>
      </c>
      <c r="D3613" s="538" t="s">
        <v>740</v>
      </c>
      <c r="E3613" s="538" t="s">
        <v>390</v>
      </c>
      <c r="F3613" s="538">
        <v>5214920</v>
      </c>
      <c r="G3613" s="538">
        <v>125</v>
      </c>
    </row>
    <row r="3614" spans="1:7" x14ac:dyDescent="0.2">
      <c r="A3614" s="538">
        <v>10</v>
      </c>
      <c r="B3614" s="538" t="s">
        <v>6597</v>
      </c>
      <c r="C3614" s="538" t="s">
        <v>393</v>
      </c>
      <c r="D3614" s="538" t="s">
        <v>393</v>
      </c>
      <c r="E3614" s="538" t="s">
        <v>207</v>
      </c>
      <c r="F3614" s="538">
        <v>10952219</v>
      </c>
      <c r="G3614" s="538">
        <v>513</v>
      </c>
    </row>
    <row r="3615" spans="1:7" x14ac:dyDescent="0.2">
      <c r="A3615" s="538">
        <v>6</v>
      </c>
      <c r="B3615" s="538" t="s">
        <v>6596</v>
      </c>
      <c r="C3615" s="538" t="s">
        <v>393</v>
      </c>
      <c r="D3615" s="538" t="s">
        <v>393</v>
      </c>
      <c r="E3615" s="538" t="s">
        <v>401</v>
      </c>
      <c r="F3615" s="538">
        <v>408870</v>
      </c>
      <c r="G3615" s="538">
        <v>25</v>
      </c>
    </row>
    <row r="3616" spans="1:7" x14ac:dyDescent="0.2">
      <c r="A3616" s="538">
        <v>3</v>
      </c>
      <c r="B3616" s="538" t="s">
        <v>6586</v>
      </c>
      <c r="C3616" s="538" t="s">
        <v>393</v>
      </c>
      <c r="D3616" s="538" t="s">
        <v>393</v>
      </c>
      <c r="E3616" s="538" t="s">
        <v>860</v>
      </c>
      <c r="F3616" s="538">
        <v>1777913</v>
      </c>
      <c r="G3616" s="538">
        <v>61</v>
      </c>
    </row>
    <row r="3617" spans="1:7" x14ac:dyDescent="0.2">
      <c r="A3617" s="538">
        <v>8</v>
      </c>
      <c r="B3617" s="538" t="s">
        <v>6577</v>
      </c>
      <c r="C3617" s="538" t="s">
        <v>740</v>
      </c>
      <c r="D3617" s="538" t="s">
        <v>740</v>
      </c>
      <c r="E3617" s="538" t="s">
        <v>419</v>
      </c>
      <c r="F3617" s="538">
        <v>22656</v>
      </c>
      <c r="G3617" s="538">
        <v>2</v>
      </c>
    </row>
    <row r="3618" spans="1:7" x14ac:dyDescent="0.2">
      <c r="A3618" s="538">
        <v>7</v>
      </c>
      <c r="B3618" s="538" t="s">
        <v>6604</v>
      </c>
      <c r="C3618" s="538" t="s">
        <v>740</v>
      </c>
      <c r="D3618" s="538" t="s">
        <v>393</v>
      </c>
      <c r="E3618" s="538" t="s">
        <v>402</v>
      </c>
      <c r="F3618" s="538">
        <v>1489226</v>
      </c>
      <c r="G3618" s="538">
        <v>72</v>
      </c>
    </row>
    <row r="3619" spans="1:7" x14ac:dyDescent="0.2">
      <c r="A3619" s="538">
        <v>11</v>
      </c>
      <c r="B3619" s="538" t="s">
        <v>6612</v>
      </c>
      <c r="C3619" s="538" t="s">
        <v>740</v>
      </c>
      <c r="D3619" s="538" t="s">
        <v>740</v>
      </c>
      <c r="E3619" s="538" t="s">
        <v>211</v>
      </c>
      <c r="F3619" s="538">
        <v>619854</v>
      </c>
      <c r="G3619" s="538">
        <v>23</v>
      </c>
    </row>
    <row r="3620" spans="1:7" x14ac:dyDescent="0.2">
      <c r="A3620" s="538">
        <v>9</v>
      </c>
      <c r="B3620" s="538" t="s">
        <v>6644</v>
      </c>
      <c r="C3620" s="538" t="s">
        <v>393</v>
      </c>
      <c r="D3620" s="538" t="s">
        <v>393</v>
      </c>
      <c r="E3620" s="538" t="s">
        <v>209</v>
      </c>
      <c r="F3620" s="538">
        <v>5224520</v>
      </c>
      <c r="G3620" s="538">
        <v>15</v>
      </c>
    </row>
    <row r="3621" spans="1:7" x14ac:dyDescent="0.2">
      <c r="A3621" s="538">
        <v>4</v>
      </c>
      <c r="B3621" s="538" t="s">
        <v>6593</v>
      </c>
      <c r="C3621" s="538" t="s">
        <v>740</v>
      </c>
      <c r="D3621" s="538" t="s">
        <v>740</v>
      </c>
      <c r="E3621" s="538" t="s">
        <v>390</v>
      </c>
      <c r="F3621" s="538">
        <v>15590400</v>
      </c>
      <c r="G3621" s="538">
        <v>385</v>
      </c>
    </row>
    <row r="3622" spans="1:7" x14ac:dyDescent="0.2">
      <c r="A3622" s="538">
        <v>4</v>
      </c>
      <c r="B3622" s="538" t="s">
        <v>6572</v>
      </c>
      <c r="C3622" s="538" t="s">
        <v>740</v>
      </c>
      <c r="D3622" s="538" t="s">
        <v>393</v>
      </c>
      <c r="E3622" s="538" t="s">
        <v>211</v>
      </c>
      <c r="F3622" s="538">
        <v>447633</v>
      </c>
      <c r="G3622" s="538">
        <v>16</v>
      </c>
    </row>
    <row r="3623" spans="1:7" x14ac:dyDescent="0.2">
      <c r="A3623" s="538">
        <v>6</v>
      </c>
      <c r="B3623" s="538" t="s">
        <v>6433</v>
      </c>
      <c r="C3623" s="538" t="s">
        <v>740</v>
      </c>
      <c r="D3623" s="538" t="s">
        <v>393</v>
      </c>
      <c r="E3623" s="538" t="s">
        <v>416</v>
      </c>
      <c r="F3623" s="538">
        <v>4193099</v>
      </c>
      <c r="G3623" s="538">
        <v>118</v>
      </c>
    </row>
    <row r="3624" spans="1:7" x14ac:dyDescent="0.2">
      <c r="A3624" s="538">
        <v>11</v>
      </c>
      <c r="B3624" s="538" t="s">
        <v>6592</v>
      </c>
      <c r="C3624" s="538" t="s">
        <v>740</v>
      </c>
      <c r="D3624" s="538" t="s">
        <v>393</v>
      </c>
      <c r="E3624" s="538" t="s">
        <v>212</v>
      </c>
      <c r="F3624" s="538">
        <v>56640</v>
      </c>
      <c r="G3624" s="538">
        <v>5</v>
      </c>
    </row>
    <row r="3625" spans="1:7" x14ac:dyDescent="0.2">
      <c r="A3625" s="538">
        <v>12</v>
      </c>
      <c r="B3625" s="538" t="s">
        <v>6563</v>
      </c>
      <c r="C3625" s="538" t="s">
        <v>740</v>
      </c>
      <c r="D3625" s="538" t="s">
        <v>740</v>
      </c>
      <c r="E3625" s="538" t="s">
        <v>202</v>
      </c>
      <c r="F3625" s="538">
        <v>100536</v>
      </c>
      <c r="G3625" s="538">
        <v>2</v>
      </c>
    </row>
    <row r="3626" spans="1:7" x14ac:dyDescent="0.2">
      <c r="A3626" s="538">
        <v>10</v>
      </c>
      <c r="B3626" s="538" t="s">
        <v>6582</v>
      </c>
      <c r="C3626" s="538" t="s">
        <v>740</v>
      </c>
      <c r="D3626" s="538" t="s">
        <v>393</v>
      </c>
      <c r="E3626" s="538" t="s">
        <v>211</v>
      </c>
      <c r="F3626" s="538">
        <v>45312</v>
      </c>
      <c r="G3626" s="538">
        <v>4</v>
      </c>
    </row>
    <row r="3627" spans="1:7" x14ac:dyDescent="0.2">
      <c r="A3627" s="538">
        <v>9</v>
      </c>
      <c r="B3627" s="538" t="s">
        <v>6644</v>
      </c>
      <c r="C3627" s="538" t="s">
        <v>740</v>
      </c>
      <c r="D3627" s="538" t="s">
        <v>393</v>
      </c>
      <c r="E3627" s="538" t="s">
        <v>211</v>
      </c>
      <c r="F3627" s="538">
        <v>11328</v>
      </c>
      <c r="G3627" s="538">
        <v>1</v>
      </c>
    </row>
    <row r="3628" spans="1:7" x14ac:dyDescent="0.2">
      <c r="A3628" s="538">
        <v>10</v>
      </c>
      <c r="B3628" s="538" t="s">
        <v>6587</v>
      </c>
      <c r="C3628" s="538" t="s">
        <v>393</v>
      </c>
      <c r="D3628" s="538" t="s">
        <v>393</v>
      </c>
      <c r="E3628" s="538" t="s">
        <v>230</v>
      </c>
      <c r="F3628" s="538">
        <v>5143006</v>
      </c>
      <c r="G3628" s="538">
        <v>107</v>
      </c>
    </row>
    <row r="3629" spans="1:7" x14ac:dyDescent="0.2">
      <c r="A3629" s="538">
        <v>2</v>
      </c>
      <c r="B3629" s="538" t="s">
        <v>6585</v>
      </c>
      <c r="C3629" s="538" t="s">
        <v>740</v>
      </c>
      <c r="D3629" s="538" t="s">
        <v>393</v>
      </c>
      <c r="E3629" s="538" t="s">
        <v>390</v>
      </c>
      <c r="F3629" s="538">
        <v>11790647</v>
      </c>
      <c r="G3629" s="538">
        <v>349</v>
      </c>
    </row>
    <row r="3630" spans="1:7" x14ac:dyDescent="0.2">
      <c r="A3630" s="538">
        <v>10</v>
      </c>
      <c r="B3630" s="538" t="s">
        <v>6587</v>
      </c>
      <c r="C3630" s="538" t="s">
        <v>740</v>
      </c>
      <c r="D3630" s="538" t="s">
        <v>393</v>
      </c>
      <c r="E3630" s="538" t="s">
        <v>207</v>
      </c>
      <c r="F3630" s="538">
        <v>1401663</v>
      </c>
      <c r="G3630" s="538">
        <v>101</v>
      </c>
    </row>
    <row r="3631" spans="1:7" x14ac:dyDescent="0.2">
      <c r="A3631" s="538">
        <v>2</v>
      </c>
      <c r="B3631" s="538" t="s">
        <v>6585</v>
      </c>
      <c r="C3631" s="538" t="s">
        <v>740</v>
      </c>
      <c r="D3631" s="538" t="s">
        <v>393</v>
      </c>
      <c r="E3631" s="538" t="s">
        <v>416</v>
      </c>
      <c r="F3631" s="538">
        <v>315591</v>
      </c>
      <c r="G3631" s="538">
        <v>12</v>
      </c>
    </row>
    <row r="3632" spans="1:7" x14ac:dyDescent="0.2">
      <c r="A3632" s="538">
        <v>3</v>
      </c>
      <c r="B3632" s="538" t="s">
        <v>1390</v>
      </c>
      <c r="C3632" s="538" t="s">
        <v>393</v>
      </c>
      <c r="D3632" s="538" t="s">
        <v>393</v>
      </c>
      <c r="E3632" s="538" t="s">
        <v>390</v>
      </c>
      <c r="F3632" s="538">
        <v>26801643</v>
      </c>
      <c r="G3632" s="538">
        <v>546</v>
      </c>
    </row>
    <row r="3633" spans="1:7" x14ac:dyDescent="0.2">
      <c r="A3633" s="538">
        <v>4</v>
      </c>
      <c r="B3633" s="538" t="s">
        <v>6562</v>
      </c>
      <c r="C3633" s="538" t="s">
        <v>740</v>
      </c>
      <c r="D3633" s="538" t="s">
        <v>740</v>
      </c>
      <c r="E3633" s="538" t="s">
        <v>207</v>
      </c>
      <c r="F3633" s="538">
        <v>84252</v>
      </c>
      <c r="G3633" s="538">
        <v>4</v>
      </c>
    </row>
    <row r="3634" spans="1:7" x14ac:dyDescent="0.2">
      <c r="A3634" s="538">
        <v>5</v>
      </c>
      <c r="B3634" s="538" t="s">
        <v>6598</v>
      </c>
      <c r="C3634" s="538" t="s">
        <v>393</v>
      </c>
      <c r="D3634" s="538" t="s">
        <v>740</v>
      </c>
      <c r="E3634" s="538" t="s">
        <v>438</v>
      </c>
      <c r="F3634" s="538">
        <v>1101013</v>
      </c>
      <c r="G3634" s="538">
        <v>6</v>
      </c>
    </row>
    <row r="3635" spans="1:7" x14ac:dyDescent="0.2">
      <c r="A3635" s="538">
        <v>4</v>
      </c>
      <c r="B3635" s="538" t="s">
        <v>6590</v>
      </c>
      <c r="C3635" s="538" t="s">
        <v>740</v>
      </c>
      <c r="D3635" s="538" t="s">
        <v>393</v>
      </c>
      <c r="E3635" s="538" t="s">
        <v>860</v>
      </c>
      <c r="F3635" s="538">
        <v>2888182</v>
      </c>
      <c r="G3635" s="538">
        <v>94</v>
      </c>
    </row>
    <row r="3636" spans="1:7" x14ac:dyDescent="0.2">
      <c r="A3636" s="538">
        <v>11</v>
      </c>
      <c r="B3636" s="538" t="s">
        <v>6610</v>
      </c>
      <c r="C3636" s="538" t="s">
        <v>740</v>
      </c>
      <c r="D3636" s="538" t="s">
        <v>393</v>
      </c>
      <c r="E3636" s="538" t="s">
        <v>402</v>
      </c>
      <c r="F3636" s="538">
        <v>56640</v>
      </c>
      <c r="G3636" s="538">
        <v>5</v>
      </c>
    </row>
    <row r="3637" spans="1:7" x14ac:dyDescent="0.2">
      <c r="A3637" s="538">
        <v>8</v>
      </c>
      <c r="B3637" s="538" t="s">
        <v>6583</v>
      </c>
      <c r="C3637" s="538" t="s">
        <v>740</v>
      </c>
      <c r="D3637" s="538" t="s">
        <v>393</v>
      </c>
      <c r="E3637" s="538" t="s">
        <v>419</v>
      </c>
      <c r="F3637" s="538">
        <v>1415063</v>
      </c>
      <c r="G3637" s="538">
        <v>71</v>
      </c>
    </row>
    <row r="3638" spans="1:7" x14ac:dyDescent="0.2">
      <c r="A3638" s="538">
        <v>2</v>
      </c>
      <c r="B3638" s="538" t="s">
        <v>6573</v>
      </c>
      <c r="C3638" s="538" t="s">
        <v>393</v>
      </c>
      <c r="D3638" s="538" t="s">
        <v>740</v>
      </c>
      <c r="E3638" s="538" t="s">
        <v>230</v>
      </c>
      <c r="F3638" s="538">
        <v>108147</v>
      </c>
      <c r="G3638" s="538">
        <v>4</v>
      </c>
    </row>
    <row r="3639" spans="1:7" x14ac:dyDescent="0.2">
      <c r="A3639" s="538">
        <v>12</v>
      </c>
      <c r="B3639" s="538" t="s">
        <v>6569</v>
      </c>
      <c r="C3639" s="538" t="s">
        <v>740</v>
      </c>
      <c r="D3639" s="538" t="s">
        <v>740</v>
      </c>
      <c r="E3639" s="538" t="s">
        <v>207</v>
      </c>
      <c r="F3639" s="538">
        <v>11328</v>
      </c>
      <c r="G3639" s="538">
        <v>1</v>
      </c>
    </row>
    <row r="3640" spans="1:7" x14ac:dyDescent="0.2">
      <c r="A3640" s="538">
        <v>2</v>
      </c>
      <c r="B3640" s="538" t="s">
        <v>6608</v>
      </c>
      <c r="C3640" s="538" t="s">
        <v>740</v>
      </c>
      <c r="D3640" s="538" t="s">
        <v>393</v>
      </c>
      <c r="E3640" s="538" t="s">
        <v>230</v>
      </c>
      <c r="F3640" s="538">
        <v>1589231</v>
      </c>
      <c r="G3640" s="538">
        <v>47</v>
      </c>
    </row>
    <row r="3641" spans="1:7" x14ac:dyDescent="0.2">
      <c r="A3641" s="538">
        <v>7</v>
      </c>
      <c r="B3641" s="538" t="s">
        <v>6571</v>
      </c>
      <c r="C3641" s="538" t="s">
        <v>393</v>
      </c>
      <c r="D3641" s="538" t="s">
        <v>393</v>
      </c>
      <c r="E3641" s="538" t="s">
        <v>210</v>
      </c>
      <c r="F3641" s="538">
        <v>2685923</v>
      </c>
      <c r="G3641" s="538">
        <v>96</v>
      </c>
    </row>
    <row r="3642" spans="1:7" x14ac:dyDescent="0.2">
      <c r="A3642" s="538">
        <v>7</v>
      </c>
      <c r="B3642" s="538" t="s">
        <v>6604</v>
      </c>
      <c r="C3642" s="538" t="s">
        <v>740</v>
      </c>
      <c r="D3642" s="538" t="s">
        <v>393</v>
      </c>
      <c r="E3642" s="538" t="s">
        <v>209</v>
      </c>
      <c r="F3642" s="538">
        <v>718922</v>
      </c>
      <c r="G3642" s="538">
        <v>4</v>
      </c>
    </row>
    <row r="3643" spans="1:7" x14ac:dyDescent="0.2">
      <c r="A3643" s="538">
        <v>10</v>
      </c>
      <c r="B3643" s="538" t="s">
        <v>6582</v>
      </c>
      <c r="C3643" s="538" t="s">
        <v>740</v>
      </c>
      <c r="D3643" s="538" t="s">
        <v>393</v>
      </c>
      <c r="E3643" s="538" t="s">
        <v>390</v>
      </c>
      <c r="F3643" s="538">
        <v>11328</v>
      </c>
      <c r="G3643" s="538">
        <v>1</v>
      </c>
    </row>
    <row r="3644" spans="1:7" x14ac:dyDescent="0.2">
      <c r="A3644" s="538">
        <v>3</v>
      </c>
      <c r="B3644" s="538" t="s">
        <v>6578</v>
      </c>
      <c r="C3644" s="538" t="s">
        <v>740</v>
      </c>
      <c r="D3644" s="538" t="s">
        <v>740</v>
      </c>
      <c r="E3644" s="538" t="s">
        <v>402</v>
      </c>
      <c r="F3644" s="538">
        <v>8525882</v>
      </c>
      <c r="G3644" s="538">
        <v>324</v>
      </c>
    </row>
    <row r="3645" spans="1:7" x14ac:dyDescent="0.2">
      <c r="A3645" s="538">
        <v>6</v>
      </c>
      <c r="B3645" s="538" t="s">
        <v>6433</v>
      </c>
      <c r="C3645" s="538" t="s">
        <v>740</v>
      </c>
      <c r="D3645" s="538" t="s">
        <v>393</v>
      </c>
      <c r="E3645" s="538" t="s">
        <v>212</v>
      </c>
      <c r="F3645" s="538">
        <v>79296</v>
      </c>
      <c r="G3645" s="538">
        <v>7</v>
      </c>
    </row>
    <row r="3646" spans="1:7" x14ac:dyDescent="0.2">
      <c r="A3646" s="538">
        <v>6</v>
      </c>
      <c r="B3646" s="538" t="s">
        <v>6565</v>
      </c>
      <c r="C3646" s="538" t="s">
        <v>740</v>
      </c>
      <c r="D3646" s="538" t="s">
        <v>393</v>
      </c>
      <c r="E3646" s="538" t="s">
        <v>202</v>
      </c>
      <c r="F3646" s="538">
        <v>134520</v>
      </c>
      <c r="G3646" s="538">
        <v>5</v>
      </c>
    </row>
    <row r="3647" spans="1:7" x14ac:dyDescent="0.2">
      <c r="A3647" s="538">
        <v>2</v>
      </c>
      <c r="B3647" s="538" t="s">
        <v>6576</v>
      </c>
      <c r="C3647" s="538" t="s">
        <v>393</v>
      </c>
      <c r="D3647" s="538" t="s">
        <v>393</v>
      </c>
      <c r="E3647" s="538" t="s">
        <v>401</v>
      </c>
      <c r="F3647" s="538">
        <v>808307</v>
      </c>
      <c r="G3647" s="538">
        <v>14</v>
      </c>
    </row>
    <row r="3648" spans="1:7" x14ac:dyDescent="0.2">
      <c r="A3648" s="538">
        <v>8</v>
      </c>
      <c r="B3648" s="538" t="s">
        <v>6648</v>
      </c>
      <c r="C3648" s="538" t="s">
        <v>393</v>
      </c>
      <c r="D3648" s="538" t="s">
        <v>740</v>
      </c>
      <c r="E3648" s="538" t="s">
        <v>860</v>
      </c>
      <c r="F3648" s="538">
        <v>33984</v>
      </c>
      <c r="G3648" s="538">
        <v>3</v>
      </c>
    </row>
    <row r="3649" spans="1:7" x14ac:dyDescent="0.2">
      <c r="A3649" s="538">
        <v>5</v>
      </c>
      <c r="B3649" s="538" t="s">
        <v>6599</v>
      </c>
      <c r="C3649" s="538" t="s">
        <v>393</v>
      </c>
      <c r="D3649" s="538" t="s">
        <v>393</v>
      </c>
      <c r="E3649" s="538" t="s">
        <v>409</v>
      </c>
      <c r="F3649" s="538">
        <v>2059468</v>
      </c>
      <c r="G3649" s="538">
        <v>56</v>
      </c>
    </row>
    <row r="3650" spans="1:7" x14ac:dyDescent="0.2">
      <c r="A3650" s="538">
        <v>6</v>
      </c>
      <c r="B3650" s="538" t="s">
        <v>6575</v>
      </c>
      <c r="C3650" s="538" t="s">
        <v>393</v>
      </c>
      <c r="D3650" s="538" t="s">
        <v>393</v>
      </c>
      <c r="E3650" s="538" t="s">
        <v>438</v>
      </c>
      <c r="F3650" s="538">
        <v>8017705</v>
      </c>
      <c r="G3650" s="538">
        <v>65</v>
      </c>
    </row>
    <row r="3651" spans="1:7" x14ac:dyDescent="0.2">
      <c r="A3651" s="538">
        <v>2</v>
      </c>
      <c r="B3651" s="538" t="s">
        <v>6585</v>
      </c>
      <c r="C3651" s="538" t="s">
        <v>740</v>
      </c>
      <c r="D3651" s="538" t="s">
        <v>393</v>
      </c>
      <c r="E3651" s="538" t="s">
        <v>390</v>
      </c>
      <c r="F3651" s="538">
        <v>870132</v>
      </c>
      <c r="G3651" s="538">
        <v>34</v>
      </c>
    </row>
    <row r="3652" spans="1:7" x14ac:dyDescent="0.2">
      <c r="A3652" s="538">
        <v>4</v>
      </c>
      <c r="B3652" s="538" t="s">
        <v>6590</v>
      </c>
      <c r="C3652" s="538" t="s">
        <v>740</v>
      </c>
      <c r="D3652" s="538" t="s">
        <v>393</v>
      </c>
      <c r="E3652" s="538" t="s">
        <v>409</v>
      </c>
      <c r="F3652" s="538">
        <v>198771</v>
      </c>
      <c r="G3652" s="538">
        <v>12</v>
      </c>
    </row>
    <row r="3653" spans="1:7" x14ac:dyDescent="0.2">
      <c r="A3653" s="538">
        <v>8</v>
      </c>
      <c r="B3653" s="538" t="s">
        <v>6577</v>
      </c>
      <c r="C3653" s="538" t="s">
        <v>740</v>
      </c>
      <c r="D3653" s="538" t="s">
        <v>740</v>
      </c>
      <c r="E3653" s="538" t="s">
        <v>390</v>
      </c>
      <c r="F3653" s="538">
        <v>279883911</v>
      </c>
      <c r="G3653" s="538">
        <v>9782</v>
      </c>
    </row>
    <row r="3654" spans="1:7" x14ac:dyDescent="0.2">
      <c r="A3654" s="538">
        <v>7</v>
      </c>
      <c r="B3654" s="538" t="s">
        <v>6588</v>
      </c>
      <c r="C3654" s="538" t="s">
        <v>393</v>
      </c>
      <c r="D3654" s="538" t="s">
        <v>740</v>
      </c>
      <c r="E3654" s="538" t="s">
        <v>416</v>
      </c>
      <c r="F3654" s="538">
        <v>926366</v>
      </c>
      <c r="G3654" s="538">
        <v>12</v>
      </c>
    </row>
    <row r="3655" spans="1:7" x14ac:dyDescent="0.2">
      <c r="A3655" s="538">
        <v>2</v>
      </c>
      <c r="B3655" s="538" t="s">
        <v>6608</v>
      </c>
      <c r="C3655" s="538" t="s">
        <v>740</v>
      </c>
      <c r="D3655" s="538" t="s">
        <v>393</v>
      </c>
      <c r="E3655" s="538" t="s">
        <v>313</v>
      </c>
      <c r="F3655" s="538">
        <v>2078938</v>
      </c>
      <c r="G3655" s="538">
        <v>21</v>
      </c>
    </row>
    <row r="3656" spans="1:7" x14ac:dyDescent="0.2">
      <c r="A3656" s="538">
        <v>3</v>
      </c>
      <c r="B3656" s="538" t="s">
        <v>6591</v>
      </c>
      <c r="C3656" s="538" t="s">
        <v>740</v>
      </c>
      <c r="D3656" s="538" t="s">
        <v>393</v>
      </c>
      <c r="E3656" s="538" t="s">
        <v>860</v>
      </c>
      <c r="F3656" s="538">
        <v>22656</v>
      </c>
      <c r="G3656" s="538">
        <v>2</v>
      </c>
    </row>
    <row r="3657" spans="1:7" x14ac:dyDescent="0.2">
      <c r="A3657" s="538">
        <v>11</v>
      </c>
      <c r="B3657" s="538" t="s">
        <v>6584</v>
      </c>
      <c r="C3657" s="538" t="s">
        <v>740</v>
      </c>
      <c r="D3657" s="538" t="s">
        <v>393</v>
      </c>
      <c r="E3657" s="538" t="s">
        <v>209</v>
      </c>
      <c r="F3657" s="538">
        <v>1539567</v>
      </c>
      <c r="G3657" s="538">
        <v>4</v>
      </c>
    </row>
    <row r="3658" spans="1:7" x14ac:dyDescent="0.2">
      <c r="A3658" s="538">
        <v>8</v>
      </c>
      <c r="B3658" s="538" t="s">
        <v>6577</v>
      </c>
      <c r="C3658" s="538" t="s">
        <v>393</v>
      </c>
      <c r="D3658" s="538" t="s">
        <v>393</v>
      </c>
      <c r="E3658" s="538" t="s">
        <v>390</v>
      </c>
      <c r="F3658" s="538">
        <v>8572183</v>
      </c>
      <c r="G3658" s="538">
        <v>341</v>
      </c>
    </row>
    <row r="3659" spans="1:7" x14ac:dyDescent="0.2">
      <c r="A3659" s="538">
        <v>4</v>
      </c>
      <c r="B3659" s="538" t="s">
        <v>6562</v>
      </c>
      <c r="C3659" s="538" t="s">
        <v>740</v>
      </c>
      <c r="D3659" s="538" t="s">
        <v>740</v>
      </c>
      <c r="E3659" s="538" t="s">
        <v>860</v>
      </c>
      <c r="F3659" s="538">
        <v>22656</v>
      </c>
      <c r="G3659" s="538">
        <v>2</v>
      </c>
    </row>
    <row r="3660" spans="1:7" x14ac:dyDescent="0.2">
      <c r="A3660" s="538">
        <v>2</v>
      </c>
      <c r="B3660" s="538" t="s">
        <v>6608</v>
      </c>
      <c r="C3660" s="538" t="s">
        <v>740</v>
      </c>
      <c r="D3660" s="538" t="s">
        <v>393</v>
      </c>
      <c r="E3660" s="538" t="s">
        <v>416</v>
      </c>
      <c r="F3660" s="538">
        <v>9249177</v>
      </c>
      <c r="G3660" s="538">
        <v>289</v>
      </c>
    </row>
    <row r="3661" spans="1:7" x14ac:dyDescent="0.2">
      <c r="A3661" s="538">
        <v>9</v>
      </c>
      <c r="B3661" s="538" t="s">
        <v>6606</v>
      </c>
      <c r="C3661" s="538" t="s">
        <v>740</v>
      </c>
      <c r="D3661" s="538" t="s">
        <v>393</v>
      </c>
      <c r="E3661" s="538" t="s">
        <v>390</v>
      </c>
      <c r="F3661" s="538">
        <v>13271127</v>
      </c>
      <c r="G3661" s="538">
        <v>464</v>
      </c>
    </row>
    <row r="3662" spans="1:7" x14ac:dyDescent="0.2">
      <c r="A3662" s="538">
        <v>6</v>
      </c>
      <c r="B3662" s="538" t="s">
        <v>6429</v>
      </c>
      <c r="C3662" s="538" t="s">
        <v>740</v>
      </c>
      <c r="D3662" s="538" t="s">
        <v>393</v>
      </c>
      <c r="E3662" s="538" t="s">
        <v>860</v>
      </c>
      <c r="F3662" s="538">
        <v>1088019</v>
      </c>
      <c r="G3662" s="538">
        <v>58</v>
      </c>
    </row>
    <row r="3663" spans="1:7" x14ac:dyDescent="0.2">
      <c r="A3663" s="538">
        <v>10</v>
      </c>
      <c r="B3663" s="538" t="s">
        <v>6600</v>
      </c>
      <c r="C3663" s="538" t="s">
        <v>393</v>
      </c>
      <c r="D3663" s="538" t="s">
        <v>393</v>
      </c>
      <c r="E3663" s="538" t="s">
        <v>416</v>
      </c>
      <c r="F3663" s="538">
        <v>39518064</v>
      </c>
      <c r="G3663" s="538">
        <v>618</v>
      </c>
    </row>
    <row r="3664" spans="1:7" x14ac:dyDescent="0.2">
      <c r="A3664" s="538">
        <v>2</v>
      </c>
      <c r="B3664" s="538" t="s">
        <v>6573</v>
      </c>
      <c r="C3664" s="538" t="s">
        <v>740</v>
      </c>
      <c r="D3664" s="538" t="s">
        <v>740</v>
      </c>
      <c r="E3664" s="538" t="s">
        <v>416</v>
      </c>
      <c r="F3664" s="538">
        <v>1444851</v>
      </c>
      <c r="G3664" s="538">
        <v>57</v>
      </c>
    </row>
    <row r="3665" spans="1:7" x14ac:dyDescent="0.2">
      <c r="A3665" s="538">
        <v>7</v>
      </c>
      <c r="B3665" s="538" t="s">
        <v>6604</v>
      </c>
      <c r="C3665" s="538" t="s">
        <v>740</v>
      </c>
      <c r="D3665" s="538" t="s">
        <v>393</v>
      </c>
      <c r="E3665" s="538" t="s">
        <v>207</v>
      </c>
      <c r="F3665" s="538">
        <v>11328</v>
      </c>
      <c r="G3665" s="538">
        <v>1</v>
      </c>
    </row>
    <row r="3666" spans="1:7" x14ac:dyDescent="0.2">
      <c r="A3666" s="538">
        <v>8</v>
      </c>
      <c r="B3666" s="538" t="s">
        <v>6577</v>
      </c>
      <c r="C3666" s="538" t="s">
        <v>393</v>
      </c>
      <c r="D3666" s="538" t="s">
        <v>393</v>
      </c>
      <c r="E3666" s="538" t="s">
        <v>313</v>
      </c>
      <c r="F3666" s="538">
        <v>558029</v>
      </c>
      <c r="G3666" s="538">
        <v>3</v>
      </c>
    </row>
    <row r="3667" spans="1:7" x14ac:dyDescent="0.2">
      <c r="A3667" s="538">
        <v>10</v>
      </c>
      <c r="B3667" s="538" t="s">
        <v>6582</v>
      </c>
      <c r="C3667" s="538" t="s">
        <v>393</v>
      </c>
      <c r="D3667" s="538" t="s">
        <v>740</v>
      </c>
      <c r="E3667" s="538" t="s">
        <v>210</v>
      </c>
      <c r="F3667" s="538">
        <v>22656</v>
      </c>
      <c r="G3667" s="538">
        <v>2</v>
      </c>
    </row>
    <row r="3668" spans="1:7" x14ac:dyDescent="0.2">
      <c r="A3668" s="538">
        <v>5</v>
      </c>
      <c r="B3668" s="538" t="s">
        <v>6598</v>
      </c>
      <c r="C3668" s="538" t="s">
        <v>393</v>
      </c>
      <c r="D3668" s="538" t="s">
        <v>393</v>
      </c>
      <c r="E3668" s="538" t="s">
        <v>449</v>
      </c>
      <c r="F3668" s="538">
        <v>153459</v>
      </c>
      <c r="G3668" s="538">
        <v>8</v>
      </c>
    </row>
    <row r="3669" spans="1:7" x14ac:dyDescent="0.2">
      <c r="A3669" s="538">
        <v>4</v>
      </c>
      <c r="B3669" s="538" t="s">
        <v>6593</v>
      </c>
      <c r="C3669" s="538" t="s">
        <v>393</v>
      </c>
      <c r="D3669" s="538" t="s">
        <v>393</v>
      </c>
      <c r="E3669" s="538" t="s">
        <v>313</v>
      </c>
      <c r="F3669" s="538">
        <v>2516201</v>
      </c>
      <c r="G3669" s="538">
        <v>12</v>
      </c>
    </row>
    <row r="3670" spans="1:7" x14ac:dyDescent="0.2">
      <c r="A3670" s="538">
        <v>11</v>
      </c>
      <c r="B3670" s="538" t="s">
        <v>6592</v>
      </c>
      <c r="C3670" s="538" t="s">
        <v>740</v>
      </c>
      <c r="D3670" s="538" t="s">
        <v>393</v>
      </c>
      <c r="E3670" s="538" t="s">
        <v>390</v>
      </c>
      <c r="F3670" s="538">
        <v>12300584</v>
      </c>
      <c r="G3670" s="538">
        <v>423</v>
      </c>
    </row>
    <row r="3671" spans="1:7" x14ac:dyDescent="0.2">
      <c r="A3671" s="538">
        <v>2</v>
      </c>
      <c r="B3671" s="538" t="s">
        <v>6585</v>
      </c>
      <c r="C3671" s="538" t="s">
        <v>393</v>
      </c>
      <c r="D3671" s="538" t="s">
        <v>740</v>
      </c>
      <c r="E3671" s="538" t="s">
        <v>210</v>
      </c>
      <c r="F3671" s="538">
        <v>4618909</v>
      </c>
      <c r="G3671" s="538">
        <v>168</v>
      </c>
    </row>
    <row r="3672" spans="1:7" x14ac:dyDescent="0.2">
      <c r="A3672" s="538">
        <v>6</v>
      </c>
      <c r="B3672" s="538" t="s">
        <v>6617</v>
      </c>
      <c r="C3672" s="538" t="s">
        <v>393</v>
      </c>
      <c r="D3672" s="538" t="s">
        <v>740</v>
      </c>
      <c r="E3672" s="538" t="s">
        <v>230</v>
      </c>
      <c r="F3672" s="538">
        <v>780518</v>
      </c>
      <c r="G3672" s="538">
        <v>6</v>
      </c>
    </row>
    <row r="3673" spans="1:7" x14ac:dyDescent="0.2">
      <c r="A3673" s="538">
        <v>6</v>
      </c>
      <c r="B3673" s="538" t="s">
        <v>6596</v>
      </c>
      <c r="C3673" s="538" t="s">
        <v>740</v>
      </c>
      <c r="D3673" s="538" t="s">
        <v>393</v>
      </c>
      <c r="E3673" s="538" t="s">
        <v>401</v>
      </c>
      <c r="F3673" s="538">
        <v>22656</v>
      </c>
      <c r="G3673" s="538">
        <v>2</v>
      </c>
    </row>
    <row r="3674" spans="1:7" x14ac:dyDescent="0.2">
      <c r="A3674" s="538">
        <v>8</v>
      </c>
      <c r="B3674" s="538" t="s">
        <v>6648</v>
      </c>
      <c r="C3674" s="538" t="s">
        <v>393</v>
      </c>
      <c r="D3674" s="538" t="s">
        <v>393</v>
      </c>
      <c r="E3674" s="538" t="s">
        <v>230</v>
      </c>
      <c r="F3674" s="538">
        <v>7656000</v>
      </c>
      <c r="G3674" s="538">
        <v>155</v>
      </c>
    </row>
    <row r="3675" spans="1:7" x14ac:dyDescent="0.2">
      <c r="A3675" s="538">
        <v>9</v>
      </c>
      <c r="B3675" s="538" t="s">
        <v>6644</v>
      </c>
      <c r="C3675" s="538" t="s">
        <v>393</v>
      </c>
      <c r="D3675" s="538" t="s">
        <v>740</v>
      </c>
      <c r="E3675" s="538" t="s">
        <v>390</v>
      </c>
      <c r="F3675" s="538">
        <v>11328</v>
      </c>
      <c r="G3675" s="538">
        <v>1</v>
      </c>
    </row>
    <row r="3676" spans="1:7" x14ac:dyDescent="0.2">
      <c r="A3676" s="538">
        <v>12</v>
      </c>
      <c r="B3676" s="538" t="s">
        <v>6569</v>
      </c>
      <c r="C3676" s="538" t="s">
        <v>393</v>
      </c>
      <c r="D3676" s="538" t="s">
        <v>393</v>
      </c>
      <c r="E3676" s="538" t="s">
        <v>860</v>
      </c>
      <c r="F3676" s="538">
        <v>311874</v>
      </c>
      <c r="G3676" s="538">
        <v>13</v>
      </c>
    </row>
    <row r="3677" spans="1:7" x14ac:dyDescent="0.2">
      <c r="A3677" s="538">
        <v>2</v>
      </c>
      <c r="B3677" s="538" t="s">
        <v>6662</v>
      </c>
      <c r="C3677" s="538" t="s">
        <v>740</v>
      </c>
      <c r="D3677" s="538" t="s">
        <v>393</v>
      </c>
      <c r="E3677" s="538" t="s">
        <v>438</v>
      </c>
      <c r="F3677" s="538">
        <v>1079825</v>
      </c>
      <c r="G3677" s="538">
        <v>20</v>
      </c>
    </row>
    <row r="3678" spans="1:7" x14ac:dyDescent="0.2">
      <c r="A3678" s="538">
        <v>1</v>
      </c>
      <c r="B3678" s="538" t="s">
        <v>6581</v>
      </c>
      <c r="C3678" s="538" t="s">
        <v>740</v>
      </c>
      <c r="D3678" s="538" t="s">
        <v>393</v>
      </c>
      <c r="E3678" s="538" t="s">
        <v>860</v>
      </c>
      <c r="F3678" s="538">
        <v>389754</v>
      </c>
      <c r="G3678" s="538">
        <v>13</v>
      </c>
    </row>
    <row r="3679" spans="1:7" x14ac:dyDescent="0.2">
      <c r="A3679" s="538">
        <v>8</v>
      </c>
      <c r="B3679" s="538" t="s">
        <v>6570</v>
      </c>
      <c r="C3679" s="538" t="s">
        <v>740</v>
      </c>
      <c r="D3679" s="538" t="s">
        <v>393</v>
      </c>
      <c r="E3679" s="538" t="s">
        <v>449</v>
      </c>
      <c r="F3679" s="538">
        <v>118236</v>
      </c>
      <c r="G3679" s="538">
        <v>7</v>
      </c>
    </row>
    <row r="3680" spans="1:7" x14ac:dyDescent="0.2">
      <c r="A3680" s="538">
        <v>10</v>
      </c>
      <c r="B3680" s="538" t="s">
        <v>6587</v>
      </c>
      <c r="C3680" s="538" t="s">
        <v>740</v>
      </c>
      <c r="D3680" s="538" t="s">
        <v>740</v>
      </c>
      <c r="E3680" s="538" t="s">
        <v>202</v>
      </c>
      <c r="F3680" s="538">
        <v>467634</v>
      </c>
      <c r="G3680" s="538">
        <v>8</v>
      </c>
    </row>
    <row r="3681" spans="1:7" x14ac:dyDescent="0.2">
      <c r="A3681" s="538">
        <v>8</v>
      </c>
      <c r="B3681" s="538" t="s">
        <v>6577</v>
      </c>
      <c r="C3681" s="538" t="s">
        <v>740</v>
      </c>
      <c r="D3681" s="538" t="s">
        <v>393</v>
      </c>
      <c r="E3681" s="538" t="s">
        <v>860</v>
      </c>
      <c r="F3681" s="538">
        <v>105750005</v>
      </c>
      <c r="G3681" s="538">
        <v>4965</v>
      </c>
    </row>
    <row r="3682" spans="1:7" x14ac:dyDescent="0.2">
      <c r="A3682" s="538">
        <v>1</v>
      </c>
      <c r="B3682" s="538" t="s">
        <v>6581</v>
      </c>
      <c r="C3682" s="538" t="s">
        <v>740</v>
      </c>
      <c r="D3682" s="538" t="s">
        <v>740</v>
      </c>
      <c r="E3682" s="538" t="s">
        <v>211</v>
      </c>
      <c r="F3682" s="538">
        <v>281607</v>
      </c>
      <c r="G3682" s="538">
        <v>9</v>
      </c>
    </row>
    <row r="3683" spans="1:7" x14ac:dyDescent="0.2">
      <c r="A3683" s="538">
        <v>3</v>
      </c>
      <c r="B3683" s="538" t="s">
        <v>6603</v>
      </c>
      <c r="C3683" s="538" t="s">
        <v>393</v>
      </c>
      <c r="D3683" s="538" t="s">
        <v>393</v>
      </c>
      <c r="E3683" s="538" t="s">
        <v>438</v>
      </c>
      <c r="F3683" s="538">
        <v>5348170</v>
      </c>
      <c r="G3683" s="538">
        <v>45</v>
      </c>
    </row>
    <row r="3684" spans="1:7" x14ac:dyDescent="0.2">
      <c r="A3684" s="538">
        <v>9</v>
      </c>
      <c r="B3684" s="538" t="s">
        <v>6606</v>
      </c>
      <c r="C3684" s="538" t="s">
        <v>740</v>
      </c>
      <c r="D3684" s="538" t="s">
        <v>393</v>
      </c>
      <c r="E3684" s="538" t="s">
        <v>209</v>
      </c>
      <c r="F3684" s="538">
        <v>3686244</v>
      </c>
      <c r="G3684" s="538">
        <v>18</v>
      </c>
    </row>
    <row r="3685" spans="1:7" x14ac:dyDescent="0.2">
      <c r="A3685" s="538">
        <v>9</v>
      </c>
      <c r="B3685" s="538" t="s">
        <v>6644</v>
      </c>
      <c r="C3685" s="538" t="s">
        <v>393</v>
      </c>
      <c r="D3685" s="538" t="s">
        <v>393</v>
      </c>
      <c r="E3685" s="538" t="s">
        <v>210</v>
      </c>
      <c r="F3685" s="538">
        <v>3272168</v>
      </c>
      <c r="G3685" s="538">
        <v>56</v>
      </c>
    </row>
    <row r="3686" spans="1:7" x14ac:dyDescent="0.2">
      <c r="A3686" s="538">
        <v>11</v>
      </c>
      <c r="B3686" s="538" t="s">
        <v>6584</v>
      </c>
      <c r="C3686" s="538" t="s">
        <v>740</v>
      </c>
      <c r="D3686" s="538" t="s">
        <v>393</v>
      </c>
      <c r="E3686" s="538" t="s">
        <v>449</v>
      </c>
      <c r="F3686" s="538">
        <v>45312</v>
      </c>
      <c r="G3686" s="538">
        <v>4</v>
      </c>
    </row>
    <row r="3687" spans="1:7" x14ac:dyDescent="0.2">
      <c r="A3687" s="538">
        <v>1</v>
      </c>
      <c r="B3687" s="538" t="s">
        <v>6602</v>
      </c>
      <c r="C3687" s="538" t="s">
        <v>740</v>
      </c>
      <c r="D3687" s="538" t="s">
        <v>740</v>
      </c>
      <c r="E3687" s="538" t="s">
        <v>230</v>
      </c>
      <c r="F3687" s="538">
        <v>164787</v>
      </c>
      <c r="G3687" s="538">
        <v>9</v>
      </c>
    </row>
    <row r="3688" spans="1:7" x14ac:dyDescent="0.2">
      <c r="A3688" s="538">
        <v>4</v>
      </c>
      <c r="B3688" s="538" t="s">
        <v>6572</v>
      </c>
      <c r="C3688" s="538" t="s">
        <v>740</v>
      </c>
      <c r="D3688" s="538" t="s">
        <v>393</v>
      </c>
      <c r="E3688" s="538" t="s">
        <v>402</v>
      </c>
      <c r="F3688" s="538">
        <v>638564</v>
      </c>
      <c r="G3688" s="538">
        <v>8</v>
      </c>
    </row>
    <row r="3689" spans="1:7" x14ac:dyDescent="0.2">
      <c r="A3689" s="538">
        <v>4</v>
      </c>
      <c r="B3689" s="538" t="s">
        <v>6559</v>
      </c>
      <c r="C3689" s="538" t="s">
        <v>740</v>
      </c>
      <c r="D3689" s="538" t="s">
        <v>393</v>
      </c>
      <c r="E3689" s="538" t="s">
        <v>202</v>
      </c>
      <c r="F3689" s="538">
        <v>1710549</v>
      </c>
      <c r="G3689" s="538">
        <v>8</v>
      </c>
    </row>
    <row r="3690" spans="1:7" x14ac:dyDescent="0.2">
      <c r="A3690" s="538">
        <v>2</v>
      </c>
      <c r="B3690" s="538" t="s">
        <v>6662</v>
      </c>
      <c r="C3690" s="538" t="s">
        <v>393</v>
      </c>
      <c r="D3690" s="538" t="s">
        <v>740</v>
      </c>
      <c r="E3690" s="538" t="s">
        <v>230</v>
      </c>
      <c r="F3690" s="538">
        <v>11328</v>
      </c>
      <c r="G3690" s="538">
        <v>1</v>
      </c>
    </row>
    <row r="3691" spans="1:7" x14ac:dyDescent="0.2">
      <c r="A3691" s="538">
        <v>7</v>
      </c>
      <c r="B3691" s="538" t="s">
        <v>6661</v>
      </c>
      <c r="C3691" s="538" t="s">
        <v>393</v>
      </c>
      <c r="D3691" s="538" t="s">
        <v>740</v>
      </c>
      <c r="E3691" s="538" t="s">
        <v>409</v>
      </c>
      <c r="F3691" s="538">
        <v>203904</v>
      </c>
      <c r="G3691" s="538">
        <v>18</v>
      </c>
    </row>
    <row r="3692" spans="1:7" x14ac:dyDescent="0.2">
      <c r="A3692" s="538">
        <v>3</v>
      </c>
      <c r="B3692" s="538" t="s">
        <v>1390</v>
      </c>
      <c r="C3692" s="538" t="s">
        <v>740</v>
      </c>
      <c r="D3692" s="538" t="s">
        <v>393</v>
      </c>
      <c r="E3692" s="538" t="s">
        <v>211</v>
      </c>
      <c r="F3692" s="538">
        <v>56640</v>
      </c>
      <c r="G3692" s="538">
        <v>5</v>
      </c>
    </row>
    <row r="3693" spans="1:7" x14ac:dyDescent="0.2">
      <c r="A3693" s="538">
        <v>3</v>
      </c>
      <c r="B3693" s="538" t="s">
        <v>6561</v>
      </c>
      <c r="C3693" s="538" t="s">
        <v>740</v>
      </c>
      <c r="D3693" s="538" t="s">
        <v>393</v>
      </c>
      <c r="E3693" s="538" t="s">
        <v>409</v>
      </c>
      <c r="F3693" s="538">
        <v>11328</v>
      </c>
      <c r="G3693" s="538">
        <v>1</v>
      </c>
    </row>
    <row r="3694" spans="1:7" x14ac:dyDescent="0.2">
      <c r="A3694" s="538">
        <v>3</v>
      </c>
      <c r="B3694" s="538" t="s">
        <v>6603</v>
      </c>
      <c r="C3694" s="538" t="s">
        <v>740</v>
      </c>
      <c r="D3694" s="538" t="s">
        <v>393</v>
      </c>
      <c r="E3694" s="538" t="s">
        <v>419</v>
      </c>
      <c r="F3694" s="538">
        <v>108147</v>
      </c>
      <c r="G3694" s="538">
        <v>4</v>
      </c>
    </row>
    <row r="3695" spans="1:7" x14ac:dyDescent="0.2">
      <c r="A3695" s="538">
        <v>3</v>
      </c>
      <c r="B3695" s="538" t="s">
        <v>1390</v>
      </c>
      <c r="C3695" s="538" t="s">
        <v>740</v>
      </c>
      <c r="D3695" s="538" t="s">
        <v>393</v>
      </c>
      <c r="E3695" s="538" t="s">
        <v>210</v>
      </c>
      <c r="F3695" s="538">
        <v>22656</v>
      </c>
      <c r="G3695" s="538">
        <v>2</v>
      </c>
    </row>
    <row r="3696" spans="1:7" x14ac:dyDescent="0.2">
      <c r="A3696" s="538">
        <v>9</v>
      </c>
      <c r="B3696" s="538" t="s">
        <v>6644</v>
      </c>
      <c r="C3696" s="538" t="s">
        <v>393</v>
      </c>
      <c r="D3696" s="538" t="s">
        <v>740</v>
      </c>
      <c r="E3696" s="538" t="s">
        <v>416</v>
      </c>
      <c r="F3696" s="538">
        <v>22656</v>
      </c>
      <c r="G3696" s="538">
        <v>2</v>
      </c>
    </row>
    <row r="3697" spans="1:7" x14ac:dyDescent="0.2">
      <c r="A3697" s="538">
        <v>2</v>
      </c>
      <c r="B3697" s="538" t="s">
        <v>6573</v>
      </c>
      <c r="C3697" s="538" t="s">
        <v>740</v>
      </c>
      <c r="D3697" s="538" t="s">
        <v>393</v>
      </c>
      <c r="E3697" s="538" t="s">
        <v>210</v>
      </c>
      <c r="F3697" s="538">
        <v>3092315</v>
      </c>
      <c r="G3697" s="538">
        <v>190</v>
      </c>
    </row>
    <row r="3698" spans="1:7" x14ac:dyDescent="0.2">
      <c r="A3698" s="538">
        <v>4</v>
      </c>
      <c r="B3698" s="538" t="s">
        <v>6593</v>
      </c>
      <c r="C3698" s="538" t="s">
        <v>393</v>
      </c>
      <c r="D3698" s="538" t="s">
        <v>393</v>
      </c>
      <c r="E3698" s="538" t="s">
        <v>210</v>
      </c>
      <c r="F3698" s="538">
        <v>1009785</v>
      </c>
      <c r="G3698" s="538">
        <v>40</v>
      </c>
    </row>
    <row r="3699" spans="1:7" x14ac:dyDescent="0.2">
      <c r="A3699" s="538">
        <v>9</v>
      </c>
      <c r="B3699" s="538" t="s">
        <v>6645</v>
      </c>
      <c r="C3699" s="538" t="s">
        <v>740</v>
      </c>
      <c r="D3699" s="538" t="s">
        <v>393</v>
      </c>
      <c r="E3699" s="538" t="s">
        <v>210</v>
      </c>
      <c r="F3699" s="538">
        <v>730833</v>
      </c>
      <c r="G3699" s="538">
        <v>41</v>
      </c>
    </row>
    <row r="3700" spans="1:7" x14ac:dyDescent="0.2">
      <c r="A3700" s="538">
        <v>3</v>
      </c>
      <c r="B3700" s="538" t="s">
        <v>6561</v>
      </c>
      <c r="C3700" s="538" t="s">
        <v>740</v>
      </c>
      <c r="D3700" s="538" t="s">
        <v>393</v>
      </c>
      <c r="E3700" s="538" t="s">
        <v>207</v>
      </c>
      <c r="F3700" s="538">
        <v>4664960</v>
      </c>
      <c r="G3700" s="538">
        <v>295</v>
      </c>
    </row>
    <row r="3701" spans="1:7" x14ac:dyDescent="0.2">
      <c r="A3701" s="538">
        <v>7</v>
      </c>
      <c r="B3701" s="538" t="s">
        <v>6604</v>
      </c>
      <c r="C3701" s="538" t="s">
        <v>740</v>
      </c>
      <c r="D3701" s="538" t="s">
        <v>393</v>
      </c>
      <c r="E3701" s="538" t="s">
        <v>401</v>
      </c>
      <c r="F3701" s="538">
        <v>33984</v>
      </c>
      <c r="G3701" s="538">
        <v>3</v>
      </c>
    </row>
    <row r="3702" spans="1:7" x14ac:dyDescent="0.2">
      <c r="A3702" s="538">
        <v>2</v>
      </c>
      <c r="B3702" s="538" t="s">
        <v>6608</v>
      </c>
      <c r="C3702" s="538" t="s">
        <v>740</v>
      </c>
      <c r="D3702" s="538" t="s">
        <v>393</v>
      </c>
      <c r="E3702" s="538" t="s">
        <v>390</v>
      </c>
      <c r="F3702" s="538">
        <v>12480010</v>
      </c>
      <c r="G3702" s="538">
        <v>465</v>
      </c>
    </row>
    <row r="3703" spans="1:7" x14ac:dyDescent="0.2">
      <c r="A3703" s="538">
        <v>7</v>
      </c>
      <c r="B3703" s="538" t="s">
        <v>6580</v>
      </c>
      <c r="C3703" s="538" t="s">
        <v>393</v>
      </c>
      <c r="D3703" s="538" t="s">
        <v>393</v>
      </c>
      <c r="E3703" s="538" t="s">
        <v>402</v>
      </c>
      <c r="F3703" s="538">
        <v>5478442</v>
      </c>
      <c r="G3703" s="538">
        <v>94</v>
      </c>
    </row>
    <row r="3704" spans="1:7" x14ac:dyDescent="0.2">
      <c r="A3704" s="538">
        <v>2</v>
      </c>
      <c r="B3704" s="538" t="s">
        <v>6656</v>
      </c>
      <c r="C3704" s="538" t="s">
        <v>740</v>
      </c>
      <c r="D3704" s="538" t="s">
        <v>393</v>
      </c>
      <c r="E3704" s="538" t="s">
        <v>230</v>
      </c>
      <c r="F3704" s="538">
        <v>2267974</v>
      </c>
      <c r="G3704" s="538">
        <v>53</v>
      </c>
    </row>
    <row r="3705" spans="1:7" x14ac:dyDescent="0.2">
      <c r="A3705" s="538">
        <v>9</v>
      </c>
      <c r="B3705" s="538" t="s">
        <v>6613</v>
      </c>
      <c r="C3705" s="538" t="s">
        <v>740</v>
      </c>
      <c r="D3705" s="538" t="s">
        <v>393</v>
      </c>
      <c r="E3705" s="538" t="s">
        <v>207</v>
      </c>
      <c r="F3705" s="538">
        <v>11328</v>
      </c>
      <c r="G3705" s="538">
        <v>1</v>
      </c>
    </row>
    <row r="3706" spans="1:7" x14ac:dyDescent="0.2">
      <c r="A3706" s="538">
        <v>2</v>
      </c>
      <c r="B3706" s="538" t="s">
        <v>6573</v>
      </c>
      <c r="C3706" s="538" t="s">
        <v>740</v>
      </c>
      <c r="D3706" s="538" t="s">
        <v>393</v>
      </c>
      <c r="E3706" s="538" t="s">
        <v>313</v>
      </c>
      <c r="F3706" s="538">
        <v>2898344</v>
      </c>
      <c r="G3706" s="538">
        <v>18</v>
      </c>
    </row>
    <row r="3707" spans="1:7" x14ac:dyDescent="0.2">
      <c r="A3707" s="538">
        <v>8</v>
      </c>
      <c r="B3707" s="538" t="s">
        <v>6560</v>
      </c>
      <c r="C3707" s="538" t="s">
        <v>740</v>
      </c>
      <c r="D3707" s="538" t="s">
        <v>393</v>
      </c>
      <c r="E3707" s="538" t="s">
        <v>419</v>
      </c>
      <c r="F3707" s="538">
        <v>118236</v>
      </c>
      <c r="G3707" s="538">
        <v>7</v>
      </c>
    </row>
    <row r="3708" spans="1:7" x14ac:dyDescent="0.2">
      <c r="A3708" s="538">
        <v>11</v>
      </c>
      <c r="B3708" s="538" t="s">
        <v>6584</v>
      </c>
      <c r="C3708" s="538" t="s">
        <v>393</v>
      </c>
      <c r="D3708" s="538" t="s">
        <v>393</v>
      </c>
      <c r="E3708" s="538" t="s">
        <v>438</v>
      </c>
      <c r="F3708" s="538">
        <v>14840025</v>
      </c>
      <c r="G3708" s="538">
        <v>105</v>
      </c>
    </row>
    <row r="3709" spans="1:7" x14ac:dyDescent="0.2">
      <c r="A3709" s="538">
        <v>11</v>
      </c>
      <c r="B3709" s="538" t="s">
        <v>6584</v>
      </c>
      <c r="C3709" s="538" t="s">
        <v>393</v>
      </c>
      <c r="D3709" s="538" t="s">
        <v>393</v>
      </c>
      <c r="E3709" s="538" t="s">
        <v>206</v>
      </c>
      <c r="F3709" s="538">
        <v>85491</v>
      </c>
      <c r="G3709" s="538">
        <v>2</v>
      </c>
    </row>
    <row r="3710" spans="1:7" x14ac:dyDescent="0.2">
      <c r="A3710" s="538">
        <v>5</v>
      </c>
      <c r="B3710" s="538" t="s">
        <v>6568</v>
      </c>
      <c r="C3710" s="538" t="s">
        <v>393</v>
      </c>
      <c r="D3710" s="538" t="s">
        <v>393</v>
      </c>
      <c r="E3710" s="538" t="s">
        <v>202</v>
      </c>
      <c r="F3710" s="538">
        <v>13653396</v>
      </c>
      <c r="G3710" s="538">
        <v>92</v>
      </c>
    </row>
    <row r="3711" spans="1:7" x14ac:dyDescent="0.2">
      <c r="A3711" s="538">
        <v>10</v>
      </c>
      <c r="B3711" s="538" t="s">
        <v>6600</v>
      </c>
      <c r="C3711" s="538" t="s">
        <v>393</v>
      </c>
      <c r="D3711" s="538" t="s">
        <v>393</v>
      </c>
      <c r="E3711" s="538" t="s">
        <v>390</v>
      </c>
      <c r="F3711" s="538">
        <v>4309086</v>
      </c>
      <c r="G3711" s="538">
        <v>77</v>
      </c>
    </row>
    <row r="3712" spans="1:7" x14ac:dyDescent="0.2">
      <c r="A3712" s="538">
        <v>9</v>
      </c>
      <c r="B3712" s="538" t="s">
        <v>948</v>
      </c>
      <c r="C3712" s="538" t="s">
        <v>393</v>
      </c>
      <c r="D3712" s="538" t="s">
        <v>393</v>
      </c>
      <c r="E3712" s="538" t="s">
        <v>313</v>
      </c>
      <c r="F3712" s="538">
        <v>74163</v>
      </c>
      <c r="G3712" s="538">
        <v>1</v>
      </c>
    </row>
    <row r="3713" spans="1:7" x14ac:dyDescent="0.2">
      <c r="A3713" s="538">
        <v>3</v>
      </c>
      <c r="B3713" s="538" t="s">
        <v>6586</v>
      </c>
      <c r="C3713" s="538" t="s">
        <v>393</v>
      </c>
      <c r="D3713" s="538" t="s">
        <v>740</v>
      </c>
      <c r="E3713" s="538" t="s">
        <v>416</v>
      </c>
      <c r="F3713" s="538">
        <v>4746651</v>
      </c>
      <c r="G3713" s="538">
        <v>77</v>
      </c>
    </row>
    <row r="3714" spans="1:7" x14ac:dyDescent="0.2">
      <c r="A3714" s="538">
        <v>10</v>
      </c>
      <c r="B3714" s="538" t="s">
        <v>6664</v>
      </c>
      <c r="C3714" s="538" t="s">
        <v>740</v>
      </c>
      <c r="D3714" s="538" t="s">
        <v>393</v>
      </c>
      <c r="E3714" s="538" t="s">
        <v>202</v>
      </c>
      <c r="F3714" s="538">
        <v>496433</v>
      </c>
      <c r="G3714" s="538">
        <v>1</v>
      </c>
    </row>
    <row r="3715" spans="1:7" x14ac:dyDescent="0.2">
      <c r="A3715" s="538">
        <v>11</v>
      </c>
      <c r="B3715" s="538" t="s">
        <v>6610</v>
      </c>
      <c r="C3715" s="538" t="s">
        <v>393</v>
      </c>
      <c r="D3715" s="538" t="s">
        <v>740</v>
      </c>
      <c r="E3715" s="538" t="s">
        <v>402</v>
      </c>
      <c r="F3715" s="538">
        <v>3442848</v>
      </c>
      <c r="G3715" s="538">
        <v>116</v>
      </c>
    </row>
    <row r="3716" spans="1:7" x14ac:dyDescent="0.2">
      <c r="A3716" s="538">
        <v>2</v>
      </c>
      <c r="B3716" s="538" t="s">
        <v>6608</v>
      </c>
      <c r="C3716" s="538" t="s">
        <v>393</v>
      </c>
      <c r="D3716" s="538" t="s">
        <v>393</v>
      </c>
      <c r="E3716" s="538" t="s">
        <v>449</v>
      </c>
      <c r="F3716" s="538">
        <v>431526</v>
      </c>
      <c r="G3716" s="538">
        <v>27</v>
      </c>
    </row>
    <row r="3717" spans="1:7" x14ac:dyDescent="0.2">
      <c r="A3717" s="538">
        <v>11</v>
      </c>
      <c r="B3717" s="538" t="s">
        <v>6584</v>
      </c>
      <c r="C3717" s="538" t="s">
        <v>740</v>
      </c>
      <c r="D3717" s="538" t="s">
        <v>393</v>
      </c>
      <c r="E3717" s="538" t="s">
        <v>207</v>
      </c>
      <c r="F3717" s="538">
        <v>611358</v>
      </c>
      <c r="G3717" s="538">
        <v>36</v>
      </c>
    </row>
    <row r="3718" spans="1:7" x14ac:dyDescent="0.2">
      <c r="A3718" s="538">
        <v>8</v>
      </c>
      <c r="B3718" s="538" t="s">
        <v>6567</v>
      </c>
      <c r="C3718" s="538" t="s">
        <v>740</v>
      </c>
      <c r="D3718" s="538" t="s">
        <v>393</v>
      </c>
      <c r="E3718" s="538" t="s">
        <v>209</v>
      </c>
      <c r="F3718" s="538">
        <v>124431</v>
      </c>
      <c r="G3718" s="538">
        <v>2</v>
      </c>
    </row>
    <row r="3719" spans="1:7" x14ac:dyDescent="0.2">
      <c r="A3719" s="538">
        <v>8</v>
      </c>
      <c r="B3719" s="538" t="s">
        <v>6577</v>
      </c>
      <c r="C3719" s="538" t="s">
        <v>393</v>
      </c>
      <c r="D3719" s="538" t="s">
        <v>740</v>
      </c>
      <c r="E3719" s="538" t="s">
        <v>202</v>
      </c>
      <c r="F3719" s="538">
        <v>558029</v>
      </c>
      <c r="G3719" s="538">
        <v>3</v>
      </c>
    </row>
    <row r="3720" spans="1:7" x14ac:dyDescent="0.2">
      <c r="A3720" s="538">
        <v>6</v>
      </c>
      <c r="B3720" s="538" t="s">
        <v>6565</v>
      </c>
      <c r="C3720" s="538" t="s">
        <v>393</v>
      </c>
      <c r="D3720" s="538" t="s">
        <v>393</v>
      </c>
      <c r="E3720" s="538" t="s">
        <v>210</v>
      </c>
      <c r="F3720" s="538">
        <v>1192043</v>
      </c>
      <c r="G3720" s="538">
        <v>41</v>
      </c>
    </row>
    <row r="3721" spans="1:7" x14ac:dyDescent="0.2">
      <c r="A3721" s="538">
        <v>3</v>
      </c>
      <c r="B3721" s="538" t="s">
        <v>6586</v>
      </c>
      <c r="C3721" s="538" t="s">
        <v>740</v>
      </c>
      <c r="D3721" s="538" t="s">
        <v>393</v>
      </c>
      <c r="E3721" s="538" t="s">
        <v>209</v>
      </c>
      <c r="F3721" s="538">
        <v>1613730</v>
      </c>
      <c r="G3721" s="538">
        <v>5</v>
      </c>
    </row>
    <row r="3722" spans="1:7" x14ac:dyDescent="0.2">
      <c r="A3722" s="538">
        <v>3</v>
      </c>
      <c r="B3722" s="538" t="s">
        <v>1390</v>
      </c>
      <c r="C3722" s="538" t="s">
        <v>393</v>
      </c>
      <c r="D3722" s="538" t="s">
        <v>740</v>
      </c>
      <c r="E3722" s="538" t="s">
        <v>211</v>
      </c>
      <c r="F3722" s="538">
        <v>96819</v>
      </c>
      <c r="G3722" s="538">
        <v>3</v>
      </c>
    </row>
    <row r="3723" spans="1:7" x14ac:dyDescent="0.2">
      <c r="A3723" s="538">
        <v>6</v>
      </c>
      <c r="B3723" s="538" t="s">
        <v>6575</v>
      </c>
      <c r="C3723" s="538" t="s">
        <v>740</v>
      </c>
      <c r="D3723" s="538" t="s">
        <v>740</v>
      </c>
      <c r="E3723" s="538" t="s">
        <v>390</v>
      </c>
      <c r="F3723" s="538">
        <v>8313607</v>
      </c>
      <c r="G3723" s="538">
        <v>194</v>
      </c>
    </row>
    <row r="3724" spans="1:7" x14ac:dyDescent="0.2">
      <c r="A3724" s="538">
        <v>3</v>
      </c>
      <c r="B3724" s="538" t="s">
        <v>6591</v>
      </c>
      <c r="C3724" s="538" t="s">
        <v>740</v>
      </c>
      <c r="D3724" s="538" t="s">
        <v>393</v>
      </c>
      <c r="E3724" s="538" t="s">
        <v>438</v>
      </c>
      <c r="F3724" s="538">
        <v>701399</v>
      </c>
      <c r="G3724" s="538">
        <v>8</v>
      </c>
    </row>
    <row r="3725" spans="1:7" x14ac:dyDescent="0.2">
      <c r="A3725" s="538">
        <v>3</v>
      </c>
      <c r="B3725" s="538" t="s">
        <v>6586</v>
      </c>
      <c r="C3725" s="538" t="s">
        <v>740</v>
      </c>
      <c r="D3725" s="538" t="s">
        <v>740</v>
      </c>
      <c r="E3725" s="538" t="s">
        <v>207</v>
      </c>
      <c r="F3725" s="538">
        <v>7177121</v>
      </c>
      <c r="G3725" s="538">
        <v>447</v>
      </c>
    </row>
    <row r="3726" spans="1:7" x14ac:dyDescent="0.2">
      <c r="A3726" s="538">
        <v>3</v>
      </c>
      <c r="B3726" s="538" t="s">
        <v>6586</v>
      </c>
      <c r="C3726" s="538" t="s">
        <v>740</v>
      </c>
      <c r="D3726" s="538" t="s">
        <v>740</v>
      </c>
      <c r="E3726" s="538" t="s">
        <v>390</v>
      </c>
      <c r="F3726" s="538">
        <v>843936</v>
      </c>
      <c r="G3726" s="538">
        <v>47</v>
      </c>
    </row>
    <row r="3727" spans="1:7" x14ac:dyDescent="0.2">
      <c r="A3727" s="538">
        <v>9</v>
      </c>
      <c r="B3727" s="538" t="s">
        <v>6615</v>
      </c>
      <c r="C3727" s="538" t="s">
        <v>740</v>
      </c>
      <c r="D3727" s="538" t="s">
        <v>740</v>
      </c>
      <c r="E3727" s="538" t="s">
        <v>209</v>
      </c>
      <c r="F3727" s="538">
        <v>496433</v>
      </c>
      <c r="G3727" s="538">
        <v>1</v>
      </c>
    </row>
    <row r="3728" spans="1:7" x14ac:dyDescent="0.2">
      <c r="A3728" s="538">
        <v>6</v>
      </c>
      <c r="B3728" s="538" t="s">
        <v>6565</v>
      </c>
      <c r="C3728" s="538" t="s">
        <v>740</v>
      </c>
      <c r="D3728" s="538" t="s">
        <v>393</v>
      </c>
      <c r="E3728" s="538" t="s">
        <v>402</v>
      </c>
      <c r="F3728" s="538">
        <v>6150740</v>
      </c>
      <c r="G3728" s="538">
        <v>170</v>
      </c>
    </row>
    <row r="3729" spans="1:7" x14ac:dyDescent="0.2">
      <c r="A3729" s="538">
        <v>7</v>
      </c>
      <c r="B3729" s="538" t="s">
        <v>6594</v>
      </c>
      <c r="C3729" s="538" t="s">
        <v>393</v>
      </c>
      <c r="D3729" s="538" t="s">
        <v>740</v>
      </c>
      <c r="E3729" s="538" t="s">
        <v>409</v>
      </c>
      <c r="F3729" s="538">
        <v>391347</v>
      </c>
      <c r="G3729" s="538">
        <v>29</v>
      </c>
    </row>
    <row r="3730" spans="1:7" x14ac:dyDescent="0.2">
      <c r="A3730" s="538">
        <v>8</v>
      </c>
      <c r="B3730" s="538" t="s">
        <v>6567</v>
      </c>
      <c r="C3730" s="538" t="s">
        <v>740</v>
      </c>
      <c r="D3730" s="538" t="s">
        <v>740</v>
      </c>
      <c r="E3730" s="538" t="s">
        <v>438</v>
      </c>
      <c r="F3730" s="538">
        <v>1133758</v>
      </c>
      <c r="G3730" s="538">
        <v>11</v>
      </c>
    </row>
    <row r="3731" spans="1:7" x14ac:dyDescent="0.2">
      <c r="A3731" s="538">
        <v>5</v>
      </c>
      <c r="B3731" s="538" t="s">
        <v>6599</v>
      </c>
      <c r="C3731" s="538" t="s">
        <v>393</v>
      </c>
      <c r="D3731" s="538" t="s">
        <v>740</v>
      </c>
      <c r="E3731" s="538" t="s">
        <v>416</v>
      </c>
      <c r="F3731" s="538">
        <v>4685690</v>
      </c>
      <c r="G3731" s="538">
        <v>115</v>
      </c>
    </row>
    <row r="3732" spans="1:7" x14ac:dyDescent="0.2">
      <c r="A3732" s="538">
        <v>2</v>
      </c>
      <c r="B3732" s="538" t="s">
        <v>6573</v>
      </c>
      <c r="C3732" s="538" t="s">
        <v>740</v>
      </c>
      <c r="D3732" s="538" t="s">
        <v>393</v>
      </c>
      <c r="E3732" s="538" t="s">
        <v>207</v>
      </c>
      <c r="F3732" s="538">
        <v>3867096</v>
      </c>
      <c r="G3732" s="538">
        <v>302</v>
      </c>
    </row>
    <row r="3733" spans="1:7" x14ac:dyDescent="0.2">
      <c r="A3733" s="538">
        <v>3</v>
      </c>
      <c r="B3733" s="538" t="s">
        <v>6578</v>
      </c>
      <c r="C3733" s="538" t="s">
        <v>740</v>
      </c>
      <c r="D3733" s="538" t="s">
        <v>393</v>
      </c>
      <c r="E3733" s="538" t="s">
        <v>402</v>
      </c>
      <c r="F3733" s="538">
        <v>33984</v>
      </c>
      <c r="G3733" s="538">
        <v>3</v>
      </c>
    </row>
    <row r="3734" spans="1:7" x14ac:dyDescent="0.2">
      <c r="A3734" s="538">
        <v>6</v>
      </c>
      <c r="B3734" s="538" t="s">
        <v>6596</v>
      </c>
      <c r="C3734" s="538" t="s">
        <v>740</v>
      </c>
      <c r="D3734" s="538" t="s">
        <v>393</v>
      </c>
      <c r="E3734" s="538" t="s">
        <v>211</v>
      </c>
      <c r="F3734" s="538">
        <v>12025745</v>
      </c>
      <c r="G3734" s="538">
        <v>270</v>
      </c>
    </row>
    <row r="3735" spans="1:7" x14ac:dyDescent="0.2">
      <c r="A3735" s="538">
        <v>1</v>
      </c>
      <c r="B3735" s="538" t="s">
        <v>6663</v>
      </c>
      <c r="C3735" s="538" t="s">
        <v>393</v>
      </c>
      <c r="D3735" s="538" t="s">
        <v>740</v>
      </c>
      <c r="E3735" s="538" t="s">
        <v>409</v>
      </c>
      <c r="F3735" s="538">
        <v>249216</v>
      </c>
      <c r="G3735" s="538">
        <v>22</v>
      </c>
    </row>
    <row r="3736" spans="1:7" x14ac:dyDescent="0.2">
      <c r="A3736" s="538">
        <v>10</v>
      </c>
      <c r="B3736" s="538" t="s">
        <v>6653</v>
      </c>
      <c r="C3736" s="538" t="s">
        <v>393</v>
      </c>
      <c r="D3736" s="538" t="s">
        <v>393</v>
      </c>
      <c r="E3736" s="538" t="s">
        <v>390</v>
      </c>
      <c r="F3736" s="538">
        <v>5942109</v>
      </c>
      <c r="G3736" s="538">
        <v>103</v>
      </c>
    </row>
    <row r="3737" spans="1:7" x14ac:dyDescent="0.2">
      <c r="A3737" s="538">
        <v>11</v>
      </c>
      <c r="B3737" s="538" t="s">
        <v>6592</v>
      </c>
      <c r="C3737" s="538" t="s">
        <v>740</v>
      </c>
      <c r="D3737" s="538" t="s">
        <v>740</v>
      </c>
      <c r="E3737" s="538" t="s">
        <v>211</v>
      </c>
      <c r="F3737" s="538">
        <v>2076814</v>
      </c>
      <c r="G3737" s="538">
        <v>43</v>
      </c>
    </row>
    <row r="3738" spans="1:7" x14ac:dyDescent="0.2">
      <c r="A3738" s="538">
        <v>11</v>
      </c>
      <c r="B3738" s="538" t="s">
        <v>6659</v>
      </c>
      <c r="C3738" s="538" t="s">
        <v>393</v>
      </c>
      <c r="D3738" s="538" t="s">
        <v>393</v>
      </c>
      <c r="E3738" s="538" t="s">
        <v>401</v>
      </c>
      <c r="F3738" s="538">
        <v>147264</v>
      </c>
      <c r="G3738" s="538">
        <v>13</v>
      </c>
    </row>
    <row r="3739" spans="1:7" x14ac:dyDescent="0.2">
      <c r="A3739" s="538">
        <v>6</v>
      </c>
      <c r="B3739" s="538" t="s">
        <v>6596</v>
      </c>
      <c r="C3739" s="538" t="s">
        <v>740</v>
      </c>
      <c r="D3739" s="538" t="s">
        <v>393</v>
      </c>
      <c r="E3739" s="538" t="s">
        <v>402</v>
      </c>
      <c r="F3739" s="538">
        <v>3039517</v>
      </c>
      <c r="G3739" s="538">
        <v>119</v>
      </c>
    </row>
    <row r="3740" spans="1:7" x14ac:dyDescent="0.2">
      <c r="A3740" s="538">
        <v>2</v>
      </c>
      <c r="B3740" s="538" t="s">
        <v>6055</v>
      </c>
      <c r="C3740" s="538" t="s">
        <v>393</v>
      </c>
      <c r="D3740" s="538" t="s">
        <v>740</v>
      </c>
      <c r="E3740" s="538" t="s">
        <v>449</v>
      </c>
      <c r="F3740" s="538">
        <v>56640</v>
      </c>
      <c r="G3740" s="538">
        <v>5</v>
      </c>
    </row>
    <row r="3741" spans="1:7" x14ac:dyDescent="0.2">
      <c r="A3741" s="538">
        <v>11</v>
      </c>
      <c r="B3741" s="538" t="s">
        <v>6610</v>
      </c>
      <c r="C3741" s="538" t="s">
        <v>393</v>
      </c>
      <c r="D3741" s="538" t="s">
        <v>393</v>
      </c>
      <c r="E3741" s="538" t="s">
        <v>438</v>
      </c>
      <c r="F3741" s="538">
        <v>10351898</v>
      </c>
      <c r="G3741" s="538">
        <v>86</v>
      </c>
    </row>
    <row r="3742" spans="1:7" x14ac:dyDescent="0.2">
      <c r="A3742" s="538">
        <v>5</v>
      </c>
      <c r="B3742" s="538" t="s">
        <v>6599</v>
      </c>
      <c r="C3742" s="538" t="s">
        <v>740</v>
      </c>
      <c r="D3742" s="538" t="s">
        <v>393</v>
      </c>
      <c r="E3742" s="538" t="s">
        <v>449</v>
      </c>
      <c r="F3742" s="538">
        <v>11328</v>
      </c>
      <c r="G3742" s="538">
        <v>1</v>
      </c>
    </row>
    <row r="3743" spans="1:7" x14ac:dyDescent="0.2">
      <c r="A3743" s="538">
        <v>11</v>
      </c>
      <c r="B3743" s="538" t="s">
        <v>6612</v>
      </c>
      <c r="C3743" s="538" t="s">
        <v>393</v>
      </c>
      <c r="D3743" s="538" t="s">
        <v>393</v>
      </c>
      <c r="E3743" s="538" t="s">
        <v>860</v>
      </c>
      <c r="F3743" s="538">
        <v>892965</v>
      </c>
      <c r="G3743" s="538">
        <v>40</v>
      </c>
    </row>
    <row r="3744" spans="1:7" x14ac:dyDescent="0.2">
      <c r="A3744" s="538">
        <v>6</v>
      </c>
      <c r="B3744" s="538" t="s">
        <v>6617</v>
      </c>
      <c r="C3744" s="538" t="s">
        <v>393</v>
      </c>
      <c r="D3744" s="538" t="s">
        <v>393</v>
      </c>
      <c r="E3744" s="538" t="s">
        <v>212</v>
      </c>
      <c r="F3744" s="538">
        <v>1212804</v>
      </c>
      <c r="G3744" s="538">
        <v>78</v>
      </c>
    </row>
    <row r="3745" spans="1:7" x14ac:dyDescent="0.2">
      <c r="A3745" s="538">
        <v>3</v>
      </c>
      <c r="B3745" s="538" t="s">
        <v>6603</v>
      </c>
      <c r="C3745" s="538" t="s">
        <v>740</v>
      </c>
      <c r="D3745" s="538" t="s">
        <v>393</v>
      </c>
      <c r="E3745" s="538" t="s">
        <v>211</v>
      </c>
      <c r="F3745" s="538">
        <v>1572593</v>
      </c>
      <c r="G3745" s="538">
        <v>31</v>
      </c>
    </row>
    <row r="3746" spans="1:7" x14ac:dyDescent="0.2">
      <c r="A3746" s="538">
        <v>8</v>
      </c>
      <c r="B3746" s="538" t="s">
        <v>6570</v>
      </c>
      <c r="C3746" s="538" t="s">
        <v>393</v>
      </c>
      <c r="D3746" s="538" t="s">
        <v>393</v>
      </c>
      <c r="E3746" s="538" t="s">
        <v>390</v>
      </c>
      <c r="F3746" s="538">
        <v>13169977</v>
      </c>
      <c r="G3746" s="538">
        <v>384</v>
      </c>
    </row>
    <row r="3747" spans="1:7" x14ac:dyDescent="0.2">
      <c r="A3747" s="538">
        <v>4</v>
      </c>
      <c r="B3747" s="538" t="s">
        <v>6574</v>
      </c>
      <c r="C3747" s="538" t="s">
        <v>740</v>
      </c>
      <c r="D3747" s="538" t="s">
        <v>393</v>
      </c>
      <c r="E3747" s="538" t="s">
        <v>438</v>
      </c>
      <c r="F3747" s="538">
        <v>1321253</v>
      </c>
      <c r="G3747" s="538">
        <v>26</v>
      </c>
    </row>
    <row r="3748" spans="1:7" x14ac:dyDescent="0.2">
      <c r="A3748" s="538">
        <v>3</v>
      </c>
      <c r="B3748" s="538" t="s">
        <v>6603</v>
      </c>
      <c r="C3748" s="538" t="s">
        <v>740</v>
      </c>
      <c r="D3748" s="538" t="s">
        <v>393</v>
      </c>
      <c r="E3748" s="538" t="s">
        <v>419</v>
      </c>
      <c r="F3748" s="538">
        <v>11328</v>
      </c>
      <c r="G3748" s="538">
        <v>1</v>
      </c>
    </row>
    <row r="3749" spans="1:7" x14ac:dyDescent="0.2">
      <c r="A3749" s="538">
        <v>10</v>
      </c>
      <c r="B3749" s="538" t="s">
        <v>6664</v>
      </c>
      <c r="C3749" s="538" t="s">
        <v>740</v>
      </c>
      <c r="D3749" s="538" t="s">
        <v>393</v>
      </c>
      <c r="E3749" s="538" t="s">
        <v>390</v>
      </c>
      <c r="F3749" s="538">
        <v>95580</v>
      </c>
      <c r="G3749" s="538">
        <v>5</v>
      </c>
    </row>
    <row r="3750" spans="1:7" x14ac:dyDescent="0.2">
      <c r="A3750" s="538">
        <v>4</v>
      </c>
      <c r="B3750" s="538" t="s">
        <v>6562</v>
      </c>
      <c r="C3750" s="538" t="s">
        <v>740</v>
      </c>
      <c r="D3750" s="538" t="s">
        <v>393</v>
      </c>
      <c r="E3750" s="538" t="s">
        <v>212</v>
      </c>
      <c r="F3750" s="538">
        <v>5709791</v>
      </c>
      <c r="G3750" s="538">
        <v>392</v>
      </c>
    </row>
    <row r="3751" spans="1:7" x14ac:dyDescent="0.2">
      <c r="A3751" s="538">
        <v>3</v>
      </c>
      <c r="B3751" s="538" t="s">
        <v>6603</v>
      </c>
      <c r="C3751" s="538" t="s">
        <v>740</v>
      </c>
      <c r="D3751" s="538" t="s">
        <v>393</v>
      </c>
      <c r="E3751" s="538" t="s">
        <v>313</v>
      </c>
      <c r="F3751" s="538">
        <v>74163</v>
      </c>
      <c r="G3751" s="538">
        <v>1</v>
      </c>
    </row>
    <row r="3752" spans="1:7" x14ac:dyDescent="0.2">
      <c r="A3752" s="538">
        <v>11</v>
      </c>
      <c r="B3752" s="538" t="s">
        <v>6612</v>
      </c>
      <c r="C3752" s="538" t="s">
        <v>740</v>
      </c>
      <c r="D3752" s="538" t="s">
        <v>740</v>
      </c>
      <c r="E3752" s="538" t="s">
        <v>401</v>
      </c>
      <c r="F3752" s="538">
        <v>283200</v>
      </c>
      <c r="G3752" s="538">
        <v>25</v>
      </c>
    </row>
    <row r="3753" spans="1:7" x14ac:dyDescent="0.2">
      <c r="A3753" s="538">
        <v>2</v>
      </c>
      <c r="B3753" s="538" t="s">
        <v>6573</v>
      </c>
      <c r="C3753" s="538" t="s">
        <v>740</v>
      </c>
      <c r="D3753" s="538" t="s">
        <v>740</v>
      </c>
      <c r="E3753" s="538" t="s">
        <v>212</v>
      </c>
      <c r="F3753" s="538">
        <v>491883</v>
      </c>
      <c r="G3753" s="538">
        <v>31</v>
      </c>
    </row>
    <row r="3754" spans="1:7" x14ac:dyDescent="0.2">
      <c r="A3754" s="538">
        <v>9</v>
      </c>
      <c r="B3754" s="538" t="s">
        <v>6644</v>
      </c>
      <c r="C3754" s="538" t="s">
        <v>740</v>
      </c>
      <c r="D3754" s="538" t="s">
        <v>393</v>
      </c>
      <c r="E3754" s="538" t="s">
        <v>860</v>
      </c>
      <c r="F3754" s="538">
        <v>3518656</v>
      </c>
      <c r="G3754" s="538">
        <v>142</v>
      </c>
    </row>
    <row r="3755" spans="1:7" x14ac:dyDescent="0.2">
      <c r="A3755" s="538">
        <v>3</v>
      </c>
      <c r="B3755" s="538" t="s">
        <v>6561</v>
      </c>
      <c r="C3755" s="538" t="s">
        <v>740</v>
      </c>
      <c r="D3755" s="538" t="s">
        <v>393</v>
      </c>
      <c r="E3755" s="538" t="s">
        <v>402</v>
      </c>
      <c r="F3755" s="538">
        <v>3279706</v>
      </c>
      <c r="G3755" s="538">
        <v>137</v>
      </c>
    </row>
    <row r="3756" spans="1:7" x14ac:dyDescent="0.2">
      <c r="A3756" s="538">
        <v>3</v>
      </c>
      <c r="B3756" s="538" t="s">
        <v>6586</v>
      </c>
      <c r="C3756" s="538" t="s">
        <v>740</v>
      </c>
      <c r="D3756" s="538" t="s">
        <v>393</v>
      </c>
      <c r="E3756" s="538" t="s">
        <v>409</v>
      </c>
      <c r="F3756" s="538">
        <v>9544174</v>
      </c>
      <c r="G3756" s="538">
        <v>113</v>
      </c>
    </row>
    <row r="3757" spans="1:7" x14ac:dyDescent="0.2">
      <c r="A3757" s="538">
        <v>3</v>
      </c>
      <c r="B3757" s="538" t="s">
        <v>6591</v>
      </c>
      <c r="C3757" s="538" t="s">
        <v>740</v>
      </c>
      <c r="D3757" s="538" t="s">
        <v>740</v>
      </c>
      <c r="E3757" s="538" t="s">
        <v>390</v>
      </c>
      <c r="F3757" s="538">
        <v>5569045</v>
      </c>
      <c r="G3757" s="538">
        <v>115</v>
      </c>
    </row>
    <row r="3758" spans="1:7" x14ac:dyDescent="0.2">
      <c r="A3758" s="538">
        <v>4</v>
      </c>
      <c r="B3758" s="538" t="s">
        <v>6559</v>
      </c>
      <c r="C3758" s="538" t="s">
        <v>740</v>
      </c>
      <c r="D3758" s="538" t="s">
        <v>393</v>
      </c>
      <c r="E3758" s="538" t="s">
        <v>402</v>
      </c>
      <c r="F3758" s="538">
        <v>133920702</v>
      </c>
      <c r="G3758" s="538">
        <v>6489</v>
      </c>
    </row>
    <row r="3759" spans="1:7" x14ac:dyDescent="0.2">
      <c r="A3759" s="538">
        <v>5</v>
      </c>
      <c r="B3759" s="538" t="s">
        <v>6568</v>
      </c>
      <c r="C3759" s="538" t="s">
        <v>740</v>
      </c>
      <c r="D3759" s="538" t="s">
        <v>393</v>
      </c>
      <c r="E3759" s="538" t="s">
        <v>210</v>
      </c>
      <c r="F3759" s="538">
        <v>11638396</v>
      </c>
      <c r="G3759" s="538">
        <v>442</v>
      </c>
    </row>
    <row r="3760" spans="1:7" x14ac:dyDescent="0.2">
      <c r="A3760" s="538">
        <v>11</v>
      </c>
      <c r="B3760" s="538" t="s">
        <v>6612</v>
      </c>
      <c r="C3760" s="538" t="s">
        <v>740</v>
      </c>
      <c r="D3760" s="538" t="s">
        <v>393</v>
      </c>
      <c r="E3760" s="538" t="s">
        <v>210</v>
      </c>
      <c r="F3760" s="538">
        <v>3047180</v>
      </c>
      <c r="G3760" s="538">
        <v>130</v>
      </c>
    </row>
    <row r="3761" spans="1:7" x14ac:dyDescent="0.2">
      <c r="A3761" s="538">
        <v>6</v>
      </c>
      <c r="B3761" s="538" t="s">
        <v>6575</v>
      </c>
      <c r="C3761" s="538" t="s">
        <v>393</v>
      </c>
      <c r="D3761" s="538" t="s">
        <v>740</v>
      </c>
      <c r="E3761" s="538" t="s">
        <v>402</v>
      </c>
      <c r="F3761" s="538">
        <v>5547503</v>
      </c>
      <c r="G3761" s="538">
        <v>181</v>
      </c>
    </row>
    <row r="3762" spans="1:7" x14ac:dyDescent="0.2">
      <c r="A3762" s="538">
        <v>7</v>
      </c>
      <c r="B3762" s="538" t="s">
        <v>6594</v>
      </c>
      <c r="C3762" s="538" t="s">
        <v>740</v>
      </c>
      <c r="D3762" s="538" t="s">
        <v>393</v>
      </c>
      <c r="E3762" s="538" t="s">
        <v>402</v>
      </c>
      <c r="F3762" s="538">
        <v>45312</v>
      </c>
      <c r="G3762" s="538">
        <v>4</v>
      </c>
    </row>
    <row r="3763" spans="1:7" x14ac:dyDescent="0.2">
      <c r="A3763" s="538">
        <v>7</v>
      </c>
      <c r="B3763" s="538" t="s">
        <v>6571</v>
      </c>
      <c r="C3763" s="538" t="s">
        <v>740</v>
      </c>
      <c r="D3763" s="538" t="s">
        <v>393</v>
      </c>
      <c r="E3763" s="538" t="s">
        <v>438</v>
      </c>
      <c r="F3763" s="538">
        <v>581924</v>
      </c>
      <c r="G3763" s="538">
        <v>3</v>
      </c>
    </row>
    <row r="3764" spans="1:7" x14ac:dyDescent="0.2">
      <c r="A3764" s="538">
        <v>9</v>
      </c>
      <c r="B3764" s="538" t="s">
        <v>6614</v>
      </c>
      <c r="C3764" s="538" t="s">
        <v>740</v>
      </c>
      <c r="D3764" s="538" t="s">
        <v>393</v>
      </c>
      <c r="E3764" s="538" t="s">
        <v>212</v>
      </c>
      <c r="F3764" s="538">
        <v>481971</v>
      </c>
      <c r="G3764" s="538">
        <v>37</v>
      </c>
    </row>
    <row r="3765" spans="1:7" x14ac:dyDescent="0.2">
      <c r="A3765" s="538">
        <v>11</v>
      </c>
      <c r="B3765" s="538" t="s">
        <v>6592</v>
      </c>
      <c r="C3765" s="538" t="s">
        <v>393</v>
      </c>
      <c r="D3765" s="538" t="s">
        <v>393</v>
      </c>
      <c r="E3765" s="538" t="s">
        <v>209</v>
      </c>
      <c r="F3765" s="538">
        <v>1289518</v>
      </c>
      <c r="G3765" s="538">
        <v>6</v>
      </c>
    </row>
    <row r="3766" spans="1:7" x14ac:dyDescent="0.2">
      <c r="A3766" s="538">
        <v>2</v>
      </c>
      <c r="B3766" s="538" t="s">
        <v>6662</v>
      </c>
      <c r="C3766" s="538" t="s">
        <v>393</v>
      </c>
      <c r="D3766" s="538" t="s">
        <v>740</v>
      </c>
      <c r="E3766" s="538" t="s">
        <v>212</v>
      </c>
      <c r="F3766" s="538">
        <v>889602</v>
      </c>
      <c r="G3766" s="538">
        <v>64</v>
      </c>
    </row>
    <row r="3767" spans="1:7" x14ac:dyDescent="0.2">
      <c r="A3767" s="538">
        <v>2</v>
      </c>
      <c r="B3767" s="538" t="s">
        <v>6055</v>
      </c>
      <c r="C3767" s="538" t="s">
        <v>740</v>
      </c>
      <c r="D3767" s="538" t="s">
        <v>393</v>
      </c>
      <c r="E3767" s="538" t="s">
        <v>390</v>
      </c>
      <c r="F3767" s="538">
        <v>351694059</v>
      </c>
      <c r="G3767" s="538">
        <v>13158</v>
      </c>
    </row>
    <row r="3768" spans="1:7" x14ac:dyDescent="0.2">
      <c r="A3768" s="538">
        <v>10</v>
      </c>
      <c r="B3768" s="538" t="s">
        <v>6587</v>
      </c>
      <c r="C3768" s="538" t="s">
        <v>740</v>
      </c>
      <c r="D3768" s="538" t="s">
        <v>393</v>
      </c>
      <c r="E3768" s="538" t="s">
        <v>402</v>
      </c>
      <c r="F3768" s="538">
        <v>3491273</v>
      </c>
      <c r="G3768" s="538">
        <v>161</v>
      </c>
    </row>
    <row r="3769" spans="1:7" x14ac:dyDescent="0.2">
      <c r="A3769" s="538">
        <v>7</v>
      </c>
      <c r="B3769" s="538" t="s">
        <v>6588</v>
      </c>
      <c r="C3769" s="538" t="s">
        <v>393</v>
      </c>
      <c r="D3769" s="538" t="s">
        <v>393</v>
      </c>
      <c r="E3769" s="538" t="s">
        <v>402</v>
      </c>
      <c r="F3769" s="538">
        <v>2607814</v>
      </c>
      <c r="G3769" s="538">
        <v>83</v>
      </c>
    </row>
    <row r="3770" spans="1:7" x14ac:dyDescent="0.2">
      <c r="A3770" s="538">
        <v>5</v>
      </c>
      <c r="B3770" s="538" t="s">
        <v>6650</v>
      </c>
      <c r="C3770" s="538" t="s">
        <v>393</v>
      </c>
      <c r="D3770" s="538" t="s">
        <v>393</v>
      </c>
      <c r="E3770" s="538" t="s">
        <v>211</v>
      </c>
      <c r="F3770" s="538">
        <v>5830193</v>
      </c>
      <c r="G3770" s="538">
        <v>91</v>
      </c>
    </row>
    <row r="3771" spans="1:7" x14ac:dyDescent="0.2">
      <c r="A3771" s="538">
        <v>5</v>
      </c>
      <c r="B3771" s="538" t="s">
        <v>6568</v>
      </c>
      <c r="C3771" s="538" t="s">
        <v>740</v>
      </c>
      <c r="D3771" s="538" t="s">
        <v>393</v>
      </c>
      <c r="E3771" s="538" t="s">
        <v>212</v>
      </c>
      <c r="F3771" s="538">
        <v>1629639</v>
      </c>
      <c r="G3771" s="538">
        <v>128</v>
      </c>
    </row>
    <row r="3772" spans="1:7" x14ac:dyDescent="0.2">
      <c r="A3772" s="538">
        <v>5</v>
      </c>
      <c r="B3772" s="538" t="s">
        <v>6599</v>
      </c>
      <c r="C3772" s="538" t="s">
        <v>393</v>
      </c>
      <c r="D3772" s="538" t="s">
        <v>393</v>
      </c>
      <c r="E3772" s="538" t="s">
        <v>438</v>
      </c>
      <c r="F3772" s="538">
        <v>8982907</v>
      </c>
      <c r="G3772" s="538">
        <v>64</v>
      </c>
    </row>
    <row r="3773" spans="1:7" x14ac:dyDescent="0.2">
      <c r="A3773" s="538">
        <v>2</v>
      </c>
      <c r="B3773" s="538" t="s">
        <v>6573</v>
      </c>
      <c r="C3773" s="538" t="s">
        <v>740</v>
      </c>
      <c r="D3773" s="538" t="s">
        <v>740</v>
      </c>
      <c r="E3773" s="538" t="s">
        <v>401</v>
      </c>
      <c r="F3773" s="538">
        <v>22656</v>
      </c>
      <c r="G3773" s="538">
        <v>2</v>
      </c>
    </row>
    <row r="3774" spans="1:7" x14ac:dyDescent="0.2">
      <c r="A3774" s="538">
        <v>2</v>
      </c>
      <c r="B3774" s="538" t="s">
        <v>6573</v>
      </c>
      <c r="C3774" s="538" t="s">
        <v>740</v>
      </c>
      <c r="D3774" s="538" t="s">
        <v>740</v>
      </c>
      <c r="E3774" s="538" t="s">
        <v>212</v>
      </c>
      <c r="F3774" s="538">
        <v>11328</v>
      </c>
      <c r="G3774" s="538">
        <v>1</v>
      </c>
    </row>
    <row r="3775" spans="1:7" x14ac:dyDescent="0.2">
      <c r="A3775" s="538">
        <v>8</v>
      </c>
      <c r="B3775" s="538" t="s">
        <v>6570</v>
      </c>
      <c r="C3775" s="538" t="s">
        <v>740</v>
      </c>
      <c r="D3775" s="538" t="s">
        <v>393</v>
      </c>
      <c r="E3775" s="538" t="s">
        <v>416</v>
      </c>
      <c r="F3775" s="538">
        <v>3224555</v>
      </c>
      <c r="G3775" s="538">
        <v>65</v>
      </c>
    </row>
    <row r="3776" spans="1:7" x14ac:dyDescent="0.2">
      <c r="A3776" s="538">
        <v>7</v>
      </c>
      <c r="B3776" s="538" t="s">
        <v>6604</v>
      </c>
      <c r="C3776" s="538" t="s">
        <v>740</v>
      </c>
      <c r="D3776" s="538" t="s">
        <v>740</v>
      </c>
      <c r="E3776" s="538" t="s">
        <v>212</v>
      </c>
      <c r="F3776" s="538">
        <v>564401</v>
      </c>
      <c r="G3776" s="538">
        <v>7</v>
      </c>
    </row>
    <row r="3777" spans="1:7" x14ac:dyDescent="0.2">
      <c r="A3777" s="538">
        <v>5</v>
      </c>
      <c r="B3777" s="538" t="s">
        <v>6650</v>
      </c>
      <c r="C3777" s="538" t="s">
        <v>740</v>
      </c>
      <c r="D3777" s="538" t="s">
        <v>393</v>
      </c>
      <c r="E3777" s="538" t="s">
        <v>212</v>
      </c>
      <c r="F3777" s="538">
        <v>1165191</v>
      </c>
      <c r="G3777" s="538">
        <v>87</v>
      </c>
    </row>
    <row r="3778" spans="1:7" x14ac:dyDescent="0.2">
      <c r="A3778" s="538">
        <v>1</v>
      </c>
      <c r="B3778" s="538" t="s">
        <v>1288</v>
      </c>
      <c r="C3778" s="538" t="s">
        <v>393</v>
      </c>
      <c r="D3778" s="538" t="s">
        <v>393</v>
      </c>
      <c r="E3778" s="538" t="s">
        <v>401</v>
      </c>
      <c r="F3778" s="538">
        <v>147264</v>
      </c>
      <c r="G3778" s="538">
        <v>13</v>
      </c>
    </row>
    <row r="3779" spans="1:7" x14ac:dyDescent="0.2">
      <c r="A3779" s="538">
        <v>6</v>
      </c>
      <c r="B3779" s="538" t="s">
        <v>6433</v>
      </c>
      <c r="C3779" s="538" t="s">
        <v>393</v>
      </c>
      <c r="D3779" s="538" t="s">
        <v>740</v>
      </c>
      <c r="E3779" s="538" t="s">
        <v>390</v>
      </c>
      <c r="F3779" s="538">
        <v>17909642</v>
      </c>
      <c r="G3779" s="538">
        <v>264</v>
      </c>
    </row>
    <row r="3780" spans="1:7" x14ac:dyDescent="0.2">
      <c r="A3780" s="538">
        <v>6</v>
      </c>
      <c r="B3780" s="538" t="s">
        <v>6433</v>
      </c>
      <c r="C3780" s="538" t="s">
        <v>740</v>
      </c>
      <c r="D3780" s="538" t="s">
        <v>393</v>
      </c>
      <c r="E3780" s="538" t="s">
        <v>313</v>
      </c>
      <c r="F3780" s="538">
        <v>756623</v>
      </c>
      <c r="G3780" s="538">
        <v>6</v>
      </c>
    </row>
    <row r="3781" spans="1:7" x14ac:dyDescent="0.2">
      <c r="A3781" s="538">
        <v>6</v>
      </c>
      <c r="B3781" s="538" t="s">
        <v>6433</v>
      </c>
      <c r="C3781" s="538" t="s">
        <v>393</v>
      </c>
      <c r="D3781" s="538" t="s">
        <v>393</v>
      </c>
      <c r="E3781" s="538" t="s">
        <v>402</v>
      </c>
      <c r="F3781" s="538">
        <v>6725386</v>
      </c>
      <c r="G3781" s="538">
        <v>192</v>
      </c>
    </row>
    <row r="3782" spans="1:7" x14ac:dyDescent="0.2">
      <c r="A3782" s="538">
        <v>7</v>
      </c>
      <c r="B3782" s="538" t="s">
        <v>6604</v>
      </c>
      <c r="C3782" s="538" t="s">
        <v>740</v>
      </c>
      <c r="D3782" s="538" t="s">
        <v>393</v>
      </c>
      <c r="E3782" s="538" t="s">
        <v>438</v>
      </c>
      <c r="F3782" s="538">
        <v>50268</v>
      </c>
      <c r="G3782" s="538">
        <v>1</v>
      </c>
    </row>
    <row r="3783" spans="1:7" x14ac:dyDescent="0.2">
      <c r="A3783" s="538">
        <v>6</v>
      </c>
      <c r="B3783" s="538" t="s">
        <v>6429</v>
      </c>
      <c r="C3783" s="538" t="s">
        <v>740</v>
      </c>
      <c r="D3783" s="538" t="s">
        <v>740</v>
      </c>
      <c r="E3783" s="538" t="s">
        <v>409</v>
      </c>
      <c r="F3783" s="538">
        <v>18113192</v>
      </c>
      <c r="G3783" s="538">
        <v>319</v>
      </c>
    </row>
    <row r="3784" spans="1:7" x14ac:dyDescent="0.2">
      <c r="A3784" s="538">
        <v>10</v>
      </c>
      <c r="B3784" s="538" t="s">
        <v>6653</v>
      </c>
      <c r="C3784" s="538" t="s">
        <v>740</v>
      </c>
      <c r="D3784" s="538" t="s">
        <v>393</v>
      </c>
      <c r="E3784" s="538" t="s">
        <v>207</v>
      </c>
      <c r="F3784" s="538">
        <v>33984</v>
      </c>
      <c r="G3784" s="538">
        <v>3</v>
      </c>
    </row>
    <row r="3785" spans="1:7" x14ac:dyDescent="0.2">
      <c r="A3785" s="538">
        <v>3</v>
      </c>
      <c r="B3785" s="538" t="s">
        <v>6605</v>
      </c>
      <c r="C3785" s="538" t="s">
        <v>740</v>
      </c>
      <c r="D3785" s="538" t="s">
        <v>740</v>
      </c>
      <c r="E3785" s="538" t="s">
        <v>438</v>
      </c>
      <c r="F3785" s="538">
        <v>50268</v>
      </c>
      <c r="G3785" s="538">
        <v>1</v>
      </c>
    </row>
    <row r="3786" spans="1:7" x14ac:dyDescent="0.2">
      <c r="A3786" s="538">
        <v>6</v>
      </c>
      <c r="B3786" s="538" t="s">
        <v>6617</v>
      </c>
      <c r="C3786" s="538" t="s">
        <v>740</v>
      </c>
      <c r="D3786" s="538" t="s">
        <v>393</v>
      </c>
      <c r="E3786" s="538" t="s">
        <v>409</v>
      </c>
      <c r="F3786" s="538">
        <v>11328</v>
      </c>
      <c r="G3786" s="538">
        <v>1</v>
      </c>
    </row>
    <row r="3787" spans="1:7" x14ac:dyDescent="0.2">
      <c r="A3787" s="538">
        <v>8</v>
      </c>
      <c r="B3787" s="538" t="s">
        <v>6567</v>
      </c>
      <c r="C3787" s="538" t="s">
        <v>393</v>
      </c>
      <c r="D3787" s="538" t="s">
        <v>740</v>
      </c>
      <c r="E3787" s="538" t="s">
        <v>402</v>
      </c>
      <c r="F3787" s="538">
        <v>1743044</v>
      </c>
      <c r="G3787" s="538">
        <v>73</v>
      </c>
    </row>
    <row r="3788" spans="1:7" x14ac:dyDescent="0.2">
      <c r="A3788" s="538">
        <v>7</v>
      </c>
      <c r="B3788" s="538" t="s">
        <v>6588</v>
      </c>
      <c r="C3788" s="538" t="s">
        <v>740</v>
      </c>
      <c r="D3788" s="538" t="s">
        <v>393</v>
      </c>
      <c r="E3788" s="538" t="s">
        <v>860</v>
      </c>
      <c r="F3788" s="538">
        <v>50509325</v>
      </c>
      <c r="G3788" s="538">
        <v>1860</v>
      </c>
    </row>
    <row r="3789" spans="1:7" x14ac:dyDescent="0.2">
      <c r="A3789" s="538">
        <v>9</v>
      </c>
      <c r="B3789" s="538" t="s">
        <v>6657</v>
      </c>
      <c r="C3789" s="538" t="s">
        <v>740</v>
      </c>
      <c r="D3789" s="538" t="s">
        <v>393</v>
      </c>
      <c r="E3789" s="538" t="s">
        <v>202</v>
      </c>
      <c r="F3789" s="538">
        <v>712727</v>
      </c>
      <c r="G3789" s="538">
        <v>9</v>
      </c>
    </row>
    <row r="3790" spans="1:7" x14ac:dyDescent="0.2">
      <c r="A3790" s="538">
        <v>12</v>
      </c>
      <c r="B3790" s="538" t="s">
        <v>6569</v>
      </c>
      <c r="C3790" s="538" t="s">
        <v>740</v>
      </c>
      <c r="D3790" s="538" t="s">
        <v>740</v>
      </c>
      <c r="E3790" s="538" t="s">
        <v>207</v>
      </c>
      <c r="F3790" s="538">
        <v>4433673</v>
      </c>
      <c r="G3790" s="538">
        <v>296</v>
      </c>
    </row>
    <row r="3791" spans="1:7" x14ac:dyDescent="0.2">
      <c r="A3791" s="538">
        <v>4</v>
      </c>
      <c r="B3791" s="538" t="s">
        <v>6559</v>
      </c>
      <c r="C3791" s="538" t="s">
        <v>393</v>
      </c>
      <c r="D3791" s="538" t="s">
        <v>393</v>
      </c>
      <c r="E3791" s="538" t="s">
        <v>207</v>
      </c>
      <c r="F3791" s="538">
        <v>624102</v>
      </c>
      <c r="G3791" s="538">
        <v>44</v>
      </c>
    </row>
    <row r="3792" spans="1:7" x14ac:dyDescent="0.2">
      <c r="A3792" s="538">
        <v>8</v>
      </c>
      <c r="B3792" s="538" t="s">
        <v>6570</v>
      </c>
      <c r="C3792" s="538" t="s">
        <v>740</v>
      </c>
      <c r="D3792" s="538" t="s">
        <v>740</v>
      </c>
      <c r="E3792" s="538" t="s">
        <v>210</v>
      </c>
      <c r="F3792" s="538">
        <v>61596</v>
      </c>
      <c r="G3792" s="538">
        <v>2</v>
      </c>
    </row>
    <row r="3793" spans="1:7" x14ac:dyDescent="0.2">
      <c r="A3793" s="538">
        <v>3</v>
      </c>
      <c r="B3793" s="538" t="s">
        <v>6586</v>
      </c>
      <c r="C3793" s="538" t="s">
        <v>740</v>
      </c>
      <c r="D3793" s="538" t="s">
        <v>740</v>
      </c>
      <c r="E3793" s="538" t="s">
        <v>860</v>
      </c>
      <c r="F3793" s="538">
        <v>158592</v>
      </c>
      <c r="G3793" s="538">
        <v>14</v>
      </c>
    </row>
    <row r="3794" spans="1:7" x14ac:dyDescent="0.2">
      <c r="A3794" s="538">
        <v>10</v>
      </c>
      <c r="B3794" s="538" t="s">
        <v>6611</v>
      </c>
      <c r="C3794" s="538" t="s">
        <v>740</v>
      </c>
      <c r="D3794" s="538" t="s">
        <v>393</v>
      </c>
      <c r="E3794" s="538" t="s">
        <v>416</v>
      </c>
      <c r="F3794" s="538">
        <v>124431</v>
      </c>
      <c r="G3794" s="538">
        <v>2</v>
      </c>
    </row>
    <row r="3795" spans="1:7" x14ac:dyDescent="0.2">
      <c r="A3795" s="538">
        <v>2</v>
      </c>
      <c r="B3795" s="538" t="s">
        <v>6573</v>
      </c>
      <c r="C3795" s="538" t="s">
        <v>393</v>
      </c>
      <c r="D3795" s="538" t="s">
        <v>740</v>
      </c>
      <c r="E3795" s="538" t="s">
        <v>860</v>
      </c>
      <c r="F3795" s="538">
        <v>209922</v>
      </c>
      <c r="G3795" s="538">
        <v>4</v>
      </c>
    </row>
    <row r="3796" spans="1:7" x14ac:dyDescent="0.2">
      <c r="A3796" s="538">
        <v>9</v>
      </c>
      <c r="B3796" s="538" t="s">
        <v>6613</v>
      </c>
      <c r="C3796" s="538" t="s">
        <v>740</v>
      </c>
      <c r="D3796" s="538" t="s">
        <v>393</v>
      </c>
      <c r="E3796" s="538" t="s">
        <v>390</v>
      </c>
      <c r="F3796" s="538">
        <v>615908</v>
      </c>
      <c r="G3796" s="538">
        <v>6</v>
      </c>
    </row>
    <row r="3797" spans="1:7" x14ac:dyDescent="0.2">
      <c r="A3797" s="538">
        <v>7</v>
      </c>
      <c r="B3797" s="538" t="s">
        <v>6588</v>
      </c>
      <c r="C3797" s="538" t="s">
        <v>740</v>
      </c>
      <c r="D3797" s="538" t="s">
        <v>393</v>
      </c>
      <c r="E3797" s="538" t="s">
        <v>313</v>
      </c>
      <c r="F3797" s="538">
        <v>620864</v>
      </c>
      <c r="G3797" s="538">
        <v>3</v>
      </c>
    </row>
    <row r="3798" spans="1:7" x14ac:dyDescent="0.2">
      <c r="A3798" s="538">
        <v>2</v>
      </c>
      <c r="B3798" s="538" t="s">
        <v>6573</v>
      </c>
      <c r="C3798" s="538" t="s">
        <v>740</v>
      </c>
      <c r="D3798" s="538" t="s">
        <v>740</v>
      </c>
      <c r="E3798" s="538" t="s">
        <v>401</v>
      </c>
      <c r="F3798" s="538">
        <v>680742</v>
      </c>
      <c r="G3798" s="538">
        <v>49</v>
      </c>
    </row>
    <row r="3799" spans="1:7" x14ac:dyDescent="0.2">
      <c r="A3799" s="538">
        <v>8</v>
      </c>
      <c r="B3799" s="538" t="s">
        <v>6577</v>
      </c>
      <c r="C3799" s="538" t="s">
        <v>740</v>
      </c>
      <c r="D3799" s="538" t="s">
        <v>740</v>
      </c>
      <c r="E3799" s="538" t="s">
        <v>211</v>
      </c>
      <c r="F3799" s="538">
        <v>33984</v>
      </c>
      <c r="G3799" s="538">
        <v>3</v>
      </c>
    </row>
    <row r="3800" spans="1:7" x14ac:dyDescent="0.2">
      <c r="A3800" s="538">
        <v>4</v>
      </c>
      <c r="B3800" s="538" t="s">
        <v>6562</v>
      </c>
      <c r="C3800" s="538" t="s">
        <v>740</v>
      </c>
      <c r="D3800" s="538" t="s">
        <v>393</v>
      </c>
      <c r="E3800" s="538" t="s">
        <v>401</v>
      </c>
      <c r="F3800" s="538">
        <v>591180</v>
      </c>
      <c r="G3800" s="538">
        <v>30</v>
      </c>
    </row>
    <row r="3801" spans="1:7" x14ac:dyDescent="0.2">
      <c r="A3801" s="538">
        <v>6</v>
      </c>
      <c r="B3801" s="538" t="s">
        <v>6596</v>
      </c>
      <c r="C3801" s="538" t="s">
        <v>740</v>
      </c>
      <c r="D3801" s="538" t="s">
        <v>393</v>
      </c>
      <c r="E3801" s="538" t="s">
        <v>207</v>
      </c>
      <c r="F3801" s="538">
        <v>503211</v>
      </c>
      <c r="G3801" s="538">
        <v>32</v>
      </c>
    </row>
    <row r="3802" spans="1:7" x14ac:dyDescent="0.2">
      <c r="A3802" s="538">
        <v>8</v>
      </c>
      <c r="B3802" s="538" t="s">
        <v>6577</v>
      </c>
      <c r="C3802" s="538" t="s">
        <v>740</v>
      </c>
      <c r="D3802" s="538" t="s">
        <v>393</v>
      </c>
      <c r="E3802" s="538" t="s">
        <v>313</v>
      </c>
      <c r="F3802" s="538">
        <v>147087</v>
      </c>
      <c r="G3802" s="538">
        <v>4</v>
      </c>
    </row>
    <row r="3803" spans="1:7" x14ac:dyDescent="0.2">
      <c r="A3803" s="538">
        <v>6</v>
      </c>
      <c r="B3803" s="538" t="s">
        <v>6429</v>
      </c>
      <c r="C3803" s="538" t="s">
        <v>740</v>
      </c>
      <c r="D3803" s="538" t="s">
        <v>393</v>
      </c>
      <c r="E3803" s="538" t="s">
        <v>202</v>
      </c>
      <c r="F3803" s="538">
        <v>593252</v>
      </c>
      <c r="G3803" s="538">
        <v>4</v>
      </c>
    </row>
    <row r="3804" spans="1:7" x14ac:dyDescent="0.2">
      <c r="A3804" s="538">
        <v>8</v>
      </c>
      <c r="B3804" s="538" t="s">
        <v>6658</v>
      </c>
      <c r="C3804" s="538" t="s">
        <v>740</v>
      </c>
      <c r="D3804" s="538" t="s">
        <v>393</v>
      </c>
      <c r="E3804" s="538" t="s">
        <v>409</v>
      </c>
      <c r="F3804" s="538">
        <v>455244</v>
      </c>
      <c r="G3804" s="538">
        <v>18</v>
      </c>
    </row>
    <row r="3805" spans="1:7" x14ac:dyDescent="0.2">
      <c r="A3805" s="538">
        <v>8</v>
      </c>
      <c r="B3805" s="538" t="s">
        <v>6577</v>
      </c>
      <c r="C3805" s="538" t="s">
        <v>740</v>
      </c>
      <c r="D3805" s="538" t="s">
        <v>393</v>
      </c>
      <c r="E3805" s="538" t="s">
        <v>202</v>
      </c>
      <c r="F3805" s="538">
        <v>50268</v>
      </c>
      <c r="G3805" s="538">
        <v>1</v>
      </c>
    </row>
    <row r="3806" spans="1:7" x14ac:dyDescent="0.2">
      <c r="A3806" s="538">
        <v>2</v>
      </c>
      <c r="B3806" s="538" t="s">
        <v>6585</v>
      </c>
      <c r="C3806" s="538" t="s">
        <v>740</v>
      </c>
      <c r="D3806" s="538" t="s">
        <v>393</v>
      </c>
      <c r="E3806" s="538" t="s">
        <v>449</v>
      </c>
      <c r="F3806" s="538">
        <v>22656</v>
      </c>
      <c r="G3806" s="538">
        <v>2</v>
      </c>
    </row>
    <row r="3807" spans="1:7" x14ac:dyDescent="0.2">
      <c r="A3807" s="538">
        <v>7</v>
      </c>
      <c r="B3807" s="538" t="s">
        <v>6564</v>
      </c>
      <c r="C3807" s="538" t="s">
        <v>740</v>
      </c>
      <c r="D3807" s="538" t="s">
        <v>393</v>
      </c>
      <c r="E3807" s="538" t="s">
        <v>860</v>
      </c>
      <c r="F3807" s="538">
        <v>1171032</v>
      </c>
      <c r="G3807" s="538">
        <v>64</v>
      </c>
    </row>
    <row r="3808" spans="1:7" x14ac:dyDescent="0.2">
      <c r="A3808" s="538">
        <v>3</v>
      </c>
      <c r="B3808" s="538" t="s">
        <v>6647</v>
      </c>
      <c r="C3808" s="538" t="s">
        <v>740</v>
      </c>
      <c r="D3808" s="538" t="s">
        <v>393</v>
      </c>
      <c r="E3808" s="538" t="s">
        <v>402</v>
      </c>
      <c r="F3808" s="538">
        <v>702336</v>
      </c>
      <c r="G3808" s="538">
        <v>62</v>
      </c>
    </row>
    <row r="3809" spans="1:7" x14ac:dyDescent="0.2">
      <c r="A3809" s="538">
        <v>12</v>
      </c>
      <c r="B3809" s="538" t="s">
        <v>6569</v>
      </c>
      <c r="C3809" s="538" t="s">
        <v>740</v>
      </c>
      <c r="D3809" s="538" t="s">
        <v>393</v>
      </c>
      <c r="E3809" s="538" t="s">
        <v>438</v>
      </c>
      <c r="F3809" s="538">
        <v>23111277</v>
      </c>
      <c r="G3809" s="538">
        <v>254</v>
      </c>
    </row>
    <row r="3810" spans="1:7" x14ac:dyDescent="0.2">
      <c r="A3810" s="538">
        <v>12</v>
      </c>
      <c r="B3810" s="538" t="s">
        <v>6569</v>
      </c>
      <c r="C3810" s="538" t="s">
        <v>740</v>
      </c>
      <c r="D3810" s="538" t="s">
        <v>393</v>
      </c>
      <c r="E3810" s="538" t="s">
        <v>206</v>
      </c>
      <c r="F3810" s="538">
        <v>1597446</v>
      </c>
      <c r="G3810" s="538">
        <v>7</v>
      </c>
    </row>
    <row r="3811" spans="1:7" x14ac:dyDescent="0.2">
      <c r="A3811" s="538">
        <v>8</v>
      </c>
      <c r="B3811" s="538" t="s">
        <v>6560</v>
      </c>
      <c r="C3811" s="538" t="s">
        <v>740</v>
      </c>
      <c r="D3811" s="538" t="s">
        <v>740</v>
      </c>
      <c r="E3811" s="538" t="s">
        <v>202</v>
      </c>
      <c r="F3811" s="538">
        <v>2547759</v>
      </c>
      <c r="G3811" s="538">
        <v>23</v>
      </c>
    </row>
    <row r="3812" spans="1:7" x14ac:dyDescent="0.2">
      <c r="A3812" s="538">
        <v>10</v>
      </c>
      <c r="B3812" s="538" t="s">
        <v>6587</v>
      </c>
      <c r="C3812" s="538" t="s">
        <v>740</v>
      </c>
      <c r="D3812" s="538" t="s">
        <v>740</v>
      </c>
      <c r="E3812" s="538" t="s">
        <v>409</v>
      </c>
      <c r="F3812" s="538">
        <v>22656</v>
      </c>
      <c r="G3812" s="538">
        <v>2</v>
      </c>
    </row>
    <row r="3813" spans="1:7" x14ac:dyDescent="0.2">
      <c r="A3813" s="538">
        <v>8</v>
      </c>
      <c r="B3813" s="538" t="s">
        <v>6648</v>
      </c>
      <c r="C3813" s="538" t="s">
        <v>740</v>
      </c>
      <c r="D3813" s="538" t="s">
        <v>740</v>
      </c>
      <c r="E3813" s="538" t="s">
        <v>409</v>
      </c>
      <c r="F3813" s="538">
        <v>85491</v>
      </c>
      <c r="G3813" s="538">
        <v>2</v>
      </c>
    </row>
    <row r="3814" spans="1:7" x14ac:dyDescent="0.2">
      <c r="A3814" s="538">
        <v>11</v>
      </c>
      <c r="B3814" s="538" t="s">
        <v>6610</v>
      </c>
      <c r="C3814" s="538" t="s">
        <v>740</v>
      </c>
      <c r="D3814" s="538" t="s">
        <v>393</v>
      </c>
      <c r="E3814" s="538" t="s">
        <v>230</v>
      </c>
      <c r="F3814" s="538">
        <v>15777531</v>
      </c>
      <c r="G3814" s="538">
        <v>357</v>
      </c>
    </row>
    <row r="3815" spans="1:7" x14ac:dyDescent="0.2">
      <c r="A3815" s="538">
        <v>8</v>
      </c>
      <c r="B3815" s="538" t="s">
        <v>6577</v>
      </c>
      <c r="C3815" s="538" t="s">
        <v>740</v>
      </c>
      <c r="D3815" s="538" t="s">
        <v>393</v>
      </c>
      <c r="E3815" s="538" t="s">
        <v>210</v>
      </c>
      <c r="F3815" s="538">
        <v>3327142</v>
      </c>
      <c r="G3815" s="538">
        <v>179</v>
      </c>
    </row>
    <row r="3816" spans="1:7" x14ac:dyDescent="0.2">
      <c r="A3816" s="538">
        <v>5</v>
      </c>
      <c r="B3816" s="538" t="s">
        <v>6651</v>
      </c>
      <c r="C3816" s="538" t="s">
        <v>740</v>
      </c>
      <c r="D3816" s="538" t="s">
        <v>393</v>
      </c>
      <c r="E3816" s="538" t="s">
        <v>230</v>
      </c>
      <c r="F3816" s="538">
        <v>3083715</v>
      </c>
      <c r="G3816" s="538">
        <v>60</v>
      </c>
    </row>
    <row r="3817" spans="1:7" x14ac:dyDescent="0.2">
      <c r="A3817" s="538">
        <v>1</v>
      </c>
      <c r="B3817" s="538" t="s">
        <v>6602</v>
      </c>
      <c r="C3817" s="538" t="s">
        <v>393</v>
      </c>
      <c r="D3817" s="538" t="s">
        <v>393</v>
      </c>
      <c r="E3817" s="538" t="s">
        <v>860</v>
      </c>
      <c r="F3817" s="538">
        <v>1543867</v>
      </c>
      <c r="G3817" s="538">
        <v>34</v>
      </c>
    </row>
    <row r="3818" spans="1:7" x14ac:dyDescent="0.2">
      <c r="A3818" s="538">
        <v>7</v>
      </c>
      <c r="B3818" s="538" t="s">
        <v>6571</v>
      </c>
      <c r="C3818" s="538" t="s">
        <v>393</v>
      </c>
      <c r="D3818" s="538" t="s">
        <v>393</v>
      </c>
      <c r="E3818" s="538" t="s">
        <v>207</v>
      </c>
      <c r="F3818" s="538">
        <v>16347991</v>
      </c>
      <c r="G3818" s="538">
        <v>1122</v>
      </c>
    </row>
    <row r="3819" spans="1:7" x14ac:dyDescent="0.2">
      <c r="A3819" s="538">
        <v>1</v>
      </c>
      <c r="B3819" s="538" t="s">
        <v>6602</v>
      </c>
      <c r="C3819" s="538" t="s">
        <v>393</v>
      </c>
      <c r="D3819" s="538" t="s">
        <v>740</v>
      </c>
      <c r="E3819" s="538" t="s">
        <v>209</v>
      </c>
      <c r="F3819" s="538">
        <v>992866</v>
      </c>
      <c r="G3819" s="538">
        <v>2</v>
      </c>
    </row>
    <row r="3820" spans="1:7" x14ac:dyDescent="0.2">
      <c r="A3820" s="538">
        <v>3</v>
      </c>
      <c r="B3820" s="538" t="s">
        <v>1390</v>
      </c>
      <c r="C3820" s="538" t="s">
        <v>740</v>
      </c>
      <c r="D3820" s="538" t="s">
        <v>740</v>
      </c>
      <c r="E3820" s="538" t="s">
        <v>390</v>
      </c>
      <c r="F3820" s="538">
        <v>74163</v>
      </c>
      <c r="G3820" s="538">
        <v>1</v>
      </c>
    </row>
    <row r="3821" spans="1:7" x14ac:dyDescent="0.2">
      <c r="A3821" s="538">
        <v>6</v>
      </c>
      <c r="B3821" s="538" t="s">
        <v>6596</v>
      </c>
      <c r="C3821" s="538" t="s">
        <v>740</v>
      </c>
      <c r="D3821" s="538" t="s">
        <v>393</v>
      </c>
      <c r="E3821" s="538" t="s">
        <v>409</v>
      </c>
      <c r="F3821" s="538">
        <v>72924</v>
      </c>
      <c r="G3821" s="538">
        <v>3</v>
      </c>
    </row>
    <row r="3822" spans="1:7" x14ac:dyDescent="0.2">
      <c r="A3822" s="538">
        <v>10</v>
      </c>
      <c r="B3822" s="538" t="s">
        <v>6597</v>
      </c>
      <c r="C3822" s="538" t="s">
        <v>740</v>
      </c>
      <c r="D3822" s="538" t="s">
        <v>393</v>
      </c>
      <c r="E3822" s="538" t="s">
        <v>449</v>
      </c>
      <c r="F3822" s="538">
        <v>74163</v>
      </c>
      <c r="G3822" s="538">
        <v>1</v>
      </c>
    </row>
    <row r="3823" spans="1:7" x14ac:dyDescent="0.2">
      <c r="A3823" s="538">
        <v>2</v>
      </c>
      <c r="B3823" s="538" t="s">
        <v>6055</v>
      </c>
      <c r="C3823" s="538" t="s">
        <v>740</v>
      </c>
      <c r="D3823" s="538" t="s">
        <v>393</v>
      </c>
      <c r="E3823" s="538" t="s">
        <v>390</v>
      </c>
      <c r="F3823" s="538">
        <v>2810531</v>
      </c>
      <c r="G3823" s="538">
        <v>112</v>
      </c>
    </row>
    <row r="3824" spans="1:7" x14ac:dyDescent="0.2">
      <c r="A3824" s="538">
        <v>4</v>
      </c>
      <c r="B3824" s="538" t="s">
        <v>6572</v>
      </c>
      <c r="C3824" s="538" t="s">
        <v>740</v>
      </c>
      <c r="D3824" s="538" t="s">
        <v>393</v>
      </c>
      <c r="E3824" s="538" t="s">
        <v>210</v>
      </c>
      <c r="F3824" s="538">
        <v>79296</v>
      </c>
      <c r="G3824" s="538">
        <v>7</v>
      </c>
    </row>
    <row r="3825" spans="1:7" x14ac:dyDescent="0.2">
      <c r="A3825" s="538">
        <v>2</v>
      </c>
      <c r="B3825" s="538" t="s">
        <v>6573</v>
      </c>
      <c r="C3825" s="538" t="s">
        <v>393</v>
      </c>
      <c r="D3825" s="538" t="s">
        <v>393</v>
      </c>
      <c r="E3825" s="538" t="s">
        <v>212</v>
      </c>
      <c r="F3825" s="538">
        <v>3086193</v>
      </c>
      <c r="G3825" s="538">
        <v>126</v>
      </c>
    </row>
    <row r="3826" spans="1:7" x14ac:dyDescent="0.2">
      <c r="A3826" s="538">
        <v>9</v>
      </c>
      <c r="B3826" s="538" t="s">
        <v>6657</v>
      </c>
      <c r="C3826" s="538" t="s">
        <v>393</v>
      </c>
      <c r="D3826" s="538" t="s">
        <v>393</v>
      </c>
      <c r="E3826" s="538" t="s">
        <v>202</v>
      </c>
      <c r="F3826" s="538">
        <v>5125733</v>
      </c>
      <c r="G3826" s="538">
        <v>46</v>
      </c>
    </row>
    <row r="3827" spans="1:7" x14ac:dyDescent="0.2">
      <c r="A3827" s="538">
        <v>2</v>
      </c>
      <c r="B3827" s="538" t="s">
        <v>6576</v>
      </c>
      <c r="C3827" s="538" t="s">
        <v>740</v>
      </c>
      <c r="D3827" s="538" t="s">
        <v>393</v>
      </c>
      <c r="E3827" s="538" t="s">
        <v>402</v>
      </c>
      <c r="F3827" s="538">
        <v>1351291</v>
      </c>
      <c r="G3827" s="538">
        <v>17</v>
      </c>
    </row>
    <row r="3828" spans="1:7" x14ac:dyDescent="0.2">
      <c r="A3828" s="538">
        <v>6</v>
      </c>
      <c r="B3828" s="538" t="s">
        <v>6575</v>
      </c>
      <c r="C3828" s="538" t="s">
        <v>393</v>
      </c>
      <c r="D3828" s="538" t="s">
        <v>393</v>
      </c>
      <c r="E3828" s="538" t="s">
        <v>409</v>
      </c>
      <c r="F3828" s="538">
        <v>2174393</v>
      </c>
      <c r="G3828" s="538">
        <v>91</v>
      </c>
    </row>
    <row r="3829" spans="1:7" x14ac:dyDescent="0.2">
      <c r="A3829" s="538">
        <v>3</v>
      </c>
      <c r="B3829" s="538" t="s">
        <v>6586</v>
      </c>
      <c r="C3829" s="538" t="s">
        <v>740</v>
      </c>
      <c r="D3829" s="538" t="s">
        <v>393</v>
      </c>
      <c r="E3829" s="538" t="s">
        <v>416</v>
      </c>
      <c r="F3829" s="538">
        <v>2588750</v>
      </c>
      <c r="G3829" s="538">
        <v>75</v>
      </c>
    </row>
    <row r="3830" spans="1:7" x14ac:dyDescent="0.2">
      <c r="A3830" s="538">
        <v>4</v>
      </c>
      <c r="B3830" s="538" t="s">
        <v>6590</v>
      </c>
      <c r="C3830" s="538" t="s">
        <v>740</v>
      </c>
      <c r="D3830" s="538" t="s">
        <v>393</v>
      </c>
      <c r="E3830" s="538" t="s">
        <v>402</v>
      </c>
      <c r="F3830" s="538">
        <v>1039823</v>
      </c>
      <c r="G3830" s="538">
        <v>31</v>
      </c>
    </row>
    <row r="3831" spans="1:7" x14ac:dyDescent="0.2">
      <c r="A3831" s="538">
        <v>5</v>
      </c>
      <c r="B3831" s="538" t="s">
        <v>6589</v>
      </c>
      <c r="C3831" s="538" t="s">
        <v>740</v>
      </c>
      <c r="D3831" s="538" t="s">
        <v>393</v>
      </c>
      <c r="E3831" s="538" t="s">
        <v>860</v>
      </c>
      <c r="F3831" s="538">
        <v>11328</v>
      </c>
      <c r="G3831" s="538">
        <v>1</v>
      </c>
    </row>
    <row r="3832" spans="1:7" x14ac:dyDescent="0.2">
      <c r="A3832" s="538">
        <v>12</v>
      </c>
      <c r="B3832" s="538" t="s">
        <v>6616</v>
      </c>
      <c r="C3832" s="538" t="s">
        <v>393</v>
      </c>
      <c r="D3832" s="538" t="s">
        <v>740</v>
      </c>
      <c r="E3832" s="538" t="s">
        <v>409</v>
      </c>
      <c r="F3832" s="538">
        <v>56640</v>
      </c>
      <c r="G3832" s="538">
        <v>5</v>
      </c>
    </row>
    <row r="3833" spans="1:7" x14ac:dyDescent="0.2">
      <c r="A3833" s="538">
        <v>1</v>
      </c>
      <c r="B3833" s="538" t="s">
        <v>6595</v>
      </c>
      <c r="C3833" s="538" t="s">
        <v>393</v>
      </c>
      <c r="D3833" s="538" t="s">
        <v>393</v>
      </c>
      <c r="E3833" s="538" t="s">
        <v>860</v>
      </c>
      <c r="F3833" s="538">
        <v>1168981</v>
      </c>
      <c r="G3833" s="538">
        <v>12</v>
      </c>
    </row>
    <row r="3834" spans="1:7" x14ac:dyDescent="0.2">
      <c r="A3834" s="538">
        <v>3</v>
      </c>
      <c r="B3834" s="538" t="s">
        <v>6561</v>
      </c>
      <c r="C3834" s="538" t="s">
        <v>740</v>
      </c>
      <c r="D3834" s="538" t="s">
        <v>393</v>
      </c>
      <c r="E3834" s="538" t="s">
        <v>212</v>
      </c>
      <c r="F3834" s="538">
        <v>3827979</v>
      </c>
      <c r="G3834" s="538">
        <v>293</v>
      </c>
    </row>
    <row r="3835" spans="1:7" x14ac:dyDescent="0.2">
      <c r="A3835" s="538">
        <v>12</v>
      </c>
      <c r="B3835" s="538" t="s">
        <v>6563</v>
      </c>
      <c r="C3835" s="538" t="s">
        <v>740</v>
      </c>
      <c r="D3835" s="538" t="s">
        <v>740</v>
      </c>
      <c r="E3835" s="538" t="s">
        <v>207</v>
      </c>
      <c r="F3835" s="538">
        <v>22656</v>
      </c>
      <c r="G3835" s="538">
        <v>2</v>
      </c>
    </row>
    <row r="3836" spans="1:7" x14ac:dyDescent="0.2">
      <c r="A3836" s="538">
        <v>4</v>
      </c>
      <c r="B3836" s="538" t="s">
        <v>6559</v>
      </c>
      <c r="C3836" s="538" t="s">
        <v>393</v>
      </c>
      <c r="D3836" s="538" t="s">
        <v>740</v>
      </c>
      <c r="E3836" s="538" t="s">
        <v>230</v>
      </c>
      <c r="F3836" s="538">
        <v>85491</v>
      </c>
      <c r="G3836" s="538">
        <v>2</v>
      </c>
    </row>
    <row r="3837" spans="1:7" x14ac:dyDescent="0.2">
      <c r="A3837" s="538">
        <v>8</v>
      </c>
      <c r="B3837" s="538" t="s">
        <v>6560</v>
      </c>
      <c r="C3837" s="538" t="s">
        <v>740</v>
      </c>
      <c r="D3837" s="538" t="s">
        <v>393</v>
      </c>
      <c r="E3837" s="538" t="s">
        <v>860</v>
      </c>
      <c r="F3837" s="538">
        <v>4965506</v>
      </c>
      <c r="G3837" s="538">
        <v>182</v>
      </c>
    </row>
    <row r="3838" spans="1:7" x14ac:dyDescent="0.2">
      <c r="A3838" s="538">
        <v>12</v>
      </c>
      <c r="B3838" s="538" t="s">
        <v>6563</v>
      </c>
      <c r="C3838" s="538" t="s">
        <v>740</v>
      </c>
      <c r="D3838" s="538" t="s">
        <v>393</v>
      </c>
      <c r="E3838" s="538" t="s">
        <v>409</v>
      </c>
      <c r="F3838" s="538">
        <v>45315793</v>
      </c>
      <c r="G3838" s="538">
        <v>791</v>
      </c>
    </row>
    <row r="3839" spans="1:7" x14ac:dyDescent="0.2">
      <c r="A3839" s="538">
        <v>2</v>
      </c>
      <c r="B3839" s="538" t="s">
        <v>6576</v>
      </c>
      <c r="C3839" s="538" t="s">
        <v>740</v>
      </c>
      <c r="D3839" s="538" t="s">
        <v>393</v>
      </c>
      <c r="E3839" s="538" t="s">
        <v>202</v>
      </c>
      <c r="F3839" s="538">
        <v>593252</v>
      </c>
      <c r="G3839" s="538">
        <v>4</v>
      </c>
    </row>
    <row r="3840" spans="1:7" x14ac:dyDescent="0.2">
      <c r="A3840" s="538">
        <v>11</v>
      </c>
      <c r="B3840" s="538" t="s">
        <v>6610</v>
      </c>
      <c r="C3840" s="538" t="s">
        <v>393</v>
      </c>
      <c r="D3840" s="538" t="s">
        <v>740</v>
      </c>
      <c r="E3840" s="538" t="s">
        <v>210</v>
      </c>
      <c r="F3840" s="538">
        <v>530417</v>
      </c>
      <c r="G3840" s="538">
        <v>4</v>
      </c>
    </row>
    <row r="3841" spans="1:7" x14ac:dyDescent="0.2">
      <c r="A3841" s="538">
        <v>11</v>
      </c>
      <c r="B3841" s="538" t="s">
        <v>6592</v>
      </c>
      <c r="C3841" s="538" t="s">
        <v>740</v>
      </c>
      <c r="D3841" s="538" t="s">
        <v>393</v>
      </c>
      <c r="E3841" s="538" t="s">
        <v>210</v>
      </c>
      <c r="F3841" s="538">
        <v>4595826</v>
      </c>
      <c r="G3841" s="538">
        <v>157</v>
      </c>
    </row>
    <row r="3842" spans="1:7" x14ac:dyDescent="0.2">
      <c r="A3842" s="538">
        <v>9</v>
      </c>
      <c r="B3842" s="538" t="s">
        <v>6645</v>
      </c>
      <c r="C3842" s="538" t="s">
        <v>740</v>
      </c>
      <c r="D3842" s="538" t="s">
        <v>393</v>
      </c>
      <c r="E3842" s="538" t="s">
        <v>416</v>
      </c>
      <c r="F3842" s="538">
        <v>736851</v>
      </c>
      <c r="G3842" s="538">
        <v>27</v>
      </c>
    </row>
    <row r="3843" spans="1:7" x14ac:dyDescent="0.2">
      <c r="A3843" s="538">
        <v>5</v>
      </c>
      <c r="B3843" s="538" t="s">
        <v>6599</v>
      </c>
      <c r="C3843" s="538" t="s">
        <v>740</v>
      </c>
      <c r="D3843" s="538" t="s">
        <v>393</v>
      </c>
      <c r="E3843" s="538" t="s">
        <v>212</v>
      </c>
      <c r="F3843" s="538">
        <v>5948689</v>
      </c>
      <c r="G3843" s="538">
        <v>398</v>
      </c>
    </row>
    <row r="3844" spans="1:7" x14ac:dyDescent="0.2">
      <c r="A3844" s="538">
        <v>7</v>
      </c>
      <c r="B3844" s="538" t="s">
        <v>6580</v>
      </c>
      <c r="C3844" s="538" t="s">
        <v>740</v>
      </c>
      <c r="D3844" s="538" t="s">
        <v>393</v>
      </c>
      <c r="E3844" s="538" t="s">
        <v>409</v>
      </c>
      <c r="F3844" s="538">
        <v>295590</v>
      </c>
      <c r="G3844" s="538">
        <v>15</v>
      </c>
    </row>
    <row r="3845" spans="1:7" x14ac:dyDescent="0.2">
      <c r="A3845" s="538">
        <v>9</v>
      </c>
      <c r="B3845" s="538" t="s">
        <v>6645</v>
      </c>
      <c r="C3845" s="538" t="s">
        <v>740</v>
      </c>
      <c r="D3845" s="538" t="s">
        <v>393</v>
      </c>
      <c r="E3845" s="538" t="s">
        <v>860</v>
      </c>
      <c r="F3845" s="538">
        <v>101952</v>
      </c>
      <c r="G3845" s="538">
        <v>9</v>
      </c>
    </row>
    <row r="3846" spans="1:7" x14ac:dyDescent="0.2">
      <c r="A3846" s="538">
        <v>10</v>
      </c>
      <c r="B3846" s="538" t="s">
        <v>6601</v>
      </c>
      <c r="C3846" s="538" t="s">
        <v>393</v>
      </c>
      <c r="D3846" s="538" t="s">
        <v>393</v>
      </c>
      <c r="E3846" s="538" t="s">
        <v>401</v>
      </c>
      <c r="F3846" s="538">
        <v>96819</v>
      </c>
      <c r="G3846" s="538">
        <v>3</v>
      </c>
    </row>
    <row r="3847" spans="1:7" x14ac:dyDescent="0.2">
      <c r="A3847" s="538">
        <v>8</v>
      </c>
      <c r="B3847" s="538" t="s">
        <v>6567</v>
      </c>
      <c r="C3847" s="538" t="s">
        <v>393</v>
      </c>
      <c r="D3847" s="538" t="s">
        <v>393</v>
      </c>
      <c r="E3847" s="538" t="s">
        <v>202</v>
      </c>
      <c r="F3847" s="538">
        <v>7484758</v>
      </c>
      <c r="G3847" s="538">
        <v>56</v>
      </c>
    </row>
    <row r="3848" spans="1:7" x14ac:dyDescent="0.2">
      <c r="A3848" s="538">
        <v>5</v>
      </c>
      <c r="B3848" s="538" t="s">
        <v>6568</v>
      </c>
      <c r="C3848" s="538" t="s">
        <v>740</v>
      </c>
      <c r="D3848" s="538" t="s">
        <v>740</v>
      </c>
      <c r="E3848" s="538" t="s">
        <v>402</v>
      </c>
      <c r="F3848" s="538">
        <v>3452989</v>
      </c>
      <c r="G3848" s="538">
        <v>128</v>
      </c>
    </row>
    <row r="3849" spans="1:7" x14ac:dyDescent="0.2">
      <c r="A3849" s="538">
        <v>3</v>
      </c>
      <c r="B3849" s="538" t="s">
        <v>1390</v>
      </c>
      <c r="C3849" s="538" t="s">
        <v>740</v>
      </c>
      <c r="D3849" s="538" t="s">
        <v>393</v>
      </c>
      <c r="E3849" s="538" t="s">
        <v>416</v>
      </c>
      <c r="F3849" s="538">
        <v>4830705</v>
      </c>
      <c r="G3849" s="538">
        <v>150</v>
      </c>
    </row>
    <row r="3850" spans="1:7" x14ac:dyDescent="0.2">
      <c r="A3850" s="538">
        <v>2</v>
      </c>
      <c r="B3850" s="538" t="s">
        <v>6573</v>
      </c>
      <c r="C3850" s="538" t="s">
        <v>393</v>
      </c>
      <c r="D3850" s="538" t="s">
        <v>740</v>
      </c>
      <c r="E3850" s="538" t="s">
        <v>210</v>
      </c>
      <c r="F3850" s="538">
        <v>735383</v>
      </c>
      <c r="G3850" s="538">
        <v>11</v>
      </c>
    </row>
    <row r="3851" spans="1:7" x14ac:dyDescent="0.2">
      <c r="A3851" s="538">
        <v>8</v>
      </c>
      <c r="B3851" s="538" t="s">
        <v>6570</v>
      </c>
      <c r="C3851" s="538" t="s">
        <v>740</v>
      </c>
      <c r="D3851" s="538" t="s">
        <v>393</v>
      </c>
      <c r="E3851" s="538" t="s">
        <v>212</v>
      </c>
      <c r="F3851" s="538">
        <v>5187995</v>
      </c>
      <c r="G3851" s="538">
        <v>380</v>
      </c>
    </row>
    <row r="3852" spans="1:7" x14ac:dyDescent="0.2">
      <c r="A3852" s="538">
        <v>3</v>
      </c>
      <c r="B3852" s="538" t="s">
        <v>1390</v>
      </c>
      <c r="C3852" s="538" t="s">
        <v>740</v>
      </c>
      <c r="D3852" s="538" t="s">
        <v>740</v>
      </c>
      <c r="E3852" s="538" t="s">
        <v>402</v>
      </c>
      <c r="F3852" s="538">
        <v>674193</v>
      </c>
      <c r="G3852" s="538">
        <v>36</v>
      </c>
    </row>
    <row r="3853" spans="1:7" x14ac:dyDescent="0.2">
      <c r="A3853" s="538">
        <v>4</v>
      </c>
      <c r="B3853" s="538" t="s">
        <v>6572</v>
      </c>
      <c r="C3853" s="538" t="s">
        <v>393</v>
      </c>
      <c r="D3853" s="538" t="s">
        <v>393</v>
      </c>
      <c r="E3853" s="538" t="s">
        <v>212</v>
      </c>
      <c r="F3853" s="538">
        <v>2234698</v>
      </c>
      <c r="G3853" s="538">
        <v>86</v>
      </c>
    </row>
    <row r="3854" spans="1:7" x14ac:dyDescent="0.2">
      <c r="A3854" s="538">
        <v>6</v>
      </c>
      <c r="B3854" s="538" t="s">
        <v>6596</v>
      </c>
      <c r="C3854" s="538" t="s">
        <v>740</v>
      </c>
      <c r="D3854" s="538" t="s">
        <v>393</v>
      </c>
      <c r="E3854" s="538" t="s">
        <v>449</v>
      </c>
      <c r="F3854" s="538">
        <v>129564</v>
      </c>
      <c r="G3854" s="538">
        <v>8</v>
      </c>
    </row>
    <row r="3855" spans="1:7" x14ac:dyDescent="0.2">
      <c r="A3855" s="538">
        <v>3</v>
      </c>
      <c r="B3855" s="538" t="s">
        <v>6591</v>
      </c>
      <c r="C3855" s="538" t="s">
        <v>740</v>
      </c>
      <c r="D3855" s="538" t="s">
        <v>393</v>
      </c>
      <c r="E3855" s="538" t="s">
        <v>211</v>
      </c>
      <c r="F3855" s="538">
        <v>3130089</v>
      </c>
      <c r="G3855" s="538">
        <v>58</v>
      </c>
    </row>
    <row r="3856" spans="1:7" x14ac:dyDescent="0.2">
      <c r="A3856" s="538">
        <v>6</v>
      </c>
      <c r="B3856" s="538" t="s">
        <v>6596</v>
      </c>
      <c r="C3856" s="538" t="s">
        <v>393</v>
      </c>
      <c r="D3856" s="538" t="s">
        <v>740</v>
      </c>
      <c r="E3856" s="538" t="s">
        <v>438</v>
      </c>
      <c r="F3856" s="538">
        <v>519089</v>
      </c>
      <c r="G3856" s="538">
        <v>3</v>
      </c>
    </row>
    <row r="3857" spans="1:7" x14ac:dyDescent="0.2">
      <c r="A3857" s="538">
        <v>4</v>
      </c>
      <c r="B3857" s="538" t="s">
        <v>6593</v>
      </c>
      <c r="C3857" s="538" t="s">
        <v>393</v>
      </c>
      <c r="D3857" s="538" t="s">
        <v>393</v>
      </c>
      <c r="E3857" s="538" t="s">
        <v>497</v>
      </c>
      <c r="F3857" s="538">
        <v>11328</v>
      </c>
      <c r="G3857" s="538">
        <v>1</v>
      </c>
    </row>
    <row r="3858" spans="1:7" x14ac:dyDescent="0.2">
      <c r="A3858" s="538">
        <v>11</v>
      </c>
      <c r="B3858" s="538" t="s">
        <v>6612</v>
      </c>
      <c r="C3858" s="538" t="s">
        <v>740</v>
      </c>
      <c r="D3858" s="538" t="s">
        <v>393</v>
      </c>
      <c r="E3858" s="538" t="s">
        <v>211</v>
      </c>
      <c r="F3858" s="538">
        <v>372231</v>
      </c>
      <c r="G3858" s="538">
        <v>17</v>
      </c>
    </row>
    <row r="3859" spans="1:7" x14ac:dyDescent="0.2">
      <c r="A3859" s="538">
        <v>5</v>
      </c>
      <c r="B3859" s="538" t="s">
        <v>6589</v>
      </c>
      <c r="C3859" s="538" t="s">
        <v>393</v>
      </c>
      <c r="D3859" s="538" t="s">
        <v>393</v>
      </c>
      <c r="E3859" s="538" t="s">
        <v>860</v>
      </c>
      <c r="F3859" s="538">
        <v>1102658</v>
      </c>
      <c r="G3859" s="538">
        <v>31</v>
      </c>
    </row>
    <row r="3860" spans="1:7" x14ac:dyDescent="0.2">
      <c r="A3860" s="538">
        <v>5</v>
      </c>
      <c r="B3860" s="538" t="s">
        <v>6568</v>
      </c>
      <c r="C3860" s="538" t="s">
        <v>393</v>
      </c>
      <c r="D3860" s="538" t="s">
        <v>740</v>
      </c>
      <c r="E3860" s="538" t="s">
        <v>209</v>
      </c>
      <c r="F3860" s="538">
        <v>1067029</v>
      </c>
      <c r="G3860" s="538">
        <v>3</v>
      </c>
    </row>
    <row r="3861" spans="1:7" x14ac:dyDescent="0.2">
      <c r="A3861" s="538">
        <v>4</v>
      </c>
      <c r="B3861" s="538" t="s">
        <v>6593</v>
      </c>
      <c r="C3861" s="538" t="s">
        <v>393</v>
      </c>
      <c r="D3861" s="538" t="s">
        <v>393</v>
      </c>
      <c r="E3861" s="538" t="s">
        <v>230</v>
      </c>
      <c r="F3861" s="538">
        <v>6468028</v>
      </c>
      <c r="G3861" s="538">
        <v>136</v>
      </c>
    </row>
    <row r="3862" spans="1:7" x14ac:dyDescent="0.2">
      <c r="A3862" s="538">
        <v>3</v>
      </c>
      <c r="B3862" s="538" t="s">
        <v>6591</v>
      </c>
      <c r="C3862" s="538" t="s">
        <v>393</v>
      </c>
      <c r="D3862" s="538" t="s">
        <v>740</v>
      </c>
      <c r="E3862" s="538" t="s">
        <v>210</v>
      </c>
      <c r="F3862" s="538">
        <v>1938171</v>
      </c>
      <c r="G3862" s="538">
        <v>17</v>
      </c>
    </row>
    <row r="3863" spans="1:7" x14ac:dyDescent="0.2">
      <c r="A3863" s="538">
        <v>4</v>
      </c>
      <c r="B3863" s="538" t="s">
        <v>6559</v>
      </c>
      <c r="C3863" s="538" t="s">
        <v>393</v>
      </c>
      <c r="D3863" s="538" t="s">
        <v>740</v>
      </c>
      <c r="E3863" s="538" t="s">
        <v>416</v>
      </c>
      <c r="F3863" s="538">
        <v>3703548</v>
      </c>
      <c r="G3863" s="538">
        <v>161</v>
      </c>
    </row>
    <row r="3864" spans="1:7" x14ac:dyDescent="0.2">
      <c r="A3864" s="538">
        <v>6</v>
      </c>
      <c r="B3864" s="538" t="s">
        <v>1668</v>
      </c>
      <c r="C3864" s="538" t="s">
        <v>740</v>
      </c>
      <c r="D3864" s="538" t="s">
        <v>393</v>
      </c>
      <c r="E3864" s="538" t="s">
        <v>202</v>
      </c>
      <c r="F3864" s="538">
        <v>1388815</v>
      </c>
      <c r="G3864" s="538">
        <v>10</v>
      </c>
    </row>
    <row r="3865" spans="1:7" x14ac:dyDescent="0.2">
      <c r="A3865" s="538">
        <v>3</v>
      </c>
      <c r="B3865" s="538" t="s">
        <v>6586</v>
      </c>
      <c r="C3865" s="538" t="s">
        <v>393</v>
      </c>
      <c r="D3865" s="538" t="s">
        <v>393</v>
      </c>
      <c r="E3865" s="538" t="s">
        <v>401</v>
      </c>
      <c r="F3865" s="538">
        <v>465510</v>
      </c>
      <c r="G3865" s="538">
        <v>30</v>
      </c>
    </row>
    <row r="3866" spans="1:7" x14ac:dyDescent="0.2">
      <c r="A3866" s="538">
        <v>2</v>
      </c>
      <c r="B3866" s="538" t="s">
        <v>6662</v>
      </c>
      <c r="C3866" s="538" t="s">
        <v>393</v>
      </c>
      <c r="D3866" s="538" t="s">
        <v>740</v>
      </c>
      <c r="E3866" s="538" t="s">
        <v>860</v>
      </c>
      <c r="F3866" s="538">
        <v>56640</v>
      </c>
      <c r="G3866" s="538">
        <v>5</v>
      </c>
    </row>
    <row r="3867" spans="1:7" x14ac:dyDescent="0.2">
      <c r="A3867" s="538">
        <v>10</v>
      </c>
      <c r="B3867" s="538" t="s">
        <v>6587</v>
      </c>
      <c r="C3867" s="538" t="s">
        <v>393</v>
      </c>
      <c r="D3867" s="538" t="s">
        <v>393</v>
      </c>
      <c r="E3867" s="538" t="s">
        <v>390</v>
      </c>
      <c r="F3867" s="538">
        <v>7363898</v>
      </c>
      <c r="G3867" s="538">
        <v>131</v>
      </c>
    </row>
    <row r="3868" spans="1:7" x14ac:dyDescent="0.2">
      <c r="A3868" s="538">
        <v>7</v>
      </c>
      <c r="B3868" s="538" t="s">
        <v>6661</v>
      </c>
      <c r="C3868" s="538" t="s">
        <v>740</v>
      </c>
      <c r="D3868" s="538" t="s">
        <v>740</v>
      </c>
      <c r="E3868" s="538" t="s">
        <v>402</v>
      </c>
      <c r="F3868" s="538">
        <v>293112</v>
      </c>
      <c r="G3868" s="538">
        <v>19</v>
      </c>
    </row>
    <row r="3869" spans="1:7" x14ac:dyDescent="0.2">
      <c r="A3869" s="538">
        <v>9</v>
      </c>
      <c r="B3869" s="538" t="s">
        <v>6613</v>
      </c>
      <c r="C3869" s="538" t="s">
        <v>393</v>
      </c>
      <c r="D3869" s="538" t="s">
        <v>393</v>
      </c>
      <c r="E3869" s="538" t="s">
        <v>212</v>
      </c>
      <c r="F3869" s="538">
        <v>1148730</v>
      </c>
      <c r="G3869" s="538">
        <v>80</v>
      </c>
    </row>
    <row r="3870" spans="1:7" x14ac:dyDescent="0.2">
      <c r="A3870" s="538">
        <v>7</v>
      </c>
      <c r="B3870" s="538" t="s">
        <v>6604</v>
      </c>
      <c r="C3870" s="538" t="s">
        <v>393</v>
      </c>
      <c r="D3870" s="538" t="s">
        <v>393</v>
      </c>
      <c r="E3870" s="538" t="s">
        <v>230</v>
      </c>
      <c r="F3870" s="538">
        <v>2275637</v>
      </c>
      <c r="G3870" s="538">
        <v>59</v>
      </c>
    </row>
    <row r="3871" spans="1:7" x14ac:dyDescent="0.2">
      <c r="A3871" s="538">
        <v>7</v>
      </c>
      <c r="B3871" s="538" t="s">
        <v>6661</v>
      </c>
      <c r="C3871" s="538" t="s">
        <v>393</v>
      </c>
      <c r="D3871" s="538" t="s">
        <v>393</v>
      </c>
      <c r="E3871" s="538" t="s">
        <v>416</v>
      </c>
      <c r="F3871" s="538">
        <v>39511671</v>
      </c>
      <c r="G3871" s="538">
        <v>762</v>
      </c>
    </row>
    <row r="3872" spans="1:7" x14ac:dyDescent="0.2">
      <c r="A3872" s="538">
        <v>11</v>
      </c>
      <c r="B3872" s="538" t="s">
        <v>6610</v>
      </c>
      <c r="C3872" s="538" t="s">
        <v>393</v>
      </c>
      <c r="D3872" s="538" t="s">
        <v>740</v>
      </c>
      <c r="E3872" s="538" t="s">
        <v>212</v>
      </c>
      <c r="F3872" s="538">
        <v>33984</v>
      </c>
      <c r="G3872" s="538">
        <v>3</v>
      </c>
    </row>
    <row r="3873" spans="1:7" x14ac:dyDescent="0.2">
      <c r="A3873" s="538">
        <v>1</v>
      </c>
      <c r="B3873" s="538" t="s">
        <v>6663</v>
      </c>
      <c r="C3873" s="538" t="s">
        <v>393</v>
      </c>
      <c r="D3873" s="538" t="s">
        <v>393</v>
      </c>
      <c r="E3873" s="538" t="s">
        <v>202</v>
      </c>
      <c r="F3873" s="538">
        <v>4813859</v>
      </c>
      <c r="G3873" s="538">
        <v>38</v>
      </c>
    </row>
    <row r="3874" spans="1:7" x14ac:dyDescent="0.2">
      <c r="A3874" s="538">
        <v>9</v>
      </c>
      <c r="B3874" s="538" t="s">
        <v>6615</v>
      </c>
      <c r="C3874" s="538" t="s">
        <v>393</v>
      </c>
      <c r="D3874" s="538" t="s">
        <v>393</v>
      </c>
      <c r="E3874" s="538" t="s">
        <v>313</v>
      </c>
      <c r="F3874" s="538">
        <v>496433</v>
      </c>
      <c r="G3874" s="538">
        <v>1</v>
      </c>
    </row>
    <row r="3875" spans="1:7" x14ac:dyDescent="0.2">
      <c r="A3875" s="538">
        <v>3</v>
      </c>
      <c r="B3875" s="538" t="s">
        <v>6591</v>
      </c>
      <c r="C3875" s="538" t="s">
        <v>740</v>
      </c>
      <c r="D3875" s="538" t="s">
        <v>393</v>
      </c>
      <c r="E3875" s="538" t="s">
        <v>211</v>
      </c>
      <c r="F3875" s="538">
        <v>46183467</v>
      </c>
      <c r="G3875" s="538">
        <v>989</v>
      </c>
    </row>
    <row r="3876" spans="1:7" x14ac:dyDescent="0.2">
      <c r="A3876" s="538">
        <v>9</v>
      </c>
      <c r="B3876" s="538" t="s">
        <v>6645</v>
      </c>
      <c r="C3876" s="538" t="s">
        <v>393</v>
      </c>
      <c r="D3876" s="538" t="s">
        <v>393</v>
      </c>
      <c r="E3876" s="538" t="s">
        <v>211</v>
      </c>
      <c r="F3876" s="538">
        <v>16111905</v>
      </c>
      <c r="G3876" s="538">
        <v>205</v>
      </c>
    </row>
    <row r="3877" spans="1:7" x14ac:dyDescent="0.2">
      <c r="A3877" s="538">
        <v>2</v>
      </c>
      <c r="B3877" s="538" t="s">
        <v>6055</v>
      </c>
      <c r="C3877" s="538" t="s">
        <v>740</v>
      </c>
      <c r="D3877" s="538" t="s">
        <v>393</v>
      </c>
      <c r="E3877" s="538" t="s">
        <v>207</v>
      </c>
      <c r="F3877" s="538">
        <v>367452</v>
      </c>
      <c r="G3877" s="538">
        <v>29</v>
      </c>
    </row>
    <row r="3878" spans="1:7" x14ac:dyDescent="0.2">
      <c r="A3878" s="538">
        <v>2</v>
      </c>
      <c r="B3878" s="538" t="s">
        <v>6656</v>
      </c>
      <c r="C3878" s="538" t="s">
        <v>393</v>
      </c>
      <c r="D3878" s="538" t="s">
        <v>740</v>
      </c>
      <c r="E3878" s="538" t="s">
        <v>409</v>
      </c>
      <c r="F3878" s="538">
        <v>435420</v>
      </c>
      <c r="G3878" s="538">
        <v>35</v>
      </c>
    </row>
    <row r="3879" spans="1:7" x14ac:dyDescent="0.2">
      <c r="A3879" s="538">
        <v>8</v>
      </c>
      <c r="B3879" s="538" t="s">
        <v>6560</v>
      </c>
      <c r="C3879" s="538" t="s">
        <v>740</v>
      </c>
      <c r="D3879" s="538" t="s">
        <v>393</v>
      </c>
      <c r="E3879" s="538" t="s">
        <v>210</v>
      </c>
      <c r="F3879" s="538">
        <v>2502072</v>
      </c>
      <c r="G3879" s="538">
        <v>149</v>
      </c>
    </row>
    <row r="3880" spans="1:7" x14ac:dyDescent="0.2">
      <c r="A3880" s="538">
        <v>5</v>
      </c>
      <c r="B3880" s="538" t="s">
        <v>6599</v>
      </c>
      <c r="C3880" s="538" t="s">
        <v>740</v>
      </c>
      <c r="D3880" s="538" t="s">
        <v>393</v>
      </c>
      <c r="E3880" s="538" t="s">
        <v>416</v>
      </c>
      <c r="F3880" s="538">
        <v>1812501</v>
      </c>
      <c r="G3880" s="538">
        <v>17</v>
      </c>
    </row>
    <row r="3881" spans="1:7" x14ac:dyDescent="0.2">
      <c r="A3881" s="538">
        <v>2</v>
      </c>
      <c r="B3881" s="538" t="s">
        <v>6654</v>
      </c>
      <c r="C3881" s="538" t="s">
        <v>393</v>
      </c>
      <c r="D3881" s="538" t="s">
        <v>393</v>
      </c>
      <c r="E3881" s="538" t="s">
        <v>210</v>
      </c>
      <c r="F3881" s="538">
        <v>780695</v>
      </c>
      <c r="G3881" s="538">
        <v>15</v>
      </c>
    </row>
    <row r="3882" spans="1:7" x14ac:dyDescent="0.2">
      <c r="A3882" s="538">
        <v>3</v>
      </c>
      <c r="B3882" s="538" t="s">
        <v>6647</v>
      </c>
      <c r="C3882" s="538" t="s">
        <v>393</v>
      </c>
      <c r="D3882" s="538" t="s">
        <v>393</v>
      </c>
      <c r="E3882" s="538" t="s">
        <v>438</v>
      </c>
      <c r="F3882" s="538">
        <v>3456498</v>
      </c>
      <c r="G3882" s="538">
        <v>26</v>
      </c>
    </row>
    <row r="3883" spans="1:7" x14ac:dyDescent="0.2">
      <c r="A3883" s="538">
        <v>11</v>
      </c>
      <c r="B3883" s="538" t="s">
        <v>6612</v>
      </c>
      <c r="C3883" s="538" t="s">
        <v>393</v>
      </c>
      <c r="D3883" s="538" t="s">
        <v>393</v>
      </c>
      <c r="E3883" s="538" t="s">
        <v>313</v>
      </c>
      <c r="F3883" s="538">
        <v>11328</v>
      </c>
      <c r="G3883" s="538">
        <v>1</v>
      </c>
    </row>
    <row r="3884" spans="1:7" x14ac:dyDescent="0.2">
      <c r="A3884" s="538">
        <v>7</v>
      </c>
      <c r="B3884" s="538" t="s">
        <v>6579</v>
      </c>
      <c r="C3884" s="538" t="s">
        <v>740</v>
      </c>
      <c r="D3884" s="538" t="s">
        <v>393</v>
      </c>
      <c r="E3884" s="538" t="s">
        <v>211</v>
      </c>
      <c r="F3884" s="538">
        <v>241428</v>
      </c>
      <c r="G3884" s="538">
        <v>11</v>
      </c>
    </row>
    <row r="3885" spans="1:7" x14ac:dyDescent="0.2">
      <c r="A3885" s="538">
        <v>2</v>
      </c>
      <c r="B3885" s="538" t="s">
        <v>6576</v>
      </c>
      <c r="C3885" s="538" t="s">
        <v>393</v>
      </c>
      <c r="D3885" s="538" t="s">
        <v>740</v>
      </c>
      <c r="E3885" s="538" t="s">
        <v>211</v>
      </c>
      <c r="F3885" s="538">
        <v>61596</v>
      </c>
      <c r="G3885" s="538">
        <v>2</v>
      </c>
    </row>
    <row r="3886" spans="1:7" x14ac:dyDescent="0.2">
      <c r="A3886" s="538">
        <v>11</v>
      </c>
      <c r="B3886" s="538" t="s">
        <v>6584</v>
      </c>
      <c r="C3886" s="538" t="s">
        <v>740</v>
      </c>
      <c r="D3886" s="538" t="s">
        <v>393</v>
      </c>
      <c r="E3886" s="538" t="s">
        <v>207</v>
      </c>
      <c r="F3886" s="538">
        <v>978404</v>
      </c>
      <c r="G3886" s="538">
        <v>38</v>
      </c>
    </row>
    <row r="3887" spans="1:7" x14ac:dyDescent="0.2">
      <c r="A3887" s="538">
        <v>2</v>
      </c>
      <c r="B3887" s="538" t="s">
        <v>6576</v>
      </c>
      <c r="C3887" s="538" t="s">
        <v>393</v>
      </c>
      <c r="D3887" s="538" t="s">
        <v>393</v>
      </c>
      <c r="E3887" s="538" t="s">
        <v>210</v>
      </c>
      <c r="F3887" s="538">
        <v>1241478</v>
      </c>
      <c r="G3887" s="538">
        <v>66</v>
      </c>
    </row>
    <row r="3888" spans="1:7" x14ac:dyDescent="0.2">
      <c r="A3888" s="538">
        <v>6</v>
      </c>
      <c r="B3888" s="538" t="s">
        <v>6607</v>
      </c>
      <c r="C3888" s="538" t="s">
        <v>740</v>
      </c>
      <c r="D3888" s="538" t="s">
        <v>393</v>
      </c>
      <c r="E3888" s="538" t="s">
        <v>230</v>
      </c>
      <c r="F3888" s="538">
        <v>15833619</v>
      </c>
      <c r="G3888" s="538">
        <v>333</v>
      </c>
    </row>
    <row r="3889" spans="1:7" x14ac:dyDescent="0.2">
      <c r="A3889" s="538">
        <v>3</v>
      </c>
      <c r="B3889" s="538" t="s">
        <v>6605</v>
      </c>
      <c r="C3889" s="538" t="s">
        <v>740</v>
      </c>
      <c r="D3889" s="538" t="s">
        <v>393</v>
      </c>
      <c r="E3889" s="538" t="s">
        <v>212</v>
      </c>
      <c r="F3889" s="538">
        <v>11328</v>
      </c>
      <c r="G3889" s="538">
        <v>1</v>
      </c>
    </row>
    <row r="3890" spans="1:7" x14ac:dyDescent="0.2">
      <c r="A3890" s="538">
        <v>10</v>
      </c>
      <c r="B3890" s="538" t="s">
        <v>6600</v>
      </c>
      <c r="C3890" s="538" t="s">
        <v>393</v>
      </c>
      <c r="D3890" s="538" t="s">
        <v>393</v>
      </c>
      <c r="E3890" s="538" t="s">
        <v>212</v>
      </c>
      <c r="F3890" s="538">
        <v>829901</v>
      </c>
      <c r="G3890" s="538">
        <v>27</v>
      </c>
    </row>
    <row r="3891" spans="1:7" x14ac:dyDescent="0.2">
      <c r="A3891" s="538">
        <v>3</v>
      </c>
      <c r="B3891" s="538" t="s">
        <v>6578</v>
      </c>
      <c r="C3891" s="538" t="s">
        <v>740</v>
      </c>
      <c r="D3891" s="538" t="s">
        <v>393</v>
      </c>
      <c r="E3891" s="538" t="s">
        <v>402</v>
      </c>
      <c r="F3891" s="538">
        <v>135936</v>
      </c>
      <c r="G3891" s="538">
        <v>12</v>
      </c>
    </row>
    <row r="3892" spans="1:7" x14ac:dyDescent="0.2">
      <c r="A3892" s="538">
        <v>2</v>
      </c>
      <c r="B3892" s="538" t="s">
        <v>6654</v>
      </c>
      <c r="C3892" s="538" t="s">
        <v>393</v>
      </c>
      <c r="D3892" s="538" t="s">
        <v>393</v>
      </c>
      <c r="E3892" s="538" t="s">
        <v>390</v>
      </c>
      <c r="F3892" s="538">
        <v>7212157</v>
      </c>
      <c r="G3892" s="538">
        <v>139</v>
      </c>
    </row>
    <row r="3893" spans="1:7" x14ac:dyDescent="0.2">
      <c r="A3893" s="538">
        <v>1</v>
      </c>
      <c r="B3893" s="538" t="s">
        <v>1288</v>
      </c>
      <c r="C3893" s="538" t="s">
        <v>393</v>
      </c>
      <c r="D3893" s="538" t="s">
        <v>393</v>
      </c>
      <c r="E3893" s="538" t="s">
        <v>416</v>
      </c>
      <c r="F3893" s="538">
        <v>21960787</v>
      </c>
      <c r="G3893" s="538">
        <v>429</v>
      </c>
    </row>
    <row r="3894" spans="1:7" x14ac:dyDescent="0.2">
      <c r="A3894" s="538">
        <v>2</v>
      </c>
      <c r="B3894" s="538" t="s">
        <v>6055</v>
      </c>
      <c r="C3894" s="538" t="s">
        <v>393</v>
      </c>
      <c r="D3894" s="538" t="s">
        <v>393</v>
      </c>
      <c r="E3894" s="538" t="s">
        <v>390</v>
      </c>
      <c r="F3894" s="538">
        <v>7354871</v>
      </c>
      <c r="G3894" s="538">
        <v>127</v>
      </c>
    </row>
    <row r="3895" spans="1:7" x14ac:dyDescent="0.2">
      <c r="A3895" s="538">
        <v>8</v>
      </c>
      <c r="B3895" s="538" t="s">
        <v>6577</v>
      </c>
      <c r="C3895" s="538" t="s">
        <v>740</v>
      </c>
      <c r="D3895" s="538" t="s">
        <v>740</v>
      </c>
      <c r="E3895" s="538" t="s">
        <v>230</v>
      </c>
      <c r="F3895" s="538">
        <v>5011599</v>
      </c>
      <c r="G3895" s="538">
        <v>148</v>
      </c>
    </row>
    <row r="3896" spans="1:7" x14ac:dyDescent="0.2">
      <c r="A3896" s="538">
        <v>2</v>
      </c>
      <c r="B3896" s="538" t="s">
        <v>6656</v>
      </c>
      <c r="C3896" s="538" t="s">
        <v>393</v>
      </c>
      <c r="D3896" s="538" t="s">
        <v>393</v>
      </c>
      <c r="E3896" s="538" t="s">
        <v>449</v>
      </c>
      <c r="F3896" s="538">
        <v>600030</v>
      </c>
      <c r="G3896" s="538">
        <v>35</v>
      </c>
    </row>
    <row r="3897" spans="1:7" x14ac:dyDescent="0.2">
      <c r="A3897" s="538">
        <v>6</v>
      </c>
      <c r="B3897" s="538" t="s">
        <v>6575</v>
      </c>
      <c r="C3897" s="538" t="s">
        <v>393</v>
      </c>
      <c r="D3897" s="538" t="s">
        <v>740</v>
      </c>
      <c r="E3897" s="538" t="s">
        <v>230</v>
      </c>
      <c r="F3897" s="538">
        <v>227622</v>
      </c>
      <c r="G3897" s="538">
        <v>9</v>
      </c>
    </row>
    <row r="3898" spans="1:7" x14ac:dyDescent="0.2">
      <c r="A3898" s="538">
        <v>11</v>
      </c>
      <c r="B3898" s="538" t="s">
        <v>6592</v>
      </c>
      <c r="C3898" s="538" t="s">
        <v>740</v>
      </c>
      <c r="D3898" s="538" t="s">
        <v>740</v>
      </c>
      <c r="E3898" s="538" t="s">
        <v>860</v>
      </c>
      <c r="F3898" s="538">
        <v>56640</v>
      </c>
      <c r="G3898" s="538">
        <v>5</v>
      </c>
    </row>
    <row r="3899" spans="1:7" x14ac:dyDescent="0.2">
      <c r="A3899" s="538">
        <v>2</v>
      </c>
      <c r="B3899" s="538" t="s">
        <v>6573</v>
      </c>
      <c r="C3899" s="538" t="s">
        <v>393</v>
      </c>
      <c r="D3899" s="538" t="s">
        <v>393</v>
      </c>
      <c r="E3899" s="538" t="s">
        <v>402</v>
      </c>
      <c r="F3899" s="538">
        <v>7411511</v>
      </c>
      <c r="G3899" s="538">
        <v>192</v>
      </c>
    </row>
    <row r="3900" spans="1:7" x14ac:dyDescent="0.2">
      <c r="A3900" s="538">
        <v>6</v>
      </c>
      <c r="B3900" s="538" t="s">
        <v>6565</v>
      </c>
      <c r="C3900" s="538" t="s">
        <v>740</v>
      </c>
      <c r="D3900" s="538" t="s">
        <v>393</v>
      </c>
      <c r="E3900" s="538" t="s">
        <v>449</v>
      </c>
      <c r="F3900" s="538">
        <v>90624</v>
      </c>
      <c r="G3900" s="538">
        <v>8</v>
      </c>
    </row>
    <row r="3901" spans="1:7" x14ac:dyDescent="0.2">
      <c r="A3901" s="538">
        <v>1</v>
      </c>
      <c r="B3901" s="538" t="s">
        <v>6595</v>
      </c>
      <c r="C3901" s="538" t="s">
        <v>740</v>
      </c>
      <c r="D3901" s="538" t="s">
        <v>393</v>
      </c>
      <c r="E3901" s="538" t="s">
        <v>212</v>
      </c>
      <c r="F3901" s="538">
        <v>11328</v>
      </c>
      <c r="G3901" s="538">
        <v>1</v>
      </c>
    </row>
    <row r="3902" spans="1:7" x14ac:dyDescent="0.2">
      <c r="A3902" s="538">
        <v>4</v>
      </c>
      <c r="B3902" s="538" t="s">
        <v>6590</v>
      </c>
      <c r="C3902" s="538" t="s">
        <v>393</v>
      </c>
      <c r="D3902" s="538" t="s">
        <v>393</v>
      </c>
      <c r="E3902" s="538" t="s">
        <v>438</v>
      </c>
      <c r="F3902" s="538">
        <v>11296797</v>
      </c>
      <c r="G3902" s="538">
        <v>79</v>
      </c>
    </row>
    <row r="3903" spans="1:7" x14ac:dyDescent="0.2">
      <c r="A3903" s="538">
        <v>4</v>
      </c>
      <c r="B3903" s="538" t="s">
        <v>6590</v>
      </c>
      <c r="C3903" s="538" t="s">
        <v>393</v>
      </c>
      <c r="D3903" s="538" t="s">
        <v>393</v>
      </c>
      <c r="E3903" s="538" t="s">
        <v>206</v>
      </c>
      <c r="F3903" s="538">
        <v>546701</v>
      </c>
      <c r="G3903" s="538">
        <v>2</v>
      </c>
    </row>
    <row r="3904" spans="1:7" x14ac:dyDescent="0.2">
      <c r="A3904" s="538">
        <v>6</v>
      </c>
      <c r="B3904" s="538" t="s">
        <v>6596</v>
      </c>
      <c r="C3904" s="538" t="s">
        <v>393</v>
      </c>
      <c r="D3904" s="538" t="s">
        <v>393</v>
      </c>
      <c r="E3904" s="538" t="s">
        <v>438</v>
      </c>
      <c r="F3904" s="538">
        <v>9004324</v>
      </c>
      <c r="G3904" s="538">
        <v>68</v>
      </c>
    </row>
    <row r="3905" spans="1:7" x14ac:dyDescent="0.2">
      <c r="A3905" s="538">
        <v>8</v>
      </c>
      <c r="B3905" s="538" t="s">
        <v>6648</v>
      </c>
      <c r="C3905" s="538" t="s">
        <v>393</v>
      </c>
      <c r="D3905" s="538" t="s">
        <v>393</v>
      </c>
      <c r="E3905" s="538" t="s">
        <v>416</v>
      </c>
      <c r="F3905" s="538">
        <v>45812340</v>
      </c>
      <c r="G3905" s="538">
        <v>910</v>
      </c>
    </row>
    <row r="3906" spans="1:7" x14ac:dyDescent="0.2">
      <c r="A3906" s="538">
        <v>8</v>
      </c>
      <c r="B3906" s="538" t="s">
        <v>6577</v>
      </c>
      <c r="C3906" s="538" t="s">
        <v>740</v>
      </c>
      <c r="D3906" s="538" t="s">
        <v>393</v>
      </c>
      <c r="E3906" s="538" t="s">
        <v>860</v>
      </c>
      <c r="F3906" s="538">
        <v>2195633</v>
      </c>
      <c r="G3906" s="538">
        <v>91</v>
      </c>
    </row>
    <row r="3907" spans="1:7" x14ac:dyDescent="0.2">
      <c r="A3907" s="538">
        <v>6</v>
      </c>
      <c r="B3907" s="538" t="s">
        <v>6565</v>
      </c>
      <c r="C3907" s="538" t="s">
        <v>393</v>
      </c>
      <c r="D3907" s="538" t="s">
        <v>740</v>
      </c>
      <c r="E3907" s="538" t="s">
        <v>416</v>
      </c>
      <c r="F3907" s="538">
        <v>3481434</v>
      </c>
      <c r="G3907" s="538">
        <v>93</v>
      </c>
    </row>
    <row r="3908" spans="1:7" x14ac:dyDescent="0.2">
      <c r="A3908" s="538">
        <v>4</v>
      </c>
      <c r="B3908" s="538" t="s">
        <v>6562</v>
      </c>
      <c r="C3908" s="538" t="s">
        <v>740</v>
      </c>
      <c r="D3908" s="538" t="s">
        <v>393</v>
      </c>
      <c r="E3908" s="538" t="s">
        <v>390</v>
      </c>
      <c r="F3908" s="538">
        <v>55352107</v>
      </c>
      <c r="G3908" s="538">
        <v>2154</v>
      </c>
    </row>
    <row r="3909" spans="1:7" x14ac:dyDescent="0.2">
      <c r="A3909" s="538">
        <v>8</v>
      </c>
      <c r="B3909" s="538" t="s">
        <v>6560</v>
      </c>
      <c r="C3909" s="538" t="s">
        <v>740</v>
      </c>
      <c r="D3909" s="538" t="s">
        <v>393</v>
      </c>
      <c r="E3909" s="538" t="s">
        <v>438</v>
      </c>
      <c r="F3909" s="538">
        <v>614669</v>
      </c>
      <c r="G3909" s="538">
        <v>8</v>
      </c>
    </row>
    <row r="3910" spans="1:7" x14ac:dyDescent="0.2">
      <c r="A3910" s="538">
        <v>8</v>
      </c>
      <c r="B3910" s="538" t="s">
        <v>6570</v>
      </c>
      <c r="C3910" s="538" t="s">
        <v>740</v>
      </c>
      <c r="D3910" s="538" t="s">
        <v>393</v>
      </c>
      <c r="E3910" s="538" t="s">
        <v>401</v>
      </c>
      <c r="F3910" s="538">
        <v>249216</v>
      </c>
      <c r="G3910" s="538">
        <v>22</v>
      </c>
    </row>
    <row r="3911" spans="1:7" x14ac:dyDescent="0.2">
      <c r="A3911" s="538">
        <v>9</v>
      </c>
      <c r="B3911" s="538" t="s">
        <v>6615</v>
      </c>
      <c r="C3911" s="538" t="s">
        <v>393</v>
      </c>
      <c r="D3911" s="538" t="s">
        <v>393</v>
      </c>
      <c r="E3911" s="538" t="s">
        <v>211</v>
      </c>
      <c r="F3911" s="538">
        <v>19654987</v>
      </c>
      <c r="G3911" s="538">
        <v>299</v>
      </c>
    </row>
    <row r="3912" spans="1:7" x14ac:dyDescent="0.2">
      <c r="A3912" s="538">
        <v>4</v>
      </c>
      <c r="B3912" s="538" t="s">
        <v>6559</v>
      </c>
      <c r="C3912" s="538" t="s">
        <v>740</v>
      </c>
      <c r="D3912" s="538" t="s">
        <v>393</v>
      </c>
      <c r="E3912" s="538" t="s">
        <v>419</v>
      </c>
      <c r="F3912" s="538">
        <v>11328</v>
      </c>
      <c r="G3912" s="538">
        <v>1</v>
      </c>
    </row>
    <row r="3913" spans="1:7" x14ac:dyDescent="0.2">
      <c r="A3913" s="538">
        <v>5</v>
      </c>
      <c r="B3913" s="538" t="s">
        <v>6651</v>
      </c>
      <c r="C3913" s="538" t="s">
        <v>740</v>
      </c>
      <c r="D3913" s="538" t="s">
        <v>393</v>
      </c>
      <c r="E3913" s="538" t="s">
        <v>210</v>
      </c>
      <c r="F3913" s="538">
        <v>1923053</v>
      </c>
      <c r="G3913" s="538">
        <v>91</v>
      </c>
    </row>
    <row r="3914" spans="1:7" x14ac:dyDescent="0.2">
      <c r="A3914" s="538">
        <v>7</v>
      </c>
      <c r="B3914" s="538" t="s">
        <v>6564</v>
      </c>
      <c r="C3914" s="538" t="s">
        <v>740</v>
      </c>
      <c r="D3914" s="538" t="s">
        <v>740</v>
      </c>
      <c r="E3914" s="538" t="s">
        <v>210</v>
      </c>
      <c r="F3914" s="538">
        <v>540558</v>
      </c>
      <c r="G3914" s="538">
        <v>11</v>
      </c>
    </row>
    <row r="3915" spans="1:7" x14ac:dyDescent="0.2">
      <c r="A3915" s="538">
        <v>11</v>
      </c>
      <c r="B3915" s="538" t="s">
        <v>6612</v>
      </c>
      <c r="C3915" s="538" t="s">
        <v>740</v>
      </c>
      <c r="D3915" s="538" t="s">
        <v>393</v>
      </c>
      <c r="E3915" s="538" t="s">
        <v>497</v>
      </c>
      <c r="F3915" s="538">
        <v>11328</v>
      </c>
      <c r="G3915" s="538">
        <v>1</v>
      </c>
    </row>
    <row r="3916" spans="1:7" x14ac:dyDescent="0.2">
      <c r="A3916" s="538">
        <v>11</v>
      </c>
      <c r="B3916" s="538" t="s">
        <v>6558</v>
      </c>
      <c r="C3916" s="538" t="s">
        <v>393</v>
      </c>
      <c r="D3916" s="538" t="s">
        <v>393</v>
      </c>
      <c r="E3916" s="538" t="s">
        <v>402</v>
      </c>
      <c r="F3916" s="538">
        <v>4754793</v>
      </c>
      <c r="G3916" s="538">
        <v>106</v>
      </c>
    </row>
    <row r="3917" spans="1:7" x14ac:dyDescent="0.2">
      <c r="A3917" s="538">
        <v>6</v>
      </c>
      <c r="B3917" s="538" t="s">
        <v>6617</v>
      </c>
      <c r="C3917" s="538" t="s">
        <v>393</v>
      </c>
      <c r="D3917" s="538" t="s">
        <v>393</v>
      </c>
      <c r="E3917" s="538" t="s">
        <v>210</v>
      </c>
      <c r="F3917" s="538">
        <v>1204839</v>
      </c>
      <c r="G3917" s="538">
        <v>53</v>
      </c>
    </row>
    <row r="3918" spans="1:7" x14ac:dyDescent="0.2">
      <c r="A3918" s="538">
        <v>7</v>
      </c>
      <c r="B3918" s="538" t="s">
        <v>6580</v>
      </c>
      <c r="C3918" s="538" t="s">
        <v>393</v>
      </c>
      <c r="D3918" s="538" t="s">
        <v>740</v>
      </c>
      <c r="E3918" s="538" t="s">
        <v>409</v>
      </c>
      <c r="F3918" s="538">
        <v>11328</v>
      </c>
      <c r="G3918" s="538">
        <v>1</v>
      </c>
    </row>
    <row r="3919" spans="1:7" x14ac:dyDescent="0.2">
      <c r="A3919" s="538">
        <v>3</v>
      </c>
      <c r="B3919" s="538" t="s">
        <v>6603</v>
      </c>
      <c r="C3919" s="538" t="s">
        <v>393</v>
      </c>
      <c r="D3919" s="538" t="s">
        <v>393</v>
      </c>
      <c r="E3919" s="538" t="s">
        <v>211</v>
      </c>
      <c r="F3919" s="538">
        <v>24389800</v>
      </c>
      <c r="G3919" s="538">
        <v>265</v>
      </c>
    </row>
    <row r="3920" spans="1:7" x14ac:dyDescent="0.2">
      <c r="A3920" s="538">
        <v>5</v>
      </c>
      <c r="B3920" s="538" t="s">
        <v>6589</v>
      </c>
      <c r="C3920" s="538" t="s">
        <v>740</v>
      </c>
      <c r="D3920" s="538" t="s">
        <v>393</v>
      </c>
      <c r="E3920" s="538" t="s">
        <v>210</v>
      </c>
      <c r="F3920" s="538">
        <v>1566096</v>
      </c>
      <c r="G3920" s="538">
        <v>92</v>
      </c>
    </row>
    <row r="3921" spans="1:7" x14ac:dyDescent="0.2">
      <c r="A3921" s="538">
        <v>4</v>
      </c>
      <c r="B3921" s="538" t="s">
        <v>6574</v>
      </c>
      <c r="C3921" s="538" t="s">
        <v>740</v>
      </c>
      <c r="D3921" s="538" t="s">
        <v>393</v>
      </c>
      <c r="E3921" s="538" t="s">
        <v>438</v>
      </c>
      <c r="F3921" s="538">
        <v>34464370</v>
      </c>
      <c r="G3921" s="538">
        <v>485</v>
      </c>
    </row>
    <row r="3922" spans="1:7" x14ac:dyDescent="0.2">
      <c r="A3922" s="538">
        <v>4</v>
      </c>
      <c r="B3922" s="538" t="s">
        <v>6574</v>
      </c>
      <c r="C3922" s="538" t="s">
        <v>740</v>
      </c>
      <c r="D3922" s="538" t="s">
        <v>393</v>
      </c>
      <c r="E3922" s="538" t="s">
        <v>206</v>
      </c>
      <c r="F3922" s="538">
        <v>130803</v>
      </c>
      <c r="G3922" s="538">
        <v>6</v>
      </c>
    </row>
    <row r="3923" spans="1:7" x14ac:dyDescent="0.2">
      <c r="A3923" s="538">
        <v>2</v>
      </c>
      <c r="B3923" s="538" t="s">
        <v>6608</v>
      </c>
      <c r="C3923" s="538" t="s">
        <v>740</v>
      </c>
      <c r="D3923" s="538" t="s">
        <v>393</v>
      </c>
      <c r="E3923" s="538" t="s">
        <v>210</v>
      </c>
      <c r="F3923" s="538">
        <v>2382493</v>
      </c>
      <c r="G3923" s="538">
        <v>66</v>
      </c>
    </row>
    <row r="3924" spans="1:7" x14ac:dyDescent="0.2">
      <c r="A3924" s="538">
        <v>8</v>
      </c>
      <c r="B3924" s="538" t="s">
        <v>6583</v>
      </c>
      <c r="C3924" s="538" t="s">
        <v>740</v>
      </c>
      <c r="D3924" s="538" t="s">
        <v>393</v>
      </c>
      <c r="E3924" s="538" t="s">
        <v>211</v>
      </c>
      <c r="F3924" s="538">
        <v>393648</v>
      </c>
      <c r="G3924" s="538">
        <v>21</v>
      </c>
    </row>
    <row r="3925" spans="1:7" x14ac:dyDescent="0.2">
      <c r="A3925" s="538">
        <v>10</v>
      </c>
      <c r="B3925" s="538" t="s">
        <v>6653</v>
      </c>
      <c r="C3925" s="538" t="s">
        <v>393</v>
      </c>
      <c r="D3925" s="538" t="s">
        <v>740</v>
      </c>
      <c r="E3925" s="538" t="s">
        <v>860</v>
      </c>
      <c r="F3925" s="538">
        <v>581924</v>
      </c>
      <c r="G3925" s="538">
        <v>3</v>
      </c>
    </row>
    <row r="3926" spans="1:7" x14ac:dyDescent="0.2">
      <c r="A3926" s="538">
        <v>1</v>
      </c>
      <c r="B3926" s="538" t="s">
        <v>6602</v>
      </c>
      <c r="C3926" s="538" t="s">
        <v>740</v>
      </c>
      <c r="D3926" s="538" t="s">
        <v>393</v>
      </c>
      <c r="E3926" s="538" t="s">
        <v>210</v>
      </c>
      <c r="F3926" s="538">
        <v>4372608</v>
      </c>
      <c r="G3926" s="538">
        <v>321</v>
      </c>
    </row>
    <row r="3927" spans="1:7" x14ac:dyDescent="0.2">
      <c r="A3927" s="538">
        <v>1</v>
      </c>
      <c r="B3927" s="538" t="s">
        <v>6581</v>
      </c>
      <c r="C3927" s="538" t="s">
        <v>393</v>
      </c>
      <c r="D3927" s="538" t="s">
        <v>740</v>
      </c>
      <c r="E3927" s="538" t="s">
        <v>210</v>
      </c>
      <c r="F3927" s="538">
        <v>604580</v>
      </c>
      <c r="G3927" s="538">
        <v>5</v>
      </c>
    </row>
    <row r="3928" spans="1:7" x14ac:dyDescent="0.2">
      <c r="A3928" s="538">
        <v>3</v>
      </c>
      <c r="B3928" s="538" t="s">
        <v>6605</v>
      </c>
      <c r="C3928" s="538" t="s">
        <v>740</v>
      </c>
      <c r="D3928" s="538" t="s">
        <v>393</v>
      </c>
      <c r="E3928" s="538" t="s">
        <v>207</v>
      </c>
      <c r="F3928" s="538">
        <v>11328</v>
      </c>
      <c r="G3928" s="538">
        <v>1</v>
      </c>
    </row>
    <row r="3929" spans="1:7" x14ac:dyDescent="0.2">
      <c r="A3929" s="538">
        <v>4</v>
      </c>
      <c r="B3929" s="538" t="s">
        <v>6590</v>
      </c>
      <c r="C3929" s="538" t="s">
        <v>740</v>
      </c>
      <c r="D3929" s="538" t="s">
        <v>393</v>
      </c>
      <c r="E3929" s="538" t="s">
        <v>402</v>
      </c>
      <c r="F3929" s="538">
        <v>22656</v>
      </c>
      <c r="G3929" s="538">
        <v>2</v>
      </c>
    </row>
    <row r="3930" spans="1:7" x14ac:dyDescent="0.2">
      <c r="A3930" s="538">
        <v>2</v>
      </c>
      <c r="B3930" s="538" t="s">
        <v>6608</v>
      </c>
      <c r="C3930" s="538" t="s">
        <v>740</v>
      </c>
      <c r="D3930" s="538" t="s">
        <v>393</v>
      </c>
      <c r="E3930" s="538" t="s">
        <v>230</v>
      </c>
      <c r="F3930" s="538">
        <v>4669281</v>
      </c>
      <c r="G3930" s="538">
        <v>122</v>
      </c>
    </row>
    <row r="3931" spans="1:7" x14ac:dyDescent="0.2">
      <c r="A3931" s="538">
        <v>6</v>
      </c>
      <c r="B3931" s="538" t="s">
        <v>6429</v>
      </c>
      <c r="C3931" s="538" t="s">
        <v>393</v>
      </c>
      <c r="D3931" s="538" t="s">
        <v>740</v>
      </c>
      <c r="E3931" s="538" t="s">
        <v>207</v>
      </c>
      <c r="F3931" s="538">
        <v>79296</v>
      </c>
      <c r="G3931" s="538">
        <v>7</v>
      </c>
    </row>
    <row r="3932" spans="1:7" x14ac:dyDescent="0.2">
      <c r="A3932" s="538">
        <v>1</v>
      </c>
      <c r="B3932" s="538" t="s">
        <v>1288</v>
      </c>
      <c r="C3932" s="538" t="s">
        <v>740</v>
      </c>
      <c r="D3932" s="538" t="s">
        <v>393</v>
      </c>
      <c r="E3932" s="538" t="s">
        <v>212</v>
      </c>
      <c r="F3932" s="538">
        <v>1158996</v>
      </c>
      <c r="G3932" s="538">
        <v>92</v>
      </c>
    </row>
    <row r="3933" spans="1:7" x14ac:dyDescent="0.2">
      <c r="A3933" s="538">
        <v>2</v>
      </c>
      <c r="B3933" s="538" t="s">
        <v>6662</v>
      </c>
      <c r="C3933" s="538" t="s">
        <v>393</v>
      </c>
      <c r="D3933" s="538" t="s">
        <v>740</v>
      </c>
      <c r="E3933" s="538" t="s">
        <v>390</v>
      </c>
      <c r="F3933" s="538">
        <v>7107477</v>
      </c>
      <c r="G3933" s="538">
        <v>124</v>
      </c>
    </row>
    <row r="3934" spans="1:7" x14ac:dyDescent="0.2">
      <c r="A3934" s="538">
        <v>5</v>
      </c>
      <c r="B3934" s="538" t="s">
        <v>6568</v>
      </c>
      <c r="C3934" s="538" t="s">
        <v>393</v>
      </c>
      <c r="D3934" s="538" t="s">
        <v>393</v>
      </c>
      <c r="E3934" s="538" t="s">
        <v>860</v>
      </c>
      <c r="F3934" s="538">
        <v>5462137</v>
      </c>
      <c r="G3934" s="538">
        <v>109</v>
      </c>
    </row>
    <row r="3935" spans="1:7" x14ac:dyDescent="0.2">
      <c r="A3935" s="538">
        <v>2</v>
      </c>
      <c r="B3935" s="538" t="s">
        <v>6656</v>
      </c>
      <c r="C3935" s="538" t="s">
        <v>740</v>
      </c>
      <c r="D3935" s="538" t="s">
        <v>393</v>
      </c>
      <c r="E3935" s="538" t="s">
        <v>207</v>
      </c>
      <c r="F3935" s="538">
        <v>362496</v>
      </c>
      <c r="G3935" s="538">
        <v>32</v>
      </c>
    </row>
    <row r="3936" spans="1:7" x14ac:dyDescent="0.2">
      <c r="A3936" s="538">
        <v>12</v>
      </c>
      <c r="B3936" s="538" t="s">
        <v>6569</v>
      </c>
      <c r="C3936" s="538" t="s">
        <v>740</v>
      </c>
      <c r="D3936" s="538" t="s">
        <v>740</v>
      </c>
      <c r="E3936" s="538" t="s">
        <v>212</v>
      </c>
      <c r="F3936" s="538">
        <v>255411</v>
      </c>
      <c r="G3936" s="538">
        <v>17</v>
      </c>
    </row>
    <row r="3937" spans="1:7" x14ac:dyDescent="0.2">
      <c r="A3937" s="538">
        <v>4</v>
      </c>
      <c r="B3937" s="538" t="s">
        <v>6559</v>
      </c>
      <c r="C3937" s="538" t="s">
        <v>393</v>
      </c>
      <c r="D3937" s="538" t="s">
        <v>740</v>
      </c>
      <c r="E3937" s="538" t="s">
        <v>390</v>
      </c>
      <c r="F3937" s="538">
        <v>1894733</v>
      </c>
      <c r="G3937" s="538">
        <v>56</v>
      </c>
    </row>
    <row r="3938" spans="1:7" x14ac:dyDescent="0.2">
      <c r="A3938" s="538">
        <v>6</v>
      </c>
      <c r="B3938" s="538" t="s">
        <v>6433</v>
      </c>
      <c r="C3938" s="538" t="s">
        <v>393</v>
      </c>
      <c r="D3938" s="538" t="s">
        <v>393</v>
      </c>
      <c r="E3938" s="538" t="s">
        <v>401</v>
      </c>
      <c r="F3938" s="538">
        <v>476661</v>
      </c>
      <c r="G3938" s="538">
        <v>22</v>
      </c>
    </row>
    <row r="3939" spans="1:7" x14ac:dyDescent="0.2">
      <c r="A3939" s="538">
        <v>2</v>
      </c>
      <c r="B3939" s="538" t="s">
        <v>6055</v>
      </c>
      <c r="C3939" s="538" t="s">
        <v>740</v>
      </c>
      <c r="D3939" s="538" t="s">
        <v>393</v>
      </c>
      <c r="E3939" s="538" t="s">
        <v>860</v>
      </c>
      <c r="F3939" s="538">
        <v>55213683</v>
      </c>
      <c r="G3939" s="538">
        <v>2216</v>
      </c>
    </row>
    <row r="3940" spans="1:7" x14ac:dyDescent="0.2">
      <c r="A3940" s="538">
        <v>4</v>
      </c>
      <c r="B3940" s="538" t="s">
        <v>6590</v>
      </c>
      <c r="C3940" s="538" t="s">
        <v>740</v>
      </c>
      <c r="D3940" s="538" t="s">
        <v>393</v>
      </c>
      <c r="E3940" s="538" t="s">
        <v>390</v>
      </c>
      <c r="F3940" s="538">
        <v>11328</v>
      </c>
      <c r="G3940" s="538">
        <v>1</v>
      </c>
    </row>
    <row r="3941" spans="1:7" x14ac:dyDescent="0.2">
      <c r="A3941" s="538">
        <v>7</v>
      </c>
      <c r="B3941" s="538" t="s">
        <v>6564</v>
      </c>
      <c r="C3941" s="538" t="s">
        <v>393</v>
      </c>
      <c r="D3941" s="538" t="s">
        <v>740</v>
      </c>
      <c r="E3941" s="538" t="s">
        <v>402</v>
      </c>
      <c r="F3941" s="538">
        <v>1151458</v>
      </c>
      <c r="G3941" s="538">
        <v>16</v>
      </c>
    </row>
    <row r="3942" spans="1:7" x14ac:dyDescent="0.2">
      <c r="A3942" s="538">
        <v>3</v>
      </c>
      <c r="B3942" s="538" t="s">
        <v>6578</v>
      </c>
      <c r="C3942" s="538" t="s">
        <v>393</v>
      </c>
      <c r="D3942" s="538" t="s">
        <v>393</v>
      </c>
      <c r="E3942" s="538" t="s">
        <v>416</v>
      </c>
      <c r="F3942" s="538">
        <v>54348446</v>
      </c>
      <c r="G3942" s="538">
        <v>1187</v>
      </c>
    </row>
    <row r="3943" spans="1:7" x14ac:dyDescent="0.2">
      <c r="A3943" s="538">
        <v>12</v>
      </c>
      <c r="B3943" s="538" t="s">
        <v>6569</v>
      </c>
      <c r="C3943" s="538" t="s">
        <v>393</v>
      </c>
      <c r="D3943" s="538" t="s">
        <v>740</v>
      </c>
      <c r="E3943" s="538" t="s">
        <v>449</v>
      </c>
      <c r="F3943" s="538">
        <v>632369</v>
      </c>
      <c r="G3943" s="538">
        <v>13</v>
      </c>
    </row>
    <row r="3944" spans="1:7" x14ac:dyDescent="0.2">
      <c r="A3944" s="538">
        <v>11</v>
      </c>
      <c r="B3944" s="538" t="s">
        <v>6584</v>
      </c>
      <c r="C3944" s="538" t="s">
        <v>740</v>
      </c>
      <c r="D3944" s="538" t="s">
        <v>393</v>
      </c>
      <c r="E3944" s="538" t="s">
        <v>416</v>
      </c>
      <c r="F3944" s="538">
        <v>4588642</v>
      </c>
      <c r="G3944" s="538">
        <v>94</v>
      </c>
    </row>
    <row r="3945" spans="1:7" x14ac:dyDescent="0.2">
      <c r="A3945" s="538">
        <v>7</v>
      </c>
      <c r="B3945" s="538" t="s">
        <v>6655</v>
      </c>
      <c r="C3945" s="538" t="s">
        <v>393</v>
      </c>
      <c r="D3945" s="538" t="s">
        <v>740</v>
      </c>
      <c r="E3945" s="538" t="s">
        <v>390</v>
      </c>
      <c r="F3945" s="538">
        <v>124431</v>
      </c>
      <c r="G3945" s="538">
        <v>2</v>
      </c>
    </row>
    <row r="3946" spans="1:7" x14ac:dyDescent="0.2">
      <c r="A3946" s="538">
        <v>3</v>
      </c>
      <c r="B3946" s="538" t="s">
        <v>6603</v>
      </c>
      <c r="C3946" s="538" t="s">
        <v>393</v>
      </c>
      <c r="D3946" s="538" t="s">
        <v>393</v>
      </c>
      <c r="E3946" s="538" t="s">
        <v>212</v>
      </c>
      <c r="F3946" s="538">
        <v>469404</v>
      </c>
      <c r="G3946" s="538">
        <v>38</v>
      </c>
    </row>
    <row r="3947" spans="1:7" x14ac:dyDescent="0.2">
      <c r="A3947" s="538">
        <v>9</v>
      </c>
      <c r="B3947" s="538" t="s">
        <v>6606</v>
      </c>
      <c r="C3947" s="538" t="s">
        <v>740</v>
      </c>
      <c r="D3947" s="538" t="s">
        <v>393</v>
      </c>
      <c r="E3947" s="538" t="s">
        <v>860</v>
      </c>
      <c r="F3947" s="538">
        <v>1692599</v>
      </c>
      <c r="G3947" s="538">
        <v>63</v>
      </c>
    </row>
    <row r="3948" spans="1:7" x14ac:dyDescent="0.2">
      <c r="A3948" s="538">
        <v>4</v>
      </c>
      <c r="B3948" s="538" t="s">
        <v>6590</v>
      </c>
      <c r="C3948" s="538" t="s">
        <v>740</v>
      </c>
      <c r="D3948" s="538" t="s">
        <v>393</v>
      </c>
      <c r="E3948" s="538" t="s">
        <v>409</v>
      </c>
      <c r="F3948" s="538">
        <v>1093808</v>
      </c>
      <c r="G3948" s="538">
        <v>26</v>
      </c>
    </row>
    <row r="3949" spans="1:7" x14ac:dyDescent="0.2">
      <c r="A3949" s="538">
        <v>4</v>
      </c>
      <c r="B3949" s="538" t="s">
        <v>6574</v>
      </c>
      <c r="C3949" s="538" t="s">
        <v>740</v>
      </c>
      <c r="D3949" s="538" t="s">
        <v>393</v>
      </c>
      <c r="E3949" s="538" t="s">
        <v>416</v>
      </c>
      <c r="F3949" s="538">
        <v>12465663</v>
      </c>
      <c r="G3949" s="538">
        <v>261</v>
      </c>
    </row>
    <row r="3950" spans="1:7" x14ac:dyDescent="0.2">
      <c r="A3950" s="538">
        <v>2</v>
      </c>
      <c r="B3950" s="538" t="s">
        <v>6585</v>
      </c>
      <c r="C3950" s="538" t="s">
        <v>740</v>
      </c>
      <c r="D3950" s="538" t="s">
        <v>393</v>
      </c>
      <c r="E3950" s="538" t="s">
        <v>402</v>
      </c>
      <c r="F3950" s="538">
        <v>1765169</v>
      </c>
      <c r="G3950" s="538">
        <v>48</v>
      </c>
    </row>
    <row r="3951" spans="1:7" x14ac:dyDescent="0.2">
      <c r="A3951" s="538">
        <v>5</v>
      </c>
      <c r="B3951" s="538" t="s">
        <v>6651</v>
      </c>
      <c r="C3951" s="538" t="s">
        <v>393</v>
      </c>
      <c r="D3951" s="538" t="s">
        <v>740</v>
      </c>
      <c r="E3951" s="538" t="s">
        <v>207</v>
      </c>
      <c r="F3951" s="538">
        <v>11328</v>
      </c>
      <c r="G3951" s="538">
        <v>1</v>
      </c>
    </row>
    <row r="3952" spans="1:7" x14ac:dyDescent="0.2">
      <c r="A3952" s="538">
        <v>10</v>
      </c>
      <c r="B3952" s="538" t="s">
        <v>6664</v>
      </c>
      <c r="C3952" s="538" t="s">
        <v>393</v>
      </c>
      <c r="D3952" s="538" t="s">
        <v>393</v>
      </c>
      <c r="E3952" s="538" t="s">
        <v>202</v>
      </c>
      <c r="F3952" s="538">
        <v>5966431</v>
      </c>
      <c r="G3952" s="538">
        <v>42</v>
      </c>
    </row>
    <row r="3953" spans="1:7" x14ac:dyDescent="0.2">
      <c r="A3953" s="538">
        <v>8</v>
      </c>
      <c r="B3953" s="538" t="s">
        <v>6583</v>
      </c>
      <c r="C3953" s="538" t="s">
        <v>393</v>
      </c>
      <c r="D3953" s="538" t="s">
        <v>393</v>
      </c>
      <c r="E3953" s="538" t="s">
        <v>202</v>
      </c>
      <c r="F3953" s="538">
        <v>12258209</v>
      </c>
      <c r="G3953" s="538">
        <v>78</v>
      </c>
    </row>
    <row r="3954" spans="1:7" x14ac:dyDescent="0.2">
      <c r="A3954" s="538">
        <v>5</v>
      </c>
      <c r="B3954" s="538" t="s">
        <v>6650</v>
      </c>
      <c r="C3954" s="538" t="s">
        <v>393</v>
      </c>
      <c r="D3954" s="538" t="s">
        <v>740</v>
      </c>
      <c r="E3954" s="538" t="s">
        <v>449</v>
      </c>
      <c r="F3954" s="538">
        <v>181248</v>
      </c>
      <c r="G3954" s="538">
        <v>16</v>
      </c>
    </row>
    <row r="3955" spans="1:7" x14ac:dyDescent="0.2">
      <c r="A3955" s="538">
        <v>12</v>
      </c>
      <c r="B3955" s="538" t="s">
        <v>6616</v>
      </c>
      <c r="C3955" s="538" t="s">
        <v>740</v>
      </c>
      <c r="D3955" s="538" t="s">
        <v>393</v>
      </c>
      <c r="E3955" s="538" t="s">
        <v>409</v>
      </c>
      <c r="F3955" s="538">
        <v>643926</v>
      </c>
      <c r="G3955" s="538">
        <v>32</v>
      </c>
    </row>
    <row r="3956" spans="1:7" x14ac:dyDescent="0.2">
      <c r="A3956" s="538">
        <v>9</v>
      </c>
      <c r="B3956" s="538" t="s">
        <v>6614</v>
      </c>
      <c r="C3956" s="538" t="s">
        <v>393</v>
      </c>
      <c r="D3956" s="538" t="s">
        <v>393</v>
      </c>
      <c r="E3956" s="538" t="s">
        <v>211</v>
      </c>
      <c r="F3956" s="538">
        <v>10440273</v>
      </c>
      <c r="G3956" s="538">
        <v>111</v>
      </c>
    </row>
    <row r="3957" spans="1:7" x14ac:dyDescent="0.2">
      <c r="A3957" s="538">
        <v>4</v>
      </c>
      <c r="B3957" s="538" t="s">
        <v>6559</v>
      </c>
      <c r="C3957" s="538" t="s">
        <v>740</v>
      </c>
      <c r="D3957" s="538" t="s">
        <v>393</v>
      </c>
      <c r="E3957" s="538" t="s">
        <v>313</v>
      </c>
      <c r="F3957" s="538">
        <v>2557619</v>
      </c>
      <c r="G3957" s="538">
        <v>13</v>
      </c>
    </row>
    <row r="3958" spans="1:7" x14ac:dyDescent="0.2">
      <c r="A3958" s="538">
        <v>7</v>
      </c>
      <c r="B3958" s="538" t="s">
        <v>6604</v>
      </c>
      <c r="C3958" s="538" t="s">
        <v>740</v>
      </c>
      <c r="D3958" s="538" t="s">
        <v>393</v>
      </c>
      <c r="E3958" s="538" t="s">
        <v>210</v>
      </c>
      <c r="F3958" s="538">
        <v>496433</v>
      </c>
      <c r="G3958" s="538">
        <v>1</v>
      </c>
    </row>
    <row r="3959" spans="1:7" x14ac:dyDescent="0.2">
      <c r="A3959" s="538">
        <v>10</v>
      </c>
      <c r="B3959" s="538" t="s">
        <v>6653</v>
      </c>
      <c r="C3959" s="538" t="s">
        <v>740</v>
      </c>
      <c r="D3959" s="538" t="s">
        <v>740</v>
      </c>
      <c r="E3959" s="538" t="s">
        <v>230</v>
      </c>
      <c r="F3959" s="538">
        <v>33984</v>
      </c>
      <c r="G3959" s="538">
        <v>3</v>
      </c>
    </row>
    <row r="3960" spans="1:7" x14ac:dyDescent="0.2">
      <c r="A3960" s="538">
        <v>1</v>
      </c>
      <c r="B3960" s="538" t="s">
        <v>6595</v>
      </c>
      <c r="C3960" s="538" t="s">
        <v>393</v>
      </c>
      <c r="D3960" s="538" t="s">
        <v>393</v>
      </c>
      <c r="E3960" s="538" t="s">
        <v>202</v>
      </c>
      <c r="F3960" s="538">
        <v>4445522</v>
      </c>
      <c r="G3960" s="538">
        <v>29</v>
      </c>
    </row>
    <row r="3961" spans="1:7" x14ac:dyDescent="0.2">
      <c r="A3961" s="538">
        <v>1</v>
      </c>
      <c r="B3961" s="538" t="s">
        <v>6609</v>
      </c>
      <c r="C3961" s="538" t="s">
        <v>740</v>
      </c>
      <c r="D3961" s="538" t="s">
        <v>393</v>
      </c>
      <c r="E3961" s="538" t="s">
        <v>390</v>
      </c>
      <c r="F3961" s="538">
        <v>13597036</v>
      </c>
      <c r="G3961" s="538">
        <v>592</v>
      </c>
    </row>
    <row r="3962" spans="1:7" x14ac:dyDescent="0.2">
      <c r="A3962" s="538">
        <v>8</v>
      </c>
      <c r="B3962" s="538" t="s">
        <v>6583</v>
      </c>
      <c r="C3962" s="538" t="s">
        <v>740</v>
      </c>
      <c r="D3962" s="538" t="s">
        <v>393</v>
      </c>
      <c r="E3962" s="538" t="s">
        <v>230</v>
      </c>
      <c r="F3962" s="538">
        <v>34737126</v>
      </c>
      <c r="G3962" s="538">
        <v>862</v>
      </c>
    </row>
    <row r="3963" spans="1:7" x14ac:dyDescent="0.2">
      <c r="A3963" s="538">
        <v>1</v>
      </c>
      <c r="B3963" s="538" t="s">
        <v>6581</v>
      </c>
      <c r="C3963" s="538" t="s">
        <v>740</v>
      </c>
      <c r="D3963" s="538" t="s">
        <v>393</v>
      </c>
      <c r="E3963" s="538" t="s">
        <v>230</v>
      </c>
      <c r="F3963" s="538">
        <v>289218</v>
      </c>
      <c r="G3963" s="538">
        <v>11</v>
      </c>
    </row>
    <row r="3964" spans="1:7" x14ac:dyDescent="0.2">
      <c r="A3964" s="538">
        <v>6</v>
      </c>
      <c r="B3964" s="538" t="s">
        <v>6565</v>
      </c>
      <c r="C3964" s="538" t="s">
        <v>740</v>
      </c>
      <c r="D3964" s="538" t="s">
        <v>393</v>
      </c>
      <c r="E3964" s="538" t="s">
        <v>409</v>
      </c>
      <c r="F3964" s="538">
        <v>85491</v>
      </c>
      <c r="G3964" s="538">
        <v>2</v>
      </c>
    </row>
    <row r="3965" spans="1:7" x14ac:dyDescent="0.2">
      <c r="A3965" s="538">
        <v>11</v>
      </c>
      <c r="B3965" s="538" t="s">
        <v>6612</v>
      </c>
      <c r="C3965" s="538" t="s">
        <v>393</v>
      </c>
      <c r="D3965" s="538" t="s">
        <v>393</v>
      </c>
      <c r="E3965" s="538" t="s">
        <v>202</v>
      </c>
      <c r="F3965" s="538">
        <v>13217320</v>
      </c>
      <c r="G3965" s="538">
        <v>95</v>
      </c>
    </row>
    <row r="3966" spans="1:7" x14ac:dyDescent="0.2">
      <c r="A3966" s="538">
        <v>2</v>
      </c>
      <c r="B3966" s="538" t="s">
        <v>6055</v>
      </c>
      <c r="C3966" s="538" t="s">
        <v>393</v>
      </c>
      <c r="D3966" s="538" t="s">
        <v>740</v>
      </c>
      <c r="E3966" s="538" t="s">
        <v>401</v>
      </c>
      <c r="F3966" s="538">
        <v>33984</v>
      </c>
      <c r="G3966" s="538">
        <v>3</v>
      </c>
    </row>
    <row r="3967" spans="1:7" x14ac:dyDescent="0.2">
      <c r="A3967" s="538">
        <v>9</v>
      </c>
      <c r="B3967" s="538" t="s">
        <v>6606</v>
      </c>
      <c r="C3967" s="538" t="s">
        <v>393</v>
      </c>
      <c r="D3967" s="538" t="s">
        <v>393</v>
      </c>
      <c r="E3967" s="538" t="s">
        <v>230</v>
      </c>
      <c r="F3967" s="538">
        <v>3801023</v>
      </c>
      <c r="G3967" s="538">
        <v>126</v>
      </c>
    </row>
    <row r="3968" spans="1:7" x14ac:dyDescent="0.2">
      <c r="A3968" s="538">
        <v>10</v>
      </c>
      <c r="B3968" s="538" t="s">
        <v>6652</v>
      </c>
      <c r="C3968" s="538" t="s">
        <v>393</v>
      </c>
      <c r="D3968" s="538" t="s">
        <v>393</v>
      </c>
      <c r="E3968" s="538" t="s">
        <v>390</v>
      </c>
      <c r="F3968" s="538">
        <v>809546</v>
      </c>
      <c r="G3968" s="538">
        <v>12</v>
      </c>
    </row>
    <row r="3969" spans="1:7" x14ac:dyDescent="0.2">
      <c r="A3969" s="538">
        <v>6</v>
      </c>
      <c r="B3969" s="538" t="s">
        <v>6575</v>
      </c>
      <c r="C3969" s="538" t="s">
        <v>740</v>
      </c>
      <c r="D3969" s="538" t="s">
        <v>740</v>
      </c>
      <c r="E3969" s="538" t="s">
        <v>401</v>
      </c>
      <c r="F3969" s="538">
        <v>215232</v>
      </c>
      <c r="G3969" s="538">
        <v>19</v>
      </c>
    </row>
    <row r="3970" spans="1:7" x14ac:dyDescent="0.2">
      <c r="A3970" s="538">
        <v>5</v>
      </c>
      <c r="B3970" s="538" t="s">
        <v>6568</v>
      </c>
      <c r="C3970" s="538" t="s">
        <v>740</v>
      </c>
      <c r="D3970" s="538" t="s">
        <v>740</v>
      </c>
      <c r="E3970" s="538" t="s">
        <v>202</v>
      </c>
      <c r="F3970" s="538">
        <v>1847547</v>
      </c>
      <c r="G3970" s="538">
        <v>9</v>
      </c>
    </row>
    <row r="3971" spans="1:7" x14ac:dyDescent="0.2">
      <c r="A3971" s="538">
        <v>6</v>
      </c>
      <c r="B3971" s="538" t="s">
        <v>6575</v>
      </c>
      <c r="C3971" s="538" t="s">
        <v>740</v>
      </c>
      <c r="D3971" s="538" t="s">
        <v>393</v>
      </c>
      <c r="E3971" s="538" t="s">
        <v>212</v>
      </c>
      <c r="F3971" s="538">
        <v>447987</v>
      </c>
      <c r="G3971" s="538">
        <v>34</v>
      </c>
    </row>
    <row r="3972" spans="1:7" x14ac:dyDescent="0.2">
      <c r="A3972" s="538">
        <v>8</v>
      </c>
      <c r="B3972" s="538" t="s">
        <v>6577</v>
      </c>
      <c r="C3972" s="538" t="s">
        <v>740</v>
      </c>
      <c r="D3972" s="538" t="s">
        <v>740</v>
      </c>
      <c r="E3972" s="538" t="s">
        <v>202</v>
      </c>
      <c r="F3972" s="538">
        <v>14734668</v>
      </c>
      <c r="G3972" s="538">
        <v>141</v>
      </c>
    </row>
    <row r="3973" spans="1:7" x14ac:dyDescent="0.2">
      <c r="A3973" s="538">
        <v>12</v>
      </c>
      <c r="B3973" s="538" t="s">
        <v>6616</v>
      </c>
      <c r="C3973" s="538" t="s">
        <v>740</v>
      </c>
      <c r="D3973" s="538" t="s">
        <v>393</v>
      </c>
      <c r="E3973" s="538" t="s">
        <v>416</v>
      </c>
      <c r="F3973" s="538">
        <v>4472103</v>
      </c>
      <c r="G3973" s="538">
        <v>121</v>
      </c>
    </row>
    <row r="3974" spans="1:7" x14ac:dyDescent="0.2">
      <c r="A3974" s="538">
        <v>5</v>
      </c>
      <c r="B3974" s="538" t="s">
        <v>6568</v>
      </c>
      <c r="C3974" s="538" t="s">
        <v>393</v>
      </c>
      <c r="D3974" s="538" t="s">
        <v>740</v>
      </c>
      <c r="E3974" s="538" t="s">
        <v>438</v>
      </c>
      <c r="F3974" s="538">
        <v>1175176</v>
      </c>
      <c r="G3974" s="538">
        <v>7</v>
      </c>
    </row>
    <row r="3975" spans="1:7" x14ac:dyDescent="0.2">
      <c r="A3975" s="538">
        <v>8</v>
      </c>
      <c r="B3975" s="538" t="s">
        <v>6570</v>
      </c>
      <c r="C3975" s="538" t="s">
        <v>740</v>
      </c>
      <c r="D3975" s="538" t="s">
        <v>393</v>
      </c>
      <c r="E3975" s="538" t="s">
        <v>402</v>
      </c>
      <c r="F3975" s="538">
        <v>3267316</v>
      </c>
      <c r="G3975" s="538">
        <v>137</v>
      </c>
    </row>
    <row r="3976" spans="1:7" x14ac:dyDescent="0.2">
      <c r="A3976" s="538">
        <v>6</v>
      </c>
      <c r="B3976" s="538" t="s">
        <v>6429</v>
      </c>
      <c r="C3976" s="538" t="s">
        <v>740</v>
      </c>
      <c r="D3976" s="538" t="s">
        <v>393</v>
      </c>
      <c r="E3976" s="538" t="s">
        <v>449</v>
      </c>
      <c r="F3976" s="538">
        <v>6956423</v>
      </c>
      <c r="G3976" s="538">
        <v>251</v>
      </c>
    </row>
    <row r="3977" spans="1:7" x14ac:dyDescent="0.2">
      <c r="A3977" s="538">
        <v>9</v>
      </c>
      <c r="B3977" s="538" t="s">
        <v>6614</v>
      </c>
      <c r="C3977" s="538" t="s">
        <v>740</v>
      </c>
      <c r="D3977" s="538" t="s">
        <v>393</v>
      </c>
      <c r="E3977" s="538" t="s">
        <v>210</v>
      </c>
      <c r="F3977" s="538">
        <v>718089</v>
      </c>
      <c r="G3977" s="538">
        <v>33</v>
      </c>
    </row>
    <row r="3978" spans="1:7" x14ac:dyDescent="0.2">
      <c r="A3978" s="538">
        <v>1</v>
      </c>
      <c r="B3978" s="538" t="s">
        <v>1288</v>
      </c>
      <c r="C3978" s="538" t="s">
        <v>740</v>
      </c>
      <c r="D3978" s="538" t="s">
        <v>393</v>
      </c>
      <c r="E3978" s="538" t="s">
        <v>438</v>
      </c>
      <c r="F3978" s="538">
        <v>22656</v>
      </c>
      <c r="G3978" s="538">
        <v>2</v>
      </c>
    </row>
    <row r="3979" spans="1:7" x14ac:dyDescent="0.2">
      <c r="A3979" s="538">
        <v>4</v>
      </c>
      <c r="B3979" s="538" t="s">
        <v>6562</v>
      </c>
      <c r="C3979" s="538" t="s">
        <v>740</v>
      </c>
      <c r="D3979" s="538" t="s">
        <v>740</v>
      </c>
      <c r="E3979" s="538" t="s">
        <v>230</v>
      </c>
      <c r="F3979" s="538">
        <v>11328</v>
      </c>
      <c r="G3979" s="538">
        <v>1</v>
      </c>
    </row>
    <row r="3980" spans="1:7" x14ac:dyDescent="0.2">
      <c r="A3980" s="538">
        <v>2</v>
      </c>
      <c r="B3980" s="538" t="s">
        <v>6608</v>
      </c>
      <c r="C3980" s="538" t="s">
        <v>740</v>
      </c>
      <c r="D3980" s="538" t="s">
        <v>393</v>
      </c>
      <c r="E3980" s="538" t="s">
        <v>416</v>
      </c>
      <c r="F3980" s="538">
        <v>3280237</v>
      </c>
      <c r="G3980" s="538">
        <v>99</v>
      </c>
    </row>
    <row r="3981" spans="1:7" x14ac:dyDescent="0.2">
      <c r="A3981" s="538">
        <v>4</v>
      </c>
      <c r="B3981" s="538" t="s">
        <v>6593</v>
      </c>
      <c r="C3981" s="538" t="s">
        <v>740</v>
      </c>
      <c r="D3981" s="538" t="s">
        <v>393</v>
      </c>
      <c r="E3981" s="538" t="s">
        <v>416</v>
      </c>
      <c r="F3981" s="538">
        <v>1343680</v>
      </c>
      <c r="G3981" s="538">
        <v>15</v>
      </c>
    </row>
    <row r="3982" spans="1:7" x14ac:dyDescent="0.2">
      <c r="A3982" s="538">
        <v>11</v>
      </c>
      <c r="B3982" s="538" t="s">
        <v>6659</v>
      </c>
      <c r="C3982" s="538" t="s">
        <v>393</v>
      </c>
      <c r="D3982" s="538" t="s">
        <v>393</v>
      </c>
      <c r="E3982" s="538" t="s">
        <v>390</v>
      </c>
      <c r="F3982" s="538">
        <v>4812016</v>
      </c>
      <c r="G3982" s="538">
        <v>87</v>
      </c>
    </row>
    <row r="3983" spans="1:7" x14ac:dyDescent="0.2">
      <c r="A3983" s="538">
        <v>6</v>
      </c>
      <c r="B3983" s="538" t="s">
        <v>1668</v>
      </c>
      <c r="C3983" s="538" t="s">
        <v>740</v>
      </c>
      <c r="D3983" s="538" t="s">
        <v>740</v>
      </c>
      <c r="E3983" s="538" t="s">
        <v>449</v>
      </c>
      <c r="F3983" s="538">
        <v>56640</v>
      </c>
      <c r="G3983" s="538">
        <v>5</v>
      </c>
    </row>
    <row r="3984" spans="1:7" x14ac:dyDescent="0.2">
      <c r="A3984" s="538">
        <v>6</v>
      </c>
      <c r="B3984" s="538" t="s">
        <v>6607</v>
      </c>
      <c r="C3984" s="538" t="s">
        <v>393</v>
      </c>
      <c r="D3984" s="538" t="s">
        <v>393</v>
      </c>
      <c r="E3984" s="538" t="s">
        <v>409</v>
      </c>
      <c r="F3984" s="538">
        <v>2138764</v>
      </c>
      <c r="G3984" s="538">
        <v>63</v>
      </c>
    </row>
    <row r="3985" spans="1:7" x14ac:dyDescent="0.2">
      <c r="A3985" s="538">
        <v>4</v>
      </c>
      <c r="B3985" s="538" t="s">
        <v>6572</v>
      </c>
      <c r="C3985" s="538" t="s">
        <v>393</v>
      </c>
      <c r="D3985" s="538" t="s">
        <v>393</v>
      </c>
      <c r="E3985" s="538" t="s">
        <v>409</v>
      </c>
      <c r="F3985" s="538">
        <v>2843880</v>
      </c>
      <c r="G3985" s="538">
        <v>70</v>
      </c>
    </row>
    <row r="3986" spans="1:7" x14ac:dyDescent="0.2">
      <c r="A3986" s="538">
        <v>3</v>
      </c>
      <c r="B3986" s="538" t="s">
        <v>6586</v>
      </c>
      <c r="C3986" s="538" t="s">
        <v>740</v>
      </c>
      <c r="D3986" s="538" t="s">
        <v>393</v>
      </c>
      <c r="E3986" s="538" t="s">
        <v>438</v>
      </c>
      <c r="F3986" s="538">
        <v>21982652</v>
      </c>
      <c r="G3986" s="538">
        <v>264</v>
      </c>
    </row>
    <row r="3987" spans="1:7" x14ac:dyDescent="0.2">
      <c r="A3987" s="538">
        <v>3</v>
      </c>
      <c r="B3987" s="538" t="s">
        <v>6586</v>
      </c>
      <c r="C3987" s="538" t="s">
        <v>740</v>
      </c>
      <c r="D3987" s="538" t="s">
        <v>393</v>
      </c>
      <c r="E3987" s="538" t="s">
        <v>206</v>
      </c>
      <c r="F3987" s="538">
        <v>22656</v>
      </c>
      <c r="G3987" s="538">
        <v>2</v>
      </c>
    </row>
    <row r="3988" spans="1:7" x14ac:dyDescent="0.2">
      <c r="A3988" s="538">
        <v>6</v>
      </c>
      <c r="B3988" s="538" t="s">
        <v>6565</v>
      </c>
      <c r="C3988" s="538" t="s">
        <v>740</v>
      </c>
      <c r="D3988" s="538" t="s">
        <v>393</v>
      </c>
      <c r="E3988" s="538" t="s">
        <v>402</v>
      </c>
      <c r="F3988" s="538">
        <v>1889475</v>
      </c>
      <c r="G3988" s="538">
        <v>115</v>
      </c>
    </row>
    <row r="3989" spans="1:7" x14ac:dyDescent="0.2">
      <c r="A3989" s="538">
        <v>9</v>
      </c>
      <c r="B3989" s="538" t="s">
        <v>6615</v>
      </c>
      <c r="C3989" s="538" t="s">
        <v>740</v>
      </c>
      <c r="D3989" s="538" t="s">
        <v>393</v>
      </c>
      <c r="E3989" s="538" t="s">
        <v>202</v>
      </c>
      <c r="F3989" s="538">
        <v>3380971</v>
      </c>
      <c r="G3989" s="538">
        <v>22</v>
      </c>
    </row>
    <row r="3990" spans="1:7" x14ac:dyDescent="0.2">
      <c r="A3990" s="538">
        <v>4</v>
      </c>
      <c r="B3990" s="538" t="s">
        <v>6559</v>
      </c>
      <c r="C3990" s="538" t="s">
        <v>740</v>
      </c>
      <c r="D3990" s="538" t="s">
        <v>393</v>
      </c>
      <c r="E3990" s="538" t="s">
        <v>438</v>
      </c>
      <c r="F3990" s="538">
        <v>68238523</v>
      </c>
      <c r="G3990" s="538">
        <v>971</v>
      </c>
    </row>
    <row r="3991" spans="1:7" x14ac:dyDescent="0.2">
      <c r="A3991" s="538">
        <v>4</v>
      </c>
      <c r="B3991" s="538" t="s">
        <v>6559</v>
      </c>
      <c r="C3991" s="538" t="s">
        <v>740</v>
      </c>
      <c r="D3991" s="538" t="s">
        <v>393</v>
      </c>
      <c r="E3991" s="538" t="s">
        <v>206</v>
      </c>
      <c r="F3991" s="538">
        <v>712727</v>
      </c>
      <c r="G3991" s="538">
        <v>9</v>
      </c>
    </row>
    <row r="3992" spans="1:7" x14ac:dyDescent="0.2">
      <c r="A3992" s="538">
        <v>5</v>
      </c>
      <c r="B3992" s="538" t="s">
        <v>6651</v>
      </c>
      <c r="C3992" s="538" t="s">
        <v>393</v>
      </c>
      <c r="D3992" s="538" t="s">
        <v>393</v>
      </c>
      <c r="E3992" s="538" t="s">
        <v>860</v>
      </c>
      <c r="F3992" s="538">
        <v>993095</v>
      </c>
      <c r="G3992" s="538">
        <v>20</v>
      </c>
    </row>
    <row r="3993" spans="1:7" x14ac:dyDescent="0.2">
      <c r="A3993" s="538">
        <v>11</v>
      </c>
      <c r="B3993" s="538" t="s">
        <v>6612</v>
      </c>
      <c r="C3993" s="538" t="s">
        <v>393</v>
      </c>
      <c r="D3993" s="538" t="s">
        <v>740</v>
      </c>
      <c r="E3993" s="538" t="s">
        <v>449</v>
      </c>
      <c r="F3993" s="538">
        <v>237711</v>
      </c>
      <c r="G3993" s="538">
        <v>12</v>
      </c>
    </row>
    <row r="3994" spans="1:7" x14ac:dyDescent="0.2">
      <c r="A3994" s="538">
        <v>7</v>
      </c>
      <c r="B3994" s="538" t="s">
        <v>6564</v>
      </c>
      <c r="C3994" s="538" t="s">
        <v>740</v>
      </c>
      <c r="D3994" s="538" t="s">
        <v>393</v>
      </c>
      <c r="E3994" s="538" t="s">
        <v>416</v>
      </c>
      <c r="F3994" s="538">
        <v>9046689</v>
      </c>
      <c r="G3994" s="538">
        <v>288</v>
      </c>
    </row>
    <row r="3995" spans="1:7" x14ac:dyDescent="0.2">
      <c r="A3995" s="538">
        <v>2</v>
      </c>
      <c r="B3995" s="538" t="s">
        <v>6576</v>
      </c>
      <c r="C3995" s="538" t="s">
        <v>393</v>
      </c>
      <c r="D3995" s="538" t="s">
        <v>393</v>
      </c>
      <c r="E3995" s="538" t="s">
        <v>860</v>
      </c>
      <c r="F3995" s="538">
        <v>846185</v>
      </c>
      <c r="G3995" s="538">
        <v>25</v>
      </c>
    </row>
    <row r="3996" spans="1:7" x14ac:dyDescent="0.2">
      <c r="A3996" s="538">
        <v>6</v>
      </c>
      <c r="B3996" s="538" t="s">
        <v>6429</v>
      </c>
      <c r="C3996" s="538" t="s">
        <v>393</v>
      </c>
      <c r="D3996" s="538" t="s">
        <v>393</v>
      </c>
      <c r="E3996" s="538" t="s">
        <v>313</v>
      </c>
      <c r="F3996" s="538">
        <v>124431</v>
      </c>
      <c r="G3996" s="538">
        <v>2</v>
      </c>
    </row>
    <row r="3997" spans="1:7" x14ac:dyDescent="0.2">
      <c r="A3997" s="538">
        <v>6</v>
      </c>
      <c r="B3997" s="538" t="s">
        <v>6565</v>
      </c>
      <c r="C3997" s="538" t="s">
        <v>740</v>
      </c>
      <c r="D3997" s="538" t="s">
        <v>740</v>
      </c>
      <c r="E3997" s="538" t="s">
        <v>449</v>
      </c>
      <c r="F3997" s="538">
        <v>33984</v>
      </c>
      <c r="G3997" s="538">
        <v>3</v>
      </c>
    </row>
    <row r="3998" spans="1:7" x14ac:dyDescent="0.2">
      <c r="A3998" s="538">
        <v>1</v>
      </c>
      <c r="B3998" s="538" t="s">
        <v>6581</v>
      </c>
      <c r="C3998" s="538" t="s">
        <v>740</v>
      </c>
      <c r="D3998" s="538" t="s">
        <v>740</v>
      </c>
      <c r="E3998" s="538" t="s">
        <v>209</v>
      </c>
      <c r="F3998" s="538">
        <v>74163</v>
      </c>
      <c r="G3998" s="538">
        <v>1</v>
      </c>
    </row>
    <row r="3999" spans="1:7" x14ac:dyDescent="0.2">
      <c r="A3999" s="538">
        <v>3</v>
      </c>
      <c r="B3999" s="538" t="s">
        <v>6591</v>
      </c>
      <c r="C3999" s="538" t="s">
        <v>740</v>
      </c>
      <c r="D3999" s="538" t="s">
        <v>740</v>
      </c>
      <c r="E3999" s="538" t="s">
        <v>416</v>
      </c>
      <c r="F3999" s="538">
        <v>7852418</v>
      </c>
      <c r="G3999" s="538">
        <v>181</v>
      </c>
    </row>
    <row r="4000" spans="1:7" x14ac:dyDescent="0.2">
      <c r="A4000" s="538">
        <v>4</v>
      </c>
      <c r="B4000" s="538" t="s">
        <v>6572</v>
      </c>
      <c r="C4000" s="538" t="s">
        <v>740</v>
      </c>
      <c r="D4000" s="538" t="s">
        <v>393</v>
      </c>
      <c r="E4000" s="538" t="s">
        <v>313</v>
      </c>
      <c r="F4000" s="538">
        <v>74163</v>
      </c>
      <c r="G4000" s="538">
        <v>1</v>
      </c>
    </row>
    <row r="4001" spans="1:7" x14ac:dyDescent="0.2">
      <c r="A4001" s="538">
        <v>8</v>
      </c>
      <c r="B4001" s="538" t="s">
        <v>6570</v>
      </c>
      <c r="C4001" s="538" t="s">
        <v>740</v>
      </c>
      <c r="D4001" s="538" t="s">
        <v>740</v>
      </c>
      <c r="E4001" s="538" t="s">
        <v>207</v>
      </c>
      <c r="F4001" s="538">
        <v>1872608</v>
      </c>
      <c r="G4001" s="538">
        <v>81</v>
      </c>
    </row>
    <row r="4002" spans="1:7" x14ac:dyDescent="0.2">
      <c r="A4002" s="538">
        <v>1</v>
      </c>
      <c r="B4002" s="538" t="s">
        <v>6663</v>
      </c>
      <c r="C4002" s="538" t="s">
        <v>393</v>
      </c>
      <c r="D4002" s="538" t="s">
        <v>393</v>
      </c>
      <c r="E4002" s="538" t="s">
        <v>416</v>
      </c>
      <c r="F4002" s="538">
        <v>24404543</v>
      </c>
      <c r="G4002" s="538">
        <v>406</v>
      </c>
    </row>
    <row r="4003" spans="1:7" x14ac:dyDescent="0.2">
      <c r="A4003" s="538">
        <v>7</v>
      </c>
      <c r="B4003" s="538" t="s">
        <v>6579</v>
      </c>
      <c r="C4003" s="538" t="s">
        <v>740</v>
      </c>
      <c r="D4003" s="538" t="s">
        <v>393</v>
      </c>
      <c r="E4003" s="538" t="s">
        <v>211</v>
      </c>
      <c r="F4003" s="538">
        <v>5547680</v>
      </c>
      <c r="G4003" s="538">
        <v>120</v>
      </c>
    </row>
    <row r="4004" spans="1:7" x14ac:dyDescent="0.2">
      <c r="A4004" s="538">
        <v>2</v>
      </c>
      <c r="B4004" s="538" t="s">
        <v>6573</v>
      </c>
      <c r="C4004" s="538" t="s">
        <v>393</v>
      </c>
      <c r="D4004" s="538" t="s">
        <v>740</v>
      </c>
      <c r="E4004" s="538" t="s">
        <v>390</v>
      </c>
      <c r="F4004" s="538">
        <v>10482253</v>
      </c>
      <c r="G4004" s="538">
        <v>166</v>
      </c>
    </row>
    <row r="4005" spans="1:7" x14ac:dyDescent="0.2">
      <c r="A4005" s="538">
        <v>3</v>
      </c>
      <c r="B4005" s="538" t="s">
        <v>6586</v>
      </c>
      <c r="C4005" s="538" t="s">
        <v>393</v>
      </c>
      <c r="D4005" s="538" t="s">
        <v>393</v>
      </c>
      <c r="E4005" s="538" t="s">
        <v>402</v>
      </c>
      <c r="F4005" s="538">
        <v>8494324</v>
      </c>
      <c r="G4005" s="538">
        <v>248</v>
      </c>
    </row>
    <row r="4006" spans="1:7" x14ac:dyDescent="0.2">
      <c r="A4006" s="538">
        <v>4</v>
      </c>
      <c r="B4006" s="538" t="s">
        <v>6572</v>
      </c>
      <c r="C4006" s="538" t="s">
        <v>393</v>
      </c>
      <c r="D4006" s="538" t="s">
        <v>740</v>
      </c>
      <c r="E4006" s="538" t="s">
        <v>207</v>
      </c>
      <c r="F4006" s="538">
        <v>5682710</v>
      </c>
      <c r="G4006" s="538">
        <v>290</v>
      </c>
    </row>
    <row r="4007" spans="1:7" x14ac:dyDescent="0.2">
      <c r="A4007" s="538">
        <v>6</v>
      </c>
      <c r="B4007" s="538" t="s">
        <v>1668</v>
      </c>
      <c r="C4007" s="538" t="s">
        <v>740</v>
      </c>
      <c r="D4007" s="538" t="s">
        <v>393</v>
      </c>
      <c r="E4007" s="538" t="s">
        <v>313</v>
      </c>
      <c r="F4007" s="538">
        <v>2530007</v>
      </c>
      <c r="G4007" s="538">
        <v>14</v>
      </c>
    </row>
    <row r="4008" spans="1:7" x14ac:dyDescent="0.2">
      <c r="A4008" s="538">
        <v>5</v>
      </c>
      <c r="B4008" s="538" t="s">
        <v>6598</v>
      </c>
      <c r="C4008" s="538" t="s">
        <v>740</v>
      </c>
      <c r="D4008" s="538" t="s">
        <v>393</v>
      </c>
      <c r="E4008" s="538" t="s">
        <v>212</v>
      </c>
      <c r="F4008" s="538">
        <v>22656</v>
      </c>
      <c r="G4008" s="538">
        <v>2</v>
      </c>
    </row>
    <row r="4009" spans="1:7" x14ac:dyDescent="0.2">
      <c r="A4009" s="538">
        <v>2</v>
      </c>
      <c r="B4009" s="538" t="s">
        <v>6585</v>
      </c>
      <c r="C4009" s="538" t="s">
        <v>740</v>
      </c>
      <c r="D4009" s="538" t="s">
        <v>393</v>
      </c>
      <c r="E4009" s="538" t="s">
        <v>211</v>
      </c>
      <c r="F4009" s="538">
        <v>6132811</v>
      </c>
      <c r="G4009" s="538">
        <v>77</v>
      </c>
    </row>
    <row r="4010" spans="1:7" x14ac:dyDescent="0.2">
      <c r="A4010" s="538">
        <v>5</v>
      </c>
      <c r="B4010" s="538" t="s">
        <v>6568</v>
      </c>
      <c r="C4010" s="538" t="s">
        <v>740</v>
      </c>
      <c r="D4010" s="538" t="s">
        <v>393</v>
      </c>
      <c r="E4010" s="538" t="s">
        <v>401</v>
      </c>
      <c r="F4010" s="538">
        <v>2549175</v>
      </c>
      <c r="G4010" s="538">
        <v>35</v>
      </c>
    </row>
    <row r="4011" spans="1:7" x14ac:dyDescent="0.2">
      <c r="A4011" s="538">
        <v>4</v>
      </c>
      <c r="B4011" s="538" t="s">
        <v>6590</v>
      </c>
      <c r="C4011" s="538" t="s">
        <v>740</v>
      </c>
      <c r="D4011" s="538" t="s">
        <v>393</v>
      </c>
      <c r="E4011" s="538" t="s">
        <v>438</v>
      </c>
      <c r="F4011" s="538">
        <v>701399</v>
      </c>
      <c r="G4011" s="538">
        <v>8</v>
      </c>
    </row>
    <row r="4012" spans="1:7" x14ac:dyDescent="0.2">
      <c r="A4012" s="538">
        <v>10</v>
      </c>
      <c r="B4012" s="538" t="s">
        <v>6652</v>
      </c>
      <c r="C4012" s="538" t="s">
        <v>393</v>
      </c>
      <c r="D4012" s="538" t="s">
        <v>740</v>
      </c>
      <c r="E4012" s="538" t="s">
        <v>402</v>
      </c>
      <c r="F4012" s="538">
        <v>701628</v>
      </c>
      <c r="G4012" s="538">
        <v>26</v>
      </c>
    </row>
    <row r="4013" spans="1:7" x14ac:dyDescent="0.2">
      <c r="A4013" s="538">
        <v>9</v>
      </c>
      <c r="B4013" s="538" t="s">
        <v>6606</v>
      </c>
      <c r="C4013" s="538" t="s">
        <v>740</v>
      </c>
      <c r="D4013" s="538" t="s">
        <v>740</v>
      </c>
      <c r="E4013" s="538" t="s">
        <v>209</v>
      </c>
      <c r="F4013" s="538">
        <v>1067029</v>
      </c>
      <c r="G4013" s="538">
        <v>3</v>
      </c>
    </row>
    <row r="4014" spans="1:7" x14ac:dyDescent="0.2">
      <c r="A4014" s="538">
        <v>6</v>
      </c>
      <c r="B4014" s="538" t="s">
        <v>6607</v>
      </c>
      <c r="C4014" s="538" t="s">
        <v>740</v>
      </c>
      <c r="D4014" s="538" t="s">
        <v>393</v>
      </c>
      <c r="E4014" s="538" t="s">
        <v>211</v>
      </c>
      <c r="F4014" s="538">
        <v>22656</v>
      </c>
      <c r="G4014" s="538">
        <v>2</v>
      </c>
    </row>
    <row r="4015" spans="1:7" x14ac:dyDescent="0.2">
      <c r="A4015" s="538">
        <v>7</v>
      </c>
      <c r="B4015" s="538" t="s">
        <v>6580</v>
      </c>
      <c r="C4015" s="538" t="s">
        <v>393</v>
      </c>
      <c r="D4015" s="538" t="s">
        <v>393</v>
      </c>
      <c r="E4015" s="538" t="s">
        <v>419</v>
      </c>
      <c r="F4015" s="538">
        <v>22656</v>
      </c>
      <c r="G4015" s="538">
        <v>2</v>
      </c>
    </row>
    <row r="4016" spans="1:7" x14ac:dyDescent="0.2">
      <c r="A4016" s="538">
        <v>5</v>
      </c>
      <c r="B4016" s="538" t="s">
        <v>6599</v>
      </c>
      <c r="C4016" s="538" t="s">
        <v>740</v>
      </c>
      <c r="D4016" s="538" t="s">
        <v>393</v>
      </c>
      <c r="E4016" s="538" t="s">
        <v>402</v>
      </c>
      <c r="F4016" s="538">
        <v>11001779</v>
      </c>
      <c r="G4016" s="538">
        <v>468</v>
      </c>
    </row>
    <row r="4017" spans="1:7" x14ac:dyDescent="0.2">
      <c r="A4017" s="538">
        <v>8</v>
      </c>
      <c r="B4017" s="538" t="s">
        <v>6658</v>
      </c>
      <c r="C4017" s="538" t="s">
        <v>740</v>
      </c>
      <c r="D4017" s="538" t="s">
        <v>393</v>
      </c>
      <c r="E4017" s="538" t="s">
        <v>210</v>
      </c>
      <c r="F4017" s="538">
        <v>1399487</v>
      </c>
      <c r="G4017" s="538">
        <v>44</v>
      </c>
    </row>
    <row r="4018" spans="1:7" x14ac:dyDescent="0.2">
      <c r="A4018" s="538">
        <v>5</v>
      </c>
      <c r="B4018" s="538" t="s">
        <v>6566</v>
      </c>
      <c r="C4018" s="538" t="s">
        <v>393</v>
      </c>
      <c r="D4018" s="538" t="s">
        <v>393</v>
      </c>
      <c r="E4018" s="538" t="s">
        <v>438</v>
      </c>
      <c r="F4018" s="538">
        <v>16077807</v>
      </c>
      <c r="G4018" s="538">
        <v>94</v>
      </c>
    </row>
    <row r="4019" spans="1:7" x14ac:dyDescent="0.2">
      <c r="A4019" s="538">
        <v>5</v>
      </c>
      <c r="B4019" s="538" t="s">
        <v>6566</v>
      </c>
      <c r="C4019" s="538" t="s">
        <v>393</v>
      </c>
      <c r="D4019" s="538" t="s">
        <v>393</v>
      </c>
      <c r="E4019" s="538" t="s">
        <v>206</v>
      </c>
      <c r="F4019" s="538">
        <v>11328</v>
      </c>
      <c r="G4019" s="538">
        <v>1</v>
      </c>
    </row>
    <row r="4020" spans="1:7" x14ac:dyDescent="0.2">
      <c r="A4020" s="538">
        <v>11</v>
      </c>
      <c r="B4020" s="538" t="s">
        <v>6584</v>
      </c>
      <c r="C4020" s="538" t="s">
        <v>740</v>
      </c>
      <c r="D4020" s="538" t="s">
        <v>393</v>
      </c>
      <c r="E4020" s="538" t="s">
        <v>401</v>
      </c>
      <c r="F4020" s="538">
        <v>278067</v>
      </c>
      <c r="G4020" s="538">
        <v>19</v>
      </c>
    </row>
    <row r="4021" spans="1:7" x14ac:dyDescent="0.2">
      <c r="A4021" s="538">
        <v>2</v>
      </c>
      <c r="B4021" s="538" t="s">
        <v>6576</v>
      </c>
      <c r="C4021" s="538" t="s">
        <v>740</v>
      </c>
      <c r="D4021" s="538" t="s">
        <v>740</v>
      </c>
      <c r="E4021" s="538" t="s">
        <v>202</v>
      </c>
      <c r="F4021" s="538">
        <v>174699</v>
      </c>
      <c r="G4021" s="538">
        <v>3</v>
      </c>
    </row>
    <row r="4022" spans="1:7" x14ac:dyDescent="0.2">
      <c r="A4022" s="538">
        <v>5</v>
      </c>
      <c r="B4022" s="538" t="s">
        <v>6598</v>
      </c>
      <c r="C4022" s="538" t="s">
        <v>740</v>
      </c>
      <c r="D4022" s="538" t="s">
        <v>393</v>
      </c>
      <c r="E4022" s="538" t="s">
        <v>401</v>
      </c>
      <c r="F4022" s="538">
        <v>11328</v>
      </c>
      <c r="G4022" s="538">
        <v>1</v>
      </c>
    </row>
    <row r="4023" spans="1:7" x14ac:dyDescent="0.2">
      <c r="A4023" s="538">
        <v>1</v>
      </c>
      <c r="B4023" s="538" t="s">
        <v>6581</v>
      </c>
      <c r="C4023" s="538" t="s">
        <v>740</v>
      </c>
      <c r="D4023" s="538" t="s">
        <v>393</v>
      </c>
      <c r="E4023" s="538" t="s">
        <v>401</v>
      </c>
      <c r="F4023" s="538">
        <v>1746532</v>
      </c>
      <c r="G4023" s="538">
        <v>54</v>
      </c>
    </row>
    <row r="4024" spans="1:7" x14ac:dyDescent="0.2">
      <c r="A4024" s="538">
        <v>2</v>
      </c>
      <c r="B4024" s="538" t="s">
        <v>6662</v>
      </c>
      <c r="C4024" s="538" t="s">
        <v>393</v>
      </c>
      <c r="D4024" s="538" t="s">
        <v>740</v>
      </c>
      <c r="E4024" s="538" t="s">
        <v>401</v>
      </c>
      <c r="F4024" s="538">
        <v>323202</v>
      </c>
      <c r="G4024" s="538">
        <v>14</v>
      </c>
    </row>
    <row r="4025" spans="1:7" x14ac:dyDescent="0.2">
      <c r="A4025" s="538">
        <v>3</v>
      </c>
      <c r="B4025" s="538" t="s">
        <v>1390</v>
      </c>
      <c r="C4025" s="538" t="s">
        <v>740</v>
      </c>
      <c r="D4025" s="538" t="s">
        <v>740</v>
      </c>
      <c r="E4025" s="538" t="s">
        <v>416</v>
      </c>
      <c r="F4025" s="538">
        <v>541745</v>
      </c>
      <c r="G4025" s="538">
        <v>5</v>
      </c>
    </row>
    <row r="4026" spans="1:7" x14ac:dyDescent="0.2">
      <c r="A4026" s="538">
        <v>3</v>
      </c>
      <c r="B4026" s="538" t="s">
        <v>6578</v>
      </c>
      <c r="C4026" s="538" t="s">
        <v>393</v>
      </c>
      <c r="D4026" s="538" t="s">
        <v>393</v>
      </c>
      <c r="E4026" s="538" t="s">
        <v>207</v>
      </c>
      <c r="F4026" s="538">
        <v>19404781</v>
      </c>
      <c r="G4026" s="538">
        <v>1297</v>
      </c>
    </row>
    <row r="4027" spans="1:7" x14ac:dyDescent="0.2">
      <c r="A4027" s="538">
        <v>7</v>
      </c>
      <c r="B4027" s="538" t="s">
        <v>6604</v>
      </c>
      <c r="C4027" s="538" t="s">
        <v>740</v>
      </c>
      <c r="D4027" s="538" t="s">
        <v>740</v>
      </c>
      <c r="E4027" s="538" t="s">
        <v>402</v>
      </c>
      <c r="F4027" s="538">
        <v>355947</v>
      </c>
      <c r="G4027" s="538">
        <v>19</v>
      </c>
    </row>
    <row r="4028" spans="1:7" x14ac:dyDescent="0.2">
      <c r="A4028" s="538">
        <v>4</v>
      </c>
      <c r="B4028" s="538" t="s">
        <v>6572</v>
      </c>
      <c r="C4028" s="538" t="s">
        <v>740</v>
      </c>
      <c r="D4028" s="538" t="s">
        <v>393</v>
      </c>
      <c r="E4028" s="538" t="s">
        <v>212</v>
      </c>
      <c r="F4028" s="538">
        <v>13515335</v>
      </c>
      <c r="G4028" s="538">
        <v>905</v>
      </c>
    </row>
    <row r="4029" spans="1:7" x14ac:dyDescent="0.2">
      <c r="A4029" s="538">
        <v>12</v>
      </c>
      <c r="B4029" s="538" t="s">
        <v>6616</v>
      </c>
      <c r="C4029" s="538" t="s">
        <v>740</v>
      </c>
      <c r="D4029" s="538" t="s">
        <v>740</v>
      </c>
      <c r="E4029" s="538" t="s">
        <v>449</v>
      </c>
      <c r="F4029" s="538">
        <v>11328</v>
      </c>
      <c r="G4029" s="538">
        <v>1</v>
      </c>
    </row>
    <row r="4030" spans="1:7" x14ac:dyDescent="0.2">
      <c r="A4030" s="538">
        <v>1</v>
      </c>
      <c r="B4030" s="538" t="s">
        <v>6646</v>
      </c>
      <c r="C4030" s="538" t="s">
        <v>740</v>
      </c>
      <c r="D4030" s="538" t="s">
        <v>393</v>
      </c>
      <c r="E4030" s="538" t="s">
        <v>209</v>
      </c>
      <c r="F4030" s="538">
        <v>3426054</v>
      </c>
      <c r="G4030" s="538">
        <v>13</v>
      </c>
    </row>
    <row r="4031" spans="1:7" x14ac:dyDescent="0.2">
      <c r="A4031" s="538">
        <v>11</v>
      </c>
      <c r="B4031" s="538" t="s">
        <v>6584</v>
      </c>
      <c r="C4031" s="538" t="s">
        <v>740</v>
      </c>
      <c r="D4031" s="538" t="s">
        <v>740</v>
      </c>
      <c r="E4031" s="538" t="s">
        <v>449</v>
      </c>
      <c r="F4031" s="538">
        <v>79296</v>
      </c>
      <c r="G4031" s="538">
        <v>7</v>
      </c>
    </row>
    <row r="4032" spans="1:7" x14ac:dyDescent="0.2">
      <c r="A4032" s="538">
        <v>11</v>
      </c>
      <c r="B4032" s="538" t="s">
        <v>6612</v>
      </c>
      <c r="C4032" s="538" t="s">
        <v>393</v>
      </c>
      <c r="D4032" s="538" t="s">
        <v>740</v>
      </c>
      <c r="E4032" s="538" t="s">
        <v>207</v>
      </c>
      <c r="F4032" s="538">
        <v>1730883</v>
      </c>
      <c r="G4032" s="538">
        <v>101</v>
      </c>
    </row>
    <row r="4033" spans="1:7" x14ac:dyDescent="0.2">
      <c r="A4033" s="538">
        <v>5</v>
      </c>
      <c r="B4033" s="538" t="s">
        <v>6568</v>
      </c>
      <c r="C4033" s="538" t="s">
        <v>740</v>
      </c>
      <c r="D4033" s="538" t="s">
        <v>393</v>
      </c>
      <c r="E4033" s="538" t="s">
        <v>419</v>
      </c>
      <c r="F4033" s="538">
        <v>74163</v>
      </c>
      <c r="G4033" s="538">
        <v>1</v>
      </c>
    </row>
    <row r="4034" spans="1:7" x14ac:dyDescent="0.2">
      <c r="A4034" s="538">
        <v>8</v>
      </c>
      <c r="B4034" s="538" t="s">
        <v>6560</v>
      </c>
      <c r="C4034" s="538" t="s">
        <v>740</v>
      </c>
      <c r="D4034" s="538" t="s">
        <v>393</v>
      </c>
      <c r="E4034" s="538" t="s">
        <v>209</v>
      </c>
      <c r="F4034" s="538">
        <v>893621</v>
      </c>
      <c r="G4034" s="538">
        <v>7</v>
      </c>
    </row>
    <row r="4035" spans="1:7" x14ac:dyDescent="0.2">
      <c r="A4035" s="538">
        <v>3</v>
      </c>
      <c r="B4035" s="538" t="s">
        <v>6603</v>
      </c>
      <c r="C4035" s="538" t="s">
        <v>740</v>
      </c>
      <c r="D4035" s="538" t="s">
        <v>393</v>
      </c>
      <c r="E4035" s="538" t="s">
        <v>209</v>
      </c>
      <c r="F4035" s="538">
        <v>248862</v>
      </c>
      <c r="G4035" s="538">
        <v>4</v>
      </c>
    </row>
    <row r="4036" spans="1:7" x14ac:dyDescent="0.2">
      <c r="A4036" s="538">
        <v>9</v>
      </c>
      <c r="B4036" s="538" t="s">
        <v>6657</v>
      </c>
      <c r="C4036" s="538" t="s">
        <v>740</v>
      </c>
      <c r="D4036" s="538" t="s">
        <v>740</v>
      </c>
      <c r="E4036" s="538" t="s">
        <v>449</v>
      </c>
      <c r="F4036" s="538">
        <v>11328</v>
      </c>
      <c r="G4036" s="538">
        <v>1</v>
      </c>
    </row>
    <row r="4037" spans="1:7" x14ac:dyDescent="0.2">
      <c r="A4037" s="538">
        <v>8</v>
      </c>
      <c r="B4037" s="538" t="s">
        <v>6577</v>
      </c>
      <c r="C4037" s="538" t="s">
        <v>740</v>
      </c>
      <c r="D4037" s="538" t="s">
        <v>740</v>
      </c>
      <c r="E4037" s="538" t="s">
        <v>209</v>
      </c>
      <c r="F4037" s="538">
        <v>74163</v>
      </c>
      <c r="G4037" s="538">
        <v>1</v>
      </c>
    </row>
    <row r="4038" spans="1:7" x14ac:dyDescent="0.2">
      <c r="A4038" s="538">
        <v>11</v>
      </c>
      <c r="B4038" s="538" t="s">
        <v>6584</v>
      </c>
      <c r="C4038" s="538" t="s">
        <v>740</v>
      </c>
      <c r="D4038" s="538" t="s">
        <v>393</v>
      </c>
      <c r="E4038" s="538" t="s">
        <v>230</v>
      </c>
      <c r="F4038" s="538">
        <v>192399</v>
      </c>
      <c r="G4038" s="538">
        <v>8</v>
      </c>
    </row>
    <row r="4039" spans="1:7" x14ac:dyDescent="0.2">
      <c r="A4039" s="538">
        <v>1</v>
      </c>
      <c r="B4039" s="538" t="s">
        <v>6602</v>
      </c>
      <c r="C4039" s="538" t="s">
        <v>393</v>
      </c>
      <c r="D4039" s="538" t="s">
        <v>393</v>
      </c>
      <c r="E4039" s="538" t="s">
        <v>210</v>
      </c>
      <c r="F4039" s="538">
        <v>651537</v>
      </c>
      <c r="G4039" s="538">
        <v>34</v>
      </c>
    </row>
    <row r="4040" spans="1:7" x14ac:dyDescent="0.2">
      <c r="A4040" s="538">
        <v>8</v>
      </c>
      <c r="B4040" s="538" t="s">
        <v>6658</v>
      </c>
      <c r="C4040" s="538" t="s">
        <v>740</v>
      </c>
      <c r="D4040" s="538" t="s">
        <v>393</v>
      </c>
      <c r="E4040" s="538" t="s">
        <v>416</v>
      </c>
      <c r="F4040" s="538">
        <v>5800280</v>
      </c>
      <c r="G4040" s="538">
        <v>105</v>
      </c>
    </row>
    <row r="4041" spans="1:7" x14ac:dyDescent="0.2">
      <c r="A4041" s="538">
        <v>8</v>
      </c>
      <c r="B4041" s="538" t="s">
        <v>6577</v>
      </c>
      <c r="C4041" s="538" t="s">
        <v>393</v>
      </c>
      <c r="D4041" s="538" t="s">
        <v>740</v>
      </c>
      <c r="E4041" s="538" t="s">
        <v>402</v>
      </c>
      <c r="F4041" s="538">
        <v>1345731</v>
      </c>
      <c r="G4041" s="538">
        <v>67</v>
      </c>
    </row>
    <row r="4042" spans="1:7" x14ac:dyDescent="0.2">
      <c r="A4042" s="538">
        <v>8</v>
      </c>
      <c r="B4042" s="538" t="s">
        <v>6570</v>
      </c>
      <c r="C4042" s="538" t="s">
        <v>393</v>
      </c>
      <c r="D4042" s="538" t="s">
        <v>393</v>
      </c>
      <c r="E4042" s="538" t="s">
        <v>401</v>
      </c>
      <c r="F4042" s="538">
        <v>683876</v>
      </c>
      <c r="G4042" s="538">
        <v>12</v>
      </c>
    </row>
    <row r="4043" spans="1:7" x14ac:dyDescent="0.2">
      <c r="A4043" s="538">
        <v>2</v>
      </c>
      <c r="B4043" s="538" t="s">
        <v>6585</v>
      </c>
      <c r="C4043" s="538" t="s">
        <v>740</v>
      </c>
      <c r="D4043" s="538" t="s">
        <v>740</v>
      </c>
      <c r="E4043" s="538" t="s">
        <v>207</v>
      </c>
      <c r="F4043" s="538">
        <v>453120</v>
      </c>
      <c r="G4043" s="538">
        <v>40</v>
      </c>
    </row>
    <row r="4044" spans="1:7" x14ac:dyDescent="0.2">
      <c r="A4044" s="538">
        <v>10</v>
      </c>
      <c r="B4044" s="538" t="s">
        <v>6597</v>
      </c>
      <c r="C4044" s="538" t="s">
        <v>740</v>
      </c>
      <c r="D4044" s="538" t="s">
        <v>740</v>
      </c>
      <c r="E4044" s="538" t="s">
        <v>212</v>
      </c>
      <c r="F4044" s="538">
        <v>11328</v>
      </c>
      <c r="G4044" s="538">
        <v>1</v>
      </c>
    </row>
    <row r="4045" spans="1:7" x14ac:dyDescent="0.2">
      <c r="A4045" s="538">
        <v>1</v>
      </c>
      <c r="B4045" s="538" t="s">
        <v>6649</v>
      </c>
      <c r="C4045" s="538" t="s">
        <v>393</v>
      </c>
      <c r="D4045" s="538" t="s">
        <v>393</v>
      </c>
      <c r="E4045" s="538" t="s">
        <v>209</v>
      </c>
      <c r="F4045" s="538">
        <v>706355</v>
      </c>
      <c r="G4045" s="538">
        <v>5</v>
      </c>
    </row>
    <row r="4046" spans="1:7" x14ac:dyDescent="0.2">
      <c r="A4046" s="538">
        <v>1</v>
      </c>
      <c r="B4046" s="538" t="s">
        <v>6595</v>
      </c>
      <c r="C4046" s="538" t="s">
        <v>740</v>
      </c>
      <c r="D4046" s="538" t="s">
        <v>393</v>
      </c>
      <c r="E4046" s="538" t="s">
        <v>313</v>
      </c>
      <c r="F4046" s="538">
        <v>209922</v>
      </c>
      <c r="G4046" s="538">
        <v>4</v>
      </c>
    </row>
    <row r="4047" spans="1:7" x14ac:dyDescent="0.2">
      <c r="A4047" s="538">
        <v>6</v>
      </c>
      <c r="B4047" s="538" t="s">
        <v>1668</v>
      </c>
      <c r="C4047" s="538" t="s">
        <v>393</v>
      </c>
      <c r="D4047" s="538" t="s">
        <v>740</v>
      </c>
      <c r="E4047" s="538" t="s">
        <v>212</v>
      </c>
      <c r="F4047" s="538">
        <v>67968</v>
      </c>
      <c r="G4047" s="538">
        <v>6</v>
      </c>
    </row>
    <row r="4048" spans="1:7" x14ac:dyDescent="0.2">
      <c r="A4048" s="538">
        <v>10</v>
      </c>
      <c r="B4048" s="538" t="s">
        <v>6597</v>
      </c>
      <c r="C4048" s="538" t="s">
        <v>740</v>
      </c>
      <c r="D4048" s="538" t="s">
        <v>393</v>
      </c>
      <c r="E4048" s="538" t="s">
        <v>207</v>
      </c>
      <c r="F4048" s="538">
        <v>2345500</v>
      </c>
      <c r="G4048" s="538">
        <v>100</v>
      </c>
    </row>
    <row r="4049" spans="1:7" x14ac:dyDescent="0.2">
      <c r="A4049" s="538">
        <v>7</v>
      </c>
      <c r="B4049" s="538" t="s">
        <v>6661</v>
      </c>
      <c r="C4049" s="538" t="s">
        <v>393</v>
      </c>
      <c r="D4049" s="538" t="s">
        <v>740</v>
      </c>
      <c r="E4049" s="538" t="s">
        <v>211</v>
      </c>
      <c r="F4049" s="538">
        <v>4015589</v>
      </c>
      <c r="G4049" s="538">
        <v>18</v>
      </c>
    </row>
    <row r="4050" spans="1:7" x14ac:dyDescent="0.2">
      <c r="A4050" s="538">
        <v>12</v>
      </c>
      <c r="B4050" s="538" t="s">
        <v>6569</v>
      </c>
      <c r="C4050" s="538" t="s">
        <v>740</v>
      </c>
      <c r="D4050" s="538" t="s">
        <v>393</v>
      </c>
      <c r="E4050" s="538" t="s">
        <v>402</v>
      </c>
      <c r="F4050" s="538">
        <v>30853714</v>
      </c>
      <c r="G4050" s="538">
        <v>1588</v>
      </c>
    </row>
    <row r="4051" spans="1:7" x14ac:dyDescent="0.2">
      <c r="A4051" s="538">
        <v>3</v>
      </c>
      <c r="B4051" s="538" t="s">
        <v>6561</v>
      </c>
      <c r="C4051" s="538" t="s">
        <v>393</v>
      </c>
      <c r="D4051" s="538" t="s">
        <v>740</v>
      </c>
      <c r="E4051" s="538" t="s">
        <v>402</v>
      </c>
      <c r="F4051" s="538">
        <v>6473619</v>
      </c>
      <c r="G4051" s="538">
        <v>248</v>
      </c>
    </row>
    <row r="4052" spans="1:7" x14ac:dyDescent="0.2">
      <c r="A4052" s="538">
        <v>11</v>
      </c>
      <c r="B4052" s="538" t="s">
        <v>6558</v>
      </c>
      <c r="C4052" s="538" t="s">
        <v>393</v>
      </c>
      <c r="D4052" s="538" t="s">
        <v>393</v>
      </c>
      <c r="E4052" s="538" t="s">
        <v>438</v>
      </c>
      <c r="F4052" s="538">
        <v>7009638</v>
      </c>
      <c r="G4052" s="538">
        <v>46</v>
      </c>
    </row>
    <row r="4053" spans="1:7" x14ac:dyDescent="0.2">
      <c r="A4053" s="538">
        <v>11</v>
      </c>
      <c r="B4053" s="538" t="s">
        <v>6558</v>
      </c>
      <c r="C4053" s="538" t="s">
        <v>393</v>
      </c>
      <c r="D4053" s="538" t="s">
        <v>393</v>
      </c>
      <c r="E4053" s="538" t="s">
        <v>206</v>
      </c>
      <c r="F4053" s="538">
        <v>570596</v>
      </c>
      <c r="G4053" s="538">
        <v>2</v>
      </c>
    </row>
    <row r="4054" spans="1:7" x14ac:dyDescent="0.2">
      <c r="A4054" s="538">
        <v>3</v>
      </c>
      <c r="B4054" s="538" t="s">
        <v>6591</v>
      </c>
      <c r="C4054" s="538" t="s">
        <v>740</v>
      </c>
      <c r="D4054" s="538" t="s">
        <v>740</v>
      </c>
      <c r="E4054" s="538" t="s">
        <v>210</v>
      </c>
      <c r="F4054" s="538">
        <v>67968</v>
      </c>
      <c r="G4054" s="538">
        <v>6</v>
      </c>
    </row>
    <row r="4055" spans="1:7" x14ac:dyDescent="0.2">
      <c r="A4055" s="538">
        <v>7</v>
      </c>
      <c r="B4055" s="538" t="s">
        <v>6661</v>
      </c>
      <c r="C4055" s="538" t="s">
        <v>740</v>
      </c>
      <c r="D4055" s="538" t="s">
        <v>393</v>
      </c>
      <c r="E4055" s="538" t="s">
        <v>449</v>
      </c>
      <c r="F4055" s="538">
        <v>61596</v>
      </c>
      <c r="G4055" s="538">
        <v>2</v>
      </c>
    </row>
    <row r="4056" spans="1:7" x14ac:dyDescent="0.2">
      <c r="A4056" s="538">
        <v>4</v>
      </c>
      <c r="B4056" s="538" t="s">
        <v>6562</v>
      </c>
      <c r="C4056" s="538" t="s">
        <v>740</v>
      </c>
      <c r="D4056" s="538" t="s">
        <v>393</v>
      </c>
      <c r="E4056" s="538" t="s">
        <v>209</v>
      </c>
      <c r="F4056" s="538">
        <v>3794339</v>
      </c>
      <c r="G4056" s="538">
        <v>13</v>
      </c>
    </row>
    <row r="4057" spans="1:7" x14ac:dyDescent="0.2">
      <c r="A4057" s="538">
        <v>2</v>
      </c>
      <c r="B4057" s="538" t="s">
        <v>6573</v>
      </c>
      <c r="C4057" s="538" t="s">
        <v>740</v>
      </c>
      <c r="D4057" s="538" t="s">
        <v>740</v>
      </c>
      <c r="E4057" s="538" t="s">
        <v>860</v>
      </c>
      <c r="F4057" s="538">
        <v>22656</v>
      </c>
      <c r="G4057" s="538">
        <v>2</v>
      </c>
    </row>
    <row r="4058" spans="1:7" x14ac:dyDescent="0.2">
      <c r="A4058" s="538">
        <v>4</v>
      </c>
      <c r="B4058" s="538" t="s">
        <v>6593</v>
      </c>
      <c r="C4058" s="538" t="s">
        <v>740</v>
      </c>
      <c r="D4058" s="538" t="s">
        <v>393</v>
      </c>
      <c r="E4058" s="538" t="s">
        <v>210</v>
      </c>
      <c r="F4058" s="538">
        <v>632369</v>
      </c>
      <c r="G4058" s="538">
        <v>13</v>
      </c>
    </row>
    <row r="4059" spans="1:7" x14ac:dyDescent="0.2">
      <c r="A4059" s="538">
        <v>6</v>
      </c>
      <c r="B4059" s="538" t="s">
        <v>6617</v>
      </c>
      <c r="C4059" s="538" t="s">
        <v>393</v>
      </c>
      <c r="D4059" s="538" t="s">
        <v>393</v>
      </c>
      <c r="E4059" s="538" t="s">
        <v>211</v>
      </c>
      <c r="F4059" s="538">
        <v>28852147</v>
      </c>
      <c r="G4059" s="538">
        <v>399</v>
      </c>
    </row>
    <row r="4060" spans="1:7" x14ac:dyDescent="0.2">
      <c r="A4060" s="538">
        <v>5</v>
      </c>
      <c r="B4060" s="538" t="s">
        <v>6599</v>
      </c>
      <c r="C4060" s="538" t="s">
        <v>393</v>
      </c>
      <c r="D4060" s="538" t="s">
        <v>740</v>
      </c>
      <c r="E4060" s="538" t="s">
        <v>207</v>
      </c>
      <c r="F4060" s="538">
        <v>1191387</v>
      </c>
      <c r="G4060" s="538">
        <v>74</v>
      </c>
    </row>
    <row r="4061" spans="1:7" x14ac:dyDescent="0.2">
      <c r="A4061" s="538">
        <v>8</v>
      </c>
      <c r="B4061" s="538" t="s">
        <v>6570</v>
      </c>
      <c r="C4061" s="538" t="s">
        <v>393</v>
      </c>
      <c r="D4061" s="538" t="s">
        <v>393</v>
      </c>
      <c r="E4061" s="538" t="s">
        <v>313</v>
      </c>
      <c r="F4061" s="538">
        <v>1797279</v>
      </c>
      <c r="G4061" s="538">
        <v>8</v>
      </c>
    </row>
    <row r="4062" spans="1:7" x14ac:dyDescent="0.2">
      <c r="A4062" s="538">
        <v>11</v>
      </c>
      <c r="B4062" s="538" t="s">
        <v>6592</v>
      </c>
      <c r="C4062" s="538" t="s">
        <v>393</v>
      </c>
      <c r="D4062" s="538" t="s">
        <v>740</v>
      </c>
      <c r="E4062" s="538" t="s">
        <v>401</v>
      </c>
      <c r="F4062" s="538">
        <v>11328</v>
      </c>
      <c r="G4062" s="538">
        <v>1</v>
      </c>
    </row>
    <row r="4063" spans="1:7" x14ac:dyDescent="0.2">
      <c r="A4063" s="538">
        <v>4</v>
      </c>
      <c r="B4063" s="538" t="s">
        <v>6562</v>
      </c>
      <c r="C4063" s="538" t="s">
        <v>740</v>
      </c>
      <c r="D4063" s="538" t="s">
        <v>393</v>
      </c>
      <c r="E4063" s="538" t="s">
        <v>230</v>
      </c>
      <c r="F4063" s="538">
        <v>24162729</v>
      </c>
      <c r="G4063" s="538">
        <v>568</v>
      </c>
    </row>
    <row r="4064" spans="1:7" x14ac:dyDescent="0.2">
      <c r="A4064" s="538">
        <v>9</v>
      </c>
      <c r="B4064" s="538" t="s">
        <v>6614</v>
      </c>
      <c r="C4064" s="538" t="s">
        <v>393</v>
      </c>
      <c r="D4064" s="538" t="s">
        <v>393</v>
      </c>
      <c r="E4064" s="538" t="s">
        <v>209</v>
      </c>
      <c r="F4064" s="538">
        <v>3971464</v>
      </c>
      <c r="G4064" s="538">
        <v>8</v>
      </c>
    </row>
    <row r="4065" spans="1:7" x14ac:dyDescent="0.2">
      <c r="A4065" s="538">
        <v>1</v>
      </c>
      <c r="B4065" s="538" t="s">
        <v>6581</v>
      </c>
      <c r="C4065" s="538" t="s">
        <v>740</v>
      </c>
      <c r="D4065" s="538" t="s">
        <v>740</v>
      </c>
      <c r="E4065" s="538" t="s">
        <v>449</v>
      </c>
      <c r="F4065" s="538">
        <v>237888</v>
      </c>
      <c r="G4065" s="538">
        <v>21</v>
      </c>
    </row>
    <row r="4066" spans="1:7" x14ac:dyDescent="0.2">
      <c r="A4066" s="538">
        <v>8</v>
      </c>
      <c r="B4066" s="538" t="s">
        <v>6567</v>
      </c>
      <c r="C4066" s="538" t="s">
        <v>393</v>
      </c>
      <c r="D4066" s="538" t="s">
        <v>393</v>
      </c>
      <c r="E4066" s="538" t="s">
        <v>207</v>
      </c>
      <c r="F4066" s="538">
        <v>15985693</v>
      </c>
      <c r="G4066" s="538">
        <v>816</v>
      </c>
    </row>
    <row r="4067" spans="1:7" x14ac:dyDescent="0.2">
      <c r="A4067" s="538">
        <v>5</v>
      </c>
      <c r="B4067" s="538" t="s">
        <v>6589</v>
      </c>
      <c r="C4067" s="538" t="s">
        <v>740</v>
      </c>
      <c r="D4067" s="538" t="s">
        <v>393</v>
      </c>
      <c r="E4067" s="538" t="s">
        <v>860</v>
      </c>
      <c r="F4067" s="538">
        <v>1595780</v>
      </c>
      <c r="G4067" s="538">
        <v>65</v>
      </c>
    </row>
    <row r="4068" spans="1:7" x14ac:dyDescent="0.2">
      <c r="A4068" s="538">
        <v>8</v>
      </c>
      <c r="B4068" s="538" t="s">
        <v>6560</v>
      </c>
      <c r="C4068" s="538" t="s">
        <v>740</v>
      </c>
      <c r="D4068" s="538" t="s">
        <v>393</v>
      </c>
      <c r="E4068" s="538" t="s">
        <v>449</v>
      </c>
      <c r="F4068" s="538">
        <v>11328</v>
      </c>
      <c r="G4068" s="538">
        <v>1</v>
      </c>
    </row>
    <row r="4069" spans="1:7" x14ac:dyDescent="0.2">
      <c r="A4069" s="538">
        <v>8</v>
      </c>
      <c r="B4069" s="538" t="s">
        <v>6570</v>
      </c>
      <c r="C4069" s="538" t="s">
        <v>393</v>
      </c>
      <c r="D4069" s="538" t="s">
        <v>393</v>
      </c>
      <c r="E4069" s="538" t="s">
        <v>212</v>
      </c>
      <c r="F4069" s="538">
        <v>1035450</v>
      </c>
      <c r="G4069" s="538">
        <v>70</v>
      </c>
    </row>
    <row r="4070" spans="1:7" x14ac:dyDescent="0.2">
      <c r="A4070" s="538">
        <v>8</v>
      </c>
      <c r="B4070" s="538" t="s">
        <v>6567</v>
      </c>
      <c r="C4070" s="538" t="s">
        <v>393</v>
      </c>
      <c r="D4070" s="538" t="s">
        <v>393</v>
      </c>
      <c r="E4070" s="538" t="s">
        <v>449</v>
      </c>
      <c r="F4070" s="538">
        <v>402498</v>
      </c>
      <c r="G4070" s="538">
        <v>21</v>
      </c>
    </row>
    <row r="4071" spans="1:7" x14ac:dyDescent="0.2">
      <c r="A4071" s="538">
        <v>7</v>
      </c>
      <c r="B4071" s="538" t="s">
        <v>6588</v>
      </c>
      <c r="C4071" s="538" t="s">
        <v>740</v>
      </c>
      <c r="D4071" s="538" t="s">
        <v>740</v>
      </c>
      <c r="E4071" s="538" t="s">
        <v>313</v>
      </c>
      <c r="F4071" s="538">
        <v>730250</v>
      </c>
      <c r="G4071" s="538">
        <v>5</v>
      </c>
    </row>
    <row r="4072" spans="1:7" x14ac:dyDescent="0.2">
      <c r="A4072" s="538">
        <v>2</v>
      </c>
      <c r="B4072" s="538" t="s">
        <v>6055</v>
      </c>
      <c r="C4072" s="538" t="s">
        <v>740</v>
      </c>
      <c r="D4072" s="538" t="s">
        <v>740</v>
      </c>
      <c r="E4072" s="538" t="s">
        <v>211</v>
      </c>
      <c r="F4072" s="538">
        <v>3200764</v>
      </c>
      <c r="G4072" s="538">
        <v>73</v>
      </c>
    </row>
    <row r="4073" spans="1:7" x14ac:dyDescent="0.2">
      <c r="A4073" s="538">
        <v>2</v>
      </c>
      <c r="B4073" s="538" t="s">
        <v>6055</v>
      </c>
      <c r="C4073" s="538" t="s">
        <v>393</v>
      </c>
      <c r="D4073" s="538" t="s">
        <v>740</v>
      </c>
      <c r="E4073" s="538" t="s">
        <v>202</v>
      </c>
      <c r="F4073" s="538">
        <v>853442</v>
      </c>
      <c r="G4073" s="538">
        <v>9</v>
      </c>
    </row>
    <row r="4074" spans="1:7" x14ac:dyDescent="0.2">
      <c r="A4074" s="538">
        <v>4</v>
      </c>
      <c r="B4074" s="538" t="s">
        <v>6574</v>
      </c>
      <c r="C4074" s="538" t="s">
        <v>740</v>
      </c>
      <c r="D4074" s="538" t="s">
        <v>740</v>
      </c>
      <c r="E4074" s="538" t="s">
        <v>207</v>
      </c>
      <c r="F4074" s="538">
        <v>367452</v>
      </c>
      <c r="G4074" s="538">
        <v>29</v>
      </c>
    </row>
    <row r="4075" spans="1:7" x14ac:dyDescent="0.2">
      <c r="A4075" s="538">
        <v>2</v>
      </c>
      <c r="B4075" s="538" t="s">
        <v>6576</v>
      </c>
      <c r="C4075" s="538" t="s">
        <v>393</v>
      </c>
      <c r="D4075" s="538" t="s">
        <v>393</v>
      </c>
      <c r="E4075" s="538" t="s">
        <v>313</v>
      </c>
      <c r="F4075" s="538">
        <v>1215355</v>
      </c>
      <c r="G4075" s="538">
        <v>5</v>
      </c>
    </row>
    <row r="4076" spans="1:7" x14ac:dyDescent="0.2">
      <c r="A4076" s="538">
        <v>10</v>
      </c>
      <c r="B4076" s="538" t="s">
        <v>6653</v>
      </c>
      <c r="C4076" s="538" t="s">
        <v>740</v>
      </c>
      <c r="D4076" s="538" t="s">
        <v>393</v>
      </c>
      <c r="E4076" s="538" t="s">
        <v>207</v>
      </c>
      <c r="F4076" s="538">
        <v>900930</v>
      </c>
      <c r="G4076" s="538">
        <v>65</v>
      </c>
    </row>
    <row r="4077" spans="1:7" x14ac:dyDescent="0.2">
      <c r="A4077" s="538">
        <v>3</v>
      </c>
      <c r="B4077" s="538" t="s">
        <v>6605</v>
      </c>
      <c r="C4077" s="538" t="s">
        <v>393</v>
      </c>
      <c r="D4077" s="538" t="s">
        <v>393</v>
      </c>
      <c r="E4077" s="538" t="s">
        <v>409</v>
      </c>
      <c r="F4077" s="538">
        <v>2769113</v>
      </c>
      <c r="G4077" s="538">
        <v>111</v>
      </c>
    </row>
    <row r="4078" spans="1:7" x14ac:dyDescent="0.2">
      <c r="A4078" s="538">
        <v>10</v>
      </c>
      <c r="B4078" s="538" t="s">
        <v>6664</v>
      </c>
      <c r="C4078" s="538" t="s">
        <v>393</v>
      </c>
      <c r="D4078" s="538" t="s">
        <v>393</v>
      </c>
      <c r="E4078" s="538" t="s">
        <v>313</v>
      </c>
      <c r="F4078" s="538">
        <v>1067029</v>
      </c>
      <c r="G4078" s="538">
        <v>3</v>
      </c>
    </row>
    <row r="4079" spans="1:7" x14ac:dyDescent="0.2">
      <c r="A4079" s="538">
        <v>11</v>
      </c>
      <c r="B4079" s="538" t="s">
        <v>6592</v>
      </c>
      <c r="C4079" s="538" t="s">
        <v>393</v>
      </c>
      <c r="D4079" s="538" t="s">
        <v>740</v>
      </c>
      <c r="E4079" s="538" t="s">
        <v>416</v>
      </c>
      <c r="F4079" s="538">
        <v>1184255</v>
      </c>
      <c r="G4079" s="538">
        <v>25</v>
      </c>
    </row>
    <row r="4080" spans="1:7" x14ac:dyDescent="0.2">
      <c r="A4080" s="538">
        <v>2</v>
      </c>
      <c r="B4080" s="538" t="s">
        <v>6573</v>
      </c>
      <c r="C4080" s="538" t="s">
        <v>740</v>
      </c>
      <c r="D4080" s="538" t="s">
        <v>740</v>
      </c>
      <c r="E4080" s="538" t="s">
        <v>390</v>
      </c>
      <c r="F4080" s="538">
        <v>2356776</v>
      </c>
      <c r="G4080" s="538">
        <v>27</v>
      </c>
    </row>
    <row r="4081" spans="1:7" x14ac:dyDescent="0.2">
      <c r="A4081" s="538">
        <v>5</v>
      </c>
      <c r="B4081" s="538" t="s">
        <v>6589</v>
      </c>
      <c r="C4081" s="538" t="s">
        <v>393</v>
      </c>
      <c r="D4081" s="538" t="s">
        <v>393</v>
      </c>
      <c r="E4081" s="538" t="s">
        <v>210</v>
      </c>
      <c r="F4081" s="538">
        <v>1594135</v>
      </c>
      <c r="G4081" s="538">
        <v>35</v>
      </c>
    </row>
    <row r="4082" spans="1:7" x14ac:dyDescent="0.2">
      <c r="A4082" s="538">
        <v>5</v>
      </c>
      <c r="B4082" s="538" t="s">
        <v>6568</v>
      </c>
      <c r="C4082" s="538" t="s">
        <v>393</v>
      </c>
      <c r="D4082" s="538" t="s">
        <v>393</v>
      </c>
      <c r="E4082" s="538" t="s">
        <v>419</v>
      </c>
      <c r="F4082" s="538">
        <v>654848</v>
      </c>
      <c r="G4082" s="538">
        <v>6</v>
      </c>
    </row>
    <row r="4083" spans="1:7" x14ac:dyDescent="0.2">
      <c r="A4083" s="538">
        <v>9</v>
      </c>
      <c r="B4083" s="538" t="s">
        <v>6657</v>
      </c>
      <c r="C4083" s="538" t="s">
        <v>740</v>
      </c>
      <c r="D4083" s="538" t="s">
        <v>393</v>
      </c>
      <c r="E4083" s="538" t="s">
        <v>402</v>
      </c>
      <c r="F4083" s="538">
        <v>3469450</v>
      </c>
      <c r="G4083" s="538">
        <v>130</v>
      </c>
    </row>
    <row r="4084" spans="1:7" x14ac:dyDescent="0.2">
      <c r="A4084" s="538">
        <v>3</v>
      </c>
      <c r="B4084" s="538" t="s">
        <v>6603</v>
      </c>
      <c r="C4084" s="538" t="s">
        <v>740</v>
      </c>
      <c r="D4084" s="538" t="s">
        <v>393</v>
      </c>
      <c r="E4084" s="538" t="s">
        <v>401</v>
      </c>
      <c r="F4084" s="538">
        <v>198771</v>
      </c>
      <c r="G4084" s="538">
        <v>12</v>
      </c>
    </row>
    <row r="4085" spans="1:7" x14ac:dyDescent="0.2">
      <c r="A4085" s="538">
        <v>3</v>
      </c>
      <c r="B4085" s="538" t="s">
        <v>6578</v>
      </c>
      <c r="C4085" s="538" t="s">
        <v>393</v>
      </c>
      <c r="D4085" s="538" t="s">
        <v>740</v>
      </c>
      <c r="E4085" s="538" t="s">
        <v>210</v>
      </c>
      <c r="F4085" s="538">
        <v>245145</v>
      </c>
      <c r="G4085" s="538">
        <v>5</v>
      </c>
    </row>
    <row r="4086" spans="1:7" x14ac:dyDescent="0.2">
      <c r="A4086" s="538">
        <v>10</v>
      </c>
      <c r="B4086" s="538" t="s">
        <v>6611</v>
      </c>
      <c r="C4086" s="538" t="s">
        <v>393</v>
      </c>
      <c r="D4086" s="538" t="s">
        <v>393</v>
      </c>
      <c r="E4086" s="538" t="s">
        <v>416</v>
      </c>
      <c r="F4086" s="538">
        <v>23476688</v>
      </c>
      <c r="G4086" s="538">
        <v>456</v>
      </c>
    </row>
    <row r="4087" spans="1:7" x14ac:dyDescent="0.2">
      <c r="A4087" s="538">
        <v>4</v>
      </c>
      <c r="B4087" s="538" t="s">
        <v>6593</v>
      </c>
      <c r="C4087" s="538" t="s">
        <v>740</v>
      </c>
      <c r="D4087" s="538" t="s">
        <v>740</v>
      </c>
      <c r="E4087" s="538" t="s">
        <v>211</v>
      </c>
      <c r="F4087" s="538">
        <v>2415894</v>
      </c>
      <c r="G4087" s="538">
        <v>28</v>
      </c>
    </row>
    <row r="4088" spans="1:7" x14ac:dyDescent="0.2">
      <c r="A4088" s="538">
        <v>3</v>
      </c>
      <c r="B4088" s="538" t="s">
        <v>6578</v>
      </c>
      <c r="C4088" s="538" t="s">
        <v>740</v>
      </c>
      <c r="D4088" s="538" t="s">
        <v>740</v>
      </c>
      <c r="E4088" s="538" t="s">
        <v>438</v>
      </c>
      <c r="F4088" s="538">
        <v>638564</v>
      </c>
      <c r="G4088" s="538">
        <v>8</v>
      </c>
    </row>
    <row r="4089" spans="1:7" x14ac:dyDescent="0.2">
      <c r="A4089" s="538">
        <v>8</v>
      </c>
      <c r="B4089" s="538" t="s">
        <v>6648</v>
      </c>
      <c r="C4089" s="538" t="s">
        <v>740</v>
      </c>
      <c r="D4089" s="538" t="s">
        <v>393</v>
      </c>
      <c r="E4089" s="538" t="s">
        <v>449</v>
      </c>
      <c r="F4089" s="538">
        <v>56640</v>
      </c>
      <c r="G4089" s="538">
        <v>5</v>
      </c>
    </row>
    <row r="4090" spans="1:7" x14ac:dyDescent="0.2">
      <c r="A4090" s="538">
        <v>2</v>
      </c>
      <c r="B4090" s="538" t="s">
        <v>6585</v>
      </c>
      <c r="C4090" s="538" t="s">
        <v>393</v>
      </c>
      <c r="D4090" s="538" t="s">
        <v>393</v>
      </c>
      <c r="E4090" s="538" t="s">
        <v>402</v>
      </c>
      <c r="F4090" s="538">
        <v>8224368</v>
      </c>
      <c r="G4090" s="538">
        <v>171</v>
      </c>
    </row>
    <row r="4091" spans="1:7" x14ac:dyDescent="0.2">
      <c r="A4091" s="538">
        <v>1</v>
      </c>
      <c r="B4091" s="538" t="s">
        <v>6581</v>
      </c>
      <c r="C4091" s="538" t="s">
        <v>740</v>
      </c>
      <c r="D4091" s="538" t="s">
        <v>393</v>
      </c>
      <c r="E4091" s="538" t="s">
        <v>202</v>
      </c>
      <c r="F4091" s="538">
        <v>61596</v>
      </c>
      <c r="G4091" s="538">
        <v>2</v>
      </c>
    </row>
    <row r="4092" spans="1:7" x14ac:dyDescent="0.2">
      <c r="A4092" s="538">
        <v>4</v>
      </c>
      <c r="B4092" s="538" t="s">
        <v>6574</v>
      </c>
      <c r="C4092" s="538" t="s">
        <v>740</v>
      </c>
      <c r="D4092" s="538" t="s">
        <v>393</v>
      </c>
      <c r="E4092" s="538" t="s">
        <v>230</v>
      </c>
      <c r="F4092" s="538">
        <v>3347570</v>
      </c>
      <c r="G4092" s="538">
        <v>55</v>
      </c>
    </row>
    <row r="4093" spans="1:7" x14ac:dyDescent="0.2">
      <c r="A4093" s="538">
        <v>3</v>
      </c>
      <c r="B4093" s="538" t="s">
        <v>6561</v>
      </c>
      <c r="C4093" s="538" t="s">
        <v>740</v>
      </c>
      <c r="D4093" s="538" t="s">
        <v>740</v>
      </c>
      <c r="E4093" s="538" t="s">
        <v>202</v>
      </c>
      <c r="F4093" s="538">
        <v>158415</v>
      </c>
      <c r="G4093" s="538">
        <v>5</v>
      </c>
    </row>
    <row r="4094" spans="1:7" x14ac:dyDescent="0.2">
      <c r="A4094" s="538">
        <v>3</v>
      </c>
      <c r="B4094" s="538" t="s">
        <v>1390</v>
      </c>
      <c r="C4094" s="538" t="s">
        <v>393</v>
      </c>
      <c r="D4094" s="538" t="s">
        <v>393</v>
      </c>
      <c r="E4094" s="538" t="s">
        <v>497</v>
      </c>
      <c r="F4094" s="538">
        <v>11328</v>
      </c>
      <c r="G4094" s="538">
        <v>1</v>
      </c>
    </row>
    <row r="4095" spans="1:7" x14ac:dyDescent="0.2">
      <c r="A4095" s="538">
        <v>2</v>
      </c>
      <c r="B4095" s="538" t="s">
        <v>6654</v>
      </c>
      <c r="C4095" s="538" t="s">
        <v>393</v>
      </c>
      <c r="D4095" s="538" t="s">
        <v>393</v>
      </c>
      <c r="E4095" s="538" t="s">
        <v>416</v>
      </c>
      <c r="F4095" s="538">
        <v>35819680</v>
      </c>
      <c r="G4095" s="538">
        <v>590</v>
      </c>
    </row>
    <row r="4096" spans="1:7" x14ac:dyDescent="0.2">
      <c r="A4096" s="538">
        <v>6</v>
      </c>
      <c r="B4096" s="538" t="s">
        <v>1668</v>
      </c>
      <c r="C4096" s="538" t="s">
        <v>393</v>
      </c>
      <c r="D4096" s="538" t="s">
        <v>740</v>
      </c>
      <c r="E4096" s="538" t="s">
        <v>207</v>
      </c>
      <c r="F4096" s="538">
        <v>2826690</v>
      </c>
      <c r="G4096" s="538">
        <v>175</v>
      </c>
    </row>
    <row r="4097" spans="1:7" x14ac:dyDescent="0.2">
      <c r="A4097" s="538">
        <v>11</v>
      </c>
      <c r="B4097" s="538" t="s">
        <v>6584</v>
      </c>
      <c r="C4097" s="538" t="s">
        <v>740</v>
      </c>
      <c r="D4097" s="538" t="s">
        <v>393</v>
      </c>
      <c r="E4097" s="538" t="s">
        <v>202</v>
      </c>
      <c r="F4097" s="538">
        <v>1163848</v>
      </c>
      <c r="G4097" s="538">
        <v>6</v>
      </c>
    </row>
    <row r="4098" spans="1:7" x14ac:dyDescent="0.2">
      <c r="A4098" s="538">
        <v>5</v>
      </c>
      <c r="B4098" s="538" t="s">
        <v>6650</v>
      </c>
      <c r="C4098" s="538" t="s">
        <v>740</v>
      </c>
      <c r="D4098" s="538" t="s">
        <v>740</v>
      </c>
      <c r="E4098" s="538" t="s">
        <v>416</v>
      </c>
      <c r="F4098" s="538">
        <v>7046766</v>
      </c>
      <c r="G4098" s="538">
        <v>172</v>
      </c>
    </row>
    <row r="4099" spans="1:7" x14ac:dyDescent="0.2">
      <c r="A4099" s="538">
        <v>3</v>
      </c>
      <c r="B4099" s="538" t="s">
        <v>6578</v>
      </c>
      <c r="C4099" s="538" t="s">
        <v>740</v>
      </c>
      <c r="D4099" s="538" t="s">
        <v>740</v>
      </c>
      <c r="E4099" s="538" t="s">
        <v>401</v>
      </c>
      <c r="F4099" s="538">
        <v>11328</v>
      </c>
      <c r="G4099" s="538">
        <v>1</v>
      </c>
    </row>
    <row r="4100" spans="1:7" x14ac:dyDescent="0.2">
      <c r="A4100" s="538">
        <v>10</v>
      </c>
      <c r="B4100" s="538" t="s">
        <v>6582</v>
      </c>
      <c r="C4100" s="538" t="s">
        <v>740</v>
      </c>
      <c r="D4100" s="538" t="s">
        <v>740</v>
      </c>
      <c r="E4100" s="538" t="s">
        <v>449</v>
      </c>
      <c r="F4100" s="538">
        <v>45312</v>
      </c>
      <c r="G4100" s="538">
        <v>4</v>
      </c>
    </row>
    <row r="4101" spans="1:7" x14ac:dyDescent="0.2">
      <c r="A4101" s="538">
        <v>7</v>
      </c>
      <c r="B4101" s="538" t="s">
        <v>6588</v>
      </c>
      <c r="C4101" s="538" t="s">
        <v>740</v>
      </c>
      <c r="D4101" s="538" t="s">
        <v>740</v>
      </c>
      <c r="E4101" s="538" t="s">
        <v>860</v>
      </c>
      <c r="F4101" s="538">
        <v>135759</v>
      </c>
      <c r="G4101" s="538">
        <v>3</v>
      </c>
    </row>
    <row r="4102" spans="1:7" x14ac:dyDescent="0.2">
      <c r="A4102" s="538">
        <v>1</v>
      </c>
      <c r="B4102" s="538" t="s">
        <v>6609</v>
      </c>
      <c r="C4102" s="538" t="s">
        <v>740</v>
      </c>
      <c r="D4102" s="538" t="s">
        <v>393</v>
      </c>
      <c r="E4102" s="538" t="s">
        <v>202</v>
      </c>
      <c r="F4102" s="538">
        <v>1375009</v>
      </c>
      <c r="G4102" s="538">
        <v>8</v>
      </c>
    </row>
    <row r="4103" spans="1:7" x14ac:dyDescent="0.2">
      <c r="A4103" s="538">
        <v>5</v>
      </c>
      <c r="B4103" s="538" t="s">
        <v>6599</v>
      </c>
      <c r="C4103" s="538" t="s">
        <v>740</v>
      </c>
      <c r="D4103" s="538" t="s">
        <v>740</v>
      </c>
      <c r="E4103" s="538" t="s">
        <v>416</v>
      </c>
      <c r="F4103" s="538">
        <v>1161599</v>
      </c>
      <c r="G4103" s="538">
        <v>23</v>
      </c>
    </row>
    <row r="4104" spans="1:7" x14ac:dyDescent="0.2">
      <c r="A4104" s="538">
        <v>3</v>
      </c>
      <c r="B4104" s="538" t="s">
        <v>6605</v>
      </c>
      <c r="C4104" s="538" t="s">
        <v>393</v>
      </c>
      <c r="D4104" s="538" t="s">
        <v>393</v>
      </c>
      <c r="E4104" s="538" t="s">
        <v>209</v>
      </c>
      <c r="F4104" s="538">
        <v>2382920</v>
      </c>
      <c r="G4104" s="538">
        <v>10</v>
      </c>
    </row>
    <row r="4105" spans="1:7" x14ac:dyDescent="0.2">
      <c r="A4105" s="538">
        <v>5</v>
      </c>
      <c r="B4105" s="538" t="s">
        <v>6566</v>
      </c>
      <c r="C4105" s="538" t="s">
        <v>393</v>
      </c>
      <c r="D4105" s="538" t="s">
        <v>393</v>
      </c>
      <c r="E4105" s="538" t="s">
        <v>402</v>
      </c>
      <c r="F4105" s="538">
        <v>3905807</v>
      </c>
      <c r="G4105" s="538">
        <v>149</v>
      </c>
    </row>
    <row r="4106" spans="1:7" x14ac:dyDescent="0.2">
      <c r="A4106" s="538">
        <v>8</v>
      </c>
      <c r="B4106" s="538" t="s">
        <v>6658</v>
      </c>
      <c r="C4106" s="538" t="s">
        <v>393</v>
      </c>
      <c r="D4106" s="538" t="s">
        <v>393</v>
      </c>
      <c r="E4106" s="538" t="s">
        <v>209</v>
      </c>
      <c r="F4106" s="538">
        <v>1738161</v>
      </c>
      <c r="G4106" s="538">
        <v>7</v>
      </c>
    </row>
    <row r="4107" spans="1:7" x14ac:dyDescent="0.2">
      <c r="A4107" s="538">
        <v>8</v>
      </c>
      <c r="B4107" s="538" t="s">
        <v>6570</v>
      </c>
      <c r="C4107" s="538" t="s">
        <v>740</v>
      </c>
      <c r="D4107" s="538" t="s">
        <v>393</v>
      </c>
      <c r="E4107" s="538" t="s">
        <v>860</v>
      </c>
      <c r="F4107" s="538">
        <v>101952</v>
      </c>
      <c r="G4107" s="538">
        <v>9</v>
      </c>
    </row>
    <row r="4108" spans="1:7" x14ac:dyDescent="0.2">
      <c r="A4108" s="538">
        <v>8</v>
      </c>
      <c r="B4108" s="538" t="s">
        <v>6577</v>
      </c>
      <c r="C4108" s="538" t="s">
        <v>740</v>
      </c>
      <c r="D4108" s="538" t="s">
        <v>393</v>
      </c>
      <c r="E4108" s="538" t="s">
        <v>401</v>
      </c>
      <c r="F4108" s="538">
        <v>11994406</v>
      </c>
      <c r="G4108" s="538">
        <v>232</v>
      </c>
    </row>
    <row r="4109" spans="1:7" x14ac:dyDescent="0.2">
      <c r="A4109" s="538">
        <v>6</v>
      </c>
      <c r="B4109" s="538" t="s">
        <v>6429</v>
      </c>
      <c r="C4109" s="538" t="s">
        <v>393</v>
      </c>
      <c r="D4109" s="538" t="s">
        <v>393</v>
      </c>
      <c r="E4109" s="538" t="s">
        <v>390</v>
      </c>
      <c r="F4109" s="538">
        <v>2238165</v>
      </c>
      <c r="G4109" s="538">
        <v>80</v>
      </c>
    </row>
    <row r="4110" spans="1:7" x14ac:dyDescent="0.2">
      <c r="A4110" s="538">
        <v>3</v>
      </c>
      <c r="B4110" s="538" t="s">
        <v>6586</v>
      </c>
      <c r="C4110" s="538" t="s">
        <v>740</v>
      </c>
      <c r="D4110" s="538" t="s">
        <v>393</v>
      </c>
      <c r="E4110" s="538" t="s">
        <v>207</v>
      </c>
      <c r="F4110" s="538">
        <v>2720490</v>
      </c>
      <c r="G4110" s="538">
        <v>200</v>
      </c>
    </row>
    <row r="4111" spans="1:7" x14ac:dyDescent="0.2">
      <c r="A4111" s="538">
        <v>12</v>
      </c>
      <c r="B4111" s="538" t="s">
        <v>6616</v>
      </c>
      <c r="C4111" s="538" t="s">
        <v>740</v>
      </c>
      <c r="D4111" s="538" t="s">
        <v>740</v>
      </c>
      <c r="E4111" s="538" t="s">
        <v>402</v>
      </c>
      <c r="F4111" s="538">
        <v>220188</v>
      </c>
      <c r="G4111" s="538">
        <v>16</v>
      </c>
    </row>
    <row r="4112" spans="1:7" x14ac:dyDescent="0.2">
      <c r="A4112" s="538">
        <v>4</v>
      </c>
      <c r="B4112" s="538" t="s">
        <v>6559</v>
      </c>
      <c r="C4112" s="538" t="s">
        <v>740</v>
      </c>
      <c r="D4112" s="538" t="s">
        <v>393</v>
      </c>
      <c r="E4112" s="538" t="s">
        <v>438</v>
      </c>
      <c r="F4112" s="538">
        <v>11328</v>
      </c>
      <c r="G4112" s="538">
        <v>1</v>
      </c>
    </row>
    <row r="4113" spans="1:7" x14ac:dyDescent="0.2">
      <c r="A4113" s="538">
        <v>1</v>
      </c>
      <c r="B4113" s="538" t="s">
        <v>6646</v>
      </c>
      <c r="C4113" s="538" t="s">
        <v>740</v>
      </c>
      <c r="D4113" s="538" t="s">
        <v>393</v>
      </c>
      <c r="E4113" s="538" t="s">
        <v>402</v>
      </c>
      <c r="F4113" s="538">
        <v>1431524</v>
      </c>
      <c r="G4113" s="538">
        <v>78</v>
      </c>
    </row>
    <row r="4114" spans="1:7" x14ac:dyDescent="0.2">
      <c r="A4114" s="538">
        <v>4</v>
      </c>
      <c r="B4114" s="538" t="s">
        <v>6559</v>
      </c>
      <c r="C4114" s="538" t="s">
        <v>740</v>
      </c>
      <c r="D4114" s="538" t="s">
        <v>740</v>
      </c>
      <c r="E4114" s="538" t="s">
        <v>212</v>
      </c>
      <c r="F4114" s="538">
        <v>11328</v>
      </c>
      <c r="G4114" s="538">
        <v>1</v>
      </c>
    </row>
    <row r="4115" spans="1:7" x14ac:dyDescent="0.2">
      <c r="A4115" s="538">
        <v>3</v>
      </c>
      <c r="B4115" s="538" t="s">
        <v>6605</v>
      </c>
      <c r="C4115" s="538" t="s">
        <v>393</v>
      </c>
      <c r="D4115" s="538" t="s">
        <v>740</v>
      </c>
      <c r="E4115" s="538" t="s">
        <v>212</v>
      </c>
      <c r="F4115" s="538">
        <v>67968</v>
      </c>
      <c r="G4115" s="538">
        <v>6</v>
      </c>
    </row>
    <row r="4116" spans="1:7" x14ac:dyDescent="0.2">
      <c r="A4116" s="538">
        <v>6</v>
      </c>
      <c r="B4116" s="538" t="s">
        <v>6429</v>
      </c>
      <c r="C4116" s="538" t="s">
        <v>740</v>
      </c>
      <c r="D4116" s="538" t="s">
        <v>393</v>
      </c>
      <c r="E4116" s="538" t="s">
        <v>207</v>
      </c>
      <c r="F4116" s="538">
        <v>283023</v>
      </c>
      <c r="G4116" s="538">
        <v>16</v>
      </c>
    </row>
    <row r="4117" spans="1:7" x14ac:dyDescent="0.2">
      <c r="A4117" s="538">
        <v>5</v>
      </c>
      <c r="B4117" s="538" t="s">
        <v>6568</v>
      </c>
      <c r="C4117" s="538" t="s">
        <v>740</v>
      </c>
      <c r="D4117" s="538" t="s">
        <v>393</v>
      </c>
      <c r="E4117" s="538" t="s">
        <v>211</v>
      </c>
      <c r="F4117" s="538">
        <v>74163</v>
      </c>
      <c r="G4117" s="538">
        <v>1</v>
      </c>
    </row>
    <row r="4118" spans="1:7" x14ac:dyDescent="0.2">
      <c r="A4118" s="538">
        <v>1</v>
      </c>
      <c r="B4118" s="538" t="s">
        <v>6602</v>
      </c>
      <c r="C4118" s="538" t="s">
        <v>393</v>
      </c>
      <c r="D4118" s="538" t="s">
        <v>393</v>
      </c>
      <c r="E4118" s="538" t="s">
        <v>401</v>
      </c>
      <c r="F4118" s="538">
        <v>745649</v>
      </c>
      <c r="G4118" s="538">
        <v>23</v>
      </c>
    </row>
    <row r="4119" spans="1:7" x14ac:dyDescent="0.2">
      <c r="A4119" s="538">
        <v>7</v>
      </c>
      <c r="B4119" s="538" t="s">
        <v>6661</v>
      </c>
      <c r="C4119" s="538" t="s">
        <v>740</v>
      </c>
      <c r="D4119" s="538" t="s">
        <v>393</v>
      </c>
      <c r="E4119" s="538" t="s">
        <v>212</v>
      </c>
      <c r="F4119" s="538">
        <v>33984</v>
      </c>
      <c r="G4119" s="538">
        <v>3</v>
      </c>
    </row>
    <row r="4120" spans="1:7" x14ac:dyDescent="0.2">
      <c r="A4120" s="538">
        <v>9</v>
      </c>
      <c r="B4120" s="538" t="s">
        <v>6644</v>
      </c>
      <c r="C4120" s="538" t="s">
        <v>740</v>
      </c>
      <c r="D4120" s="538" t="s">
        <v>393</v>
      </c>
      <c r="E4120" s="538" t="s">
        <v>212</v>
      </c>
      <c r="F4120" s="538">
        <v>2995017</v>
      </c>
      <c r="G4120" s="538">
        <v>234</v>
      </c>
    </row>
    <row r="4121" spans="1:7" x14ac:dyDescent="0.2">
      <c r="A4121" s="538">
        <v>6</v>
      </c>
      <c r="B4121" s="538" t="s">
        <v>6617</v>
      </c>
      <c r="C4121" s="538" t="s">
        <v>740</v>
      </c>
      <c r="D4121" s="538" t="s">
        <v>393</v>
      </c>
      <c r="E4121" s="538" t="s">
        <v>211</v>
      </c>
      <c r="F4121" s="538">
        <v>11328</v>
      </c>
      <c r="G4121" s="538">
        <v>1</v>
      </c>
    </row>
    <row r="4122" spans="1:7" x14ac:dyDescent="0.2">
      <c r="A4122" s="538">
        <v>9</v>
      </c>
      <c r="B4122" s="538" t="s">
        <v>6644</v>
      </c>
      <c r="C4122" s="538" t="s">
        <v>393</v>
      </c>
      <c r="D4122" s="538" t="s">
        <v>393</v>
      </c>
      <c r="E4122" s="538" t="s">
        <v>401</v>
      </c>
      <c r="F4122" s="538">
        <v>693965</v>
      </c>
      <c r="G4122" s="538">
        <v>15</v>
      </c>
    </row>
    <row r="4123" spans="1:7" x14ac:dyDescent="0.2">
      <c r="A4123" s="538">
        <v>8</v>
      </c>
      <c r="B4123" s="538" t="s">
        <v>6583</v>
      </c>
      <c r="C4123" s="538" t="s">
        <v>740</v>
      </c>
      <c r="D4123" s="538" t="s">
        <v>393</v>
      </c>
      <c r="E4123" s="538" t="s">
        <v>860</v>
      </c>
      <c r="F4123" s="538">
        <v>10246655</v>
      </c>
      <c r="G4123" s="538">
        <v>565</v>
      </c>
    </row>
    <row r="4124" spans="1:7" x14ac:dyDescent="0.2">
      <c r="A4124" s="538">
        <v>12</v>
      </c>
      <c r="B4124" s="538" t="s">
        <v>6569</v>
      </c>
      <c r="C4124" s="538" t="s">
        <v>393</v>
      </c>
      <c r="D4124" s="538" t="s">
        <v>393</v>
      </c>
      <c r="E4124" s="538" t="s">
        <v>212</v>
      </c>
      <c r="F4124" s="538">
        <v>327096</v>
      </c>
      <c r="G4124" s="538">
        <v>22</v>
      </c>
    </row>
    <row r="4125" spans="1:7" x14ac:dyDescent="0.2">
      <c r="A4125" s="538">
        <v>2</v>
      </c>
      <c r="B4125" s="538" t="s">
        <v>6576</v>
      </c>
      <c r="C4125" s="538" t="s">
        <v>740</v>
      </c>
      <c r="D4125" s="538" t="s">
        <v>393</v>
      </c>
      <c r="E4125" s="538" t="s">
        <v>416</v>
      </c>
      <c r="F4125" s="538">
        <v>50268</v>
      </c>
      <c r="G4125" s="538">
        <v>1</v>
      </c>
    </row>
    <row r="4126" spans="1:7" x14ac:dyDescent="0.2">
      <c r="A4126" s="538">
        <v>2</v>
      </c>
      <c r="B4126" s="538" t="s">
        <v>6573</v>
      </c>
      <c r="C4126" s="538" t="s">
        <v>393</v>
      </c>
      <c r="D4126" s="538" t="s">
        <v>393</v>
      </c>
      <c r="E4126" s="538" t="s">
        <v>416</v>
      </c>
      <c r="F4126" s="538">
        <v>63264823</v>
      </c>
      <c r="G4126" s="538">
        <v>1221</v>
      </c>
    </row>
    <row r="4127" spans="1:7" x14ac:dyDescent="0.2">
      <c r="A4127" s="538">
        <v>2</v>
      </c>
      <c r="B4127" s="538" t="s">
        <v>6662</v>
      </c>
      <c r="C4127" s="538" t="s">
        <v>393</v>
      </c>
      <c r="D4127" s="538" t="s">
        <v>393</v>
      </c>
      <c r="E4127" s="538" t="s">
        <v>409</v>
      </c>
      <c r="F4127" s="538">
        <v>2349925</v>
      </c>
      <c r="G4127" s="538">
        <v>65</v>
      </c>
    </row>
    <row r="4128" spans="1:7" x14ac:dyDescent="0.2">
      <c r="A4128" s="538">
        <v>7</v>
      </c>
      <c r="B4128" s="538" t="s">
        <v>6564</v>
      </c>
      <c r="C4128" s="538" t="s">
        <v>393</v>
      </c>
      <c r="D4128" s="538" t="s">
        <v>393</v>
      </c>
      <c r="E4128" s="538" t="s">
        <v>438</v>
      </c>
      <c r="F4128" s="538">
        <v>7370541</v>
      </c>
      <c r="G4128" s="538">
        <v>62</v>
      </c>
    </row>
    <row r="4129" spans="1:7" x14ac:dyDescent="0.2">
      <c r="A4129" s="538">
        <v>7</v>
      </c>
      <c r="B4129" s="538" t="s">
        <v>6564</v>
      </c>
      <c r="C4129" s="538" t="s">
        <v>393</v>
      </c>
      <c r="D4129" s="538" t="s">
        <v>393</v>
      </c>
      <c r="E4129" s="538" t="s">
        <v>206</v>
      </c>
      <c r="F4129" s="538">
        <v>519089</v>
      </c>
      <c r="G4129" s="538">
        <v>3</v>
      </c>
    </row>
    <row r="4130" spans="1:7" x14ac:dyDescent="0.2">
      <c r="A4130" s="538">
        <v>2</v>
      </c>
      <c r="B4130" s="538" t="s">
        <v>6576</v>
      </c>
      <c r="C4130" s="538" t="s">
        <v>740</v>
      </c>
      <c r="D4130" s="538" t="s">
        <v>393</v>
      </c>
      <c r="E4130" s="538" t="s">
        <v>211</v>
      </c>
      <c r="F4130" s="538">
        <v>9863055</v>
      </c>
      <c r="G4130" s="538">
        <v>165</v>
      </c>
    </row>
    <row r="4131" spans="1:7" x14ac:dyDescent="0.2">
      <c r="A4131" s="538">
        <v>10</v>
      </c>
      <c r="B4131" s="538" t="s">
        <v>6597</v>
      </c>
      <c r="C4131" s="538" t="s">
        <v>740</v>
      </c>
      <c r="D4131" s="538" t="s">
        <v>740</v>
      </c>
      <c r="E4131" s="538" t="s">
        <v>207</v>
      </c>
      <c r="F4131" s="538">
        <v>598791</v>
      </c>
      <c r="G4131" s="538">
        <v>37</v>
      </c>
    </row>
    <row r="4132" spans="1:7" x14ac:dyDescent="0.2">
      <c r="A4132" s="538">
        <v>2</v>
      </c>
      <c r="B4132" s="538" t="s">
        <v>6055</v>
      </c>
      <c r="C4132" s="538" t="s">
        <v>740</v>
      </c>
      <c r="D4132" s="538" t="s">
        <v>393</v>
      </c>
      <c r="E4132" s="538" t="s">
        <v>230</v>
      </c>
      <c r="F4132" s="538">
        <v>188913763</v>
      </c>
      <c r="G4132" s="538">
        <v>4301</v>
      </c>
    </row>
    <row r="4133" spans="1:7" x14ac:dyDescent="0.2">
      <c r="A4133" s="538">
        <v>6</v>
      </c>
      <c r="B4133" s="538" t="s">
        <v>6596</v>
      </c>
      <c r="C4133" s="538" t="s">
        <v>740</v>
      </c>
      <c r="D4133" s="538" t="s">
        <v>393</v>
      </c>
      <c r="E4133" s="538" t="s">
        <v>438</v>
      </c>
      <c r="F4133" s="538">
        <v>3504163</v>
      </c>
      <c r="G4133" s="538">
        <v>26</v>
      </c>
    </row>
    <row r="4134" spans="1:7" x14ac:dyDescent="0.2">
      <c r="A4134" s="538">
        <v>8</v>
      </c>
      <c r="B4134" s="538" t="s">
        <v>6658</v>
      </c>
      <c r="C4134" s="538" t="s">
        <v>393</v>
      </c>
      <c r="D4134" s="538" t="s">
        <v>393</v>
      </c>
      <c r="E4134" s="538" t="s">
        <v>419</v>
      </c>
      <c r="F4134" s="538">
        <v>11328</v>
      </c>
      <c r="G4134" s="538">
        <v>1</v>
      </c>
    </row>
    <row r="4135" spans="1:7" x14ac:dyDescent="0.2">
      <c r="A4135" s="538">
        <v>11</v>
      </c>
      <c r="B4135" s="538" t="s">
        <v>6584</v>
      </c>
      <c r="C4135" s="538" t="s">
        <v>740</v>
      </c>
      <c r="D4135" s="538" t="s">
        <v>393</v>
      </c>
      <c r="E4135" s="538" t="s">
        <v>860</v>
      </c>
      <c r="F4135" s="538">
        <v>526929</v>
      </c>
      <c r="G4135" s="538">
        <v>23</v>
      </c>
    </row>
    <row r="4136" spans="1:7" x14ac:dyDescent="0.2">
      <c r="A4136" s="538">
        <v>1</v>
      </c>
      <c r="B4136" s="538" t="s">
        <v>6581</v>
      </c>
      <c r="C4136" s="538" t="s">
        <v>393</v>
      </c>
      <c r="D4136" s="538" t="s">
        <v>393</v>
      </c>
      <c r="E4136" s="538" t="s">
        <v>438</v>
      </c>
      <c r="F4136" s="538">
        <v>5329356</v>
      </c>
      <c r="G4136" s="538">
        <v>47</v>
      </c>
    </row>
    <row r="4137" spans="1:7" x14ac:dyDescent="0.2">
      <c r="A4137" s="538">
        <v>4</v>
      </c>
      <c r="B4137" s="538" t="s">
        <v>6562</v>
      </c>
      <c r="C4137" s="538" t="s">
        <v>393</v>
      </c>
      <c r="D4137" s="538" t="s">
        <v>393</v>
      </c>
      <c r="E4137" s="538" t="s">
        <v>211</v>
      </c>
      <c r="F4137" s="538">
        <v>33088965</v>
      </c>
      <c r="G4137" s="538">
        <v>455</v>
      </c>
    </row>
    <row r="4138" spans="1:7" x14ac:dyDescent="0.2">
      <c r="A4138" s="538">
        <v>7</v>
      </c>
      <c r="B4138" s="538" t="s">
        <v>6564</v>
      </c>
      <c r="C4138" s="538" t="s">
        <v>740</v>
      </c>
      <c r="D4138" s="538" t="s">
        <v>393</v>
      </c>
      <c r="E4138" s="538" t="s">
        <v>212</v>
      </c>
      <c r="F4138" s="538">
        <v>1597071</v>
      </c>
      <c r="G4138" s="538">
        <v>132</v>
      </c>
    </row>
    <row r="4139" spans="1:7" x14ac:dyDescent="0.2">
      <c r="A4139" s="538">
        <v>7</v>
      </c>
      <c r="B4139" s="538" t="s">
        <v>6580</v>
      </c>
      <c r="C4139" s="538" t="s">
        <v>393</v>
      </c>
      <c r="D4139" s="538" t="s">
        <v>393</v>
      </c>
      <c r="E4139" s="538" t="s">
        <v>211</v>
      </c>
      <c r="F4139" s="538">
        <v>23744781</v>
      </c>
      <c r="G4139" s="538">
        <v>242</v>
      </c>
    </row>
    <row r="4140" spans="1:7" x14ac:dyDescent="0.2">
      <c r="A4140" s="538">
        <v>9</v>
      </c>
      <c r="B4140" s="538" t="s">
        <v>6644</v>
      </c>
      <c r="C4140" s="538" t="s">
        <v>740</v>
      </c>
      <c r="D4140" s="538" t="s">
        <v>393</v>
      </c>
      <c r="E4140" s="538" t="s">
        <v>416</v>
      </c>
      <c r="F4140" s="538">
        <v>39562355</v>
      </c>
      <c r="G4140" s="538">
        <v>820</v>
      </c>
    </row>
    <row r="4141" spans="1:7" x14ac:dyDescent="0.2">
      <c r="A4141" s="538">
        <v>7</v>
      </c>
      <c r="B4141" s="538" t="s">
        <v>6661</v>
      </c>
      <c r="C4141" s="538" t="s">
        <v>740</v>
      </c>
      <c r="D4141" s="538" t="s">
        <v>393</v>
      </c>
      <c r="E4141" s="538" t="s">
        <v>401</v>
      </c>
      <c r="F4141" s="538">
        <v>11328</v>
      </c>
      <c r="G4141" s="538">
        <v>1</v>
      </c>
    </row>
    <row r="4142" spans="1:7" x14ac:dyDescent="0.2">
      <c r="A4142" s="538">
        <v>7</v>
      </c>
      <c r="B4142" s="538" t="s">
        <v>6579</v>
      </c>
      <c r="C4142" s="538" t="s">
        <v>740</v>
      </c>
      <c r="D4142" s="538" t="s">
        <v>393</v>
      </c>
      <c r="E4142" s="538" t="s">
        <v>449</v>
      </c>
      <c r="F4142" s="538">
        <v>158415</v>
      </c>
      <c r="G4142" s="538">
        <v>5</v>
      </c>
    </row>
    <row r="4143" spans="1:7" x14ac:dyDescent="0.2">
      <c r="A4143" s="538">
        <v>7</v>
      </c>
      <c r="B4143" s="538" t="s">
        <v>6564</v>
      </c>
      <c r="C4143" s="538" t="s">
        <v>393</v>
      </c>
      <c r="D4143" s="538" t="s">
        <v>740</v>
      </c>
      <c r="E4143" s="538" t="s">
        <v>207</v>
      </c>
      <c r="F4143" s="538">
        <v>33984</v>
      </c>
      <c r="G4143" s="538">
        <v>3</v>
      </c>
    </row>
    <row r="4144" spans="1:7" x14ac:dyDescent="0.2">
      <c r="A4144" s="538">
        <v>10</v>
      </c>
      <c r="B4144" s="538" t="s">
        <v>6587</v>
      </c>
      <c r="C4144" s="538" t="s">
        <v>393</v>
      </c>
      <c r="D4144" s="538" t="s">
        <v>393</v>
      </c>
      <c r="E4144" s="538" t="s">
        <v>416</v>
      </c>
      <c r="F4144" s="538">
        <v>57285887</v>
      </c>
      <c r="G4144" s="538">
        <v>1039</v>
      </c>
    </row>
    <row r="4145" spans="1:7" x14ac:dyDescent="0.2">
      <c r="A4145" s="538">
        <v>1</v>
      </c>
      <c r="B4145" s="538" t="s">
        <v>6609</v>
      </c>
      <c r="C4145" s="538" t="s">
        <v>740</v>
      </c>
      <c r="D4145" s="538" t="s">
        <v>740</v>
      </c>
      <c r="E4145" s="538" t="s">
        <v>402</v>
      </c>
      <c r="F4145" s="538">
        <v>1193105</v>
      </c>
      <c r="G4145" s="538">
        <v>30</v>
      </c>
    </row>
    <row r="4146" spans="1:7" x14ac:dyDescent="0.2">
      <c r="A4146" s="538">
        <v>7</v>
      </c>
      <c r="B4146" s="538" t="s">
        <v>6588</v>
      </c>
      <c r="C4146" s="538" t="s">
        <v>740</v>
      </c>
      <c r="D4146" s="538" t="s">
        <v>393</v>
      </c>
      <c r="E4146" s="538" t="s">
        <v>449</v>
      </c>
      <c r="F4146" s="538">
        <v>74163</v>
      </c>
      <c r="G4146" s="538">
        <v>1</v>
      </c>
    </row>
    <row r="4147" spans="1:7" x14ac:dyDescent="0.2">
      <c r="A4147" s="538">
        <v>3</v>
      </c>
      <c r="B4147" s="538" t="s">
        <v>6578</v>
      </c>
      <c r="C4147" s="538" t="s">
        <v>740</v>
      </c>
      <c r="D4147" s="538" t="s">
        <v>393</v>
      </c>
      <c r="E4147" s="538" t="s">
        <v>209</v>
      </c>
      <c r="F4147" s="538">
        <v>1687893</v>
      </c>
      <c r="G4147" s="538">
        <v>6</v>
      </c>
    </row>
    <row r="4148" spans="1:7" x14ac:dyDescent="0.2">
      <c r="A4148" s="538">
        <v>2</v>
      </c>
      <c r="B4148" s="538" t="s">
        <v>6608</v>
      </c>
      <c r="C4148" s="538" t="s">
        <v>740</v>
      </c>
      <c r="D4148" s="538" t="s">
        <v>393</v>
      </c>
      <c r="E4148" s="538" t="s">
        <v>202</v>
      </c>
      <c r="F4148" s="538">
        <v>124431</v>
      </c>
      <c r="G4148" s="538">
        <v>2</v>
      </c>
    </row>
    <row r="4149" spans="1:7" x14ac:dyDescent="0.2">
      <c r="A4149" s="538">
        <v>4</v>
      </c>
      <c r="B4149" s="538" t="s">
        <v>6572</v>
      </c>
      <c r="C4149" s="538" t="s">
        <v>740</v>
      </c>
      <c r="D4149" s="538" t="s">
        <v>393</v>
      </c>
      <c r="E4149" s="538" t="s">
        <v>209</v>
      </c>
      <c r="F4149" s="538">
        <v>33152322</v>
      </c>
      <c r="G4149" s="538">
        <v>134</v>
      </c>
    </row>
    <row r="4150" spans="1:7" x14ac:dyDescent="0.2">
      <c r="A4150" s="538">
        <v>4</v>
      </c>
      <c r="B4150" s="538" t="s">
        <v>6574</v>
      </c>
      <c r="C4150" s="538" t="s">
        <v>740</v>
      </c>
      <c r="D4150" s="538" t="s">
        <v>393</v>
      </c>
      <c r="E4150" s="538" t="s">
        <v>401</v>
      </c>
      <c r="F4150" s="538">
        <v>191160</v>
      </c>
      <c r="G4150" s="538">
        <v>10</v>
      </c>
    </row>
    <row r="4151" spans="1:7" x14ac:dyDescent="0.2">
      <c r="A4151" s="538">
        <v>6</v>
      </c>
      <c r="B4151" s="538" t="s">
        <v>6617</v>
      </c>
      <c r="C4151" s="538" t="s">
        <v>740</v>
      </c>
      <c r="D4151" s="538" t="s">
        <v>393</v>
      </c>
      <c r="E4151" s="538" t="s">
        <v>211</v>
      </c>
      <c r="F4151" s="538">
        <v>96819</v>
      </c>
      <c r="G4151" s="538">
        <v>3</v>
      </c>
    </row>
    <row r="4152" spans="1:7" x14ac:dyDescent="0.2">
      <c r="A4152" s="538">
        <v>3</v>
      </c>
      <c r="B4152" s="538" t="s">
        <v>6605</v>
      </c>
      <c r="C4152" s="538" t="s">
        <v>740</v>
      </c>
      <c r="D4152" s="538" t="s">
        <v>393</v>
      </c>
      <c r="E4152" s="538" t="s">
        <v>313</v>
      </c>
      <c r="F4152" s="538">
        <v>1053275</v>
      </c>
      <c r="G4152" s="538">
        <v>10</v>
      </c>
    </row>
    <row r="4153" spans="1:7" x14ac:dyDescent="0.2">
      <c r="A4153" s="538">
        <v>6</v>
      </c>
      <c r="B4153" s="538" t="s">
        <v>6429</v>
      </c>
      <c r="C4153" s="538" t="s">
        <v>740</v>
      </c>
      <c r="D4153" s="538" t="s">
        <v>393</v>
      </c>
      <c r="E4153" s="538" t="s">
        <v>211</v>
      </c>
      <c r="F4153" s="538">
        <v>880251370</v>
      </c>
      <c r="G4153" s="538">
        <v>18490</v>
      </c>
    </row>
    <row r="4154" spans="1:7" x14ac:dyDescent="0.2">
      <c r="A4154" s="538">
        <v>3</v>
      </c>
      <c r="B4154" s="538" t="s">
        <v>6586</v>
      </c>
      <c r="C4154" s="538" t="s">
        <v>740</v>
      </c>
      <c r="D4154" s="538" t="s">
        <v>740</v>
      </c>
      <c r="E4154" s="538" t="s">
        <v>860</v>
      </c>
      <c r="F4154" s="538">
        <v>61596</v>
      </c>
      <c r="G4154" s="538">
        <v>2</v>
      </c>
    </row>
    <row r="4155" spans="1:7" x14ac:dyDescent="0.2">
      <c r="A4155" s="538">
        <v>8</v>
      </c>
      <c r="B4155" s="538" t="s">
        <v>6658</v>
      </c>
      <c r="C4155" s="538" t="s">
        <v>393</v>
      </c>
      <c r="D4155" s="538" t="s">
        <v>393</v>
      </c>
      <c r="E4155" s="538" t="s">
        <v>202</v>
      </c>
      <c r="F4155" s="538">
        <v>8083091</v>
      </c>
      <c r="G4155" s="538">
        <v>62</v>
      </c>
    </row>
    <row r="4156" spans="1:7" x14ac:dyDescent="0.2">
      <c r="A4156" s="538">
        <v>3</v>
      </c>
      <c r="B4156" s="538" t="s">
        <v>6603</v>
      </c>
      <c r="C4156" s="538" t="s">
        <v>740</v>
      </c>
      <c r="D4156" s="538" t="s">
        <v>393</v>
      </c>
      <c r="E4156" s="538" t="s">
        <v>409</v>
      </c>
      <c r="F4156" s="538">
        <v>734550</v>
      </c>
      <c r="G4156" s="538">
        <v>40</v>
      </c>
    </row>
    <row r="4157" spans="1:7" x14ac:dyDescent="0.2">
      <c r="A4157" s="538">
        <v>4</v>
      </c>
      <c r="B4157" s="538" t="s">
        <v>6562</v>
      </c>
      <c r="C4157" s="538" t="s">
        <v>393</v>
      </c>
      <c r="D4157" s="538" t="s">
        <v>393</v>
      </c>
      <c r="E4157" s="538" t="s">
        <v>209</v>
      </c>
      <c r="F4157" s="538">
        <v>3336846</v>
      </c>
      <c r="G4157" s="538">
        <v>12</v>
      </c>
    </row>
    <row r="4158" spans="1:7" x14ac:dyDescent="0.2">
      <c r="A4158" s="538">
        <v>3</v>
      </c>
      <c r="B4158" s="538" t="s">
        <v>6647</v>
      </c>
      <c r="C4158" s="538" t="s">
        <v>740</v>
      </c>
      <c r="D4158" s="538" t="s">
        <v>740</v>
      </c>
      <c r="E4158" s="538" t="s">
        <v>210</v>
      </c>
      <c r="F4158" s="538">
        <v>50268</v>
      </c>
      <c r="G4158" s="538">
        <v>1</v>
      </c>
    </row>
    <row r="4159" spans="1:7" x14ac:dyDescent="0.2">
      <c r="A4159" s="538">
        <v>5</v>
      </c>
      <c r="B4159" s="538" t="s">
        <v>6568</v>
      </c>
      <c r="C4159" s="538" t="s">
        <v>740</v>
      </c>
      <c r="D4159" s="538" t="s">
        <v>740</v>
      </c>
      <c r="E4159" s="538" t="s">
        <v>449</v>
      </c>
      <c r="F4159" s="538">
        <v>101952</v>
      </c>
      <c r="G4159" s="538">
        <v>9</v>
      </c>
    </row>
    <row r="4160" spans="1:7" x14ac:dyDescent="0.2">
      <c r="A4160" s="538">
        <v>4</v>
      </c>
      <c r="B4160" s="538" t="s">
        <v>6593</v>
      </c>
      <c r="C4160" s="538" t="s">
        <v>740</v>
      </c>
      <c r="D4160" s="538" t="s">
        <v>393</v>
      </c>
      <c r="E4160" s="538" t="s">
        <v>202</v>
      </c>
      <c r="F4160" s="538">
        <v>9596160</v>
      </c>
      <c r="G4160" s="538">
        <v>65</v>
      </c>
    </row>
    <row r="4161" spans="1:7" x14ac:dyDescent="0.2">
      <c r="A4161" s="538">
        <v>4</v>
      </c>
      <c r="B4161" s="538" t="s">
        <v>6590</v>
      </c>
      <c r="C4161" s="538" t="s">
        <v>393</v>
      </c>
      <c r="D4161" s="538" t="s">
        <v>740</v>
      </c>
      <c r="E4161" s="538" t="s">
        <v>402</v>
      </c>
      <c r="F4161" s="538">
        <v>4596232</v>
      </c>
      <c r="G4161" s="538">
        <v>179</v>
      </c>
    </row>
    <row r="4162" spans="1:7" x14ac:dyDescent="0.2">
      <c r="A4162" s="538">
        <v>2</v>
      </c>
      <c r="B4162" s="538" t="s">
        <v>6573</v>
      </c>
      <c r="C4162" s="538" t="s">
        <v>740</v>
      </c>
      <c r="D4162" s="538" t="s">
        <v>393</v>
      </c>
      <c r="E4162" s="538" t="s">
        <v>230</v>
      </c>
      <c r="F4162" s="538">
        <v>16208828</v>
      </c>
      <c r="G4162" s="538">
        <v>296</v>
      </c>
    </row>
    <row r="4163" spans="1:7" x14ac:dyDescent="0.2">
      <c r="A4163" s="538">
        <v>4</v>
      </c>
      <c r="B4163" s="538" t="s">
        <v>6572</v>
      </c>
      <c r="C4163" s="538" t="s">
        <v>393</v>
      </c>
      <c r="D4163" s="538" t="s">
        <v>393</v>
      </c>
      <c r="E4163" s="538" t="s">
        <v>401</v>
      </c>
      <c r="F4163" s="538">
        <v>56640</v>
      </c>
      <c r="G4163" s="538">
        <v>5</v>
      </c>
    </row>
    <row r="4164" spans="1:7" x14ac:dyDescent="0.2">
      <c r="A4164" s="538">
        <v>11</v>
      </c>
      <c r="B4164" s="538" t="s">
        <v>6660</v>
      </c>
      <c r="C4164" s="538" t="s">
        <v>393</v>
      </c>
      <c r="D4164" s="538" t="s">
        <v>393</v>
      </c>
      <c r="E4164" s="538" t="s">
        <v>416</v>
      </c>
      <c r="F4164" s="538">
        <v>46345027</v>
      </c>
      <c r="G4164" s="538">
        <v>919</v>
      </c>
    </row>
    <row r="4165" spans="1:7" x14ac:dyDescent="0.2">
      <c r="A4165" s="538">
        <v>4</v>
      </c>
      <c r="B4165" s="538" t="s">
        <v>6559</v>
      </c>
      <c r="C4165" s="538" t="s">
        <v>740</v>
      </c>
      <c r="D4165" s="538" t="s">
        <v>740</v>
      </c>
      <c r="E4165" s="538" t="s">
        <v>207</v>
      </c>
      <c r="F4165" s="538">
        <v>90624</v>
      </c>
      <c r="G4165" s="538">
        <v>8</v>
      </c>
    </row>
    <row r="4166" spans="1:7" x14ac:dyDescent="0.2">
      <c r="A4166" s="538">
        <v>7</v>
      </c>
      <c r="B4166" s="538" t="s">
        <v>6588</v>
      </c>
      <c r="C4166" s="538" t="s">
        <v>740</v>
      </c>
      <c r="D4166" s="538" t="s">
        <v>393</v>
      </c>
      <c r="E4166" s="538" t="s">
        <v>401</v>
      </c>
      <c r="F4166" s="538">
        <v>8973630</v>
      </c>
      <c r="G4166" s="538">
        <v>180</v>
      </c>
    </row>
    <row r="4167" spans="1:7" x14ac:dyDescent="0.2">
      <c r="A4167" s="538">
        <v>1</v>
      </c>
      <c r="B4167" s="538" t="s">
        <v>6581</v>
      </c>
      <c r="C4167" s="538" t="s">
        <v>740</v>
      </c>
      <c r="D4167" s="538" t="s">
        <v>393</v>
      </c>
      <c r="E4167" s="538" t="s">
        <v>230</v>
      </c>
      <c r="F4167" s="538">
        <v>31039773</v>
      </c>
      <c r="G4167" s="538">
        <v>671</v>
      </c>
    </row>
    <row r="4168" spans="1:7" x14ac:dyDescent="0.2">
      <c r="A4168" s="538">
        <v>6</v>
      </c>
      <c r="B4168" s="538" t="s">
        <v>6607</v>
      </c>
      <c r="C4168" s="538" t="s">
        <v>393</v>
      </c>
      <c r="D4168" s="538" t="s">
        <v>393</v>
      </c>
      <c r="E4168" s="538" t="s">
        <v>211</v>
      </c>
      <c r="F4168" s="538">
        <v>23604201</v>
      </c>
      <c r="G4168" s="538">
        <v>262</v>
      </c>
    </row>
    <row r="4169" spans="1:7" x14ac:dyDescent="0.2">
      <c r="A4169" s="538">
        <v>6</v>
      </c>
      <c r="B4169" s="538" t="s">
        <v>6575</v>
      </c>
      <c r="C4169" s="538" t="s">
        <v>393</v>
      </c>
      <c r="D4169" s="538" t="s">
        <v>740</v>
      </c>
      <c r="E4169" s="538" t="s">
        <v>212</v>
      </c>
      <c r="F4169" s="538">
        <v>216294</v>
      </c>
      <c r="G4169" s="538">
        <v>8</v>
      </c>
    </row>
    <row r="4170" spans="1:7" x14ac:dyDescent="0.2">
      <c r="A4170" s="538">
        <v>2</v>
      </c>
      <c r="B4170" s="538" t="s">
        <v>6573</v>
      </c>
      <c r="C4170" s="538" t="s">
        <v>393</v>
      </c>
      <c r="D4170" s="538" t="s">
        <v>740</v>
      </c>
      <c r="E4170" s="538" t="s">
        <v>207</v>
      </c>
      <c r="F4170" s="538">
        <v>2896959</v>
      </c>
      <c r="G4170" s="538">
        <v>163</v>
      </c>
    </row>
    <row r="4171" spans="1:7" x14ac:dyDescent="0.2">
      <c r="A4171" s="538">
        <v>11</v>
      </c>
      <c r="B4171" s="538" t="s">
        <v>6610</v>
      </c>
      <c r="C4171" s="538" t="s">
        <v>740</v>
      </c>
      <c r="D4171" s="538" t="s">
        <v>393</v>
      </c>
      <c r="E4171" s="538" t="s">
        <v>210</v>
      </c>
      <c r="F4171" s="538">
        <v>6235481</v>
      </c>
      <c r="G4171" s="538">
        <v>352</v>
      </c>
    </row>
    <row r="4172" spans="1:7" x14ac:dyDescent="0.2">
      <c r="A4172" s="538">
        <v>2</v>
      </c>
      <c r="B4172" s="538" t="s">
        <v>6608</v>
      </c>
      <c r="C4172" s="538" t="s">
        <v>740</v>
      </c>
      <c r="D4172" s="538" t="s">
        <v>393</v>
      </c>
      <c r="E4172" s="538" t="s">
        <v>212</v>
      </c>
      <c r="F4172" s="538">
        <v>11328</v>
      </c>
      <c r="G4172" s="538">
        <v>1</v>
      </c>
    </row>
    <row r="4173" spans="1:7" x14ac:dyDescent="0.2">
      <c r="A4173" s="538">
        <v>6</v>
      </c>
      <c r="B4173" s="538" t="s">
        <v>1668</v>
      </c>
      <c r="C4173" s="538" t="s">
        <v>740</v>
      </c>
      <c r="D4173" s="538" t="s">
        <v>393</v>
      </c>
      <c r="E4173" s="538" t="s">
        <v>401</v>
      </c>
      <c r="F4173" s="538">
        <v>96819</v>
      </c>
      <c r="G4173" s="538">
        <v>3</v>
      </c>
    </row>
    <row r="4174" spans="1:7" x14ac:dyDescent="0.2">
      <c r="A4174" s="538">
        <v>12</v>
      </c>
      <c r="B4174" s="538" t="s">
        <v>6563</v>
      </c>
      <c r="C4174" s="538" t="s">
        <v>740</v>
      </c>
      <c r="D4174" s="538" t="s">
        <v>740</v>
      </c>
      <c r="E4174" s="538" t="s">
        <v>212</v>
      </c>
      <c r="F4174" s="538">
        <v>1770000</v>
      </c>
      <c r="G4174" s="538">
        <v>110</v>
      </c>
    </row>
    <row r="4175" spans="1:7" x14ac:dyDescent="0.2">
      <c r="A4175" s="538">
        <v>6</v>
      </c>
      <c r="B4175" s="538" t="s">
        <v>6575</v>
      </c>
      <c r="C4175" s="538" t="s">
        <v>740</v>
      </c>
      <c r="D4175" s="538" t="s">
        <v>393</v>
      </c>
      <c r="E4175" s="538" t="s">
        <v>207</v>
      </c>
      <c r="F4175" s="538">
        <v>11160048</v>
      </c>
      <c r="G4175" s="538">
        <v>686</v>
      </c>
    </row>
    <row r="4176" spans="1:7" x14ac:dyDescent="0.2">
      <c r="A4176" s="538">
        <v>4</v>
      </c>
      <c r="B4176" s="538" t="s">
        <v>6562</v>
      </c>
      <c r="C4176" s="538" t="s">
        <v>740</v>
      </c>
      <c r="D4176" s="538" t="s">
        <v>393</v>
      </c>
      <c r="E4176" s="538" t="s">
        <v>210</v>
      </c>
      <c r="F4176" s="538">
        <v>3722154</v>
      </c>
      <c r="G4176" s="538">
        <v>138</v>
      </c>
    </row>
    <row r="4177" spans="1:7" x14ac:dyDescent="0.2">
      <c r="A4177" s="538">
        <v>1</v>
      </c>
      <c r="B4177" s="538" t="s">
        <v>6609</v>
      </c>
      <c r="C4177" s="538" t="s">
        <v>740</v>
      </c>
      <c r="D4177" s="538" t="s">
        <v>393</v>
      </c>
      <c r="E4177" s="538" t="s">
        <v>207</v>
      </c>
      <c r="F4177" s="538">
        <v>5320620</v>
      </c>
      <c r="G4177" s="538">
        <v>420</v>
      </c>
    </row>
    <row r="4178" spans="1:7" x14ac:dyDescent="0.2">
      <c r="A4178" s="538">
        <v>9</v>
      </c>
      <c r="B4178" s="538" t="s">
        <v>6606</v>
      </c>
      <c r="C4178" s="538" t="s">
        <v>740</v>
      </c>
      <c r="D4178" s="538" t="s">
        <v>393</v>
      </c>
      <c r="E4178" s="538" t="s">
        <v>230</v>
      </c>
      <c r="F4178" s="538">
        <v>4488439</v>
      </c>
      <c r="G4178" s="538">
        <v>128</v>
      </c>
    </row>
    <row r="4179" spans="1:7" x14ac:dyDescent="0.2">
      <c r="A4179" s="538">
        <v>2</v>
      </c>
      <c r="B4179" s="538" t="s">
        <v>6585</v>
      </c>
      <c r="C4179" s="538" t="s">
        <v>740</v>
      </c>
      <c r="D4179" s="538" t="s">
        <v>393</v>
      </c>
      <c r="E4179" s="538" t="s">
        <v>313</v>
      </c>
      <c r="F4179" s="538">
        <v>620864</v>
      </c>
      <c r="G4179" s="538">
        <v>3</v>
      </c>
    </row>
    <row r="4180" spans="1:7" x14ac:dyDescent="0.2">
      <c r="A4180" s="538">
        <v>2</v>
      </c>
      <c r="B4180" s="538" t="s">
        <v>6055</v>
      </c>
      <c r="C4180" s="538" t="s">
        <v>393</v>
      </c>
      <c r="D4180" s="538" t="s">
        <v>393</v>
      </c>
      <c r="E4180" s="538" t="s">
        <v>207</v>
      </c>
      <c r="F4180" s="538">
        <v>5268405</v>
      </c>
      <c r="G4180" s="538">
        <v>380</v>
      </c>
    </row>
    <row r="4181" spans="1:7" x14ac:dyDescent="0.2">
      <c r="A4181" s="538">
        <v>4</v>
      </c>
      <c r="B4181" s="538" t="s">
        <v>6559</v>
      </c>
      <c r="C4181" s="538" t="s">
        <v>393</v>
      </c>
      <c r="D4181" s="538" t="s">
        <v>740</v>
      </c>
      <c r="E4181" s="538" t="s">
        <v>202</v>
      </c>
      <c r="F4181" s="538">
        <v>740339</v>
      </c>
      <c r="G4181" s="538">
        <v>8</v>
      </c>
    </row>
    <row r="4182" spans="1:7" x14ac:dyDescent="0.2">
      <c r="A4182" s="538">
        <v>2</v>
      </c>
      <c r="B4182" s="538" t="s">
        <v>6573</v>
      </c>
      <c r="C4182" s="538" t="s">
        <v>740</v>
      </c>
      <c r="D4182" s="538" t="s">
        <v>740</v>
      </c>
      <c r="E4182" s="538" t="s">
        <v>438</v>
      </c>
      <c r="F4182" s="538">
        <v>496433</v>
      </c>
      <c r="G4182" s="538">
        <v>1</v>
      </c>
    </row>
    <row r="4183" spans="1:7" x14ac:dyDescent="0.2">
      <c r="A4183" s="538">
        <v>7</v>
      </c>
      <c r="B4183" s="538" t="s">
        <v>6588</v>
      </c>
      <c r="C4183" s="538" t="s">
        <v>740</v>
      </c>
      <c r="D4183" s="538" t="s">
        <v>740</v>
      </c>
      <c r="E4183" s="538" t="s">
        <v>212</v>
      </c>
      <c r="F4183" s="538">
        <v>1040000</v>
      </c>
      <c r="G4183" s="538">
        <v>40</v>
      </c>
    </row>
    <row r="4184" spans="1:7" x14ac:dyDescent="0.2">
      <c r="A4184" s="538">
        <v>9</v>
      </c>
      <c r="B4184" s="538" t="s">
        <v>6615</v>
      </c>
      <c r="C4184" s="538" t="s">
        <v>740</v>
      </c>
      <c r="D4184" s="538" t="s">
        <v>393</v>
      </c>
      <c r="E4184" s="538" t="s">
        <v>212</v>
      </c>
      <c r="F4184" s="538">
        <v>1749114</v>
      </c>
      <c r="G4184" s="538">
        <v>133</v>
      </c>
    </row>
    <row r="4185" spans="1:7" x14ac:dyDescent="0.2">
      <c r="A4185" s="538">
        <v>10</v>
      </c>
      <c r="B4185" s="538" t="s">
        <v>6587</v>
      </c>
      <c r="C4185" s="538" t="s">
        <v>740</v>
      </c>
      <c r="D4185" s="538" t="s">
        <v>393</v>
      </c>
      <c r="E4185" s="538" t="s">
        <v>419</v>
      </c>
      <c r="F4185" s="538">
        <v>11328</v>
      </c>
      <c r="G4185" s="538">
        <v>1</v>
      </c>
    </row>
    <row r="4186" spans="1:7" x14ac:dyDescent="0.2">
      <c r="A4186" s="538">
        <v>3</v>
      </c>
      <c r="B4186" s="538" t="s">
        <v>6561</v>
      </c>
      <c r="C4186" s="538" t="s">
        <v>393</v>
      </c>
      <c r="D4186" s="538" t="s">
        <v>393</v>
      </c>
      <c r="E4186" s="538" t="s">
        <v>409</v>
      </c>
      <c r="F4186" s="538">
        <v>5206018</v>
      </c>
      <c r="G4186" s="538">
        <v>121</v>
      </c>
    </row>
    <row r="4187" spans="1:7" x14ac:dyDescent="0.2">
      <c r="A4187" s="538">
        <v>6</v>
      </c>
      <c r="B4187" s="538" t="s">
        <v>6429</v>
      </c>
      <c r="C4187" s="538" t="s">
        <v>740</v>
      </c>
      <c r="D4187" s="538" t="s">
        <v>393</v>
      </c>
      <c r="E4187" s="538" t="s">
        <v>209</v>
      </c>
      <c r="F4187" s="538">
        <v>389544902</v>
      </c>
      <c r="G4187" s="538">
        <v>2319</v>
      </c>
    </row>
    <row r="4188" spans="1:7" x14ac:dyDescent="0.2">
      <c r="A4188" s="538">
        <v>5</v>
      </c>
      <c r="B4188" s="538" t="s">
        <v>6599</v>
      </c>
      <c r="C4188" s="538" t="s">
        <v>740</v>
      </c>
      <c r="D4188" s="538" t="s">
        <v>740</v>
      </c>
      <c r="E4188" s="538" t="s">
        <v>210</v>
      </c>
      <c r="F4188" s="538">
        <v>11328</v>
      </c>
      <c r="G4188" s="538">
        <v>1</v>
      </c>
    </row>
    <row r="4189" spans="1:7" x14ac:dyDescent="0.2">
      <c r="A4189" s="538">
        <v>6</v>
      </c>
      <c r="B4189" s="538" t="s">
        <v>1668</v>
      </c>
      <c r="C4189" s="538" t="s">
        <v>740</v>
      </c>
      <c r="D4189" s="538" t="s">
        <v>393</v>
      </c>
      <c r="E4189" s="538" t="s">
        <v>210</v>
      </c>
      <c r="F4189" s="538">
        <v>3929421</v>
      </c>
      <c r="G4189" s="538">
        <v>132</v>
      </c>
    </row>
    <row r="4190" spans="1:7" x14ac:dyDescent="0.2">
      <c r="A4190" s="538">
        <v>4</v>
      </c>
      <c r="B4190" s="538" t="s">
        <v>6590</v>
      </c>
      <c r="C4190" s="538" t="s">
        <v>740</v>
      </c>
      <c r="D4190" s="538" t="s">
        <v>393</v>
      </c>
      <c r="E4190" s="538" t="s">
        <v>212</v>
      </c>
      <c r="F4190" s="538">
        <v>79296</v>
      </c>
      <c r="G4190" s="538">
        <v>7</v>
      </c>
    </row>
    <row r="4191" spans="1:7" x14ac:dyDescent="0.2">
      <c r="A4191" s="538">
        <v>8</v>
      </c>
      <c r="B4191" s="538" t="s">
        <v>6583</v>
      </c>
      <c r="C4191" s="538" t="s">
        <v>740</v>
      </c>
      <c r="D4191" s="538" t="s">
        <v>740</v>
      </c>
      <c r="E4191" s="538" t="s">
        <v>860</v>
      </c>
      <c r="F4191" s="538">
        <v>944066</v>
      </c>
      <c r="G4191" s="538">
        <v>17</v>
      </c>
    </row>
    <row r="4192" spans="1:7" x14ac:dyDescent="0.2">
      <c r="A4192" s="538">
        <v>5</v>
      </c>
      <c r="B4192" s="538" t="s">
        <v>6651</v>
      </c>
      <c r="C4192" s="538" t="s">
        <v>740</v>
      </c>
      <c r="D4192" s="538" t="s">
        <v>393</v>
      </c>
      <c r="E4192" s="538" t="s">
        <v>207</v>
      </c>
      <c r="F4192" s="538">
        <v>22656</v>
      </c>
      <c r="G4192" s="538">
        <v>2</v>
      </c>
    </row>
    <row r="4193" spans="1:7" x14ac:dyDescent="0.2">
      <c r="A4193" s="538">
        <v>5</v>
      </c>
      <c r="B4193" s="538" t="s">
        <v>6651</v>
      </c>
      <c r="C4193" s="538" t="s">
        <v>740</v>
      </c>
      <c r="D4193" s="538" t="s">
        <v>393</v>
      </c>
      <c r="E4193" s="538" t="s">
        <v>202</v>
      </c>
      <c r="F4193" s="538">
        <v>1202788</v>
      </c>
      <c r="G4193" s="538">
        <v>6</v>
      </c>
    </row>
    <row r="4194" spans="1:7" x14ac:dyDescent="0.2">
      <c r="A4194" s="538">
        <v>10</v>
      </c>
      <c r="B4194" s="538" t="s">
        <v>6597</v>
      </c>
      <c r="C4194" s="538" t="s">
        <v>740</v>
      </c>
      <c r="D4194" s="538" t="s">
        <v>393</v>
      </c>
      <c r="E4194" s="538" t="s">
        <v>209</v>
      </c>
      <c r="F4194" s="538">
        <v>4006791</v>
      </c>
      <c r="G4194" s="538">
        <v>22</v>
      </c>
    </row>
    <row r="4195" spans="1:7" x14ac:dyDescent="0.2">
      <c r="A4195" s="538">
        <v>9</v>
      </c>
      <c r="B4195" s="538" t="s">
        <v>6657</v>
      </c>
      <c r="C4195" s="538" t="s">
        <v>740</v>
      </c>
      <c r="D4195" s="538" t="s">
        <v>740</v>
      </c>
      <c r="E4195" s="538" t="s">
        <v>210</v>
      </c>
      <c r="F4195" s="538">
        <v>11328</v>
      </c>
      <c r="G4195" s="538">
        <v>1</v>
      </c>
    </row>
    <row r="4196" spans="1:7" x14ac:dyDescent="0.2">
      <c r="A4196" s="538">
        <v>4</v>
      </c>
      <c r="B4196" s="538" t="s">
        <v>6593</v>
      </c>
      <c r="C4196" s="538" t="s">
        <v>740</v>
      </c>
      <c r="D4196" s="538" t="s">
        <v>393</v>
      </c>
      <c r="E4196" s="538" t="s">
        <v>409</v>
      </c>
      <c r="F4196" s="538">
        <v>74163</v>
      </c>
      <c r="G4196" s="538">
        <v>1</v>
      </c>
    </row>
    <row r="4197" spans="1:7" x14ac:dyDescent="0.2">
      <c r="A4197" s="538">
        <v>1</v>
      </c>
      <c r="B4197" s="538" t="s">
        <v>6609</v>
      </c>
      <c r="C4197" s="538" t="s">
        <v>740</v>
      </c>
      <c r="D4197" s="538" t="s">
        <v>393</v>
      </c>
      <c r="E4197" s="538" t="s">
        <v>209</v>
      </c>
      <c r="F4197" s="538">
        <v>2307570</v>
      </c>
      <c r="G4197" s="538">
        <v>15</v>
      </c>
    </row>
    <row r="4198" spans="1:7" x14ac:dyDescent="0.2">
      <c r="A4198" s="538">
        <v>6</v>
      </c>
      <c r="B4198" s="538" t="s">
        <v>6565</v>
      </c>
      <c r="C4198" s="538" t="s">
        <v>393</v>
      </c>
      <c r="D4198" s="538" t="s">
        <v>740</v>
      </c>
      <c r="E4198" s="538" t="s">
        <v>390</v>
      </c>
      <c r="F4198" s="538">
        <v>5485907</v>
      </c>
      <c r="G4198" s="538">
        <v>109</v>
      </c>
    </row>
    <row r="4199" spans="1:7" x14ac:dyDescent="0.2">
      <c r="A4199" s="538">
        <v>5</v>
      </c>
      <c r="B4199" s="538" t="s">
        <v>6598</v>
      </c>
      <c r="C4199" s="538" t="s">
        <v>393</v>
      </c>
      <c r="D4199" s="538" t="s">
        <v>393</v>
      </c>
      <c r="E4199" s="538" t="s">
        <v>313</v>
      </c>
      <c r="F4199" s="538">
        <v>233817</v>
      </c>
      <c r="G4199" s="538">
        <v>4</v>
      </c>
    </row>
    <row r="4200" spans="1:7" x14ac:dyDescent="0.2">
      <c r="A4200" s="538">
        <v>10</v>
      </c>
      <c r="B4200" s="538" t="s">
        <v>6587</v>
      </c>
      <c r="C4200" s="538" t="s">
        <v>740</v>
      </c>
      <c r="D4200" s="538" t="s">
        <v>740</v>
      </c>
      <c r="E4200" s="538" t="s">
        <v>860</v>
      </c>
      <c r="F4200" s="538">
        <v>33984</v>
      </c>
      <c r="G4200" s="538">
        <v>3</v>
      </c>
    </row>
    <row r="4201" spans="1:7" x14ac:dyDescent="0.2">
      <c r="A4201" s="538">
        <v>8</v>
      </c>
      <c r="B4201" s="538" t="s">
        <v>6648</v>
      </c>
      <c r="C4201" s="538" t="s">
        <v>740</v>
      </c>
      <c r="D4201" s="538" t="s">
        <v>393</v>
      </c>
      <c r="E4201" s="538" t="s">
        <v>209</v>
      </c>
      <c r="F4201" s="538">
        <v>1327219</v>
      </c>
      <c r="G4201" s="538">
        <v>8</v>
      </c>
    </row>
    <row r="4202" spans="1:7" x14ac:dyDescent="0.2">
      <c r="A4202" s="538">
        <v>4</v>
      </c>
      <c r="B4202" s="538" t="s">
        <v>6562</v>
      </c>
      <c r="C4202" s="538" t="s">
        <v>740</v>
      </c>
      <c r="D4202" s="538" t="s">
        <v>740</v>
      </c>
      <c r="E4202" s="538" t="s">
        <v>202</v>
      </c>
      <c r="F4202" s="538">
        <v>1571125</v>
      </c>
      <c r="G4202" s="538">
        <v>15</v>
      </c>
    </row>
    <row r="4203" spans="1:7" x14ac:dyDescent="0.2">
      <c r="A4203" s="538">
        <v>8</v>
      </c>
      <c r="B4203" s="538" t="s">
        <v>6577</v>
      </c>
      <c r="C4203" s="538" t="s">
        <v>740</v>
      </c>
      <c r="D4203" s="538" t="s">
        <v>393</v>
      </c>
      <c r="E4203" s="538" t="s">
        <v>230</v>
      </c>
      <c r="F4203" s="538">
        <v>4593931</v>
      </c>
      <c r="G4203" s="538">
        <v>132</v>
      </c>
    </row>
    <row r="4204" spans="1:7" x14ac:dyDescent="0.2">
      <c r="A4204" s="538">
        <v>4</v>
      </c>
      <c r="B4204" s="538" t="s">
        <v>6562</v>
      </c>
      <c r="C4204" s="538" t="s">
        <v>740</v>
      </c>
      <c r="D4204" s="538" t="s">
        <v>740</v>
      </c>
      <c r="E4204" s="538" t="s">
        <v>212</v>
      </c>
      <c r="F4204" s="538">
        <v>242844</v>
      </c>
      <c r="G4204" s="538">
        <v>18</v>
      </c>
    </row>
    <row r="4205" spans="1:7" x14ac:dyDescent="0.2">
      <c r="A4205" s="538">
        <v>1</v>
      </c>
      <c r="B4205" s="538" t="s">
        <v>1288</v>
      </c>
      <c r="C4205" s="538" t="s">
        <v>740</v>
      </c>
      <c r="D4205" s="538" t="s">
        <v>393</v>
      </c>
      <c r="E4205" s="538" t="s">
        <v>211</v>
      </c>
      <c r="F4205" s="538">
        <v>11328</v>
      </c>
      <c r="G4205" s="538">
        <v>1</v>
      </c>
    </row>
    <row r="4206" spans="1:7" x14ac:dyDescent="0.2">
      <c r="A4206" s="538">
        <v>1</v>
      </c>
      <c r="B4206" s="538" t="s">
        <v>6581</v>
      </c>
      <c r="C4206" s="538" t="s">
        <v>740</v>
      </c>
      <c r="D4206" s="538" t="s">
        <v>393</v>
      </c>
      <c r="E4206" s="538" t="s">
        <v>402</v>
      </c>
      <c r="F4206" s="538">
        <v>187443</v>
      </c>
      <c r="G4206" s="538">
        <v>11</v>
      </c>
    </row>
    <row r="4207" spans="1:7" x14ac:dyDescent="0.2">
      <c r="A4207" s="538">
        <v>2</v>
      </c>
      <c r="B4207" s="538" t="s">
        <v>6055</v>
      </c>
      <c r="C4207" s="538" t="s">
        <v>740</v>
      </c>
      <c r="D4207" s="538" t="s">
        <v>740</v>
      </c>
      <c r="E4207" s="538" t="s">
        <v>202</v>
      </c>
      <c r="F4207" s="538">
        <v>6057107</v>
      </c>
      <c r="G4207" s="538">
        <v>64</v>
      </c>
    </row>
    <row r="4208" spans="1:7" x14ac:dyDescent="0.2">
      <c r="A4208" s="538">
        <v>10</v>
      </c>
      <c r="B4208" s="538" t="s">
        <v>6587</v>
      </c>
      <c r="C4208" s="538" t="s">
        <v>740</v>
      </c>
      <c r="D4208" s="538" t="s">
        <v>393</v>
      </c>
      <c r="E4208" s="538" t="s">
        <v>202</v>
      </c>
      <c r="F4208" s="538">
        <v>108147</v>
      </c>
      <c r="G4208" s="538">
        <v>4</v>
      </c>
    </row>
    <row r="4209" spans="1:7" x14ac:dyDescent="0.2">
      <c r="A4209" s="538">
        <v>3</v>
      </c>
      <c r="B4209" s="538" t="s">
        <v>6647</v>
      </c>
      <c r="C4209" s="538" t="s">
        <v>740</v>
      </c>
      <c r="D4209" s="538" t="s">
        <v>740</v>
      </c>
      <c r="E4209" s="538" t="s">
        <v>416</v>
      </c>
      <c r="F4209" s="538">
        <v>470289</v>
      </c>
      <c r="G4209" s="538">
        <v>18</v>
      </c>
    </row>
    <row r="4210" spans="1:7" x14ac:dyDescent="0.2">
      <c r="A4210" s="538">
        <v>3</v>
      </c>
      <c r="B4210" s="538" t="s">
        <v>6647</v>
      </c>
      <c r="C4210" s="538" t="s">
        <v>740</v>
      </c>
      <c r="D4210" s="538" t="s">
        <v>740</v>
      </c>
      <c r="E4210" s="538" t="s">
        <v>207</v>
      </c>
      <c r="F4210" s="538">
        <v>480732</v>
      </c>
      <c r="G4210" s="538">
        <v>39</v>
      </c>
    </row>
    <row r="4211" spans="1:7" x14ac:dyDescent="0.2">
      <c r="A4211" s="538">
        <v>5</v>
      </c>
      <c r="B4211" s="538" t="s">
        <v>6589</v>
      </c>
      <c r="C4211" s="538" t="s">
        <v>740</v>
      </c>
      <c r="D4211" s="538" t="s">
        <v>393</v>
      </c>
      <c r="E4211" s="538" t="s">
        <v>416</v>
      </c>
      <c r="F4211" s="538">
        <v>108147</v>
      </c>
      <c r="G4211" s="538">
        <v>4</v>
      </c>
    </row>
    <row r="4212" spans="1:7" x14ac:dyDescent="0.2">
      <c r="A4212" s="538">
        <v>9</v>
      </c>
      <c r="B4212" s="538" t="s">
        <v>6644</v>
      </c>
      <c r="C4212" s="538" t="s">
        <v>393</v>
      </c>
      <c r="D4212" s="538" t="s">
        <v>393</v>
      </c>
      <c r="E4212" s="538" t="s">
        <v>212</v>
      </c>
      <c r="F4212" s="538">
        <v>1446215</v>
      </c>
      <c r="G4212" s="538">
        <v>60</v>
      </c>
    </row>
    <row r="4213" spans="1:7" x14ac:dyDescent="0.2">
      <c r="A4213" s="538">
        <v>2</v>
      </c>
      <c r="B4213" s="538" t="s">
        <v>6585</v>
      </c>
      <c r="C4213" s="538" t="s">
        <v>740</v>
      </c>
      <c r="D4213" s="538" t="s">
        <v>393</v>
      </c>
      <c r="E4213" s="538" t="s">
        <v>209</v>
      </c>
      <c r="F4213" s="538">
        <v>124431</v>
      </c>
      <c r="G4213" s="538">
        <v>2</v>
      </c>
    </row>
    <row r="4214" spans="1:7" x14ac:dyDescent="0.2">
      <c r="A4214" s="538">
        <v>6</v>
      </c>
      <c r="B4214" s="538" t="s">
        <v>6429</v>
      </c>
      <c r="C4214" s="538" t="s">
        <v>740</v>
      </c>
      <c r="D4214" s="538" t="s">
        <v>740</v>
      </c>
      <c r="E4214" s="538" t="s">
        <v>449</v>
      </c>
      <c r="F4214" s="538">
        <v>22656</v>
      </c>
      <c r="G4214" s="538">
        <v>2</v>
      </c>
    </row>
    <row r="4215" spans="1:7" x14ac:dyDescent="0.2">
      <c r="A4215" s="538">
        <v>7</v>
      </c>
      <c r="B4215" s="538" t="s">
        <v>6661</v>
      </c>
      <c r="C4215" s="538" t="s">
        <v>393</v>
      </c>
      <c r="D4215" s="538" t="s">
        <v>393</v>
      </c>
      <c r="E4215" s="538" t="s">
        <v>202</v>
      </c>
      <c r="F4215" s="538">
        <v>6881542</v>
      </c>
      <c r="G4215" s="538">
        <v>54</v>
      </c>
    </row>
    <row r="4216" spans="1:7" x14ac:dyDescent="0.2">
      <c r="A4216" s="538">
        <v>1</v>
      </c>
      <c r="B4216" s="538" t="s">
        <v>6646</v>
      </c>
      <c r="C4216" s="538" t="s">
        <v>740</v>
      </c>
      <c r="D4216" s="538" t="s">
        <v>393</v>
      </c>
      <c r="E4216" s="538" t="s">
        <v>409</v>
      </c>
      <c r="F4216" s="538">
        <v>123192</v>
      </c>
      <c r="G4216" s="538">
        <v>4</v>
      </c>
    </row>
    <row r="4217" spans="1:7" x14ac:dyDescent="0.2">
      <c r="A4217" s="538">
        <v>11</v>
      </c>
      <c r="B4217" s="538" t="s">
        <v>6612</v>
      </c>
      <c r="C4217" s="538" t="s">
        <v>740</v>
      </c>
      <c r="D4217" s="538" t="s">
        <v>393</v>
      </c>
      <c r="E4217" s="538" t="s">
        <v>230</v>
      </c>
      <c r="F4217" s="538">
        <v>4503609</v>
      </c>
      <c r="G4217" s="538">
        <v>128</v>
      </c>
    </row>
    <row r="4218" spans="1:7" x14ac:dyDescent="0.2">
      <c r="A4218" s="538">
        <v>5</v>
      </c>
      <c r="B4218" s="538" t="s">
        <v>6599</v>
      </c>
      <c r="C4218" s="538" t="s">
        <v>740</v>
      </c>
      <c r="D4218" s="538" t="s">
        <v>393</v>
      </c>
      <c r="E4218" s="538" t="s">
        <v>202</v>
      </c>
      <c r="F4218" s="538">
        <v>170982</v>
      </c>
      <c r="G4218" s="538">
        <v>4</v>
      </c>
    </row>
    <row r="4219" spans="1:7" x14ac:dyDescent="0.2">
      <c r="A4219" s="538">
        <v>5</v>
      </c>
      <c r="B4219" s="538" t="s">
        <v>6651</v>
      </c>
      <c r="C4219" s="538" t="s">
        <v>393</v>
      </c>
      <c r="D4219" s="538" t="s">
        <v>393</v>
      </c>
      <c r="E4219" s="538" t="s">
        <v>390</v>
      </c>
      <c r="F4219" s="538">
        <v>5062877</v>
      </c>
      <c r="G4219" s="538">
        <v>129</v>
      </c>
    </row>
    <row r="4220" spans="1:7" x14ac:dyDescent="0.2">
      <c r="A4220" s="538">
        <v>3</v>
      </c>
      <c r="B4220" s="538" t="s">
        <v>6647</v>
      </c>
      <c r="C4220" s="538" t="s">
        <v>740</v>
      </c>
      <c r="D4220" s="538" t="s">
        <v>740</v>
      </c>
      <c r="E4220" s="538" t="s">
        <v>401</v>
      </c>
      <c r="F4220" s="538">
        <v>33984</v>
      </c>
      <c r="G4220" s="538">
        <v>3</v>
      </c>
    </row>
    <row r="4221" spans="1:7" x14ac:dyDescent="0.2">
      <c r="A4221" s="538">
        <v>12</v>
      </c>
      <c r="B4221" s="538" t="s">
        <v>6563</v>
      </c>
      <c r="C4221" s="538" t="s">
        <v>740</v>
      </c>
      <c r="D4221" s="538" t="s">
        <v>393</v>
      </c>
      <c r="E4221" s="538" t="s">
        <v>210</v>
      </c>
      <c r="F4221" s="538">
        <v>188381106</v>
      </c>
      <c r="G4221" s="538">
        <v>7242</v>
      </c>
    </row>
    <row r="4222" spans="1:7" x14ac:dyDescent="0.2">
      <c r="A4222" s="538">
        <v>10</v>
      </c>
      <c r="B4222" s="538" t="s">
        <v>6582</v>
      </c>
      <c r="C4222" s="538" t="s">
        <v>740</v>
      </c>
      <c r="D4222" s="538" t="s">
        <v>393</v>
      </c>
      <c r="E4222" s="538" t="s">
        <v>860</v>
      </c>
      <c r="F4222" s="538">
        <v>11328</v>
      </c>
      <c r="G4222" s="538">
        <v>1</v>
      </c>
    </row>
    <row r="4223" spans="1:7" x14ac:dyDescent="0.2">
      <c r="A4223" s="538">
        <v>9</v>
      </c>
      <c r="B4223" s="538" t="s">
        <v>6613</v>
      </c>
      <c r="C4223" s="538" t="s">
        <v>393</v>
      </c>
      <c r="D4223" s="538" t="s">
        <v>393</v>
      </c>
      <c r="E4223" s="538" t="s">
        <v>401</v>
      </c>
      <c r="F4223" s="538">
        <v>523212</v>
      </c>
      <c r="G4223" s="538">
        <v>24</v>
      </c>
    </row>
    <row r="4224" spans="1:7" x14ac:dyDescent="0.2">
      <c r="A4224" s="538">
        <v>3</v>
      </c>
      <c r="B4224" s="538" t="s">
        <v>6647</v>
      </c>
      <c r="C4224" s="538" t="s">
        <v>393</v>
      </c>
      <c r="D4224" s="538" t="s">
        <v>393</v>
      </c>
      <c r="E4224" s="538" t="s">
        <v>402</v>
      </c>
      <c r="F4224" s="538">
        <v>1518608</v>
      </c>
      <c r="G4224" s="538">
        <v>36</v>
      </c>
    </row>
    <row r="4225" spans="1:7" x14ac:dyDescent="0.2">
      <c r="A4225" s="538">
        <v>1</v>
      </c>
      <c r="B4225" s="538" t="s">
        <v>6663</v>
      </c>
      <c r="C4225" s="538" t="s">
        <v>393</v>
      </c>
      <c r="D4225" s="538" t="s">
        <v>740</v>
      </c>
      <c r="E4225" s="538" t="s">
        <v>211</v>
      </c>
      <c r="F4225" s="538">
        <v>5007268</v>
      </c>
      <c r="G4225" s="538">
        <v>26</v>
      </c>
    </row>
    <row r="4226" spans="1:7" x14ac:dyDescent="0.2">
      <c r="A4226" s="538">
        <v>7</v>
      </c>
      <c r="B4226" s="538" t="s">
        <v>6594</v>
      </c>
      <c r="C4226" s="538" t="s">
        <v>740</v>
      </c>
      <c r="D4226" s="538" t="s">
        <v>740</v>
      </c>
      <c r="E4226" s="538" t="s">
        <v>449</v>
      </c>
      <c r="F4226" s="538">
        <v>289395</v>
      </c>
      <c r="G4226" s="538">
        <v>20</v>
      </c>
    </row>
    <row r="4227" spans="1:7" x14ac:dyDescent="0.2">
      <c r="A4227" s="538">
        <v>8</v>
      </c>
      <c r="B4227" s="538" t="s">
        <v>6583</v>
      </c>
      <c r="C4227" s="538" t="s">
        <v>393</v>
      </c>
      <c r="D4227" s="538" t="s">
        <v>393</v>
      </c>
      <c r="E4227" s="538" t="s">
        <v>402</v>
      </c>
      <c r="F4227" s="538">
        <v>7068235</v>
      </c>
      <c r="G4227" s="538">
        <v>250</v>
      </c>
    </row>
    <row r="4228" spans="1:7" x14ac:dyDescent="0.2">
      <c r="A4228" s="538">
        <v>8</v>
      </c>
      <c r="B4228" s="538" t="s">
        <v>6560</v>
      </c>
      <c r="C4228" s="538" t="s">
        <v>740</v>
      </c>
      <c r="D4228" s="538" t="s">
        <v>740</v>
      </c>
      <c r="E4228" s="538" t="s">
        <v>409</v>
      </c>
      <c r="F4228" s="538">
        <v>1059345</v>
      </c>
      <c r="G4228" s="538">
        <v>70</v>
      </c>
    </row>
    <row r="4229" spans="1:7" x14ac:dyDescent="0.2">
      <c r="A4229" s="538">
        <v>3</v>
      </c>
      <c r="B4229" s="538" t="s">
        <v>1390</v>
      </c>
      <c r="C4229" s="538" t="s">
        <v>740</v>
      </c>
      <c r="D4229" s="538" t="s">
        <v>740</v>
      </c>
      <c r="E4229" s="538" t="s">
        <v>211</v>
      </c>
      <c r="F4229" s="538">
        <v>850964</v>
      </c>
      <c r="G4229" s="538">
        <v>13</v>
      </c>
    </row>
    <row r="4230" spans="1:7" x14ac:dyDescent="0.2">
      <c r="A4230" s="538">
        <v>9</v>
      </c>
      <c r="B4230" s="538" t="s">
        <v>6606</v>
      </c>
      <c r="C4230" s="538" t="s">
        <v>740</v>
      </c>
      <c r="D4230" s="538" t="s">
        <v>740</v>
      </c>
      <c r="E4230" s="538" t="s">
        <v>409</v>
      </c>
      <c r="F4230" s="538">
        <v>130803</v>
      </c>
      <c r="G4230" s="538">
        <v>6</v>
      </c>
    </row>
    <row r="4231" spans="1:7" x14ac:dyDescent="0.2">
      <c r="A4231" s="538">
        <v>5</v>
      </c>
      <c r="B4231" s="538" t="s">
        <v>6599</v>
      </c>
      <c r="C4231" s="538" t="s">
        <v>740</v>
      </c>
      <c r="D4231" s="538" t="s">
        <v>393</v>
      </c>
      <c r="E4231" s="538" t="s">
        <v>210</v>
      </c>
      <c r="F4231" s="538">
        <v>11017407</v>
      </c>
      <c r="G4231" s="538">
        <v>439</v>
      </c>
    </row>
    <row r="4232" spans="1:7" x14ac:dyDescent="0.2">
      <c r="A4232" s="538">
        <v>6</v>
      </c>
      <c r="B4232" s="538" t="s">
        <v>6429</v>
      </c>
      <c r="C4232" s="538" t="s">
        <v>740</v>
      </c>
      <c r="D4232" s="538" t="s">
        <v>393</v>
      </c>
      <c r="E4232" s="538" t="s">
        <v>212</v>
      </c>
      <c r="F4232" s="538">
        <v>3068118</v>
      </c>
      <c r="G4232" s="538">
        <v>246</v>
      </c>
    </row>
    <row r="4233" spans="1:7" x14ac:dyDescent="0.2">
      <c r="A4233" s="538">
        <v>2</v>
      </c>
      <c r="B4233" s="538" t="s">
        <v>6055</v>
      </c>
      <c r="C4233" s="538" t="s">
        <v>740</v>
      </c>
      <c r="D4233" s="538" t="s">
        <v>740</v>
      </c>
      <c r="E4233" s="538" t="s">
        <v>209</v>
      </c>
      <c r="F4233" s="538">
        <v>3126924</v>
      </c>
      <c r="G4233" s="538">
        <v>8</v>
      </c>
    </row>
    <row r="4234" spans="1:7" x14ac:dyDescent="0.2">
      <c r="A4234" s="538">
        <v>2</v>
      </c>
      <c r="B4234" s="538" t="s">
        <v>6055</v>
      </c>
      <c r="C4234" s="538" t="s">
        <v>740</v>
      </c>
      <c r="D4234" s="538" t="s">
        <v>393</v>
      </c>
      <c r="E4234" s="538" t="s">
        <v>202</v>
      </c>
      <c r="F4234" s="538">
        <v>15986506</v>
      </c>
      <c r="G4234" s="538">
        <v>137</v>
      </c>
    </row>
    <row r="4235" spans="1:7" x14ac:dyDescent="0.2">
      <c r="A4235" s="538">
        <v>2</v>
      </c>
      <c r="B4235" s="538" t="s">
        <v>6654</v>
      </c>
      <c r="C4235" s="538" t="s">
        <v>740</v>
      </c>
      <c r="D4235" s="538" t="s">
        <v>740</v>
      </c>
      <c r="E4235" s="538" t="s">
        <v>409</v>
      </c>
      <c r="F4235" s="538">
        <v>145848</v>
      </c>
      <c r="G4235" s="538">
        <v>6</v>
      </c>
    </row>
    <row r="4236" spans="1:7" x14ac:dyDescent="0.2">
      <c r="A4236" s="538">
        <v>11</v>
      </c>
      <c r="B4236" s="538" t="s">
        <v>6660</v>
      </c>
      <c r="C4236" s="538" t="s">
        <v>393</v>
      </c>
      <c r="D4236" s="538" t="s">
        <v>393</v>
      </c>
      <c r="E4236" s="538" t="s">
        <v>438</v>
      </c>
      <c r="F4236" s="538">
        <v>9681828</v>
      </c>
      <c r="G4236" s="538">
        <v>76</v>
      </c>
    </row>
    <row r="4237" spans="1:7" x14ac:dyDescent="0.2">
      <c r="A4237" s="538">
        <v>4</v>
      </c>
      <c r="B4237" s="538" t="s">
        <v>6593</v>
      </c>
      <c r="C4237" s="538" t="s">
        <v>393</v>
      </c>
      <c r="D4237" s="538" t="s">
        <v>393</v>
      </c>
      <c r="E4237" s="538" t="s">
        <v>207</v>
      </c>
      <c r="F4237" s="538">
        <v>13899602</v>
      </c>
      <c r="G4237" s="538">
        <v>824</v>
      </c>
    </row>
    <row r="4238" spans="1:7" x14ac:dyDescent="0.2">
      <c r="A4238" s="538">
        <v>2</v>
      </c>
      <c r="B4238" s="538" t="s">
        <v>6656</v>
      </c>
      <c r="C4238" s="538" t="s">
        <v>393</v>
      </c>
      <c r="D4238" s="538" t="s">
        <v>393</v>
      </c>
      <c r="E4238" s="538" t="s">
        <v>202</v>
      </c>
      <c r="F4238" s="538">
        <v>9267377</v>
      </c>
      <c r="G4238" s="538">
        <v>104</v>
      </c>
    </row>
    <row r="4239" spans="1:7" x14ac:dyDescent="0.2">
      <c r="A4239" s="538">
        <v>6</v>
      </c>
      <c r="B4239" s="538" t="s">
        <v>6429</v>
      </c>
      <c r="C4239" s="538" t="s">
        <v>740</v>
      </c>
      <c r="D4239" s="538" t="s">
        <v>740</v>
      </c>
      <c r="E4239" s="538" t="s">
        <v>202</v>
      </c>
      <c r="F4239" s="538">
        <v>22656</v>
      </c>
      <c r="G4239" s="538">
        <v>2</v>
      </c>
    </row>
    <row r="4240" spans="1:7" x14ac:dyDescent="0.2">
      <c r="A4240" s="538">
        <v>9</v>
      </c>
      <c r="B4240" s="538" t="s">
        <v>6644</v>
      </c>
      <c r="C4240" s="538" t="s">
        <v>393</v>
      </c>
      <c r="D4240" s="538" t="s">
        <v>393</v>
      </c>
      <c r="E4240" s="538" t="s">
        <v>207</v>
      </c>
      <c r="F4240" s="538">
        <v>9543382</v>
      </c>
      <c r="G4240" s="538">
        <v>574</v>
      </c>
    </row>
    <row r="4241" spans="1:7" x14ac:dyDescent="0.2">
      <c r="A4241" s="538">
        <v>7</v>
      </c>
      <c r="B4241" s="538" t="s">
        <v>6604</v>
      </c>
      <c r="C4241" s="538" t="s">
        <v>740</v>
      </c>
      <c r="D4241" s="538" t="s">
        <v>740</v>
      </c>
      <c r="E4241" s="538" t="s">
        <v>207</v>
      </c>
      <c r="F4241" s="538">
        <v>129564</v>
      </c>
      <c r="G4241" s="538">
        <v>8</v>
      </c>
    </row>
    <row r="4242" spans="1:7" x14ac:dyDescent="0.2">
      <c r="A4242" s="538">
        <v>7</v>
      </c>
      <c r="B4242" s="538" t="s">
        <v>6564</v>
      </c>
      <c r="C4242" s="538" t="s">
        <v>740</v>
      </c>
      <c r="D4242" s="538" t="s">
        <v>393</v>
      </c>
      <c r="E4242" s="538" t="s">
        <v>402</v>
      </c>
      <c r="F4242" s="538">
        <v>8078478</v>
      </c>
      <c r="G4242" s="538">
        <v>461</v>
      </c>
    </row>
    <row r="4243" spans="1:7" x14ac:dyDescent="0.2">
      <c r="A4243" s="538">
        <v>6</v>
      </c>
      <c r="B4243" s="538" t="s">
        <v>6565</v>
      </c>
      <c r="C4243" s="538" t="s">
        <v>740</v>
      </c>
      <c r="D4243" s="538" t="s">
        <v>740</v>
      </c>
      <c r="E4243" s="538" t="s">
        <v>438</v>
      </c>
      <c r="F4243" s="538">
        <v>546701</v>
      </c>
      <c r="G4243" s="538">
        <v>2</v>
      </c>
    </row>
    <row r="4244" spans="1:7" x14ac:dyDescent="0.2">
      <c r="A4244" s="538">
        <v>11</v>
      </c>
      <c r="B4244" s="538" t="s">
        <v>6610</v>
      </c>
      <c r="C4244" s="538" t="s">
        <v>740</v>
      </c>
      <c r="D4244" s="538" t="s">
        <v>393</v>
      </c>
      <c r="E4244" s="538" t="s">
        <v>449</v>
      </c>
      <c r="F4244" s="538">
        <v>85491</v>
      </c>
      <c r="G4244" s="538">
        <v>2</v>
      </c>
    </row>
    <row r="4245" spans="1:7" x14ac:dyDescent="0.2">
      <c r="A4245" s="538">
        <v>11</v>
      </c>
      <c r="B4245" s="538" t="s">
        <v>6612</v>
      </c>
      <c r="C4245" s="538" t="s">
        <v>393</v>
      </c>
      <c r="D4245" s="538" t="s">
        <v>393</v>
      </c>
      <c r="E4245" s="538" t="s">
        <v>390</v>
      </c>
      <c r="F4245" s="538">
        <v>9464284</v>
      </c>
      <c r="G4245" s="538">
        <v>258</v>
      </c>
    </row>
    <row r="4246" spans="1:7" x14ac:dyDescent="0.2">
      <c r="A4246" s="538">
        <v>4</v>
      </c>
      <c r="B4246" s="538" t="s">
        <v>6574</v>
      </c>
      <c r="C4246" s="538" t="s">
        <v>740</v>
      </c>
      <c r="D4246" s="538" t="s">
        <v>393</v>
      </c>
      <c r="E4246" s="538" t="s">
        <v>860</v>
      </c>
      <c r="F4246" s="538">
        <v>56640</v>
      </c>
      <c r="G4246" s="538">
        <v>5</v>
      </c>
    </row>
    <row r="4247" spans="1:7" x14ac:dyDescent="0.2">
      <c r="A4247" s="538">
        <v>6</v>
      </c>
      <c r="B4247" s="538" t="s">
        <v>6575</v>
      </c>
      <c r="C4247" s="538" t="s">
        <v>740</v>
      </c>
      <c r="D4247" s="538" t="s">
        <v>393</v>
      </c>
      <c r="E4247" s="538" t="s">
        <v>416</v>
      </c>
      <c r="F4247" s="538">
        <v>61008405</v>
      </c>
      <c r="G4247" s="538">
        <v>1445</v>
      </c>
    </row>
    <row r="4248" spans="1:7" x14ac:dyDescent="0.2">
      <c r="A4248" s="538">
        <v>12</v>
      </c>
      <c r="B4248" s="538" t="s">
        <v>6569</v>
      </c>
      <c r="C4248" s="538" t="s">
        <v>393</v>
      </c>
      <c r="D4248" s="538" t="s">
        <v>393</v>
      </c>
      <c r="E4248" s="538" t="s">
        <v>207</v>
      </c>
      <c r="F4248" s="538">
        <v>2524270</v>
      </c>
      <c r="G4248" s="538">
        <v>115</v>
      </c>
    </row>
    <row r="4249" spans="1:7" x14ac:dyDescent="0.2">
      <c r="A4249" s="538">
        <v>7</v>
      </c>
      <c r="B4249" s="538" t="s">
        <v>6594</v>
      </c>
      <c r="C4249" s="538" t="s">
        <v>740</v>
      </c>
      <c r="D4249" s="538" t="s">
        <v>393</v>
      </c>
      <c r="E4249" s="538" t="s">
        <v>390</v>
      </c>
      <c r="F4249" s="538">
        <v>739100</v>
      </c>
      <c r="G4249" s="538">
        <v>10</v>
      </c>
    </row>
    <row r="4250" spans="1:7" x14ac:dyDescent="0.2">
      <c r="A4250" s="538">
        <v>10</v>
      </c>
      <c r="B4250" s="538" t="s">
        <v>6587</v>
      </c>
      <c r="C4250" s="538" t="s">
        <v>740</v>
      </c>
      <c r="D4250" s="538" t="s">
        <v>740</v>
      </c>
      <c r="E4250" s="538" t="s">
        <v>230</v>
      </c>
      <c r="F4250" s="538">
        <v>85491</v>
      </c>
      <c r="G4250" s="538">
        <v>2</v>
      </c>
    </row>
    <row r="4251" spans="1:7" x14ac:dyDescent="0.2">
      <c r="A4251" s="538">
        <v>8</v>
      </c>
      <c r="B4251" s="538" t="s">
        <v>6560</v>
      </c>
      <c r="C4251" s="538" t="s">
        <v>393</v>
      </c>
      <c r="D4251" s="538" t="s">
        <v>393</v>
      </c>
      <c r="E4251" s="538" t="s">
        <v>313</v>
      </c>
      <c r="F4251" s="538">
        <v>718922</v>
      </c>
      <c r="G4251" s="538">
        <v>4</v>
      </c>
    </row>
    <row r="4252" spans="1:7" x14ac:dyDescent="0.2">
      <c r="A4252" s="538">
        <v>2</v>
      </c>
      <c r="B4252" s="538" t="s">
        <v>6055</v>
      </c>
      <c r="C4252" s="538" t="s">
        <v>740</v>
      </c>
      <c r="D4252" s="538" t="s">
        <v>393</v>
      </c>
      <c r="E4252" s="538" t="s">
        <v>230</v>
      </c>
      <c r="F4252" s="538">
        <v>1533830</v>
      </c>
      <c r="G4252" s="538">
        <v>40</v>
      </c>
    </row>
    <row r="4253" spans="1:7" x14ac:dyDescent="0.2">
      <c r="A4253" s="538">
        <v>8</v>
      </c>
      <c r="B4253" s="538" t="s">
        <v>6570</v>
      </c>
      <c r="C4253" s="538" t="s">
        <v>740</v>
      </c>
      <c r="D4253" s="538" t="s">
        <v>393</v>
      </c>
      <c r="E4253" s="538" t="s">
        <v>209</v>
      </c>
      <c r="F4253" s="538">
        <v>2418143</v>
      </c>
      <c r="G4253" s="538">
        <v>11</v>
      </c>
    </row>
    <row r="4254" spans="1:7" x14ac:dyDescent="0.2">
      <c r="A4254" s="538">
        <v>7</v>
      </c>
      <c r="B4254" s="538" t="s">
        <v>6661</v>
      </c>
      <c r="C4254" s="538" t="s">
        <v>393</v>
      </c>
      <c r="D4254" s="538" t="s">
        <v>393</v>
      </c>
      <c r="E4254" s="538" t="s">
        <v>209</v>
      </c>
      <c r="F4254" s="538">
        <v>1574790</v>
      </c>
      <c r="G4254" s="538">
        <v>5</v>
      </c>
    </row>
    <row r="4255" spans="1:7" x14ac:dyDescent="0.2">
      <c r="A4255" s="538">
        <v>9</v>
      </c>
      <c r="B4255" s="538" t="s">
        <v>6645</v>
      </c>
      <c r="C4255" s="538" t="s">
        <v>740</v>
      </c>
      <c r="D4255" s="538" t="s">
        <v>393</v>
      </c>
      <c r="E4255" s="538" t="s">
        <v>438</v>
      </c>
      <c r="F4255" s="538">
        <v>2339253</v>
      </c>
      <c r="G4255" s="538">
        <v>31</v>
      </c>
    </row>
    <row r="4256" spans="1:7" x14ac:dyDescent="0.2">
      <c r="A4256" s="538">
        <v>10</v>
      </c>
      <c r="B4256" s="538" t="s">
        <v>6587</v>
      </c>
      <c r="C4256" s="538" t="s">
        <v>740</v>
      </c>
      <c r="D4256" s="538" t="s">
        <v>740</v>
      </c>
      <c r="E4256" s="538" t="s">
        <v>416</v>
      </c>
      <c r="F4256" s="538">
        <v>3062475</v>
      </c>
      <c r="G4256" s="538">
        <v>65</v>
      </c>
    </row>
    <row r="4257" spans="1:7" x14ac:dyDescent="0.2">
      <c r="A4257" s="538">
        <v>7</v>
      </c>
      <c r="B4257" s="538" t="s">
        <v>6588</v>
      </c>
      <c r="C4257" s="538" t="s">
        <v>740</v>
      </c>
      <c r="D4257" s="538" t="s">
        <v>740</v>
      </c>
      <c r="E4257" s="538" t="s">
        <v>390</v>
      </c>
      <c r="F4257" s="538">
        <v>367275</v>
      </c>
      <c r="G4257" s="538">
        <v>20</v>
      </c>
    </row>
    <row r="4258" spans="1:7" x14ac:dyDescent="0.2">
      <c r="A4258" s="538">
        <v>6</v>
      </c>
      <c r="B4258" s="538" t="s">
        <v>6596</v>
      </c>
      <c r="C4258" s="538" t="s">
        <v>740</v>
      </c>
      <c r="D4258" s="538" t="s">
        <v>393</v>
      </c>
      <c r="E4258" s="538" t="s">
        <v>211</v>
      </c>
      <c r="F4258" s="538">
        <v>5053725</v>
      </c>
      <c r="G4258" s="538">
        <v>115</v>
      </c>
    </row>
    <row r="4259" spans="1:7" x14ac:dyDescent="0.2">
      <c r="A4259" s="538">
        <v>1</v>
      </c>
      <c r="B4259" s="538" t="s">
        <v>6581</v>
      </c>
      <c r="C4259" s="538" t="s">
        <v>393</v>
      </c>
      <c r="D4259" s="538" t="s">
        <v>740</v>
      </c>
      <c r="E4259" s="538" t="s">
        <v>409</v>
      </c>
      <c r="F4259" s="538">
        <v>124608</v>
      </c>
      <c r="G4259" s="538">
        <v>11</v>
      </c>
    </row>
    <row r="4260" spans="1:7" x14ac:dyDescent="0.2">
      <c r="A4260" s="538">
        <v>1</v>
      </c>
      <c r="B4260" s="538" t="s">
        <v>6581</v>
      </c>
      <c r="C4260" s="538" t="s">
        <v>393</v>
      </c>
      <c r="D4260" s="538" t="s">
        <v>740</v>
      </c>
      <c r="E4260" s="538" t="s">
        <v>212</v>
      </c>
      <c r="F4260" s="538">
        <v>22656</v>
      </c>
      <c r="G4260" s="538">
        <v>2</v>
      </c>
    </row>
    <row r="4261" spans="1:7" x14ac:dyDescent="0.2">
      <c r="A4261" s="538">
        <v>1</v>
      </c>
      <c r="B4261" s="538" t="s">
        <v>6602</v>
      </c>
      <c r="C4261" s="538" t="s">
        <v>740</v>
      </c>
      <c r="D4261" s="538" t="s">
        <v>393</v>
      </c>
      <c r="E4261" s="538" t="s">
        <v>390</v>
      </c>
      <c r="F4261" s="538">
        <v>685167</v>
      </c>
      <c r="G4261" s="538">
        <v>19</v>
      </c>
    </row>
    <row r="4262" spans="1:7" x14ac:dyDescent="0.2">
      <c r="A4262" s="538">
        <v>2</v>
      </c>
      <c r="B4262" s="538" t="s">
        <v>6573</v>
      </c>
      <c r="C4262" s="538" t="s">
        <v>740</v>
      </c>
      <c r="D4262" s="538" t="s">
        <v>393</v>
      </c>
      <c r="E4262" s="538" t="s">
        <v>212</v>
      </c>
      <c r="F4262" s="538">
        <v>3483183</v>
      </c>
      <c r="G4262" s="538">
        <v>266</v>
      </c>
    </row>
    <row r="4263" spans="1:7" x14ac:dyDescent="0.2">
      <c r="A4263" s="538">
        <v>8</v>
      </c>
      <c r="B4263" s="538" t="s">
        <v>6570</v>
      </c>
      <c r="C4263" s="538" t="s">
        <v>740</v>
      </c>
      <c r="D4263" s="538" t="s">
        <v>393</v>
      </c>
      <c r="E4263" s="538" t="s">
        <v>212</v>
      </c>
      <c r="F4263" s="538">
        <v>215232</v>
      </c>
      <c r="G4263" s="538">
        <v>19</v>
      </c>
    </row>
    <row r="4264" spans="1:7" x14ac:dyDescent="0.2">
      <c r="A4264" s="538">
        <v>12</v>
      </c>
      <c r="B4264" s="538" t="s">
        <v>6616</v>
      </c>
      <c r="C4264" s="538" t="s">
        <v>740</v>
      </c>
      <c r="D4264" s="538" t="s">
        <v>393</v>
      </c>
      <c r="E4264" s="538" t="s">
        <v>202</v>
      </c>
      <c r="F4264" s="538">
        <v>419844</v>
      </c>
      <c r="G4264" s="538">
        <v>8</v>
      </c>
    </row>
    <row r="4265" spans="1:7" x14ac:dyDescent="0.2">
      <c r="A4265" s="538">
        <v>6</v>
      </c>
      <c r="B4265" s="538" t="s">
        <v>6575</v>
      </c>
      <c r="C4265" s="538" t="s">
        <v>740</v>
      </c>
      <c r="D4265" s="538" t="s">
        <v>393</v>
      </c>
      <c r="E4265" s="538" t="s">
        <v>230</v>
      </c>
      <c r="F4265" s="538">
        <v>53930622</v>
      </c>
      <c r="G4265" s="538">
        <v>979</v>
      </c>
    </row>
    <row r="4266" spans="1:7" x14ac:dyDescent="0.2">
      <c r="A4266" s="538">
        <v>5</v>
      </c>
      <c r="B4266" s="538" t="s">
        <v>6568</v>
      </c>
      <c r="C4266" s="538" t="s">
        <v>393</v>
      </c>
      <c r="D4266" s="538" t="s">
        <v>393</v>
      </c>
      <c r="E4266" s="538" t="s">
        <v>211</v>
      </c>
      <c r="F4266" s="538">
        <v>40462140</v>
      </c>
      <c r="G4266" s="538">
        <v>615</v>
      </c>
    </row>
    <row r="4267" spans="1:7" x14ac:dyDescent="0.2">
      <c r="A4267" s="538">
        <v>8</v>
      </c>
      <c r="B4267" s="538" t="s">
        <v>6567</v>
      </c>
      <c r="C4267" s="538" t="s">
        <v>740</v>
      </c>
      <c r="D4267" s="538" t="s">
        <v>393</v>
      </c>
      <c r="E4267" s="538" t="s">
        <v>409</v>
      </c>
      <c r="F4267" s="538">
        <v>85491</v>
      </c>
      <c r="G4267" s="538">
        <v>2</v>
      </c>
    </row>
    <row r="4268" spans="1:7" x14ac:dyDescent="0.2">
      <c r="A4268" s="538">
        <v>6</v>
      </c>
      <c r="B4268" s="538" t="s">
        <v>6429</v>
      </c>
      <c r="C4268" s="538" t="s">
        <v>740</v>
      </c>
      <c r="D4268" s="538" t="s">
        <v>393</v>
      </c>
      <c r="E4268" s="538" t="s">
        <v>401</v>
      </c>
      <c r="F4268" s="538">
        <v>244083</v>
      </c>
      <c r="G4268" s="538">
        <v>16</v>
      </c>
    </row>
    <row r="4269" spans="1:7" x14ac:dyDescent="0.2">
      <c r="A4269" s="538">
        <v>1</v>
      </c>
      <c r="B4269" s="538" t="s">
        <v>6649</v>
      </c>
      <c r="C4269" s="538" t="s">
        <v>393</v>
      </c>
      <c r="D4269" s="538" t="s">
        <v>393</v>
      </c>
      <c r="E4269" s="538" t="s">
        <v>211</v>
      </c>
      <c r="F4269" s="538">
        <v>14740686</v>
      </c>
      <c r="G4269" s="538">
        <v>202</v>
      </c>
    </row>
    <row r="4270" spans="1:7" x14ac:dyDescent="0.2">
      <c r="A4270" s="538">
        <v>1</v>
      </c>
      <c r="B4270" s="538" t="s">
        <v>6602</v>
      </c>
      <c r="C4270" s="538" t="s">
        <v>740</v>
      </c>
      <c r="D4270" s="538" t="s">
        <v>393</v>
      </c>
      <c r="E4270" s="538" t="s">
        <v>402</v>
      </c>
      <c r="F4270" s="538">
        <v>11328</v>
      </c>
      <c r="G4270" s="538">
        <v>1</v>
      </c>
    </row>
    <row r="4271" spans="1:7" x14ac:dyDescent="0.2">
      <c r="A4271" s="538">
        <v>3</v>
      </c>
      <c r="B4271" s="538" t="s">
        <v>6586</v>
      </c>
      <c r="C4271" s="538" t="s">
        <v>393</v>
      </c>
      <c r="D4271" s="538" t="s">
        <v>740</v>
      </c>
      <c r="E4271" s="538" t="s">
        <v>202</v>
      </c>
      <c r="F4271" s="538">
        <v>74163</v>
      </c>
      <c r="G4271" s="538">
        <v>1</v>
      </c>
    </row>
    <row r="4272" spans="1:7" x14ac:dyDescent="0.2">
      <c r="A4272" s="538">
        <v>7</v>
      </c>
      <c r="B4272" s="538" t="s">
        <v>6564</v>
      </c>
      <c r="C4272" s="538" t="s">
        <v>740</v>
      </c>
      <c r="D4272" s="538" t="s">
        <v>393</v>
      </c>
      <c r="E4272" s="538" t="s">
        <v>313</v>
      </c>
      <c r="F4272" s="538">
        <v>2503686</v>
      </c>
      <c r="G4272" s="538">
        <v>22</v>
      </c>
    </row>
    <row r="4273" spans="1:7" x14ac:dyDescent="0.2">
      <c r="A4273" s="538">
        <v>7</v>
      </c>
      <c r="B4273" s="538" t="s">
        <v>6604</v>
      </c>
      <c r="C4273" s="538" t="s">
        <v>740</v>
      </c>
      <c r="D4273" s="538" t="s">
        <v>740</v>
      </c>
      <c r="E4273" s="538" t="s">
        <v>409</v>
      </c>
      <c r="F4273" s="538">
        <v>158415</v>
      </c>
      <c r="G4273" s="538">
        <v>5</v>
      </c>
    </row>
    <row r="4274" spans="1:7" x14ac:dyDescent="0.2">
      <c r="A4274" s="538">
        <v>11</v>
      </c>
      <c r="B4274" s="538" t="s">
        <v>6584</v>
      </c>
      <c r="C4274" s="538" t="s">
        <v>740</v>
      </c>
      <c r="D4274" s="538" t="s">
        <v>740</v>
      </c>
      <c r="E4274" s="538" t="s">
        <v>390</v>
      </c>
      <c r="F4274" s="538">
        <v>130803</v>
      </c>
      <c r="G4274" s="538">
        <v>6</v>
      </c>
    </row>
    <row r="4275" spans="1:7" x14ac:dyDescent="0.2">
      <c r="A4275" s="538">
        <v>11</v>
      </c>
      <c r="B4275" s="538" t="s">
        <v>6558</v>
      </c>
      <c r="C4275" s="538" t="s">
        <v>393</v>
      </c>
      <c r="D4275" s="538" t="s">
        <v>393</v>
      </c>
      <c r="E4275" s="538" t="s">
        <v>409</v>
      </c>
      <c r="F4275" s="538">
        <v>3631374</v>
      </c>
      <c r="G4275" s="538">
        <v>38</v>
      </c>
    </row>
    <row r="4276" spans="1:7" x14ac:dyDescent="0.2">
      <c r="A4276" s="538">
        <v>4</v>
      </c>
      <c r="B4276" s="538" t="s">
        <v>6559</v>
      </c>
      <c r="C4276" s="538" t="s">
        <v>740</v>
      </c>
      <c r="D4276" s="538" t="s">
        <v>740</v>
      </c>
      <c r="E4276" s="538" t="s">
        <v>211</v>
      </c>
      <c r="F4276" s="538">
        <v>1456783</v>
      </c>
      <c r="G4276" s="538">
        <v>16</v>
      </c>
    </row>
    <row r="4277" spans="1:7" x14ac:dyDescent="0.2">
      <c r="A4277" s="538">
        <v>2</v>
      </c>
      <c r="B4277" s="538" t="s">
        <v>6654</v>
      </c>
      <c r="C4277" s="538" t="s">
        <v>393</v>
      </c>
      <c r="D4277" s="538" t="s">
        <v>740</v>
      </c>
      <c r="E4277" s="538" t="s">
        <v>860</v>
      </c>
      <c r="F4277" s="538">
        <v>22656</v>
      </c>
      <c r="G4277" s="538">
        <v>2</v>
      </c>
    </row>
    <row r="4278" spans="1:7" x14ac:dyDescent="0.2">
      <c r="A4278" s="538">
        <v>1</v>
      </c>
      <c r="B4278" s="538" t="s">
        <v>6595</v>
      </c>
      <c r="C4278" s="538" t="s">
        <v>393</v>
      </c>
      <c r="D4278" s="538" t="s">
        <v>393</v>
      </c>
      <c r="E4278" s="538" t="s">
        <v>313</v>
      </c>
      <c r="F4278" s="538">
        <v>507761</v>
      </c>
      <c r="G4278" s="538">
        <v>2</v>
      </c>
    </row>
    <row r="4279" spans="1:7" x14ac:dyDescent="0.2">
      <c r="A4279" s="538">
        <v>9</v>
      </c>
      <c r="B4279" s="538" t="s">
        <v>6614</v>
      </c>
      <c r="C4279" s="538" t="s">
        <v>740</v>
      </c>
      <c r="D4279" s="538" t="s">
        <v>393</v>
      </c>
      <c r="E4279" s="538" t="s">
        <v>207</v>
      </c>
      <c r="F4279" s="538">
        <v>1317057</v>
      </c>
      <c r="G4279" s="538">
        <v>74</v>
      </c>
    </row>
    <row r="4280" spans="1:7" x14ac:dyDescent="0.2">
      <c r="A4280" s="538">
        <v>7</v>
      </c>
      <c r="B4280" s="538" t="s">
        <v>6594</v>
      </c>
      <c r="C4280" s="538" t="s">
        <v>740</v>
      </c>
      <c r="D4280" s="538" t="s">
        <v>740</v>
      </c>
      <c r="E4280" s="538" t="s">
        <v>209</v>
      </c>
      <c r="F4280" s="538">
        <v>74163</v>
      </c>
      <c r="G4280" s="538">
        <v>1</v>
      </c>
    </row>
    <row r="4281" spans="1:7" x14ac:dyDescent="0.2">
      <c r="A4281" s="538">
        <v>2</v>
      </c>
      <c r="B4281" s="538" t="s">
        <v>6576</v>
      </c>
      <c r="C4281" s="538" t="s">
        <v>740</v>
      </c>
      <c r="D4281" s="538" t="s">
        <v>740</v>
      </c>
      <c r="E4281" s="538" t="s">
        <v>449</v>
      </c>
      <c r="F4281" s="538">
        <v>67968</v>
      </c>
      <c r="G4281" s="538">
        <v>6</v>
      </c>
    </row>
    <row r="4282" spans="1:7" x14ac:dyDescent="0.2">
      <c r="A4282" s="538">
        <v>3</v>
      </c>
      <c r="B4282" s="538" t="s">
        <v>6586</v>
      </c>
      <c r="C4282" s="538" t="s">
        <v>740</v>
      </c>
      <c r="D4282" s="538" t="s">
        <v>740</v>
      </c>
      <c r="E4282" s="538" t="s">
        <v>416</v>
      </c>
      <c r="F4282" s="538">
        <v>22656</v>
      </c>
      <c r="G4282" s="538">
        <v>2</v>
      </c>
    </row>
    <row r="4283" spans="1:7" x14ac:dyDescent="0.2">
      <c r="A4283" s="538">
        <v>8</v>
      </c>
      <c r="B4283" s="538" t="s">
        <v>6648</v>
      </c>
      <c r="C4283" s="538" t="s">
        <v>393</v>
      </c>
      <c r="D4283" s="538" t="s">
        <v>393</v>
      </c>
      <c r="E4283" s="538" t="s">
        <v>401</v>
      </c>
      <c r="F4283" s="538">
        <v>101952</v>
      </c>
      <c r="G4283" s="538">
        <v>9</v>
      </c>
    </row>
    <row r="4284" spans="1:7" x14ac:dyDescent="0.2">
      <c r="A4284" s="538">
        <v>9</v>
      </c>
      <c r="B4284" s="538" t="s">
        <v>948</v>
      </c>
      <c r="C4284" s="538" t="s">
        <v>393</v>
      </c>
      <c r="D4284" s="538" t="s">
        <v>393</v>
      </c>
      <c r="E4284" s="538" t="s">
        <v>212</v>
      </c>
      <c r="F4284" s="538">
        <v>816501</v>
      </c>
      <c r="G4284" s="538">
        <v>52</v>
      </c>
    </row>
    <row r="4285" spans="1:7" x14ac:dyDescent="0.2">
      <c r="A4285" s="538">
        <v>2</v>
      </c>
      <c r="B4285" s="538" t="s">
        <v>6608</v>
      </c>
      <c r="C4285" s="538" t="s">
        <v>393</v>
      </c>
      <c r="D4285" s="538" t="s">
        <v>393</v>
      </c>
      <c r="E4285" s="538" t="s">
        <v>438</v>
      </c>
      <c r="F4285" s="538">
        <v>8188302</v>
      </c>
      <c r="G4285" s="538">
        <v>39</v>
      </c>
    </row>
    <row r="4286" spans="1:7" x14ac:dyDescent="0.2">
      <c r="A4286" s="538">
        <v>2</v>
      </c>
      <c r="B4286" s="538" t="s">
        <v>6608</v>
      </c>
      <c r="C4286" s="538" t="s">
        <v>393</v>
      </c>
      <c r="D4286" s="538" t="s">
        <v>393</v>
      </c>
      <c r="E4286" s="538" t="s">
        <v>206</v>
      </c>
      <c r="F4286" s="538">
        <v>1574790</v>
      </c>
      <c r="G4286" s="538">
        <v>5</v>
      </c>
    </row>
    <row r="4287" spans="1:7" x14ac:dyDescent="0.2">
      <c r="A4287" s="538">
        <v>3</v>
      </c>
      <c r="B4287" s="538" t="s">
        <v>6561</v>
      </c>
      <c r="C4287" s="538" t="s">
        <v>740</v>
      </c>
      <c r="D4287" s="538" t="s">
        <v>393</v>
      </c>
      <c r="E4287" s="538" t="s">
        <v>390</v>
      </c>
      <c r="F4287" s="538">
        <v>44406885</v>
      </c>
      <c r="G4287" s="538">
        <v>1925</v>
      </c>
    </row>
    <row r="4288" spans="1:7" x14ac:dyDescent="0.2">
      <c r="A4288" s="538">
        <v>7</v>
      </c>
      <c r="B4288" s="538" t="s">
        <v>6594</v>
      </c>
      <c r="C4288" s="538" t="s">
        <v>393</v>
      </c>
      <c r="D4288" s="538" t="s">
        <v>393</v>
      </c>
      <c r="E4288" s="538" t="s">
        <v>449</v>
      </c>
      <c r="F4288" s="538">
        <v>187443</v>
      </c>
      <c r="G4288" s="538">
        <v>11</v>
      </c>
    </row>
    <row r="4289" spans="1:7" x14ac:dyDescent="0.2">
      <c r="A4289" s="538">
        <v>4</v>
      </c>
      <c r="B4289" s="538" t="s">
        <v>6559</v>
      </c>
      <c r="C4289" s="538" t="s">
        <v>740</v>
      </c>
      <c r="D4289" s="538" t="s">
        <v>740</v>
      </c>
      <c r="E4289" s="538" t="s">
        <v>210</v>
      </c>
      <c r="F4289" s="538">
        <v>5905595</v>
      </c>
      <c r="G4289" s="538">
        <v>95</v>
      </c>
    </row>
    <row r="4290" spans="1:7" x14ac:dyDescent="0.2">
      <c r="A4290" s="538">
        <v>1</v>
      </c>
      <c r="B4290" s="538" t="s">
        <v>6646</v>
      </c>
      <c r="C4290" s="538" t="s">
        <v>740</v>
      </c>
      <c r="D4290" s="538" t="s">
        <v>393</v>
      </c>
      <c r="E4290" s="538" t="s">
        <v>211</v>
      </c>
      <c r="F4290" s="538">
        <v>7380994</v>
      </c>
      <c r="G4290" s="538">
        <v>183</v>
      </c>
    </row>
    <row r="4291" spans="1:7" x14ac:dyDescent="0.2">
      <c r="A4291" s="538">
        <v>4</v>
      </c>
      <c r="B4291" s="538" t="s">
        <v>6572</v>
      </c>
      <c r="C4291" s="538" t="s">
        <v>740</v>
      </c>
      <c r="D4291" s="538" t="s">
        <v>740</v>
      </c>
      <c r="E4291" s="538" t="s">
        <v>402</v>
      </c>
      <c r="F4291" s="538">
        <v>15869175</v>
      </c>
      <c r="G4291" s="538">
        <v>575</v>
      </c>
    </row>
    <row r="4292" spans="1:7" x14ac:dyDescent="0.2">
      <c r="A4292" s="538">
        <v>8</v>
      </c>
      <c r="B4292" s="538" t="s">
        <v>6570</v>
      </c>
      <c r="C4292" s="538" t="s">
        <v>393</v>
      </c>
      <c r="D4292" s="538" t="s">
        <v>740</v>
      </c>
      <c r="E4292" s="538" t="s">
        <v>207</v>
      </c>
      <c r="F4292" s="538">
        <v>1394937</v>
      </c>
      <c r="G4292" s="538">
        <v>79</v>
      </c>
    </row>
    <row r="4293" spans="1:7" x14ac:dyDescent="0.2">
      <c r="A4293" s="538">
        <v>3</v>
      </c>
      <c r="B4293" s="538" t="s">
        <v>6605</v>
      </c>
      <c r="C4293" s="538" t="s">
        <v>393</v>
      </c>
      <c r="D4293" s="538" t="s">
        <v>393</v>
      </c>
      <c r="E4293" s="538" t="s">
        <v>438</v>
      </c>
      <c r="F4293" s="538">
        <v>9581292</v>
      </c>
      <c r="G4293" s="538">
        <v>74</v>
      </c>
    </row>
    <row r="4294" spans="1:7" x14ac:dyDescent="0.2">
      <c r="A4294" s="538">
        <v>6</v>
      </c>
      <c r="B4294" s="538" t="s">
        <v>6596</v>
      </c>
      <c r="C4294" s="538" t="s">
        <v>393</v>
      </c>
      <c r="D4294" s="538" t="s">
        <v>393</v>
      </c>
      <c r="E4294" s="538" t="s">
        <v>402</v>
      </c>
      <c r="F4294" s="538">
        <v>6903146</v>
      </c>
      <c r="G4294" s="538">
        <v>227</v>
      </c>
    </row>
    <row r="4295" spans="1:7" x14ac:dyDescent="0.2">
      <c r="A4295" s="538">
        <v>4</v>
      </c>
      <c r="B4295" s="538" t="s">
        <v>6590</v>
      </c>
      <c r="C4295" s="538" t="s">
        <v>740</v>
      </c>
      <c r="D4295" s="538" t="s">
        <v>740</v>
      </c>
      <c r="E4295" s="538" t="s">
        <v>401</v>
      </c>
      <c r="F4295" s="538">
        <v>496433</v>
      </c>
      <c r="G4295" s="538">
        <v>1</v>
      </c>
    </row>
    <row r="4296" spans="1:7" x14ac:dyDescent="0.2">
      <c r="A4296" s="538">
        <v>3</v>
      </c>
      <c r="B4296" s="538" t="s">
        <v>6591</v>
      </c>
      <c r="C4296" s="538" t="s">
        <v>393</v>
      </c>
      <c r="D4296" s="538" t="s">
        <v>393</v>
      </c>
      <c r="E4296" s="538" t="s">
        <v>438</v>
      </c>
      <c r="F4296" s="538">
        <v>5643354</v>
      </c>
      <c r="G4296" s="538">
        <v>38</v>
      </c>
    </row>
    <row r="4297" spans="1:7" x14ac:dyDescent="0.2">
      <c r="A4297" s="538">
        <v>2</v>
      </c>
      <c r="B4297" s="538" t="s">
        <v>6654</v>
      </c>
      <c r="C4297" s="538" t="s">
        <v>393</v>
      </c>
      <c r="D4297" s="538" t="s">
        <v>393</v>
      </c>
      <c r="E4297" s="538" t="s">
        <v>401</v>
      </c>
      <c r="F4297" s="538">
        <v>237711</v>
      </c>
      <c r="G4297" s="538">
        <v>12</v>
      </c>
    </row>
    <row r="4298" spans="1:7" x14ac:dyDescent="0.2">
      <c r="A4298" s="538">
        <v>7</v>
      </c>
      <c r="B4298" s="538" t="s">
        <v>6594</v>
      </c>
      <c r="C4298" s="538" t="s">
        <v>740</v>
      </c>
      <c r="D4298" s="538" t="s">
        <v>393</v>
      </c>
      <c r="E4298" s="538" t="s">
        <v>860</v>
      </c>
      <c r="F4298" s="538">
        <v>1785930</v>
      </c>
      <c r="G4298" s="538">
        <v>90</v>
      </c>
    </row>
    <row r="4299" spans="1:7" x14ac:dyDescent="0.2">
      <c r="A4299" s="538">
        <v>10</v>
      </c>
      <c r="B4299" s="538" t="s">
        <v>6653</v>
      </c>
      <c r="C4299" s="538" t="s">
        <v>740</v>
      </c>
      <c r="D4299" s="538" t="s">
        <v>393</v>
      </c>
      <c r="E4299" s="538" t="s">
        <v>230</v>
      </c>
      <c r="F4299" s="538">
        <v>3439485</v>
      </c>
      <c r="G4299" s="538">
        <v>70</v>
      </c>
    </row>
    <row r="4300" spans="1:7" x14ac:dyDescent="0.2">
      <c r="A4300" s="538">
        <v>10</v>
      </c>
      <c r="B4300" s="538" t="s">
        <v>6582</v>
      </c>
      <c r="C4300" s="538" t="s">
        <v>740</v>
      </c>
      <c r="D4300" s="538" t="s">
        <v>393</v>
      </c>
      <c r="E4300" s="538" t="s">
        <v>207</v>
      </c>
      <c r="F4300" s="538">
        <v>11328</v>
      </c>
      <c r="G4300" s="538">
        <v>1</v>
      </c>
    </row>
    <row r="4301" spans="1:7" x14ac:dyDescent="0.2">
      <c r="A4301" s="538">
        <v>10</v>
      </c>
      <c r="B4301" s="538" t="s">
        <v>6587</v>
      </c>
      <c r="C4301" s="538" t="s">
        <v>740</v>
      </c>
      <c r="D4301" s="538" t="s">
        <v>393</v>
      </c>
      <c r="E4301" s="538" t="s">
        <v>449</v>
      </c>
      <c r="F4301" s="538">
        <v>74163</v>
      </c>
      <c r="G4301" s="538">
        <v>1</v>
      </c>
    </row>
    <row r="4302" spans="1:7" x14ac:dyDescent="0.2">
      <c r="A4302" s="538">
        <v>7</v>
      </c>
      <c r="B4302" s="538" t="s">
        <v>6604</v>
      </c>
      <c r="C4302" s="538" t="s">
        <v>393</v>
      </c>
      <c r="D4302" s="538" t="s">
        <v>393</v>
      </c>
      <c r="E4302" s="538" t="s">
        <v>401</v>
      </c>
      <c r="F4302" s="538">
        <v>661220</v>
      </c>
      <c r="G4302" s="538">
        <v>10</v>
      </c>
    </row>
    <row r="4303" spans="1:7" x14ac:dyDescent="0.2">
      <c r="A4303" s="538">
        <v>2</v>
      </c>
      <c r="B4303" s="538" t="s">
        <v>6585</v>
      </c>
      <c r="C4303" s="538" t="s">
        <v>740</v>
      </c>
      <c r="D4303" s="538" t="s">
        <v>393</v>
      </c>
      <c r="E4303" s="538" t="s">
        <v>212</v>
      </c>
      <c r="F4303" s="538">
        <v>215232</v>
      </c>
      <c r="G4303" s="538">
        <v>19</v>
      </c>
    </row>
    <row r="4304" spans="1:7" x14ac:dyDescent="0.2">
      <c r="A4304" s="538">
        <v>11</v>
      </c>
      <c r="B4304" s="538" t="s">
        <v>6612</v>
      </c>
      <c r="C4304" s="538" t="s">
        <v>740</v>
      </c>
      <c r="D4304" s="538" t="s">
        <v>393</v>
      </c>
      <c r="E4304" s="538" t="s">
        <v>212</v>
      </c>
      <c r="F4304" s="538">
        <v>1567866</v>
      </c>
      <c r="G4304" s="538">
        <v>117</v>
      </c>
    </row>
    <row r="4305" spans="1:7" x14ac:dyDescent="0.2">
      <c r="A4305" s="538">
        <v>2</v>
      </c>
      <c r="B4305" s="538" t="s">
        <v>6656</v>
      </c>
      <c r="C4305" s="538" t="s">
        <v>740</v>
      </c>
      <c r="D4305" s="538" t="s">
        <v>740</v>
      </c>
      <c r="E4305" s="538" t="s">
        <v>401</v>
      </c>
      <c r="F4305" s="538">
        <v>22656</v>
      </c>
      <c r="G4305" s="538">
        <v>2</v>
      </c>
    </row>
    <row r="4306" spans="1:7" x14ac:dyDescent="0.2">
      <c r="A4306" s="538">
        <v>9</v>
      </c>
      <c r="B4306" s="538" t="s">
        <v>6613</v>
      </c>
      <c r="C4306" s="538" t="s">
        <v>740</v>
      </c>
      <c r="D4306" s="538" t="s">
        <v>393</v>
      </c>
      <c r="E4306" s="538" t="s">
        <v>438</v>
      </c>
      <c r="F4306" s="538">
        <v>1671609</v>
      </c>
      <c r="G4306" s="538">
        <v>8</v>
      </c>
    </row>
    <row r="4307" spans="1:7" x14ac:dyDescent="0.2">
      <c r="A4307" s="538">
        <v>8</v>
      </c>
      <c r="B4307" s="538" t="s">
        <v>6567</v>
      </c>
      <c r="C4307" s="538" t="s">
        <v>740</v>
      </c>
      <c r="D4307" s="538" t="s">
        <v>740</v>
      </c>
      <c r="E4307" s="538" t="s">
        <v>210</v>
      </c>
      <c r="F4307" s="538">
        <v>853619</v>
      </c>
      <c r="G4307" s="538">
        <v>18</v>
      </c>
    </row>
    <row r="4308" spans="1:7" x14ac:dyDescent="0.2">
      <c r="A4308" s="538">
        <v>12</v>
      </c>
      <c r="B4308" s="538" t="s">
        <v>6563</v>
      </c>
      <c r="C4308" s="538" t="s">
        <v>740</v>
      </c>
      <c r="D4308" s="538" t="s">
        <v>740</v>
      </c>
      <c r="E4308" s="538" t="s">
        <v>210</v>
      </c>
      <c r="F4308" s="538">
        <v>27060793</v>
      </c>
      <c r="G4308" s="538">
        <v>311</v>
      </c>
    </row>
    <row r="4309" spans="1:7" x14ac:dyDescent="0.2">
      <c r="A4309" s="538">
        <v>1</v>
      </c>
      <c r="B4309" s="538" t="s">
        <v>1288</v>
      </c>
      <c r="C4309" s="538" t="s">
        <v>393</v>
      </c>
      <c r="D4309" s="538" t="s">
        <v>393</v>
      </c>
      <c r="E4309" s="538" t="s">
        <v>207</v>
      </c>
      <c r="F4309" s="538">
        <v>10686677</v>
      </c>
      <c r="G4309" s="538">
        <v>774</v>
      </c>
    </row>
    <row r="4310" spans="1:7" x14ac:dyDescent="0.2">
      <c r="A4310" s="538">
        <v>3</v>
      </c>
      <c r="B4310" s="538" t="s">
        <v>6603</v>
      </c>
      <c r="C4310" s="538" t="s">
        <v>740</v>
      </c>
      <c r="D4310" s="538" t="s">
        <v>393</v>
      </c>
      <c r="E4310" s="538" t="s">
        <v>202</v>
      </c>
      <c r="F4310" s="538">
        <v>1140005</v>
      </c>
      <c r="G4310" s="538">
        <v>10</v>
      </c>
    </row>
    <row r="4311" spans="1:7" x14ac:dyDescent="0.2">
      <c r="A4311" s="538">
        <v>1</v>
      </c>
      <c r="B4311" s="538" t="s">
        <v>6609</v>
      </c>
      <c r="C4311" s="538" t="s">
        <v>393</v>
      </c>
      <c r="D4311" s="538" t="s">
        <v>740</v>
      </c>
      <c r="E4311" s="538" t="s">
        <v>438</v>
      </c>
      <c r="F4311" s="538">
        <v>496433</v>
      </c>
      <c r="G4311" s="538">
        <v>1</v>
      </c>
    </row>
    <row r="4312" spans="1:7" x14ac:dyDescent="0.2">
      <c r="A4312" s="538">
        <v>6</v>
      </c>
      <c r="B4312" s="538" t="s">
        <v>6433</v>
      </c>
      <c r="C4312" s="538" t="s">
        <v>393</v>
      </c>
      <c r="D4312" s="538" t="s">
        <v>740</v>
      </c>
      <c r="E4312" s="538" t="s">
        <v>210</v>
      </c>
      <c r="F4312" s="538">
        <v>1704583</v>
      </c>
      <c r="G4312" s="538">
        <v>26</v>
      </c>
    </row>
    <row r="4313" spans="1:7" x14ac:dyDescent="0.2">
      <c r="A4313" s="538">
        <v>1</v>
      </c>
      <c r="B4313" s="538" t="s">
        <v>6581</v>
      </c>
      <c r="C4313" s="538" t="s">
        <v>393</v>
      </c>
      <c r="D4313" s="538" t="s">
        <v>393</v>
      </c>
      <c r="E4313" s="538" t="s">
        <v>449</v>
      </c>
      <c r="F4313" s="538">
        <v>203904</v>
      </c>
      <c r="G4313" s="538">
        <v>18</v>
      </c>
    </row>
    <row r="4314" spans="1:7" x14ac:dyDescent="0.2">
      <c r="A4314" s="538">
        <v>4</v>
      </c>
      <c r="B4314" s="538" t="s">
        <v>6562</v>
      </c>
      <c r="C4314" s="538" t="s">
        <v>740</v>
      </c>
      <c r="D4314" s="538" t="s">
        <v>393</v>
      </c>
      <c r="E4314" s="538" t="s">
        <v>860</v>
      </c>
      <c r="F4314" s="538">
        <v>45312</v>
      </c>
      <c r="G4314" s="538">
        <v>4</v>
      </c>
    </row>
    <row r="4315" spans="1:7" x14ac:dyDescent="0.2">
      <c r="A4315" s="538">
        <v>9</v>
      </c>
      <c r="B4315" s="538" t="s">
        <v>6657</v>
      </c>
      <c r="C4315" s="538" t="s">
        <v>393</v>
      </c>
      <c r="D4315" s="538" t="s">
        <v>393</v>
      </c>
      <c r="E4315" s="538" t="s">
        <v>419</v>
      </c>
      <c r="F4315" s="538">
        <v>74163</v>
      </c>
      <c r="G4315" s="538">
        <v>1</v>
      </c>
    </row>
    <row r="4316" spans="1:7" x14ac:dyDescent="0.2">
      <c r="A4316" s="538">
        <v>5</v>
      </c>
      <c r="B4316" s="538" t="s">
        <v>6598</v>
      </c>
      <c r="C4316" s="538" t="s">
        <v>740</v>
      </c>
      <c r="D4316" s="538" t="s">
        <v>393</v>
      </c>
      <c r="E4316" s="538" t="s">
        <v>313</v>
      </c>
      <c r="F4316" s="538">
        <v>3533066</v>
      </c>
      <c r="G4316" s="538">
        <v>32</v>
      </c>
    </row>
    <row r="4317" spans="1:7" x14ac:dyDescent="0.2">
      <c r="A4317" s="538">
        <v>11</v>
      </c>
      <c r="B4317" s="538" t="s">
        <v>6612</v>
      </c>
      <c r="C4317" s="538" t="s">
        <v>740</v>
      </c>
      <c r="D4317" s="538" t="s">
        <v>393</v>
      </c>
      <c r="E4317" s="538" t="s">
        <v>401</v>
      </c>
      <c r="F4317" s="538">
        <v>312051</v>
      </c>
      <c r="G4317" s="538">
        <v>22</v>
      </c>
    </row>
    <row r="4318" spans="1:7" x14ac:dyDescent="0.2">
      <c r="A4318" s="538">
        <v>5</v>
      </c>
      <c r="B4318" s="538" t="s">
        <v>6650</v>
      </c>
      <c r="C4318" s="538" t="s">
        <v>740</v>
      </c>
      <c r="D4318" s="538" t="s">
        <v>740</v>
      </c>
      <c r="E4318" s="538" t="s">
        <v>212</v>
      </c>
      <c r="F4318" s="538">
        <v>22656</v>
      </c>
      <c r="G4318" s="538">
        <v>2</v>
      </c>
    </row>
    <row r="4319" spans="1:7" x14ac:dyDescent="0.2">
      <c r="A4319" s="538">
        <v>2</v>
      </c>
      <c r="B4319" s="538" t="s">
        <v>6573</v>
      </c>
      <c r="C4319" s="538" t="s">
        <v>740</v>
      </c>
      <c r="D4319" s="538" t="s">
        <v>740</v>
      </c>
      <c r="E4319" s="538" t="s">
        <v>202</v>
      </c>
      <c r="F4319" s="538">
        <v>4147683</v>
      </c>
      <c r="G4319" s="538">
        <v>31</v>
      </c>
    </row>
    <row r="4320" spans="1:7" x14ac:dyDescent="0.2">
      <c r="A4320" s="538">
        <v>4</v>
      </c>
      <c r="B4320" s="538" t="s">
        <v>6574</v>
      </c>
      <c r="C4320" s="538" t="s">
        <v>740</v>
      </c>
      <c r="D4320" s="538" t="s">
        <v>393</v>
      </c>
      <c r="E4320" s="538" t="s">
        <v>212</v>
      </c>
      <c r="F4320" s="538">
        <v>1574592</v>
      </c>
      <c r="G4320" s="538">
        <v>139</v>
      </c>
    </row>
    <row r="4321" spans="1:7" x14ac:dyDescent="0.2">
      <c r="A4321" s="538">
        <v>5</v>
      </c>
      <c r="B4321" s="538" t="s">
        <v>6568</v>
      </c>
      <c r="C4321" s="538" t="s">
        <v>393</v>
      </c>
      <c r="D4321" s="538" t="s">
        <v>740</v>
      </c>
      <c r="E4321" s="538" t="s">
        <v>449</v>
      </c>
      <c r="F4321" s="538">
        <v>430287</v>
      </c>
      <c r="G4321" s="538">
        <v>29</v>
      </c>
    </row>
    <row r="4322" spans="1:7" x14ac:dyDescent="0.2">
      <c r="A4322" s="538">
        <v>7</v>
      </c>
      <c r="B4322" s="538" t="s">
        <v>6594</v>
      </c>
      <c r="C4322" s="538" t="s">
        <v>740</v>
      </c>
      <c r="D4322" s="538" t="s">
        <v>393</v>
      </c>
      <c r="E4322" s="538" t="s">
        <v>212</v>
      </c>
      <c r="F4322" s="538">
        <v>2792706</v>
      </c>
      <c r="G4322" s="538">
        <v>232</v>
      </c>
    </row>
    <row r="4323" spans="1:7" x14ac:dyDescent="0.2">
      <c r="A4323" s="538">
        <v>2</v>
      </c>
      <c r="B4323" s="538" t="s">
        <v>6654</v>
      </c>
      <c r="C4323" s="538" t="s">
        <v>740</v>
      </c>
      <c r="D4323" s="538" t="s">
        <v>393</v>
      </c>
      <c r="E4323" s="538" t="s">
        <v>402</v>
      </c>
      <c r="F4323" s="538">
        <v>1048902</v>
      </c>
      <c r="G4323" s="538">
        <v>49</v>
      </c>
    </row>
    <row r="4324" spans="1:7" x14ac:dyDescent="0.2">
      <c r="A4324" s="538">
        <v>8</v>
      </c>
      <c r="B4324" s="538" t="s">
        <v>6567</v>
      </c>
      <c r="C4324" s="538" t="s">
        <v>740</v>
      </c>
      <c r="D4324" s="538" t="s">
        <v>740</v>
      </c>
      <c r="E4324" s="538" t="s">
        <v>416</v>
      </c>
      <c r="F4324" s="538">
        <v>22052431</v>
      </c>
      <c r="G4324" s="538">
        <v>597</v>
      </c>
    </row>
    <row r="4325" spans="1:7" x14ac:dyDescent="0.2">
      <c r="A4325" s="538">
        <v>6</v>
      </c>
      <c r="B4325" s="538" t="s">
        <v>6433</v>
      </c>
      <c r="C4325" s="538" t="s">
        <v>393</v>
      </c>
      <c r="D4325" s="538" t="s">
        <v>393</v>
      </c>
      <c r="E4325" s="538" t="s">
        <v>212</v>
      </c>
      <c r="F4325" s="538">
        <v>1692068</v>
      </c>
      <c r="G4325" s="538">
        <v>101</v>
      </c>
    </row>
    <row r="4326" spans="1:7" x14ac:dyDescent="0.2">
      <c r="A4326" s="538">
        <v>1</v>
      </c>
      <c r="B4326" s="538" t="s">
        <v>6581</v>
      </c>
      <c r="C4326" s="538" t="s">
        <v>740</v>
      </c>
      <c r="D4326" s="538" t="s">
        <v>393</v>
      </c>
      <c r="E4326" s="538" t="s">
        <v>419</v>
      </c>
      <c r="F4326" s="538">
        <v>50268</v>
      </c>
      <c r="G4326" s="538">
        <v>1</v>
      </c>
    </row>
    <row r="4327" spans="1:7" x14ac:dyDescent="0.2">
      <c r="A4327" s="538">
        <v>11</v>
      </c>
      <c r="B4327" s="538" t="s">
        <v>6584</v>
      </c>
      <c r="C4327" s="538" t="s">
        <v>393</v>
      </c>
      <c r="D4327" s="538" t="s">
        <v>393</v>
      </c>
      <c r="E4327" s="538" t="s">
        <v>402</v>
      </c>
      <c r="F4327" s="538">
        <v>8738553</v>
      </c>
      <c r="G4327" s="538">
        <v>181</v>
      </c>
    </row>
    <row r="4328" spans="1:7" x14ac:dyDescent="0.2">
      <c r="A4328" s="538">
        <v>5</v>
      </c>
      <c r="B4328" s="538" t="s">
        <v>6568</v>
      </c>
      <c r="C4328" s="538" t="s">
        <v>740</v>
      </c>
      <c r="D4328" s="538" t="s">
        <v>740</v>
      </c>
      <c r="E4328" s="538" t="s">
        <v>211</v>
      </c>
      <c r="F4328" s="538">
        <v>2105665</v>
      </c>
      <c r="G4328" s="538">
        <v>40</v>
      </c>
    </row>
    <row r="4329" spans="1:7" x14ac:dyDescent="0.2">
      <c r="A4329" s="538">
        <v>9</v>
      </c>
      <c r="B4329" s="538" t="s">
        <v>6613</v>
      </c>
      <c r="C4329" s="538" t="s">
        <v>393</v>
      </c>
      <c r="D4329" s="538" t="s">
        <v>393</v>
      </c>
      <c r="E4329" s="538" t="s">
        <v>210</v>
      </c>
      <c r="F4329" s="538">
        <v>875265</v>
      </c>
      <c r="G4329" s="538">
        <v>35</v>
      </c>
    </row>
    <row r="4330" spans="1:7" x14ac:dyDescent="0.2">
      <c r="A4330" s="538">
        <v>8</v>
      </c>
      <c r="B4330" s="538" t="s">
        <v>6570</v>
      </c>
      <c r="C4330" s="538" t="s">
        <v>740</v>
      </c>
      <c r="D4330" s="538" t="s">
        <v>740</v>
      </c>
      <c r="E4330" s="538" t="s">
        <v>202</v>
      </c>
      <c r="F4330" s="538">
        <v>11328</v>
      </c>
      <c r="G4330" s="538">
        <v>1</v>
      </c>
    </row>
    <row r="4331" spans="1:7" x14ac:dyDescent="0.2">
      <c r="A4331" s="538">
        <v>11</v>
      </c>
      <c r="B4331" s="538" t="s">
        <v>6592</v>
      </c>
      <c r="C4331" s="538" t="s">
        <v>393</v>
      </c>
      <c r="D4331" s="538" t="s">
        <v>393</v>
      </c>
      <c r="E4331" s="538" t="s">
        <v>438</v>
      </c>
      <c r="F4331" s="538">
        <v>5359269</v>
      </c>
      <c r="G4331" s="538">
        <v>33</v>
      </c>
    </row>
    <row r="4332" spans="1:7" x14ac:dyDescent="0.2">
      <c r="A4332" s="538">
        <v>5</v>
      </c>
      <c r="B4332" s="538" t="s">
        <v>6599</v>
      </c>
      <c r="C4332" s="538" t="s">
        <v>740</v>
      </c>
      <c r="D4332" s="538" t="s">
        <v>393</v>
      </c>
      <c r="E4332" s="538" t="s">
        <v>207</v>
      </c>
      <c r="F4332" s="538">
        <v>84252</v>
      </c>
      <c r="G4332" s="538">
        <v>4</v>
      </c>
    </row>
    <row r="4333" spans="1:7" x14ac:dyDescent="0.2">
      <c r="A4333" s="538">
        <v>12</v>
      </c>
      <c r="B4333" s="538" t="s">
        <v>6563</v>
      </c>
      <c r="C4333" s="538" t="s">
        <v>393</v>
      </c>
      <c r="D4333" s="538" t="s">
        <v>393</v>
      </c>
      <c r="E4333" s="538" t="s">
        <v>409</v>
      </c>
      <c r="F4333" s="538">
        <v>530417</v>
      </c>
      <c r="G4333" s="538">
        <v>4</v>
      </c>
    </row>
    <row r="4334" spans="1:7" x14ac:dyDescent="0.2">
      <c r="A4334" s="538">
        <v>7</v>
      </c>
      <c r="B4334" s="538" t="s">
        <v>6604</v>
      </c>
      <c r="C4334" s="538" t="s">
        <v>740</v>
      </c>
      <c r="D4334" s="538" t="s">
        <v>393</v>
      </c>
      <c r="E4334" s="538" t="s">
        <v>409</v>
      </c>
      <c r="F4334" s="538">
        <v>106908</v>
      </c>
      <c r="G4334" s="538">
        <v>6</v>
      </c>
    </row>
    <row r="4335" spans="1:7" x14ac:dyDescent="0.2">
      <c r="A4335" s="538">
        <v>9</v>
      </c>
      <c r="B4335" s="538" t="s">
        <v>6615</v>
      </c>
      <c r="C4335" s="538" t="s">
        <v>740</v>
      </c>
      <c r="D4335" s="538" t="s">
        <v>393</v>
      </c>
      <c r="E4335" s="538" t="s">
        <v>860</v>
      </c>
      <c r="F4335" s="538">
        <v>3584604</v>
      </c>
      <c r="G4335" s="538">
        <v>178</v>
      </c>
    </row>
    <row r="4336" spans="1:7" x14ac:dyDescent="0.2">
      <c r="A4336" s="538">
        <v>11</v>
      </c>
      <c r="B4336" s="538" t="s">
        <v>6610</v>
      </c>
      <c r="C4336" s="538" t="s">
        <v>740</v>
      </c>
      <c r="D4336" s="538" t="s">
        <v>740</v>
      </c>
      <c r="E4336" s="538" t="s">
        <v>207</v>
      </c>
      <c r="F4336" s="538">
        <v>6699044</v>
      </c>
      <c r="G4336" s="538">
        <v>408</v>
      </c>
    </row>
    <row r="4337" spans="1:7" x14ac:dyDescent="0.2">
      <c r="A4337" s="538">
        <v>8</v>
      </c>
      <c r="B4337" s="538" t="s">
        <v>6570</v>
      </c>
      <c r="C4337" s="538" t="s">
        <v>393</v>
      </c>
      <c r="D4337" s="538" t="s">
        <v>393</v>
      </c>
      <c r="E4337" s="538" t="s">
        <v>438</v>
      </c>
      <c r="F4337" s="538">
        <v>5359675</v>
      </c>
      <c r="G4337" s="538">
        <v>60</v>
      </c>
    </row>
    <row r="4338" spans="1:7" x14ac:dyDescent="0.2">
      <c r="A4338" s="538">
        <v>8</v>
      </c>
      <c r="B4338" s="538" t="s">
        <v>6570</v>
      </c>
      <c r="C4338" s="538" t="s">
        <v>393</v>
      </c>
      <c r="D4338" s="538" t="s">
        <v>393</v>
      </c>
      <c r="E4338" s="538" t="s">
        <v>206</v>
      </c>
      <c r="F4338" s="538">
        <v>85491</v>
      </c>
      <c r="G4338" s="538">
        <v>2</v>
      </c>
    </row>
    <row r="4339" spans="1:7" x14ac:dyDescent="0.2">
      <c r="A4339" s="538">
        <v>4</v>
      </c>
      <c r="B4339" s="538" t="s">
        <v>6574</v>
      </c>
      <c r="C4339" s="538" t="s">
        <v>740</v>
      </c>
      <c r="D4339" s="538" t="s">
        <v>393</v>
      </c>
      <c r="E4339" s="538" t="s">
        <v>313</v>
      </c>
      <c r="F4339" s="538">
        <v>148326</v>
      </c>
      <c r="G4339" s="538">
        <v>2</v>
      </c>
    </row>
    <row r="4340" spans="1:7" x14ac:dyDescent="0.2">
      <c r="A4340" s="538">
        <v>11</v>
      </c>
      <c r="B4340" s="538" t="s">
        <v>6660</v>
      </c>
      <c r="C4340" s="538" t="s">
        <v>393</v>
      </c>
      <c r="D4340" s="538" t="s">
        <v>393</v>
      </c>
      <c r="E4340" s="538" t="s">
        <v>497</v>
      </c>
      <c r="F4340" s="538">
        <v>11328</v>
      </c>
      <c r="G4340" s="538">
        <v>1</v>
      </c>
    </row>
    <row r="4341" spans="1:7" x14ac:dyDescent="0.2">
      <c r="A4341" s="538">
        <v>7</v>
      </c>
      <c r="B4341" s="538" t="s">
        <v>6604</v>
      </c>
      <c r="C4341" s="538" t="s">
        <v>740</v>
      </c>
      <c r="D4341" s="538" t="s">
        <v>393</v>
      </c>
      <c r="E4341" s="538" t="s">
        <v>313</v>
      </c>
      <c r="F4341" s="538">
        <v>50268</v>
      </c>
      <c r="G4341" s="538">
        <v>1</v>
      </c>
    </row>
    <row r="4342" spans="1:7" x14ac:dyDescent="0.2">
      <c r="A4342" s="538">
        <v>7</v>
      </c>
      <c r="B4342" s="538" t="s">
        <v>6594</v>
      </c>
      <c r="C4342" s="538" t="s">
        <v>740</v>
      </c>
      <c r="D4342" s="538" t="s">
        <v>393</v>
      </c>
      <c r="E4342" s="538" t="s">
        <v>313</v>
      </c>
      <c r="F4342" s="538">
        <v>2326561</v>
      </c>
      <c r="G4342" s="538">
        <v>27</v>
      </c>
    </row>
    <row r="4343" spans="1:7" x14ac:dyDescent="0.2">
      <c r="A4343" s="538">
        <v>1</v>
      </c>
      <c r="B4343" s="538" t="s">
        <v>6663</v>
      </c>
      <c r="C4343" s="538" t="s">
        <v>393</v>
      </c>
      <c r="D4343" s="538" t="s">
        <v>740</v>
      </c>
      <c r="E4343" s="538" t="s">
        <v>449</v>
      </c>
      <c r="F4343" s="538">
        <v>67968</v>
      </c>
      <c r="G4343" s="538">
        <v>6</v>
      </c>
    </row>
    <row r="4344" spans="1:7" x14ac:dyDescent="0.2">
      <c r="A4344" s="538">
        <v>6</v>
      </c>
      <c r="B4344" s="538" t="s">
        <v>6575</v>
      </c>
      <c r="C4344" s="538" t="s">
        <v>740</v>
      </c>
      <c r="D4344" s="538" t="s">
        <v>393</v>
      </c>
      <c r="E4344" s="538" t="s">
        <v>390</v>
      </c>
      <c r="F4344" s="538">
        <v>107662542</v>
      </c>
      <c r="G4344" s="538">
        <v>3704</v>
      </c>
    </row>
    <row r="4345" spans="1:7" x14ac:dyDescent="0.2">
      <c r="A4345" s="538">
        <v>7</v>
      </c>
      <c r="B4345" s="538" t="s">
        <v>6588</v>
      </c>
      <c r="C4345" s="538" t="s">
        <v>740</v>
      </c>
      <c r="D4345" s="538" t="s">
        <v>740</v>
      </c>
      <c r="E4345" s="538" t="s">
        <v>416</v>
      </c>
      <c r="F4345" s="538">
        <v>664937</v>
      </c>
      <c r="G4345" s="538">
        <v>9</v>
      </c>
    </row>
    <row r="4346" spans="1:7" x14ac:dyDescent="0.2">
      <c r="A4346" s="538">
        <v>5</v>
      </c>
      <c r="B4346" s="538" t="s">
        <v>6566</v>
      </c>
      <c r="C4346" s="538" t="s">
        <v>393</v>
      </c>
      <c r="D4346" s="538" t="s">
        <v>393</v>
      </c>
      <c r="E4346" s="538" t="s">
        <v>212</v>
      </c>
      <c r="F4346" s="538">
        <v>1399008</v>
      </c>
      <c r="G4346" s="538">
        <v>91</v>
      </c>
    </row>
    <row r="4347" spans="1:7" x14ac:dyDescent="0.2">
      <c r="A4347" s="538">
        <v>3</v>
      </c>
      <c r="B4347" s="538" t="s">
        <v>1390</v>
      </c>
      <c r="C4347" s="538" t="s">
        <v>740</v>
      </c>
      <c r="D4347" s="538" t="s">
        <v>740</v>
      </c>
      <c r="E4347" s="538" t="s">
        <v>860</v>
      </c>
      <c r="F4347" s="538">
        <v>620864</v>
      </c>
      <c r="G4347" s="538">
        <v>3</v>
      </c>
    </row>
    <row r="4348" spans="1:7" x14ac:dyDescent="0.2">
      <c r="A4348" s="538">
        <v>1</v>
      </c>
      <c r="B4348" s="538" t="s">
        <v>1288</v>
      </c>
      <c r="C4348" s="538" t="s">
        <v>740</v>
      </c>
      <c r="D4348" s="538" t="s">
        <v>393</v>
      </c>
      <c r="E4348" s="538" t="s">
        <v>409</v>
      </c>
      <c r="F4348" s="538">
        <v>61596</v>
      </c>
      <c r="G4348" s="538">
        <v>2</v>
      </c>
    </row>
    <row r="4349" spans="1:7" x14ac:dyDescent="0.2">
      <c r="A4349" s="538">
        <v>4</v>
      </c>
      <c r="B4349" s="538" t="s">
        <v>6572</v>
      </c>
      <c r="C4349" s="538" t="s">
        <v>740</v>
      </c>
      <c r="D4349" s="538" t="s">
        <v>393</v>
      </c>
      <c r="E4349" s="538" t="s">
        <v>212</v>
      </c>
      <c r="F4349" s="538">
        <v>181248</v>
      </c>
      <c r="G4349" s="538">
        <v>16</v>
      </c>
    </row>
    <row r="4350" spans="1:7" x14ac:dyDescent="0.2">
      <c r="A4350" s="538">
        <v>5</v>
      </c>
      <c r="B4350" s="538" t="s">
        <v>6568</v>
      </c>
      <c r="C4350" s="538" t="s">
        <v>740</v>
      </c>
      <c r="D4350" s="538" t="s">
        <v>740</v>
      </c>
      <c r="E4350" s="538" t="s">
        <v>409</v>
      </c>
      <c r="F4350" s="538">
        <v>192576</v>
      </c>
      <c r="G4350" s="538">
        <v>17</v>
      </c>
    </row>
    <row r="4351" spans="1:7" x14ac:dyDescent="0.2">
      <c r="A4351" s="538">
        <v>1</v>
      </c>
      <c r="B4351" s="538" t="s">
        <v>6602</v>
      </c>
      <c r="C4351" s="538" t="s">
        <v>393</v>
      </c>
      <c r="D4351" s="538" t="s">
        <v>393</v>
      </c>
      <c r="E4351" s="538" t="s">
        <v>313</v>
      </c>
      <c r="F4351" s="538">
        <v>85491</v>
      </c>
      <c r="G4351" s="538">
        <v>2</v>
      </c>
    </row>
    <row r="4352" spans="1:7" x14ac:dyDescent="0.2">
      <c r="A4352" s="538">
        <v>11</v>
      </c>
      <c r="B4352" s="538" t="s">
        <v>6584</v>
      </c>
      <c r="C4352" s="538" t="s">
        <v>740</v>
      </c>
      <c r="D4352" s="538" t="s">
        <v>393</v>
      </c>
      <c r="E4352" s="538" t="s">
        <v>402</v>
      </c>
      <c r="F4352" s="538">
        <v>2357536</v>
      </c>
      <c r="G4352" s="538">
        <v>72</v>
      </c>
    </row>
    <row r="4353" spans="1:7" x14ac:dyDescent="0.2">
      <c r="A4353" s="538">
        <v>9</v>
      </c>
      <c r="B4353" s="538" t="s">
        <v>6657</v>
      </c>
      <c r="C4353" s="538" t="s">
        <v>740</v>
      </c>
      <c r="D4353" s="538" t="s">
        <v>393</v>
      </c>
      <c r="E4353" s="538" t="s">
        <v>390</v>
      </c>
      <c r="F4353" s="538">
        <v>22656</v>
      </c>
      <c r="G4353" s="538">
        <v>2</v>
      </c>
    </row>
    <row r="4354" spans="1:7" x14ac:dyDescent="0.2">
      <c r="A4354" s="538">
        <v>10</v>
      </c>
      <c r="B4354" s="538" t="s">
        <v>6597</v>
      </c>
      <c r="C4354" s="538" t="s">
        <v>393</v>
      </c>
      <c r="D4354" s="538" t="s">
        <v>740</v>
      </c>
      <c r="E4354" s="538" t="s">
        <v>402</v>
      </c>
      <c r="F4354" s="538">
        <v>441438</v>
      </c>
      <c r="G4354" s="538">
        <v>21</v>
      </c>
    </row>
    <row r="4355" spans="1:7" x14ac:dyDescent="0.2">
      <c r="A4355" s="538">
        <v>12</v>
      </c>
      <c r="B4355" s="538" t="s">
        <v>6569</v>
      </c>
      <c r="C4355" s="538" t="s">
        <v>740</v>
      </c>
      <c r="D4355" s="538" t="s">
        <v>393</v>
      </c>
      <c r="E4355" s="538" t="s">
        <v>409</v>
      </c>
      <c r="F4355" s="538">
        <v>4679037</v>
      </c>
      <c r="G4355" s="538">
        <v>89</v>
      </c>
    </row>
    <row r="4356" spans="1:7" x14ac:dyDescent="0.2">
      <c r="A4356" s="538">
        <v>7</v>
      </c>
      <c r="B4356" s="538" t="s">
        <v>6655</v>
      </c>
      <c r="C4356" s="538" t="s">
        <v>393</v>
      </c>
      <c r="D4356" s="538" t="s">
        <v>393</v>
      </c>
      <c r="E4356" s="538" t="s">
        <v>416</v>
      </c>
      <c r="F4356" s="538">
        <v>26924919</v>
      </c>
      <c r="G4356" s="538">
        <v>428</v>
      </c>
    </row>
    <row r="4357" spans="1:7" x14ac:dyDescent="0.2">
      <c r="A4357" s="538">
        <v>7</v>
      </c>
      <c r="B4357" s="538" t="s">
        <v>6571</v>
      </c>
      <c r="C4357" s="538" t="s">
        <v>740</v>
      </c>
      <c r="D4357" s="538" t="s">
        <v>393</v>
      </c>
      <c r="E4357" s="538" t="s">
        <v>409</v>
      </c>
      <c r="F4357" s="538">
        <v>45312</v>
      </c>
      <c r="G4357" s="538">
        <v>4</v>
      </c>
    </row>
    <row r="4358" spans="1:7" x14ac:dyDescent="0.2">
      <c r="A4358" s="538">
        <v>9</v>
      </c>
      <c r="B4358" s="538" t="s">
        <v>948</v>
      </c>
      <c r="C4358" s="538" t="s">
        <v>393</v>
      </c>
      <c r="D4358" s="538" t="s">
        <v>393</v>
      </c>
      <c r="E4358" s="538" t="s">
        <v>210</v>
      </c>
      <c r="F4358" s="538">
        <v>1059824</v>
      </c>
      <c r="G4358" s="538">
        <v>23</v>
      </c>
    </row>
    <row r="4359" spans="1:7" x14ac:dyDescent="0.2">
      <c r="A4359" s="538">
        <v>3</v>
      </c>
      <c r="B4359" s="538" t="s">
        <v>6603</v>
      </c>
      <c r="C4359" s="538" t="s">
        <v>740</v>
      </c>
      <c r="D4359" s="538" t="s">
        <v>393</v>
      </c>
      <c r="E4359" s="538" t="s">
        <v>209</v>
      </c>
      <c r="F4359" s="538">
        <v>3209989</v>
      </c>
      <c r="G4359" s="538">
        <v>18</v>
      </c>
    </row>
    <row r="4360" spans="1:7" x14ac:dyDescent="0.2">
      <c r="A4360" s="538">
        <v>5</v>
      </c>
      <c r="B4360" s="538" t="s">
        <v>6599</v>
      </c>
      <c r="C4360" s="538" t="s">
        <v>740</v>
      </c>
      <c r="D4360" s="538" t="s">
        <v>393</v>
      </c>
      <c r="E4360" s="538" t="s">
        <v>212</v>
      </c>
      <c r="F4360" s="538">
        <v>56640</v>
      </c>
      <c r="G4360" s="538">
        <v>5</v>
      </c>
    </row>
    <row r="4361" spans="1:7" x14ac:dyDescent="0.2">
      <c r="A4361" s="538">
        <v>3</v>
      </c>
      <c r="B4361" s="538" t="s">
        <v>6578</v>
      </c>
      <c r="C4361" s="538" t="s">
        <v>740</v>
      </c>
      <c r="D4361" s="538" t="s">
        <v>393</v>
      </c>
      <c r="E4361" s="538" t="s">
        <v>409</v>
      </c>
      <c r="F4361" s="538">
        <v>3355941</v>
      </c>
      <c r="G4361" s="538">
        <v>102</v>
      </c>
    </row>
    <row r="4362" spans="1:7" x14ac:dyDescent="0.2">
      <c r="A4362" s="538">
        <v>3</v>
      </c>
      <c r="B4362" s="538" t="s">
        <v>6578</v>
      </c>
      <c r="C4362" s="538" t="s">
        <v>393</v>
      </c>
      <c r="D4362" s="538" t="s">
        <v>393</v>
      </c>
      <c r="E4362" s="538" t="s">
        <v>212</v>
      </c>
      <c r="F4362" s="538">
        <v>980049</v>
      </c>
      <c r="G4362" s="538">
        <v>63</v>
      </c>
    </row>
    <row r="4363" spans="1:7" x14ac:dyDescent="0.2">
      <c r="A4363" s="538">
        <v>9</v>
      </c>
      <c r="B4363" s="538" t="s">
        <v>6614</v>
      </c>
      <c r="C4363" s="538" t="s">
        <v>393</v>
      </c>
      <c r="D4363" s="538" t="s">
        <v>393</v>
      </c>
      <c r="E4363" s="538" t="s">
        <v>449</v>
      </c>
      <c r="F4363" s="538">
        <v>176115</v>
      </c>
      <c r="G4363" s="538">
        <v>10</v>
      </c>
    </row>
    <row r="4364" spans="1:7" x14ac:dyDescent="0.2">
      <c r="A4364" s="538">
        <v>1</v>
      </c>
      <c r="B4364" s="538" t="s">
        <v>6646</v>
      </c>
      <c r="C4364" s="538" t="s">
        <v>393</v>
      </c>
      <c r="D4364" s="538" t="s">
        <v>393</v>
      </c>
      <c r="E4364" s="538" t="s">
        <v>402</v>
      </c>
      <c r="F4364" s="538">
        <v>3135347</v>
      </c>
      <c r="G4364" s="538">
        <v>64</v>
      </c>
    </row>
    <row r="4365" spans="1:7" x14ac:dyDescent="0.2">
      <c r="A4365" s="538">
        <v>7</v>
      </c>
      <c r="B4365" s="538" t="s">
        <v>6564</v>
      </c>
      <c r="C4365" s="538" t="s">
        <v>740</v>
      </c>
      <c r="D4365" s="538" t="s">
        <v>740</v>
      </c>
      <c r="E4365" s="538" t="s">
        <v>212</v>
      </c>
      <c r="F4365" s="538">
        <v>33984</v>
      </c>
      <c r="G4365" s="538">
        <v>3</v>
      </c>
    </row>
    <row r="4366" spans="1:7" x14ac:dyDescent="0.2">
      <c r="A4366" s="538">
        <v>9</v>
      </c>
      <c r="B4366" s="538" t="s">
        <v>6606</v>
      </c>
      <c r="C4366" s="538" t="s">
        <v>740</v>
      </c>
      <c r="D4366" s="538" t="s">
        <v>393</v>
      </c>
      <c r="E4366" s="538" t="s">
        <v>419</v>
      </c>
      <c r="F4366" s="538">
        <v>85491</v>
      </c>
      <c r="G4366" s="538">
        <v>2</v>
      </c>
    </row>
    <row r="4367" spans="1:7" x14ac:dyDescent="0.2">
      <c r="A4367" s="538">
        <v>10</v>
      </c>
      <c r="B4367" s="538" t="s">
        <v>6587</v>
      </c>
      <c r="C4367" s="538" t="s">
        <v>740</v>
      </c>
      <c r="D4367" s="538" t="s">
        <v>740</v>
      </c>
      <c r="E4367" s="538" t="s">
        <v>402</v>
      </c>
      <c r="F4367" s="538">
        <v>379842</v>
      </c>
      <c r="G4367" s="538">
        <v>19</v>
      </c>
    </row>
    <row r="4368" spans="1:7" x14ac:dyDescent="0.2">
      <c r="A4368" s="538">
        <v>11</v>
      </c>
      <c r="B4368" s="538" t="s">
        <v>6592</v>
      </c>
      <c r="C4368" s="538" t="s">
        <v>393</v>
      </c>
      <c r="D4368" s="538" t="s">
        <v>393</v>
      </c>
      <c r="E4368" s="538" t="s">
        <v>402</v>
      </c>
      <c r="F4368" s="538">
        <v>2184784</v>
      </c>
      <c r="G4368" s="538">
        <v>38</v>
      </c>
    </row>
    <row r="4369" spans="1:7" x14ac:dyDescent="0.2">
      <c r="A4369" s="538">
        <v>1</v>
      </c>
      <c r="B4369" s="538" t="s">
        <v>6602</v>
      </c>
      <c r="C4369" s="538" t="s">
        <v>393</v>
      </c>
      <c r="D4369" s="538" t="s">
        <v>740</v>
      </c>
      <c r="E4369" s="538" t="s">
        <v>211</v>
      </c>
      <c r="F4369" s="538">
        <v>33984</v>
      </c>
      <c r="G4369" s="538">
        <v>3</v>
      </c>
    </row>
    <row r="4370" spans="1:7" x14ac:dyDescent="0.2">
      <c r="A4370" s="538">
        <v>8</v>
      </c>
      <c r="B4370" s="538" t="s">
        <v>6583</v>
      </c>
      <c r="C4370" s="538" t="s">
        <v>740</v>
      </c>
      <c r="D4370" s="538" t="s">
        <v>393</v>
      </c>
      <c r="E4370" s="538" t="s">
        <v>207</v>
      </c>
      <c r="F4370" s="538">
        <v>12473669</v>
      </c>
      <c r="G4370" s="538">
        <v>853</v>
      </c>
    </row>
    <row r="4371" spans="1:7" x14ac:dyDescent="0.2">
      <c r="A4371" s="538">
        <v>1</v>
      </c>
      <c r="B4371" s="538" t="s">
        <v>6581</v>
      </c>
      <c r="C4371" s="538" t="s">
        <v>393</v>
      </c>
      <c r="D4371" s="538" t="s">
        <v>393</v>
      </c>
      <c r="E4371" s="538" t="s">
        <v>211</v>
      </c>
      <c r="F4371" s="538">
        <v>35557418</v>
      </c>
      <c r="G4371" s="538">
        <v>381</v>
      </c>
    </row>
    <row r="4372" spans="1:7" x14ac:dyDescent="0.2">
      <c r="A4372" s="538">
        <v>1</v>
      </c>
      <c r="B4372" s="538" t="s">
        <v>6663</v>
      </c>
      <c r="C4372" s="538" t="s">
        <v>740</v>
      </c>
      <c r="D4372" s="538" t="s">
        <v>393</v>
      </c>
      <c r="E4372" s="538" t="s">
        <v>210</v>
      </c>
      <c r="F4372" s="538">
        <v>22656</v>
      </c>
      <c r="G4372" s="538">
        <v>2</v>
      </c>
    </row>
    <row r="4373" spans="1:7" x14ac:dyDescent="0.2">
      <c r="A4373" s="538">
        <v>2</v>
      </c>
      <c r="B4373" s="538" t="s">
        <v>6573</v>
      </c>
      <c r="C4373" s="538" t="s">
        <v>740</v>
      </c>
      <c r="D4373" s="538" t="s">
        <v>393</v>
      </c>
      <c r="E4373" s="538" t="s">
        <v>416</v>
      </c>
      <c r="F4373" s="538">
        <v>29739042</v>
      </c>
      <c r="G4373" s="538">
        <v>634</v>
      </c>
    </row>
    <row r="4374" spans="1:7" x14ac:dyDescent="0.2">
      <c r="A4374" s="538">
        <v>6</v>
      </c>
      <c r="B4374" s="538" t="s">
        <v>6596</v>
      </c>
      <c r="C4374" s="538" t="s">
        <v>740</v>
      </c>
      <c r="D4374" s="538" t="s">
        <v>393</v>
      </c>
      <c r="E4374" s="538" t="s">
        <v>212</v>
      </c>
      <c r="F4374" s="538">
        <v>322140</v>
      </c>
      <c r="G4374" s="538">
        <v>25</v>
      </c>
    </row>
    <row r="4375" spans="1:7" x14ac:dyDescent="0.2">
      <c r="A4375" s="538">
        <v>12</v>
      </c>
      <c r="B4375" s="538" t="s">
        <v>6616</v>
      </c>
      <c r="C4375" s="538" t="s">
        <v>740</v>
      </c>
      <c r="D4375" s="538" t="s">
        <v>393</v>
      </c>
      <c r="E4375" s="538" t="s">
        <v>211</v>
      </c>
      <c r="F4375" s="538">
        <v>9884534</v>
      </c>
      <c r="G4375" s="538">
        <v>293</v>
      </c>
    </row>
    <row r="4376" spans="1:7" x14ac:dyDescent="0.2">
      <c r="A4376" s="538">
        <v>4</v>
      </c>
      <c r="B4376" s="538" t="s">
        <v>6593</v>
      </c>
      <c r="C4376" s="538" t="s">
        <v>393</v>
      </c>
      <c r="D4376" s="538" t="s">
        <v>393</v>
      </c>
      <c r="E4376" s="538" t="s">
        <v>416</v>
      </c>
      <c r="F4376" s="538">
        <v>60905433</v>
      </c>
      <c r="G4376" s="538">
        <v>1111</v>
      </c>
    </row>
    <row r="4377" spans="1:7" x14ac:dyDescent="0.2">
      <c r="A4377" s="538">
        <v>1</v>
      </c>
      <c r="B4377" s="538" t="s">
        <v>6649</v>
      </c>
      <c r="C4377" s="538" t="s">
        <v>393</v>
      </c>
      <c r="D4377" s="538" t="s">
        <v>393</v>
      </c>
      <c r="E4377" s="538" t="s">
        <v>313</v>
      </c>
      <c r="F4377" s="538">
        <v>570596</v>
      </c>
      <c r="G4377" s="538">
        <v>2</v>
      </c>
    </row>
    <row r="4378" spans="1:7" x14ac:dyDescent="0.2">
      <c r="A4378" s="538">
        <v>4</v>
      </c>
      <c r="B4378" s="538" t="s">
        <v>6574</v>
      </c>
      <c r="C4378" s="538" t="s">
        <v>740</v>
      </c>
      <c r="D4378" s="538" t="s">
        <v>393</v>
      </c>
      <c r="E4378" s="538" t="s">
        <v>230</v>
      </c>
      <c r="F4378" s="538">
        <v>6225715</v>
      </c>
      <c r="G4378" s="538">
        <v>155</v>
      </c>
    </row>
    <row r="4379" spans="1:7" x14ac:dyDescent="0.2">
      <c r="A4379" s="538">
        <v>12</v>
      </c>
      <c r="B4379" s="538" t="s">
        <v>6563</v>
      </c>
      <c r="C4379" s="538" t="s">
        <v>740</v>
      </c>
      <c r="D4379" s="538" t="s">
        <v>393</v>
      </c>
      <c r="E4379" s="538" t="s">
        <v>438</v>
      </c>
      <c r="F4379" s="538">
        <v>201767405</v>
      </c>
      <c r="G4379" s="538">
        <v>2635</v>
      </c>
    </row>
    <row r="4380" spans="1:7" x14ac:dyDescent="0.2">
      <c r="A4380" s="538">
        <v>12</v>
      </c>
      <c r="B4380" s="538" t="s">
        <v>6563</v>
      </c>
      <c r="C4380" s="538" t="s">
        <v>740</v>
      </c>
      <c r="D4380" s="538" t="s">
        <v>393</v>
      </c>
      <c r="E4380" s="538" t="s">
        <v>206</v>
      </c>
      <c r="F4380" s="538">
        <v>1765950</v>
      </c>
      <c r="G4380" s="538">
        <v>15</v>
      </c>
    </row>
    <row r="4381" spans="1:7" x14ac:dyDescent="0.2">
      <c r="A4381" s="538">
        <v>3</v>
      </c>
      <c r="B4381" s="538" t="s">
        <v>1390</v>
      </c>
      <c r="C4381" s="538" t="s">
        <v>740</v>
      </c>
      <c r="D4381" s="538" t="s">
        <v>393</v>
      </c>
      <c r="E4381" s="538" t="s">
        <v>401</v>
      </c>
      <c r="F4381" s="538">
        <v>11328</v>
      </c>
      <c r="G4381" s="538">
        <v>1</v>
      </c>
    </row>
    <row r="4382" spans="1:7" x14ac:dyDescent="0.2">
      <c r="A4382" s="538">
        <v>2</v>
      </c>
      <c r="B4382" s="538" t="s">
        <v>6573</v>
      </c>
      <c r="C4382" s="538" t="s">
        <v>740</v>
      </c>
      <c r="D4382" s="538" t="s">
        <v>393</v>
      </c>
      <c r="E4382" s="538" t="s">
        <v>390</v>
      </c>
      <c r="F4382" s="538">
        <v>43786490</v>
      </c>
      <c r="G4382" s="538">
        <v>1725</v>
      </c>
    </row>
    <row r="4383" spans="1:7" x14ac:dyDescent="0.2">
      <c r="A4383" s="538">
        <v>10</v>
      </c>
      <c r="B4383" s="538" t="s">
        <v>6582</v>
      </c>
      <c r="C4383" s="538" t="s">
        <v>393</v>
      </c>
      <c r="D4383" s="538" t="s">
        <v>393</v>
      </c>
      <c r="E4383" s="538" t="s">
        <v>402</v>
      </c>
      <c r="F4383" s="538">
        <v>4074280</v>
      </c>
      <c r="G4383" s="538">
        <v>75</v>
      </c>
    </row>
    <row r="4384" spans="1:7" x14ac:dyDescent="0.2">
      <c r="A4384" s="538">
        <v>10</v>
      </c>
      <c r="B4384" s="538" t="s">
        <v>6611</v>
      </c>
      <c r="C4384" s="538" t="s">
        <v>393</v>
      </c>
      <c r="D4384" s="538" t="s">
        <v>393</v>
      </c>
      <c r="E4384" s="538" t="s">
        <v>438</v>
      </c>
      <c r="F4384" s="538">
        <v>4415380</v>
      </c>
      <c r="G4384" s="538">
        <v>25</v>
      </c>
    </row>
    <row r="4385" spans="1:7" x14ac:dyDescent="0.2">
      <c r="A4385" s="538">
        <v>1</v>
      </c>
      <c r="B4385" s="538" t="s">
        <v>6646</v>
      </c>
      <c r="C4385" s="538" t="s">
        <v>393</v>
      </c>
      <c r="D4385" s="538" t="s">
        <v>393</v>
      </c>
      <c r="E4385" s="538" t="s">
        <v>209</v>
      </c>
      <c r="F4385" s="538">
        <v>992866</v>
      </c>
      <c r="G4385" s="538">
        <v>2</v>
      </c>
    </row>
    <row r="4386" spans="1:7" x14ac:dyDescent="0.2">
      <c r="A4386" s="538">
        <v>11</v>
      </c>
      <c r="B4386" s="538" t="s">
        <v>6584</v>
      </c>
      <c r="C4386" s="538" t="s">
        <v>740</v>
      </c>
      <c r="D4386" s="538" t="s">
        <v>393</v>
      </c>
      <c r="E4386" s="538" t="s">
        <v>212</v>
      </c>
      <c r="F4386" s="538">
        <v>464448</v>
      </c>
      <c r="G4386" s="538">
        <v>41</v>
      </c>
    </row>
    <row r="4387" spans="1:7" x14ac:dyDescent="0.2">
      <c r="A4387" s="538">
        <v>7</v>
      </c>
      <c r="B4387" s="538" t="s">
        <v>6588</v>
      </c>
      <c r="C4387" s="538" t="s">
        <v>740</v>
      </c>
      <c r="D4387" s="538" t="s">
        <v>393</v>
      </c>
      <c r="E4387" s="538" t="s">
        <v>207</v>
      </c>
      <c r="F4387" s="538">
        <v>480555</v>
      </c>
      <c r="G4387" s="538">
        <v>30</v>
      </c>
    </row>
    <row r="4388" spans="1:7" x14ac:dyDescent="0.2">
      <c r="A4388" s="538">
        <v>10</v>
      </c>
      <c r="B4388" s="538" t="s">
        <v>6652</v>
      </c>
      <c r="C4388" s="538" t="s">
        <v>740</v>
      </c>
      <c r="D4388" s="538" t="s">
        <v>393</v>
      </c>
      <c r="E4388" s="538" t="s">
        <v>212</v>
      </c>
      <c r="F4388" s="538">
        <v>124608</v>
      </c>
      <c r="G4388" s="538">
        <v>11</v>
      </c>
    </row>
    <row r="4389" spans="1:7" x14ac:dyDescent="0.2">
      <c r="A4389" s="538">
        <v>3</v>
      </c>
      <c r="B4389" s="538" t="s">
        <v>6578</v>
      </c>
      <c r="C4389" s="538" t="s">
        <v>740</v>
      </c>
      <c r="D4389" s="538" t="s">
        <v>393</v>
      </c>
      <c r="E4389" s="538" t="s">
        <v>230</v>
      </c>
      <c r="F4389" s="538">
        <v>2304259</v>
      </c>
      <c r="G4389" s="538">
        <v>43</v>
      </c>
    </row>
    <row r="4390" spans="1:7" x14ac:dyDescent="0.2">
      <c r="A4390" s="538">
        <v>4</v>
      </c>
      <c r="B4390" s="538" t="s">
        <v>6593</v>
      </c>
      <c r="C4390" s="538" t="s">
        <v>393</v>
      </c>
      <c r="D4390" s="538" t="s">
        <v>740</v>
      </c>
      <c r="E4390" s="538" t="s">
        <v>212</v>
      </c>
      <c r="F4390" s="538">
        <v>22656</v>
      </c>
      <c r="G4390" s="538">
        <v>2</v>
      </c>
    </row>
    <row r="4391" spans="1:7" x14ac:dyDescent="0.2">
      <c r="A4391" s="538">
        <v>8</v>
      </c>
      <c r="B4391" s="538" t="s">
        <v>6658</v>
      </c>
      <c r="C4391" s="538" t="s">
        <v>740</v>
      </c>
      <c r="D4391" s="538" t="s">
        <v>393</v>
      </c>
      <c r="E4391" s="538" t="s">
        <v>230</v>
      </c>
      <c r="F4391" s="538">
        <v>779279</v>
      </c>
      <c r="G4391" s="538">
        <v>8</v>
      </c>
    </row>
    <row r="4392" spans="1:7" x14ac:dyDescent="0.2">
      <c r="A4392" s="538">
        <v>7</v>
      </c>
      <c r="B4392" s="538" t="s">
        <v>6604</v>
      </c>
      <c r="C4392" s="538" t="s">
        <v>740</v>
      </c>
      <c r="D4392" s="538" t="s">
        <v>393</v>
      </c>
      <c r="E4392" s="538" t="s">
        <v>860</v>
      </c>
      <c r="F4392" s="538">
        <v>74163</v>
      </c>
      <c r="G4392" s="538">
        <v>1</v>
      </c>
    </row>
    <row r="4393" spans="1:7" x14ac:dyDescent="0.2">
      <c r="A4393" s="538">
        <v>9</v>
      </c>
      <c r="B4393" s="538" t="s">
        <v>6657</v>
      </c>
      <c r="C4393" s="538" t="s">
        <v>740</v>
      </c>
      <c r="D4393" s="538" t="s">
        <v>393</v>
      </c>
      <c r="E4393" s="538" t="s">
        <v>416</v>
      </c>
      <c r="F4393" s="538">
        <v>718922</v>
      </c>
      <c r="G4393" s="538">
        <v>4</v>
      </c>
    </row>
    <row r="4394" spans="1:7" x14ac:dyDescent="0.2">
      <c r="A4394" s="538">
        <v>5</v>
      </c>
      <c r="B4394" s="538" t="s">
        <v>6589</v>
      </c>
      <c r="C4394" s="538" t="s">
        <v>393</v>
      </c>
      <c r="D4394" s="538" t="s">
        <v>393</v>
      </c>
      <c r="E4394" s="538" t="s">
        <v>230</v>
      </c>
      <c r="F4394" s="538">
        <v>7074253</v>
      </c>
      <c r="G4394" s="538">
        <v>161</v>
      </c>
    </row>
    <row r="4395" spans="1:7" x14ac:dyDescent="0.2">
      <c r="A4395" s="538">
        <v>9</v>
      </c>
      <c r="B4395" s="538" t="s">
        <v>6606</v>
      </c>
      <c r="C4395" s="538" t="s">
        <v>393</v>
      </c>
      <c r="D4395" s="538" t="s">
        <v>393</v>
      </c>
      <c r="E4395" s="538" t="s">
        <v>416</v>
      </c>
      <c r="F4395" s="538">
        <v>52386256</v>
      </c>
      <c r="G4395" s="538">
        <v>902</v>
      </c>
    </row>
    <row r="4396" spans="1:7" x14ac:dyDescent="0.2">
      <c r="A4396" s="538">
        <v>6</v>
      </c>
      <c r="B4396" s="538" t="s">
        <v>6433</v>
      </c>
      <c r="C4396" s="538" t="s">
        <v>393</v>
      </c>
      <c r="D4396" s="538" t="s">
        <v>740</v>
      </c>
      <c r="E4396" s="538" t="s">
        <v>207</v>
      </c>
      <c r="F4396" s="538">
        <v>2154444</v>
      </c>
      <c r="G4396" s="538">
        <v>103</v>
      </c>
    </row>
    <row r="4397" spans="1:7" x14ac:dyDescent="0.2">
      <c r="A4397" s="538">
        <v>6</v>
      </c>
      <c r="B4397" s="538" t="s">
        <v>6433</v>
      </c>
      <c r="C4397" s="538" t="s">
        <v>740</v>
      </c>
      <c r="D4397" s="538" t="s">
        <v>393</v>
      </c>
      <c r="E4397" s="538" t="s">
        <v>211</v>
      </c>
      <c r="F4397" s="538">
        <v>5221167</v>
      </c>
      <c r="G4397" s="538">
        <v>129</v>
      </c>
    </row>
    <row r="4398" spans="1:7" x14ac:dyDescent="0.2">
      <c r="A4398" s="538">
        <v>2</v>
      </c>
      <c r="B4398" s="538" t="s">
        <v>6654</v>
      </c>
      <c r="C4398" s="538" t="s">
        <v>393</v>
      </c>
      <c r="D4398" s="538" t="s">
        <v>393</v>
      </c>
      <c r="E4398" s="538" t="s">
        <v>230</v>
      </c>
      <c r="F4398" s="538">
        <v>1807774</v>
      </c>
      <c r="G4398" s="538">
        <v>38</v>
      </c>
    </row>
    <row r="4399" spans="1:7" x14ac:dyDescent="0.2">
      <c r="A4399" s="538">
        <v>3</v>
      </c>
      <c r="B4399" s="538" t="s">
        <v>6591</v>
      </c>
      <c r="C4399" s="538" t="s">
        <v>740</v>
      </c>
      <c r="D4399" s="538" t="s">
        <v>393</v>
      </c>
      <c r="E4399" s="538" t="s">
        <v>409</v>
      </c>
      <c r="F4399" s="538">
        <v>423738</v>
      </c>
      <c r="G4399" s="538">
        <v>16</v>
      </c>
    </row>
    <row r="4400" spans="1:7" x14ac:dyDescent="0.2">
      <c r="A4400" s="538">
        <v>8</v>
      </c>
      <c r="B4400" s="538" t="s">
        <v>6560</v>
      </c>
      <c r="C4400" s="538" t="s">
        <v>740</v>
      </c>
      <c r="D4400" s="538" t="s">
        <v>393</v>
      </c>
      <c r="E4400" s="538" t="s">
        <v>449</v>
      </c>
      <c r="F4400" s="538">
        <v>158415</v>
      </c>
      <c r="G4400" s="538">
        <v>5</v>
      </c>
    </row>
    <row r="4401" spans="1:7" x14ac:dyDescent="0.2">
      <c r="A4401" s="538">
        <v>8</v>
      </c>
      <c r="B4401" s="538" t="s">
        <v>6560</v>
      </c>
      <c r="C4401" s="538" t="s">
        <v>740</v>
      </c>
      <c r="D4401" s="538" t="s">
        <v>393</v>
      </c>
      <c r="E4401" s="538" t="s">
        <v>390</v>
      </c>
      <c r="F4401" s="538">
        <v>210261395</v>
      </c>
      <c r="G4401" s="538">
        <v>8270</v>
      </c>
    </row>
    <row r="4402" spans="1:7" x14ac:dyDescent="0.2">
      <c r="A4402" s="538">
        <v>2</v>
      </c>
      <c r="B4402" s="538" t="s">
        <v>6656</v>
      </c>
      <c r="C4402" s="538" t="s">
        <v>740</v>
      </c>
      <c r="D4402" s="538" t="s">
        <v>740</v>
      </c>
      <c r="E4402" s="538" t="s">
        <v>390</v>
      </c>
      <c r="F4402" s="538">
        <v>1004194</v>
      </c>
      <c r="G4402" s="538">
        <v>3</v>
      </c>
    </row>
    <row r="4403" spans="1:7" x14ac:dyDescent="0.2">
      <c r="A4403" s="538">
        <v>12</v>
      </c>
      <c r="B4403" s="538" t="s">
        <v>6563</v>
      </c>
      <c r="C4403" s="538" t="s">
        <v>393</v>
      </c>
      <c r="D4403" s="538" t="s">
        <v>393</v>
      </c>
      <c r="E4403" s="538" t="s">
        <v>438</v>
      </c>
      <c r="F4403" s="538">
        <v>45312</v>
      </c>
      <c r="G4403" s="538">
        <v>4</v>
      </c>
    </row>
    <row r="4404" spans="1:7" x14ac:dyDescent="0.2">
      <c r="A4404" s="538">
        <v>7</v>
      </c>
      <c r="B4404" s="538" t="s">
        <v>6604</v>
      </c>
      <c r="C4404" s="538" t="s">
        <v>740</v>
      </c>
      <c r="D4404" s="538" t="s">
        <v>393</v>
      </c>
      <c r="E4404" s="538" t="s">
        <v>449</v>
      </c>
      <c r="F4404" s="538">
        <v>33984</v>
      </c>
      <c r="G4404" s="538">
        <v>3</v>
      </c>
    </row>
    <row r="4405" spans="1:7" x14ac:dyDescent="0.2">
      <c r="A4405" s="538">
        <v>4</v>
      </c>
      <c r="B4405" s="538" t="s">
        <v>6562</v>
      </c>
      <c r="C4405" s="538" t="s">
        <v>740</v>
      </c>
      <c r="D4405" s="538" t="s">
        <v>393</v>
      </c>
      <c r="E4405" s="538" t="s">
        <v>207</v>
      </c>
      <c r="F4405" s="538">
        <v>639147</v>
      </c>
      <c r="G4405" s="538">
        <v>44</v>
      </c>
    </row>
    <row r="4406" spans="1:7" x14ac:dyDescent="0.2">
      <c r="A4406" s="538">
        <v>10</v>
      </c>
      <c r="B4406" s="538" t="s">
        <v>6652</v>
      </c>
      <c r="C4406" s="538" t="s">
        <v>740</v>
      </c>
      <c r="D4406" s="538" t="s">
        <v>393</v>
      </c>
      <c r="E4406" s="538" t="s">
        <v>401</v>
      </c>
      <c r="F4406" s="538">
        <v>33984</v>
      </c>
      <c r="G4406" s="538">
        <v>3</v>
      </c>
    </row>
    <row r="4407" spans="1:7" x14ac:dyDescent="0.2">
      <c r="A4407" s="538">
        <v>4</v>
      </c>
      <c r="B4407" s="538" t="s">
        <v>6593</v>
      </c>
      <c r="C4407" s="538" t="s">
        <v>393</v>
      </c>
      <c r="D4407" s="538" t="s">
        <v>393</v>
      </c>
      <c r="E4407" s="538" t="s">
        <v>390</v>
      </c>
      <c r="F4407" s="538">
        <v>12752330</v>
      </c>
      <c r="G4407" s="538">
        <v>265</v>
      </c>
    </row>
    <row r="4408" spans="1:7" x14ac:dyDescent="0.2">
      <c r="A4408" s="538">
        <v>5</v>
      </c>
      <c r="B4408" s="538" t="s">
        <v>6598</v>
      </c>
      <c r="C4408" s="538" t="s">
        <v>740</v>
      </c>
      <c r="D4408" s="538" t="s">
        <v>740</v>
      </c>
      <c r="E4408" s="538" t="s">
        <v>449</v>
      </c>
      <c r="F4408" s="538">
        <v>391347</v>
      </c>
      <c r="G4408" s="538">
        <v>29</v>
      </c>
    </row>
    <row r="4409" spans="1:7" x14ac:dyDescent="0.2">
      <c r="A4409" s="538">
        <v>6</v>
      </c>
      <c r="B4409" s="538" t="s">
        <v>6429</v>
      </c>
      <c r="C4409" s="538" t="s">
        <v>740</v>
      </c>
      <c r="D4409" s="538" t="s">
        <v>740</v>
      </c>
      <c r="E4409" s="538" t="s">
        <v>210</v>
      </c>
      <c r="F4409" s="538">
        <v>74163</v>
      </c>
      <c r="G4409" s="538">
        <v>1</v>
      </c>
    </row>
    <row r="4410" spans="1:7" x14ac:dyDescent="0.2">
      <c r="A4410" s="538">
        <v>3</v>
      </c>
      <c r="B4410" s="538" t="s">
        <v>6586</v>
      </c>
      <c r="C4410" s="538" t="s">
        <v>393</v>
      </c>
      <c r="D4410" s="538" t="s">
        <v>740</v>
      </c>
      <c r="E4410" s="538" t="s">
        <v>390</v>
      </c>
      <c r="F4410" s="538">
        <v>2373008</v>
      </c>
      <c r="G4410" s="538">
        <v>16</v>
      </c>
    </row>
    <row r="4411" spans="1:7" x14ac:dyDescent="0.2">
      <c r="A4411" s="538">
        <v>11</v>
      </c>
      <c r="B4411" s="538" t="s">
        <v>6584</v>
      </c>
      <c r="C4411" s="538" t="s">
        <v>740</v>
      </c>
      <c r="D4411" s="538" t="s">
        <v>393</v>
      </c>
      <c r="E4411" s="538" t="s">
        <v>313</v>
      </c>
      <c r="F4411" s="538">
        <v>148326</v>
      </c>
      <c r="G4411" s="538">
        <v>2</v>
      </c>
    </row>
    <row r="4412" spans="1:7" x14ac:dyDescent="0.2">
      <c r="A4412" s="538">
        <v>5</v>
      </c>
      <c r="B4412" s="538" t="s">
        <v>6650</v>
      </c>
      <c r="C4412" s="538" t="s">
        <v>393</v>
      </c>
      <c r="D4412" s="538" t="s">
        <v>740</v>
      </c>
      <c r="E4412" s="538" t="s">
        <v>402</v>
      </c>
      <c r="F4412" s="538">
        <v>4424240</v>
      </c>
      <c r="G4412" s="538">
        <v>190</v>
      </c>
    </row>
    <row r="4413" spans="1:7" x14ac:dyDescent="0.2">
      <c r="A4413" s="538">
        <v>4</v>
      </c>
      <c r="B4413" s="538" t="s">
        <v>6574</v>
      </c>
      <c r="C4413" s="538" t="s">
        <v>740</v>
      </c>
      <c r="D4413" s="538" t="s">
        <v>393</v>
      </c>
      <c r="E4413" s="538" t="s">
        <v>212</v>
      </c>
      <c r="F4413" s="538">
        <v>390108</v>
      </c>
      <c r="G4413" s="538">
        <v>31</v>
      </c>
    </row>
    <row r="4414" spans="1:7" x14ac:dyDescent="0.2">
      <c r="A4414" s="538">
        <v>2</v>
      </c>
      <c r="B4414" s="538" t="s">
        <v>6576</v>
      </c>
      <c r="C4414" s="538" t="s">
        <v>740</v>
      </c>
      <c r="D4414" s="538" t="s">
        <v>393</v>
      </c>
      <c r="E4414" s="538" t="s">
        <v>860</v>
      </c>
      <c r="F4414" s="538">
        <v>1080179</v>
      </c>
      <c r="G4414" s="538">
        <v>38</v>
      </c>
    </row>
    <row r="4415" spans="1:7" x14ac:dyDescent="0.2">
      <c r="A4415" s="538">
        <v>5</v>
      </c>
      <c r="B4415" s="538" t="s">
        <v>6599</v>
      </c>
      <c r="C4415" s="538" t="s">
        <v>740</v>
      </c>
      <c r="D4415" s="538" t="s">
        <v>740</v>
      </c>
      <c r="E4415" s="538" t="s">
        <v>211</v>
      </c>
      <c r="F4415" s="538">
        <v>656087</v>
      </c>
      <c r="G4415" s="538">
        <v>4</v>
      </c>
    </row>
    <row r="4416" spans="1:7" x14ac:dyDescent="0.2">
      <c r="A4416" s="538">
        <v>3</v>
      </c>
      <c r="B4416" s="538" t="s">
        <v>6647</v>
      </c>
      <c r="C4416" s="538" t="s">
        <v>740</v>
      </c>
      <c r="D4416" s="538" t="s">
        <v>393</v>
      </c>
      <c r="E4416" s="538" t="s">
        <v>438</v>
      </c>
      <c r="F4416" s="538">
        <v>627236</v>
      </c>
      <c r="G4416" s="538">
        <v>7</v>
      </c>
    </row>
    <row r="4417" spans="1:7" x14ac:dyDescent="0.2">
      <c r="A4417" s="538">
        <v>3</v>
      </c>
      <c r="B4417" s="538" t="s">
        <v>1390</v>
      </c>
      <c r="C4417" s="538" t="s">
        <v>740</v>
      </c>
      <c r="D4417" s="538" t="s">
        <v>393</v>
      </c>
      <c r="E4417" s="538" t="s">
        <v>212</v>
      </c>
      <c r="F4417" s="538">
        <v>526044</v>
      </c>
      <c r="G4417" s="538">
        <v>43</v>
      </c>
    </row>
    <row r="4418" spans="1:7" x14ac:dyDescent="0.2">
      <c r="A4418" s="538">
        <v>9</v>
      </c>
      <c r="B4418" s="538" t="s">
        <v>6615</v>
      </c>
      <c r="C4418" s="538" t="s">
        <v>393</v>
      </c>
      <c r="D4418" s="538" t="s">
        <v>393</v>
      </c>
      <c r="E4418" s="538" t="s">
        <v>449</v>
      </c>
      <c r="F4418" s="538">
        <v>350991</v>
      </c>
      <c r="G4418" s="538">
        <v>22</v>
      </c>
    </row>
    <row r="4419" spans="1:7" x14ac:dyDescent="0.2">
      <c r="A4419" s="538">
        <v>10</v>
      </c>
      <c r="B4419" s="538" t="s">
        <v>6653</v>
      </c>
      <c r="C4419" s="538" t="s">
        <v>393</v>
      </c>
      <c r="D4419" s="538" t="s">
        <v>740</v>
      </c>
      <c r="E4419" s="538" t="s">
        <v>207</v>
      </c>
      <c r="F4419" s="538">
        <v>1265727</v>
      </c>
      <c r="G4419" s="538">
        <v>84</v>
      </c>
    </row>
    <row r="4420" spans="1:7" x14ac:dyDescent="0.2">
      <c r="A4420" s="538">
        <v>4</v>
      </c>
      <c r="B4420" s="538" t="s">
        <v>6574</v>
      </c>
      <c r="C4420" s="538" t="s">
        <v>740</v>
      </c>
      <c r="D4420" s="538" t="s">
        <v>393</v>
      </c>
      <c r="E4420" s="538" t="s">
        <v>419</v>
      </c>
      <c r="F4420" s="538">
        <v>22656</v>
      </c>
      <c r="G4420" s="538">
        <v>2</v>
      </c>
    </row>
    <row r="4421" spans="1:7" x14ac:dyDescent="0.2">
      <c r="A4421" s="538">
        <v>2</v>
      </c>
      <c r="B4421" s="538" t="s">
        <v>6585</v>
      </c>
      <c r="C4421" s="538" t="s">
        <v>740</v>
      </c>
      <c r="D4421" s="538" t="s">
        <v>393</v>
      </c>
      <c r="E4421" s="538" t="s">
        <v>313</v>
      </c>
      <c r="F4421" s="538">
        <v>1026902</v>
      </c>
      <c r="G4421" s="538">
        <v>9</v>
      </c>
    </row>
    <row r="4422" spans="1:7" x14ac:dyDescent="0.2">
      <c r="A4422" s="538">
        <v>6</v>
      </c>
      <c r="B4422" s="538" t="s">
        <v>6565</v>
      </c>
      <c r="C4422" s="538" t="s">
        <v>393</v>
      </c>
      <c r="D4422" s="538" t="s">
        <v>740</v>
      </c>
      <c r="E4422" s="538" t="s">
        <v>230</v>
      </c>
      <c r="F4422" s="538">
        <v>22656</v>
      </c>
      <c r="G4422" s="538">
        <v>2</v>
      </c>
    </row>
    <row r="4423" spans="1:7" x14ac:dyDescent="0.2">
      <c r="A4423" s="538">
        <v>6</v>
      </c>
      <c r="B4423" s="538" t="s">
        <v>1668</v>
      </c>
      <c r="C4423" s="538" t="s">
        <v>740</v>
      </c>
      <c r="D4423" s="538" t="s">
        <v>393</v>
      </c>
      <c r="E4423" s="538" t="s">
        <v>402</v>
      </c>
      <c r="F4423" s="538">
        <v>11328</v>
      </c>
      <c r="G4423" s="538">
        <v>1</v>
      </c>
    </row>
    <row r="4424" spans="1:7" x14ac:dyDescent="0.2">
      <c r="A4424" s="538">
        <v>2</v>
      </c>
      <c r="B4424" s="538" t="s">
        <v>6055</v>
      </c>
      <c r="C4424" s="538" t="s">
        <v>740</v>
      </c>
      <c r="D4424" s="538" t="s">
        <v>740</v>
      </c>
      <c r="E4424" s="538" t="s">
        <v>202</v>
      </c>
      <c r="F4424" s="538">
        <v>11328</v>
      </c>
      <c r="G4424" s="538">
        <v>1</v>
      </c>
    </row>
    <row r="4425" spans="1:7" x14ac:dyDescent="0.2">
      <c r="A4425" s="538">
        <v>8</v>
      </c>
      <c r="B4425" s="538" t="s">
        <v>6567</v>
      </c>
      <c r="C4425" s="538" t="s">
        <v>740</v>
      </c>
      <c r="D4425" s="538" t="s">
        <v>393</v>
      </c>
      <c r="E4425" s="538" t="s">
        <v>211</v>
      </c>
      <c r="F4425" s="538">
        <v>243906</v>
      </c>
      <c r="G4425" s="538">
        <v>7</v>
      </c>
    </row>
    <row r="4426" spans="1:7" x14ac:dyDescent="0.2">
      <c r="A4426" s="538">
        <v>12</v>
      </c>
      <c r="B4426" s="538" t="s">
        <v>6616</v>
      </c>
      <c r="C4426" s="538" t="s">
        <v>393</v>
      </c>
      <c r="D4426" s="538" t="s">
        <v>740</v>
      </c>
      <c r="E4426" s="538" t="s">
        <v>449</v>
      </c>
      <c r="F4426" s="538">
        <v>11328</v>
      </c>
      <c r="G4426" s="538">
        <v>1</v>
      </c>
    </row>
    <row r="4427" spans="1:7" x14ac:dyDescent="0.2">
      <c r="A4427" s="538">
        <v>7</v>
      </c>
      <c r="B4427" s="538" t="s">
        <v>6580</v>
      </c>
      <c r="C4427" s="538" t="s">
        <v>393</v>
      </c>
      <c r="D4427" s="538" t="s">
        <v>740</v>
      </c>
      <c r="E4427" s="538" t="s">
        <v>416</v>
      </c>
      <c r="F4427" s="538">
        <v>632192</v>
      </c>
      <c r="G4427" s="538">
        <v>4</v>
      </c>
    </row>
    <row r="4428" spans="1:7" x14ac:dyDescent="0.2">
      <c r="A4428" s="538">
        <v>5</v>
      </c>
      <c r="B4428" s="538" t="s">
        <v>6568</v>
      </c>
      <c r="C4428" s="538" t="s">
        <v>740</v>
      </c>
      <c r="D4428" s="538" t="s">
        <v>740</v>
      </c>
      <c r="E4428" s="538" t="s">
        <v>313</v>
      </c>
      <c r="F4428" s="538">
        <v>644759</v>
      </c>
      <c r="G4428" s="538">
        <v>3</v>
      </c>
    </row>
    <row r="4429" spans="1:7" x14ac:dyDescent="0.2">
      <c r="A4429" s="538">
        <v>3</v>
      </c>
      <c r="B4429" s="538" t="s">
        <v>6605</v>
      </c>
      <c r="C4429" s="538" t="s">
        <v>740</v>
      </c>
      <c r="D4429" s="538" t="s">
        <v>393</v>
      </c>
      <c r="E4429" s="538" t="s">
        <v>449</v>
      </c>
      <c r="F4429" s="538">
        <v>11328</v>
      </c>
      <c r="G4429" s="538">
        <v>1</v>
      </c>
    </row>
    <row r="4430" spans="1:7" x14ac:dyDescent="0.2">
      <c r="A4430" s="538">
        <v>9</v>
      </c>
      <c r="B4430" s="538" t="s">
        <v>6615</v>
      </c>
      <c r="C4430" s="538" t="s">
        <v>740</v>
      </c>
      <c r="D4430" s="538" t="s">
        <v>393</v>
      </c>
      <c r="E4430" s="538" t="s">
        <v>211</v>
      </c>
      <c r="F4430" s="538">
        <v>245145</v>
      </c>
      <c r="G4430" s="538">
        <v>5</v>
      </c>
    </row>
    <row r="4431" spans="1:7" x14ac:dyDescent="0.2">
      <c r="A4431" s="538">
        <v>9</v>
      </c>
      <c r="B4431" s="538" t="s">
        <v>6657</v>
      </c>
      <c r="C4431" s="538" t="s">
        <v>393</v>
      </c>
      <c r="D4431" s="538" t="s">
        <v>393</v>
      </c>
      <c r="E4431" s="538" t="s">
        <v>402</v>
      </c>
      <c r="F4431" s="538">
        <v>6661791</v>
      </c>
      <c r="G4431" s="538">
        <v>142</v>
      </c>
    </row>
    <row r="4432" spans="1:7" x14ac:dyDescent="0.2">
      <c r="A4432" s="538">
        <v>2</v>
      </c>
      <c r="B4432" s="538" t="s">
        <v>6585</v>
      </c>
      <c r="C4432" s="538" t="s">
        <v>393</v>
      </c>
      <c r="D4432" s="538" t="s">
        <v>740</v>
      </c>
      <c r="E4432" s="538" t="s">
        <v>416</v>
      </c>
      <c r="F4432" s="538">
        <v>13122385</v>
      </c>
      <c r="G4432" s="538">
        <v>295</v>
      </c>
    </row>
    <row r="4433" spans="1:7" x14ac:dyDescent="0.2">
      <c r="A4433" s="538">
        <v>12</v>
      </c>
      <c r="B4433" s="538" t="s">
        <v>6569</v>
      </c>
      <c r="C4433" s="538" t="s">
        <v>740</v>
      </c>
      <c r="D4433" s="538" t="s">
        <v>393</v>
      </c>
      <c r="E4433" s="538" t="s">
        <v>209</v>
      </c>
      <c r="F4433" s="538">
        <v>1191460</v>
      </c>
      <c r="G4433" s="538">
        <v>5</v>
      </c>
    </row>
    <row r="4434" spans="1:7" x14ac:dyDescent="0.2">
      <c r="A4434" s="538">
        <v>1</v>
      </c>
      <c r="B4434" s="538" t="s">
        <v>6609</v>
      </c>
      <c r="C4434" s="538" t="s">
        <v>740</v>
      </c>
      <c r="D4434" s="538" t="s">
        <v>740</v>
      </c>
      <c r="E4434" s="538" t="s">
        <v>409</v>
      </c>
      <c r="F4434" s="538">
        <v>45312</v>
      </c>
      <c r="G4434" s="538">
        <v>4</v>
      </c>
    </row>
    <row r="4435" spans="1:7" x14ac:dyDescent="0.2">
      <c r="A4435" s="538">
        <v>8</v>
      </c>
      <c r="B4435" s="538" t="s">
        <v>6648</v>
      </c>
      <c r="C4435" s="538" t="s">
        <v>393</v>
      </c>
      <c r="D4435" s="538" t="s">
        <v>393</v>
      </c>
      <c r="E4435" s="538" t="s">
        <v>409</v>
      </c>
      <c r="F4435" s="538">
        <v>2910557</v>
      </c>
      <c r="G4435" s="538">
        <v>69</v>
      </c>
    </row>
    <row r="4436" spans="1:7" x14ac:dyDescent="0.2">
      <c r="A4436" s="538">
        <v>3</v>
      </c>
      <c r="B4436" s="538" t="s">
        <v>1390</v>
      </c>
      <c r="C4436" s="538" t="s">
        <v>740</v>
      </c>
      <c r="D4436" s="538" t="s">
        <v>393</v>
      </c>
      <c r="E4436" s="538" t="s">
        <v>211</v>
      </c>
      <c r="F4436" s="538">
        <v>140892</v>
      </c>
      <c r="G4436" s="538">
        <v>9</v>
      </c>
    </row>
    <row r="4437" spans="1:7" x14ac:dyDescent="0.2">
      <c r="A4437" s="538">
        <v>2</v>
      </c>
      <c r="B4437" s="538" t="s">
        <v>6662</v>
      </c>
      <c r="C4437" s="538" t="s">
        <v>393</v>
      </c>
      <c r="D4437" s="538" t="s">
        <v>393</v>
      </c>
      <c r="E4437" s="538" t="s">
        <v>211</v>
      </c>
      <c r="F4437" s="538">
        <v>30403917</v>
      </c>
      <c r="G4437" s="538">
        <v>304</v>
      </c>
    </row>
    <row r="4438" spans="1:7" x14ac:dyDescent="0.2">
      <c r="A4438" s="538">
        <v>6</v>
      </c>
      <c r="B4438" s="538" t="s">
        <v>6596</v>
      </c>
      <c r="C4438" s="538" t="s">
        <v>740</v>
      </c>
      <c r="D4438" s="538" t="s">
        <v>393</v>
      </c>
      <c r="E4438" s="538" t="s">
        <v>409</v>
      </c>
      <c r="F4438" s="538">
        <v>1817634</v>
      </c>
      <c r="G4438" s="538">
        <v>23</v>
      </c>
    </row>
    <row r="4439" spans="1:7" x14ac:dyDescent="0.2">
      <c r="A4439" s="538">
        <v>4</v>
      </c>
      <c r="B4439" s="538" t="s">
        <v>6562</v>
      </c>
      <c r="C4439" s="538" t="s">
        <v>740</v>
      </c>
      <c r="D4439" s="538" t="s">
        <v>393</v>
      </c>
      <c r="E4439" s="538" t="s">
        <v>449</v>
      </c>
      <c r="F4439" s="538">
        <v>119475</v>
      </c>
      <c r="G4439" s="538">
        <v>5</v>
      </c>
    </row>
    <row r="4440" spans="1:7" x14ac:dyDescent="0.2">
      <c r="A4440" s="538">
        <v>7</v>
      </c>
      <c r="B4440" s="538" t="s">
        <v>6564</v>
      </c>
      <c r="C4440" s="538" t="s">
        <v>740</v>
      </c>
      <c r="D4440" s="538" t="s">
        <v>740</v>
      </c>
      <c r="E4440" s="538" t="s">
        <v>401</v>
      </c>
      <c r="F4440" s="538">
        <v>310812</v>
      </c>
      <c r="G4440" s="538">
        <v>24</v>
      </c>
    </row>
    <row r="4441" spans="1:7" x14ac:dyDescent="0.2">
      <c r="A4441" s="538">
        <v>3</v>
      </c>
      <c r="B4441" s="538" t="s">
        <v>6578</v>
      </c>
      <c r="C4441" s="538" t="s">
        <v>740</v>
      </c>
      <c r="D4441" s="538" t="s">
        <v>740</v>
      </c>
      <c r="E4441" s="538" t="s">
        <v>210</v>
      </c>
      <c r="F4441" s="538">
        <v>716621</v>
      </c>
      <c r="G4441" s="538">
        <v>17</v>
      </c>
    </row>
    <row r="4442" spans="1:7" x14ac:dyDescent="0.2">
      <c r="A4442" s="538">
        <v>6</v>
      </c>
      <c r="B4442" s="538" t="s">
        <v>1668</v>
      </c>
      <c r="C4442" s="538" t="s">
        <v>740</v>
      </c>
      <c r="D4442" s="538" t="s">
        <v>740</v>
      </c>
      <c r="E4442" s="538" t="s">
        <v>209</v>
      </c>
      <c r="F4442" s="538">
        <v>496433</v>
      </c>
      <c r="G4442" s="538">
        <v>1</v>
      </c>
    </row>
    <row r="4443" spans="1:7" x14ac:dyDescent="0.2">
      <c r="A4443" s="538">
        <v>7</v>
      </c>
      <c r="B4443" s="538" t="s">
        <v>6588</v>
      </c>
      <c r="C4443" s="538" t="s">
        <v>740</v>
      </c>
      <c r="D4443" s="538" t="s">
        <v>393</v>
      </c>
      <c r="E4443" s="538" t="s">
        <v>211</v>
      </c>
      <c r="F4443" s="538">
        <v>4804530</v>
      </c>
      <c r="G4443" s="538">
        <v>80</v>
      </c>
    </row>
    <row r="4444" spans="1:7" x14ac:dyDescent="0.2">
      <c r="A4444" s="538">
        <v>4</v>
      </c>
      <c r="B4444" s="538" t="s">
        <v>6574</v>
      </c>
      <c r="C4444" s="538" t="s">
        <v>740</v>
      </c>
      <c r="D4444" s="538" t="s">
        <v>393</v>
      </c>
      <c r="E4444" s="538" t="s">
        <v>860</v>
      </c>
      <c r="F4444" s="538">
        <v>691716</v>
      </c>
      <c r="G4444" s="538">
        <v>32</v>
      </c>
    </row>
    <row r="4445" spans="1:7" x14ac:dyDescent="0.2">
      <c r="A4445" s="538">
        <v>7</v>
      </c>
      <c r="B4445" s="538" t="s">
        <v>6604</v>
      </c>
      <c r="C4445" s="538" t="s">
        <v>740</v>
      </c>
      <c r="D4445" s="538" t="s">
        <v>393</v>
      </c>
      <c r="E4445" s="538" t="s">
        <v>212</v>
      </c>
      <c r="F4445" s="538">
        <v>498432</v>
      </c>
      <c r="G4445" s="538">
        <v>44</v>
      </c>
    </row>
    <row r="4446" spans="1:7" x14ac:dyDescent="0.2">
      <c r="A4446" s="538">
        <v>5</v>
      </c>
      <c r="B4446" s="538" t="s">
        <v>6599</v>
      </c>
      <c r="C4446" s="538" t="s">
        <v>740</v>
      </c>
      <c r="D4446" s="538" t="s">
        <v>740</v>
      </c>
      <c r="E4446" s="538" t="s">
        <v>438</v>
      </c>
      <c r="F4446" s="538">
        <v>11328</v>
      </c>
      <c r="G4446" s="538">
        <v>1</v>
      </c>
    </row>
    <row r="4447" spans="1:7" x14ac:dyDescent="0.2">
      <c r="A4447" s="538">
        <v>10</v>
      </c>
      <c r="B4447" s="538" t="s">
        <v>6587</v>
      </c>
      <c r="C4447" s="538" t="s">
        <v>740</v>
      </c>
      <c r="D4447" s="538" t="s">
        <v>740</v>
      </c>
      <c r="E4447" s="538" t="s">
        <v>210</v>
      </c>
      <c r="F4447" s="538">
        <v>11328</v>
      </c>
      <c r="G4447" s="538">
        <v>1</v>
      </c>
    </row>
    <row r="4448" spans="1:7" x14ac:dyDescent="0.2">
      <c r="A4448" s="538">
        <v>8</v>
      </c>
      <c r="B4448" s="538" t="s">
        <v>6560</v>
      </c>
      <c r="C4448" s="538" t="s">
        <v>740</v>
      </c>
      <c r="D4448" s="538" t="s">
        <v>393</v>
      </c>
      <c r="E4448" s="538" t="s">
        <v>416</v>
      </c>
      <c r="F4448" s="538">
        <v>128674749</v>
      </c>
      <c r="G4448" s="538">
        <v>2808</v>
      </c>
    </row>
    <row r="4449" spans="1:7" x14ac:dyDescent="0.2">
      <c r="A4449" s="538">
        <v>10</v>
      </c>
      <c r="B4449" s="538" t="s">
        <v>6582</v>
      </c>
      <c r="C4449" s="538" t="s">
        <v>740</v>
      </c>
      <c r="D4449" s="538" t="s">
        <v>740</v>
      </c>
      <c r="E4449" s="538" t="s">
        <v>202</v>
      </c>
      <c r="F4449" s="538">
        <v>1004194</v>
      </c>
      <c r="G4449" s="538">
        <v>3</v>
      </c>
    </row>
    <row r="4450" spans="1:7" x14ac:dyDescent="0.2">
      <c r="A4450" s="538">
        <v>5</v>
      </c>
      <c r="B4450" s="538" t="s">
        <v>6599</v>
      </c>
      <c r="C4450" s="538" t="s">
        <v>740</v>
      </c>
      <c r="D4450" s="538" t="s">
        <v>740</v>
      </c>
      <c r="E4450" s="538" t="s">
        <v>230</v>
      </c>
      <c r="F4450" s="538">
        <v>50268</v>
      </c>
      <c r="G4450" s="538">
        <v>1</v>
      </c>
    </row>
    <row r="4451" spans="1:7" x14ac:dyDescent="0.2">
      <c r="A4451" s="538">
        <v>12</v>
      </c>
      <c r="B4451" s="538" t="s">
        <v>6563</v>
      </c>
      <c r="C4451" s="538" t="s">
        <v>740</v>
      </c>
      <c r="D4451" s="538" t="s">
        <v>393</v>
      </c>
      <c r="E4451" s="538" t="s">
        <v>449</v>
      </c>
      <c r="F4451" s="538">
        <v>4588621</v>
      </c>
      <c r="G4451" s="538">
        <v>177</v>
      </c>
    </row>
    <row r="4452" spans="1:7" x14ac:dyDescent="0.2">
      <c r="A4452" s="538">
        <v>9</v>
      </c>
      <c r="B4452" s="538" t="s">
        <v>948</v>
      </c>
      <c r="C4452" s="538" t="s">
        <v>393</v>
      </c>
      <c r="D4452" s="538" t="s">
        <v>393</v>
      </c>
      <c r="E4452" s="538" t="s">
        <v>390</v>
      </c>
      <c r="F4452" s="538">
        <v>8759012</v>
      </c>
      <c r="G4452" s="538">
        <v>214</v>
      </c>
    </row>
    <row r="4453" spans="1:7" x14ac:dyDescent="0.2">
      <c r="A4453" s="538">
        <v>6</v>
      </c>
      <c r="B4453" s="538" t="s">
        <v>1668</v>
      </c>
      <c r="C4453" s="538" t="s">
        <v>393</v>
      </c>
      <c r="D4453" s="538" t="s">
        <v>393</v>
      </c>
      <c r="E4453" s="538" t="s">
        <v>438</v>
      </c>
      <c r="F4453" s="538">
        <v>1378955</v>
      </c>
      <c r="G4453" s="538">
        <v>25</v>
      </c>
    </row>
    <row r="4454" spans="1:7" x14ac:dyDescent="0.2">
      <c r="A4454" s="538">
        <v>6</v>
      </c>
      <c r="B4454" s="538" t="s">
        <v>1668</v>
      </c>
      <c r="C4454" s="538" t="s">
        <v>393</v>
      </c>
      <c r="D4454" s="538" t="s">
        <v>393</v>
      </c>
      <c r="E4454" s="538" t="s">
        <v>206</v>
      </c>
      <c r="F4454" s="538">
        <v>496433</v>
      </c>
      <c r="G4454" s="538">
        <v>1</v>
      </c>
    </row>
    <row r="4455" spans="1:7" x14ac:dyDescent="0.2">
      <c r="A4455" s="538">
        <v>2</v>
      </c>
      <c r="B4455" s="538" t="s">
        <v>6573</v>
      </c>
      <c r="C4455" s="538" t="s">
        <v>740</v>
      </c>
      <c r="D4455" s="538" t="s">
        <v>740</v>
      </c>
      <c r="E4455" s="538" t="s">
        <v>210</v>
      </c>
      <c r="F4455" s="538">
        <v>148326</v>
      </c>
      <c r="G4455" s="538">
        <v>2</v>
      </c>
    </row>
    <row r="4456" spans="1:7" x14ac:dyDescent="0.2">
      <c r="A4456" s="538">
        <v>11</v>
      </c>
      <c r="B4456" s="538" t="s">
        <v>6584</v>
      </c>
      <c r="C4456" s="538" t="s">
        <v>740</v>
      </c>
      <c r="D4456" s="538" t="s">
        <v>393</v>
      </c>
      <c r="E4456" s="538" t="s">
        <v>416</v>
      </c>
      <c r="F4456" s="538">
        <v>887603</v>
      </c>
      <c r="G4456" s="538">
        <v>21</v>
      </c>
    </row>
    <row r="4457" spans="1:7" x14ac:dyDescent="0.2">
      <c r="A4457" s="538">
        <v>5</v>
      </c>
      <c r="B4457" s="538" t="s">
        <v>6650</v>
      </c>
      <c r="C4457" s="538" t="s">
        <v>393</v>
      </c>
      <c r="D4457" s="538" t="s">
        <v>393</v>
      </c>
      <c r="E4457" s="538" t="s">
        <v>209</v>
      </c>
      <c r="F4457" s="538">
        <v>507761</v>
      </c>
      <c r="G4457" s="538">
        <v>2</v>
      </c>
    </row>
    <row r="4458" spans="1:7" x14ac:dyDescent="0.2">
      <c r="A4458" s="538">
        <v>12</v>
      </c>
      <c r="B4458" s="538" t="s">
        <v>6563</v>
      </c>
      <c r="C4458" s="538" t="s">
        <v>740</v>
      </c>
      <c r="D4458" s="538" t="s">
        <v>393</v>
      </c>
      <c r="E4458" s="538" t="s">
        <v>402</v>
      </c>
      <c r="F4458" s="538">
        <v>9038224</v>
      </c>
      <c r="G4458" s="538">
        <v>533</v>
      </c>
    </row>
    <row r="4459" spans="1:7" x14ac:dyDescent="0.2">
      <c r="A4459" s="538">
        <v>1</v>
      </c>
      <c r="B4459" s="538" t="s">
        <v>6595</v>
      </c>
      <c r="C4459" s="538" t="s">
        <v>393</v>
      </c>
      <c r="D4459" s="538" t="s">
        <v>740</v>
      </c>
      <c r="E4459" s="538" t="s">
        <v>409</v>
      </c>
      <c r="F4459" s="538">
        <v>22656</v>
      </c>
      <c r="G4459" s="538">
        <v>2</v>
      </c>
    </row>
    <row r="4460" spans="1:7" x14ac:dyDescent="0.2">
      <c r="A4460" s="538">
        <v>3</v>
      </c>
      <c r="B4460" s="538" t="s">
        <v>6647</v>
      </c>
      <c r="C4460" s="538" t="s">
        <v>740</v>
      </c>
      <c r="D4460" s="538" t="s">
        <v>740</v>
      </c>
      <c r="E4460" s="538" t="s">
        <v>438</v>
      </c>
      <c r="F4460" s="538">
        <v>11328</v>
      </c>
      <c r="G4460" s="538">
        <v>1</v>
      </c>
    </row>
    <row r="4461" spans="1:7" x14ac:dyDescent="0.2">
      <c r="A4461" s="538">
        <v>7</v>
      </c>
      <c r="B4461" s="538" t="s">
        <v>6588</v>
      </c>
      <c r="C4461" s="538" t="s">
        <v>393</v>
      </c>
      <c r="D4461" s="538" t="s">
        <v>740</v>
      </c>
      <c r="E4461" s="538" t="s">
        <v>207</v>
      </c>
      <c r="F4461" s="538">
        <v>33984</v>
      </c>
      <c r="G4461" s="538">
        <v>3</v>
      </c>
    </row>
    <row r="4462" spans="1:7" x14ac:dyDescent="0.2">
      <c r="A4462" s="538">
        <v>9</v>
      </c>
      <c r="B4462" s="538" t="s">
        <v>6606</v>
      </c>
      <c r="C4462" s="538" t="s">
        <v>393</v>
      </c>
      <c r="D4462" s="538" t="s">
        <v>393</v>
      </c>
      <c r="E4462" s="538" t="s">
        <v>390</v>
      </c>
      <c r="F4462" s="538">
        <v>5041210</v>
      </c>
      <c r="G4462" s="538">
        <v>130</v>
      </c>
    </row>
    <row r="4463" spans="1:7" x14ac:dyDescent="0.2">
      <c r="A4463" s="538">
        <v>5</v>
      </c>
      <c r="B4463" s="538" t="s">
        <v>6566</v>
      </c>
      <c r="C4463" s="538" t="s">
        <v>393</v>
      </c>
      <c r="D4463" s="538" t="s">
        <v>393</v>
      </c>
      <c r="E4463" s="538" t="s">
        <v>230</v>
      </c>
      <c r="F4463" s="538">
        <v>5911488</v>
      </c>
      <c r="G4463" s="538">
        <v>146</v>
      </c>
    </row>
    <row r="4464" spans="1:7" x14ac:dyDescent="0.2">
      <c r="A4464" s="538">
        <v>9</v>
      </c>
      <c r="B4464" s="538" t="s">
        <v>6606</v>
      </c>
      <c r="C4464" s="538" t="s">
        <v>740</v>
      </c>
      <c r="D4464" s="538" t="s">
        <v>393</v>
      </c>
      <c r="E4464" s="538" t="s">
        <v>416</v>
      </c>
      <c r="F4464" s="538">
        <v>14436256</v>
      </c>
      <c r="G4464" s="538">
        <v>337</v>
      </c>
    </row>
    <row r="4465" spans="1:7" x14ac:dyDescent="0.2">
      <c r="A4465" s="538">
        <v>2</v>
      </c>
      <c r="B4465" s="538" t="s">
        <v>6576</v>
      </c>
      <c r="C4465" s="538" t="s">
        <v>740</v>
      </c>
      <c r="D4465" s="538" t="s">
        <v>740</v>
      </c>
      <c r="E4465" s="538" t="s">
        <v>402</v>
      </c>
      <c r="F4465" s="538">
        <v>853619</v>
      </c>
      <c r="G4465" s="538">
        <v>18</v>
      </c>
    </row>
    <row r="4466" spans="1:7" x14ac:dyDescent="0.2">
      <c r="A4466" s="538">
        <v>10</v>
      </c>
      <c r="B4466" s="538" t="s">
        <v>6601</v>
      </c>
      <c r="C4466" s="538" t="s">
        <v>393</v>
      </c>
      <c r="D4466" s="538" t="s">
        <v>393</v>
      </c>
      <c r="E4466" s="538" t="s">
        <v>860</v>
      </c>
      <c r="F4466" s="538">
        <v>695204</v>
      </c>
      <c r="G4466" s="538">
        <v>13</v>
      </c>
    </row>
    <row r="4467" spans="1:7" x14ac:dyDescent="0.2">
      <c r="A4467" s="538">
        <v>10</v>
      </c>
      <c r="B4467" s="538" t="s">
        <v>6664</v>
      </c>
      <c r="C4467" s="538" t="s">
        <v>740</v>
      </c>
      <c r="D4467" s="538" t="s">
        <v>393</v>
      </c>
      <c r="E4467" s="538" t="s">
        <v>860</v>
      </c>
      <c r="F4467" s="538">
        <v>85491</v>
      </c>
      <c r="G4467" s="538">
        <v>2</v>
      </c>
    </row>
    <row r="4468" spans="1:7" x14ac:dyDescent="0.2">
      <c r="A4468" s="538">
        <v>4</v>
      </c>
      <c r="B4468" s="538" t="s">
        <v>6562</v>
      </c>
      <c r="C4468" s="538" t="s">
        <v>393</v>
      </c>
      <c r="D4468" s="538" t="s">
        <v>393</v>
      </c>
      <c r="E4468" s="538" t="s">
        <v>449</v>
      </c>
      <c r="F4468" s="538">
        <v>464094</v>
      </c>
      <c r="G4468" s="538">
        <v>23</v>
      </c>
    </row>
    <row r="4469" spans="1:7" x14ac:dyDescent="0.2">
      <c r="A4469" s="538">
        <v>5</v>
      </c>
      <c r="B4469" s="538" t="s">
        <v>6598</v>
      </c>
      <c r="C4469" s="538" t="s">
        <v>740</v>
      </c>
      <c r="D4469" s="538" t="s">
        <v>393</v>
      </c>
      <c r="E4469" s="538" t="s">
        <v>401</v>
      </c>
      <c r="F4469" s="538">
        <v>176115</v>
      </c>
      <c r="G4469" s="538">
        <v>10</v>
      </c>
    </row>
    <row r="4470" spans="1:7" x14ac:dyDescent="0.2">
      <c r="A4470" s="538">
        <v>7</v>
      </c>
      <c r="B4470" s="538" t="s">
        <v>6580</v>
      </c>
      <c r="C4470" s="538" t="s">
        <v>393</v>
      </c>
      <c r="D4470" s="538" t="s">
        <v>393</v>
      </c>
      <c r="E4470" s="538" t="s">
        <v>209</v>
      </c>
      <c r="F4470" s="538">
        <v>1574790</v>
      </c>
      <c r="G4470" s="538">
        <v>5</v>
      </c>
    </row>
    <row r="4471" spans="1:7" x14ac:dyDescent="0.2">
      <c r="A4471" s="538">
        <v>3</v>
      </c>
      <c r="B4471" s="538" t="s">
        <v>1390</v>
      </c>
      <c r="C4471" s="538" t="s">
        <v>740</v>
      </c>
      <c r="D4471" s="538" t="s">
        <v>393</v>
      </c>
      <c r="E4471" s="538" t="s">
        <v>209</v>
      </c>
      <c r="F4471" s="538">
        <v>74163</v>
      </c>
      <c r="G4471" s="538">
        <v>1</v>
      </c>
    </row>
    <row r="4472" spans="1:7" x14ac:dyDescent="0.2">
      <c r="A4472" s="538">
        <v>7</v>
      </c>
      <c r="B4472" s="538" t="s">
        <v>6655</v>
      </c>
      <c r="C4472" s="538" t="s">
        <v>740</v>
      </c>
      <c r="D4472" s="538" t="s">
        <v>393</v>
      </c>
      <c r="E4472" s="538" t="s">
        <v>202</v>
      </c>
      <c r="F4472" s="538">
        <v>1015574</v>
      </c>
      <c r="G4472" s="538">
        <v>8</v>
      </c>
    </row>
    <row r="4473" spans="1:7" x14ac:dyDescent="0.2">
      <c r="A4473" s="538">
        <v>6</v>
      </c>
      <c r="B4473" s="538" t="s">
        <v>1668</v>
      </c>
      <c r="C4473" s="538" t="s">
        <v>740</v>
      </c>
      <c r="D4473" s="538" t="s">
        <v>393</v>
      </c>
      <c r="E4473" s="538" t="s">
        <v>860</v>
      </c>
      <c r="F4473" s="538">
        <v>1119119</v>
      </c>
      <c r="G4473" s="538">
        <v>38</v>
      </c>
    </row>
    <row r="4474" spans="1:7" x14ac:dyDescent="0.2">
      <c r="A4474" s="538">
        <v>6</v>
      </c>
      <c r="B4474" s="538" t="s">
        <v>6607</v>
      </c>
      <c r="C4474" s="538" t="s">
        <v>393</v>
      </c>
      <c r="D4474" s="538" t="s">
        <v>393</v>
      </c>
      <c r="E4474" s="538" t="s">
        <v>449</v>
      </c>
      <c r="F4474" s="538">
        <v>181248</v>
      </c>
      <c r="G4474" s="538">
        <v>16</v>
      </c>
    </row>
    <row r="4475" spans="1:7" x14ac:dyDescent="0.2">
      <c r="A4475" s="538">
        <v>7</v>
      </c>
      <c r="B4475" s="538" t="s">
        <v>6661</v>
      </c>
      <c r="C4475" s="538" t="s">
        <v>740</v>
      </c>
      <c r="D4475" s="538" t="s">
        <v>393</v>
      </c>
      <c r="E4475" s="538" t="s">
        <v>416</v>
      </c>
      <c r="F4475" s="538">
        <v>106908</v>
      </c>
      <c r="G4475" s="538">
        <v>6</v>
      </c>
    </row>
    <row r="4476" spans="1:7" x14ac:dyDescent="0.2">
      <c r="A4476" s="538">
        <v>1</v>
      </c>
      <c r="B4476" s="538" t="s">
        <v>1288</v>
      </c>
      <c r="C4476" s="538" t="s">
        <v>740</v>
      </c>
      <c r="D4476" s="538" t="s">
        <v>393</v>
      </c>
      <c r="E4476" s="538" t="s">
        <v>211</v>
      </c>
      <c r="F4476" s="538">
        <v>1249745</v>
      </c>
      <c r="G4476" s="538">
        <v>35</v>
      </c>
    </row>
    <row r="4477" spans="1:7" x14ac:dyDescent="0.2">
      <c r="A4477" s="538">
        <v>7</v>
      </c>
      <c r="B4477" s="538" t="s">
        <v>6661</v>
      </c>
      <c r="C4477" s="538" t="s">
        <v>740</v>
      </c>
      <c r="D4477" s="538" t="s">
        <v>393</v>
      </c>
      <c r="E4477" s="538" t="s">
        <v>211</v>
      </c>
      <c r="F4477" s="538">
        <v>2672544</v>
      </c>
      <c r="G4477" s="538">
        <v>48</v>
      </c>
    </row>
    <row r="4478" spans="1:7" x14ac:dyDescent="0.2">
      <c r="A4478" s="538">
        <v>1</v>
      </c>
      <c r="B4478" s="538" t="s">
        <v>6602</v>
      </c>
      <c r="C4478" s="538" t="s">
        <v>740</v>
      </c>
      <c r="D4478" s="538" t="s">
        <v>740</v>
      </c>
      <c r="E4478" s="538" t="s">
        <v>860</v>
      </c>
      <c r="F4478" s="538">
        <v>569357</v>
      </c>
      <c r="G4478" s="538">
        <v>4</v>
      </c>
    </row>
    <row r="4479" spans="1:7" x14ac:dyDescent="0.2">
      <c r="A4479" s="538">
        <v>5</v>
      </c>
      <c r="B4479" s="538" t="s">
        <v>6599</v>
      </c>
      <c r="C4479" s="538" t="s">
        <v>740</v>
      </c>
      <c r="D4479" s="538" t="s">
        <v>393</v>
      </c>
      <c r="E4479" s="538" t="s">
        <v>409</v>
      </c>
      <c r="F4479" s="538">
        <v>1044831</v>
      </c>
      <c r="G4479" s="538">
        <v>32</v>
      </c>
    </row>
    <row r="4480" spans="1:7" x14ac:dyDescent="0.2">
      <c r="A4480" s="538">
        <v>9</v>
      </c>
      <c r="B4480" s="538" t="s">
        <v>6644</v>
      </c>
      <c r="C4480" s="538" t="s">
        <v>393</v>
      </c>
      <c r="D4480" s="538" t="s">
        <v>393</v>
      </c>
      <c r="E4480" s="538" t="s">
        <v>416</v>
      </c>
      <c r="F4480" s="538">
        <v>83008372</v>
      </c>
      <c r="G4480" s="538">
        <v>1529</v>
      </c>
    </row>
    <row r="4481" spans="1:7" x14ac:dyDescent="0.2">
      <c r="A4481" s="538">
        <v>4</v>
      </c>
      <c r="B4481" s="538" t="s">
        <v>6572</v>
      </c>
      <c r="C4481" s="538" t="s">
        <v>393</v>
      </c>
      <c r="D4481" s="538" t="s">
        <v>393</v>
      </c>
      <c r="E4481" s="538" t="s">
        <v>438</v>
      </c>
      <c r="F4481" s="538">
        <v>8241329</v>
      </c>
      <c r="G4481" s="538">
        <v>58</v>
      </c>
    </row>
    <row r="4482" spans="1:7" x14ac:dyDescent="0.2">
      <c r="A4482" s="538">
        <v>8</v>
      </c>
      <c r="B4482" s="538" t="s">
        <v>6567</v>
      </c>
      <c r="C4482" s="538" t="s">
        <v>393</v>
      </c>
      <c r="D4482" s="538" t="s">
        <v>393</v>
      </c>
      <c r="E4482" s="538" t="s">
        <v>860</v>
      </c>
      <c r="F4482" s="538">
        <v>2265496</v>
      </c>
      <c r="G4482" s="538">
        <v>57</v>
      </c>
    </row>
    <row r="4483" spans="1:7" x14ac:dyDescent="0.2">
      <c r="A4483" s="538">
        <v>3</v>
      </c>
      <c r="B4483" s="538" t="s">
        <v>6605</v>
      </c>
      <c r="C4483" s="538" t="s">
        <v>393</v>
      </c>
      <c r="D4483" s="538" t="s">
        <v>740</v>
      </c>
      <c r="E4483" s="538" t="s">
        <v>438</v>
      </c>
      <c r="F4483" s="538">
        <v>22656</v>
      </c>
      <c r="G4483" s="538">
        <v>2</v>
      </c>
    </row>
    <row r="4484" spans="1:7" x14ac:dyDescent="0.2">
      <c r="A4484" s="538">
        <v>6</v>
      </c>
      <c r="B4484" s="538" t="s">
        <v>6575</v>
      </c>
      <c r="C4484" s="538" t="s">
        <v>740</v>
      </c>
      <c r="D4484" s="538" t="s">
        <v>393</v>
      </c>
      <c r="E4484" s="538" t="s">
        <v>409</v>
      </c>
      <c r="F4484" s="538">
        <v>2691181</v>
      </c>
      <c r="G4484" s="538">
        <v>107</v>
      </c>
    </row>
    <row r="4485" spans="1:7" x14ac:dyDescent="0.2">
      <c r="A4485" s="538">
        <v>2</v>
      </c>
      <c r="B4485" s="538" t="s">
        <v>6656</v>
      </c>
      <c r="C4485" s="538" t="s">
        <v>393</v>
      </c>
      <c r="D4485" s="538" t="s">
        <v>393</v>
      </c>
      <c r="E4485" s="538" t="s">
        <v>313</v>
      </c>
      <c r="F4485" s="538">
        <v>3550485</v>
      </c>
      <c r="G4485" s="538">
        <v>15</v>
      </c>
    </row>
    <row r="4486" spans="1:7" x14ac:dyDescent="0.2">
      <c r="A4486" s="538">
        <v>7</v>
      </c>
      <c r="B4486" s="538" t="s">
        <v>6588</v>
      </c>
      <c r="C4486" s="538" t="s">
        <v>740</v>
      </c>
      <c r="D4486" s="538" t="s">
        <v>740</v>
      </c>
      <c r="E4486" s="538" t="s">
        <v>416</v>
      </c>
      <c r="F4486" s="538">
        <v>87744235</v>
      </c>
      <c r="G4486" s="538">
        <v>1925</v>
      </c>
    </row>
    <row r="4487" spans="1:7" x14ac:dyDescent="0.2">
      <c r="A4487" s="538">
        <v>6</v>
      </c>
      <c r="B4487" s="538" t="s">
        <v>6433</v>
      </c>
      <c r="C4487" s="538" t="s">
        <v>393</v>
      </c>
      <c r="D4487" s="538" t="s">
        <v>393</v>
      </c>
      <c r="E4487" s="538" t="s">
        <v>210</v>
      </c>
      <c r="F4487" s="538">
        <v>2435593</v>
      </c>
      <c r="G4487" s="538">
        <v>81</v>
      </c>
    </row>
    <row r="4488" spans="1:7" x14ac:dyDescent="0.2">
      <c r="A4488" s="538">
        <v>10</v>
      </c>
      <c r="B4488" s="538" t="s">
        <v>6611</v>
      </c>
      <c r="C4488" s="538" t="s">
        <v>393</v>
      </c>
      <c r="D4488" s="538" t="s">
        <v>393</v>
      </c>
      <c r="E4488" s="538" t="s">
        <v>860</v>
      </c>
      <c r="F4488" s="538">
        <v>746711</v>
      </c>
      <c r="G4488" s="538">
        <v>12</v>
      </c>
    </row>
    <row r="4489" spans="1:7" x14ac:dyDescent="0.2">
      <c r="A4489" s="538">
        <v>4</v>
      </c>
      <c r="B4489" s="538" t="s">
        <v>6572</v>
      </c>
      <c r="C4489" s="538" t="s">
        <v>740</v>
      </c>
      <c r="D4489" s="538" t="s">
        <v>393</v>
      </c>
      <c r="E4489" s="538" t="s">
        <v>416</v>
      </c>
      <c r="F4489" s="538">
        <v>1949728</v>
      </c>
      <c r="G4489" s="538">
        <v>36</v>
      </c>
    </row>
    <row r="4490" spans="1:7" x14ac:dyDescent="0.2">
      <c r="A4490" s="538">
        <v>11</v>
      </c>
      <c r="B4490" s="538" t="s">
        <v>6592</v>
      </c>
      <c r="C4490" s="538" t="s">
        <v>393</v>
      </c>
      <c r="D4490" s="538" t="s">
        <v>393</v>
      </c>
      <c r="E4490" s="538" t="s">
        <v>211</v>
      </c>
      <c r="F4490" s="538">
        <v>5072029</v>
      </c>
      <c r="G4490" s="538">
        <v>73</v>
      </c>
    </row>
    <row r="4491" spans="1:7" x14ac:dyDescent="0.2">
      <c r="A4491" s="538">
        <v>1</v>
      </c>
      <c r="B4491" s="538" t="s">
        <v>6581</v>
      </c>
      <c r="C4491" s="538" t="s">
        <v>740</v>
      </c>
      <c r="D4491" s="538" t="s">
        <v>393</v>
      </c>
      <c r="E4491" s="538" t="s">
        <v>390</v>
      </c>
      <c r="F4491" s="538">
        <v>64254593</v>
      </c>
      <c r="G4491" s="538">
        <v>2291</v>
      </c>
    </row>
    <row r="4492" spans="1:7" x14ac:dyDescent="0.2">
      <c r="A4492" s="538">
        <v>3</v>
      </c>
      <c r="B4492" s="538" t="s">
        <v>6561</v>
      </c>
      <c r="C4492" s="538" t="s">
        <v>393</v>
      </c>
      <c r="D4492" s="538" t="s">
        <v>740</v>
      </c>
      <c r="E4492" s="538" t="s">
        <v>230</v>
      </c>
      <c r="F4492" s="538">
        <v>108147</v>
      </c>
      <c r="G4492" s="538">
        <v>4</v>
      </c>
    </row>
    <row r="4493" spans="1:7" x14ac:dyDescent="0.2">
      <c r="A4493" s="538">
        <v>1</v>
      </c>
      <c r="B4493" s="538" t="s">
        <v>6595</v>
      </c>
      <c r="C4493" s="538" t="s">
        <v>740</v>
      </c>
      <c r="D4493" s="538" t="s">
        <v>393</v>
      </c>
      <c r="E4493" s="538" t="s">
        <v>390</v>
      </c>
      <c r="F4493" s="538">
        <v>11328</v>
      </c>
      <c r="G4493" s="538">
        <v>1</v>
      </c>
    </row>
    <row r="4494" spans="1:7" x14ac:dyDescent="0.2">
      <c r="A4494" s="538">
        <v>3</v>
      </c>
      <c r="B4494" s="538" t="s">
        <v>6561</v>
      </c>
      <c r="C4494" s="538" t="s">
        <v>393</v>
      </c>
      <c r="D4494" s="538" t="s">
        <v>740</v>
      </c>
      <c r="E4494" s="538" t="s">
        <v>438</v>
      </c>
      <c r="F4494" s="538">
        <v>1146325</v>
      </c>
      <c r="G4494" s="538">
        <v>10</v>
      </c>
    </row>
    <row r="4495" spans="1:7" x14ac:dyDescent="0.2">
      <c r="A4495" s="538">
        <v>7</v>
      </c>
      <c r="B4495" s="538" t="s">
        <v>6588</v>
      </c>
      <c r="C4495" s="538" t="s">
        <v>740</v>
      </c>
      <c r="D4495" s="538" t="s">
        <v>393</v>
      </c>
      <c r="E4495" s="538" t="s">
        <v>438</v>
      </c>
      <c r="F4495" s="538">
        <v>106123898</v>
      </c>
      <c r="G4495" s="538">
        <v>1116</v>
      </c>
    </row>
    <row r="4496" spans="1:7" x14ac:dyDescent="0.2">
      <c r="A4496" s="538">
        <v>7</v>
      </c>
      <c r="B4496" s="538" t="s">
        <v>6588</v>
      </c>
      <c r="C4496" s="538" t="s">
        <v>740</v>
      </c>
      <c r="D4496" s="538" t="s">
        <v>393</v>
      </c>
      <c r="E4496" s="538" t="s">
        <v>206</v>
      </c>
      <c r="F4496" s="538">
        <v>197355</v>
      </c>
      <c r="G4496" s="538">
        <v>5</v>
      </c>
    </row>
    <row r="4497" spans="1:7" x14ac:dyDescent="0.2">
      <c r="A4497" s="538">
        <v>4</v>
      </c>
      <c r="B4497" s="538" t="s">
        <v>6590</v>
      </c>
      <c r="C4497" s="538" t="s">
        <v>740</v>
      </c>
      <c r="D4497" s="538" t="s">
        <v>393</v>
      </c>
      <c r="E4497" s="538" t="s">
        <v>438</v>
      </c>
      <c r="F4497" s="538">
        <v>3979637</v>
      </c>
      <c r="G4497" s="538">
        <v>59</v>
      </c>
    </row>
    <row r="4498" spans="1:7" x14ac:dyDescent="0.2">
      <c r="A4498" s="538">
        <v>4</v>
      </c>
      <c r="B4498" s="538" t="s">
        <v>6590</v>
      </c>
      <c r="C4498" s="538" t="s">
        <v>740</v>
      </c>
      <c r="D4498" s="538" t="s">
        <v>393</v>
      </c>
      <c r="E4498" s="538" t="s">
        <v>206</v>
      </c>
      <c r="F4498" s="538">
        <v>507761</v>
      </c>
      <c r="G4498" s="538">
        <v>2</v>
      </c>
    </row>
    <row r="4499" spans="1:7" x14ac:dyDescent="0.2">
      <c r="A4499" s="538">
        <v>12</v>
      </c>
      <c r="B4499" s="538" t="s">
        <v>6563</v>
      </c>
      <c r="C4499" s="538" t="s">
        <v>740</v>
      </c>
      <c r="D4499" s="538" t="s">
        <v>740</v>
      </c>
      <c r="E4499" s="538" t="s">
        <v>860</v>
      </c>
      <c r="F4499" s="538">
        <v>5638179</v>
      </c>
      <c r="G4499" s="538">
        <v>203</v>
      </c>
    </row>
    <row r="4500" spans="1:7" x14ac:dyDescent="0.2">
      <c r="A4500" s="538">
        <v>10</v>
      </c>
      <c r="B4500" s="538" t="s">
        <v>6600</v>
      </c>
      <c r="C4500" s="538" t="s">
        <v>740</v>
      </c>
      <c r="D4500" s="538" t="s">
        <v>393</v>
      </c>
      <c r="E4500" s="538" t="s">
        <v>211</v>
      </c>
      <c r="F4500" s="538">
        <v>2081770</v>
      </c>
      <c r="G4500" s="538">
        <v>40</v>
      </c>
    </row>
    <row r="4501" spans="1:7" x14ac:dyDescent="0.2">
      <c r="A4501" s="538">
        <v>6</v>
      </c>
      <c r="B4501" s="538" t="s">
        <v>6565</v>
      </c>
      <c r="C4501" s="538" t="s">
        <v>393</v>
      </c>
      <c r="D4501" s="538" t="s">
        <v>393</v>
      </c>
      <c r="E4501" s="538" t="s">
        <v>212</v>
      </c>
      <c r="F4501" s="538">
        <v>951375</v>
      </c>
      <c r="G4501" s="538">
        <v>75</v>
      </c>
    </row>
    <row r="4502" spans="1:7" x14ac:dyDescent="0.2">
      <c r="A4502" s="538">
        <v>3</v>
      </c>
      <c r="B4502" s="538" t="s">
        <v>6561</v>
      </c>
      <c r="C4502" s="538" t="s">
        <v>740</v>
      </c>
      <c r="D4502" s="538" t="s">
        <v>393</v>
      </c>
      <c r="E4502" s="538" t="s">
        <v>313</v>
      </c>
      <c r="F4502" s="538">
        <v>1596259</v>
      </c>
      <c r="G4502" s="538">
        <v>13</v>
      </c>
    </row>
    <row r="4503" spans="1:7" x14ac:dyDescent="0.2">
      <c r="A4503" s="538">
        <v>10</v>
      </c>
      <c r="B4503" s="538" t="s">
        <v>6597</v>
      </c>
      <c r="C4503" s="538" t="s">
        <v>740</v>
      </c>
      <c r="D4503" s="538" t="s">
        <v>740</v>
      </c>
      <c r="E4503" s="538" t="s">
        <v>438</v>
      </c>
      <c r="F4503" s="538">
        <v>11328</v>
      </c>
      <c r="G4503" s="538">
        <v>1</v>
      </c>
    </row>
    <row r="4504" spans="1:7" x14ac:dyDescent="0.2">
      <c r="A4504" s="538">
        <v>3</v>
      </c>
      <c r="B4504" s="538" t="s">
        <v>6591</v>
      </c>
      <c r="C4504" s="538" t="s">
        <v>393</v>
      </c>
      <c r="D4504" s="538" t="s">
        <v>740</v>
      </c>
      <c r="E4504" s="538" t="s">
        <v>438</v>
      </c>
      <c r="F4504" s="538">
        <v>735383</v>
      </c>
      <c r="G4504" s="538">
        <v>11</v>
      </c>
    </row>
    <row r="4505" spans="1:7" x14ac:dyDescent="0.2">
      <c r="A4505" s="538">
        <v>7</v>
      </c>
      <c r="B4505" s="538" t="s">
        <v>6571</v>
      </c>
      <c r="C4505" s="538" t="s">
        <v>740</v>
      </c>
      <c r="D4505" s="538" t="s">
        <v>393</v>
      </c>
      <c r="E4505" s="538" t="s">
        <v>449</v>
      </c>
      <c r="F4505" s="538">
        <v>33984</v>
      </c>
      <c r="G4505" s="538">
        <v>3</v>
      </c>
    </row>
    <row r="4506" spans="1:7" x14ac:dyDescent="0.2">
      <c r="A4506" s="538">
        <v>9</v>
      </c>
      <c r="B4506" s="538" t="s">
        <v>6644</v>
      </c>
      <c r="C4506" s="538" t="s">
        <v>393</v>
      </c>
      <c r="D4506" s="538" t="s">
        <v>740</v>
      </c>
      <c r="E4506" s="538" t="s">
        <v>207</v>
      </c>
      <c r="F4506" s="538">
        <v>187443</v>
      </c>
      <c r="G4506" s="538">
        <v>11</v>
      </c>
    </row>
    <row r="4507" spans="1:7" x14ac:dyDescent="0.2">
      <c r="A4507" s="538">
        <v>7</v>
      </c>
      <c r="B4507" s="538" t="s">
        <v>6594</v>
      </c>
      <c r="C4507" s="538" t="s">
        <v>740</v>
      </c>
      <c r="D4507" s="538" t="s">
        <v>393</v>
      </c>
      <c r="E4507" s="538" t="s">
        <v>210</v>
      </c>
      <c r="F4507" s="538">
        <v>108147</v>
      </c>
      <c r="G4507" s="538">
        <v>4</v>
      </c>
    </row>
    <row r="4508" spans="1:7" x14ac:dyDescent="0.2">
      <c r="A4508" s="538">
        <v>8</v>
      </c>
      <c r="B4508" s="538" t="s">
        <v>6577</v>
      </c>
      <c r="C4508" s="538" t="s">
        <v>740</v>
      </c>
      <c r="D4508" s="538" t="s">
        <v>740</v>
      </c>
      <c r="E4508" s="538" t="s">
        <v>207</v>
      </c>
      <c r="F4508" s="538">
        <v>8174995</v>
      </c>
      <c r="G4508" s="538">
        <v>455</v>
      </c>
    </row>
    <row r="4509" spans="1:7" x14ac:dyDescent="0.2">
      <c r="A4509" s="538">
        <v>11</v>
      </c>
      <c r="B4509" s="538" t="s">
        <v>6584</v>
      </c>
      <c r="C4509" s="538" t="s">
        <v>740</v>
      </c>
      <c r="D4509" s="538" t="s">
        <v>393</v>
      </c>
      <c r="E4509" s="538" t="s">
        <v>860</v>
      </c>
      <c r="F4509" s="538">
        <v>1667288</v>
      </c>
      <c r="G4509" s="538">
        <v>56</v>
      </c>
    </row>
    <row r="4510" spans="1:7" x14ac:dyDescent="0.2">
      <c r="A4510" s="538">
        <v>6</v>
      </c>
      <c r="B4510" s="538" t="s">
        <v>6575</v>
      </c>
      <c r="C4510" s="538" t="s">
        <v>740</v>
      </c>
      <c r="D4510" s="538" t="s">
        <v>740</v>
      </c>
      <c r="E4510" s="538" t="s">
        <v>416</v>
      </c>
      <c r="F4510" s="538">
        <v>5999967</v>
      </c>
      <c r="G4510" s="538">
        <v>179</v>
      </c>
    </row>
    <row r="4511" spans="1:7" x14ac:dyDescent="0.2">
      <c r="A4511" s="538">
        <v>6</v>
      </c>
      <c r="B4511" s="538" t="s">
        <v>6575</v>
      </c>
      <c r="C4511" s="538" t="s">
        <v>740</v>
      </c>
      <c r="D4511" s="538" t="s">
        <v>740</v>
      </c>
      <c r="E4511" s="538" t="s">
        <v>416</v>
      </c>
      <c r="F4511" s="538">
        <v>22656</v>
      </c>
      <c r="G4511" s="538">
        <v>2</v>
      </c>
    </row>
    <row r="4512" spans="1:7" x14ac:dyDescent="0.2">
      <c r="A4512" s="538">
        <v>6</v>
      </c>
      <c r="B4512" s="538" t="s">
        <v>6607</v>
      </c>
      <c r="C4512" s="538" t="s">
        <v>740</v>
      </c>
      <c r="D4512" s="538" t="s">
        <v>393</v>
      </c>
      <c r="E4512" s="538" t="s">
        <v>390</v>
      </c>
      <c r="F4512" s="538">
        <v>33373267</v>
      </c>
      <c r="G4512" s="538">
        <v>1039</v>
      </c>
    </row>
    <row r="4513" spans="1:7" x14ac:dyDescent="0.2">
      <c r="A4513" s="538">
        <v>5</v>
      </c>
      <c r="B4513" s="538" t="s">
        <v>6568</v>
      </c>
      <c r="C4513" s="538" t="s">
        <v>740</v>
      </c>
      <c r="D4513" s="538" t="s">
        <v>393</v>
      </c>
      <c r="E4513" s="538" t="s">
        <v>416</v>
      </c>
      <c r="F4513" s="538">
        <v>37035118</v>
      </c>
      <c r="G4513" s="538">
        <v>731</v>
      </c>
    </row>
    <row r="4514" spans="1:7" x14ac:dyDescent="0.2">
      <c r="A4514" s="538">
        <v>2</v>
      </c>
      <c r="B4514" s="538" t="s">
        <v>6055</v>
      </c>
      <c r="C4514" s="538" t="s">
        <v>740</v>
      </c>
      <c r="D4514" s="538" t="s">
        <v>393</v>
      </c>
      <c r="E4514" s="538" t="s">
        <v>313</v>
      </c>
      <c r="F4514" s="538">
        <v>42430016</v>
      </c>
      <c r="G4514" s="538">
        <v>382</v>
      </c>
    </row>
    <row r="4515" spans="1:7" x14ac:dyDescent="0.2">
      <c r="A4515" s="538">
        <v>6</v>
      </c>
      <c r="B4515" s="538" t="s">
        <v>6565</v>
      </c>
      <c r="C4515" s="538" t="s">
        <v>740</v>
      </c>
      <c r="D4515" s="538" t="s">
        <v>740</v>
      </c>
      <c r="E4515" s="538" t="s">
        <v>211</v>
      </c>
      <c r="F4515" s="538">
        <v>1287040</v>
      </c>
      <c r="G4515" s="538">
        <v>10</v>
      </c>
    </row>
    <row r="4516" spans="1:7" x14ac:dyDescent="0.2">
      <c r="A4516" s="538">
        <v>3</v>
      </c>
      <c r="B4516" s="538" t="s">
        <v>6586</v>
      </c>
      <c r="C4516" s="538" t="s">
        <v>740</v>
      </c>
      <c r="D4516" s="538" t="s">
        <v>393</v>
      </c>
      <c r="E4516" s="538" t="s">
        <v>402</v>
      </c>
      <c r="F4516" s="538">
        <v>679326</v>
      </c>
      <c r="G4516" s="538">
        <v>42</v>
      </c>
    </row>
    <row r="4517" spans="1:7" x14ac:dyDescent="0.2">
      <c r="A4517" s="538">
        <v>3</v>
      </c>
      <c r="B4517" s="538" t="s">
        <v>6561</v>
      </c>
      <c r="C4517" s="538" t="s">
        <v>740</v>
      </c>
      <c r="D4517" s="538" t="s">
        <v>393</v>
      </c>
      <c r="E4517" s="538" t="s">
        <v>449</v>
      </c>
      <c r="F4517" s="538">
        <v>11328</v>
      </c>
      <c r="G4517" s="538">
        <v>1</v>
      </c>
    </row>
    <row r="4518" spans="1:7" x14ac:dyDescent="0.2">
      <c r="A4518" s="538">
        <v>10</v>
      </c>
      <c r="B4518" s="538" t="s">
        <v>6582</v>
      </c>
      <c r="C4518" s="538" t="s">
        <v>740</v>
      </c>
      <c r="D4518" s="538" t="s">
        <v>393</v>
      </c>
      <c r="E4518" s="538" t="s">
        <v>313</v>
      </c>
      <c r="F4518" s="538">
        <v>769190</v>
      </c>
      <c r="G4518" s="538">
        <v>5</v>
      </c>
    </row>
    <row r="4519" spans="1:7" x14ac:dyDescent="0.2">
      <c r="A4519" s="538">
        <v>8</v>
      </c>
      <c r="B4519" s="538" t="s">
        <v>6570</v>
      </c>
      <c r="C4519" s="538" t="s">
        <v>740</v>
      </c>
      <c r="D4519" s="538" t="s">
        <v>393</v>
      </c>
      <c r="E4519" s="538" t="s">
        <v>438</v>
      </c>
      <c r="F4519" s="538">
        <v>15689354</v>
      </c>
      <c r="G4519" s="538">
        <v>188</v>
      </c>
    </row>
    <row r="4520" spans="1:7" x14ac:dyDescent="0.2">
      <c r="A4520" s="538">
        <v>10</v>
      </c>
      <c r="B4520" s="538" t="s">
        <v>6582</v>
      </c>
      <c r="C4520" s="538" t="s">
        <v>740</v>
      </c>
      <c r="D4520" s="538" t="s">
        <v>740</v>
      </c>
      <c r="E4520" s="538" t="s">
        <v>207</v>
      </c>
      <c r="F4520" s="538">
        <v>33984</v>
      </c>
      <c r="G4520" s="538">
        <v>3</v>
      </c>
    </row>
    <row r="4521" spans="1:7" x14ac:dyDescent="0.2">
      <c r="A4521" s="538">
        <v>5</v>
      </c>
      <c r="B4521" s="538" t="s">
        <v>6651</v>
      </c>
      <c r="C4521" s="538" t="s">
        <v>393</v>
      </c>
      <c r="D4521" s="538" t="s">
        <v>393</v>
      </c>
      <c r="E4521" s="538" t="s">
        <v>230</v>
      </c>
      <c r="F4521" s="538">
        <v>3390227</v>
      </c>
      <c r="G4521" s="538">
        <v>54</v>
      </c>
    </row>
    <row r="4522" spans="1:7" x14ac:dyDescent="0.2">
      <c r="A4522" s="538">
        <v>12</v>
      </c>
      <c r="B4522" s="538" t="s">
        <v>6569</v>
      </c>
      <c r="C4522" s="538" t="s">
        <v>393</v>
      </c>
      <c r="D4522" s="538" t="s">
        <v>740</v>
      </c>
      <c r="E4522" s="538" t="s">
        <v>207</v>
      </c>
      <c r="F4522" s="538">
        <v>1522023</v>
      </c>
      <c r="G4522" s="538">
        <v>86</v>
      </c>
    </row>
    <row r="4523" spans="1:7" x14ac:dyDescent="0.2">
      <c r="A4523" s="538">
        <v>6</v>
      </c>
      <c r="B4523" s="538" t="s">
        <v>6433</v>
      </c>
      <c r="C4523" s="538" t="s">
        <v>740</v>
      </c>
      <c r="D4523" s="538" t="s">
        <v>393</v>
      </c>
      <c r="E4523" s="538" t="s">
        <v>402</v>
      </c>
      <c r="F4523" s="538">
        <v>1908841</v>
      </c>
      <c r="G4523" s="538">
        <v>67</v>
      </c>
    </row>
    <row r="4524" spans="1:7" x14ac:dyDescent="0.2">
      <c r="A4524" s="538">
        <v>7</v>
      </c>
      <c r="B4524" s="538" t="s">
        <v>6604</v>
      </c>
      <c r="C4524" s="538" t="s">
        <v>740</v>
      </c>
      <c r="D4524" s="538" t="s">
        <v>393</v>
      </c>
      <c r="E4524" s="538" t="s">
        <v>860</v>
      </c>
      <c r="F4524" s="538">
        <v>305679</v>
      </c>
      <c r="G4524" s="538">
        <v>18</v>
      </c>
    </row>
    <row r="4525" spans="1:7" x14ac:dyDescent="0.2">
      <c r="A4525" s="538">
        <v>2</v>
      </c>
      <c r="B4525" s="538" t="s">
        <v>6573</v>
      </c>
      <c r="C4525" s="538" t="s">
        <v>740</v>
      </c>
      <c r="D4525" s="538" t="s">
        <v>740</v>
      </c>
      <c r="E4525" s="538" t="s">
        <v>438</v>
      </c>
      <c r="F4525" s="538">
        <v>74163</v>
      </c>
      <c r="G4525" s="538">
        <v>1</v>
      </c>
    </row>
    <row r="4526" spans="1:7" x14ac:dyDescent="0.2">
      <c r="A4526" s="538">
        <v>6</v>
      </c>
      <c r="B4526" s="538" t="s">
        <v>6433</v>
      </c>
      <c r="C4526" s="538" t="s">
        <v>393</v>
      </c>
      <c r="D4526" s="538" t="s">
        <v>393</v>
      </c>
      <c r="E4526" s="538" t="s">
        <v>416</v>
      </c>
      <c r="F4526" s="538">
        <v>52624280</v>
      </c>
      <c r="G4526" s="538">
        <v>790</v>
      </c>
    </row>
    <row r="4527" spans="1:7" x14ac:dyDescent="0.2">
      <c r="A4527" s="538">
        <v>1</v>
      </c>
      <c r="B4527" s="538" t="s">
        <v>6609</v>
      </c>
      <c r="C4527" s="538" t="s">
        <v>393</v>
      </c>
      <c r="D4527" s="538" t="s">
        <v>740</v>
      </c>
      <c r="E4527" s="538" t="s">
        <v>449</v>
      </c>
      <c r="F4527" s="538">
        <v>11328</v>
      </c>
      <c r="G4527" s="538">
        <v>1</v>
      </c>
    </row>
    <row r="4528" spans="1:7" x14ac:dyDescent="0.2">
      <c r="A4528" s="538">
        <v>4</v>
      </c>
      <c r="B4528" s="538" t="s">
        <v>6593</v>
      </c>
      <c r="C4528" s="538" t="s">
        <v>393</v>
      </c>
      <c r="D4528" s="538" t="s">
        <v>740</v>
      </c>
      <c r="E4528" s="538" t="s">
        <v>207</v>
      </c>
      <c r="F4528" s="538">
        <v>1909247</v>
      </c>
      <c r="G4528" s="538">
        <v>89</v>
      </c>
    </row>
    <row r="4529" spans="1:7" x14ac:dyDescent="0.2">
      <c r="A4529" s="538">
        <v>7</v>
      </c>
      <c r="B4529" s="538" t="s">
        <v>6564</v>
      </c>
      <c r="C4529" s="538" t="s">
        <v>740</v>
      </c>
      <c r="D4529" s="538" t="s">
        <v>393</v>
      </c>
      <c r="E4529" s="538" t="s">
        <v>210</v>
      </c>
      <c r="F4529" s="538">
        <v>7757098</v>
      </c>
      <c r="G4529" s="538">
        <v>416</v>
      </c>
    </row>
    <row r="4530" spans="1:7" x14ac:dyDescent="0.2">
      <c r="A4530" s="538">
        <v>4</v>
      </c>
      <c r="B4530" s="538" t="s">
        <v>6562</v>
      </c>
      <c r="C4530" s="538" t="s">
        <v>740</v>
      </c>
      <c r="D4530" s="538" t="s">
        <v>393</v>
      </c>
      <c r="E4530" s="538" t="s">
        <v>409</v>
      </c>
      <c r="F4530" s="538">
        <v>1201955</v>
      </c>
      <c r="G4530" s="538">
        <v>30</v>
      </c>
    </row>
    <row r="4531" spans="1:7" x14ac:dyDescent="0.2">
      <c r="A4531" s="538">
        <v>3</v>
      </c>
      <c r="B4531" s="538" t="s">
        <v>6603</v>
      </c>
      <c r="C4531" s="538" t="s">
        <v>740</v>
      </c>
      <c r="D4531" s="538" t="s">
        <v>393</v>
      </c>
      <c r="E4531" s="538" t="s">
        <v>202</v>
      </c>
      <c r="F4531" s="538">
        <v>1660281</v>
      </c>
      <c r="G4531" s="538">
        <v>7</v>
      </c>
    </row>
    <row r="4532" spans="1:7" x14ac:dyDescent="0.2">
      <c r="A4532" s="538">
        <v>6</v>
      </c>
      <c r="B4532" s="538" t="s">
        <v>6565</v>
      </c>
      <c r="C4532" s="538" t="s">
        <v>393</v>
      </c>
      <c r="D4532" s="538" t="s">
        <v>393</v>
      </c>
      <c r="E4532" s="538" t="s">
        <v>401</v>
      </c>
      <c r="F4532" s="538">
        <v>373647</v>
      </c>
      <c r="G4532" s="538">
        <v>24</v>
      </c>
    </row>
    <row r="4533" spans="1:7" x14ac:dyDescent="0.2">
      <c r="A4533" s="538">
        <v>11</v>
      </c>
      <c r="B4533" s="538" t="s">
        <v>6592</v>
      </c>
      <c r="C4533" s="538" t="s">
        <v>393</v>
      </c>
      <c r="D4533" s="538" t="s">
        <v>740</v>
      </c>
      <c r="E4533" s="538" t="s">
        <v>207</v>
      </c>
      <c r="F4533" s="538">
        <v>612420</v>
      </c>
      <c r="G4533" s="538">
        <v>25</v>
      </c>
    </row>
    <row r="4534" spans="1:7" x14ac:dyDescent="0.2">
      <c r="A4534" s="538">
        <v>7</v>
      </c>
      <c r="B4534" s="538" t="s">
        <v>6564</v>
      </c>
      <c r="C4534" s="538" t="s">
        <v>740</v>
      </c>
      <c r="D4534" s="538" t="s">
        <v>740</v>
      </c>
      <c r="E4534" s="538" t="s">
        <v>390</v>
      </c>
      <c r="F4534" s="538">
        <v>4920975</v>
      </c>
      <c r="G4534" s="538">
        <v>135</v>
      </c>
    </row>
    <row r="4535" spans="1:7" x14ac:dyDescent="0.2">
      <c r="A4535" s="538">
        <v>11</v>
      </c>
      <c r="B4535" s="538" t="s">
        <v>6612</v>
      </c>
      <c r="C4535" s="538" t="s">
        <v>740</v>
      </c>
      <c r="D4535" s="538" t="s">
        <v>740</v>
      </c>
      <c r="E4535" s="538" t="s">
        <v>212</v>
      </c>
      <c r="F4535" s="538">
        <v>158592</v>
      </c>
      <c r="G4535" s="538">
        <v>14</v>
      </c>
    </row>
    <row r="4536" spans="1:7" x14ac:dyDescent="0.2">
      <c r="A4536" s="538">
        <v>10</v>
      </c>
      <c r="B4536" s="538" t="s">
        <v>6653</v>
      </c>
      <c r="C4536" s="538" t="s">
        <v>393</v>
      </c>
      <c r="D4536" s="538" t="s">
        <v>740</v>
      </c>
      <c r="E4536" s="538" t="s">
        <v>416</v>
      </c>
      <c r="F4536" s="538">
        <v>846414</v>
      </c>
      <c r="G4536" s="538">
        <v>38</v>
      </c>
    </row>
    <row r="4537" spans="1:7" x14ac:dyDescent="0.2">
      <c r="A4537" s="538">
        <v>10</v>
      </c>
      <c r="B4537" s="538" t="s">
        <v>6653</v>
      </c>
      <c r="C4537" s="538" t="s">
        <v>393</v>
      </c>
      <c r="D4537" s="538" t="s">
        <v>740</v>
      </c>
      <c r="E4537" s="538" t="s">
        <v>390</v>
      </c>
      <c r="F4537" s="538">
        <v>1270756</v>
      </c>
      <c r="G4537" s="538">
        <v>12</v>
      </c>
    </row>
    <row r="4538" spans="1:7" x14ac:dyDescent="0.2">
      <c r="A4538" s="538">
        <v>4</v>
      </c>
      <c r="B4538" s="538" t="s">
        <v>6572</v>
      </c>
      <c r="C4538" s="538" t="s">
        <v>740</v>
      </c>
      <c r="D4538" s="538" t="s">
        <v>393</v>
      </c>
      <c r="E4538" s="538" t="s">
        <v>390</v>
      </c>
      <c r="F4538" s="538">
        <v>685344</v>
      </c>
      <c r="G4538" s="538">
        <v>28</v>
      </c>
    </row>
    <row r="4539" spans="1:7" x14ac:dyDescent="0.2">
      <c r="A4539" s="538">
        <v>6</v>
      </c>
      <c r="B4539" s="538" t="s">
        <v>6429</v>
      </c>
      <c r="C4539" s="538" t="s">
        <v>393</v>
      </c>
      <c r="D4539" s="538" t="s">
        <v>740</v>
      </c>
      <c r="E4539" s="538" t="s">
        <v>230</v>
      </c>
      <c r="F4539" s="538">
        <v>50268</v>
      </c>
      <c r="G4539" s="538">
        <v>1</v>
      </c>
    </row>
    <row r="4540" spans="1:7" x14ac:dyDescent="0.2">
      <c r="A4540" s="538">
        <v>11</v>
      </c>
      <c r="B4540" s="538" t="s">
        <v>6610</v>
      </c>
      <c r="C4540" s="538" t="s">
        <v>740</v>
      </c>
      <c r="D4540" s="538" t="s">
        <v>393</v>
      </c>
      <c r="E4540" s="538" t="s">
        <v>438</v>
      </c>
      <c r="F4540" s="538">
        <v>6601455</v>
      </c>
      <c r="G4540" s="538">
        <v>70</v>
      </c>
    </row>
    <row r="4541" spans="1:7" x14ac:dyDescent="0.2">
      <c r="A4541" s="538">
        <v>12</v>
      </c>
      <c r="B4541" s="538" t="s">
        <v>6563</v>
      </c>
      <c r="C4541" s="538" t="s">
        <v>740</v>
      </c>
      <c r="D4541" s="538" t="s">
        <v>393</v>
      </c>
      <c r="E4541" s="538" t="s">
        <v>209</v>
      </c>
      <c r="F4541" s="538">
        <v>5670841</v>
      </c>
      <c r="G4541" s="538">
        <v>37</v>
      </c>
    </row>
    <row r="4542" spans="1:7" x14ac:dyDescent="0.2">
      <c r="A4542" s="538">
        <v>6</v>
      </c>
      <c r="B4542" s="538" t="s">
        <v>6607</v>
      </c>
      <c r="C4542" s="538" t="s">
        <v>740</v>
      </c>
      <c r="D4542" s="538" t="s">
        <v>393</v>
      </c>
      <c r="E4542" s="538" t="s">
        <v>860</v>
      </c>
      <c r="F4542" s="538">
        <v>74163</v>
      </c>
      <c r="G4542" s="538">
        <v>1</v>
      </c>
    </row>
    <row r="4543" spans="1:7" x14ac:dyDescent="0.2">
      <c r="A4543" s="538">
        <v>6</v>
      </c>
      <c r="B4543" s="538" t="s">
        <v>6433</v>
      </c>
      <c r="C4543" s="538" t="s">
        <v>740</v>
      </c>
      <c r="D4543" s="538" t="s">
        <v>393</v>
      </c>
      <c r="E4543" s="538" t="s">
        <v>416</v>
      </c>
      <c r="F4543" s="538">
        <v>272934</v>
      </c>
      <c r="G4543" s="538">
        <v>13</v>
      </c>
    </row>
    <row r="4544" spans="1:7" x14ac:dyDescent="0.2">
      <c r="A4544" s="538">
        <v>5</v>
      </c>
      <c r="B4544" s="538" t="s">
        <v>6589</v>
      </c>
      <c r="C4544" s="538" t="s">
        <v>393</v>
      </c>
      <c r="D4544" s="538" t="s">
        <v>393</v>
      </c>
      <c r="E4544" s="538" t="s">
        <v>212</v>
      </c>
      <c r="F4544" s="538">
        <v>952437</v>
      </c>
      <c r="G4544" s="538">
        <v>64</v>
      </c>
    </row>
    <row r="4545" spans="1:7" x14ac:dyDescent="0.2">
      <c r="A4545" s="538">
        <v>8</v>
      </c>
      <c r="B4545" s="538" t="s">
        <v>6567</v>
      </c>
      <c r="C4545" s="538" t="s">
        <v>740</v>
      </c>
      <c r="D4545" s="538" t="s">
        <v>393</v>
      </c>
      <c r="E4545" s="538" t="s">
        <v>402</v>
      </c>
      <c r="F4545" s="538">
        <v>33984</v>
      </c>
      <c r="G4545" s="538">
        <v>3</v>
      </c>
    </row>
    <row r="4546" spans="1:7" x14ac:dyDescent="0.2">
      <c r="A4546" s="538">
        <v>7</v>
      </c>
      <c r="B4546" s="538" t="s">
        <v>6580</v>
      </c>
      <c r="C4546" s="538" t="s">
        <v>393</v>
      </c>
      <c r="D4546" s="538" t="s">
        <v>393</v>
      </c>
      <c r="E4546" s="538" t="s">
        <v>438</v>
      </c>
      <c r="F4546" s="538">
        <v>5626008</v>
      </c>
      <c r="G4546" s="538">
        <v>51</v>
      </c>
    </row>
    <row r="4547" spans="1:7" x14ac:dyDescent="0.2">
      <c r="A4547" s="538">
        <v>3</v>
      </c>
      <c r="B4547" s="538" t="s">
        <v>1390</v>
      </c>
      <c r="C4547" s="538" t="s">
        <v>740</v>
      </c>
      <c r="D4547" s="538" t="s">
        <v>393</v>
      </c>
      <c r="E4547" s="538" t="s">
        <v>211</v>
      </c>
      <c r="F4547" s="538">
        <v>17865058</v>
      </c>
      <c r="G4547" s="538">
        <v>616</v>
      </c>
    </row>
    <row r="4548" spans="1:7" x14ac:dyDescent="0.2">
      <c r="A4548" s="538">
        <v>9</v>
      </c>
      <c r="B4548" s="538" t="s">
        <v>6606</v>
      </c>
      <c r="C4548" s="538" t="s">
        <v>740</v>
      </c>
      <c r="D4548" s="538" t="s">
        <v>393</v>
      </c>
      <c r="E4548" s="538" t="s">
        <v>212</v>
      </c>
      <c r="F4548" s="538">
        <v>1556715</v>
      </c>
      <c r="G4548" s="538">
        <v>125</v>
      </c>
    </row>
    <row r="4549" spans="1:7" x14ac:dyDescent="0.2">
      <c r="A4549" s="538">
        <v>7</v>
      </c>
      <c r="B4549" s="538" t="s">
        <v>6604</v>
      </c>
      <c r="C4549" s="538" t="s">
        <v>740</v>
      </c>
      <c r="D4549" s="538" t="s">
        <v>740</v>
      </c>
      <c r="E4549" s="538" t="s">
        <v>202</v>
      </c>
      <c r="F4549" s="538">
        <v>620864</v>
      </c>
      <c r="G4549" s="538">
        <v>3</v>
      </c>
    </row>
    <row r="4550" spans="1:7" x14ac:dyDescent="0.2">
      <c r="A4550" s="538">
        <v>3</v>
      </c>
      <c r="B4550" s="538" t="s">
        <v>6586</v>
      </c>
      <c r="C4550" s="538" t="s">
        <v>740</v>
      </c>
      <c r="D4550" s="538" t="s">
        <v>740</v>
      </c>
      <c r="E4550" s="538" t="s">
        <v>210</v>
      </c>
      <c r="F4550" s="538">
        <v>1920575</v>
      </c>
      <c r="G4550" s="538">
        <v>90</v>
      </c>
    </row>
    <row r="4551" spans="1:7" x14ac:dyDescent="0.2">
      <c r="A4551" s="538">
        <v>2</v>
      </c>
      <c r="B4551" s="538" t="s">
        <v>6576</v>
      </c>
      <c r="C4551" s="538" t="s">
        <v>740</v>
      </c>
      <c r="D4551" s="538" t="s">
        <v>393</v>
      </c>
      <c r="E4551" s="538" t="s">
        <v>449</v>
      </c>
      <c r="F4551" s="538">
        <v>79296</v>
      </c>
      <c r="G4551" s="538">
        <v>7</v>
      </c>
    </row>
    <row r="4552" spans="1:7" x14ac:dyDescent="0.2">
      <c r="A4552" s="538">
        <v>9</v>
      </c>
      <c r="B4552" s="538" t="s">
        <v>6615</v>
      </c>
      <c r="C4552" s="538" t="s">
        <v>393</v>
      </c>
      <c r="D4552" s="538" t="s">
        <v>740</v>
      </c>
      <c r="E4552" s="538" t="s">
        <v>409</v>
      </c>
      <c r="F4552" s="538">
        <v>356124</v>
      </c>
      <c r="G4552" s="538">
        <v>28</v>
      </c>
    </row>
    <row r="4553" spans="1:7" x14ac:dyDescent="0.2">
      <c r="A4553" s="538">
        <v>11</v>
      </c>
      <c r="B4553" s="538" t="s">
        <v>6592</v>
      </c>
      <c r="C4553" s="538" t="s">
        <v>740</v>
      </c>
      <c r="D4553" s="538" t="s">
        <v>393</v>
      </c>
      <c r="E4553" s="538" t="s">
        <v>202</v>
      </c>
      <c r="F4553" s="538">
        <v>1333820</v>
      </c>
      <c r="G4553" s="538">
        <v>25</v>
      </c>
    </row>
    <row r="4554" spans="1:7" x14ac:dyDescent="0.2">
      <c r="A4554" s="538">
        <v>1</v>
      </c>
      <c r="B4554" s="538" t="s">
        <v>6581</v>
      </c>
      <c r="C4554" s="538" t="s">
        <v>740</v>
      </c>
      <c r="D4554" s="538" t="s">
        <v>740</v>
      </c>
      <c r="E4554" s="538" t="s">
        <v>402</v>
      </c>
      <c r="F4554" s="538">
        <v>3347070</v>
      </c>
      <c r="G4554" s="538">
        <v>180</v>
      </c>
    </row>
    <row r="4555" spans="1:7" x14ac:dyDescent="0.2">
      <c r="A4555" s="538">
        <v>5</v>
      </c>
      <c r="B4555" s="538" t="s">
        <v>6599</v>
      </c>
      <c r="C4555" s="538" t="s">
        <v>740</v>
      </c>
      <c r="D4555" s="538" t="s">
        <v>393</v>
      </c>
      <c r="E4555" s="538" t="s">
        <v>230</v>
      </c>
      <c r="F4555" s="538">
        <v>85491</v>
      </c>
      <c r="G4555" s="538">
        <v>2</v>
      </c>
    </row>
    <row r="4556" spans="1:7" x14ac:dyDescent="0.2">
      <c r="A4556" s="538">
        <v>4</v>
      </c>
      <c r="B4556" s="538" t="s">
        <v>6562</v>
      </c>
      <c r="C4556" s="538" t="s">
        <v>740</v>
      </c>
      <c r="D4556" s="538" t="s">
        <v>393</v>
      </c>
      <c r="E4556" s="538" t="s">
        <v>211</v>
      </c>
      <c r="F4556" s="538">
        <v>11328</v>
      </c>
      <c r="G4556" s="538">
        <v>1</v>
      </c>
    </row>
    <row r="4557" spans="1:7" x14ac:dyDescent="0.2">
      <c r="A4557" s="538">
        <v>2</v>
      </c>
      <c r="B4557" s="538" t="s">
        <v>6654</v>
      </c>
      <c r="C4557" s="538" t="s">
        <v>740</v>
      </c>
      <c r="D4557" s="538" t="s">
        <v>393</v>
      </c>
      <c r="E4557" s="538" t="s">
        <v>409</v>
      </c>
      <c r="F4557" s="538">
        <v>283023</v>
      </c>
      <c r="G4557" s="538">
        <v>16</v>
      </c>
    </row>
    <row r="4558" spans="1:7" x14ac:dyDescent="0.2">
      <c r="A4558" s="538">
        <v>11</v>
      </c>
      <c r="B4558" s="538" t="s">
        <v>6584</v>
      </c>
      <c r="C4558" s="538" t="s">
        <v>740</v>
      </c>
      <c r="D4558" s="538" t="s">
        <v>393</v>
      </c>
      <c r="E4558" s="538" t="s">
        <v>409</v>
      </c>
      <c r="F4558" s="538">
        <v>45312</v>
      </c>
      <c r="G4558" s="538">
        <v>4</v>
      </c>
    </row>
    <row r="4559" spans="1:7" x14ac:dyDescent="0.2">
      <c r="A4559" s="538">
        <v>4</v>
      </c>
      <c r="B4559" s="538" t="s">
        <v>6559</v>
      </c>
      <c r="C4559" s="538" t="s">
        <v>740</v>
      </c>
      <c r="D4559" s="538" t="s">
        <v>393</v>
      </c>
      <c r="E4559" s="538" t="s">
        <v>209</v>
      </c>
      <c r="F4559" s="538">
        <v>83350796</v>
      </c>
      <c r="G4559" s="538">
        <v>502</v>
      </c>
    </row>
    <row r="4560" spans="1:7" x14ac:dyDescent="0.2">
      <c r="A4560" s="538">
        <v>6</v>
      </c>
      <c r="B4560" s="538" t="s">
        <v>6596</v>
      </c>
      <c r="C4560" s="538" t="s">
        <v>393</v>
      </c>
      <c r="D4560" s="538" t="s">
        <v>393</v>
      </c>
      <c r="E4560" s="538" t="s">
        <v>202</v>
      </c>
      <c r="F4560" s="538">
        <v>11357258</v>
      </c>
      <c r="G4560" s="538">
        <v>91</v>
      </c>
    </row>
    <row r="4561" spans="1:7" x14ac:dyDescent="0.2">
      <c r="A4561" s="538">
        <v>2</v>
      </c>
      <c r="B4561" s="538" t="s">
        <v>6585</v>
      </c>
      <c r="C4561" s="538" t="s">
        <v>740</v>
      </c>
      <c r="D4561" s="538" t="s">
        <v>393</v>
      </c>
      <c r="E4561" s="538" t="s">
        <v>202</v>
      </c>
      <c r="F4561" s="538">
        <v>1298368</v>
      </c>
      <c r="G4561" s="538">
        <v>11</v>
      </c>
    </row>
    <row r="4562" spans="1:7" x14ac:dyDescent="0.2">
      <c r="A4562" s="538">
        <v>10</v>
      </c>
      <c r="B4562" s="538" t="s">
        <v>6653</v>
      </c>
      <c r="C4562" s="538" t="s">
        <v>740</v>
      </c>
      <c r="D4562" s="538" t="s">
        <v>393</v>
      </c>
      <c r="E4562" s="538" t="s">
        <v>860</v>
      </c>
      <c r="F4562" s="538">
        <v>2160004</v>
      </c>
      <c r="G4562" s="538">
        <v>58</v>
      </c>
    </row>
    <row r="4563" spans="1:7" x14ac:dyDescent="0.2">
      <c r="A4563" s="538">
        <v>7</v>
      </c>
      <c r="B4563" s="538" t="s">
        <v>6604</v>
      </c>
      <c r="C4563" s="538" t="s">
        <v>393</v>
      </c>
      <c r="D4563" s="538" t="s">
        <v>740</v>
      </c>
      <c r="E4563" s="538" t="s">
        <v>202</v>
      </c>
      <c r="F4563" s="538">
        <v>96819</v>
      </c>
      <c r="G4563" s="538">
        <v>3</v>
      </c>
    </row>
    <row r="4564" spans="1:7" x14ac:dyDescent="0.2">
      <c r="A4564" s="538">
        <v>6</v>
      </c>
      <c r="B4564" s="538" t="s">
        <v>6429</v>
      </c>
      <c r="C4564" s="538" t="s">
        <v>740</v>
      </c>
      <c r="D4564" s="538" t="s">
        <v>740</v>
      </c>
      <c r="E4564" s="538" t="s">
        <v>207</v>
      </c>
      <c r="F4564" s="538">
        <v>22656</v>
      </c>
      <c r="G4564" s="538">
        <v>2</v>
      </c>
    </row>
    <row r="4565" spans="1:7" x14ac:dyDescent="0.2">
      <c r="A4565" s="538">
        <v>4</v>
      </c>
      <c r="B4565" s="538" t="s">
        <v>6593</v>
      </c>
      <c r="C4565" s="538" t="s">
        <v>740</v>
      </c>
      <c r="D4565" s="538" t="s">
        <v>740</v>
      </c>
      <c r="E4565" s="538" t="s">
        <v>402</v>
      </c>
      <c r="F4565" s="538">
        <v>12015916</v>
      </c>
      <c r="G4565" s="538">
        <v>492</v>
      </c>
    </row>
    <row r="4566" spans="1:7" x14ac:dyDescent="0.2">
      <c r="A4566" s="538">
        <v>4</v>
      </c>
      <c r="B4566" s="538" t="s">
        <v>6562</v>
      </c>
      <c r="C4566" s="538" t="s">
        <v>740</v>
      </c>
      <c r="D4566" s="538" t="s">
        <v>740</v>
      </c>
      <c r="E4566" s="538" t="s">
        <v>860</v>
      </c>
      <c r="F4566" s="538">
        <v>11328</v>
      </c>
      <c r="G4566" s="538">
        <v>1</v>
      </c>
    </row>
    <row r="4567" spans="1:7" x14ac:dyDescent="0.2">
      <c r="A4567" s="538">
        <v>12</v>
      </c>
      <c r="B4567" s="538" t="s">
        <v>6563</v>
      </c>
      <c r="C4567" s="538" t="s">
        <v>393</v>
      </c>
      <c r="D4567" s="538" t="s">
        <v>740</v>
      </c>
      <c r="E4567" s="538" t="s">
        <v>416</v>
      </c>
      <c r="F4567" s="538">
        <v>74163</v>
      </c>
      <c r="G4567" s="538">
        <v>1</v>
      </c>
    </row>
    <row r="4568" spans="1:7" x14ac:dyDescent="0.2">
      <c r="A4568" s="538">
        <v>10</v>
      </c>
      <c r="B4568" s="538" t="s">
        <v>6587</v>
      </c>
      <c r="C4568" s="538" t="s">
        <v>740</v>
      </c>
      <c r="D4568" s="538" t="s">
        <v>393</v>
      </c>
      <c r="E4568" s="538" t="s">
        <v>416</v>
      </c>
      <c r="F4568" s="538">
        <v>17234231</v>
      </c>
      <c r="G4568" s="538">
        <v>272</v>
      </c>
    </row>
    <row r="4569" spans="1:7" x14ac:dyDescent="0.2">
      <c r="A4569" s="538">
        <v>4</v>
      </c>
      <c r="B4569" s="538" t="s">
        <v>6590</v>
      </c>
      <c r="C4569" s="538" t="s">
        <v>740</v>
      </c>
      <c r="D4569" s="538" t="s">
        <v>740</v>
      </c>
      <c r="E4569" s="538" t="s">
        <v>449</v>
      </c>
      <c r="F4569" s="538">
        <v>56640</v>
      </c>
      <c r="G4569" s="538">
        <v>5</v>
      </c>
    </row>
    <row r="4570" spans="1:7" x14ac:dyDescent="0.2">
      <c r="A4570" s="538">
        <v>4</v>
      </c>
      <c r="B4570" s="538" t="s">
        <v>6574</v>
      </c>
      <c r="C4570" s="538" t="s">
        <v>740</v>
      </c>
      <c r="D4570" s="538" t="s">
        <v>740</v>
      </c>
      <c r="E4570" s="538" t="s">
        <v>860</v>
      </c>
      <c r="F4570" s="538">
        <v>22656</v>
      </c>
      <c r="G4570" s="538">
        <v>2</v>
      </c>
    </row>
    <row r="4571" spans="1:7" x14ac:dyDescent="0.2">
      <c r="A4571" s="538">
        <v>5</v>
      </c>
      <c r="B4571" s="538" t="s">
        <v>6568</v>
      </c>
      <c r="C4571" s="538" t="s">
        <v>740</v>
      </c>
      <c r="D4571" s="538" t="s">
        <v>393</v>
      </c>
      <c r="E4571" s="538" t="s">
        <v>390</v>
      </c>
      <c r="F4571" s="538">
        <v>39845335</v>
      </c>
      <c r="G4571" s="538">
        <v>1575</v>
      </c>
    </row>
    <row r="4572" spans="1:7" x14ac:dyDescent="0.2">
      <c r="A4572" s="538">
        <v>9</v>
      </c>
      <c r="B4572" s="538" t="s">
        <v>6613</v>
      </c>
      <c r="C4572" s="538" t="s">
        <v>393</v>
      </c>
      <c r="D4572" s="538" t="s">
        <v>393</v>
      </c>
      <c r="E4572" s="538" t="s">
        <v>438</v>
      </c>
      <c r="F4572" s="538">
        <v>10261680</v>
      </c>
      <c r="G4572" s="538">
        <v>100</v>
      </c>
    </row>
    <row r="4573" spans="1:7" x14ac:dyDescent="0.2">
      <c r="A4573" s="538">
        <v>9</v>
      </c>
      <c r="B4573" s="538" t="s">
        <v>6613</v>
      </c>
      <c r="C4573" s="538" t="s">
        <v>393</v>
      </c>
      <c r="D4573" s="538" t="s">
        <v>393</v>
      </c>
      <c r="E4573" s="538" t="s">
        <v>206</v>
      </c>
      <c r="F4573" s="538">
        <v>11328</v>
      </c>
      <c r="G4573" s="538">
        <v>1</v>
      </c>
    </row>
    <row r="4574" spans="1:7" x14ac:dyDescent="0.2">
      <c r="A4574" s="538">
        <v>7</v>
      </c>
      <c r="B4574" s="538" t="s">
        <v>6579</v>
      </c>
      <c r="C4574" s="538" t="s">
        <v>740</v>
      </c>
      <c r="D4574" s="538" t="s">
        <v>740</v>
      </c>
      <c r="E4574" s="538" t="s">
        <v>402</v>
      </c>
      <c r="F4574" s="538">
        <v>6673504</v>
      </c>
      <c r="G4574" s="538">
        <v>323</v>
      </c>
    </row>
    <row r="4575" spans="1:7" x14ac:dyDescent="0.2">
      <c r="A4575" s="538">
        <v>7</v>
      </c>
      <c r="B4575" s="538" t="s">
        <v>6604</v>
      </c>
      <c r="C4575" s="538" t="s">
        <v>740</v>
      </c>
      <c r="D4575" s="538" t="s">
        <v>393</v>
      </c>
      <c r="E4575" s="538" t="s">
        <v>212</v>
      </c>
      <c r="F4575" s="538">
        <v>45312</v>
      </c>
      <c r="G4575" s="538">
        <v>4</v>
      </c>
    </row>
    <row r="4576" spans="1:7" x14ac:dyDescent="0.2">
      <c r="A4576" s="538">
        <v>4</v>
      </c>
      <c r="B4576" s="538" t="s">
        <v>6590</v>
      </c>
      <c r="C4576" s="538" t="s">
        <v>393</v>
      </c>
      <c r="D4576" s="538" t="s">
        <v>740</v>
      </c>
      <c r="E4576" s="538" t="s">
        <v>230</v>
      </c>
      <c r="F4576" s="538">
        <v>11328</v>
      </c>
      <c r="G4576" s="538">
        <v>1</v>
      </c>
    </row>
    <row r="4577" spans="1:7" x14ac:dyDescent="0.2">
      <c r="A4577" s="538">
        <v>10</v>
      </c>
      <c r="B4577" s="538" t="s">
        <v>6653</v>
      </c>
      <c r="C4577" s="538" t="s">
        <v>393</v>
      </c>
      <c r="D4577" s="538" t="s">
        <v>393</v>
      </c>
      <c r="E4577" s="538" t="s">
        <v>416</v>
      </c>
      <c r="F4577" s="538">
        <v>43713162</v>
      </c>
      <c r="G4577" s="538">
        <v>784</v>
      </c>
    </row>
    <row r="4578" spans="1:7" x14ac:dyDescent="0.2">
      <c r="A4578" s="538">
        <v>6</v>
      </c>
      <c r="B4578" s="538" t="s">
        <v>6607</v>
      </c>
      <c r="C4578" s="538" t="s">
        <v>740</v>
      </c>
      <c r="D4578" s="538" t="s">
        <v>393</v>
      </c>
      <c r="E4578" s="538" t="s">
        <v>416</v>
      </c>
      <c r="F4578" s="538">
        <v>30771431</v>
      </c>
      <c r="G4578" s="538">
        <v>647</v>
      </c>
    </row>
    <row r="4579" spans="1:7" x14ac:dyDescent="0.2">
      <c r="A4579" s="538">
        <v>7</v>
      </c>
      <c r="B4579" s="538" t="s">
        <v>6588</v>
      </c>
      <c r="C4579" s="538" t="s">
        <v>740</v>
      </c>
      <c r="D4579" s="538" t="s">
        <v>393</v>
      </c>
      <c r="E4579" s="538" t="s">
        <v>390</v>
      </c>
      <c r="F4579" s="538">
        <v>3445430</v>
      </c>
      <c r="G4579" s="538">
        <v>135</v>
      </c>
    </row>
    <row r="4580" spans="1:7" x14ac:dyDescent="0.2">
      <c r="A4580" s="538">
        <v>4</v>
      </c>
      <c r="B4580" s="538" t="s">
        <v>6590</v>
      </c>
      <c r="C4580" s="538" t="s">
        <v>740</v>
      </c>
      <c r="D4580" s="538" t="s">
        <v>393</v>
      </c>
      <c r="E4580" s="538" t="s">
        <v>209</v>
      </c>
      <c r="F4580" s="538">
        <v>769190</v>
      </c>
      <c r="G4580" s="538">
        <v>5</v>
      </c>
    </row>
    <row r="4581" spans="1:7" x14ac:dyDescent="0.2">
      <c r="A4581" s="538">
        <v>7</v>
      </c>
      <c r="B4581" s="538" t="s">
        <v>6604</v>
      </c>
      <c r="C4581" s="538" t="s">
        <v>393</v>
      </c>
      <c r="D4581" s="538" t="s">
        <v>393</v>
      </c>
      <c r="E4581" s="538" t="s">
        <v>207</v>
      </c>
      <c r="F4581" s="538">
        <v>14746172</v>
      </c>
      <c r="G4581" s="538">
        <v>1084</v>
      </c>
    </row>
    <row r="4582" spans="1:7" x14ac:dyDescent="0.2">
      <c r="A4582" s="538">
        <v>8</v>
      </c>
      <c r="B4582" s="538" t="s">
        <v>6570</v>
      </c>
      <c r="C4582" s="538" t="s">
        <v>393</v>
      </c>
      <c r="D4582" s="538" t="s">
        <v>393</v>
      </c>
      <c r="E4582" s="538" t="s">
        <v>207</v>
      </c>
      <c r="F4582" s="538">
        <v>11322076</v>
      </c>
      <c r="G4582" s="538">
        <v>602</v>
      </c>
    </row>
    <row r="4583" spans="1:7" x14ac:dyDescent="0.2">
      <c r="A4583" s="538">
        <v>5</v>
      </c>
      <c r="B4583" s="538" t="s">
        <v>6650</v>
      </c>
      <c r="C4583" s="538" t="s">
        <v>393</v>
      </c>
      <c r="D4583" s="538" t="s">
        <v>740</v>
      </c>
      <c r="E4583" s="538" t="s">
        <v>211</v>
      </c>
      <c r="F4583" s="538">
        <v>690071</v>
      </c>
      <c r="G4583" s="538">
        <v>7</v>
      </c>
    </row>
    <row r="4584" spans="1:7" x14ac:dyDescent="0.2">
      <c r="A4584" s="538">
        <v>4</v>
      </c>
      <c r="B4584" s="538" t="s">
        <v>6559</v>
      </c>
      <c r="C4584" s="538" t="s">
        <v>740</v>
      </c>
      <c r="D4584" s="538" t="s">
        <v>393</v>
      </c>
      <c r="E4584" s="538" t="s">
        <v>419</v>
      </c>
      <c r="F4584" s="538">
        <v>11328</v>
      </c>
      <c r="G4584" s="538">
        <v>1</v>
      </c>
    </row>
    <row r="4585" spans="1:7" x14ac:dyDescent="0.2">
      <c r="A4585" s="538">
        <v>3</v>
      </c>
      <c r="B4585" s="538" t="s">
        <v>6647</v>
      </c>
      <c r="C4585" s="538" t="s">
        <v>740</v>
      </c>
      <c r="D4585" s="538" t="s">
        <v>740</v>
      </c>
      <c r="E4585" s="538" t="s">
        <v>402</v>
      </c>
      <c r="F4585" s="538">
        <v>226383</v>
      </c>
      <c r="G4585" s="538">
        <v>11</v>
      </c>
    </row>
    <row r="4586" spans="1:7" x14ac:dyDescent="0.2">
      <c r="A4586" s="538">
        <v>11</v>
      </c>
      <c r="B4586" s="538" t="s">
        <v>6584</v>
      </c>
      <c r="C4586" s="538" t="s">
        <v>740</v>
      </c>
      <c r="D4586" s="538" t="s">
        <v>393</v>
      </c>
      <c r="E4586" s="538" t="s">
        <v>416</v>
      </c>
      <c r="F4586" s="538">
        <v>6376519</v>
      </c>
      <c r="G4586" s="538">
        <v>148</v>
      </c>
    </row>
    <row r="4587" spans="1:7" x14ac:dyDescent="0.2">
      <c r="A4587" s="538">
        <v>1</v>
      </c>
      <c r="B4587" s="538" t="s">
        <v>6581</v>
      </c>
      <c r="C4587" s="538" t="s">
        <v>740</v>
      </c>
      <c r="D4587" s="538" t="s">
        <v>393</v>
      </c>
      <c r="E4587" s="538" t="s">
        <v>409</v>
      </c>
      <c r="F4587" s="538">
        <v>496433</v>
      </c>
      <c r="G4587" s="538">
        <v>1</v>
      </c>
    </row>
    <row r="4588" spans="1:7" x14ac:dyDescent="0.2">
      <c r="A4588" s="538">
        <v>9</v>
      </c>
      <c r="B4588" s="538" t="s">
        <v>6614</v>
      </c>
      <c r="C4588" s="538" t="s">
        <v>393</v>
      </c>
      <c r="D4588" s="538" t="s">
        <v>393</v>
      </c>
      <c r="E4588" s="538" t="s">
        <v>409</v>
      </c>
      <c r="F4588" s="538">
        <v>2523989</v>
      </c>
      <c r="G4588" s="538">
        <v>28</v>
      </c>
    </row>
    <row r="4589" spans="1:7" x14ac:dyDescent="0.2">
      <c r="A4589" s="538">
        <v>4</v>
      </c>
      <c r="B4589" s="538" t="s">
        <v>6590</v>
      </c>
      <c r="C4589" s="538" t="s">
        <v>740</v>
      </c>
      <c r="D4589" s="538" t="s">
        <v>393</v>
      </c>
      <c r="E4589" s="538" t="s">
        <v>211</v>
      </c>
      <c r="F4589" s="538">
        <v>4318592</v>
      </c>
      <c r="G4589" s="538">
        <v>114</v>
      </c>
    </row>
    <row r="4590" spans="1:7" x14ac:dyDescent="0.2">
      <c r="A4590" s="538">
        <v>11</v>
      </c>
      <c r="B4590" s="538" t="s">
        <v>6610</v>
      </c>
      <c r="C4590" s="538" t="s">
        <v>740</v>
      </c>
      <c r="D4590" s="538" t="s">
        <v>393</v>
      </c>
      <c r="E4590" s="538" t="s">
        <v>211</v>
      </c>
      <c r="F4590" s="538">
        <v>881231</v>
      </c>
      <c r="G4590" s="538">
        <v>17</v>
      </c>
    </row>
    <row r="4591" spans="1:7" x14ac:dyDescent="0.2">
      <c r="A4591" s="538">
        <v>6</v>
      </c>
      <c r="B4591" s="538" t="s">
        <v>6575</v>
      </c>
      <c r="C4591" s="538" t="s">
        <v>740</v>
      </c>
      <c r="D4591" s="538" t="s">
        <v>393</v>
      </c>
      <c r="E4591" s="538" t="s">
        <v>438</v>
      </c>
      <c r="F4591" s="538">
        <v>25572910</v>
      </c>
      <c r="G4591" s="538">
        <v>230</v>
      </c>
    </row>
    <row r="4592" spans="1:7" x14ac:dyDescent="0.2">
      <c r="A4592" s="538">
        <v>6</v>
      </c>
      <c r="B4592" s="538" t="s">
        <v>6575</v>
      </c>
      <c r="C4592" s="538" t="s">
        <v>740</v>
      </c>
      <c r="D4592" s="538" t="s">
        <v>393</v>
      </c>
      <c r="E4592" s="538" t="s">
        <v>206</v>
      </c>
      <c r="F4592" s="538">
        <v>85491</v>
      </c>
      <c r="G4592" s="538">
        <v>2</v>
      </c>
    </row>
    <row r="4593" spans="1:7" x14ac:dyDescent="0.2">
      <c r="A4593" s="538">
        <v>11</v>
      </c>
      <c r="B4593" s="538" t="s">
        <v>6584</v>
      </c>
      <c r="C4593" s="538" t="s">
        <v>740</v>
      </c>
      <c r="D4593" s="538" t="s">
        <v>740</v>
      </c>
      <c r="E4593" s="538" t="s">
        <v>202</v>
      </c>
      <c r="F4593" s="538">
        <v>124431</v>
      </c>
      <c r="G4593" s="538">
        <v>2</v>
      </c>
    </row>
    <row r="4594" spans="1:7" x14ac:dyDescent="0.2">
      <c r="A4594" s="538">
        <v>10</v>
      </c>
      <c r="B4594" s="538" t="s">
        <v>6653</v>
      </c>
      <c r="C4594" s="538" t="s">
        <v>740</v>
      </c>
      <c r="D4594" s="538" t="s">
        <v>393</v>
      </c>
      <c r="E4594" s="538" t="s">
        <v>390</v>
      </c>
      <c r="F4594" s="538">
        <v>354531</v>
      </c>
      <c r="G4594" s="538">
        <v>12</v>
      </c>
    </row>
    <row r="4595" spans="1:7" x14ac:dyDescent="0.2">
      <c r="A4595" s="538">
        <v>7</v>
      </c>
      <c r="B4595" s="538" t="s">
        <v>6588</v>
      </c>
      <c r="C4595" s="538" t="s">
        <v>740</v>
      </c>
      <c r="D4595" s="538" t="s">
        <v>740</v>
      </c>
      <c r="E4595" s="538" t="s">
        <v>390</v>
      </c>
      <c r="F4595" s="538">
        <v>112113636</v>
      </c>
      <c r="G4595" s="538">
        <v>3157</v>
      </c>
    </row>
    <row r="4596" spans="1:7" x14ac:dyDescent="0.2">
      <c r="A4596" s="538">
        <v>10</v>
      </c>
      <c r="B4596" s="538" t="s">
        <v>6653</v>
      </c>
      <c r="C4596" s="538" t="s">
        <v>740</v>
      </c>
      <c r="D4596" s="538" t="s">
        <v>393</v>
      </c>
      <c r="E4596" s="538" t="s">
        <v>438</v>
      </c>
      <c r="F4596" s="538">
        <v>4416671</v>
      </c>
      <c r="G4596" s="538">
        <v>32</v>
      </c>
    </row>
    <row r="4597" spans="1:7" x14ac:dyDescent="0.2">
      <c r="A4597" s="538">
        <v>7</v>
      </c>
      <c r="B4597" s="538" t="s">
        <v>6604</v>
      </c>
      <c r="C4597" s="538" t="s">
        <v>740</v>
      </c>
      <c r="D4597" s="538" t="s">
        <v>393</v>
      </c>
      <c r="E4597" s="538" t="s">
        <v>402</v>
      </c>
      <c r="F4597" s="538">
        <v>736143</v>
      </c>
      <c r="G4597" s="538">
        <v>56</v>
      </c>
    </row>
    <row r="4598" spans="1:7" x14ac:dyDescent="0.2">
      <c r="A4598" s="538">
        <v>11</v>
      </c>
      <c r="B4598" s="538" t="s">
        <v>6584</v>
      </c>
      <c r="C4598" s="538" t="s">
        <v>393</v>
      </c>
      <c r="D4598" s="538" t="s">
        <v>740</v>
      </c>
      <c r="E4598" s="538" t="s">
        <v>402</v>
      </c>
      <c r="F4598" s="538">
        <v>403737</v>
      </c>
      <c r="G4598" s="538">
        <v>19</v>
      </c>
    </row>
    <row r="4599" spans="1:7" x14ac:dyDescent="0.2">
      <c r="A4599" s="538">
        <v>7</v>
      </c>
      <c r="B4599" s="538" t="s">
        <v>6594</v>
      </c>
      <c r="C4599" s="538" t="s">
        <v>740</v>
      </c>
      <c r="D4599" s="538" t="s">
        <v>393</v>
      </c>
      <c r="E4599" s="538" t="s">
        <v>416</v>
      </c>
      <c r="F4599" s="538">
        <v>14719779</v>
      </c>
      <c r="G4599" s="538">
        <v>363</v>
      </c>
    </row>
    <row r="4600" spans="1:7" x14ac:dyDescent="0.2">
      <c r="A4600" s="538">
        <v>10</v>
      </c>
      <c r="B4600" s="538" t="s">
        <v>6582</v>
      </c>
      <c r="C4600" s="538" t="s">
        <v>740</v>
      </c>
      <c r="D4600" s="538" t="s">
        <v>393</v>
      </c>
      <c r="E4600" s="538" t="s">
        <v>390</v>
      </c>
      <c r="F4600" s="538">
        <v>3524424</v>
      </c>
      <c r="G4600" s="538">
        <v>193</v>
      </c>
    </row>
    <row r="4601" spans="1:7" x14ac:dyDescent="0.2">
      <c r="A4601" s="538">
        <v>5</v>
      </c>
      <c r="B4601" s="538" t="s">
        <v>6598</v>
      </c>
      <c r="C4601" s="538" t="s">
        <v>393</v>
      </c>
      <c r="D4601" s="538" t="s">
        <v>740</v>
      </c>
      <c r="E4601" s="538" t="s">
        <v>402</v>
      </c>
      <c r="F4601" s="538">
        <v>4891770</v>
      </c>
      <c r="G4601" s="538">
        <v>185</v>
      </c>
    </row>
    <row r="4602" spans="1:7" x14ac:dyDescent="0.2">
      <c r="A4602" s="538">
        <v>9</v>
      </c>
      <c r="B4602" s="538" t="s">
        <v>6657</v>
      </c>
      <c r="C4602" s="538" t="s">
        <v>393</v>
      </c>
      <c r="D4602" s="538" t="s">
        <v>393</v>
      </c>
      <c r="E4602" s="538" t="s">
        <v>211</v>
      </c>
      <c r="F4602" s="538">
        <v>7267412</v>
      </c>
      <c r="G4602" s="538">
        <v>139</v>
      </c>
    </row>
    <row r="4603" spans="1:7" x14ac:dyDescent="0.2">
      <c r="A4603" s="538">
        <v>7</v>
      </c>
      <c r="B4603" s="538" t="s">
        <v>6661</v>
      </c>
      <c r="C4603" s="538" t="s">
        <v>740</v>
      </c>
      <c r="D4603" s="538" t="s">
        <v>393</v>
      </c>
      <c r="E4603" s="538" t="s">
        <v>402</v>
      </c>
      <c r="F4603" s="538">
        <v>492945</v>
      </c>
      <c r="G4603" s="538">
        <v>20</v>
      </c>
    </row>
    <row r="4604" spans="1:7" x14ac:dyDescent="0.2">
      <c r="A4604" s="538">
        <v>4</v>
      </c>
      <c r="B4604" s="538" t="s">
        <v>6590</v>
      </c>
      <c r="C4604" s="538" t="s">
        <v>393</v>
      </c>
      <c r="D4604" s="538" t="s">
        <v>740</v>
      </c>
      <c r="E4604" s="538" t="s">
        <v>409</v>
      </c>
      <c r="F4604" s="538">
        <v>845529</v>
      </c>
      <c r="G4604" s="538">
        <v>58</v>
      </c>
    </row>
    <row r="4605" spans="1:7" x14ac:dyDescent="0.2">
      <c r="A4605" s="538">
        <v>8</v>
      </c>
      <c r="B4605" s="538" t="s">
        <v>6577</v>
      </c>
      <c r="C4605" s="538" t="s">
        <v>740</v>
      </c>
      <c r="D4605" s="538" t="s">
        <v>393</v>
      </c>
      <c r="E4605" s="538" t="s">
        <v>438</v>
      </c>
      <c r="F4605" s="538">
        <v>184181600</v>
      </c>
      <c r="G4605" s="538">
        <v>2280</v>
      </c>
    </row>
    <row r="4606" spans="1:7" x14ac:dyDescent="0.2">
      <c r="A4606" s="538">
        <v>8</v>
      </c>
      <c r="B4606" s="538" t="s">
        <v>6577</v>
      </c>
      <c r="C4606" s="538" t="s">
        <v>740</v>
      </c>
      <c r="D4606" s="538" t="s">
        <v>393</v>
      </c>
      <c r="E4606" s="538" t="s">
        <v>206</v>
      </c>
      <c r="F4606" s="538">
        <v>657732</v>
      </c>
      <c r="G4606" s="538">
        <v>29</v>
      </c>
    </row>
    <row r="4607" spans="1:7" x14ac:dyDescent="0.2">
      <c r="A4607" s="538">
        <v>4</v>
      </c>
      <c r="B4607" s="538" t="s">
        <v>6562</v>
      </c>
      <c r="C4607" s="538" t="s">
        <v>740</v>
      </c>
      <c r="D4607" s="538" t="s">
        <v>393</v>
      </c>
      <c r="E4607" s="538" t="s">
        <v>402</v>
      </c>
      <c r="F4607" s="538">
        <v>1436782</v>
      </c>
      <c r="G4607" s="538">
        <v>19</v>
      </c>
    </row>
    <row r="4608" spans="1:7" x14ac:dyDescent="0.2">
      <c r="A4608" s="538">
        <v>7</v>
      </c>
      <c r="B4608" s="538" t="s">
        <v>6594</v>
      </c>
      <c r="C4608" s="538" t="s">
        <v>740</v>
      </c>
      <c r="D4608" s="538" t="s">
        <v>393</v>
      </c>
      <c r="E4608" s="538" t="s">
        <v>210</v>
      </c>
      <c r="F4608" s="538">
        <v>6312018</v>
      </c>
      <c r="G4608" s="538">
        <v>336</v>
      </c>
    </row>
    <row r="4609" spans="1:7" x14ac:dyDescent="0.2">
      <c r="A4609" s="538">
        <v>8</v>
      </c>
      <c r="B4609" s="538" t="s">
        <v>6570</v>
      </c>
      <c r="C4609" s="538" t="s">
        <v>393</v>
      </c>
      <c r="D4609" s="538" t="s">
        <v>740</v>
      </c>
      <c r="E4609" s="538" t="s">
        <v>212</v>
      </c>
      <c r="F4609" s="538">
        <v>242844</v>
      </c>
      <c r="G4609" s="538">
        <v>18</v>
      </c>
    </row>
    <row r="4610" spans="1:7" x14ac:dyDescent="0.2">
      <c r="A4610" s="538">
        <v>7</v>
      </c>
      <c r="B4610" s="538" t="s">
        <v>6579</v>
      </c>
      <c r="C4610" s="538" t="s">
        <v>740</v>
      </c>
      <c r="D4610" s="538" t="s">
        <v>393</v>
      </c>
      <c r="E4610" s="538" t="s">
        <v>419</v>
      </c>
      <c r="F4610" s="538">
        <v>45312</v>
      </c>
      <c r="G4610" s="538">
        <v>4</v>
      </c>
    </row>
    <row r="4611" spans="1:7" x14ac:dyDescent="0.2">
      <c r="A4611" s="538">
        <v>7</v>
      </c>
      <c r="B4611" s="538" t="s">
        <v>6661</v>
      </c>
      <c r="C4611" s="538" t="s">
        <v>393</v>
      </c>
      <c r="D4611" s="538" t="s">
        <v>393</v>
      </c>
      <c r="E4611" s="538" t="s">
        <v>401</v>
      </c>
      <c r="F4611" s="538">
        <v>113280</v>
      </c>
      <c r="G4611" s="538">
        <v>10</v>
      </c>
    </row>
    <row r="4612" spans="1:7" x14ac:dyDescent="0.2">
      <c r="A4612" s="538">
        <v>1</v>
      </c>
      <c r="B4612" s="538" t="s">
        <v>6602</v>
      </c>
      <c r="C4612" s="538" t="s">
        <v>740</v>
      </c>
      <c r="D4612" s="538" t="s">
        <v>393</v>
      </c>
      <c r="E4612" s="538" t="s">
        <v>438</v>
      </c>
      <c r="F4612" s="538">
        <v>4463909</v>
      </c>
      <c r="G4612" s="538">
        <v>78</v>
      </c>
    </row>
    <row r="4613" spans="1:7" x14ac:dyDescent="0.2">
      <c r="A4613" s="538">
        <v>9</v>
      </c>
      <c r="B4613" s="538" t="s">
        <v>948</v>
      </c>
      <c r="C4613" s="538" t="s">
        <v>393</v>
      </c>
      <c r="D4613" s="538" t="s">
        <v>393</v>
      </c>
      <c r="E4613" s="538" t="s">
        <v>230</v>
      </c>
      <c r="F4613" s="538">
        <v>6138579</v>
      </c>
      <c r="G4613" s="538">
        <v>123</v>
      </c>
    </row>
    <row r="4614" spans="1:7" x14ac:dyDescent="0.2">
      <c r="A4614" s="538">
        <v>1</v>
      </c>
      <c r="B4614" s="538" t="s">
        <v>6609</v>
      </c>
      <c r="C4614" s="538" t="s">
        <v>393</v>
      </c>
      <c r="D4614" s="538" t="s">
        <v>740</v>
      </c>
      <c r="E4614" s="538" t="s">
        <v>402</v>
      </c>
      <c r="F4614" s="538">
        <v>11328</v>
      </c>
      <c r="G4614" s="538">
        <v>1</v>
      </c>
    </row>
    <row r="4615" spans="1:7" x14ac:dyDescent="0.2">
      <c r="A4615" s="538">
        <v>8</v>
      </c>
      <c r="B4615" s="538" t="s">
        <v>6560</v>
      </c>
      <c r="C4615" s="538" t="s">
        <v>740</v>
      </c>
      <c r="D4615" s="538" t="s">
        <v>393</v>
      </c>
      <c r="E4615" s="538" t="s">
        <v>211</v>
      </c>
      <c r="F4615" s="538">
        <v>46968014</v>
      </c>
      <c r="G4615" s="538">
        <v>1043</v>
      </c>
    </row>
    <row r="4616" spans="1:7" x14ac:dyDescent="0.2">
      <c r="A4616" s="538">
        <v>6</v>
      </c>
      <c r="B4616" s="538" t="s">
        <v>6565</v>
      </c>
      <c r="C4616" s="538" t="s">
        <v>393</v>
      </c>
      <c r="D4616" s="538" t="s">
        <v>393</v>
      </c>
      <c r="E4616" s="538" t="s">
        <v>409</v>
      </c>
      <c r="F4616" s="538">
        <v>4620981</v>
      </c>
      <c r="G4616" s="538">
        <v>72</v>
      </c>
    </row>
    <row r="4617" spans="1:7" x14ac:dyDescent="0.2">
      <c r="A4617" s="538">
        <v>11</v>
      </c>
      <c r="B4617" s="538" t="s">
        <v>6558</v>
      </c>
      <c r="C4617" s="538" t="s">
        <v>740</v>
      </c>
      <c r="D4617" s="538" t="s">
        <v>393</v>
      </c>
      <c r="E4617" s="538" t="s">
        <v>211</v>
      </c>
      <c r="F4617" s="538">
        <v>22656</v>
      </c>
      <c r="G4617" s="538">
        <v>2</v>
      </c>
    </row>
    <row r="4618" spans="1:7" x14ac:dyDescent="0.2">
      <c r="A4618" s="538">
        <v>3</v>
      </c>
      <c r="B4618" s="538" t="s">
        <v>6561</v>
      </c>
      <c r="C4618" s="538" t="s">
        <v>393</v>
      </c>
      <c r="D4618" s="538" t="s">
        <v>740</v>
      </c>
      <c r="E4618" s="538" t="s">
        <v>210</v>
      </c>
      <c r="F4618" s="538">
        <v>243906</v>
      </c>
      <c r="G4618" s="538">
        <v>7</v>
      </c>
    </row>
    <row r="4619" spans="1:7" x14ac:dyDescent="0.2">
      <c r="A4619" s="538">
        <v>6</v>
      </c>
      <c r="B4619" s="538" t="s">
        <v>6575</v>
      </c>
      <c r="C4619" s="538" t="s">
        <v>740</v>
      </c>
      <c r="D4619" s="538" t="s">
        <v>393</v>
      </c>
      <c r="E4619" s="538" t="s">
        <v>401</v>
      </c>
      <c r="F4619" s="538">
        <v>11328</v>
      </c>
      <c r="G4619" s="538">
        <v>1</v>
      </c>
    </row>
    <row r="4620" spans="1:7" x14ac:dyDescent="0.2">
      <c r="A4620" s="538">
        <v>11</v>
      </c>
      <c r="B4620" s="538" t="s">
        <v>6584</v>
      </c>
      <c r="C4620" s="538" t="s">
        <v>393</v>
      </c>
      <c r="D4620" s="538" t="s">
        <v>740</v>
      </c>
      <c r="E4620" s="538" t="s">
        <v>401</v>
      </c>
      <c r="F4620" s="538">
        <v>56640</v>
      </c>
      <c r="G4620" s="538">
        <v>5</v>
      </c>
    </row>
    <row r="4621" spans="1:7" x14ac:dyDescent="0.2">
      <c r="A4621" s="538">
        <v>9</v>
      </c>
      <c r="B4621" s="538" t="s">
        <v>6615</v>
      </c>
      <c r="C4621" s="538" t="s">
        <v>393</v>
      </c>
      <c r="D4621" s="538" t="s">
        <v>393</v>
      </c>
      <c r="E4621" s="538" t="s">
        <v>209</v>
      </c>
      <c r="F4621" s="538">
        <v>4690386</v>
      </c>
      <c r="G4621" s="538">
        <v>12</v>
      </c>
    </row>
    <row r="4622" spans="1:7" x14ac:dyDescent="0.2">
      <c r="A4622" s="538">
        <v>1</v>
      </c>
      <c r="B4622" s="538" t="s">
        <v>6602</v>
      </c>
      <c r="C4622" s="538" t="s">
        <v>393</v>
      </c>
      <c r="D4622" s="538" t="s">
        <v>393</v>
      </c>
      <c r="E4622" s="538" t="s">
        <v>212</v>
      </c>
      <c r="F4622" s="538">
        <v>1131863</v>
      </c>
      <c r="G4622" s="538">
        <v>46</v>
      </c>
    </row>
    <row r="4623" spans="1:7" x14ac:dyDescent="0.2">
      <c r="A4623" s="538">
        <v>2</v>
      </c>
      <c r="B4623" s="538" t="s">
        <v>6608</v>
      </c>
      <c r="C4623" s="538" t="s">
        <v>740</v>
      </c>
      <c r="D4623" s="538" t="s">
        <v>393</v>
      </c>
      <c r="E4623" s="538" t="s">
        <v>390</v>
      </c>
      <c r="F4623" s="538">
        <v>3353338</v>
      </c>
      <c r="G4623" s="538">
        <v>116</v>
      </c>
    </row>
    <row r="4624" spans="1:7" x14ac:dyDescent="0.2">
      <c r="A4624" s="538">
        <v>3</v>
      </c>
      <c r="B4624" s="538" t="s">
        <v>6561</v>
      </c>
      <c r="C4624" s="538" t="s">
        <v>740</v>
      </c>
      <c r="D4624" s="538" t="s">
        <v>740</v>
      </c>
      <c r="E4624" s="538" t="s">
        <v>390</v>
      </c>
      <c r="F4624" s="538">
        <v>4416296</v>
      </c>
      <c r="G4624" s="538">
        <v>97</v>
      </c>
    </row>
    <row r="4625" spans="1:7" x14ac:dyDescent="0.2">
      <c r="A4625" s="538">
        <v>2</v>
      </c>
      <c r="B4625" s="538" t="s">
        <v>6654</v>
      </c>
      <c r="C4625" s="538" t="s">
        <v>393</v>
      </c>
      <c r="D4625" s="538" t="s">
        <v>740</v>
      </c>
      <c r="E4625" s="538" t="s">
        <v>401</v>
      </c>
      <c r="F4625" s="538">
        <v>22656</v>
      </c>
      <c r="G4625" s="538">
        <v>2</v>
      </c>
    </row>
    <row r="4626" spans="1:7" x14ac:dyDescent="0.2">
      <c r="A4626" s="538">
        <v>8</v>
      </c>
      <c r="B4626" s="538" t="s">
        <v>6570</v>
      </c>
      <c r="C4626" s="538" t="s">
        <v>740</v>
      </c>
      <c r="D4626" s="538" t="s">
        <v>393</v>
      </c>
      <c r="E4626" s="538" t="s">
        <v>860</v>
      </c>
      <c r="F4626" s="538">
        <v>2071431</v>
      </c>
      <c r="G4626" s="538">
        <v>102</v>
      </c>
    </row>
    <row r="4627" spans="1:7" x14ac:dyDescent="0.2">
      <c r="A4627" s="538">
        <v>9</v>
      </c>
      <c r="B4627" s="538" t="s">
        <v>6657</v>
      </c>
      <c r="C4627" s="538" t="s">
        <v>740</v>
      </c>
      <c r="D4627" s="538" t="s">
        <v>393</v>
      </c>
      <c r="E4627" s="538" t="s">
        <v>409</v>
      </c>
      <c r="F4627" s="538">
        <v>1301429</v>
      </c>
      <c r="G4627" s="538">
        <v>43</v>
      </c>
    </row>
    <row r="4628" spans="1:7" x14ac:dyDescent="0.2">
      <c r="A4628" s="538">
        <v>5</v>
      </c>
      <c r="B4628" s="538" t="s">
        <v>6599</v>
      </c>
      <c r="C4628" s="538" t="s">
        <v>740</v>
      </c>
      <c r="D4628" s="538" t="s">
        <v>393</v>
      </c>
      <c r="E4628" s="538" t="s">
        <v>210</v>
      </c>
      <c r="F4628" s="538">
        <v>227622</v>
      </c>
      <c r="G4628" s="538">
        <v>9</v>
      </c>
    </row>
    <row r="4629" spans="1:7" x14ac:dyDescent="0.2">
      <c r="A4629" s="538">
        <v>5</v>
      </c>
      <c r="B4629" s="538" t="s">
        <v>6589</v>
      </c>
      <c r="C4629" s="538" t="s">
        <v>740</v>
      </c>
      <c r="D4629" s="538" t="s">
        <v>393</v>
      </c>
      <c r="E4629" s="538" t="s">
        <v>438</v>
      </c>
      <c r="F4629" s="538">
        <v>2311693</v>
      </c>
      <c r="G4629" s="538">
        <v>41</v>
      </c>
    </row>
    <row r="4630" spans="1:7" x14ac:dyDescent="0.2">
      <c r="A4630" s="538">
        <v>10</v>
      </c>
      <c r="B4630" s="538" t="s">
        <v>6653</v>
      </c>
      <c r="C4630" s="538" t="s">
        <v>393</v>
      </c>
      <c r="D4630" s="538" t="s">
        <v>393</v>
      </c>
      <c r="E4630" s="538" t="s">
        <v>401</v>
      </c>
      <c r="F4630" s="538">
        <v>541745</v>
      </c>
      <c r="G4630" s="538">
        <v>5</v>
      </c>
    </row>
    <row r="4631" spans="1:7" x14ac:dyDescent="0.2">
      <c r="A4631" s="538">
        <v>1</v>
      </c>
      <c r="B4631" s="538" t="s">
        <v>6609</v>
      </c>
      <c r="C4631" s="538" t="s">
        <v>740</v>
      </c>
      <c r="D4631" s="538" t="s">
        <v>393</v>
      </c>
      <c r="E4631" s="538" t="s">
        <v>860</v>
      </c>
      <c r="F4631" s="538">
        <v>2101698</v>
      </c>
      <c r="G4631" s="538">
        <v>106</v>
      </c>
    </row>
    <row r="4632" spans="1:7" x14ac:dyDescent="0.2">
      <c r="A4632" s="538">
        <v>9</v>
      </c>
      <c r="B4632" s="538" t="s">
        <v>6613</v>
      </c>
      <c r="C4632" s="538" t="s">
        <v>740</v>
      </c>
      <c r="D4632" s="538" t="s">
        <v>393</v>
      </c>
      <c r="E4632" s="538" t="s">
        <v>402</v>
      </c>
      <c r="F4632" s="538">
        <v>593252</v>
      </c>
      <c r="G4632" s="538">
        <v>4</v>
      </c>
    </row>
    <row r="4633" spans="1:7" x14ac:dyDescent="0.2">
      <c r="A4633" s="538">
        <v>4</v>
      </c>
      <c r="B4633" s="538" t="s">
        <v>6559</v>
      </c>
      <c r="C4633" s="538" t="s">
        <v>393</v>
      </c>
      <c r="D4633" s="538" t="s">
        <v>393</v>
      </c>
      <c r="E4633" s="538" t="s">
        <v>860</v>
      </c>
      <c r="F4633" s="538">
        <v>203727</v>
      </c>
      <c r="G4633" s="538">
        <v>9</v>
      </c>
    </row>
    <row r="4634" spans="1:7" x14ac:dyDescent="0.2">
      <c r="A4634" s="538">
        <v>3</v>
      </c>
      <c r="B4634" s="538" t="s">
        <v>6591</v>
      </c>
      <c r="C4634" s="538" t="s">
        <v>393</v>
      </c>
      <c r="D4634" s="538" t="s">
        <v>393</v>
      </c>
      <c r="E4634" s="538" t="s">
        <v>402</v>
      </c>
      <c r="F4634" s="538">
        <v>1871140</v>
      </c>
      <c r="G4634" s="538">
        <v>65</v>
      </c>
    </row>
    <row r="4635" spans="1:7" x14ac:dyDescent="0.2">
      <c r="A4635" s="538">
        <v>1</v>
      </c>
      <c r="B4635" s="538" t="s">
        <v>6609</v>
      </c>
      <c r="C4635" s="538" t="s">
        <v>740</v>
      </c>
      <c r="D4635" s="538" t="s">
        <v>393</v>
      </c>
      <c r="E4635" s="538" t="s">
        <v>211</v>
      </c>
      <c r="F4635" s="538">
        <v>61596</v>
      </c>
      <c r="G4635" s="538">
        <v>2</v>
      </c>
    </row>
    <row r="4636" spans="1:7" x14ac:dyDescent="0.2">
      <c r="A4636" s="538">
        <v>5</v>
      </c>
      <c r="B4636" s="538" t="s">
        <v>6599</v>
      </c>
      <c r="C4636" s="538" t="s">
        <v>393</v>
      </c>
      <c r="D4636" s="538" t="s">
        <v>740</v>
      </c>
      <c r="E4636" s="538" t="s">
        <v>230</v>
      </c>
      <c r="F4636" s="538">
        <v>1163848</v>
      </c>
      <c r="G4636" s="538">
        <v>6</v>
      </c>
    </row>
    <row r="4637" spans="1:7" x14ac:dyDescent="0.2">
      <c r="A4637" s="538">
        <v>8</v>
      </c>
      <c r="B4637" s="538" t="s">
        <v>6577</v>
      </c>
      <c r="C4637" s="538" t="s">
        <v>393</v>
      </c>
      <c r="D4637" s="538" t="s">
        <v>393</v>
      </c>
      <c r="E4637" s="538" t="s">
        <v>230</v>
      </c>
      <c r="F4637" s="538">
        <v>5488281</v>
      </c>
      <c r="G4637" s="538">
        <v>92</v>
      </c>
    </row>
    <row r="4638" spans="1:7" x14ac:dyDescent="0.2">
      <c r="A4638" s="538">
        <v>12</v>
      </c>
      <c r="B4638" s="538" t="s">
        <v>6616</v>
      </c>
      <c r="C4638" s="538" t="s">
        <v>740</v>
      </c>
      <c r="D4638" s="538" t="s">
        <v>393</v>
      </c>
      <c r="E4638" s="538" t="s">
        <v>211</v>
      </c>
      <c r="F4638" s="538">
        <v>96819</v>
      </c>
      <c r="G4638" s="538">
        <v>3</v>
      </c>
    </row>
    <row r="4639" spans="1:7" x14ac:dyDescent="0.2">
      <c r="A4639" s="538">
        <v>1</v>
      </c>
      <c r="B4639" s="538" t="s">
        <v>6581</v>
      </c>
      <c r="C4639" s="538" t="s">
        <v>740</v>
      </c>
      <c r="D4639" s="538" t="s">
        <v>393</v>
      </c>
      <c r="E4639" s="538" t="s">
        <v>212</v>
      </c>
      <c r="F4639" s="538">
        <v>7728122</v>
      </c>
      <c r="G4639" s="538">
        <v>549</v>
      </c>
    </row>
    <row r="4640" spans="1:7" x14ac:dyDescent="0.2">
      <c r="A4640" s="538">
        <v>4</v>
      </c>
      <c r="B4640" s="538" t="s">
        <v>6590</v>
      </c>
      <c r="C4640" s="538" t="s">
        <v>740</v>
      </c>
      <c r="D4640" s="538" t="s">
        <v>740</v>
      </c>
      <c r="E4640" s="538" t="s">
        <v>212</v>
      </c>
      <c r="F4640" s="538">
        <v>11328</v>
      </c>
      <c r="G4640" s="538">
        <v>1</v>
      </c>
    </row>
    <row r="4641" spans="1:7" x14ac:dyDescent="0.2">
      <c r="A4641" s="538">
        <v>1</v>
      </c>
      <c r="B4641" s="538" t="s">
        <v>6649</v>
      </c>
      <c r="C4641" s="538" t="s">
        <v>740</v>
      </c>
      <c r="D4641" s="538" t="s">
        <v>393</v>
      </c>
      <c r="E4641" s="538" t="s">
        <v>401</v>
      </c>
      <c r="F4641" s="538">
        <v>45312</v>
      </c>
      <c r="G4641" s="538">
        <v>4</v>
      </c>
    </row>
    <row r="4642" spans="1:7" x14ac:dyDescent="0.2">
      <c r="A4642" s="538">
        <v>10</v>
      </c>
      <c r="B4642" s="538" t="s">
        <v>6653</v>
      </c>
      <c r="C4642" s="538" t="s">
        <v>393</v>
      </c>
      <c r="D4642" s="538" t="s">
        <v>393</v>
      </c>
      <c r="E4642" s="538" t="s">
        <v>212</v>
      </c>
      <c r="F4642" s="538">
        <v>870080</v>
      </c>
      <c r="G4642" s="538">
        <v>25</v>
      </c>
    </row>
    <row r="4643" spans="1:7" x14ac:dyDescent="0.2">
      <c r="A4643" s="538">
        <v>8</v>
      </c>
      <c r="B4643" s="538" t="s">
        <v>6570</v>
      </c>
      <c r="C4643" s="538" t="s">
        <v>740</v>
      </c>
      <c r="D4643" s="538" t="s">
        <v>740</v>
      </c>
      <c r="E4643" s="538" t="s">
        <v>390</v>
      </c>
      <c r="F4643" s="538">
        <v>22656</v>
      </c>
      <c r="G4643" s="538">
        <v>2</v>
      </c>
    </row>
    <row r="4644" spans="1:7" x14ac:dyDescent="0.2">
      <c r="A4644" s="538">
        <v>7</v>
      </c>
      <c r="B4644" s="538" t="s">
        <v>6580</v>
      </c>
      <c r="C4644" s="538" t="s">
        <v>740</v>
      </c>
      <c r="D4644" s="538" t="s">
        <v>393</v>
      </c>
      <c r="E4644" s="538" t="s">
        <v>449</v>
      </c>
      <c r="F4644" s="538">
        <v>140892</v>
      </c>
      <c r="G4644" s="538">
        <v>9</v>
      </c>
    </row>
    <row r="4645" spans="1:7" x14ac:dyDescent="0.2">
      <c r="A4645" s="538">
        <v>4</v>
      </c>
      <c r="B4645" s="538" t="s">
        <v>6562</v>
      </c>
      <c r="C4645" s="538" t="s">
        <v>740</v>
      </c>
      <c r="D4645" s="538" t="s">
        <v>393</v>
      </c>
      <c r="E4645" s="538" t="s">
        <v>409</v>
      </c>
      <c r="F4645" s="538">
        <v>84252</v>
      </c>
      <c r="G4645" s="538">
        <v>4</v>
      </c>
    </row>
    <row r="4646" spans="1:7" x14ac:dyDescent="0.2">
      <c r="A4646" s="538">
        <v>3</v>
      </c>
      <c r="B4646" s="538" t="s">
        <v>1390</v>
      </c>
      <c r="C4646" s="538" t="s">
        <v>740</v>
      </c>
      <c r="D4646" s="538" t="s">
        <v>393</v>
      </c>
      <c r="E4646" s="538" t="s">
        <v>401</v>
      </c>
      <c r="F4646" s="538">
        <v>45312</v>
      </c>
      <c r="G4646" s="538">
        <v>4</v>
      </c>
    </row>
    <row r="4647" spans="1:7" x14ac:dyDescent="0.2">
      <c r="A4647" s="538">
        <v>5</v>
      </c>
      <c r="B4647" s="538" t="s">
        <v>6568</v>
      </c>
      <c r="C4647" s="538" t="s">
        <v>740</v>
      </c>
      <c r="D4647" s="538" t="s">
        <v>393</v>
      </c>
      <c r="E4647" s="538" t="s">
        <v>207</v>
      </c>
      <c r="F4647" s="538">
        <v>2340773</v>
      </c>
      <c r="G4647" s="538">
        <v>121</v>
      </c>
    </row>
    <row r="4648" spans="1:7" x14ac:dyDescent="0.2">
      <c r="A4648" s="538">
        <v>3</v>
      </c>
      <c r="B4648" s="538" t="s">
        <v>6578</v>
      </c>
      <c r="C4648" s="538" t="s">
        <v>393</v>
      </c>
      <c r="D4648" s="538" t="s">
        <v>740</v>
      </c>
      <c r="E4648" s="538" t="s">
        <v>416</v>
      </c>
      <c r="F4648" s="538">
        <v>7563356</v>
      </c>
      <c r="G4648" s="538">
        <v>252</v>
      </c>
    </row>
    <row r="4649" spans="1:7" x14ac:dyDescent="0.2">
      <c r="A4649" s="538">
        <v>2</v>
      </c>
      <c r="B4649" s="538" t="s">
        <v>6654</v>
      </c>
      <c r="C4649" s="538" t="s">
        <v>740</v>
      </c>
      <c r="D4649" s="538" t="s">
        <v>393</v>
      </c>
      <c r="E4649" s="538" t="s">
        <v>419</v>
      </c>
      <c r="F4649" s="538">
        <v>50268</v>
      </c>
      <c r="G4649" s="538">
        <v>1</v>
      </c>
    </row>
    <row r="4650" spans="1:7" x14ac:dyDescent="0.2">
      <c r="A4650" s="538">
        <v>3</v>
      </c>
      <c r="B4650" s="538" t="s">
        <v>1390</v>
      </c>
      <c r="C4650" s="538" t="s">
        <v>740</v>
      </c>
      <c r="D4650" s="538" t="s">
        <v>393</v>
      </c>
      <c r="E4650" s="538" t="s">
        <v>402</v>
      </c>
      <c r="F4650" s="538">
        <v>701982</v>
      </c>
      <c r="G4650" s="538">
        <v>44</v>
      </c>
    </row>
    <row r="4651" spans="1:7" x14ac:dyDescent="0.2">
      <c r="A4651" s="538">
        <v>11</v>
      </c>
      <c r="B4651" s="538" t="s">
        <v>6558</v>
      </c>
      <c r="C4651" s="538" t="s">
        <v>393</v>
      </c>
      <c r="D4651" s="538" t="s">
        <v>393</v>
      </c>
      <c r="E4651" s="538" t="s">
        <v>202</v>
      </c>
      <c r="F4651" s="538">
        <v>6167680</v>
      </c>
      <c r="G4651" s="538">
        <v>60</v>
      </c>
    </row>
    <row r="4652" spans="1:7" x14ac:dyDescent="0.2">
      <c r="A4652" s="538">
        <v>5</v>
      </c>
      <c r="B4652" s="538" t="s">
        <v>6568</v>
      </c>
      <c r="C4652" s="538" t="s">
        <v>393</v>
      </c>
      <c r="D4652" s="538" t="s">
        <v>740</v>
      </c>
      <c r="E4652" s="538" t="s">
        <v>211</v>
      </c>
      <c r="F4652" s="538">
        <v>1868964</v>
      </c>
      <c r="G4652" s="538">
        <v>13</v>
      </c>
    </row>
    <row r="4653" spans="1:7" x14ac:dyDescent="0.2">
      <c r="A4653" s="538">
        <v>7</v>
      </c>
      <c r="B4653" s="538" t="s">
        <v>6661</v>
      </c>
      <c r="C4653" s="538" t="s">
        <v>740</v>
      </c>
      <c r="D4653" s="538" t="s">
        <v>393</v>
      </c>
      <c r="E4653" s="538" t="s">
        <v>202</v>
      </c>
      <c r="F4653" s="538">
        <v>295413</v>
      </c>
      <c r="G4653" s="538">
        <v>6</v>
      </c>
    </row>
    <row r="4654" spans="1:7" x14ac:dyDescent="0.2">
      <c r="A4654" s="538">
        <v>4</v>
      </c>
      <c r="B4654" s="538" t="s">
        <v>6574</v>
      </c>
      <c r="C4654" s="538" t="s">
        <v>393</v>
      </c>
      <c r="D4654" s="538" t="s">
        <v>740</v>
      </c>
      <c r="E4654" s="538" t="s">
        <v>449</v>
      </c>
      <c r="F4654" s="538">
        <v>56640</v>
      </c>
      <c r="G4654" s="538">
        <v>5</v>
      </c>
    </row>
    <row r="4655" spans="1:7" x14ac:dyDescent="0.2">
      <c r="A4655" s="538">
        <v>1</v>
      </c>
      <c r="B4655" s="538" t="s">
        <v>6602</v>
      </c>
      <c r="C4655" s="538" t="s">
        <v>740</v>
      </c>
      <c r="D4655" s="538" t="s">
        <v>393</v>
      </c>
      <c r="E4655" s="538" t="s">
        <v>401</v>
      </c>
      <c r="F4655" s="538">
        <v>22656</v>
      </c>
      <c r="G4655" s="538">
        <v>2</v>
      </c>
    </row>
    <row r="4656" spans="1:7" x14ac:dyDescent="0.2">
      <c r="A4656" s="538">
        <v>4</v>
      </c>
      <c r="B4656" s="538" t="s">
        <v>6572</v>
      </c>
      <c r="C4656" s="538" t="s">
        <v>740</v>
      </c>
      <c r="D4656" s="538" t="s">
        <v>393</v>
      </c>
      <c r="E4656" s="538" t="s">
        <v>390</v>
      </c>
      <c r="F4656" s="538">
        <v>125919759</v>
      </c>
      <c r="G4656" s="538">
        <v>4848</v>
      </c>
    </row>
    <row r="4657" spans="1:7" x14ac:dyDescent="0.2">
      <c r="A4657" s="538">
        <v>2</v>
      </c>
      <c r="B4657" s="538" t="s">
        <v>6573</v>
      </c>
      <c r="C4657" s="538" t="s">
        <v>740</v>
      </c>
      <c r="D4657" s="538" t="s">
        <v>393</v>
      </c>
      <c r="E4657" s="538" t="s">
        <v>313</v>
      </c>
      <c r="F4657" s="538">
        <v>148326</v>
      </c>
      <c r="G4657" s="538">
        <v>2</v>
      </c>
    </row>
    <row r="4658" spans="1:7" x14ac:dyDescent="0.2">
      <c r="A4658" s="538">
        <v>3</v>
      </c>
      <c r="B4658" s="538" t="s">
        <v>6647</v>
      </c>
      <c r="C4658" s="538" t="s">
        <v>740</v>
      </c>
      <c r="D4658" s="538" t="s">
        <v>740</v>
      </c>
      <c r="E4658" s="538" t="s">
        <v>409</v>
      </c>
      <c r="F4658" s="538">
        <v>209922</v>
      </c>
      <c r="G4658" s="538">
        <v>4</v>
      </c>
    </row>
    <row r="4659" spans="1:7" x14ac:dyDescent="0.2">
      <c r="A4659" s="538">
        <v>2</v>
      </c>
      <c r="B4659" s="538" t="s">
        <v>6573</v>
      </c>
      <c r="C4659" s="538" t="s">
        <v>740</v>
      </c>
      <c r="D4659" s="538" t="s">
        <v>740</v>
      </c>
      <c r="E4659" s="538" t="s">
        <v>860</v>
      </c>
      <c r="F4659" s="538">
        <v>163548</v>
      </c>
      <c r="G4659" s="538">
        <v>11</v>
      </c>
    </row>
    <row r="4660" spans="1:7" x14ac:dyDescent="0.2">
      <c r="A4660" s="538">
        <v>12</v>
      </c>
      <c r="B4660" s="538" t="s">
        <v>6616</v>
      </c>
      <c r="C4660" s="538" t="s">
        <v>393</v>
      </c>
      <c r="D4660" s="538" t="s">
        <v>393</v>
      </c>
      <c r="E4660" s="538" t="s">
        <v>402</v>
      </c>
      <c r="F4660" s="538">
        <v>12362524</v>
      </c>
      <c r="G4660" s="538">
        <v>313</v>
      </c>
    </row>
    <row r="4661" spans="1:7" x14ac:dyDescent="0.2">
      <c r="A4661" s="538">
        <v>5</v>
      </c>
      <c r="B4661" s="538" t="s">
        <v>6568</v>
      </c>
      <c r="C4661" s="538" t="s">
        <v>740</v>
      </c>
      <c r="D4661" s="538" t="s">
        <v>740</v>
      </c>
      <c r="E4661" s="538" t="s">
        <v>390</v>
      </c>
      <c r="F4661" s="538">
        <v>22656</v>
      </c>
      <c r="G4661" s="538">
        <v>2</v>
      </c>
    </row>
    <row r="4662" spans="1:7" x14ac:dyDescent="0.2">
      <c r="A4662" s="538">
        <v>3</v>
      </c>
      <c r="B4662" s="538" t="s">
        <v>6578</v>
      </c>
      <c r="C4662" s="538" t="s">
        <v>740</v>
      </c>
      <c r="D4662" s="538" t="s">
        <v>393</v>
      </c>
      <c r="E4662" s="538" t="s">
        <v>860</v>
      </c>
      <c r="F4662" s="538">
        <v>350991</v>
      </c>
      <c r="G4662" s="538">
        <v>22</v>
      </c>
    </row>
    <row r="4663" spans="1:7" x14ac:dyDescent="0.2">
      <c r="A4663" s="538">
        <v>4</v>
      </c>
      <c r="B4663" s="538" t="s">
        <v>6593</v>
      </c>
      <c r="C4663" s="538" t="s">
        <v>740</v>
      </c>
      <c r="D4663" s="538" t="s">
        <v>393</v>
      </c>
      <c r="E4663" s="538" t="s">
        <v>402</v>
      </c>
      <c r="F4663" s="538">
        <v>142131</v>
      </c>
      <c r="G4663" s="538">
        <v>7</v>
      </c>
    </row>
    <row r="4664" spans="1:7" x14ac:dyDescent="0.2">
      <c r="A4664" s="538">
        <v>4</v>
      </c>
      <c r="B4664" s="538" t="s">
        <v>6559</v>
      </c>
      <c r="C4664" s="538" t="s">
        <v>740</v>
      </c>
      <c r="D4664" s="538" t="s">
        <v>393</v>
      </c>
      <c r="E4664" s="538" t="s">
        <v>207</v>
      </c>
      <c r="F4664" s="538">
        <v>736143</v>
      </c>
      <c r="G4664" s="538">
        <v>56</v>
      </c>
    </row>
    <row r="4665" spans="1:7" x14ac:dyDescent="0.2">
      <c r="A4665" s="538">
        <v>8</v>
      </c>
      <c r="B4665" s="538" t="s">
        <v>6648</v>
      </c>
      <c r="C4665" s="538" t="s">
        <v>393</v>
      </c>
      <c r="D4665" s="538" t="s">
        <v>393</v>
      </c>
      <c r="E4665" s="538" t="s">
        <v>207</v>
      </c>
      <c r="F4665" s="538">
        <v>10662855</v>
      </c>
      <c r="G4665" s="538">
        <v>705</v>
      </c>
    </row>
    <row r="4666" spans="1:7" x14ac:dyDescent="0.2">
      <c r="A4666" s="538">
        <v>6</v>
      </c>
      <c r="B4666" s="538" t="s">
        <v>6607</v>
      </c>
      <c r="C4666" s="538" t="s">
        <v>393</v>
      </c>
      <c r="D4666" s="538" t="s">
        <v>393</v>
      </c>
      <c r="E4666" s="538" t="s">
        <v>402</v>
      </c>
      <c r="F4666" s="538">
        <v>7732360</v>
      </c>
      <c r="G4666" s="538">
        <v>140</v>
      </c>
    </row>
    <row r="4667" spans="1:7" x14ac:dyDescent="0.2">
      <c r="A4667" s="538">
        <v>3</v>
      </c>
      <c r="B4667" s="538" t="s">
        <v>6586</v>
      </c>
      <c r="C4667" s="538" t="s">
        <v>740</v>
      </c>
      <c r="D4667" s="538" t="s">
        <v>393</v>
      </c>
      <c r="E4667" s="538" t="s">
        <v>202</v>
      </c>
      <c r="F4667" s="538">
        <v>2331413</v>
      </c>
      <c r="G4667" s="538">
        <v>11</v>
      </c>
    </row>
    <row r="4668" spans="1:7" x14ac:dyDescent="0.2">
      <c r="A4668" s="538">
        <v>5</v>
      </c>
      <c r="B4668" s="538" t="s">
        <v>6568</v>
      </c>
      <c r="C4668" s="538" t="s">
        <v>740</v>
      </c>
      <c r="D4668" s="538" t="s">
        <v>393</v>
      </c>
      <c r="E4668" s="538" t="s">
        <v>313</v>
      </c>
      <c r="F4668" s="538">
        <v>1363681</v>
      </c>
      <c r="G4668" s="538">
        <v>7</v>
      </c>
    </row>
    <row r="4669" spans="1:7" x14ac:dyDescent="0.2">
      <c r="A4669" s="538">
        <v>8</v>
      </c>
      <c r="B4669" s="538" t="s">
        <v>6658</v>
      </c>
      <c r="C4669" s="538" t="s">
        <v>740</v>
      </c>
      <c r="D4669" s="538" t="s">
        <v>393</v>
      </c>
      <c r="E4669" s="538" t="s">
        <v>390</v>
      </c>
      <c r="F4669" s="538">
        <v>101952</v>
      </c>
      <c r="G4669" s="538">
        <v>9</v>
      </c>
    </row>
    <row r="4670" spans="1:7" x14ac:dyDescent="0.2">
      <c r="A4670" s="538">
        <v>6</v>
      </c>
      <c r="B4670" s="538" t="s">
        <v>6617</v>
      </c>
      <c r="C4670" s="538" t="s">
        <v>740</v>
      </c>
      <c r="D4670" s="538" t="s">
        <v>393</v>
      </c>
      <c r="E4670" s="538" t="s">
        <v>207</v>
      </c>
      <c r="F4670" s="538">
        <v>11328</v>
      </c>
      <c r="G4670" s="538">
        <v>1</v>
      </c>
    </row>
    <row r="4671" spans="1:7" x14ac:dyDescent="0.2">
      <c r="A4671" s="538">
        <v>3</v>
      </c>
      <c r="B4671" s="538" t="s">
        <v>6591</v>
      </c>
      <c r="C4671" s="538" t="s">
        <v>740</v>
      </c>
      <c r="D4671" s="538" t="s">
        <v>393</v>
      </c>
      <c r="E4671" s="538" t="s">
        <v>211</v>
      </c>
      <c r="F4671" s="538">
        <v>1116287</v>
      </c>
      <c r="G4671" s="538">
        <v>19</v>
      </c>
    </row>
    <row r="4672" spans="1:7" x14ac:dyDescent="0.2">
      <c r="A4672" s="538">
        <v>7</v>
      </c>
      <c r="B4672" s="538" t="s">
        <v>6564</v>
      </c>
      <c r="C4672" s="538" t="s">
        <v>740</v>
      </c>
      <c r="D4672" s="538" t="s">
        <v>740</v>
      </c>
      <c r="E4672" s="538" t="s">
        <v>438</v>
      </c>
      <c r="F4672" s="538">
        <v>711488</v>
      </c>
      <c r="G4672" s="538">
        <v>11</v>
      </c>
    </row>
    <row r="4673" spans="1:7" x14ac:dyDescent="0.2">
      <c r="A4673" s="538">
        <v>3</v>
      </c>
      <c r="B4673" s="538" t="s">
        <v>6605</v>
      </c>
      <c r="C4673" s="538" t="s">
        <v>740</v>
      </c>
      <c r="D4673" s="538" t="s">
        <v>393</v>
      </c>
      <c r="E4673" s="538" t="s">
        <v>402</v>
      </c>
      <c r="F4673" s="538">
        <v>3973067</v>
      </c>
      <c r="G4673" s="538">
        <v>184</v>
      </c>
    </row>
    <row r="4674" spans="1:7" x14ac:dyDescent="0.2">
      <c r="A4674" s="538">
        <v>11</v>
      </c>
      <c r="B4674" s="538" t="s">
        <v>6584</v>
      </c>
      <c r="C4674" s="538" t="s">
        <v>740</v>
      </c>
      <c r="D4674" s="538" t="s">
        <v>393</v>
      </c>
      <c r="E4674" s="538" t="s">
        <v>212</v>
      </c>
      <c r="F4674" s="538">
        <v>90624</v>
      </c>
      <c r="G4674" s="538">
        <v>8</v>
      </c>
    </row>
    <row r="4675" spans="1:7" x14ac:dyDescent="0.2">
      <c r="A4675" s="538">
        <v>7</v>
      </c>
      <c r="B4675" s="538" t="s">
        <v>6571</v>
      </c>
      <c r="C4675" s="538" t="s">
        <v>740</v>
      </c>
      <c r="D4675" s="538" t="s">
        <v>393</v>
      </c>
      <c r="E4675" s="538" t="s">
        <v>211</v>
      </c>
      <c r="F4675" s="538">
        <v>14454383</v>
      </c>
      <c r="G4675" s="538">
        <v>306</v>
      </c>
    </row>
    <row r="4676" spans="1:7" x14ac:dyDescent="0.2">
      <c r="A4676" s="538">
        <v>12</v>
      </c>
      <c r="B4676" s="538" t="s">
        <v>6563</v>
      </c>
      <c r="C4676" s="538" t="s">
        <v>740</v>
      </c>
      <c r="D4676" s="538" t="s">
        <v>740</v>
      </c>
      <c r="E4676" s="538" t="s">
        <v>409</v>
      </c>
      <c r="F4676" s="538">
        <v>85491</v>
      </c>
      <c r="G4676" s="538">
        <v>2</v>
      </c>
    </row>
    <row r="4677" spans="1:7" x14ac:dyDescent="0.2">
      <c r="A4677" s="538">
        <v>8</v>
      </c>
      <c r="B4677" s="538" t="s">
        <v>6648</v>
      </c>
      <c r="C4677" s="538" t="s">
        <v>740</v>
      </c>
      <c r="D4677" s="538" t="s">
        <v>740</v>
      </c>
      <c r="E4677" s="538" t="s">
        <v>402</v>
      </c>
      <c r="F4677" s="538">
        <v>174876</v>
      </c>
      <c r="G4677" s="538">
        <v>12</v>
      </c>
    </row>
    <row r="4678" spans="1:7" x14ac:dyDescent="0.2">
      <c r="A4678" s="538">
        <v>1</v>
      </c>
      <c r="B4678" s="538" t="s">
        <v>6595</v>
      </c>
      <c r="C4678" s="538" t="s">
        <v>740</v>
      </c>
      <c r="D4678" s="538" t="s">
        <v>393</v>
      </c>
      <c r="E4678" s="538" t="s">
        <v>210</v>
      </c>
      <c r="F4678" s="538">
        <v>1151864</v>
      </c>
      <c r="G4678" s="538">
        <v>43</v>
      </c>
    </row>
    <row r="4679" spans="1:7" x14ac:dyDescent="0.2">
      <c r="A4679" s="538">
        <v>8</v>
      </c>
      <c r="B4679" s="538" t="s">
        <v>6577</v>
      </c>
      <c r="C4679" s="538" t="s">
        <v>393</v>
      </c>
      <c r="D4679" s="538" t="s">
        <v>740</v>
      </c>
      <c r="E4679" s="538" t="s">
        <v>449</v>
      </c>
      <c r="F4679" s="538">
        <v>11328</v>
      </c>
      <c r="G4679" s="538">
        <v>1</v>
      </c>
    </row>
    <row r="4680" spans="1:7" x14ac:dyDescent="0.2">
      <c r="A4680" s="538">
        <v>5</v>
      </c>
      <c r="B4680" s="538" t="s">
        <v>6598</v>
      </c>
      <c r="C4680" s="538" t="s">
        <v>740</v>
      </c>
      <c r="D4680" s="538" t="s">
        <v>740</v>
      </c>
      <c r="E4680" s="538" t="s">
        <v>209</v>
      </c>
      <c r="F4680" s="538">
        <v>992866</v>
      </c>
      <c r="G4680" s="538">
        <v>2</v>
      </c>
    </row>
    <row r="4681" spans="1:7" x14ac:dyDescent="0.2">
      <c r="A4681" s="538">
        <v>6</v>
      </c>
      <c r="B4681" s="538" t="s">
        <v>6429</v>
      </c>
      <c r="C4681" s="538" t="s">
        <v>393</v>
      </c>
      <c r="D4681" s="538" t="s">
        <v>740</v>
      </c>
      <c r="E4681" s="538" t="s">
        <v>202</v>
      </c>
      <c r="F4681" s="538">
        <v>360726</v>
      </c>
      <c r="G4681" s="538">
        <v>7</v>
      </c>
    </row>
    <row r="4682" spans="1:7" x14ac:dyDescent="0.2">
      <c r="A4682" s="538">
        <v>10</v>
      </c>
      <c r="B4682" s="538" t="s">
        <v>6587</v>
      </c>
      <c r="C4682" s="538" t="s">
        <v>740</v>
      </c>
      <c r="D4682" s="538" t="s">
        <v>393</v>
      </c>
      <c r="E4682" s="538" t="s">
        <v>230</v>
      </c>
      <c r="F4682" s="538">
        <v>5890779</v>
      </c>
      <c r="G4682" s="538">
        <v>113</v>
      </c>
    </row>
    <row r="4683" spans="1:7" x14ac:dyDescent="0.2">
      <c r="A4683" s="538">
        <v>2</v>
      </c>
      <c r="B4683" s="538" t="s">
        <v>6654</v>
      </c>
      <c r="C4683" s="538" t="s">
        <v>393</v>
      </c>
      <c r="D4683" s="538" t="s">
        <v>740</v>
      </c>
      <c r="E4683" s="538" t="s">
        <v>416</v>
      </c>
      <c r="F4683" s="538">
        <v>2130976</v>
      </c>
      <c r="G4683" s="538">
        <v>52</v>
      </c>
    </row>
    <row r="4684" spans="1:7" x14ac:dyDescent="0.2">
      <c r="A4684" s="538">
        <v>11</v>
      </c>
      <c r="B4684" s="538" t="s">
        <v>6584</v>
      </c>
      <c r="C4684" s="538" t="s">
        <v>393</v>
      </c>
      <c r="D4684" s="538" t="s">
        <v>393</v>
      </c>
      <c r="E4684" s="538" t="s">
        <v>211</v>
      </c>
      <c r="F4684" s="538">
        <v>18820921</v>
      </c>
      <c r="G4684" s="538">
        <v>337</v>
      </c>
    </row>
    <row r="4685" spans="1:7" x14ac:dyDescent="0.2">
      <c r="A4685" s="538">
        <v>10</v>
      </c>
      <c r="B4685" s="538" t="s">
        <v>6587</v>
      </c>
      <c r="C4685" s="538" t="s">
        <v>740</v>
      </c>
      <c r="D4685" s="538" t="s">
        <v>393</v>
      </c>
      <c r="E4685" s="538" t="s">
        <v>416</v>
      </c>
      <c r="F4685" s="538">
        <v>1214522</v>
      </c>
      <c r="G4685" s="538">
        <v>34</v>
      </c>
    </row>
    <row r="4686" spans="1:7" x14ac:dyDescent="0.2">
      <c r="A4686" s="538">
        <v>3</v>
      </c>
      <c r="B4686" s="538" t="s">
        <v>6578</v>
      </c>
      <c r="C4686" s="538" t="s">
        <v>393</v>
      </c>
      <c r="D4686" s="538" t="s">
        <v>393</v>
      </c>
      <c r="E4686" s="538" t="s">
        <v>210</v>
      </c>
      <c r="F4686" s="538">
        <v>2243850</v>
      </c>
      <c r="G4686" s="538">
        <v>35</v>
      </c>
    </row>
    <row r="4687" spans="1:7" x14ac:dyDescent="0.2">
      <c r="A4687" s="538">
        <v>6</v>
      </c>
      <c r="B4687" s="538" t="s">
        <v>6617</v>
      </c>
      <c r="C4687" s="538" t="s">
        <v>740</v>
      </c>
      <c r="D4687" s="538" t="s">
        <v>393</v>
      </c>
      <c r="E4687" s="538" t="s">
        <v>390</v>
      </c>
      <c r="F4687" s="538">
        <v>22656</v>
      </c>
      <c r="G4687" s="538">
        <v>2</v>
      </c>
    </row>
    <row r="4688" spans="1:7" x14ac:dyDescent="0.2">
      <c r="A4688" s="538">
        <v>2</v>
      </c>
      <c r="B4688" s="538" t="s">
        <v>6654</v>
      </c>
      <c r="C4688" s="538" t="s">
        <v>393</v>
      </c>
      <c r="D4688" s="538" t="s">
        <v>740</v>
      </c>
      <c r="E4688" s="538" t="s">
        <v>207</v>
      </c>
      <c r="F4688" s="538">
        <v>1478304</v>
      </c>
      <c r="G4688" s="538">
        <v>98</v>
      </c>
    </row>
    <row r="4689" spans="1:7" x14ac:dyDescent="0.2">
      <c r="A4689" s="538">
        <v>8</v>
      </c>
      <c r="B4689" s="538" t="s">
        <v>6570</v>
      </c>
      <c r="C4689" s="538" t="s">
        <v>740</v>
      </c>
      <c r="D4689" s="538" t="s">
        <v>740</v>
      </c>
      <c r="E4689" s="538" t="s">
        <v>209</v>
      </c>
      <c r="F4689" s="538">
        <v>1563462</v>
      </c>
      <c r="G4689" s="538">
        <v>4</v>
      </c>
    </row>
    <row r="4690" spans="1:7" x14ac:dyDescent="0.2">
      <c r="A4690" s="538">
        <v>4</v>
      </c>
      <c r="B4690" s="538" t="s">
        <v>6559</v>
      </c>
      <c r="C4690" s="538" t="s">
        <v>393</v>
      </c>
      <c r="D4690" s="538" t="s">
        <v>393</v>
      </c>
      <c r="E4690" s="538" t="s">
        <v>390</v>
      </c>
      <c r="F4690" s="538">
        <v>2870659</v>
      </c>
      <c r="G4690" s="538">
        <v>103</v>
      </c>
    </row>
    <row r="4691" spans="1:7" x14ac:dyDescent="0.2">
      <c r="A4691" s="538">
        <v>3</v>
      </c>
      <c r="B4691" s="538" t="s">
        <v>6561</v>
      </c>
      <c r="C4691" s="538" t="s">
        <v>740</v>
      </c>
      <c r="D4691" s="538" t="s">
        <v>740</v>
      </c>
      <c r="E4691" s="538" t="s">
        <v>438</v>
      </c>
      <c r="F4691" s="538">
        <v>717683</v>
      </c>
      <c r="G4691" s="538">
        <v>6</v>
      </c>
    </row>
    <row r="4692" spans="1:7" x14ac:dyDescent="0.2">
      <c r="A4692" s="538">
        <v>10</v>
      </c>
      <c r="B4692" s="538" t="s">
        <v>6601</v>
      </c>
      <c r="C4692" s="538" t="s">
        <v>393</v>
      </c>
      <c r="D4692" s="538" t="s">
        <v>393</v>
      </c>
      <c r="E4692" s="538" t="s">
        <v>212</v>
      </c>
      <c r="F4692" s="538">
        <v>509583</v>
      </c>
      <c r="G4692" s="538">
        <v>36</v>
      </c>
    </row>
    <row r="4693" spans="1:7" x14ac:dyDescent="0.2">
      <c r="A4693" s="538">
        <v>12</v>
      </c>
      <c r="B4693" s="538" t="s">
        <v>6616</v>
      </c>
      <c r="C4693" s="538" t="s">
        <v>740</v>
      </c>
      <c r="D4693" s="538" t="s">
        <v>393</v>
      </c>
      <c r="E4693" s="538" t="s">
        <v>449</v>
      </c>
      <c r="F4693" s="538">
        <v>90624</v>
      </c>
      <c r="G4693" s="538">
        <v>8</v>
      </c>
    </row>
    <row r="4694" spans="1:7" x14ac:dyDescent="0.2">
      <c r="A4694" s="538">
        <v>11</v>
      </c>
      <c r="B4694" s="538" t="s">
        <v>6592</v>
      </c>
      <c r="C4694" s="538" t="s">
        <v>740</v>
      </c>
      <c r="D4694" s="538" t="s">
        <v>393</v>
      </c>
      <c r="E4694" s="538" t="s">
        <v>390</v>
      </c>
      <c r="F4694" s="538">
        <v>56640</v>
      </c>
      <c r="G4694" s="538">
        <v>5</v>
      </c>
    </row>
    <row r="4695" spans="1:7" x14ac:dyDescent="0.2">
      <c r="A4695" s="538">
        <v>7</v>
      </c>
      <c r="B4695" s="538" t="s">
        <v>6564</v>
      </c>
      <c r="C4695" s="538" t="s">
        <v>740</v>
      </c>
      <c r="D4695" s="538" t="s">
        <v>393</v>
      </c>
      <c r="E4695" s="538" t="s">
        <v>416</v>
      </c>
      <c r="F4695" s="538">
        <v>290457</v>
      </c>
      <c r="G4695" s="538">
        <v>9</v>
      </c>
    </row>
    <row r="4696" spans="1:7" x14ac:dyDescent="0.2">
      <c r="A4696" s="538">
        <v>11</v>
      </c>
      <c r="B4696" s="538" t="s">
        <v>6584</v>
      </c>
      <c r="C4696" s="538" t="s">
        <v>740</v>
      </c>
      <c r="D4696" s="538" t="s">
        <v>740</v>
      </c>
      <c r="E4696" s="538" t="s">
        <v>202</v>
      </c>
      <c r="F4696" s="538">
        <v>22656</v>
      </c>
      <c r="G4696" s="538">
        <v>2</v>
      </c>
    </row>
    <row r="4697" spans="1:7" x14ac:dyDescent="0.2">
      <c r="A4697" s="538">
        <v>1</v>
      </c>
      <c r="B4697" s="538" t="s">
        <v>6663</v>
      </c>
      <c r="C4697" s="538" t="s">
        <v>740</v>
      </c>
      <c r="D4697" s="538" t="s">
        <v>393</v>
      </c>
      <c r="E4697" s="538" t="s">
        <v>212</v>
      </c>
      <c r="F4697" s="538">
        <v>11328</v>
      </c>
      <c r="G4697" s="538">
        <v>1</v>
      </c>
    </row>
    <row r="4698" spans="1:7" x14ac:dyDescent="0.2">
      <c r="A4698" s="538">
        <v>10</v>
      </c>
      <c r="B4698" s="538" t="s">
        <v>6582</v>
      </c>
      <c r="C4698" s="538" t="s">
        <v>393</v>
      </c>
      <c r="D4698" s="538" t="s">
        <v>740</v>
      </c>
      <c r="E4698" s="538" t="s">
        <v>438</v>
      </c>
      <c r="F4698" s="538">
        <v>992866</v>
      </c>
      <c r="G4698" s="538">
        <v>2</v>
      </c>
    </row>
    <row r="4699" spans="1:7" x14ac:dyDescent="0.2">
      <c r="A4699" s="538">
        <v>9</v>
      </c>
      <c r="B4699" s="538" t="s">
        <v>6615</v>
      </c>
      <c r="C4699" s="538" t="s">
        <v>393</v>
      </c>
      <c r="D4699" s="538" t="s">
        <v>393</v>
      </c>
      <c r="E4699" s="538" t="s">
        <v>202</v>
      </c>
      <c r="F4699" s="538">
        <v>11994635</v>
      </c>
      <c r="G4699" s="538">
        <v>100</v>
      </c>
    </row>
    <row r="4700" spans="1:7" x14ac:dyDescent="0.2">
      <c r="A4700" s="538">
        <v>4</v>
      </c>
      <c r="B4700" s="538" t="s">
        <v>6572</v>
      </c>
      <c r="C4700" s="538" t="s">
        <v>740</v>
      </c>
      <c r="D4700" s="538" t="s">
        <v>740</v>
      </c>
      <c r="E4700" s="538" t="s">
        <v>211</v>
      </c>
      <c r="F4700" s="538">
        <v>1429223</v>
      </c>
      <c r="G4700" s="538">
        <v>26</v>
      </c>
    </row>
    <row r="4701" spans="1:7" x14ac:dyDescent="0.2">
      <c r="A4701" s="538">
        <v>10</v>
      </c>
      <c r="B4701" s="538" t="s">
        <v>6582</v>
      </c>
      <c r="C4701" s="538" t="s">
        <v>740</v>
      </c>
      <c r="D4701" s="538" t="s">
        <v>740</v>
      </c>
      <c r="E4701" s="538" t="s">
        <v>860</v>
      </c>
      <c r="F4701" s="538">
        <v>11328</v>
      </c>
      <c r="G4701" s="538">
        <v>1</v>
      </c>
    </row>
    <row r="4702" spans="1:7" x14ac:dyDescent="0.2">
      <c r="A4702" s="538">
        <v>6</v>
      </c>
      <c r="B4702" s="538" t="s">
        <v>6565</v>
      </c>
      <c r="C4702" s="538" t="s">
        <v>740</v>
      </c>
      <c r="D4702" s="538" t="s">
        <v>740</v>
      </c>
      <c r="E4702" s="538" t="s">
        <v>449</v>
      </c>
      <c r="F4702" s="538">
        <v>101952</v>
      </c>
      <c r="G4702" s="538">
        <v>9</v>
      </c>
    </row>
    <row r="4703" spans="1:7" x14ac:dyDescent="0.2">
      <c r="A4703" s="538">
        <v>5</v>
      </c>
      <c r="B4703" s="538" t="s">
        <v>6599</v>
      </c>
      <c r="C4703" s="538" t="s">
        <v>740</v>
      </c>
      <c r="D4703" s="538" t="s">
        <v>740</v>
      </c>
      <c r="E4703" s="538" t="s">
        <v>207</v>
      </c>
      <c r="F4703" s="538">
        <v>464094</v>
      </c>
      <c r="G4703" s="538">
        <v>23</v>
      </c>
    </row>
    <row r="4704" spans="1:7" x14ac:dyDescent="0.2">
      <c r="A4704" s="538">
        <v>7</v>
      </c>
      <c r="B4704" s="538" t="s">
        <v>6655</v>
      </c>
      <c r="C4704" s="538" t="s">
        <v>393</v>
      </c>
      <c r="D4704" s="538" t="s">
        <v>393</v>
      </c>
      <c r="E4704" s="538" t="s">
        <v>860</v>
      </c>
      <c r="F4704" s="538">
        <v>613659</v>
      </c>
      <c r="G4704" s="538">
        <v>23</v>
      </c>
    </row>
    <row r="4705" spans="1:7" x14ac:dyDescent="0.2">
      <c r="A4705" s="538">
        <v>12</v>
      </c>
      <c r="B4705" s="538" t="s">
        <v>6616</v>
      </c>
      <c r="C4705" s="538" t="s">
        <v>740</v>
      </c>
      <c r="D4705" s="538" t="s">
        <v>393</v>
      </c>
      <c r="E4705" s="538" t="s">
        <v>209</v>
      </c>
      <c r="F4705" s="538">
        <v>1648953</v>
      </c>
      <c r="G4705" s="538">
        <v>6</v>
      </c>
    </row>
    <row r="4706" spans="1:7" x14ac:dyDescent="0.2">
      <c r="A4706" s="538">
        <v>3</v>
      </c>
      <c r="B4706" s="538" t="s">
        <v>6591</v>
      </c>
      <c r="C4706" s="538" t="s">
        <v>740</v>
      </c>
      <c r="D4706" s="538" t="s">
        <v>740</v>
      </c>
      <c r="E4706" s="538" t="s">
        <v>212</v>
      </c>
      <c r="F4706" s="538">
        <v>22656</v>
      </c>
      <c r="G4706" s="538">
        <v>2</v>
      </c>
    </row>
    <row r="4707" spans="1:7" x14ac:dyDescent="0.2">
      <c r="A4707" s="538">
        <v>3</v>
      </c>
      <c r="B4707" s="538" t="s">
        <v>6591</v>
      </c>
      <c r="C4707" s="538" t="s">
        <v>393</v>
      </c>
      <c r="D4707" s="538" t="s">
        <v>740</v>
      </c>
      <c r="E4707" s="538" t="s">
        <v>401</v>
      </c>
      <c r="F4707" s="538">
        <v>454182</v>
      </c>
      <c r="G4707" s="538">
        <v>29</v>
      </c>
    </row>
    <row r="4708" spans="1:7" x14ac:dyDescent="0.2">
      <c r="A4708" s="538">
        <v>9</v>
      </c>
      <c r="B4708" s="538" t="s">
        <v>6606</v>
      </c>
      <c r="C4708" s="538" t="s">
        <v>393</v>
      </c>
      <c r="D4708" s="538" t="s">
        <v>740</v>
      </c>
      <c r="E4708" s="538" t="s">
        <v>449</v>
      </c>
      <c r="F4708" s="538">
        <v>22656</v>
      </c>
      <c r="G4708" s="538">
        <v>2</v>
      </c>
    </row>
    <row r="4709" spans="1:7" x14ac:dyDescent="0.2">
      <c r="A4709" s="538">
        <v>4</v>
      </c>
      <c r="B4709" s="538" t="s">
        <v>6590</v>
      </c>
      <c r="C4709" s="538" t="s">
        <v>740</v>
      </c>
      <c r="D4709" s="538" t="s">
        <v>393</v>
      </c>
      <c r="E4709" s="538" t="s">
        <v>401</v>
      </c>
      <c r="F4709" s="538">
        <v>876275</v>
      </c>
      <c r="G4709" s="538">
        <v>20</v>
      </c>
    </row>
    <row r="4710" spans="1:7" x14ac:dyDescent="0.2">
      <c r="A4710" s="538">
        <v>12</v>
      </c>
      <c r="B4710" s="538" t="s">
        <v>6616</v>
      </c>
      <c r="C4710" s="538" t="s">
        <v>393</v>
      </c>
      <c r="D4710" s="538" t="s">
        <v>740</v>
      </c>
      <c r="E4710" s="538" t="s">
        <v>402</v>
      </c>
      <c r="F4710" s="538">
        <v>513123</v>
      </c>
      <c r="G4710" s="538">
        <v>26</v>
      </c>
    </row>
    <row r="4711" spans="1:7" x14ac:dyDescent="0.2">
      <c r="A4711" s="538">
        <v>3</v>
      </c>
      <c r="B4711" s="538" t="s">
        <v>6603</v>
      </c>
      <c r="C4711" s="538" t="s">
        <v>740</v>
      </c>
      <c r="D4711" s="538" t="s">
        <v>393</v>
      </c>
      <c r="E4711" s="538" t="s">
        <v>449</v>
      </c>
      <c r="F4711" s="538">
        <v>11328</v>
      </c>
      <c r="G4711" s="538">
        <v>1</v>
      </c>
    </row>
    <row r="4712" spans="1:7" x14ac:dyDescent="0.2">
      <c r="A4712" s="538">
        <v>3</v>
      </c>
      <c r="B4712" s="538" t="s">
        <v>6578</v>
      </c>
      <c r="C4712" s="538" t="s">
        <v>740</v>
      </c>
      <c r="D4712" s="538" t="s">
        <v>393</v>
      </c>
      <c r="E4712" s="538" t="s">
        <v>390</v>
      </c>
      <c r="F4712" s="538">
        <v>2756952</v>
      </c>
      <c r="G4712" s="538">
        <v>144</v>
      </c>
    </row>
    <row r="4713" spans="1:7" x14ac:dyDescent="0.2">
      <c r="A4713" s="538">
        <v>2</v>
      </c>
      <c r="B4713" s="538" t="s">
        <v>6055</v>
      </c>
      <c r="C4713" s="538" t="s">
        <v>740</v>
      </c>
      <c r="D4713" s="538" t="s">
        <v>393</v>
      </c>
      <c r="E4713" s="538" t="s">
        <v>212</v>
      </c>
      <c r="F4713" s="538">
        <v>1204964</v>
      </c>
      <c r="G4713" s="538">
        <v>58</v>
      </c>
    </row>
    <row r="4714" spans="1:7" x14ac:dyDescent="0.2">
      <c r="A4714" s="538">
        <v>1</v>
      </c>
      <c r="B4714" s="538" t="s">
        <v>6649</v>
      </c>
      <c r="C4714" s="538" t="s">
        <v>393</v>
      </c>
      <c r="D4714" s="538" t="s">
        <v>393</v>
      </c>
      <c r="E4714" s="538" t="s">
        <v>860</v>
      </c>
      <c r="F4714" s="538">
        <v>803351</v>
      </c>
      <c r="G4714" s="538">
        <v>17</v>
      </c>
    </row>
    <row r="4715" spans="1:7" x14ac:dyDescent="0.2">
      <c r="A4715" s="538">
        <v>5</v>
      </c>
      <c r="B4715" s="538" t="s">
        <v>6651</v>
      </c>
      <c r="C4715" s="538" t="s">
        <v>740</v>
      </c>
      <c r="D4715" s="538" t="s">
        <v>393</v>
      </c>
      <c r="E4715" s="538" t="s">
        <v>416</v>
      </c>
      <c r="F4715" s="538">
        <v>9238526</v>
      </c>
      <c r="G4715" s="538">
        <v>177</v>
      </c>
    </row>
    <row r="4716" spans="1:7" x14ac:dyDescent="0.2">
      <c r="A4716" s="538">
        <v>7</v>
      </c>
      <c r="B4716" s="538" t="s">
        <v>6588</v>
      </c>
      <c r="C4716" s="538" t="s">
        <v>740</v>
      </c>
      <c r="D4716" s="538" t="s">
        <v>393</v>
      </c>
      <c r="E4716" s="538" t="s">
        <v>860</v>
      </c>
      <c r="F4716" s="538">
        <v>621041</v>
      </c>
      <c r="G4716" s="538">
        <v>12</v>
      </c>
    </row>
    <row r="4717" spans="1:7" x14ac:dyDescent="0.2">
      <c r="A4717" s="538">
        <v>2</v>
      </c>
      <c r="B4717" s="538" t="s">
        <v>6576</v>
      </c>
      <c r="C4717" s="538" t="s">
        <v>740</v>
      </c>
      <c r="D4717" s="538" t="s">
        <v>393</v>
      </c>
      <c r="E4717" s="538" t="s">
        <v>207</v>
      </c>
      <c r="F4717" s="538">
        <v>2971195</v>
      </c>
      <c r="G4717" s="538">
        <v>160</v>
      </c>
    </row>
    <row r="4718" spans="1:7" x14ac:dyDescent="0.2">
      <c r="A4718" s="538">
        <v>2</v>
      </c>
      <c r="B4718" s="538" t="s">
        <v>6576</v>
      </c>
      <c r="C4718" s="538" t="s">
        <v>393</v>
      </c>
      <c r="D4718" s="538" t="s">
        <v>740</v>
      </c>
      <c r="E4718" s="538" t="s">
        <v>313</v>
      </c>
      <c r="F4718" s="538">
        <v>11328</v>
      </c>
      <c r="G4718" s="538">
        <v>1</v>
      </c>
    </row>
    <row r="4719" spans="1:7" x14ac:dyDescent="0.2">
      <c r="A4719" s="538">
        <v>7</v>
      </c>
      <c r="B4719" s="538" t="s">
        <v>6564</v>
      </c>
      <c r="C4719" s="538" t="s">
        <v>740</v>
      </c>
      <c r="D4719" s="538" t="s">
        <v>740</v>
      </c>
      <c r="E4719" s="538" t="s">
        <v>230</v>
      </c>
      <c r="F4719" s="538">
        <v>706355</v>
      </c>
      <c r="G4719" s="538">
        <v>5</v>
      </c>
    </row>
    <row r="4720" spans="1:7" x14ac:dyDescent="0.2">
      <c r="A4720" s="538">
        <v>12</v>
      </c>
      <c r="B4720" s="538" t="s">
        <v>6569</v>
      </c>
      <c r="C4720" s="538" t="s">
        <v>740</v>
      </c>
      <c r="D4720" s="538" t="s">
        <v>393</v>
      </c>
      <c r="E4720" s="538" t="s">
        <v>211</v>
      </c>
      <c r="F4720" s="538">
        <v>91217370</v>
      </c>
      <c r="G4720" s="538">
        <v>2350</v>
      </c>
    </row>
    <row r="4721" spans="1:7" x14ac:dyDescent="0.2">
      <c r="A4721" s="538">
        <v>3</v>
      </c>
      <c r="B4721" s="538" t="s">
        <v>6591</v>
      </c>
      <c r="C4721" s="538" t="s">
        <v>393</v>
      </c>
      <c r="D4721" s="538" t="s">
        <v>740</v>
      </c>
      <c r="E4721" s="538" t="s">
        <v>212</v>
      </c>
      <c r="F4721" s="538">
        <v>67968</v>
      </c>
      <c r="G4721" s="538">
        <v>6</v>
      </c>
    </row>
    <row r="4722" spans="1:7" x14ac:dyDescent="0.2">
      <c r="A4722" s="538">
        <v>3</v>
      </c>
      <c r="B4722" s="538" t="s">
        <v>6605</v>
      </c>
      <c r="C4722" s="538" t="s">
        <v>740</v>
      </c>
      <c r="D4722" s="538" t="s">
        <v>740</v>
      </c>
      <c r="E4722" s="538" t="s">
        <v>211</v>
      </c>
      <c r="F4722" s="538">
        <v>74163</v>
      </c>
      <c r="G4722" s="538">
        <v>1</v>
      </c>
    </row>
    <row r="4723" spans="1:7" x14ac:dyDescent="0.2">
      <c r="A4723" s="538">
        <v>3</v>
      </c>
      <c r="B4723" s="538" t="s">
        <v>6586</v>
      </c>
      <c r="C4723" s="538" t="s">
        <v>393</v>
      </c>
      <c r="D4723" s="538" t="s">
        <v>393</v>
      </c>
      <c r="E4723" s="538" t="s">
        <v>210</v>
      </c>
      <c r="F4723" s="538">
        <v>3245618</v>
      </c>
      <c r="G4723" s="538">
        <v>51</v>
      </c>
    </row>
    <row r="4724" spans="1:7" x14ac:dyDescent="0.2">
      <c r="A4724" s="538">
        <v>12</v>
      </c>
      <c r="B4724" s="538" t="s">
        <v>6569</v>
      </c>
      <c r="C4724" s="538" t="s">
        <v>393</v>
      </c>
      <c r="D4724" s="538" t="s">
        <v>740</v>
      </c>
      <c r="E4724" s="538" t="s">
        <v>230</v>
      </c>
      <c r="F4724" s="538">
        <v>11328</v>
      </c>
      <c r="G4724" s="538">
        <v>1</v>
      </c>
    </row>
    <row r="4725" spans="1:7" x14ac:dyDescent="0.2">
      <c r="A4725" s="538">
        <v>12</v>
      </c>
      <c r="B4725" s="538" t="s">
        <v>6563</v>
      </c>
      <c r="C4725" s="538" t="s">
        <v>740</v>
      </c>
      <c r="D4725" s="538" t="s">
        <v>393</v>
      </c>
      <c r="E4725" s="538" t="s">
        <v>402</v>
      </c>
      <c r="F4725" s="538">
        <v>430265803</v>
      </c>
      <c r="G4725" s="538">
        <v>17906</v>
      </c>
    </row>
    <row r="4726" spans="1:7" x14ac:dyDescent="0.2">
      <c r="A4726" s="538">
        <v>6</v>
      </c>
      <c r="B4726" s="538" t="s">
        <v>6565</v>
      </c>
      <c r="C4726" s="538" t="s">
        <v>393</v>
      </c>
      <c r="D4726" s="538" t="s">
        <v>393</v>
      </c>
      <c r="E4726" s="538" t="s">
        <v>438</v>
      </c>
      <c r="F4726" s="538">
        <v>7301334</v>
      </c>
      <c r="G4726" s="538">
        <v>58</v>
      </c>
    </row>
    <row r="4727" spans="1:7" x14ac:dyDescent="0.2">
      <c r="A4727" s="538">
        <v>6</v>
      </c>
      <c r="B4727" s="538" t="s">
        <v>6565</v>
      </c>
      <c r="C4727" s="538" t="s">
        <v>393</v>
      </c>
      <c r="D4727" s="538" t="s">
        <v>393</v>
      </c>
      <c r="E4727" s="538" t="s">
        <v>206</v>
      </c>
      <c r="F4727" s="538">
        <v>22656</v>
      </c>
      <c r="G4727" s="538">
        <v>2</v>
      </c>
    </row>
    <row r="4728" spans="1:7" x14ac:dyDescent="0.2">
      <c r="A4728" s="538">
        <v>6</v>
      </c>
      <c r="B4728" s="538" t="s">
        <v>6607</v>
      </c>
      <c r="C4728" s="538" t="s">
        <v>393</v>
      </c>
      <c r="D4728" s="538" t="s">
        <v>393</v>
      </c>
      <c r="E4728" s="538" t="s">
        <v>202</v>
      </c>
      <c r="F4728" s="538">
        <v>2676136</v>
      </c>
      <c r="G4728" s="538">
        <v>37</v>
      </c>
    </row>
    <row r="4729" spans="1:7" x14ac:dyDescent="0.2">
      <c r="A4729" s="538">
        <v>3</v>
      </c>
      <c r="B4729" s="538" t="s">
        <v>6647</v>
      </c>
      <c r="C4729" s="538" t="s">
        <v>393</v>
      </c>
      <c r="D4729" s="538" t="s">
        <v>393</v>
      </c>
      <c r="E4729" s="538" t="s">
        <v>209</v>
      </c>
      <c r="F4729" s="538">
        <v>992866</v>
      </c>
      <c r="G4729" s="538">
        <v>2</v>
      </c>
    </row>
    <row r="4730" spans="1:7" x14ac:dyDescent="0.2">
      <c r="A4730" s="538">
        <v>2</v>
      </c>
      <c r="B4730" s="538" t="s">
        <v>6576</v>
      </c>
      <c r="C4730" s="538" t="s">
        <v>740</v>
      </c>
      <c r="D4730" s="538" t="s">
        <v>393</v>
      </c>
      <c r="E4730" s="538" t="s">
        <v>202</v>
      </c>
      <c r="F4730" s="538">
        <v>1300846</v>
      </c>
      <c r="G4730" s="538">
        <v>7</v>
      </c>
    </row>
    <row r="4731" spans="1:7" x14ac:dyDescent="0.2">
      <c r="A4731" s="538">
        <v>8</v>
      </c>
      <c r="B4731" s="538" t="s">
        <v>6570</v>
      </c>
      <c r="C4731" s="538" t="s">
        <v>740</v>
      </c>
      <c r="D4731" s="538" t="s">
        <v>740</v>
      </c>
      <c r="E4731" s="538" t="s">
        <v>211</v>
      </c>
      <c r="F4731" s="538">
        <v>281607</v>
      </c>
      <c r="G4731" s="538">
        <v>9</v>
      </c>
    </row>
    <row r="4732" spans="1:7" x14ac:dyDescent="0.2">
      <c r="A4732" s="538">
        <v>11</v>
      </c>
      <c r="B4732" s="538" t="s">
        <v>6558</v>
      </c>
      <c r="C4732" s="538" t="s">
        <v>393</v>
      </c>
      <c r="D4732" s="538" t="s">
        <v>393</v>
      </c>
      <c r="E4732" s="538" t="s">
        <v>419</v>
      </c>
      <c r="F4732" s="538">
        <v>11328</v>
      </c>
      <c r="G4732" s="538">
        <v>1</v>
      </c>
    </row>
    <row r="4733" spans="1:7" x14ac:dyDescent="0.2">
      <c r="A4733" s="538">
        <v>5</v>
      </c>
      <c r="B4733" s="538" t="s">
        <v>6599</v>
      </c>
      <c r="C4733" s="538" t="s">
        <v>740</v>
      </c>
      <c r="D4733" s="538" t="s">
        <v>393</v>
      </c>
      <c r="E4733" s="538" t="s">
        <v>409</v>
      </c>
      <c r="F4733" s="538">
        <v>2844942</v>
      </c>
      <c r="G4733" s="538">
        <v>59</v>
      </c>
    </row>
    <row r="4734" spans="1:7" x14ac:dyDescent="0.2">
      <c r="A4734" s="538">
        <v>10</v>
      </c>
      <c r="B4734" s="538" t="s">
        <v>6597</v>
      </c>
      <c r="C4734" s="538" t="s">
        <v>393</v>
      </c>
      <c r="D4734" s="538" t="s">
        <v>740</v>
      </c>
      <c r="E4734" s="538" t="s">
        <v>438</v>
      </c>
      <c r="F4734" s="538">
        <v>11328</v>
      </c>
      <c r="G4734" s="538">
        <v>1</v>
      </c>
    </row>
    <row r="4735" spans="1:7" x14ac:dyDescent="0.2">
      <c r="A4735" s="538">
        <v>9</v>
      </c>
      <c r="B4735" s="538" t="s">
        <v>6615</v>
      </c>
      <c r="C4735" s="538" t="s">
        <v>393</v>
      </c>
      <c r="D4735" s="538" t="s">
        <v>393</v>
      </c>
      <c r="E4735" s="538" t="s">
        <v>419</v>
      </c>
      <c r="F4735" s="538">
        <v>33984</v>
      </c>
      <c r="G4735" s="538">
        <v>3</v>
      </c>
    </row>
    <row r="4736" spans="1:7" x14ac:dyDescent="0.2">
      <c r="A4736" s="538">
        <v>4</v>
      </c>
      <c r="B4736" s="538" t="s">
        <v>6572</v>
      </c>
      <c r="C4736" s="538" t="s">
        <v>740</v>
      </c>
      <c r="D4736" s="538" t="s">
        <v>393</v>
      </c>
      <c r="E4736" s="538" t="s">
        <v>860</v>
      </c>
      <c r="F4736" s="538">
        <v>17082489</v>
      </c>
      <c r="G4736" s="538">
        <v>763</v>
      </c>
    </row>
    <row r="4737" spans="1:7" x14ac:dyDescent="0.2">
      <c r="A4737" s="538">
        <v>1</v>
      </c>
      <c r="B4737" s="538" t="s">
        <v>6581</v>
      </c>
      <c r="C4737" s="538" t="s">
        <v>393</v>
      </c>
      <c r="D4737" s="538" t="s">
        <v>740</v>
      </c>
      <c r="E4737" s="538" t="s">
        <v>402</v>
      </c>
      <c r="F4737" s="538">
        <v>2609282</v>
      </c>
      <c r="G4737" s="538">
        <v>99</v>
      </c>
    </row>
    <row r="4738" spans="1:7" x14ac:dyDescent="0.2">
      <c r="A4738" s="538">
        <v>1</v>
      </c>
      <c r="B4738" s="538" t="s">
        <v>6609</v>
      </c>
      <c r="C4738" s="538" t="s">
        <v>740</v>
      </c>
      <c r="D4738" s="538" t="s">
        <v>740</v>
      </c>
      <c r="E4738" s="538" t="s">
        <v>211</v>
      </c>
      <c r="F4738" s="538">
        <v>100536</v>
      </c>
      <c r="G4738" s="538">
        <v>2</v>
      </c>
    </row>
    <row r="4739" spans="1:7" x14ac:dyDescent="0.2">
      <c r="A4739" s="538">
        <v>5</v>
      </c>
      <c r="B4739" s="538" t="s">
        <v>6589</v>
      </c>
      <c r="C4739" s="538" t="s">
        <v>740</v>
      </c>
      <c r="D4739" s="538" t="s">
        <v>393</v>
      </c>
      <c r="E4739" s="538" t="s">
        <v>207</v>
      </c>
      <c r="F4739" s="538">
        <v>2344844</v>
      </c>
      <c r="G4739" s="538">
        <v>133</v>
      </c>
    </row>
    <row r="4740" spans="1:7" x14ac:dyDescent="0.2">
      <c r="A4740" s="538">
        <v>7</v>
      </c>
      <c r="B4740" s="538" t="s">
        <v>6604</v>
      </c>
      <c r="C4740" s="538" t="s">
        <v>740</v>
      </c>
      <c r="D4740" s="538" t="s">
        <v>393</v>
      </c>
      <c r="E4740" s="538" t="s">
        <v>390</v>
      </c>
      <c r="F4740" s="538">
        <v>84252</v>
      </c>
      <c r="G4740" s="538">
        <v>4</v>
      </c>
    </row>
    <row r="4741" spans="1:7" x14ac:dyDescent="0.2">
      <c r="A4741" s="538">
        <v>8</v>
      </c>
      <c r="B4741" s="538" t="s">
        <v>6570</v>
      </c>
      <c r="C4741" s="538" t="s">
        <v>740</v>
      </c>
      <c r="D4741" s="538" t="s">
        <v>393</v>
      </c>
      <c r="E4741" s="538" t="s">
        <v>211</v>
      </c>
      <c r="F4741" s="538">
        <v>18050617</v>
      </c>
      <c r="G4741" s="538">
        <v>424</v>
      </c>
    </row>
    <row r="4742" spans="1:7" x14ac:dyDescent="0.2">
      <c r="A4742" s="538">
        <v>5</v>
      </c>
      <c r="B4742" s="538" t="s">
        <v>6568</v>
      </c>
      <c r="C4742" s="538" t="s">
        <v>740</v>
      </c>
      <c r="D4742" s="538" t="s">
        <v>740</v>
      </c>
      <c r="E4742" s="538" t="s">
        <v>209</v>
      </c>
      <c r="F4742" s="538">
        <v>1141192</v>
      </c>
      <c r="G4742" s="538">
        <v>4</v>
      </c>
    </row>
    <row r="4743" spans="1:7" x14ac:dyDescent="0.2">
      <c r="A4743" s="538">
        <v>7</v>
      </c>
      <c r="B4743" s="538" t="s">
        <v>6564</v>
      </c>
      <c r="C4743" s="538" t="s">
        <v>740</v>
      </c>
      <c r="D4743" s="538" t="s">
        <v>393</v>
      </c>
      <c r="E4743" s="538" t="s">
        <v>209</v>
      </c>
      <c r="F4743" s="538">
        <v>6314361</v>
      </c>
      <c r="G4743" s="538">
        <v>42</v>
      </c>
    </row>
    <row r="4744" spans="1:7" x14ac:dyDescent="0.2">
      <c r="A4744" s="538">
        <v>9</v>
      </c>
      <c r="B4744" s="538" t="s">
        <v>6645</v>
      </c>
      <c r="C4744" s="538" t="s">
        <v>393</v>
      </c>
      <c r="D4744" s="538" t="s">
        <v>393</v>
      </c>
      <c r="E4744" s="538" t="s">
        <v>207</v>
      </c>
      <c r="F4744" s="538">
        <v>6533622</v>
      </c>
      <c r="G4744" s="538">
        <v>294</v>
      </c>
    </row>
    <row r="4745" spans="1:7" x14ac:dyDescent="0.2">
      <c r="A4745" s="538">
        <v>1</v>
      </c>
      <c r="B4745" s="538" t="s">
        <v>6595</v>
      </c>
      <c r="C4745" s="538" t="s">
        <v>740</v>
      </c>
      <c r="D4745" s="538" t="s">
        <v>393</v>
      </c>
      <c r="E4745" s="538" t="s">
        <v>212</v>
      </c>
      <c r="F4745" s="538">
        <v>1279887</v>
      </c>
      <c r="G4745" s="538">
        <v>104</v>
      </c>
    </row>
    <row r="4746" spans="1:7" x14ac:dyDescent="0.2">
      <c r="A4746" s="538">
        <v>7</v>
      </c>
      <c r="B4746" s="538" t="s">
        <v>6564</v>
      </c>
      <c r="C4746" s="538" t="s">
        <v>740</v>
      </c>
      <c r="D4746" s="538" t="s">
        <v>393</v>
      </c>
      <c r="E4746" s="538" t="s">
        <v>230</v>
      </c>
      <c r="F4746" s="538">
        <v>5106825</v>
      </c>
      <c r="G4746" s="538">
        <v>135</v>
      </c>
    </row>
    <row r="4747" spans="1:7" x14ac:dyDescent="0.2">
      <c r="A4747" s="538">
        <v>9</v>
      </c>
      <c r="B4747" s="538" t="s">
        <v>6606</v>
      </c>
      <c r="C4747" s="538" t="s">
        <v>740</v>
      </c>
      <c r="D4747" s="538" t="s">
        <v>740</v>
      </c>
      <c r="E4747" s="538" t="s">
        <v>419</v>
      </c>
      <c r="F4747" s="538">
        <v>50268</v>
      </c>
      <c r="G4747" s="538">
        <v>1</v>
      </c>
    </row>
    <row r="4748" spans="1:7" x14ac:dyDescent="0.2">
      <c r="A4748" s="538">
        <v>8</v>
      </c>
      <c r="B4748" s="538" t="s">
        <v>6577</v>
      </c>
      <c r="C4748" s="538" t="s">
        <v>740</v>
      </c>
      <c r="D4748" s="538" t="s">
        <v>393</v>
      </c>
      <c r="E4748" s="538" t="s">
        <v>416</v>
      </c>
      <c r="F4748" s="538">
        <v>7610792</v>
      </c>
      <c r="G4748" s="538">
        <v>244</v>
      </c>
    </row>
    <row r="4749" spans="1:7" x14ac:dyDescent="0.2">
      <c r="A4749" s="538">
        <v>7</v>
      </c>
      <c r="B4749" s="538" t="s">
        <v>6604</v>
      </c>
      <c r="C4749" s="538" t="s">
        <v>740</v>
      </c>
      <c r="D4749" s="538" t="s">
        <v>393</v>
      </c>
      <c r="E4749" s="538" t="s">
        <v>210</v>
      </c>
      <c r="F4749" s="538">
        <v>33984</v>
      </c>
      <c r="G4749" s="538">
        <v>3</v>
      </c>
    </row>
    <row r="4750" spans="1:7" x14ac:dyDescent="0.2">
      <c r="A4750" s="538">
        <v>2</v>
      </c>
      <c r="B4750" s="538" t="s">
        <v>6585</v>
      </c>
      <c r="C4750" s="538" t="s">
        <v>393</v>
      </c>
      <c r="D4750" s="538" t="s">
        <v>740</v>
      </c>
      <c r="E4750" s="538" t="s">
        <v>212</v>
      </c>
      <c r="F4750" s="538">
        <v>674547</v>
      </c>
      <c r="G4750" s="538">
        <v>54</v>
      </c>
    </row>
    <row r="4751" spans="1:7" x14ac:dyDescent="0.2">
      <c r="A4751" s="538">
        <v>5</v>
      </c>
      <c r="B4751" s="538" t="s">
        <v>6650</v>
      </c>
      <c r="C4751" s="538" t="s">
        <v>393</v>
      </c>
      <c r="D4751" s="538" t="s">
        <v>393</v>
      </c>
      <c r="E4751" s="538" t="s">
        <v>202</v>
      </c>
      <c r="F4751" s="538">
        <v>5531771</v>
      </c>
      <c r="G4751" s="538">
        <v>52</v>
      </c>
    </row>
    <row r="4752" spans="1:7" x14ac:dyDescent="0.2">
      <c r="A4752" s="538">
        <v>2</v>
      </c>
      <c r="B4752" s="538" t="s">
        <v>6576</v>
      </c>
      <c r="C4752" s="538" t="s">
        <v>740</v>
      </c>
      <c r="D4752" s="538" t="s">
        <v>393</v>
      </c>
      <c r="E4752" s="538" t="s">
        <v>209</v>
      </c>
      <c r="F4752" s="538">
        <v>1910382</v>
      </c>
      <c r="G4752" s="538">
        <v>9</v>
      </c>
    </row>
    <row r="4753" spans="1:7" x14ac:dyDescent="0.2">
      <c r="A4753" s="538">
        <v>4</v>
      </c>
      <c r="B4753" s="538" t="s">
        <v>6559</v>
      </c>
      <c r="C4753" s="538" t="s">
        <v>740</v>
      </c>
      <c r="D4753" s="538" t="s">
        <v>740</v>
      </c>
      <c r="E4753" s="538" t="s">
        <v>449</v>
      </c>
      <c r="F4753" s="538">
        <v>11328</v>
      </c>
      <c r="G4753" s="538">
        <v>1</v>
      </c>
    </row>
    <row r="4754" spans="1:7" x14ac:dyDescent="0.2">
      <c r="A4754" s="538">
        <v>4</v>
      </c>
      <c r="B4754" s="538" t="s">
        <v>6574</v>
      </c>
      <c r="C4754" s="538" t="s">
        <v>740</v>
      </c>
      <c r="D4754" s="538" t="s">
        <v>393</v>
      </c>
      <c r="E4754" s="538" t="s">
        <v>438</v>
      </c>
      <c r="F4754" s="538">
        <v>3978117</v>
      </c>
      <c r="G4754" s="538">
        <v>34</v>
      </c>
    </row>
    <row r="4755" spans="1:7" x14ac:dyDescent="0.2">
      <c r="A4755" s="538">
        <v>4</v>
      </c>
      <c r="B4755" s="538" t="s">
        <v>6574</v>
      </c>
      <c r="C4755" s="538" t="s">
        <v>740</v>
      </c>
      <c r="D4755" s="538" t="s">
        <v>393</v>
      </c>
      <c r="E4755" s="538" t="s">
        <v>206</v>
      </c>
      <c r="F4755" s="538">
        <v>33984</v>
      </c>
      <c r="G4755" s="538">
        <v>3</v>
      </c>
    </row>
    <row r="4756" spans="1:7" x14ac:dyDescent="0.2">
      <c r="A4756" s="538">
        <v>3</v>
      </c>
      <c r="B4756" s="538" t="s">
        <v>1390</v>
      </c>
      <c r="C4756" s="538" t="s">
        <v>740</v>
      </c>
      <c r="D4756" s="538" t="s">
        <v>393</v>
      </c>
      <c r="E4756" s="538" t="s">
        <v>390</v>
      </c>
      <c r="F4756" s="538">
        <v>2688578</v>
      </c>
      <c r="G4756" s="538">
        <v>111</v>
      </c>
    </row>
    <row r="4757" spans="1:7" x14ac:dyDescent="0.2">
      <c r="A4757" s="538">
        <v>10</v>
      </c>
      <c r="B4757" s="538" t="s">
        <v>6597</v>
      </c>
      <c r="C4757" s="538" t="s">
        <v>740</v>
      </c>
      <c r="D4757" s="538" t="s">
        <v>740</v>
      </c>
      <c r="E4757" s="538" t="s">
        <v>390</v>
      </c>
      <c r="F4757" s="538">
        <v>349575</v>
      </c>
      <c r="G4757" s="538">
        <v>15</v>
      </c>
    </row>
    <row r="4758" spans="1:7" x14ac:dyDescent="0.2">
      <c r="A4758" s="538">
        <v>7</v>
      </c>
      <c r="B4758" s="538" t="s">
        <v>6661</v>
      </c>
      <c r="C4758" s="538" t="s">
        <v>740</v>
      </c>
      <c r="D4758" s="538" t="s">
        <v>393</v>
      </c>
      <c r="E4758" s="538" t="s">
        <v>230</v>
      </c>
      <c r="F4758" s="538">
        <v>11328</v>
      </c>
      <c r="G4758" s="538">
        <v>1</v>
      </c>
    </row>
    <row r="4759" spans="1:7" x14ac:dyDescent="0.2">
      <c r="A4759" s="538">
        <v>3</v>
      </c>
      <c r="B4759" s="538" t="s">
        <v>6561</v>
      </c>
      <c r="C4759" s="538" t="s">
        <v>740</v>
      </c>
      <c r="D4759" s="538" t="s">
        <v>740</v>
      </c>
      <c r="E4759" s="538" t="s">
        <v>449</v>
      </c>
      <c r="F4759" s="538">
        <v>56640</v>
      </c>
      <c r="G4759" s="538">
        <v>5</v>
      </c>
    </row>
    <row r="4760" spans="1:7" x14ac:dyDescent="0.2">
      <c r="A4760" s="538">
        <v>8</v>
      </c>
      <c r="B4760" s="538" t="s">
        <v>6560</v>
      </c>
      <c r="C4760" s="538" t="s">
        <v>740</v>
      </c>
      <c r="D4760" s="538" t="s">
        <v>393</v>
      </c>
      <c r="E4760" s="538" t="s">
        <v>401</v>
      </c>
      <c r="F4760" s="538">
        <v>2284789</v>
      </c>
      <c r="G4760" s="538">
        <v>78</v>
      </c>
    </row>
    <row r="4761" spans="1:7" x14ac:dyDescent="0.2">
      <c r="A4761" s="538">
        <v>5</v>
      </c>
      <c r="B4761" s="538" t="s">
        <v>6598</v>
      </c>
      <c r="C4761" s="538" t="s">
        <v>393</v>
      </c>
      <c r="D4761" s="538" t="s">
        <v>393</v>
      </c>
      <c r="E4761" s="538" t="s">
        <v>202</v>
      </c>
      <c r="F4761" s="538">
        <v>15365184</v>
      </c>
      <c r="G4761" s="538">
        <v>98</v>
      </c>
    </row>
    <row r="4762" spans="1:7" x14ac:dyDescent="0.2">
      <c r="A4762" s="538">
        <v>3</v>
      </c>
      <c r="B4762" s="538" t="s">
        <v>6603</v>
      </c>
      <c r="C4762" s="538" t="s">
        <v>740</v>
      </c>
      <c r="D4762" s="538" t="s">
        <v>393</v>
      </c>
      <c r="E4762" s="538" t="s">
        <v>860</v>
      </c>
      <c r="F4762" s="538">
        <v>1246205</v>
      </c>
      <c r="G4762" s="538">
        <v>45</v>
      </c>
    </row>
    <row r="4763" spans="1:7" x14ac:dyDescent="0.2">
      <c r="A4763" s="538">
        <v>5</v>
      </c>
      <c r="B4763" s="538" t="s">
        <v>6568</v>
      </c>
      <c r="C4763" s="538" t="s">
        <v>740</v>
      </c>
      <c r="D4763" s="538" t="s">
        <v>393</v>
      </c>
      <c r="E4763" s="538" t="s">
        <v>860</v>
      </c>
      <c r="F4763" s="538">
        <v>5858367</v>
      </c>
      <c r="G4763" s="538">
        <v>269</v>
      </c>
    </row>
    <row r="4764" spans="1:7" x14ac:dyDescent="0.2">
      <c r="A4764" s="538">
        <v>11</v>
      </c>
      <c r="B4764" s="538" t="s">
        <v>6659</v>
      </c>
      <c r="C4764" s="538" t="s">
        <v>393</v>
      </c>
      <c r="D4764" s="538" t="s">
        <v>393</v>
      </c>
      <c r="E4764" s="538" t="s">
        <v>230</v>
      </c>
      <c r="F4764" s="538">
        <v>4662399</v>
      </c>
      <c r="G4764" s="538">
        <v>73</v>
      </c>
    </row>
    <row r="4765" spans="1:7" x14ac:dyDescent="0.2">
      <c r="A4765" s="538">
        <v>4</v>
      </c>
      <c r="B4765" s="538" t="s">
        <v>6562</v>
      </c>
      <c r="C4765" s="538" t="s">
        <v>740</v>
      </c>
      <c r="D4765" s="538" t="s">
        <v>740</v>
      </c>
      <c r="E4765" s="538" t="s">
        <v>416</v>
      </c>
      <c r="F4765" s="538">
        <v>4542195</v>
      </c>
      <c r="G4765" s="538">
        <v>110</v>
      </c>
    </row>
    <row r="4766" spans="1:7" x14ac:dyDescent="0.2">
      <c r="A4766" s="538">
        <v>7</v>
      </c>
      <c r="B4766" s="538" t="s">
        <v>6655</v>
      </c>
      <c r="C4766" s="538" t="s">
        <v>393</v>
      </c>
      <c r="D4766" s="538" t="s">
        <v>393</v>
      </c>
      <c r="E4766" s="538" t="s">
        <v>210</v>
      </c>
      <c r="F4766" s="538">
        <v>1076285</v>
      </c>
      <c r="G4766" s="538">
        <v>30</v>
      </c>
    </row>
    <row r="4767" spans="1:7" x14ac:dyDescent="0.2">
      <c r="A4767" s="538">
        <v>12</v>
      </c>
      <c r="B4767" s="538" t="s">
        <v>6569</v>
      </c>
      <c r="C4767" s="538" t="s">
        <v>393</v>
      </c>
      <c r="D4767" s="538" t="s">
        <v>393</v>
      </c>
      <c r="E4767" s="538" t="s">
        <v>230</v>
      </c>
      <c r="F4767" s="538">
        <v>948189</v>
      </c>
      <c r="G4767" s="538">
        <v>38</v>
      </c>
    </row>
    <row r="4768" spans="1:7" x14ac:dyDescent="0.2">
      <c r="A4768" s="538">
        <v>6</v>
      </c>
      <c r="B4768" s="538" t="s">
        <v>6617</v>
      </c>
      <c r="C4768" s="538" t="s">
        <v>393</v>
      </c>
      <c r="D4768" s="538" t="s">
        <v>740</v>
      </c>
      <c r="E4768" s="538" t="s">
        <v>860</v>
      </c>
      <c r="F4768" s="538">
        <v>11328</v>
      </c>
      <c r="G4768" s="538">
        <v>1</v>
      </c>
    </row>
    <row r="4769" spans="1:7" x14ac:dyDescent="0.2">
      <c r="A4769" s="538">
        <v>9</v>
      </c>
      <c r="B4769" s="538" t="s">
        <v>6606</v>
      </c>
      <c r="C4769" s="538" t="s">
        <v>393</v>
      </c>
      <c r="D4769" s="538" t="s">
        <v>393</v>
      </c>
      <c r="E4769" s="538" t="s">
        <v>449</v>
      </c>
      <c r="F4769" s="538">
        <v>1094818</v>
      </c>
      <c r="G4769" s="538">
        <v>11</v>
      </c>
    </row>
    <row r="4770" spans="1:7" x14ac:dyDescent="0.2">
      <c r="A4770" s="538">
        <v>3</v>
      </c>
      <c r="B4770" s="538" t="s">
        <v>6561</v>
      </c>
      <c r="C4770" s="538" t="s">
        <v>740</v>
      </c>
      <c r="D4770" s="538" t="s">
        <v>393</v>
      </c>
      <c r="E4770" s="538" t="s">
        <v>209</v>
      </c>
      <c r="F4770" s="538">
        <v>74163</v>
      </c>
      <c r="G4770" s="538">
        <v>1</v>
      </c>
    </row>
    <row r="4771" spans="1:7" x14ac:dyDescent="0.2">
      <c r="A4771" s="538">
        <v>10</v>
      </c>
      <c r="B4771" s="538" t="s">
        <v>6582</v>
      </c>
      <c r="C4771" s="538" t="s">
        <v>393</v>
      </c>
      <c r="D4771" s="538" t="s">
        <v>740</v>
      </c>
      <c r="E4771" s="538" t="s">
        <v>212</v>
      </c>
      <c r="F4771" s="538">
        <v>11328</v>
      </c>
      <c r="G4771" s="538">
        <v>1</v>
      </c>
    </row>
    <row r="4772" spans="1:7" x14ac:dyDescent="0.2">
      <c r="A4772" s="538">
        <v>8</v>
      </c>
      <c r="B4772" s="538" t="s">
        <v>6567</v>
      </c>
      <c r="C4772" s="538" t="s">
        <v>393</v>
      </c>
      <c r="D4772" s="538" t="s">
        <v>740</v>
      </c>
      <c r="E4772" s="538" t="s">
        <v>409</v>
      </c>
      <c r="F4772" s="538">
        <v>242844</v>
      </c>
      <c r="G4772" s="538">
        <v>18</v>
      </c>
    </row>
    <row r="4773" spans="1:7" x14ac:dyDescent="0.2">
      <c r="A4773" s="538">
        <v>7</v>
      </c>
      <c r="B4773" s="538" t="s">
        <v>6564</v>
      </c>
      <c r="C4773" s="538" t="s">
        <v>740</v>
      </c>
      <c r="D4773" s="538" t="s">
        <v>393</v>
      </c>
      <c r="E4773" s="538" t="s">
        <v>207</v>
      </c>
      <c r="F4773" s="538">
        <v>45312</v>
      </c>
      <c r="G4773" s="538">
        <v>4</v>
      </c>
    </row>
    <row r="4774" spans="1:7" x14ac:dyDescent="0.2">
      <c r="A4774" s="538">
        <v>4</v>
      </c>
      <c r="B4774" s="538" t="s">
        <v>6574</v>
      </c>
      <c r="C4774" s="538" t="s">
        <v>393</v>
      </c>
      <c r="D4774" s="538" t="s">
        <v>740</v>
      </c>
      <c r="E4774" s="538" t="s">
        <v>402</v>
      </c>
      <c r="F4774" s="538">
        <v>1683343</v>
      </c>
      <c r="G4774" s="538">
        <v>36</v>
      </c>
    </row>
    <row r="4775" spans="1:7" x14ac:dyDescent="0.2">
      <c r="A4775" s="538">
        <v>12</v>
      </c>
      <c r="B4775" s="538" t="s">
        <v>6569</v>
      </c>
      <c r="C4775" s="538" t="s">
        <v>740</v>
      </c>
      <c r="D4775" s="538" t="s">
        <v>740</v>
      </c>
      <c r="E4775" s="538" t="s">
        <v>401</v>
      </c>
      <c r="F4775" s="538">
        <v>244083</v>
      </c>
      <c r="G4775" s="538">
        <v>16</v>
      </c>
    </row>
    <row r="4776" spans="1:7" x14ac:dyDescent="0.2">
      <c r="A4776" s="538">
        <v>7</v>
      </c>
      <c r="B4776" s="538" t="s">
        <v>6588</v>
      </c>
      <c r="C4776" s="538" t="s">
        <v>393</v>
      </c>
      <c r="D4776" s="538" t="s">
        <v>740</v>
      </c>
      <c r="E4776" s="538" t="s">
        <v>401</v>
      </c>
      <c r="F4776" s="538">
        <v>22656</v>
      </c>
      <c r="G4776" s="538">
        <v>2</v>
      </c>
    </row>
    <row r="4777" spans="1:7" x14ac:dyDescent="0.2">
      <c r="A4777" s="538">
        <v>6</v>
      </c>
      <c r="B4777" s="538" t="s">
        <v>6596</v>
      </c>
      <c r="C4777" s="538" t="s">
        <v>740</v>
      </c>
      <c r="D4777" s="538" t="s">
        <v>393</v>
      </c>
      <c r="E4777" s="538" t="s">
        <v>202</v>
      </c>
      <c r="F4777" s="538">
        <v>803174</v>
      </c>
      <c r="G4777" s="538">
        <v>8</v>
      </c>
    </row>
    <row r="4778" spans="1:7" x14ac:dyDescent="0.2">
      <c r="A4778" s="538">
        <v>7</v>
      </c>
      <c r="B4778" s="538" t="s">
        <v>6579</v>
      </c>
      <c r="C4778" s="538" t="s">
        <v>393</v>
      </c>
      <c r="D4778" s="538" t="s">
        <v>740</v>
      </c>
      <c r="E4778" s="538" t="s">
        <v>230</v>
      </c>
      <c r="F4778" s="538">
        <v>22656</v>
      </c>
      <c r="G4778" s="538">
        <v>2</v>
      </c>
    </row>
    <row r="4779" spans="1:7" x14ac:dyDescent="0.2">
      <c r="A4779" s="538">
        <v>4</v>
      </c>
      <c r="B4779" s="538" t="s">
        <v>6572</v>
      </c>
      <c r="C4779" s="538" t="s">
        <v>393</v>
      </c>
      <c r="D4779" s="538" t="s">
        <v>740</v>
      </c>
      <c r="E4779" s="538" t="s">
        <v>212</v>
      </c>
      <c r="F4779" s="538">
        <v>1058283</v>
      </c>
      <c r="G4779" s="538">
        <v>81</v>
      </c>
    </row>
    <row r="4780" spans="1:7" x14ac:dyDescent="0.2">
      <c r="A4780" s="538">
        <v>5</v>
      </c>
      <c r="B4780" s="538" t="s">
        <v>6598</v>
      </c>
      <c r="C4780" s="538" t="s">
        <v>740</v>
      </c>
      <c r="D4780" s="538" t="s">
        <v>393</v>
      </c>
      <c r="E4780" s="538" t="s">
        <v>202</v>
      </c>
      <c r="F4780" s="538">
        <v>4562571</v>
      </c>
      <c r="G4780" s="538">
        <v>42</v>
      </c>
    </row>
    <row r="4781" spans="1:7" x14ac:dyDescent="0.2">
      <c r="A4781" s="538">
        <v>11</v>
      </c>
      <c r="B4781" s="538" t="s">
        <v>6612</v>
      </c>
      <c r="C4781" s="538" t="s">
        <v>740</v>
      </c>
      <c r="D4781" s="538" t="s">
        <v>740</v>
      </c>
      <c r="E4781" s="538" t="s">
        <v>860</v>
      </c>
      <c r="F4781" s="538">
        <v>215055</v>
      </c>
      <c r="G4781" s="538">
        <v>10</v>
      </c>
    </row>
    <row r="4782" spans="1:7" x14ac:dyDescent="0.2">
      <c r="A4782" s="538">
        <v>6</v>
      </c>
      <c r="B4782" s="538" t="s">
        <v>6429</v>
      </c>
      <c r="C4782" s="538" t="s">
        <v>393</v>
      </c>
      <c r="D4782" s="538" t="s">
        <v>393</v>
      </c>
      <c r="E4782" s="538" t="s">
        <v>860</v>
      </c>
      <c r="F4782" s="538">
        <v>237711</v>
      </c>
      <c r="G4782" s="538">
        <v>12</v>
      </c>
    </row>
    <row r="4783" spans="1:7" x14ac:dyDescent="0.2">
      <c r="A4783" s="538">
        <v>12</v>
      </c>
      <c r="B4783" s="538" t="s">
        <v>6563</v>
      </c>
      <c r="C4783" s="538" t="s">
        <v>740</v>
      </c>
      <c r="D4783" s="538" t="s">
        <v>393</v>
      </c>
      <c r="E4783" s="538" t="s">
        <v>449</v>
      </c>
      <c r="F4783" s="538">
        <v>45312</v>
      </c>
      <c r="G4783" s="538">
        <v>4</v>
      </c>
    </row>
    <row r="4784" spans="1:7" x14ac:dyDescent="0.2">
      <c r="A4784" s="538">
        <v>2</v>
      </c>
      <c r="B4784" s="538" t="s">
        <v>6576</v>
      </c>
      <c r="C4784" s="538" t="s">
        <v>393</v>
      </c>
      <c r="D4784" s="538" t="s">
        <v>393</v>
      </c>
      <c r="E4784" s="538" t="s">
        <v>212</v>
      </c>
      <c r="F4784" s="538">
        <v>1283427</v>
      </c>
      <c r="G4784" s="538">
        <v>94</v>
      </c>
    </row>
    <row r="4785" spans="1:7" x14ac:dyDescent="0.2">
      <c r="A4785" s="538">
        <v>8</v>
      </c>
      <c r="B4785" s="538" t="s">
        <v>6658</v>
      </c>
      <c r="C4785" s="538" t="s">
        <v>740</v>
      </c>
      <c r="D4785" s="538" t="s">
        <v>393</v>
      </c>
      <c r="E4785" s="538" t="s">
        <v>212</v>
      </c>
      <c r="F4785" s="538">
        <v>45312</v>
      </c>
      <c r="G4785" s="538">
        <v>4</v>
      </c>
    </row>
    <row r="4786" spans="1:7" x14ac:dyDescent="0.2">
      <c r="A4786" s="538">
        <v>4</v>
      </c>
      <c r="B4786" s="538" t="s">
        <v>6562</v>
      </c>
      <c r="C4786" s="538" t="s">
        <v>740</v>
      </c>
      <c r="D4786" s="538" t="s">
        <v>393</v>
      </c>
      <c r="E4786" s="538" t="s">
        <v>207</v>
      </c>
      <c r="F4786" s="538">
        <v>67968</v>
      </c>
      <c r="G4786" s="538">
        <v>6</v>
      </c>
    </row>
    <row r="4787" spans="1:7" x14ac:dyDescent="0.2">
      <c r="A4787" s="538">
        <v>12</v>
      </c>
      <c r="B4787" s="538" t="s">
        <v>6569</v>
      </c>
      <c r="C4787" s="538" t="s">
        <v>393</v>
      </c>
      <c r="D4787" s="538" t="s">
        <v>393</v>
      </c>
      <c r="E4787" s="538" t="s">
        <v>210</v>
      </c>
      <c r="F4787" s="538">
        <v>859814</v>
      </c>
      <c r="G4787" s="538">
        <v>13</v>
      </c>
    </row>
    <row r="4788" spans="1:7" x14ac:dyDescent="0.2">
      <c r="A4788" s="538">
        <v>10</v>
      </c>
      <c r="B4788" s="538" t="s">
        <v>6582</v>
      </c>
      <c r="C4788" s="538" t="s">
        <v>740</v>
      </c>
      <c r="D4788" s="538" t="s">
        <v>393</v>
      </c>
      <c r="E4788" s="538" t="s">
        <v>210</v>
      </c>
      <c r="F4788" s="538">
        <v>2092619</v>
      </c>
      <c r="G4788" s="538">
        <v>88</v>
      </c>
    </row>
    <row r="4789" spans="1:7" x14ac:dyDescent="0.2">
      <c r="A4789" s="538">
        <v>4</v>
      </c>
      <c r="B4789" s="538" t="s">
        <v>6559</v>
      </c>
      <c r="C4789" s="538" t="s">
        <v>393</v>
      </c>
      <c r="D4789" s="538" t="s">
        <v>740</v>
      </c>
      <c r="E4789" s="538" t="s">
        <v>401</v>
      </c>
      <c r="F4789" s="538">
        <v>45312</v>
      </c>
      <c r="G4789" s="538">
        <v>4</v>
      </c>
    </row>
    <row r="4790" spans="1:7" x14ac:dyDescent="0.2">
      <c r="A4790" s="538">
        <v>2</v>
      </c>
      <c r="B4790" s="538" t="s">
        <v>6573</v>
      </c>
      <c r="C4790" s="538" t="s">
        <v>740</v>
      </c>
      <c r="D4790" s="538" t="s">
        <v>393</v>
      </c>
      <c r="E4790" s="538" t="s">
        <v>438</v>
      </c>
      <c r="F4790" s="538">
        <v>6972041</v>
      </c>
      <c r="G4790" s="538">
        <v>62</v>
      </c>
    </row>
    <row r="4791" spans="1:7" x14ac:dyDescent="0.2">
      <c r="A4791" s="538">
        <v>2</v>
      </c>
      <c r="B4791" s="538" t="s">
        <v>6573</v>
      </c>
      <c r="C4791" s="538" t="s">
        <v>740</v>
      </c>
      <c r="D4791" s="538" t="s">
        <v>393</v>
      </c>
      <c r="E4791" s="538" t="s">
        <v>206</v>
      </c>
      <c r="F4791" s="538">
        <v>603341</v>
      </c>
      <c r="G4791" s="538">
        <v>7</v>
      </c>
    </row>
    <row r="4792" spans="1:7" x14ac:dyDescent="0.2">
      <c r="A4792" s="538">
        <v>11</v>
      </c>
      <c r="B4792" s="538" t="s">
        <v>6610</v>
      </c>
      <c r="C4792" s="538" t="s">
        <v>740</v>
      </c>
      <c r="D4792" s="538" t="s">
        <v>393</v>
      </c>
      <c r="E4792" s="538" t="s">
        <v>416</v>
      </c>
      <c r="F4792" s="538">
        <v>23958523</v>
      </c>
      <c r="G4792" s="538">
        <v>716</v>
      </c>
    </row>
    <row r="4793" spans="1:7" x14ac:dyDescent="0.2">
      <c r="A4793" s="538">
        <v>1</v>
      </c>
      <c r="B4793" s="538" t="s">
        <v>6602</v>
      </c>
      <c r="C4793" s="538" t="s">
        <v>393</v>
      </c>
      <c r="D4793" s="538" t="s">
        <v>393</v>
      </c>
      <c r="E4793" s="538" t="s">
        <v>416</v>
      </c>
      <c r="F4793" s="538">
        <v>36109512</v>
      </c>
      <c r="G4793" s="538">
        <v>774</v>
      </c>
    </row>
    <row r="4794" spans="1:7" x14ac:dyDescent="0.2">
      <c r="A4794" s="538">
        <v>3</v>
      </c>
      <c r="B4794" s="538" t="s">
        <v>6561</v>
      </c>
      <c r="C4794" s="538" t="s">
        <v>740</v>
      </c>
      <c r="D4794" s="538" t="s">
        <v>740</v>
      </c>
      <c r="E4794" s="538" t="s">
        <v>209</v>
      </c>
      <c r="F4794" s="538">
        <v>992866</v>
      </c>
      <c r="G4794" s="538">
        <v>2</v>
      </c>
    </row>
    <row r="4795" spans="1:7" x14ac:dyDescent="0.2">
      <c r="A4795" s="538">
        <v>7</v>
      </c>
      <c r="B4795" s="538" t="s">
        <v>6580</v>
      </c>
      <c r="C4795" s="538" t="s">
        <v>740</v>
      </c>
      <c r="D4795" s="538" t="s">
        <v>393</v>
      </c>
      <c r="E4795" s="538" t="s">
        <v>212</v>
      </c>
      <c r="F4795" s="538">
        <v>11328</v>
      </c>
      <c r="G4795" s="538">
        <v>1</v>
      </c>
    </row>
    <row r="4796" spans="1:7" x14ac:dyDescent="0.2">
      <c r="A4796" s="538">
        <v>12</v>
      </c>
      <c r="B4796" s="538" t="s">
        <v>6569</v>
      </c>
      <c r="C4796" s="538" t="s">
        <v>740</v>
      </c>
      <c r="D4796" s="538" t="s">
        <v>740</v>
      </c>
      <c r="E4796" s="538" t="s">
        <v>416</v>
      </c>
      <c r="F4796" s="538">
        <v>96819</v>
      </c>
      <c r="G4796" s="538">
        <v>3</v>
      </c>
    </row>
    <row r="4797" spans="1:7" x14ac:dyDescent="0.2">
      <c r="A4797" s="538">
        <v>2</v>
      </c>
      <c r="B4797" s="538" t="s">
        <v>6055</v>
      </c>
      <c r="C4797" s="538" t="s">
        <v>740</v>
      </c>
      <c r="D4797" s="538" t="s">
        <v>740</v>
      </c>
      <c r="E4797" s="538" t="s">
        <v>207</v>
      </c>
      <c r="F4797" s="538">
        <v>3395568</v>
      </c>
      <c r="G4797" s="538">
        <v>216</v>
      </c>
    </row>
    <row r="4798" spans="1:7" x14ac:dyDescent="0.2">
      <c r="A4798" s="538">
        <v>1</v>
      </c>
      <c r="B4798" s="538" t="s">
        <v>1288</v>
      </c>
      <c r="C4798" s="538" t="s">
        <v>393</v>
      </c>
      <c r="D4798" s="538" t="s">
        <v>393</v>
      </c>
      <c r="E4798" s="538" t="s">
        <v>438</v>
      </c>
      <c r="F4798" s="538">
        <v>1902948</v>
      </c>
      <c r="G4798" s="538">
        <v>16</v>
      </c>
    </row>
    <row r="4799" spans="1:7" x14ac:dyDescent="0.2">
      <c r="A4799" s="538">
        <v>6</v>
      </c>
      <c r="B4799" s="538" t="s">
        <v>6607</v>
      </c>
      <c r="C4799" s="538" t="s">
        <v>740</v>
      </c>
      <c r="D4799" s="538" t="s">
        <v>393</v>
      </c>
      <c r="E4799" s="538" t="s">
        <v>207</v>
      </c>
      <c r="F4799" s="538">
        <v>4847853</v>
      </c>
      <c r="G4799" s="538">
        <v>336</v>
      </c>
    </row>
    <row r="4800" spans="1:7" x14ac:dyDescent="0.2">
      <c r="A4800" s="538">
        <v>8</v>
      </c>
      <c r="B4800" s="538" t="s">
        <v>6560</v>
      </c>
      <c r="C4800" s="538" t="s">
        <v>393</v>
      </c>
      <c r="D4800" s="538" t="s">
        <v>393</v>
      </c>
      <c r="E4800" s="538" t="s">
        <v>210</v>
      </c>
      <c r="F4800" s="538">
        <v>2186377</v>
      </c>
      <c r="G4800" s="538">
        <v>59</v>
      </c>
    </row>
    <row r="4801" spans="1:7" x14ac:dyDescent="0.2">
      <c r="A4801" s="538">
        <v>4</v>
      </c>
      <c r="B4801" s="538" t="s">
        <v>6559</v>
      </c>
      <c r="C4801" s="538" t="s">
        <v>393</v>
      </c>
      <c r="D4801" s="538" t="s">
        <v>740</v>
      </c>
      <c r="E4801" s="538" t="s">
        <v>212</v>
      </c>
      <c r="F4801" s="538">
        <v>33984</v>
      </c>
      <c r="G4801" s="538">
        <v>3</v>
      </c>
    </row>
    <row r="4802" spans="1:7" x14ac:dyDescent="0.2">
      <c r="A4802" s="538">
        <v>7</v>
      </c>
      <c r="B4802" s="538" t="s">
        <v>6579</v>
      </c>
      <c r="C4802" s="538" t="s">
        <v>393</v>
      </c>
      <c r="D4802" s="538" t="s">
        <v>740</v>
      </c>
      <c r="E4802" s="538" t="s">
        <v>202</v>
      </c>
      <c r="F4802" s="538">
        <v>539319</v>
      </c>
      <c r="G4802" s="538">
        <v>13</v>
      </c>
    </row>
    <row r="4803" spans="1:7" x14ac:dyDescent="0.2">
      <c r="A4803" s="538">
        <v>5</v>
      </c>
      <c r="B4803" s="538" t="s">
        <v>6650</v>
      </c>
      <c r="C4803" s="538" t="s">
        <v>740</v>
      </c>
      <c r="D4803" s="538" t="s">
        <v>393</v>
      </c>
      <c r="E4803" s="538" t="s">
        <v>210</v>
      </c>
      <c r="F4803" s="538">
        <v>1755788</v>
      </c>
      <c r="G4803" s="538">
        <v>81</v>
      </c>
    </row>
    <row r="4804" spans="1:7" x14ac:dyDescent="0.2">
      <c r="A4804" s="538">
        <v>7</v>
      </c>
      <c r="B4804" s="538" t="s">
        <v>6571</v>
      </c>
      <c r="C4804" s="538" t="s">
        <v>740</v>
      </c>
      <c r="D4804" s="538" t="s">
        <v>393</v>
      </c>
      <c r="E4804" s="538" t="s">
        <v>860</v>
      </c>
      <c r="F4804" s="538">
        <v>1554414</v>
      </c>
      <c r="G4804" s="538">
        <v>73</v>
      </c>
    </row>
    <row r="4805" spans="1:7" x14ac:dyDescent="0.2">
      <c r="A4805" s="538">
        <v>3</v>
      </c>
      <c r="B4805" s="538" t="s">
        <v>6647</v>
      </c>
      <c r="C4805" s="538" t="s">
        <v>740</v>
      </c>
      <c r="D4805" s="538" t="s">
        <v>393</v>
      </c>
      <c r="E4805" s="538" t="s">
        <v>449</v>
      </c>
      <c r="F4805" s="538">
        <v>45312</v>
      </c>
      <c r="G4805" s="538">
        <v>4</v>
      </c>
    </row>
    <row r="4806" spans="1:7" x14ac:dyDescent="0.2">
      <c r="A4806" s="538">
        <v>4</v>
      </c>
      <c r="B4806" s="538" t="s">
        <v>6562</v>
      </c>
      <c r="C4806" s="538" t="s">
        <v>740</v>
      </c>
      <c r="D4806" s="538" t="s">
        <v>393</v>
      </c>
      <c r="E4806" s="538" t="s">
        <v>210</v>
      </c>
      <c r="F4806" s="538">
        <v>169743</v>
      </c>
      <c r="G4806" s="538">
        <v>6</v>
      </c>
    </row>
    <row r="4807" spans="1:7" x14ac:dyDescent="0.2">
      <c r="A4807" s="538">
        <v>11</v>
      </c>
      <c r="B4807" s="538" t="s">
        <v>6584</v>
      </c>
      <c r="C4807" s="538" t="s">
        <v>740</v>
      </c>
      <c r="D4807" s="538" t="s">
        <v>393</v>
      </c>
      <c r="E4807" s="538" t="s">
        <v>401</v>
      </c>
      <c r="F4807" s="538">
        <v>11328</v>
      </c>
      <c r="G4807" s="538">
        <v>1</v>
      </c>
    </row>
    <row r="4808" spans="1:7" x14ac:dyDescent="0.2">
      <c r="A4808" s="538">
        <v>1</v>
      </c>
      <c r="B4808" s="538" t="s">
        <v>6595</v>
      </c>
      <c r="C4808" s="538" t="s">
        <v>740</v>
      </c>
      <c r="D4808" s="538" t="s">
        <v>393</v>
      </c>
      <c r="E4808" s="538" t="s">
        <v>207</v>
      </c>
      <c r="F4808" s="538">
        <v>1448391</v>
      </c>
      <c r="G4808" s="538">
        <v>112</v>
      </c>
    </row>
    <row r="4809" spans="1:7" x14ac:dyDescent="0.2">
      <c r="A4809" s="538">
        <v>8</v>
      </c>
      <c r="B4809" s="538" t="s">
        <v>6570</v>
      </c>
      <c r="C4809" s="538" t="s">
        <v>740</v>
      </c>
      <c r="D4809" s="538" t="s">
        <v>393</v>
      </c>
      <c r="E4809" s="538" t="s">
        <v>313</v>
      </c>
      <c r="F4809" s="538">
        <v>296652</v>
      </c>
      <c r="G4809" s="538">
        <v>4</v>
      </c>
    </row>
    <row r="4810" spans="1:7" x14ac:dyDescent="0.2">
      <c r="A4810" s="538">
        <v>2</v>
      </c>
      <c r="B4810" s="538" t="s">
        <v>6573</v>
      </c>
      <c r="C4810" s="538" t="s">
        <v>740</v>
      </c>
      <c r="D4810" s="538" t="s">
        <v>740</v>
      </c>
      <c r="E4810" s="538" t="s">
        <v>207</v>
      </c>
      <c r="F4810" s="538">
        <v>1624506</v>
      </c>
      <c r="G4810" s="538">
        <v>122</v>
      </c>
    </row>
    <row r="4811" spans="1:7" x14ac:dyDescent="0.2">
      <c r="A4811" s="538">
        <v>3</v>
      </c>
      <c r="B4811" s="538" t="s">
        <v>6591</v>
      </c>
      <c r="C4811" s="538" t="s">
        <v>393</v>
      </c>
      <c r="D4811" s="538" t="s">
        <v>393</v>
      </c>
      <c r="E4811" s="538" t="s">
        <v>211</v>
      </c>
      <c r="F4811" s="538">
        <v>21135259</v>
      </c>
      <c r="G4811" s="538">
        <v>298</v>
      </c>
    </row>
    <row r="4812" spans="1:7" x14ac:dyDescent="0.2">
      <c r="A4812" s="538">
        <v>12</v>
      </c>
      <c r="B4812" s="538" t="s">
        <v>6616</v>
      </c>
      <c r="C4812" s="538" t="s">
        <v>740</v>
      </c>
      <c r="D4812" s="538" t="s">
        <v>393</v>
      </c>
      <c r="E4812" s="538" t="s">
        <v>313</v>
      </c>
      <c r="F4812" s="538">
        <v>730250</v>
      </c>
      <c r="G4812" s="538">
        <v>5</v>
      </c>
    </row>
    <row r="4813" spans="1:7" x14ac:dyDescent="0.2">
      <c r="A4813" s="538">
        <v>8</v>
      </c>
      <c r="B4813" s="538" t="s">
        <v>6567</v>
      </c>
      <c r="C4813" s="538" t="s">
        <v>740</v>
      </c>
      <c r="D4813" s="538" t="s">
        <v>740</v>
      </c>
      <c r="E4813" s="538" t="s">
        <v>402</v>
      </c>
      <c r="F4813" s="538">
        <v>13231750</v>
      </c>
      <c r="G4813" s="538">
        <v>510</v>
      </c>
    </row>
    <row r="4814" spans="1:7" x14ac:dyDescent="0.2">
      <c r="A4814" s="538">
        <v>8</v>
      </c>
      <c r="B4814" s="538" t="s">
        <v>6570</v>
      </c>
      <c r="C4814" s="538" t="s">
        <v>393</v>
      </c>
      <c r="D4814" s="538" t="s">
        <v>740</v>
      </c>
      <c r="E4814" s="538" t="s">
        <v>202</v>
      </c>
      <c r="F4814" s="538">
        <v>666176</v>
      </c>
      <c r="G4814" s="538">
        <v>7</v>
      </c>
    </row>
    <row r="4815" spans="1:7" x14ac:dyDescent="0.2">
      <c r="A4815" s="538">
        <v>3</v>
      </c>
      <c r="B4815" s="538" t="s">
        <v>6578</v>
      </c>
      <c r="C4815" s="538" t="s">
        <v>740</v>
      </c>
      <c r="D4815" s="538" t="s">
        <v>393</v>
      </c>
      <c r="E4815" s="538" t="s">
        <v>212</v>
      </c>
      <c r="F4815" s="538">
        <v>828006</v>
      </c>
      <c r="G4815" s="538">
        <v>62</v>
      </c>
    </row>
    <row r="4816" spans="1:7" x14ac:dyDescent="0.2">
      <c r="A4816" s="538">
        <v>6</v>
      </c>
      <c r="B4816" s="538" t="s">
        <v>6429</v>
      </c>
      <c r="C4816" s="538" t="s">
        <v>393</v>
      </c>
      <c r="D4816" s="538" t="s">
        <v>740</v>
      </c>
      <c r="E4816" s="538" t="s">
        <v>209</v>
      </c>
      <c r="F4816" s="538">
        <v>74163</v>
      </c>
      <c r="G4816" s="538">
        <v>1</v>
      </c>
    </row>
    <row r="4817" spans="1:7" x14ac:dyDescent="0.2">
      <c r="A4817" s="538">
        <v>4</v>
      </c>
      <c r="B4817" s="538" t="s">
        <v>6562</v>
      </c>
      <c r="C4817" s="538" t="s">
        <v>393</v>
      </c>
      <c r="D4817" s="538" t="s">
        <v>393</v>
      </c>
      <c r="E4817" s="538" t="s">
        <v>402</v>
      </c>
      <c r="F4817" s="538">
        <v>10283763</v>
      </c>
      <c r="G4817" s="538">
        <v>236</v>
      </c>
    </row>
    <row r="4818" spans="1:7" x14ac:dyDescent="0.2">
      <c r="A4818" s="538">
        <v>4</v>
      </c>
      <c r="B4818" s="538" t="s">
        <v>6559</v>
      </c>
      <c r="C4818" s="538" t="s">
        <v>740</v>
      </c>
      <c r="D4818" s="538" t="s">
        <v>740</v>
      </c>
      <c r="E4818" s="538" t="s">
        <v>211</v>
      </c>
      <c r="F4818" s="538">
        <v>9310211</v>
      </c>
      <c r="G4818" s="538">
        <v>187</v>
      </c>
    </row>
    <row r="4819" spans="1:7" x14ac:dyDescent="0.2">
      <c r="A4819" s="538">
        <v>8</v>
      </c>
      <c r="B4819" s="538" t="s">
        <v>6570</v>
      </c>
      <c r="C4819" s="538" t="s">
        <v>740</v>
      </c>
      <c r="D4819" s="538" t="s">
        <v>740</v>
      </c>
      <c r="E4819" s="538" t="s">
        <v>212</v>
      </c>
      <c r="F4819" s="538">
        <v>208860</v>
      </c>
      <c r="G4819" s="538">
        <v>15</v>
      </c>
    </row>
    <row r="4820" spans="1:7" x14ac:dyDescent="0.2">
      <c r="A4820" s="538">
        <v>8</v>
      </c>
      <c r="B4820" s="538" t="s">
        <v>6560</v>
      </c>
      <c r="C4820" s="538" t="s">
        <v>393</v>
      </c>
      <c r="D4820" s="538" t="s">
        <v>393</v>
      </c>
      <c r="E4820" s="538" t="s">
        <v>416</v>
      </c>
      <c r="F4820" s="538">
        <v>65379629</v>
      </c>
      <c r="G4820" s="538">
        <v>1113</v>
      </c>
    </row>
    <row r="4821" spans="1:7" x14ac:dyDescent="0.2">
      <c r="A4821" s="538">
        <v>11</v>
      </c>
      <c r="B4821" s="538" t="s">
        <v>6584</v>
      </c>
      <c r="C4821" s="538" t="s">
        <v>740</v>
      </c>
      <c r="D4821" s="538" t="s">
        <v>393</v>
      </c>
      <c r="E4821" s="538" t="s">
        <v>860</v>
      </c>
      <c r="F4821" s="538">
        <v>193638</v>
      </c>
      <c r="G4821" s="538">
        <v>6</v>
      </c>
    </row>
    <row r="4822" spans="1:7" x14ac:dyDescent="0.2">
      <c r="A4822" s="538">
        <v>2</v>
      </c>
      <c r="B4822" s="538" t="s">
        <v>6608</v>
      </c>
      <c r="C4822" s="538" t="s">
        <v>740</v>
      </c>
      <c r="D4822" s="538" t="s">
        <v>393</v>
      </c>
      <c r="E4822" s="538" t="s">
        <v>402</v>
      </c>
      <c r="F4822" s="538">
        <v>22656</v>
      </c>
      <c r="G4822" s="538">
        <v>2</v>
      </c>
    </row>
    <row r="4823" spans="1:7" x14ac:dyDescent="0.2">
      <c r="A4823" s="538">
        <v>9</v>
      </c>
      <c r="B4823" s="538" t="s">
        <v>6644</v>
      </c>
      <c r="C4823" s="538" t="s">
        <v>740</v>
      </c>
      <c r="D4823" s="538" t="s">
        <v>393</v>
      </c>
      <c r="E4823" s="538" t="s">
        <v>230</v>
      </c>
      <c r="F4823" s="538">
        <v>10770565</v>
      </c>
      <c r="G4823" s="538">
        <v>260</v>
      </c>
    </row>
    <row r="4824" spans="1:7" x14ac:dyDescent="0.2">
      <c r="A4824" s="538">
        <v>5</v>
      </c>
      <c r="B4824" s="538" t="s">
        <v>6598</v>
      </c>
      <c r="C4824" s="538" t="s">
        <v>740</v>
      </c>
      <c r="D4824" s="538" t="s">
        <v>393</v>
      </c>
      <c r="E4824" s="538" t="s">
        <v>207</v>
      </c>
      <c r="F4824" s="538">
        <v>33984</v>
      </c>
      <c r="G4824" s="538">
        <v>3</v>
      </c>
    </row>
    <row r="4825" spans="1:7" x14ac:dyDescent="0.2">
      <c r="A4825" s="538">
        <v>4</v>
      </c>
      <c r="B4825" s="538" t="s">
        <v>6574</v>
      </c>
      <c r="C4825" s="538" t="s">
        <v>740</v>
      </c>
      <c r="D4825" s="538" t="s">
        <v>393</v>
      </c>
      <c r="E4825" s="538" t="s">
        <v>230</v>
      </c>
      <c r="F4825" s="538">
        <v>317007</v>
      </c>
      <c r="G4825" s="538">
        <v>19</v>
      </c>
    </row>
    <row r="4826" spans="1:7" x14ac:dyDescent="0.2">
      <c r="A4826" s="538">
        <v>11</v>
      </c>
      <c r="B4826" s="538" t="s">
        <v>6612</v>
      </c>
      <c r="C4826" s="538" t="s">
        <v>740</v>
      </c>
      <c r="D4826" s="538" t="s">
        <v>393</v>
      </c>
      <c r="E4826" s="538" t="s">
        <v>438</v>
      </c>
      <c r="F4826" s="538">
        <v>3602627</v>
      </c>
      <c r="G4826" s="538">
        <v>54</v>
      </c>
    </row>
    <row r="4827" spans="1:7" x14ac:dyDescent="0.2">
      <c r="A4827" s="538">
        <v>10</v>
      </c>
      <c r="B4827" s="538" t="s">
        <v>6587</v>
      </c>
      <c r="C4827" s="538" t="s">
        <v>740</v>
      </c>
      <c r="D4827" s="538" t="s">
        <v>393</v>
      </c>
      <c r="E4827" s="538" t="s">
        <v>230</v>
      </c>
      <c r="F4827" s="538">
        <v>96819</v>
      </c>
      <c r="G4827" s="538">
        <v>3</v>
      </c>
    </row>
    <row r="4828" spans="1:7" x14ac:dyDescent="0.2">
      <c r="A4828" s="538">
        <v>12</v>
      </c>
      <c r="B4828" s="538" t="s">
        <v>6616</v>
      </c>
      <c r="C4828" s="538" t="s">
        <v>740</v>
      </c>
      <c r="D4828" s="538" t="s">
        <v>393</v>
      </c>
      <c r="E4828" s="538" t="s">
        <v>210</v>
      </c>
      <c r="F4828" s="538">
        <v>164787</v>
      </c>
      <c r="G4828" s="538">
        <v>9</v>
      </c>
    </row>
    <row r="4829" spans="1:7" x14ac:dyDescent="0.2">
      <c r="A4829" s="538">
        <v>11</v>
      </c>
      <c r="B4829" s="538" t="s">
        <v>6584</v>
      </c>
      <c r="C4829" s="538" t="s">
        <v>740</v>
      </c>
      <c r="D4829" s="538" t="s">
        <v>740</v>
      </c>
      <c r="E4829" s="538" t="s">
        <v>209</v>
      </c>
      <c r="F4829" s="538">
        <v>50268</v>
      </c>
      <c r="G4829" s="538">
        <v>1</v>
      </c>
    </row>
    <row r="4830" spans="1:7" x14ac:dyDescent="0.2">
      <c r="A4830" s="538">
        <v>11</v>
      </c>
      <c r="B4830" s="538" t="s">
        <v>6660</v>
      </c>
      <c r="C4830" s="538" t="s">
        <v>393</v>
      </c>
      <c r="D4830" s="538" t="s">
        <v>393</v>
      </c>
      <c r="E4830" s="538" t="s">
        <v>212</v>
      </c>
      <c r="F4830" s="538">
        <v>2172269</v>
      </c>
      <c r="G4830" s="538">
        <v>113</v>
      </c>
    </row>
    <row r="4831" spans="1:7" x14ac:dyDescent="0.2">
      <c r="A4831" s="538">
        <v>3</v>
      </c>
      <c r="B4831" s="538" t="s">
        <v>6586</v>
      </c>
      <c r="C4831" s="538" t="s">
        <v>740</v>
      </c>
      <c r="D4831" s="538" t="s">
        <v>393</v>
      </c>
      <c r="E4831" s="538" t="s">
        <v>230</v>
      </c>
      <c r="F4831" s="538">
        <v>15507918</v>
      </c>
      <c r="G4831" s="538">
        <v>416</v>
      </c>
    </row>
    <row r="4832" spans="1:7" x14ac:dyDescent="0.2">
      <c r="A4832" s="538">
        <v>7</v>
      </c>
      <c r="B4832" s="538" t="s">
        <v>6571</v>
      </c>
      <c r="C4832" s="538" t="s">
        <v>393</v>
      </c>
      <c r="D4832" s="538" t="s">
        <v>393</v>
      </c>
      <c r="E4832" s="538" t="s">
        <v>390</v>
      </c>
      <c r="F4832" s="538">
        <v>10679483</v>
      </c>
      <c r="G4832" s="538">
        <v>231</v>
      </c>
    </row>
    <row r="4833" spans="1:7" x14ac:dyDescent="0.2">
      <c r="A4833" s="538">
        <v>11</v>
      </c>
      <c r="B4833" s="538" t="s">
        <v>6610</v>
      </c>
      <c r="C4833" s="538" t="s">
        <v>740</v>
      </c>
      <c r="D4833" s="538" t="s">
        <v>740</v>
      </c>
      <c r="E4833" s="538" t="s">
        <v>402</v>
      </c>
      <c r="F4833" s="538">
        <v>11328</v>
      </c>
      <c r="G4833" s="538">
        <v>1</v>
      </c>
    </row>
    <row r="4834" spans="1:7" x14ac:dyDescent="0.2">
      <c r="A4834" s="538">
        <v>9</v>
      </c>
      <c r="B4834" s="538" t="s">
        <v>6645</v>
      </c>
      <c r="C4834" s="538" t="s">
        <v>740</v>
      </c>
      <c r="D4834" s="538" t="s">
        <v>393</v>
      </c>
      <c r="E4834" s="538" t="s">
        <v>209</v>
      </c>
      <c r="F4834" s="538">
        <v>671132</v>
      </c>
      <c r="G4834" s="538">
        <v>4</v>
      </c>
    </row>
    <row r="4835" spans="1:7" x14ac:dyDescent="0.2">
      <c r="A4835" s="538">
        <v>10</v>
      </c>
      <c r="B4835" s="538" t="s">
        <v>6582</v>
      </c>
      <c r="C4835" s="538" t="s">
        <v>740</v>
      </c>
      <c r="D4835" s="538" t="s">
        <v>393</v>
      </c>
      <c r="E4835" s="538" t="s">
        <v>230</v>
      </c>
      <c r="F4835" s="538">
        <v>507761</v>
      </c>
      <c r="G4835" s="538">
        <v>2</v>
      </c>
    </row>
    <row r="4836" spans="1:7" x14ac:dyDescent="0.2">
      <c r="A4836" s="538">
        <v>8</v>
      </c>
      <c r="B4836" s="538" t="s">
        <v>6560</v>
      </c>
      <c r="C4836" s="538" t="s">
        <v>740</v>
      </c>
      <c r="D4836" s="538" t="s">
        <v>393</v>
      </c>
      <c r="E4836" s="538" t="s">
        <v>390</v>
      </c>
      <c r="F4836" s="538">
        <v>28522655</v>
      </c>
      <c r="G4836" s="538">
        <v>1030</v>
      </c>
    </row>
    <row r="4837" spans="1:7" x14ac:dyDescent="0.2">
      <c r="A4837" s="538">
        <v>8</v>
      </c>
      <c r="B4837" s="538" t="s">
        <v>6658</v>
      </c>
      <c r="C4837" s="538" t="s">
        <v>393</v>
      </c>
      <c r="D4837" s="538" t="s">
        <v>740</v>
      </c>
      <c r="E4837" s="538" t="s">
        <v>402</v>
      </c>
      <c r="F4837" s="538">
        <v>4362363</v>
      </c>
      <c r="G4837" s="538">
        <v>166</v>
      </c>
    </row>
    <row r="4838" spans="1:7" x14ac:dyDescent="0.2">
      <c r="A4838" s="538">
        <v>8</v>
      </c>
      <c r="B4838" s="538" t="s">
        <v>6577</v>
      </c>
      <c r="C4838" s="538" t="s">
        <v>740</v>
      </c>
      <c r="D4838" s="538" t="s">
        <v>393</v>
      </c>
      <c r="E4838" s="538" t="s">
        <v>212</v>
      </c>
      <c r="F4838" s="538">
        <v>1723980</v>
      </c>
      <c r="G4838" s="538">
        <v>135</v>
      </c>
    </row>
    <row r="4839" spans="1:7" x14ac:dyDescent="0.2">
      <c r="A4839" s="538">
        <v>11</v>
      </c>
      <c r="B4839" s="538" t="s">
        <v>6584</v>
      </c>
      <c r="C4839" s="538" t="s">
        <v>740</v>
      </c>
      <c r="D4839" s="538" t="s">
        <v>393</v>
      </c>
      <c r="E4839" s="538" t="s">
        <v>202</v>
      </c>
      <c r="F4839" s="538">
        <v>830786</v>
      </c>
      <c r="G4839" s="538">
        <v>7</v>
      </c>
    </row>
    <row r="4840" spans="1:7" x14ac:dyDescent="0.2">
      <c r="A4840" s="538">
        <v>9</v>
      </c>
      <c r="B4840" s="538" t="s">
        <v>6614</v>
      </c>
      <c r="C4840" s="538" t="s">
        <v>740</v>
      </c>
      <c r="D4840" s="538" t="s">
        <v>393</v>
      </c>
      <c r="E4840" s="538" t="s">
        <v>390</v>
      </c>
      <c r="F4840" s="538">
        <v>6639166</v>
      </c>
      <c r="G4840" s="538">
        <v>242</v>
      </c>
    </row>
    <row r="4841" spans="1:7" x14ac:dyDescent="0.2">
      <c r="A4841" s="538">
        <v>3</v>
      </c>
      <c r="B4841" s="538" t="s">
        <v>1390</v>
      </c>
      <c r="C4841" s="538" t="s">
        <v>740</v>
      </c>
      <c r="D4841" s="538" t="s">
        <v>393</v>
      </c>
      <c r="E4841" s="538" t="s">
        <v>212</v>
      </c>
      <c r="F4841" s="538">
        <v>549939</v>
      </c>
      <c r="G4841" s="538">
        <v>43</v>
      </c>
    </row>
    <row r="4842" spans="1:7" x14ac:dyDescent="0.2">
      <c r="A4842" s="538">
        <v>8</v>
      </c>
      <c r="B4842" s="538" t="s">
        <v>6648</v>
      </c>
      <c r="C4842" s="538" t="s">
        <v>393</v>
      </c>
      <c r="D4842" s="538" t="s">
        <v>740</v>
      </c>
      <c r="E4842" s="538" t="s">
        <v>212</v>
      </c>
      <c r="F4842" s="538">
        <v>101952</v>
      </c>
      <c r="G4842" s="538">
        <v>9</v>
      </c>
    </row>
    <row r="4843" spans="1:7" x14ac:dyDescent="0.2">
      <c r="A4843" s="538">
        <v>7</v>
      </c>
      <c r="B4843" s="538" t="s">
        <v>6564</v>
      </c>
      <c r="C4843" s="538" t="s">
        <v>740</v>
      </c>
      <c r="D4843" s="538" t="s">
        <v>393</v>
      </c>
      <c r="E4843" s="538" t="s">
        <v>860</v>
      </c>
      <c r="F4843" s="538">
        <v>45312</v>
      </c>
      <c r="G4843" s="538">
        <v>4</v>
      </c>
    </row>
    <row r="4844" spans="1:7" x14ac:dyDescent="0.2">
      <c r="A4844" s="538">
        <v>9</v>
      </c>
      <c r="B4844" s="538" t="s">
        <v>6606</v>
      </c>
      <c r="C4844" s="538" t="s">
        <v>740</v>
      </c>
      <c r="D4844" s="538" t="s">
        <v>393</v>
      </c>
      <c r="E4844" s="538" t="s">
        <v>401</v>
      </c>
      <c r="F4844" s="538">
        <v>289218</v>
      </c>
      <c r="G4844" s="538">
        <v>11</v>
      </c>
    </row>
    <row r="4845" spans="1:7" x14ac:dyDescent="0.2">
      <c r="A4845" s="538">
        <v>2</v>
      </c>
      <c r="B4845" s="538" t="s">
        <v>6573</v>
      </c>
      <c r="C4845" s="538" t="s">
        <v>393</v>
      </c>
      <c r="D4845" s="538" t="s">
        <v>393</v>
      </c>
      <c r="E4845" s="538" t="s">
        <v>401</v>
      </c>
      <c r="F4845" s="538">
        <v>1005839</v>
      </c>
      <c r="G4845" s="538">
        <v>28</v>
      </c>
    </row>
    <row r="4846" spans="1:7" x14ac:dyDescent="0.2">
      <c r="A4846" s="538">
        <v>9</v>
      </c>
      <c r="B4846" s="538" t="s">
        <v>6614</v>
      </c>
      <c r="C4846" s="538" t="s">
        <v>740</v>
      </c>
      <c r="D4846" s="538" t="s">
        <v>393</v>
      </c>
      <c r="E4846" s="538" t="s">
        <v>402</v>
      </c>
      <c r="F4846" s="538">
        <v>11328</v>
      </c>
      <c r="G4846" s="538">
        <v>1</v>
      </c>
    </row>
    <row r="4847" spans="1:7" x14ac:dyDescent="0.2">
      <c r="A4847" s="538">
        <v>11</v>
      </c>
      <c r="B4847" s="538" t="s">
        <v>6592</v>
      </c>
      <c r="C4847" s="538" t="s">
        <v>740</v>
      </c>
      <c r="D4847" s="538" t="s">
        <v>393</v>
      </c>
      <c r="E4847" s="538" t="s">
        <v>401</v>
      </c>
      <c r="F4847" s="538">
        <v>108147</v>
      </c>
      <c r="G4847" s="538">
        <v>4</v>
      </c>
    </row>
    <row r="4848" spans="1:7" x14ac:dyDescent="0.2">
      <c r="A4848" s="538">
        <v>7</v>
      </c>
      <c r="B4848" s="538" t="s">
        <v>6661</v>
      </c>
      <c r="C4848" s="538" t="s">
        <v>740</v>
      </c>
      <c r="D4848" s="538" t="s">
        <v>740</v>
      </c>
      <c r="E4848" s="538" t="s">
        <v>449</v>
      </c>
      <c r="F4848" s="538">
        <v>33984</v>
      </c>
      <c r="G4848" s="538">
        <v>3</v>
      </c>
    </row>
    <row r="4849" spans="1:7" x14ac:dyDescent="0.2">
      <c r="A4849" s="538">
        <v>3</v>
      </c>
      <c r="B4849" s="538" t="s">
        <v>6578</v>
      </c>
      <c r="C4849" s="538" t="s">
        <v>740</v>
      </c>
      <c r="D4849" s="538" t="s">
        <v>393</v>
      </c>
      <c r="E4849" s="538" t="s">
        <v>401</v>
      </c>
      <c r="F4849" s="538">
        <v>22656</v>
      </c>
      <c r="G4849" s="538">
        <v>2</v>
      </c>
    </row>
    <row r="4850" spans="1:7" x14ac:dyDescent="0.2">
      <c r="A4850" s="538">
        <v>1</v>
      </c>
      <c r="B4850" s="538" t="s">
        <v>6646</v>
      </c>
      <c r="C4850" s="538" t="s">
        <v>740</v>
      </c>
      <c r="D4850" s="538" t="s">
        <v>393</v>
      </c>
      <c r="E4850" s="538" t="s">
        <v>419</v>
      </c>
      <c r="F4850" s="538">
        <v>11328</v>
      </c>
      <c r="G4850" s="538">
        <v>1</v>
      </c>
    </row>
    <row r="4851" spans="1:7" x14ac:dyDescent="0.2">
      <c r="A4851" s="538">
        <v>6</v>
      </c>
      <c r="B4851" s="538" t="s">
        <v>6617</v>
      </c>
      <c r="C4851" s="538" t="s">
        <v>393</v>
      </c>
      <c r="D4851" s="538" t="s">
        <v>740</v>
      </c>
      <c r="E4851" s="538" t="s">
        <v>210</v>
      </c>
      <c r="F4851" s="538">
        <v>1049506</v>
      </c>
      <c r="G4851" s="538">
        <v>7</v>
      </c>
    </row>
    <row r="4852" spans="1:7" x14ac:dyDescent="0.2">
      <c r="A4852" s="538">
        <v>11</v>
      </c>
      <c r="B4852" s="538" t="s">
        <v>6610</v>
      </c>
      <c r="C4852" s="538" t="s">
        <v>740</v>
      </c>
      <c r="D4852" s="538" t="s">
        <v>740</v>
      </c>
      <c r="E4852" s="538" t="s">
        <v>230</v>
      </c>
      <c r="F4852" s="538">
        <v>106908</v>
      </c>
      <c r="G4852" s="538">
        <v>6</v>
      </c>
    </row>
    <row r="4853" spans="1:7" x14ac:dyDescent="0.2">
      <c r="A4853" s="538">
        <v>7</v>
      </c>
      <c r="B4853" s="538" t="s">
        <v>6604</v>
      </c>
      <c r="C4853" s="538" t="s">
        <v>740</v>
      </c>
      <c r="D4853" s="538" t="s">
        <v>740</v>
      </c>
      <c r="E4853" s="538" t="s">
        <v>390</v>
      </c>
      <c r="F4853" s="538">
        <v>22656</v>
      </c>
      <c r="G4853" s="538">
        <v>2</v>
      </c>
    </row>
    <row r="4854" spans="1:7" x14ac:dyDescent="0.2">
      <c r="A4854" s="538">
        <v>4</v>
      </c>
      <c r="B4854" s="538" t="s">
        <v>6562</v>
      </c>
      <c r="C4854" s="538" t="s">
        <v>393</v>
      </c>
      <c r="D4854" s="538" t="s">
        <v>740</v>
      </c>
      <c r="E4854" s="538" t="s">
        <v>402</v>
      </c>
      <c r="F4854" s="538">
        <v>7146646</v>
      </c>
      <c r="G4854" s="538">
        <v>212</v>
      </c>
    </row>
    <row r="4855" spans="1:7" x14ac:dyDescent="0.2">
      <c r="A4855" s="538">
        <v>10</v>
      </c>
      <c r="B4855" s="538" t="s">
        <v>6582</v>
      </c>
      <c r="C4855" s="538" t="s">
        <v>393</v>
      </c>
      <c r="D4855" s="538" t="s">
        <v>393</v>
      </c>
      <c r="E4855" s="538" t="s">
        <v>211</v>
      </c>
      <c r="F4855" s="538">
        <v>6796332</v>
      </c>
      <c r="G4855" s="538">
        <v>74</v>
      </c>
    </row>
    <row r="4856" spans="1:7" x14ac:dyDescent="0.2">
      <c r="A4856" s="538">
        <v>4</v>
      </c>
      <c r="B4856" s="538" t="s">
        <v>6574</v>
      </c>
      <c r="C4856" s="538" t="s">
        <v>740</v>
      </c>
      <c r="D4856" s="538" t="s">
        <v>393</v>
      </c>
      <c r="E4856" s="538" t="s">
        <v>210</v>
      </c>
      <c r="F4856" s="538">
        <v>742161</v>
      </c>
      <c r="G4856" s="538">
        <v>42</v>
      </c>
    </row>
    <row r="4857" spans="1:7" x14ac:dyDescent="0.2">
      <c r="A4857" s="538">
        <v>8</v>
      </c>
      <c r="B4857" s="538" t="s">
        <v>6648</v>
      </c>
      <c r="C4857" s="538" t="s">
        <v>393</v>
      </c>
      <c r="D4857" s="538" t="s">
        <v>740</v>
      </c>
      <c r="E4857" s="538" t="s">
        <v>207</v>
      </c>
      <c r="F4857" s="538">
        <v>1583619</v>
      </c>
      <c r="G4857" s="538">
        <v>83</v>
      </c>
    </row>
    <row r="4858" spans="1:7" x14ac:dyDescent="0.2">
      <c r="A4858" s="538">
        <v>11</v>
      </c>
      <c r="B4858" s="538" t="s">
        <v>6584</v>
      </c>
      <c r="C4858" s="538" t="s">
        <v>393</v>
      </c>
      <c r="D4858" s="538" t="s">
        <v>740</v>
      </c>
      <c r="E4858" s="538" t="s">
        <v>438</v>
      </c>
      <c r="F4858" s="538">
        <v>96819</v>
      </c>
      <c r="G4858" s="538">
        <v>3</v>
      </c>
    </row>
    <row r="4859" spans="1:7" x14ac:dyDescent="0.2">
      <c r="A4859" s="538">
        <v>2</v>
      </c>
      <c r="B4859" s="538" t="s">
        <v>6656</v>
      </c>
      <c r="C4859" s="538" t="s">
        <v>393</v>
      </c>
      <c r="D4859" s="538" t="s">
        <v>740</v>
      </c>
      <c r="E4859" s="538" t="s">
        <v>449</v>
      </c>
      <c r="F4859" s="538">
        <v>396303</v>
      </c>
      <c r="G4859" s="538">
        <v>26</v>
      </c>
    </row>
    <row r="4860" spans="1:7" x14ac:dyDescent="0.2">
      <c r="A4860" s="538">
        <v>8</v>
      </c>
      <c r="B4860" s="538" t="s">
        <v>6577</v>
      </c>
      <c r="C4860" s="538" t="s">
        <v>393</v>
      </c>
      <c r="D4860" s="538" t="s">
        <v>393</v>
      </c>
      <c r="E4860" s="538" t="s">
        <v>202</v>
      </c>
      <c r="F4860" s="538">
        <v>2805419</v>
      </c>
      <c r="G4860" s="538">
        <v>23</v>
      </c>
    </row>
    <row r="4861" spans="1:7" x14ac:dyDescent="0.2">
      <c r="A4861" s="538">
        <v>11</v>
      </c>
      <c r="B4861" s="538" t="s">
        <v>6592</v>
      </c>
      <c r="C4861" s="538" t="s">
        <v>740</v>
      </c>
      <c r="D4861" s="538" t="s">
        <v>393</v>
      </c>
      <c r="E4861" s="538" t="s">
        <v>212</v>
      </c>
      <c r="F4861" s="538">
        <v>2394706</v>
      </c>
      <c r="G4861" s="538">
        <v>112</v>
      </c>
    </row>
    <row r="4862" spans="1:7" x14ac:dyDescent="0.2">
      <c r="A4862" s="538">
        <v>2</v>
      </c>
      <c r="B4862" s="538" t="s">
        <v>6576</v>
      </c>
      <c r="C4862" s="538" t="s">
        <v>740</v>
      </c>
      <c r="D4862" s="538" t="s">
        <v>393</v>
      </c>
      <c r="E4862" s="538" t="s">
        <v>207</v>
      </c>
      <c r="F4862" s="538">
        <v>33984</v>
      </c>
      <c r="G4862" s="538">
        <v>3</v>
      </c>
    </row>
    <row r="4863" spans="1:7" x14ac:dyDescent="0.2">
      <c r="A4863" s="538">
        <v>4</v>
      </c>
      <c r="B4863" s="538" t="s">
        <v>6559</v>
      </c>
      <c r="C4863" s="538" t="s">
        <v>393</v>
      </c>
      <c r="D4863" s="538" t="s">
        <v>740</v>
      </c>
      <c r="E4863" s="538" t="s">
        <v>207</v>
      </c>
      <c r="F4863" s="538">
        <v>1447683</v>
      </c>
      <c r="G4863" s="538">
        <v>76</v>
      </c>
    </row>
    <row r="4864" spans="1:7" x14ac:dyDescent="0.2">
      <c r="A4864" s="538">
        <v>3</v>
      </c>
      <c r="B4864" s="538" t="s">
        <v>6591</v>
      </c>
      <c r="C4864" s="538" t="s">
        <v>740</v>
      </c>
      <c r="D4864" s="538" t="s">
        <v>393</v>
      </c>
      <c r="E4864" s="538" t="s">
        <v>207</v>
      </c>
      <c r="F4864" s="538">
        <v>96819</v>
      </c>
      <c r="G4864" s="538">
        <v>3</v>
      </c>
    </row>
    <row r="4865" spans="1:7" x14ac:dyDescent="0.2">
      <c r="A4865" s="538">
        <v>1</v>
      </c>
      <c r="B4865" s="538" t="s">
        <v>6595</v>
      </c>
      <c r="C4865" s="538" t="s">
        <v>740</v>
      </c>
      <c r="D4865" s="538" t="s">
        <v>393</v>
      </c>
      <c r="E4865" s="538" t="s">
        <v>860</v>
      </c>
      <c r="F4865" s="538">
        <v>864947</v>
      </c>
      <c r="G4865" s="538">
        <v>19</v>
      </c>
    </row>
    <row r="4866" spans="1:7" x14ac:dyDescent="0.2">
      <c r="A4866" s="538">
        <v>7</v>
      </c>
      <c r="B4866" s="538" t="s">
        <v>6564</v>
      </c>
      <c r="C4866" s="538" t="s">
        <v>740</v>
      </c>
      <c r="D4866" s="538" t="s">
        <v>393</v>
      </c>
      <c r="E4866" s="538" t="s">
        <v>390</v>
      </c>
      <c r="F4866" s="538">
        <v>431349</v>
      </c>
      <c r="G4866" s="538">
        <v>18</v>
      </c>
    </row>
    <row r="4867" spans="1:7" x14ac:dyDescent="0.2">
      <c r="A4867" s="538">
        <v>12</v>
      </c>
      <c r="B4867" s="538" t="s">
        <v>6616</v>
      </c>
      <c r="C4867" s="538" t="s">
        <v>393</v>
      </c>
      <c r="D4867" s="538" t="s">
        <v>393</v>
      </c>
      <c r="E4867" s="538" t="s">
        <v>209</v>
      </c>
      <c r="F4867" s="538">
        <v>2605409</v>
      </c>
      <c r="G4867" s="538">
        <v>13</v>
      </c>
    </row>
    <row r="4868" spans="1:7" x14ac:dyDescent="0.2">
      <c r="A4868" s="538">
        <v>12</v>
      </c>
      <c r="B4868" s="538" t="s">
        <v>6616</v>
      </c>
      <c r="C4868" s="538" t="s">
        <v>740</v>
      </c>
      <c r="D4868" s="538" t="s">
        <v>393</v>
      </c>
      <c r="E4868" s="538" t="s">
        <v>402</v>
      </c>
      <c r="F4868" s="538">
        <v>2437238</v>
      </c>
      <c r="G4868" s="538">
        <v>111</v>
      </c>
    </row>
    <row r="4869" spans="1:7" x14ac:dyDescent="0.2">
      <c r="A4869" s="538">
        <v>1</v>
      </c>
      <c r="B4869" s="538" t="s">
        <v>6609</v>
      </c>
      <c r="C4869" s="538" t="s">
        <v>393</v>
      </c>
      <c r="D4869" s="538" t="s">
        <v>393</v>
      </c>
      <c r="E4869" s="538" t="s">
        <v>409</v>
      </c>
      <c r="F4869" s="538">
        <v>1007661</v>
      </c>
      <c r="G4869" s="538">
        <v>62</v>
      </c>
    </row>
    <row r="4870" spans="1:7" x14ac:dyDescent="0.2">
      <c r="A4870" s="538">
        <v>8</v>
      </c>
      <c r="B4870" s="538" t="s">
        <v>6560</v>
      </c>
      <c r="C4870" s="538" t="s">
        <v>740</v>
      </c>
      <c r="D4870" s="538" t="s">
        <v>393</v>
      </c>
      <c r="E4870" s="538" t="s">
        <v>211</v>
      </c>
      <c r="F4870" s="538">
        <v>2408918</v>
      </c>
      <c r="G4870" s="538">
        <v>71</v>
      </c>
    </row>
    <row r="4871" spans="1:7" x14ac:dyDescent="0.2">
      <c r="A4871" s="538">
        <v>4</v>
      </c>
      <c r="B4871" s="538" t="s">
        <v>6572</v>
      </c>
      <c r="C4871" s="538" t="s">
        <v>740</v>
      </c>
      <c r="D4871" s="538" t="s">
        <v>393</v>
      </c>
      <c r="E4871" s="538" t="s">
        <v>207</v>
      </c>
      <c r="F4871" s="538">
        <v>6422268</v>
      </c>
      <c r="G4871" s="538">
        <v>466</v>
      </c>
    </row>
    <row r="4872" spans="1:7" x14ac:dyDescent="0.2">
      <c r="A4872" s="538">
        <v>4</v>
      </c>
      <c r="B4872" s="538" t="s">
        <v>6559</v>
      </c>
      <c r="C4872" s="538" t="s">
        <v>740</v>
      </c>
      <c r="D4872" s="538" t="s">
        <v>740</v>
      </c>
      <c r="E4872" s="538" t="s">
        <v>416</v>
      </c>
      <c r="F4872" s="538">
        <v>924117</v>
      </c>
      <c r="G4872" s="538">
        <v>29</v>
      </c>
    </row>
    <row r="4873" spans="1:7" x14ac:dyDescent="0.2">
      <c r="A4873" s="538">
        <v>9</v>
      </c>
      <c r="B4873" s="538" t="s">
        <v>6644</v>
      </c>
      <c r="C4873" s="538" t="s">
        <v>740</v>
      </c>
      <c r="D4873" s="538" t="s">
        <v>393</v>
      </c>
      <c r="E4873" s="538" t="s">
        <v>401</v>
      </c>
      <c r="F4873" s="538">
        <v>113280</v>
      </c>
      <c r="G4873" s="538">
        <v>10</v>
      </c>
    </row>
    <row r="4874" spans="1:7" x14ac:dyDescent="0.2">
      <c r="A4874" s="538">
        <v>7</v>
      </c>
      <c r="B4874" s="538" t="s">
        <v>6564</v>
      </c>
      <c r="C4874" s="538" t="s">
        <v>740</v>
      </c>
      <c r="D4874" s="538" t="s">
        <v>393</v>
      </c>
      <c r="E4874" s="538" t="s">
        <v>409</v>
      </c>
      <c r="F4874" s="538">
        <v>2471295</v>
      </c>
      <c r="G4874" s="538">
        <v>35</v>
      </c>
    </row>
    <row r="4875" spans="1:7" x14ac:dyDescent="0.2">
      <c r="A4875" s="538">
        <v>11</v>
      </c>
      <c r="B4875" s="538" t="s">
        <v>6659</v>
      </c>
      <c r="C4875" s="538" t="s">
        <v>393</v>
      </c>
      <c r="D4875" s="538" t="s">
        <v>393</v>
      </c>
      <c r="E4875" s="538" t="s">
        <v>860</v>
      </c>
      <c r="F4875" s="538">
        <v>939110</v>
      </c>
      <c r="G4875" s="538">
        <v>20</v>
      </c>
    </row>
    <row r="4876" spans="1:7" x14ac:dyDescent="0.2">
      <c r="A4876" s="538">
        <v>11</v>
      </c>
      <c r="B4876" s="538" t="s">
        <v>6592</v>
      </c>
      <c r="C4876" s="538" t="s">
        <v>393</v>
      </c>
      <c r="D4876" s="538" t="s">
        <v>740</v>
      </c>
      <c r="E4876" s="538" t="s">
        <v>230</v>
      </c>
      <c r="F4876" s="538">
        <v>11328</v>
      </c>
      <c r="G4876" s="538">
        <v>1</v>
      </c>
    </row>
    <row r="4877" spans="1:7" x14ac:dyDescent="0.2">
      <c r="A4877" s="538">
        <v>1</v>
      </c>
      <c r="B4877" s="538" t="s">
        <v>6649</v>
      </c>
      <c r="C4877" s="538" t="s">
        <v>393</v>
      </c>
      <c r="D4877" s="538" t="s">
        <v>393</v>
      </c>
      <c r="E4877" s="538" t="s">
        <v>449</v>
      </c>
      <c r="F4877" s="538">
        <v>45312</v>
      </c>
      <c r="G4877" s="538">
        <v>4</v>
      </c>
    </row>
    <row r="4878" spans="1:7" x14ac:dyDescent="0.2">
      <c r="A4878" s="538">
        <v>8</v>
      </c>
      <c r="B4878" s="538" t="s">
        <v>6658</v>
      </c>
      <c r="C4878" s="538" t="s">
        <v>393</v>
      </c>
      <c r="D4878" s="538" t="s">
        <v>393</v>
      </c>
      <c r="E4878" s="538" t="s">
        <v>416</v>
      </c>
      <c r="F4878" s="538">
        <v>59562670</v>
      </c>
      <c r="G4878" s="538">
        <v>930</v>
      </c>
    </row>
    <row r="4879" spans="1:7" x14ac:dyDescent="0.2">
      <c r="A4879" s="538">
        <v>11</v>
      </c>
      <c r="B4879" s="538" t="s">
        <v>6592</v>
      </c>
      <c r="C4879" s="538" t="s">
        <v>393</v>
      </c>
      <c r="D4879" s="538" t="s">
        <v>740</v>
      </c>
      <c r="E4879" s="538" t="s">
        <v>409</v>
      </c>
      <c r="F4879" s="538">
        <v>22656</v>
      </c>
      <c r="G4879" s="538">
        <v>2</v>
      </c>
    </row>
    <row r="4880" spans="1:7" x14ac:dyDescent="0.2">
      <c r="A4880" s="538">
        <v>10</v>
      </c>
      <c r="B4880" s="538" t="s">
        <v>6611</v>
      </c>
      <c r="C4880" s="538" t="s">
        <v>393</v>
      </c>
      <c r="D4880" s="538" t="s">
        <v>393</v>
      </c>
      <c r="E4880" s="538" t="s">
        <v>401</v>
      </c>
      <c r="F4880" s="538">
        <v>33984</v>
      </c>
      <c r="G4880" s="538">
        <v>3</v>
      </c>
    </row>
    <row r="4881" spans="1:7" x14ac:dyDescent="0.2">
      <c r="A4881" s="538">
        <v>5</v>
      </c>
      <c r="B4881" s="538" t="s">
        <v>6568</v>
      </c>
      <c r="C4881" s="538" t="s">
        <v>740</v>
      </c>
      <c r="D4881" s="538" t="s">
        <v>393</v>
      </c>
      <c r="E4881" s="538" t="s">
        <v>416</v>
      </c>
      <c r="F4881" s="538">
        <v>2053096</v>
      </c>
      <c r="G4881" s="538">
        <v>52</v>
      </c>
    </row>
    <row r="4882" spans="1:7" x14ac:dyDescent="0.2">
      <c r="A4882" s="538">
        <v>6</v>
      </c>
      <c r="B4882" s="538" t="s">
        <v>6617</v>
      </c>
      <c r="C4882" s="538" t="s">
        <v>393</v>
      </c>
      <c r="D4882" s="538" t="s">
        <v>740</v>
      </c>
      <c r="E4882" s="538" t="s">
        <v>390</v>
      </c>
      <c r="F4882" s="538">
        <v>7861570</v>
      </c>
      <c r="G4882" s="538">
        <v>125</v>
      </c>
    </row>
    <row r="4883" spans="1:7" x14ac:dyDescent="0.2">
      <c r="A4883" s="538">
        <v>5</v>
      </c>
      <c r="B4883" s="538" t="s">
        <v>6599</v>
      </c>
      <c r="C4883" s="538" t="s">
        <v>393</v>
      </c>
      <c r="D4883" s="538" t="s">
        <v>740</v>
      </c>
      <c r="E4883" s="538" t="s">
        <v>212</v>
      </c>
      <c r="F4883" s="538">
        <v>11328</v>
      </c>
      <c r="G4883" s="538">
        <v>1</v>
      </c>
    </row>
    <row r="4884" spans="1:7" x14ac:dyDescent="0.2">
      <c r="A4884" s="538">
        <v>9</v>
      </c>
      <c r="B4884" s="538" t="s">
        <v>6645</v>
      </c>
      <c r="C4884" s="538" t="s">
        <v>740</v>
      </c>
      <c r="D4884" s="538" t="s">
        <v>393</v>
      </c>
      <c r="E4884" s="538" t="s">
        <v>211</v>
      </c>
      <c r="F4884" s="538">
        <v>56640</v>
      </c>
      <c r="G4884" s="538">
        <v>5</v>
      </c>
    </row>
    <row r="4885" spans="1:7" x14ac:dyDescent="0.2">
      <c r="A4885" s="538">
        <v>8</v>
      </c>
      <c r="B4885" s="538" t="s">
        <v>6570</v>
      </c>
      <c r="C4885" s="538" t="s">
        <v>740</v>
      </c>
      <c r="D4885" s="538" t="s">
        <v>740</v>
      </c>
      <c r="E4885" s="538" t="s">
        <v>402</v>
      </c>
      <c r="F4885" s="538">
        <v>10494601</v>
      </c>
      <c r="G4885" s="538">
        <v>377</v>
      </c>
    </row>
    <row r="4886" spans="1:7" x14ac:dyDescent="0.2">
      <c r="A4886" s="538">
        <v>3</v>
      </c>
      <c r="B4886" s="538" t="s">
        <v>6578</v>
      </c>
      <c r="C4886" s="538" t="s">
        <v>740</v>
      </c>
      <c r="D4886" s="538" t="s">
        <v>393</v>
      </c>
      <c r="E4886" s="538" t="s">
        <v>202</v>
      </c>
      <c r="F4886" s="538">
        <v>284085</v>
      </c>
      <c r="G4886" s="538">
        <v>5</v>
      </c>
    </row>
    <row r="4887" spans="1:7" x14ac:dyDescent="0.2">
      <c r="A4887" s="538">
        <v>5</v>
      </c>
      <c r="B4887" s="538" t="s">
        <v>6568</v>
      </c>
      <c r="C4887" s="538" t="s">
        <v>740</v>
      </c>
      <c r="D4887" s="538" t="s">
        <v>393</v>
      </c>
      <c r="E4887" s="538" t="s">
        <v>230</v>
      </c>
      <c r="F4887" s="538">
        <v>16097859</v>
      </c>
      <c r="G4887" s="538">
        <v>448</v>
      </c>
    </row>
    <row r="4888" spans="1:7" x14ac:dyDescent="0.2">
      <c r="A4888" s="538">
        <v>4</v>
      </c>
      <c r="B4888" s="538" t="s">
        <v>6562</v>
      </c>
      <c r="C4888" s="538" t="s">
        <v>740</v>
      </c>
      <c r="D4888" s="538" t="s">
        <v>393</v>
      </c>
      <c r="E4888" s="538" t="s">
        <v>416</v>
      </c>
      <c r="F4888" s="538">
        <v>38902509</v>
      </c>
      <c r="G4888" s="538">
        <v>973</v>
      </c>
    </row>
    <row r="4889" spans="1:7" x14ac:dyDescent="0.2">
      <c r="A4889" s="538">
        <v>2</v>
      </c>
      <c r="B4889" s="538" t="s">
        <v>6576</v>
      </c>
      <c r="C4889" s="538" t="s">
        <v>740</v>
      </c>
      <c r="D4889" s="538" t="s">
        <v>393</v>
      </c>
      <c r="E4889" s="538" t="s">
        <v>212</v>
      </c>
      <c r="F4889" s="538">
        <v>11328</v>
      </c>
      <c r="G4889" s="538">
        <v>1</v>
      </c>
    </row>
    <row r="4890" spans="1:7" x14ac:dyDescent="0.2">
      <c r="A4890" s="538">
        <v>11</v>
      </c>
      <c r="B4890" s="538" t="s">
        <v>6592</v>
      </c>
      <c r="C4890" s="538" t="s">
        <v>740</v>
      </c>
      <c r="D4890" s="538" t="s">
        <v>740</v>
      </c>
      <c r="E4890" s="538" t="s">
        <v>416</v>
      </c>
      <c r="F4890" s="538">
        <v>531885</v>
      </c>
      <c r="G4890" s="538">
        <v>20</v>
      </c>
    </row>
    <row r="4891" spans="1:7" x14ac:dyDescent="0.2">
      <c r="A4891" s="538">
        <v>10</v>
      </c>
      <c r="B4891" s="538" t="s">
        <v>6597</v>
      </c>
      <c r="C4891" s="538" t="s">
        <v>740</v>
      </c>
      <c r="D4891" s="538" t="s">
        <v>393</v>
      </c>
      <c r="E4891" s="538" t="s">
        <v>416</v>
      </c>
      <c r="F4891" s="538">
        <v>4280943</v>
      </c>
      <c r="G4891" s="538">
        <v>116</v>
      </c>
    </row>
    <row r="4892" spans="1:7" x14ac:dyDescent="0.2">
      <c r="A4892" s="538">
        <v>4</v>
      </c>
      <c r="B4892" s="538" t="s">
        <v>6562</v>
      </c>
      <c r="C4892" s="538" t="s">
        <v>393</v>
      </c>
      <c r="D4892" s="538" t="s">
        <v>393</v>
      </c>
      <c r="E4892" s="538" t="s">
        <v>313</v>
      </c>
      <c r="F4892" s="538">
        <v>780518</v>
      </c>
      <c r="G4892" s="538">
        <v>6</v>
      </c>
    </row>
    <row r="4893" spans="1:7" x14ac:dyDescent="0.2">
      <c r="A4893" s="538">
        <v>8</v>
      </c>
      <c r="B4893" s="538" t="s">
        <v>6567</v>
      </c>
      <c r="C4893" s="538" t="s">
        <v>740</v>
      </c>
      <c r="D4893" s="538" t="s">
        <v>393</v>
      </c>
      <c r="E4893" s="538" t="s">
        <v>419</v>
      </c>
      <c r="F4893" s="538">
        <v>11328</v>
      </c>
      <c r="G4893" s="538">
        <v>1</v>
      </c>
    </row>
    <row r="4894" spans="1:7" x14ac:dyDescent="0.2">
      <c r="A4894" s="538">
        <v>4</v>
      </c>
      <c r="B4894" s="538" t="s">
        <v>6562</v>
      </c>
      <c r="C4894" s="538" t="s">
        <v>740</v>
      </c>
      <c r="D4894" s="538" t="s">
        <v>393</v>
      </c>
      <c r="E4894" s="538" t="s">
        <v>230</v>
      </c>
      <c r="F4894" s="538">
        <v>530417</v>
      </c>
      <c r="G4894" s="538">
        <v>4</v>
      </c>
    </row>
    <row r="4895" spans="1:7" x14ac:dyDescent="0.2">
      <c r="A4895" s="538">
        <v>6</v>
      </c>
      <c r="B4895" s="538" t="s">
        <v>6429</v>
      </c>
      <c r="C4895" s="538" t="s">
        <v>740</v>
      </c>
      <c r="D4895" s="538" t="s">
        <v>740</v>
      </c>
      <c r="E4895" s="538" t="s">
        <v>209</v>
      </c>
      <c r="F4895" s="538">
        <v>27113092</v>
      </c>
      <c r="G4895" s="538">
        <v>84</v>
      </c>
    </row>
    <row r="4896" spans="1:7" x14ac:dyDescent="0.2">
      <c r="A4896" s="538">
        <v>4</v>
      </c>
      <c r="B4896" s="538" t="s">
        <v>6574</v>
      </c>
      <c r="C4896" s="538" t="s">
        <v>740</v>
      </c>
      <c r="D4896" s="538" t="s">
        <v>740</v>
      </c>
      <c r="E4896" s="538" t="s">
        <v>402</v>
      </c>
      <c r="F4896" s="538">
        <v>23708276</v>
      </c>
      <c r="G4896" s="538">
        <v>1002</v>
      </c>
    </row>
    <row r="4897" spans="1:7" x14ac:dyDescent="0.2">
      <c r="A4897" s="538">
        <v>3</v>
      </c>
      <c r="B4897" s="538" t="s">
        <v>6586</v>
      </c>
      <c r="C4897" s="538" t="s">
        <v>740</v>
      </c>
      <c r="D4897" s="538" t="s">
        <v>393</v>
      </c>
      <c r="E4897" s="538" t="s">
        <v>212</v>
      </c>
      <c r="F4897" s="538">
        <v>577728</v>
      </c>
      <c r="G4897" s="538">
        <v>51</v>
      </c>
    </row>
    <row r="4898" spans="1:7" x14ac:dyDescent="0.2">
      <c r="A4898" s="538">
        <v>1</v>
      </c>
      <c r="B4898" s="538" t="s">
        <v>1288</v>
      </c>
      <c r="C4898" s="538" t="s">
        <v>393</v>
      </c>
      <c r="D4898" s="538" t="s">
        <v>393</v>
      </c>
      <c r="E4898" s="538" t="s">
        <v>402</v>
      </c>
      <c r="F4898" s="538">
        <v>3948839</v>
      </c>
      <c r="G4898" s="538">
        <v>88</v>
      </c>
    </row>
    <row r="4899" spans="1:7" x14ac:dyDescent="0.2">
      <c r="A4899" s="538">
        <v>3</v>
      </c>
      <c r="B4899" s="538" t="s">
        <v>6591</v>
      </c>
      <c r="C4899" s="538" t="s">
        <v>393</v>
      </c>
      <c r="D4899" s="538" t="s">
        <v>393</v>
      </c>
      <c r="E4899" s="538" t="s">
        <v>209</v>
      </c>
      <c r="F4899" s="538">
        <v>496433</v>
      </c>
      <c r="G4899" s="538">
        <v>1</v>
      </c>
    </row>
    <row r="4900" spans="1:7" x14ac:dyDescent="0.2">
      <c r="A4900" s="538">
        <v>3</v>
      </c>
      <c r="B4900" s="538" t="s">
        <v>6561</v>
      </c>
      <c r="C4900" s="538" t="s">
        <v>740</v>
      </c>
      <c r="D4900" s="538" t="s">
        <v>740</v>
      </c>
      <c r="E4900" s="538" t="s">
        <v>211</v>
      </c>
      <c r="F4900" s="538">
        <v>85491</v>
      </c>
      <c r="G4900" s="538">
        <v>2</v>
      </c>
    </row>
    <row r="4901" spans="1:7" x14ac:dyDescent="0.2">
      <c r="A4901" s="538">
        <v>3</v>
      </c>
      <c r="B4901" s="538" t="s">
        <v>6591</v>
      </c>
      <c r="C4901" s="538" t="s">
        <v>740</v>
      </c>
      <c r="D4901" s="538" t="s">
        <v>393</v>
      </c>
      <c r="E4901" s="538" t="s">
        <v>401</v>
      </c>
      <c r="F4901" s="538">
        <v>11328</v>
      </c>
      <c r="G4901" s="538">
        <v>1</v>
      </c>
    </row>
    <row r="4902" spans="1:7" x14ac:dyDescent="0.2">
      <c r="A4902" s="538">
        <v>5</v>
      </c>
      <c r="B4902" s="538" t="s">
        <v>6568</v>
      </c>
      <c r="C4902" s="538" t="s">
        <v>740</v>
      </c>
      <c r="D4902" s="538" t="s">
        <v>393</v>
      </c>
      <c r="E4902" s="538" t="s">
        <v>860</v>
      </c>
      <c r="F4902" s="538">
        <v>4416827</v>
      </c>
      <c r="G4902" s="538">
        <v>119</v>
      </c>
    </row>
    <row r="4903" spans="1:7" x14ac:dyDescent="0.2">
      <c r="A4903" s="538">
        <v>3</v>
      </c>
      <c r="B4903" s="538" t="s">
        <v>6603</v>
      </c>
      <c r="C4903" s="538" t="s">
        <v>740</v>
      </c>
      <c r="D4903" s="538" t="s">
        <v>393</v>
      </c>
      <c r="E4903" s="538" t="s">
        <v>449</v>
      </c>
      <c r="F4903" s="538">
        <v>90624</v>
      </c>
      <c r="G4903" s="538">
        <v>8</v>
      </c>
    </row>
    <row r="4904" spans="1:7" x14ac:dyDescent="0.2">
      <c r="A4904" s="538">
        <v>7</v>
      </c>
      <c r="B4904" s="538" t="s">
        <v>6571</v>
      </c>
      <c r="C4904" s="538" t="s">
        <v>393</v>
      </c>
      <c r="D4904" s="538" t="s">
        <v>393</v>
      </c>
      <c r="E4904" s="538" t="s">
        <v>860</v>
      </c>
      <c r="F4904" s="538">
        <v>1585337</v>
      </c>
      <c r="G4904" s="538">
        <v>39</v>
      </c>
    </row>
    <row r="4905" spans="1:7" x14ac:dyDescent="0.2">
      <c r="A4905" s="538">
        <v>2</v>
      </c>
      <c r="B4905" s="538" t="s">
        <v>6608</v>
      </c>
      <c r="C4905" s="538" t="s">
        <v>740</v>
      </c>
      <c r="D4905" s="538" t="s">
        <v>393</v>
      </c>
      <c r="E4905" s="538" t="s">
        <v>207</v>
      </c>
      <c r="F4905" s="538">
        <v>430464</v>
      </c>
      <c r="G4905" s="538">
        <v>38</v>
      </c>
    </row>
    <row r="4906" spans="1:7" x14ac:dyDescent="0.2">
      <c r="A4906" s="538">
        <v>4</v>
      </c>
      <c r="B4906" s="538" t="s">
        <v>6572</v>
      </c>
      <c r="C4906" s="538" t="s">
        <v>740</v>
      </c>
      <c r="D4906" s="538" t="s">
        <v>740</v>
      </c>
      <c r="E4906" s="538" t="s">
        <v>202</v>
      </c>
      <c r="F4906" s="538">
        <v>5519027</v>
      </c>
      <c r="G4906" s="538">
        <v>49</v>
      </c>
    </row>
    <row r="4907" spans="1:7" x14ac:dyDescent="0.2">
      <c r="A4907" s="538">
        <v>8</v>
      </c>
      <c r="B4907" s="538" t="s">
        <v>6658</v>
      </c>
      <c r="C4907" s="538" t="s">
        <v>740</v>
      </c>
      <c r="D4907" s="538" t="s">
        <v>393</v>
      </c>
      <c r="E4907" s="538" t="s">
        <v>207</v>
      </c>
      <c r="F4907" s="538">
        <v>118236</v>
      </c>
      <c r="G4907" s="538">
        <v>7</v>
      </c>
    </row>
    <row r="4908" spans="1:7" x14ac:dyDescent="0.2">
      <c r="A4908" s="538">
        <v>1</v>
      </c>
      <c r="B4908" s="538" t="s">
        <v>6581</v>
      </c>
      <c r="C4908" s="538" t="s">
        <v>740</v>
      </c>
      <c r="D4908" s="538" t="s">
        <v>393</v>
      </c>
      <c r="E4908" s="538" t="s">
        <v>207</v>
      </c>
      <c r="F4908" s="538">
        <v>113280</v>
      </c>
      <c r="G4908" s="538">
        <v>10</v>
      </c>
    </row>
    <row r="4909" spans="1:7" x14ac:dyDescent="0.2">
      <c r="A4909" s="538">
        <v>7</v>
      </c>
      <c r="B4909" s="538" t="s">
        <v>6588</v>
      </c>
      <c r="C4909" s="538" t="s">
        <v>393</v>
      </c>
      <c r="D4909" s="538" t="s">
        <v>740</v>
      </c>
      <c r="E4909" s="538" t="s">
        <v>409</v>
      </c>
      <c r="F4909" s="538">
        <v>45312</v>
      </c>
      <c r="G4909" s="538">
        <v>4</v>
      </c>
    </row>
    <row r="4910" spans="1:7" x14ac:dyDescent="0.2">
      <c r="A4910" s="538">
        <v>8</v>
      </c>
      <c r="B4910" s="538" t="s">
        <v>6560</v>
      </c>
      <c r="C4910" s="538" t="s">
        <v>740</v>
      </c>
      <c r="D4910" s="538" t="s">
        <v>393</v>
      </c>
      <c r="E4910" s="538" t="s">
        <v>449</v>
      </c>
      <c r="F4910" s="538">
        <v>1248683</v>
      </c>
      <c r="G4910" s="538">
        <v>46</v>
      </c>
    </row>
    <row r="4911" spans="1:7" x14ac:dyDescent="0.2">
      <c r="A4911" s="538">
        <v>10</v>
      </c>
      <c r="B4911" s="538" t="s">
        <v>6652</v>
      </c>
      <c r="C4911" s="538" t="s">
        <v>740</v>
      </c>
      <c r="D4911" s="538" t="s">
        <v>740</v>
      </c>
      <c r="E4911" s="538" t="s">
        <v>202</v>
      </c>
      <c r="F4911" s="538">
        <v>74163</v>
      </c>
      <c r="G4911" s="538">
        <v>1</v>
      </c>
    </row>
    <row r="4912" spans="1:7" x14ac:dyDescent="0.2">
      <c r="A4912" s="538">
        <v>3</v>
      </c>
      <c r="B4912" s="538" t="s">
        <v>6605</v>
      </c>
      <c r="C4912" s="538" t="s">
        <v>393</v>
      </c>
      <c r="D4912" s="538" t="s">
        <v>393</v>
      </c>
      <c r="E4912" s="538" t="s">
        <v>211</v>
      </c>
      <c r="F4912" s="538">
        <v>36304910</v>
      </c>
      <c r="G4912" s="538">
        <v>365</v>
      </c>
    </row>
    <row r="4913" spans="1:7" x14ac:dyDescent="0.2">
      <c r="A4913" s="538">
        <v>5</v>
      </c>
      <c r="B4913" s="538" t="s">
        <v>6568</v>
      </c>
      <c r="C4913" s="538" t="s">
        <v>740</v>
      </c>
      <c r="D4913" s="538" t="s">
        <v>393</v>
      </c>
      <c r="E4913" s="538" t="s">
        <v>210</v>
      </c>
      <c r="F4913" s="538">
        <v>544806</v>
      </c>
      <c r="G4913" s="538">
        <v>37</v>
      </c>
    </row>
    <row r="4914" spans="1:7" x14ac:dyDescent="0.2">
      <c r="A4914" s="538">
        <v>11</v>
      </c>
      <c r="B4914" s="538" t="s">
        <v>6612</v>
      </c>
      <c r="C4914" s="538" t="s">
        <v>393</v>
      </c>
      <c r="D4914" s="538" t="s">
        <v>740</v>
      </c>
      <c r="E4914" s="538" t="s">
        <v>211</v>
      </c>
      <c r="F4914" s="538">
        <v>33984</v>
      </c>
      <c r="G4914" s="538">
        <v>3</v>
      </c>
    </row>
    <row r="4915" spans="1:7" x14ac:dyDescent="0.2">
      <c r="A4915" s="538">
        <v>4</v>
      </c>
      <c r="B4915" s="538" t="s">
        <v>6559</v>
      </c>
      <c r="C4915" s="538" t="s">
        <v>740</v>
      </c>
      <c r="D4915" s="538" t="s">
        <v>393</v>
      </c>
      <c r="E4915" s="538" t="s">
        <v>210</v>
      </c>
      <c r="F4915" s="538">
        <v>85491</v>
      </c>
      <c r="G4915" s="538">
        <v>2</v>
      </c>
    </row>
    <row r="4916" spans="1:7" x14ac:dyDescent="0.2">
      <c r="A4916" s="538">
        <v>10</v>
      </c>
      <c r="B4916" s="538" t="s">
        <v>6597</v>
      </c>
      <c r="C4916" s="538" t="s">
        <v>740</v>
      </c>
      <c r="D4916" s="538" t="s">
        <v>393</v>
      </c>
      <c r="E4916" s="538" t="s">
        <v>390</v>
      </c>
      <c r="F4916" s="538">
        <v>134520</v>
      </c>
      <c r="G4916" s="538">
        <v>5</v>
      </c>
    </row>
    <row r="4917" spans="1:7" x14ac:dyDescent="0.2">
      <c r="A4917" s="538">
        <v>6</v>
      </c>
      <c r="B4917" s="538" t="s">
        <v>6596</v>
      </c>
      <c r="C4917" s="538" t="s">
        <v>740</v>
      </c>
      <c r="D4917" s="538" t="s">
        <v>393</v>
      </c>
      <c r="E4917" s="538" t="s">
        <v>860</v>
      </c>
      <c r="F4917" s="538">
        <v>147264</v>
      </c>
      <c r="G4917" s="538">
        <v>13</v>
      </c>
    </row>
    <row r="4918" spans="1:7" x14ac:dyDescent="0.2">
      <c r="A4918" s="538">
        <v>10</v>
      </c>
      <c r="B4918" s="538" t="s">
        <v>6664</v>
      </c>
      <c r="C4918" s="538" t="s">
        <v>393</v>
      </c>
      <c r="D4918" s="538" t="s">
        <v>393</v>
      </c>
      <c r="E4918" s="538" t="s">
        <v>401</v>
      </c>
      <c r="F4918" s="538">
        <v>56640</v>
      </c>
      <c r="G4918" s="538">
        <v>5</v>
      </c>
    </row>
    <row r="4919" spans="1:7" x14ac:dyDescent="0.2">
      <c r="A4919" s="538">
        <v>8</v>
      </c>
      <c r="B4919" s="538" t="s">
        <v>6658</v>
      </c>
      <c r="C4919" s="538" t="s">
        <v>393</v>
      </c>
      <c r="D4919" s="538" t="s">
        <v>740</v>
      </c>
      <c r="E4919" s="538" t="s">
        <v>202</v>
      </c>
      <c r="F4919" s="538">
        <v>1334830</v>
      </c>
      <c r="G4919" s="538">
        <v>10</v>
      </c>
    </row>
    <row r="4920" spans="1:7" x14ac:dyDescent="0.2">
      <c r="A4920" s="538">
        <v>6</v>
      </c>
      <c r="B4920" s="538" t="s">
        <v>6429</v>
      </c>
      <c r="C4920" s="538" t="s">
        <v>740</v>
      </c>
      <c r="D4920" s="538" t="s">
        <v>740</v>
      </c>
      <c r="E4920" s="538" t="s">
        <v>419</v>
      </c>
      <c r="F4920" s="538">
        <v>11328</v>
      </c>
      <c r="G4920" s="538">
        <v>1</v>
      </c>
    </row>
    <row r="4921" spans="1:7" x14ac:dyDescent="0.2">
      <c r="A4921" s="538">
        <v>6</v>
      </c>
      <c r="B4921" s="538" t="s">
        <v>1668</v>
      </c>
      <c r="C4921" s="538" t="s">
        <v>740</v>
      </c>
      <c r="D4921" s="538" t="s">
        <v>393</v>
      </c>
      <c r="E4921" s="538" t="s">
        <v>212</v>
      </c>
      <c r="F4921" s="538">
        <v>1433346</v>
      </c>
      <c r="G4921" s="538">
        <v>112</v>
      </c>
    </row>
    <row r="4922" spans="1:7" x14ac:dyDescent="0.2">
      <c r="A4922" s="538">
        <v>11</v>
      </c>
      <c r="B4922" s="538" t="s">
        <v>6612</v>
      </c>
      <c r="C4922" s="538" t="s">
        <v>393</v>
      </c>
      <c r="D4922" s="538" t="s">
        <v>393</v>
      </c>
      <c r="E4922" s="538" t="s">
        <v>401</v>
      </c>
      <c r="F4922" s="538">
        <v>283200</v>
      </c>
      <c r="G4922" s="538">
        <v>25</v>
      </c>
    </row>
    <row r="4923" spans="1:7" x14ac:dyDescent="0.2">
      <c r="A4923" s="538">
        <v>7</v>
      </c>
      <c r="B4923" s="538" t="s">
        <v>6604</v>
      </c>
      <c r="C4923" s="538" t="s">
        <v>740</v>
      </c>
      <c r="D4923" s="538" t="s">
        <v>740</v>
      </c>
      <c r="E4923" s="538" t="s">
        <v>409</v>
      </c>
      <c r="F4923" s="538">
        <v>192576</v>
      </c>
      <c r="G4923" s="538">
        <v>17</v>
      </c>
    </row>
    <row r="4924" spans="1:7" x14ac:dyDescent="0.2">
      <c r="A4924" s="538">
        <v>4</v>
      </c>
      <c r="B4924" s="538" t="s">
        <v>6572</v>
      </c>
      <c r="C4924" s="538" t="s">
        <v>740</v>
      </c>
      <c r="D4924" s="538" t="s">
        <v>393</v>
      </c>
      <c r="E4924" s="538" t="s">
        <v>419</v>
      </c>
      <c r="F4924" s="538">
        <v>192399</v>
      </c>
      <c r="G4924" s="538">
        <v>8</v>
      </c>
    </row>
    <row r="4925" spans="1:7" x14ac:dyDescent="0.2">
      <c r="A4925" s="538">
        <v>3</v>
      </c>
      <c r="B4925" s="538" t="s">
        <v>6578</v>
      </c>
      <c r="C4925" s="538" t="s">
        <v>740</v>
      </c>
      <c r="D4925" s="538" t="s">
        <v>740</v>
      </c>
      <c r="E4925" s="538" t="s">
        <v>416</v>
      </c>
      <c r="F4925" s="538">
        <v>22656</v>
      </c>
      <c r="G4925" s="538">
        <v>2</v>
      </c>
    </row>
    <row r="4926" spans="1:7" x14ac:dyDescent="0.2">
      <c r="A4926" s="538">
        <v>3</v>
      </c>
      <c r="B4926" s="538" t="s">
        <v>6647</v>
      </c>
      <c r="C4926" s="538" t="s">
        <v>740</v>
      </c>
      <c r="D4926" s="538" t="s">
        <v>393</v>
      </c>
      <c r="E4926" s="538" t="s">
        <v>210</v>
      </c>
      <c r="F4926" s="538">
        <v>22656</v>
      </c>
      <c r="G4926" s="538">
        <v>2</v>
      </c>
    </row>
    <row r="4927" spans="1:7" x14ac:dyDescent="0.2">
      <c r="A4927" s="538">
        <v>1</v>
      </c>
      <c r="B4927" s="538" t="s">
        <v>6609</v>
      </c>
      <c r="C4927" s="538" t="s">
        <v>740</v>
      </c>
      <c r="D4927" s="538" t="s">
        <v>740</v>
      </c>
      <c r="E4927" s="538" t="s">
        <v>202</v>
      </c>
      <c r="F4927" s="538">
        <v>170982</v>
      </c>
      <c r="G4927" s="538">
        <v>4</v>
      </c>
    </row>
    <row r="4928" spans="1:7" x14ac:dyDescent="0.2">
      <c r="A4928" s="538">
        <v>6</v>
      </c>
      <c r="B4928" s="538" t="s">
        <v>6607</v>
      </c>
      <c r="C4928" s="538" t="s">
        <v>393</v>
      </c>
      <c r="D4928" s="538" t="s">
        <v>393</v>
      </c>
      <c r="E4928" s="538" t="s">
        <v>209</v>
      </c>
      <c r="F4928" s="538">
        <v>1067029</v>
      </c>
      <c r="G4928" s="538">
        <v>3</v>
      </c>
    </row>
    <row r="4929" spans="1:7" x14ac:dyDescent="0.2">
      <c r="A4929" s="538">
        <v>3</v>
      </c>
      <c r="B4929" s="538" t="s">
        <v>6586</v>
      </c>
      <c r="C4929" s="538" t="s">
        <v>740</v>
      </c>
      <c r="D4929" s="538" t="s">
        <v>393</v>
      </c>
      <c r="E4929" s="538" t="s">
        <v>210</v>
      </c>
      <c r="F4929" s="538">
        <v>1963409</v>
      </c>
      <c r="G4929" s="538">
        <v>98</v>
      </c>
    </row>
    <row r="4930" spans="1:7" x14ac:dyDescent="0.2">
      <c r="A4930" s="538">
        <v>5</v>
      </c>
      <c r="B4930" s="538" t="s">
        <v>6589</v>
      </c>
      <c r="C4930" s="538" t="s">
        <v>740</v>
      </c>
      <c r="D4930" s="538" t="s">
        <v>393</v>
      </c>
      <c r="E4930" s="538" t="s">
        <v>210</v>
      </c>
      <c r="F4930" s="538">
        <v>22656</v>
      </c>
      <c r="G4930" s="538">
        <v>2</v>
      </c>
    </row>
    <row r="4931" spans="1:7" x14ac:dyDescent="0.2">
      <c r="A4931" s="538">
        <v>8</v>
      </c>
      <c r="B4931" s="538" t="s">
        <v>6648</v>
      </c>
      <c r="C4931" s="538" t="s">
        <v>740</v>
      </c>
      <c r="D4931" s="538" t="s">
        <v>740</v>
      </c>
      <c r="E4931" s="538" t="s">
        <v>211</v>
      </c>
      <c r="F4931" s="538">
        <v>507761</v>
      </c>
      <c r="G4931" s="538">
        <v>2</v>
      </c>
    </row>
    <row r="4932" spans="1:7" x14ac:dyDescent="0.2">
      <c r="A4932" s="538">
        <v>12</v>
      </c>
      <c r="B4932" s="538" t="s">
        <v>6616</v>
      </c>
      <c r="C4932" s="538" t="s">
        <v>740</v>
      </c>
      <c r="D4932" s="538" t="s">
        <v>393</v>
      </c>
      <c r="E4932" s="538" t="s">
        <v>230</v>
      </c>
      <c r="F4932" s="538">
        <v>1774196</v>
      </c>
      <c r="G4932" s="538">
        <v>57</v>
      </c>
    </row>
    <row r="4933" spans="1:7" x14ac:dyDescent="0.2">
      <c r="A4933" s="538">
        <v>9</v>
      </c>
      <c r="B4933" s="538" t="s">
        <v>6606</v>
      </c>
      <c r="C4933" s="538" t="s">
        <v>740</v>
      </c>
      <c r="D4933" s="538" t="s">
        <v>740</v>
      </c>
      <c r="E4933" s="538" t="s">
        <v>202</v>
      </c>
      <c r="F4933" s="538">
        <v>1323502</v>
      </c>
      <c r="G4933" s="538">
        <v>9</v>
      </c>
    </row>
    <row r="4934" spans="1:7" x14ac:dyDescent="0.2">
      <c r="A4934" s="538">
        <v>6</v>
      </c>
      <c r="B4934" s="538" t="s">
        <v>6575</v>
      </c>
      <c r="C4934" s="538" t="s">
        <v>393</v>
      </c>
      <c r="D4934" s="538" t="s">
        <v>393</v>
      </c>
      <c r="E4934" s="538" t="s">
        <v>211</v>
      </c>
      <c r="F4934" s="538">
        <v>51893582</v>
      </c>
      <c r="G4934" s="538">
        <v>574</v>
      </c>
    </row>
    <row r="4935" spans="1:7" x14ac:dyDescent="0.2">
      <c r="A4935" s="538">
        <v>11</v>
      </c>
      <c r="B4935" s="538" t="s">
        <v>6660</v>
      </c>
      <c r="C4935" s="538" t="s">
        <v>393</v>
      </c>
      <c r="D4935" s="538" t="s">
        <v>393</v>
      </c>
      <c r="E4935" s="538" t="s">
        <v>207</v>
      </c>
      <c r="F4935" s="538">
        <v>6040375</v>
      </c>
      <c r="G4935" s="538">
        <v>330</v>
      </c>
    </row>
    <row r="4936" spans="1:7" x14ac:dyDescent="0.2">
      <c r="A4936" s="538">
        <v>3</v>
      </c>
      <c r="B4936" s="538" t="s">
        <v>6591</v>
      </c>
      <c r="C4936" s="538" t="s">
        <v>740</v>
      </c>
      <c r="D4936" s="538" t="s">
        <v>393</v>
      </c>
      <c r="E4936" s="538" t="s">
        <v>202</v>
      </c>
      <c r="F4936" s="538">
        <v>496433</v>
      </c>
      <c r="G4936" s="538">
        <v>1</v>
      </c>
    </row>
    <row r="4937" spans="1:7" x14ac:dyDescent="0.2">
      <c r="A4937" s="538">
        <v>8</v>
      </c>
      <c r="B4937" s="538" t="s">
        <v>6583</v>
      </c>
      <c r="C4937" s="538" t="s">
        <v>393</v>
      </c>
      <c r="D4937" s="538" t="s">
        <v>393</v>
      </c>
      <c r="E4937" s="538" t="s">
        <v>438</v>
      </c>
      <c r="F4937" s="538">
        <v>19273209</v>
      </c>
      <c r="G4937" s="538">
        <v>148</v>
      </c>
    </row>
    <row r="4938" spans="1:7" x14ac:dyDescent="0.2">
      <c r="A4938" s="538">
        <v>8</v>
      </c>
      <c r="B4938" s="538" t="s">
        <v>6570</v>
      </c>
      <c r="C4938" s="538" t="s">
        <v>740</v>
      </c>
      <c r="D4938" s="538" t="s">
        <v>393</v>
      </c>
      <c r="E4938" s="538" t="s">
        <v>438</v>
      </c>
      <c r="F4938" s="538">
        <v>690071</v>
      </c>
      <c r="G4938" s="538">
        <v>7</v>
      </c>
    </row>
    <row r="4939" spans="1:7" x14ac:dyDescent="0.2">
      <c r="A4939" s="538">
        <v>3</v>
      </c>
      <c r="B4939" s="538" t="s">
        <v>1390</v>
      </c>
      <c r="C4939" s="538" t="s">
        <v>740</v>
      </c>
      <c r="D4939" s="538" t="s">
        <v>393</v>
      </c>
      <c r="E4939" s="538" t="s">
        <v>860</v>
      </c>
      <c r="F4939" s="538">
        <v>2409449</v>
      </c>
      <c r="G4939" s="538">
        <v>98</v>
      </c>
    </row>
    <row r="4940" spans="1:7" x14ac:dyDescent="0.2">
      <c r="A4940" s="538">
        <v>2</v>
      </c>
      <c r="B4940" s="538" t="s">
        <v>6573</v>
      </c>
      <c r="C4940" s="538" t="s">
        <v>740</v>
      </c>
      <c r="D4940" s="538" t="s">
        <v>393</v>
      </c>
      <c r="E4940" s="538" t="s">
        <v>402</v>
      </c>
      <c r="F4940" s="538">
        <v>147264</v>
      </c>
      <c r="G4940" s="538">
        <v>13</v>
      </c>
    </row>
    <row r="4941" spans="1:7" x14ac:dyDescent="0.2">
      <c r="A4941" s="538">
        <v>2</v>
      </c>
      <c r="B4941" s="538" t="s">
        <v>6055</v>
      </c>
      <c r="C4941" s="538" t="s">
        <v>393</v>
      </c>
      <c r="D4941" s="538" t="s">
        <v>393</v>
      </c>
      <c r="E4941" s="538" t="s">
        <v>313</v>
      </c>
      <c r="F4941" s="538">
        <v>295413</v>
      </c>
      <c r="G4941" s="538">
        <v>6</v>
      </c>
    </row>
    <row r="4942" spans="1:7" x14ac:dyDescent="0.2">
      <c r="A4942" s="538">
        <v>3</v>
      </c>
      <c r="B4942" s="538" t="s">
        <v>6605</v>
      </c>
      <c r="C4942" s="538" t="s">
        <v>740</v>
      </c>
      <c r="D4942" s="538" t="s">
        <v>393</v>
      </c>
      <c r="E4942" s="538" t="s">
        <v>419</v>
      </c>
      <c r="F4942" s="538">
        <v>11328</v>
      </c>
      <c r="G4942" s="538">
        <v>1</v>
      </c>
    </row>
    <row r="4943" spans="1:7" x14ac:dyDescent="0.2">
      <c r="A4943" s="538">
        <v>4</v>
      </c>
      <c r="B4943" s="538" t="s">
        <v>6574</v>
      </c>
      <c r="C4943" s="538" t="s">
        <v>740</v>
      </c>
      <c r="D4943" s="538" t="s">
        <v>393</v>
      </c>
      <c r="E4943" s="538" t="s">
        <v>402</v>
      </c>
      <c r="F4943" s="538">
        <v>5686552</v>
      </c>
      <c r="G4943" s="538">
        <v>299</v>
      </c>
    </row>
    <row r="4944" spans="1:7" x14ac:dyDescent="0.2">
      <c r="A4944" s="538">
        <v>3</v>
      </c>
      <c r="B4944" s="538" t="s">
        <v>6605</v>
      </c>
      <c r="C4944" s="538" t="s">
        <v>740</v>
      </c>
      <c r="D4944" s="538" t="s">
        <v>393</v>
      </c>
      <c r="E4944" s="538" t="s">
        <v>209</v>
      </c>
      <c r="F4944" s="538">
        <v>3648543</v>
      </c>
      <c r="G4944" s="538">
        <v>16</v>
      </c>
    </row>
    <row r="4945" spans="1:7" x14ac:dyDescent="0.2">
      <c r="A4945" s="538">
        <v>10</v>
      </c>
      <c r="B4945" s="538" t="s">
        <v>6597</v>
      </c>
      <c r="C4945" s="538" t="s">
        <v>393</v>
      </c>
      <c r="D4945" s="538" t="s">
        <v>393</v>
      </c>
      <c r="E4945" s="538" t="s">
        <v>409</v>
      </c>
      <c r="F4945" s="538">
        <v>401436</v>
      </c>
      <c r="G4945" s="538">
        <v>32</v>
      </c>
    </row>
    <row r="4946" spans="1:7" x14ac:dyDescent="0.2">
      <c r="A4946" s="538">
        <v>10</v>
      </c>
      <c r="B4946" s="538" t="s">
        <v>6587</v>
      </c>
      <c r="C4946" s="538" t="s">
        <v>393</v>
      </c>
      <c r="D4946" s="538" t="s">
        <v>740</v>
      </c>
      <c r="E4946" s="538" t="s">
        <v>202</v>
      </c>
      <c r="F4946" s="538">
        <v>11328</v>
      </c>
      <c r="G4946" s="538">
        <v>1</v>
      </c>
    </row>
    <row r="4947" spans="1:7" x14ac:dyDescent="0.2">
      <c r="A4947" s="538">
        <v>8</v>
      </c>
      <c r="B4947" s="538" t="s">
        <v>6583</v>
      </c>
      <c r="C4947" s="538" t="s">
        <v>740</v>
      </c>
      <c r="D4947" s="538" t="s">
        <v>393</v>
      </c>
      <c r="E4947" s="538" t="s">
        <v>402</v>
      </c>
      <c r="F4947" s="538">
        <v>95580</v>
      </c>
      <c r="G4947" s="538">
        <v>5</v>
      </c>
    </row>
    <row r="4948" spans="1:7" x14ac:dyDescent="0.2">
      <c r="A4948" s="538">
        <v>12</v>
      </c>
      <c r="B4948" s="538" t="s">
        <v>6569</v>
      </c>
      <c r="C4948" s="538" t="s">
        <v>740</v>
      </c>
      <c r="D4948" s="538" t="s">
        <v>740</v>
      </c>
      <c r="E4948" s="538" t="s">
        <v>230</v>
      </c>
      <c r="F4948" s="538">
        <v>2949247</v>
      </c>
      <c r="G4948" s="538">
        <v>64</v>
      </c>
    </row>
    <row r="4949" spans="1:7" x14ac:dyDescent="0.2">
      <c r="A4949" s="538">
        <v>10</v>
      </c>
      <c r="B4949" s="538" t="s">
        <v>6653</v>
      </c>
      <c r="C4949" s="538" t="s">
        <v>740</v>
      </c>
      <c r="D4949" s="538" t="s">
        <v>393</v>
      </c>
      <c r="E4949" s="538" t="s">
        <v>230</v>
      </c>
      <c r="F4949" s="538">
        <v>148326</v>
      </c>
      <c r="G4949" s="538">
        <v>2</v>
      </c>
    </row>
    <row r="4950" spans="1:7" x14ac:dyDescent="0.2">
      <c r="A4950" s="538">
        <v>8</v>
      </c>
      <c r="B4950" s="538" t="s">
        <v>6570</v>
      </c>
      <c r="C4950" s="538" t="s">
        <v>740</v>
      </c>
      <c r="D4950" s="538" t="s">
        <v>393</v>
      </c>
      <c r="E4950" s="538" t="s">
        <v>419</v>
      </c>
      <c r="F4950" s="538">
        <v>22656</v>
      </c>
      <c r="G4950" s="538">
        <v>2</v>
      </c>
    </row>
    <row r="4951" spans="1:7" x14ac:dyDescent="0.2">
      <c r="A4951" s="538">
        <v>6</v>
      </c>
      <c r="B4951" s="538" t="s">
        <v>6596</v>
      </c>
      <c r="C4951" s="538" t="s">
        <v>393</v>
      </c>
      <c r="D4951" s="538" t="s">
        <v>740</v>
      </c>
      <c r="E4951" s="538" t="s">
        <v>402</v>
      </c>
      <c r="F4951" s="538">
        <v>641625</v>
      </c>
      <c r="G4951" s="538">
        <v>40</v>
      </c>
    </row>
    <row r="4952" spans="1:7" x14ac:dyDescent="0.2">
      <c r="A4952" s="538">
        <v>10</v>
      </c>
      <c r="B4952" s="538" t="s">
        <v>6652</v>
      </c>
      <c r="C4952" s="538" t="s">
        <v>393</v>
      </c>
      <c r="D4952" s="538" t="s">
        <v>393</v>
      </c>
      <c r="E4952" s="538" t="s">
        <v>211</v>
      </c>
      <c r="F4952" s="538">
        <v>1441967</v>
      </c>
      <c r="G4952" s="538">
        <v>34</v>
      </c>
    </row>
    <row r="4953" spans="1:7" x14ac:dyDescent="0.2">
      <c r="A4953" s="538">
        <v>10</v>
      </c>
      <c r="B4953" s="538" t="s">
        <v>6653</v>
      </c>
      <c r="C4953" s="538" t="s">
        <v>740</v>
      </c>
      <c r="D4953" s="538" t="s">
        <v>393</v>
      </c>
      <c r="E4953" s="538" t="s">
        <v>212</v>
      </c>
      <c r="F4953" s="538">
        <v>826767</v>
      </c>
      <c r="G4953" s="538">
        <v>64</v>
      </c>
    </row>
    <row r="4954" spans="1:7" x14ac:dyDescent="0.2">
      <c r="A4954" s="538">
        <v>6</v>
      </c>
      <c r="B4954" s="538" t="s">
        <v>6596</v>
      </c>
      <c r="C4954" s="538" t="s">
        <v>740</v>
      </c>
      <c r="D4954" s="538" t="s">
        <v>393</v>
      </c>
      <c r="E4954" s="538" t="s">
        <v>390</v>
      </c>
      <c r="F4954" s="538">
        <v>3259882</v>
      </c>
      <c r="G4954" s="538">
        <v>79</v>
      </c>
    </row>
    <row r="4955" spans="1:7" x14ac:dyDescent="0.2">
      <c r="A4955" s="538">
        <v>7</v>
      </c>
      <c r="B4955" s="538" t="s">
        <v>6579</v>
      </c>
      <c r="C4955" s="538" t="s">
        <v>393</v>
      </c>
      <c r="D4955" s="538" t="s">
        <v>393</v>
      </c>
      <c r="E4955" s="538" t="s">
        <v>390</v>
      </c>
      <c r="F4955" s="538">
        <v>9630404</v>
      </c>
      <c r="G4955" s="538">
        <v>163</v>
      </c>
    </row>
    <row r="4956" spans="1:7" x14ac:dyDescent="0.2">
      <c r="A4956" s="538">
        <v>9</v>
      </c>
      <c r="B4956" s="538" t="s">
        <v>6657</v>
      </c>
      <c r="C4956" s="538" t="s">
        <v>393</v>
      </c>
      <c r="D4956" s="538" t="s">
        <v>740</v>
      </c>
      <c r="E4956" s="538" t="s">
        <v>449</v>
      </c>
      <c r="F4956" s="538">
        <v>11328</v>
      </c>
      <c r="G4956" s="538">
        <v>1</v>
      </c>
    </row>
    <row r="4957" spans="1:7" x14ac:dyDescent="0.2">
      <c r="A4957" s="538">
        <v>7</v>
      </c>
      <c r="B4957" s="538" t="s">
        <v>6594</v>
      </c>
      <c r="C4957" s="538" t="s">
        <v>393</v>
      </c>
      <c r="D4957" s="538" t="s">
        <v>393</v>
      </c>
      <c r="E4957" s="538" t="s">
        <v>211</v>
      </c>
      <c r="F4957" s="538">
        <v>12933495</v>
      </c>
      <c r="G4957" s="538">
        <v>185</v>
      </c>
    </row>
    <row r="4958" spans="1:7" x14ac:dyDescent="0.2">
      <c r="A4958" s="538">
        <v>6</v>
      </c>
      <c r="B4958" s="538" t="s">
        <v>6596</v>
      </c>
      <c r="C4958" s="538" t="s">
        <v>740</v>
      </c>
      <c r="D4958" s="538" t="s">
        <v>393</v>
      </c>
      <c r="E4958" s="538" t="s">
        <v>211</v>
      </c>
      <c r="F4958" s="538">
        <v>272757</v>
      </c>
      <c r="G4958" s="538">
        <v>4</v>
      </c>
    </row>
    <row r="4959" spans="1:7" x14ac:dyDescent="0.2">
      <c r="A4959" s="538">
        <v>10</v>
      </c>
      <c r="B4959" s="538" t="s">
        <v>6653</v>
      </c>
      <c r="C4959" s="538" t="s">
        <v>393</v>
      </c>
      <c r="D4959" s="538" t="s">
        <v>740</v>
      </c>
      <c r="E4959" s="538" t="s">
        <v>449</v>
      </c>
      <c r="F4959" s="538">
        <v>33984</v>
      </c>
      <c r="G4959" s="538">
        <v>3</v>
      </c>
    </row>
    <row r="4960" spans="1:7" x14ac:dyDescent="0.2">
      <c r="A4960" s="538">
        <v>6</v>
      </c>
      <c r="B4960" s="538" t="s">
        <v>6429</v>
      </c>
      <c r="C4960" s="538" t="s">
        <v>393</v>
      </c>
      <c r="D4960" s="538" t="s">
        <v>740</v>
      </c>
      <c r="E4960" s="538" t="s">
        <v>416</v>
      </c>
      <c r="F4960" s="538">
        <v>1801756</v>
      </c>
      <c r="G4960" s="538">
        <v>52</v>
      </c>
    </row>
    <row r="4961" spans="1:7" x14ac:dyDescent="0.2">
      <c r="A4961" s="538">
        <v>2</v>
      </c>
      <c r="B4961" s="538" t="s">
        <v>6585</v>
      </c>
      <c r="C4961" s="538" t="s">
        <v>393</v>
      </c>
      <c r="D4961" s="538" t="s">
        <v>740</v>
      </c>
      <c r="E4961" s="538" t="s">
        <v>409</v>
      </c>
      <c r="F4961" s="538">
        <v>639324</v>
      </c>
      <c r="G4961" s="538">
        <v>53</v>
      </c>
    </row>
    <row r="4962" spans="1:7" x14ac:dyDescent="0.2">
      <c r="A4962" s="538">
        <v>1</v>
      </c>
      <c r="B4962" s="538" t="s">
        <v>6602</v>
      </c>
      <c r="C4962" s="538" t="s">
        <v>740</v>
      </c>
      <c r="D4962" s="538" t="s">
        <v>393</v>
      </c>
      <c r="E4962" s="538" t="s">
        <v>402</v>
      </c>
      <c r="F4962" s="538">
        <v>8747590</v>
      </c>
      <c r="G4962" s="538">
        <v>495</v>
      </c>
    </row>
    <row r="4963" spans="1:7" x14ac:dyDescent="0.2">
      <c r="A4963" s="538">
        <v>5</v>
      </c>
      <c r="B4963" s="538" t="s">
        <v>6650</v>
      </c>
      <c r="C4963" s="538" t="s">
        <v>740</v>
      </c>
      <c r="D4963" s="538" t="s">
        <v>393</v>
      </c>
      <c r="E4963" s="538" t="s">
        <v>230</v>
      </c>
      <c r="F4963" s="538">
        <v>11328</v>
      </c>
      <c r="G4963" s="538">
        <v>1</v>
      </c>
    </row>
    <row r="4964" spans="1:7" x14ac:dyDescent="0.2">
      <c r="A4964" s="538">
        <v>11</v>
      </c>
      <c r="B4964" s="538" t="s">
        <v>6584</v>
      </c>
      <c r="C4964" s="538" t="s">
        <v>740</v>
      </c>
      <c r="D4964" s="538" t="s">
        <v>740</v>
      </c>
      <c r="E4964" s="538" t="s">
        <v>401</v>
      </c>
      <c r="F4964" s="538">
        <v>11328</v>
      </c>
      <c r="G4964" s="538">
        <v>1</v>
      </c>
    </row>
    <row r="4965" spans="1:7" x14ac:dyDescent="0.2">
      <c r="A4965" s="538">
        <v>12</v>
      </c>
      <c r="B4965" s="538" t="s">
        <v>6616</v>
      </c>
      <c r="C4965" s="538" t="s">
        <v>393</v>
      </c>
      <c r="D4965" s="538" t="s">
        <v>740</v>
      </c>
      <c r="E4965" s="538" t="s">
        <v>211</v>
      </c>
      <c r="F4965" s="538">
        <v>1236772</v>
      </c>
      <c r="G4965" s="538">
        <v>9</v>
      </c>
    </row>
    <row r="4966" spans="1:7" x14ac:dyDescent="0.2">
      <c r="A4966" s="538">
        <v>7</v>
      </c>
      <c r="B4966" s="538" t="s">
        <v>6564</v>
      </c>
      <c r="C4966" s="538" t="s">
        <v>393</v>
      </c>
      <c r="D4966" s="538" t="s">
        <v>740</v>
      </c>
      <c r="E4966" s="538" t="s">
        <v>416</v>
      </c>
      <c r="F4966" s="538">
        <v>330636</v>
      </c>
      <c r="G4966" s="538">
        <v>7</v>
      </c>
    </row>
    <row r="4967" spans="1:7" x14ac:dyDescent="0.2">
      <c r="A4967" s="538">
        <v>9</v>
      </c>
      <c r="B4967" s="538" t="s">
        <v>948</v>
      </c>
      <c r="C4967" s="538" t="s">
        <v>740</v>
      </c>
      <c r="D4967" s="538" t="s">
        <v>393</v>
      </c>
      <c r="E4967" s="538" t="s">
        <v>449</v>
      </c>
      <c r="F4967" s="538">
        <v>50268</v>
      </c>
      <c r="G4967" s="538">
        <v>1</v>
      </c>
    </row>
    <row r="4968" spans="1:7" x14ac:dyDescent="0.2">
      <c r="A4968" s="538">
        <v>3</v>
      </c>
      <c r="B4968" s="538" t="s">
        <v>6561</v>
      </c>
      <c r="C4968" s="538" t="s">
        <v>740</v>
      </c>
      <c r="D4968" s="538" t="s">
        <v>740</v>
      </c>
      <c r="E4968" s="538" t="s">
        <v>209</v>
      </c>
      <c r="F4968" s="538">
        <v>11328</v>
      </c>
      <c r="G4968" s="538">
        <v>1</v>
      </c>
    </row>
    <row r="4969" spans="1:7" x14ac:dyDescent="0.2">
      <c r="A4969" s="538">
        <v>1</v>
      </c>
      <c r="B4969" s="538" t="s">
        <v>6609</v>
      </c>
      <c r="C4969" s="538" t="s">
        <v>740</v>
      </c>
      <c r="D4969" s="538" t="s">
        <v>393</v>
      </c>
      <c r="E4969" s="538" t="s">
        <v>390</v>
      </c>
      <c r="F4969" s="538">
        <v>507761</v>
      </c>
      <c r="G4969" s="538">
        <v>2</v>
      </c>
    </row>
    <row r="4970" spans="1:7" x14ac:dyDescent="0.2">
      <c r="A4970" s="538">
        <v>2</v>
      </c>
      <c r="B4970" s="538" t="s">
        <v>6055</v>
      </c>
      <c r="C4970" s="538" t="s">
        <v>393</v>
      </c>
      <c r="D4970" s="538" t="s">
        <v>740</v>
      </c>
      <c r="E4970" s="538" t="s">
        <v>212</v>
      </c>
      <c r="F4970" s="538">
        <v>11328</v>
      </c>
      <c r="G4970" s="538">
        <v>1</v>
      </c>
    </row>
    <row r="4971" spans="1:7" x14ac:dyDescent="0.2">
      <c r="A4971" s="538">
        <v>2</v>
      </c>
      <c r="B4971" s="538" t="s">
        <v>6662</v>
      </c>
      <c r="C4971" s="538" t="s">
        <v>393</v>
      </c>
      <c r="D4971" s="538" t="s">
        <v>393</v>
      </c>
      <c r="E4971" s="538" t="s">
        <v>449</v>
      </c>
      <c r="F4971" s="538">
        <v>176115</v>
      </c>
      <c r="G4971" s="538">
        <v>10</v>
      </c>
    </row>
    <row r="4972" spans="1:7" x14ac:dyDescent="0.2">
      <c r="A4972" s="538">
        <v>4</v>
      </c>
      <c r="B4972" s="538" t="s">
        <v>6559</v>
      </c>
      <c r="C4972" s="538" t="s">
        <v>740</v>
      </c>
      <c r="D4972" s="538" t="s">
        <v>393</v>
      </c>
      <c r="E4972" s="538" t="s">
        <v>860</v>
      </c>
      <c r="F4972" s="538">
        <v>3892886</v>
      </c>
      <c r="G4972" s="538">
        <v>207</v>
      </c>
    </row>
    <row r="4973" spans="1:7" x14ac:dyDescent="0.2">
      <c r="A4973" s="538">
        <v>4</v>
      </c>
      <c r="B4973" s="538" t="s">
        <v>6574</v>
      </c>
      <c r="C4973" s="538" t="s">
        <v>740</v>
      </c>
      <c r="D4973" s="538" t="s">
        <v>393</v>
      </c>
      <c r="E4973" s="538" t="s">
        <v>212</v>
      </c>
      <c r="F4973" s="538">
        <v>634191</v>
      </c>
      <c r="G4973" s="538">
        <v>47</v>
      </c>
    </row>
    <row r="4974" spans="1:7" x14ac:dyDescent="0.2">
      <c r="A4974" s="538">
        <v>9</v>
      </c>
      <c r="B4974" s="538" t="s">
        <v>6615</v>
      </c>
      <c r="C4974" s="538" t="s">
        <v>740</v>
      </c>
      <c r="D4974" s="538" t="s">
        <v>393</v>
      </c>
      <c r="E4974" s="538" t="s">
        <v>416</v>
      </c>
      <c r="F4974" s="538">
        <v>18132641</v>
      </c>
      <c r="G4974" s="538">
        <v>412</v>
      </c>
    </row>
    <row r="4975" spans="1:7" x14ac:dyDescent="0.2">
      <c r="A4975" s="538">
        <v>3</v>
      </c>
      <c r="B4975" s="538" t="s">
        <v>6578</v>
      </c>
      <c r="C4975" s="538" t="s">
        <v>393</v>
      </c>
      <c r="D4975" s="538" t="s">
        <v>740</v>
      </c>
      <c r="E4975" s="538" t="s">
        <v>390</v>
      </c>
      <c r="F4975" s="538">
        <v>4100757</v>
      </c>
      <c r="G4975" s="538">
        <v>89</v>
      </c>
    </row>
    <row r="4976" spans="1:7" x14ac:dyDescent="0.2">
      <c r="A4976" s="538">
        <v>3</v>
      </c>
      <c r="B4976" s="538" t="s">
        <v>6586</v>
      </c>
      <c r="C4976" s="538" t="s">
        <v>740</v>
      </c>
      <c r="D4976" s="538" t="s">
        <v>740</v>
      </c>
      <c r="E4976" s="538" t="s">
        <v>230</v>
      </c>
      <c r="F4976" s="538">
        <v>168504</v>
      </c>
      <c r="G4976" s="538">
        <v>8</v>
      </c>
    </row>
    <row r="4977" spans="1:7" x14ac:dyDescent="0.2">
      <c r="A4977" s="538">
        <v>11</v>
      </c>
      <c r="B4977" s="538" t="s">
        <v>6592</v>
      </c>
      <c r="C4977" s="538" t="s">
        <v>740</v>
      </c>
      <c r="D4977" s="538" t="s">
        <v>393</v>
      </c>
      <c r="E4977" s="538" t="s">
        <v>230</v>
      </c>
      <c r="F4977" s="538">
        <v>7055366</v>
      </c>
      <c r="G4977" s="538">
        <v>177</v>
      </c>
    </row>
    <row r="4978" spans="1:7" x14ac:dyDescent="0.2">
      <c r="A4978" s="538">
        <v>5</v>
      </c>
      <c r="B4978" s="538" t="s">
        <v>6598</v>
      </c>
      <c r="C4978" s="538" t="s">
        <v>740</v>
      </c>
      <c r="D4978" s="538" t="s">
        <v>740</v>
      </c>
      <c r="E4978" s="538" t="s">
        <v>390</v>
      </c>
      <c r="F4978" s="538">
        <v>4591859</v>
      </c>
      <c r="G4978" s="538">
        <v>153</v>
      </c>
    </row>
    <row r="4979" spans="1:7" x14ac:dyDescent="0.2">
      <c r="A4979" s="538">
        <v>4</v>
      </c>
      <c r="B4979" s="538" t="s">
        <v>6559</v>
      </c>
      <c r="C4979" s="538" t="s">
        <v>740</v>
      </c>
      <c r="D4979" s="538" t="s">
        <v>740</v>
      </c>
      <c r="E4979" s="538" t="s">
        <v>438</v>
      </c>
      <c r="F4979" s="538">
        <v>1823829</v>
      </c>
      <c r="G4979" s="538">
        <v>18</v>
      </c>
    </row>
    <row r="4980" spans="1:7" x14ac:dyDescent="0.2">
      <c r="A4980" s="538">
        <v>2</v>
      </c>
      <c r="B4980" s="538" t="s">
        <v>6662</v>
      </c>
      <c r="C4980" s="538" t="s">
        <v>393</v>
      </c>
      <c r="D4980" s="538" t="s">
        <v>740</v>
      </c>
      <c r="E4980" s="538" t="s">
        <v>207</v>
      </c>
      <c r="F4980" s="538">
        <v>1353873</v>
      </c>
      <c r="G4980" s="538">
        <v>96</v>
      </c>
    </row>
    <row r="4981" spans="1:7" x14ac:dyDescent="0.2">
      <c r="A4981" s="538">
        <v>4</v>
      </c>
      <c r="B4981" s="538" t="s">
        <v>6590</v>
      </c>
      <c r="C4981" s="538" t="s">
        <v>740</v>
      </c>
      <c r="D4981" s="538" t="s">
        <v>393</v>
      </c>
      <c r="E4981" s="538" t="s">
        <v>210</v>
      </c>
      <c r="F4981" s="538">
        <v>72924</v>
      </c>
      <c r="G4981" s="538">
        <v>3</v>
      </c>
    </row>
    <row r="4982" spans="1:7" x14ac:dyDescent="0.2">
      <c r="A4982" s="538">
        <v>7</v>
      </c>
      <c r="B4982" s="538" t="s">
        <v>6588</v>
      </c>
      <c r="C4982" s="538" t="s">
        <v>740</v>
      </c>
      <c r="D4982" s="538" t="s">
        <v>393</v>
      </c>
      <c r="E4982" s="538" t="s">
        <v>210</v>
      </c>
      <c r="F4982" s="538">
        <v>95655540</v>
      </c>
      <c r="G4982" s="538">
        <v>4145</v>
      </c>
    </row>
    <row r="4983" spans="1:7" x14ac:dyDescent="0.2">
      <c r="A4983" s="538">
        <v>4</v>
      </c>
      <c r="B4983" s="538" t="s">
        <v>6572</v>
      </c>
      <c r="C4983" s="538" t="s">
        <v>740</v>
      </c>
      <c r="D4983" s="538" t="s">
        <v>393</v>
      </c>
      <c r="E4983" s="538" t="s">
        <v>313</v>
      </c>
      <c r="F4983" s="538">
        <v>6486582</v>
      </c>
      <c r="G4983" s="538">
        <v>44</v>
      </c>
    </row>
    <row r="4984" spans="1:7" x14ac:dyDescent="0.2">
      <c r="A4984" s="538">
        <v>3</v>
      </c>
      <c r="B4984" s="538" t="s">
        <v>6647</v>
      </c>
      <c r="C4984" s="538" t="s">
        <v>740</v>
      </c>
      <c r="D4984" s="538" t="s">
        <v>393</v>
      </c>
      <c r="E4984" s="538" t="s">
        <v>207</v>
      </c>
      <c r="F4984" s="538">
        <v>11328</v>
      </c>
      <c r="G4984" s="538">
        <v>1</v>
      </c>
    </row>
    <row r="4985" spans="1:7" x14ac:dyDescent="0.2">
      <c r="A4985" s="538">
        <v>12</v>
      </c>
      <c r="B4985" s="538" t="s">
        <v>6569</v>
      </c>
      <c r="C4985" s="538" t="s">
        <v>393</v>
      </c>
      <c r="D4985" s="538" t="s">
        <v>393</v>
      </c>
      <c r="E4985" s="538" t="s">
        <v>401</v>
      </c>
      <c r="F4985" s="538">
        <v>119475</v>
      </c>
      <c r="G4985" s="538">
        <v>5</v>
      </c>
    </row>
    <row r="4986" spans="1:7" x14ac:dyDescent="0.2">
      <c r="A4986" s="538">
        <v>4</v>
      </c>
      <c r="B4986" s="538" t="s">
        <v>6559</v>
      </c>
      <c r="C4986" s="538" t="s">
        <v>740</v>
      </c>
      <c r="D4986" s="538" t="s">
        <v>740</v>
      </c>
      <c r="E4986" s="538" t="s">
        <v>409</v>
      </c>
      <c r="F4986" s="538">
        <v>6704094</v>
      </c>
      <c r="G4986" s="538">
        <v>203</v>
      </c>
    </row>
    <row r="4987" spans="1:7" x14ac:dyDescent="0.2">
      <c r="A4987" s="538">
        <v>3</v>
      </c>
      <c r="B4987" s="538" t="s">
        <v>6561</v>
      </c>
      <c r="C4987" s="538" t="s">
        <v>740</v>
      </c>
      <c r="D4987" s="538" t="s">
        <v>740</v>
      </c>
      <c r="E4987" s="538" t="s">
        <v>416</v>
      </c>
      <c r="F4987" s="538">
        <v>6684801</v>
      </c>
      <c r="G4987" s="538">
        <v>172</v>
      </c>
    </row>
    <row r="4988" spans="1:7" x14ac:dyDescent="0.2">
      <c r="A4988" s="538">
        <v>11</v>
      </c>
      <c r="B4988" s="538" t="s">
        <v>6584</v>
      </c>
      <c r="C4988" s="538" t="s">
        <v>393</v>
      </c>
      <c r="D4988" s="538" t="s">
        <v>393</v>
      </c>
      <c r="E4988" s="538" t="s">
        <v>419</v>
      </c>
      <c r="F4988" s="538">
        <v>593252</v>
      </c>
      <c r="G4988" s="538">
        <v>4</v>
      </c>
    </row>
    <row r="4989" spans="1:7" x14ac:dyDescent="0.2">
      <c r="A4989" s="538">
        <v>4</v>
      </c>
      <c r="B4989" s="538" t="s">
        <v>6572</v>
      </c>
      <c r="C4989" s="538" t="s">
        <v>740</v>
      </c>
      <c r="D4989" s="538" t="s">
        <v>393</v>
      </c>
      <c r="E4989" s="538" t="s">
        <v>409</v>
      </c>
      <c r="F4989" s="538">
        <v>22656</v>
      </c>
      <c r="G4989" s="538">
        <v>2</v>
      </c>
    </row>
    <row r="4990" spans="1:7" x14ac:dyDescent="0.2">
      <c r="A4990" s="538">
        <v>1</v>
      </c>
      <c r="B4990" s="538" t="s">
        <v>6609</v>
      </c>
      <c r="C4990" s="538" t="s">
        <v>393</v>
      </c>
      <c r="D4990" s="538" t="s">
        <v>740</v>
      </c>
      <c r="E4990" s="538" t="s">
        <v>209</v>
      </c>
      <c r="F4990" s="538">
        <v>74163</v>
      </c>
      <c r="G4990" s="538">
        <v>1</v>
      </c>
    </row>
    <row r="4991" spans="1:7" x14ac:dyDescent="0.2">
      <c r="A4991" s="538">
        <v>3</v>
      </c>
      <c r="B4991" s="538" t="s">
        <v>6561</v>
      </c>
      <c r="C4991" s="538" t="s">
        <v>740</v>
      </c>
      <c r="D4991" s="538" t="s">
        <v>740</v>
      </c>
      <c r="E4991" s="538" t="s">
        <v>449</v>
      </c>
      <c r="F4991" s="538">
        <v>11328</v>
      </c>
      <c r="G4991" s="538">
        <v>1</v>
      </c>
    </row>
    <row r="4992" spans="1:7" x14ac:dyDescent="0.2">
      <c r="A4992" s="538">
        <v>8</v>
      </c>
      <c r="B4992" s="538" t="s">
        <v>6648</v>
      </c>
      <c r="C4992" s="538" t="s">
        <v>393</v>
      </c>
      <c r="D4992" s="538" t="s">
        <v>393</v>
      </c>
      <c r="E4992" s="538" t="s">
        <v>402</v>
      </c>
      <c r="F4992" s="538">
        <v>6424257</v>
      </c>
      <c r="G4992" s="538">
        <v>144</v>
      </c>
    </row>
    <row r="4993" spans="1:7" x14ac:dyDescent="0.2">
      <c r="A4993" s="538">
        <v>7</v>
      </c>
      <c r="B4993" s="538" t="s">
        <v>6604</v>
      </c>
      <c r="C4993" s="538" t="s">
        <v>740</v>
      </c>
      <c r="D4993" s="538" t="s">
        <v>393</v>
      </c>
      <c r="E4993" s="538" t="s">
        <v>390</v>
      </c>
      <c r="F4993" s="538">
        <v>1866059</v>
      </c>
      <c r="G4993" s="538">
        <v>68</v>
      </c>
    </row>
    <row r="4994" spans="1:7" x14ac:dyDescent="0.2">
      <c r="A4994" s="538">
        <v>10</v>
      </c>
      <c r="B4994" s="538" t="s">
        <v>6664</v>
      </c>
      <c r="C4994" s="538" t="s">
        <v>393</v>
      </c>
      <c r="D4994" s="538" t="s">
        <v>393</v>
      </c>
      <c r="E4994" s="538" t="s">
        <v>210</v>
      </c>
      <c r="F4994" s="538">
        <v>915215</v>
      </c>
      <c r="G4994" s="538">
        <v>20</v>
      </c>
    </row>
    <row r="4995" spans="1:7" x14ac:dyDescent="0.2">
      <c r="A4995" s="538">
        <v>3</v>
      </c>
      <c r="B4995" s="538" t="s">
        <v>6603</v>
      </c>
      <c r="C4995" s="538" t="s">
        <v>393</v>
      </c>
      <c r="D4995" s="538" t="s">
        <v>393</v>
      </c>
      <c r="E4995" s="538" t="s">
        <v>230</v>
      </c>
      <c r="F4995" s="538">
        <v>5199115</v>
      </c>
      <c r="G4995" s="538">
        <v>85</v>
      </c>
    </row>
    <row r="4996" spans="1:7" x14ac:dyDescent="0.2">
      <c r="A4996" s="538">
        <v>10</v>
      </c>
      <c r="B4996" s="538" t="s">
        <v>6587</v>
      </c>
      <c r="C4996" s="538" t="s">
        <v>393</v>
      </c>
      <c r="D4996" s="538" t="s">
        <v>740</v>
      </c>
      <c r="E4996" s="538" t="s">
        <v>207</v>
      </c>
      <c r="F4996" s="538">
        <v>310812</v>
      </c>
      <c r="G4996" s="538">
        <v>24</v>
      </c>
    </row>
    <row r="4997" spans="1:7" x14ac:dyDescent="0.2">
      <c r="A4997" s="538">
        <v>3</v>
      </c>
      <c r="B4997" s="538" t="s">
        <v>6603</v>
      </c>
      <c r="C4997" s="538" t="s">
        <v>740</v>
      </c>
      <c r="D4997" s="538" t="s">
        <v>393</v>
      </c>
      <c r="E4997" s="538" t="s">
        <v>449</v>
      </c>
      <c r="F4997" s="538">
        <v>140892</v>
      </c>
      <c r="G4997" s="538">
        <v>9</v>
      </c>
    </row>
    <row r="4998" spans="1:7" x14ac:dyDescent="0.2">
      <c r="A4998" s="538">
        <v>3</v>
      </c>
      <c r="B4998" s="538" t="s">
        <v>6561</v>
      </c>
      <c r="C4998" s="538" t="s">
        <v>740</v>
      </c>
      <c r="D4998" s="538" t="s">
        <v>740</v>
      </c>
      <c r="E4998" s="538" t="s">
        <v>438</v>
      </c>
      <c r="F4998" s="538">
        <v>11328</v>
      </c>
      <c r="G4998" s="538">
        <v>1</v>
      </c>
    </row>
    <row r="4999" spans="1:7" x14ac:dyDescent="0.2">
      <c r="A4999" s="538">
        <v>4</v>
      </c>
      <c r="B4999" s="538" t="s">
        <v>6590</v>
      </c>
      <c r="C4999" s="538" t="s">
        <v>740</v>
      </c>
      <c r="D4999" s="538" t="s">
        <v>740</v>
      </c>
      <c r="E4999" s="538" t="s">
        <v>202</v>
      </c>
      <c r="F4999" s="538">
        <v>11328</v>
      </c>
      <c r="G4999" s="538">
        <v>1</v>
      </c>
    </row>
    <row r="5000" spans="1:7" x14ac:dyDescent="0.2">
      <c r="A5000" s="538">
        <v>2</v>
      </c>
      <c r="B5000" s="538" t="s">
        <v>6585</v>
      </c>
      <c r="C5000" s="538" t="s">
        <v>393</v>
      </c>
      <c r="D5000" s="538" t="s">
        <v>393</v>
      </c>
      <c r="E5000" s="538" t="s">
        <v>211</v>
      </c>
      <c r="F5000" s="538">
        <v>26281816</v>
      </c>
      <c r="G5000" s="538">
        <v>222</v>
      </c>
    </row>
    <row r="5001" spans="1:7" x14ac:dyDescent="0.2">
      <c r="A5001" s="538">
        <v>6</v>
      </c>
      <c r="B5001" s="538" t="s">
        <v>1668</v>
      </c>
      <c r="C5001" s="538" t="s">
        <v>393</v>
      </c>
      <c r="D5001" s="538" t="s">
        <v>393</v>
      </c>
      <c r="E5001" s="538" t="s">
        <v>402</v>
      </c>
      <c r="F5001" s="538">
        <v>3557846</v>
      </c>
      <c r="G5001" s="538">
        <v>82</v>
      </c>
    </row>
    <row r="5002" spans="1:7" x14ac:dyDescent="0.2">
      <c r="A5002" s="538">
        <v>8</v>
      </c>
      <c r="B5002" s="538" t="s">
        <v>6658</v>
      </c>
      <c r="C5002" s="538" t="s">
        <v>740</v>
      </c>
      <c r="D5002" s="538" t="s">
        <v>393</v>
      </c>
      <c r="E5002" s="538" t="s">
        <v>230</v>
      </c>
      <c r="F5002" s="538">
        <v>1802870</v>
      </c>
      <c r="G5002" s="538">
        <v>45</v>
      </c>
    </row>
    <row r="5003" spans="1:7" x14ac:dyDescent="0.2">
      <c r="A5003" s="538">
        <v>3</v>
      </c>
      <c r="B5003" s="538" t="s">
        <v>6578</v>
      </c>
      <c r="C5003" s="538" t="s">
        <v>740</v>
      </c>
      <c r="D5003" s="538" t="s">
        <v>393</v>
      </c>
      <c r="E5003" s="538" t="s">
        <v>209</v>
      </c>
      <c r="F5003" s="538">
        <v>14065275</v>
      </c>
      <c r="G5003" s="538">
        <v>80</v>
      </c>
    </row>
    <row r="5004" spans="1:7" x14ac:dyDescent="0.2">
      <c r="A5004" s="538">
        <v>2</v>
      </c>
      <c r="B5004" s="538" t="s">
        <v>6573</v>
      </c>
      <c r="C5004" s="538" t="s">
        <v>740</v>
      </c>
      <c r="D5004" s="538" t="s">
        <v>740</v>
      </c>
      <c r="E5004" s="538" t="s">
        <v>402</v>
      </c>
      <c r="F5004" s="538">
        <v>95580</v>
      </c>
      <c r="G5004" s="538">
        <v>5</v>
      </c>
    </row>
    <row r="5005" spans="1:7" x14ac:dyDescent="0.2">
      <c r="A5005" s="538">
        <v>6</v>
      </c>
      <c r="B5005" s="538" t="s">
        <v>6617</v>
      </c>
      <c r="C5005" s="538" t="s">
        <v>393</v>
      </c>
      <c r="D5005" s="538" t="s">
        <v>393</v>
      </c>
      <c r="E5005" s="538" t="s">
        <v>409</v>
      </c>
      <c r="F5005" s="538">
        <v>867831</v>
      </c>
      <c r="G5005" s="538">
        <v>42</v>
      </c>
    </row>
    <row r="5006" spans="1:7" x14ac:dyDescent="0.2">
      <c r="A5006" s="538">
        <v>8</v>
      </c>
      <c r="B5006" s="538" t="s">
        <v>6583</v>
      </c>
      <c r="C5006" s="538" t="s">
        <v>393</v>
      </c>
      <c r="D5006" s="538" t="s">
        <v>393</v>
      </c>
      <c r="E5006" s="538" t="s">
        <v>419</v>
      </c>
      <c r="F5006" s="538">
        <v>261606</v>
      </c>
      <c r="G5006" s="538">
        <v>12</v>
      </c>
    </row>
    <row r="5007" spans="1:7" x14ac:dyDescent="0.2">
      <c r="A5007" s="538">
        <v>7</v>
      </c>
      <c r="B5007" s="538" t="s">
        <v>6579</v>
      </c>
      <c r="C5007" s="538" t="s">
        <v>740</v>
      </c>
      <c r="D5007" s="538" t="s">
        <v>393</v>
      </c>
      <c r="E5007" s="538" t="s">
        <v>449</v>
      </c>
      <c r="F5007" s="538">
        <v>854202</v>
      </c>
      <c r="G5007" s="538">
        <v>54</v>
      </c>
    </row>
    <row r="5008" spans="1:7" x14ac:dyDescent="0.2">
      <c r="A5008" s="538">
        <v>8</v>
      </c>
      <c r="B5008" s="538" t="s">
        <v>6570</v>
      </c>
      <c r="C5008" s="538" t="s">
        <v>740</v>
      </c>
      <c r="D5008" s="538" t="s">
        <v>740</v>
      </c>
      <c r="E5008" s="538" t="s">
        <v>409</v>
      </c>
      <c r="F5008" s="538">
        <v>101952</v>
      </c>
      <c r="G5008" s="538">
        <v>9</v>
      </c>
    </row>
    <row r="5009" spans="1:7" x14ac:dyDescent="0.2">
      <c r="A5009" s="538">
        <v>1</v>
      </c>
      <c r="B5009" s="538" t="s">
        <v>6581</v>
      </c>
      <c r="C5009" s="538" t="s">
        <v>740</v>
      </c>
      <c r="D5009" s="538" t="s">
        <v>393</v>
      </c>
      <c r="E5009" s="538" t="s">
        <v>212</v>
      </c>
      <c r="F5009" s="538">
        <v>101952</v>
      </c>
      <c r="G5009" s="538">
        <v>9</v>
      </c>
    </row>
    <row r="5010" spans="1:7" x14ac:dyDescent="0.2">
      <c r="A5010" s="538">
        <v>12</v>
      </c>
      <c r="B5010" s="538" t="s">
        <v>6616</v>
      </c>
      <c r="C5010" s="538" t="s">
        <v>393</v>
      </c>
      <c r="D5010" s="538" t="s">
        <v>740</v>
      </c>
      <c r="E5010" s="538" t="s">
        <v>438</v>
      </c>
      <c r="F5010" s="538">
        <v>570596</v>
      </c>
      <c r="G5010" s="538">
        <v>2</v>
      </c>
    </row>
    <row r="5011" spans="1:7" x14ac:dyDescent="0.2">
      <c r="A5011" s="538">
        <v>5</v>
      </c>
      <c r="B5011" s="538" t="s">
        <v>6651</v>
      </c>
      <c r="C5011" s="538" t="s">
        <v>393</v>
      </c>
      <c r="D5011" s="538" t="s">
        <v>393</v>
      </c>
      <c r="E5011" s="538" t="s">
        <v>401</v>
      </c>
      <c r="F5011" s="538">
        <v>11328</v>
      </c>
      <c r="G5011" s="538">
        <v>1</v>
      </c>
    </row>
    <row r="5012" spans="1:7" x14ac:dyDescent="0.2">
      <c r="A5012" s="538">
        <v>4</v>
      </c>
      <c r="B5012" s="538" t="s">
        <v>6572</v>
      </c>
      <c r="C5012" s="538" t="s">
        <v>740</v>
      </c>
      <c r="D5012" s="538" t="s">
        <v>740</v>
      </c>
      <c r="E5012" s="538" t="s">
        <v>209</v>
      </c>
      <c r="F5012" s="538">
        <v>148326</v>
      </c>
      <c r="G5012" s="538">
        <v>2</v>
      </c>
    </row>
    <row r="5013" spans="1:7" x14ac:dyDescent="0.2">
      <c r="A5013" s="538">
        <v>8</v>
      </c>
      <c r="B5013" s="538" t="s">
        <v>6583</v>
      </c>
      <c r="C5013" s="538" t="s">
        <v>740</v>
      </c>
      <c r="D5013" s="538" t="s">
        <v>393</v>
      </c>
      <c r="E5013" s="538" t="s">
        <v>409</v>
      </c>
      <c r="F5013" s="538">
        <v>245145</v>
      </c>
      <c r="G5013" s="538">
        <v>5</v>
      </c>
    </row>
    <row r="5014" spans="1:7" x14ac:dyDescent="0.2">
      <c r="A5014" s="538">
        <v>11</v>
      </c>
      <c r="B5014" s="538" t="s">
        <v>6584</v>
      </c>
      <c r="C5014" s="538" t="s">
        <v>740</v>
      </c>
      <c r="D5014" s="538" t="s">
        <v>393</v>
      </c>
      <c r="E5014" s="538" t="s">
        <v>313</v>
      </c>
      <c r="F5014" s="538">
        <v>74163</v>
      </c>
      <c r="G5014" s="538">
        <v>1</v>
      </c>
    </row>
    <row r="5015" spans="1:7" x14ac:dyDescent="0.2">
      <c r="A5015" s="538">
        <v>7</v>
      </c>
      <c r="B5015" s="538" t="s">
        <v>6661</v>
      </c>
      <c r="C5015" s="538" t="s">
        <v>393</v>
      </c>
      <c r="D5015" s="538" t="s">
        <v>393</v>
      </c>
      <c r="E5015" s="538" t="s">
        <v>313</v>
      </c>
      <c r="F5015" s="538">
        <v>124431</v>
      </c>
      <c r="G5015" s="538">
        <v>2</v>
      </c>
    </row>
    <row r="5016" spans="1:7" x14ac:dyDescent="0.2">
      <c r="A5016" s="538">
        <v>7</v>
      </c>
      <c r="B5016" s="538" t="s">
        <v>6571</v>
      </c>
      <c r="C5016" s="538" t="s">
        <v>740</v>
      </c>
      <c r="D5016" s="538" t="s">
        <v>393</v>
      </c>
      <c r="E5016" s="538" t="s">
        <v>449</v>
      </c>
      <c r="F5016" s="538">
        <v>67968</v>
      </c>
      <c r="G5016" s="538">
        <v>6</v>
      </c>
    </row>
    <row r="5017" spans="1:7" x14ac:dyDescent="0.2">
      <c r="A5017" s="538">
        <v>2</v>
      </c>
      <c r="B5017" s="538" t="s">
        <v>6055</v>
      </c>
      <c r="C5017" s="538" t="s">
        <v>740</v>
      </c>
      <c r="D5017" s="538" t="s">
        <v>740</v>
      </c>
      <c r="E5017" s="538" t="s">
        <v>860</v>
      </c>
      <c r="F5017" s="538">
        <v>11328</v>
      </c>
      <c r="G5017" s="538">
        <v>1</v>
      </c>
    </row>
    <row r="5018" spans="1:7" x14ac:dyDescent="0.2">
      <c r="A5018" s="538">
        <v>7</v>
      </c>
      <c r="B5018" s="538" t="s">
        <v>6579</v>
      </c>
      <c r="C5018" s="538" t="s">
        <v>393</v>
      </c>
      <c r="D5018" s="538" t="s">
        <v>740</v>
      </c>
      <c r="E5018" s="538" t="s">
        <v>390</v>
      </c>
      <c r="F5018" s="538">
        <v>13339127</v>
      </c>
      <c r="G5018" s="538">
        <v>174</v>
      </c>
    </row>
    <row r="5019" spans="1:7" x14ac:dyDescent="0.2">
      <c r="A5019" s="538">
        <v>7</v>
      </c>
      <c r="B5019" s="538" t="s">
        <v>6579</v>
      </c>
      <c r="C5019" s="538" t="s">
        <v>740</v>
      </c>
      <c r="D5019" s="538" t="s">
        <v>393</v>
      </c>
      <c r="E5019" s="538" t="s">
        <v>211</v>
      </c>
      <c r="F5019" s="538">
        <v>134360071</v>
      </c>
      <c r="G5019" s="538">
        <v>2492</v>
      </c>
    </row>
    <row r="5020" spans="1:7" x14ac:dyDescent="0.2">
      <c r="A5020" s="538">
        <v>3</v>
      </c>
      <c r="B5020" s="538" t="s">
        <v>6586</v>
      </c>
      <c r="C5020" s="538" t="s">
        <v>740</v>
      </c>
      <c r="D5020" s="538" t="s">
        <v>393</v>
      </c>
      <c r="E5020" s="538" t="s">
        <v>438</v>
      </c>
      <c r="F5020" s="538">
        <v>1259428</v>
      </c>
      <c r="G5020" s="538">
        <v>11</v>
      </c>
    </row>
    <row r="5021" spans="1:7" x14ac:dyDescent="0.2">
      <c r="A5021" s="538">
        <v>2</v>
      </c>
      <c r="B5021" s="538" t="s">
        <v>6656</v>
      </c>
      <c r="C5021" s="538" t="s">
        <v>740</v>
      </c>
      <c r="D5021" s="538" t="s">
        <v>740</v>
      </c>
      <c r="E5021" s="538" t="s">
        <v>416</v>
      </c>
      <c r="F5021" s="538">
        <v>152220</v>
      </c>
      <c r="G5021" s="538">
        <v>10</v>
      </c>
    </row>
    <row r="5022" spans="1:7" x14ac:dyDescent="0.2">
      <c r="A5022" s="538">
        <v>7</v>
      </c>
      <c r="B5022" s="538" t="s">
        <v>6604</v>
      </c>
      <c r="C5022" s="538" t="s">
        <v>740</v>
      </c>
      <c r="D5022" s="538" t="s">
        <v>393</v>
      </c>
      <c r="E5022" s="538" t="s">
        <v>210</v>
      </c>
      <c r="F5022" s="538">
        <v>1114163</v>
      </c>
      <c r="G5022" s="538">
        <v>41</v>
      </c>
    </row>
    <row r="5023" spans="1:7" x14ac:dyDescent="0.2">
      <c r="A5023" s="538">
        <v>6</v>
      </c>
      <c r="B5023" s="538" t="s">
        <v>6433</v>
      </c>
      <c r="C5023" s="538" t="s">
        <v>740</v>
      </c>
      <c r="D5023" s="538" t="s">
        <v>393</v>
      </c>
      <c r="E5023" s="538" t="s">
        <v>409</v>
      </c>
      <c r="F5023" s="538">
        <v>482856</v>
      </c>
      <c r="G5023" s="538">
        <v>17</v>
      </c>
    </row>
    <row r="5024" spans="1:7" x14ac:dyDescent="0.2">
      <c r="A5024" s="538">
        <v>11</v>
      </c>
      <c r="B5024" s="538" t="s">
        <v>6592</v>
      </c>
      <c r="C5024" s="538" t="s">
        <v>740</v>
      </c>
      <c r="D5024" s="538" t="s">
        <v>393</v>
      </c>
      <c r="E5024" s="538" t="s">
        <v>207</v>
      </c>
      <c r="F5024" s="538">
        <v>45312</v>
      </c>
      <c r="G5024" s="538">
        <v>4</v>
      </c>
    </row>
    <row r="5025" spans="1:7" x14ac:dyDescent="0.2">
      <c r="A5025" s="538">
        <v>9</v>
      </c>
      <c r="B5025" s="538" t="s">
        <v>6606</v>
      </c>
      <c r="C5025" s="538" t="s">
        <v>740</v>
      </c>
      <c r="D5025" s="538" t="s">
        <v>393</v>
      </c>
      <c r="E5025" s="538" t="s">
        <v>202</v>
      </c>
      <c r="F5025" s="538">
        <v>2027431</v>
      </c>
      <c r="G5025" s="538">
        <v>22</v>
      </c>
    </row>
    <row r="5026" spans="1:7" x14ac:dyDescent="0.2">
      <c r="A5026" s="538">
        <v>6</v>
      </c>
      <c r="B5026" s="538" t="s">
        <v>6617</v>
      </c>
      <c r="C5026" s="538" t="s">
        <v>393</v>
      </c>
      <c r="D5026" s="538" t="s">
        <v>740</v>
      </c>
      <c r="E5026" s="538" t="s">
        <v>212</v>
      </c>
      <c r="F5026" s="538">
        <v>130803</v>
      </c>
      <c r="G5026" s="538">
        <v>6</v>
      </c>
    </row>
    <row r="5027" spans="1:7" x14ac:dyDescent="0.2">
      <c r="A5027" s="538">
        <v>1</v>
      </c>
      <c r="B5027" s="538" t="s">
        <v>6602</v>
      </c>
      <c r="C5027" s="538" t="s">
        <v>740</v>
      </c>
      <c r="D5027" s="538" t="s">
        <v>393</v>
      </c>
      <c r="E5027" s="538" t="s">
        <v>209</v>
      </c>
      <c r="F5027" s="538">
        <v>74163</v>
      </c>
      <c r="G5027" s="538">
        <v>1</v>
      </c>
    </row>
    <row r="5028" spans="1:7" x14ac:dyDescent="0.2">
      <c r="A5028" s="538">
        <v>12</v>
      </c>
      <c r="B5028" s="538" t="s">
        <v>6616</v>
      </c>
      <c r="C5028" s="538" t="s">
        <v>393</v>
      </c>
      <c r="D5028" s="538" t="s">
        <v>393</v>
      </c>
      <c r="E5028" s="538" t="s">
        <v>419</v>
      </c>
      <c r="F5028" s="538">
        <v>45312</v>
      </c>
      <c r="G5028" s="538">
        <v>4</v>
      </c>
    </row>
    <row r="5029" spans="1:7" x14ac:dyDescent="0.2">
      <c r="A5029" s="538">
        <v>3</v>
      </c>
      <c r="B5029" s="538" t="s">
        <v>6561</v>
      </c>
      <c r="C5029" s="538" t="s">
        <v>740</v>
      </c>
      <c r="D5029" s="538" t="s">
        <v>393</v>
      </c>
      <c r="E5029" s="538" t="s">
        <v>313</v>
      </c>
      <c r="F5029" s="538">
        <v>2197174</v>
      </c>
      <c r="G5029" s="538">
        <v>28</v>
      </c>
    </row>
    <row r="5030" spans="1:7" x14ac:dyDescent="0.2">
      <c r="A5030" s="538">
        <v>2</v>
      </c>
      <c r="B5030" s="538" t="s">
        <v>6573</v>
      </c>
      <c r="C5030" s="538" t="s">
        <v>740</v>
      </c>
      <c r="D5030" s="538" t="s">
        <v>393</v>
      </c>
      <c r="E5030" s="538" t="s">
        <v>211</v>
      </c>
      <c r="F5030" s="538">
        <v>21356571</v>
      </c>
      <c r="G5030" s="538">
        <v>542</v>
      </c>
    </row>
    <row r="5031" spans="1:7" x14ac:dyDescent="0.2">
      <c r="A5031" s="538">
        <v>8</v>
      </c>
      <c r="B5031" s="538" t="s">
        <v>6570</v>
      </c>
      <c r="C5031" s="538" t="s">
        <v>740</v>
      </c>
      <c r="D5031" s="538" t="s">
        <v>740</v>
      </c>
      <c r="E5031" s="538" t="s">
        <v>211</v>
      </c>
      <c r="F5031" s="538">
        <v>50268</v>
      </c>
      <c r="G5031" s="538">
        <v>1</v>
      </c>
    </row>
    <row r="5032" spans="1:7" x14ac:dyDescent="0.2">
      <c r="A5032" s="538">
        <v>8</v>
      </c>
      <c r="B5032" s="538" t="s">
        <v>6648</v>
      </c>
      <c r="C5032" s="538" t="s">
        <v>740</v>
      </c>
      <c r="D5032" s="538" t="s">
        <v>393</v>
      </c>
      <c r="E5032" s="538" t="s">
        <v>313</v>
      </c>
      <c r="F5032" s="538">
        <v>2444516</v>
      </c>
      <c r="G5032" s="538">
        <v>12</v>
      </c>
    </row>
    <row r="5033" spans="1:7" x14ac:dyDescent="0.2">
      <c r="A5033" s="538">
        <v>3</v>
      </c>
      <c r="B5033" s="538" t="s">
        <v>6578</v>
      </c>
      <c r="C5033" s="538" t="s">
        <v>740</v>
      </c>
      <c r="D5033" s="538" t="s">
        <v>393</v>
      </c>
      <c r="E5033" s="538" t="s">
        <v>416</v>
      </c>
      <c r="F5033" s="538">
        <v>158415</v>
      </c>
      <c r="G5033" s="538">
        <v>5</v>
      </c>
    </row>
    <row r="5034" spans="1:7" x14ac:dyDescent="0.2">
      <c r="A5034" s="538">
        <v>6</v>
      </c>
      <c r="B5034" s="538" t="s">
        <v>6596</v>
      </c>
      <c r="C5034" s="538" t="s">
        <v>740</v>
      </c>
      <c r="D5034" s="538" t="s">
        <v>393</v>
      </c>
      <c r="E5034" s="538" t="s">
        <v>207</v>
      </c>
      <c r="F5034" s="538">
        <v>11328</v>
      </c>
      <c r="G5034" s="538">
        <v>1</v>
      </c>
    </row>
    <row r="5035" spans="1:7" x14ac:dyDescent="0.2">
      <c r="A5035" s="538">
        <v>11</v>
      </c>
      <c r="B5035" s="538" t="s">
        <v>6592</v>
      </c>
      <c r="C5035" s="538" t="s">
        <v>393</v>
      </c>
      <c r="D5035" s="538" t="s">
        <v>393</v>
      </c>
      <c r="E5035" s="538" t="s">
        <v>449</v>
      </c>
      <c r="F5035" s="538">
        <v>638564</v>
      </c>
      <c r="G5035" s="538">
        <v>8</v>
      </c>
    </row>
    <row r="5036" spans="1:7" x14ac:dyDescent="0.2">
      <c r="A5036" s="538">
        <v>3</v>
      </c>
      <c r="B5036" s="538" t="s">
        <v>6591</v>
      </c>
      <c r="C5036" s="538" t="s">
        <v>740</v>
      </c>
      <c r="D5036" s="538" t="s">
        <v>740</v>
      </c>
      <c r="E5036" s="538" t="s">
        <v>230</v>
      </c>
      <c r="F5036" s="538">
        <v>159654</v>
      </c>
      <c r="G5036" s="538">
        <v>3</v>
      </c>
    </row>
    <row r="5037" spans="1:7" x14ac:dyDescent="0.2">
      <c r="A5037" s="538">
        <v>2</v>
      </c>
      <c r="B5037" s="538" t="s">
        <v>6654</v>
      </c>
      <c r="C5037" s="538" t="s">
        <v>740</v>
      </c>
      <c r="D5037" s="538" t="s">
        <v>740</v>
      </c>
      <c r="E5037" s="538" t="s">
        <v>438</v>
      </c>
      <c r="F5037" s="538">
        <v>11328</v>
      </c>
      <c r="G5037" s="538">
        <v>1</v>
      </c>
    </row>
    <row r="5038" spans="1:7" x14ac:dyDescent="0.2">
      <c r="A5038" s="538">
        <v>2</v>
      </c>
      <c r="B5038" s="538" t="s">
        <v>6654</v>
      </c>
      <c r="C5038" s="538" t="s">
        <v>740</v>
      </c>
      <c r="D5038" s="538" t="s">
        <v>393</v>
      </c>
      <c r="E5038" s="538" t="s">
        <v>202</v>
      </c>
      <c r="F5038" s="538">
        <v>717683</v>
      </c>
      <c r="G5038" s="538">
        <v>6</v>
      </c>
    </row>
    <row r="5039" spans="1:7" x14ac:dyDescent="0.2">
      <c r="A5039" s="538">
        <v>6</v>
      </c>
      <c r="B5039" s="538" t="s">
        <v>1668</v>
      </c>
      <c r="C5039" s="538" t="s">
        <v>740</v>
      </c>
      <c r="D5039" s="538" t="s">
        <v>740</v>
      </c>
      <c r="E5039" s="538" t="s">
        <v>211</v>
      </c>
      <c r="F5039" s="538">
        <v>581924</v>
      </c>
      <c r="G5039" s="538">
        <v>3</v>
      </c>
    </row>
    <row r="5040" spans="1:7" x14ac:dyDescent="0.2">
      <c r="A5040" s="538">
        <v>10</v>
      </c>
      <c r="B5040" s="538" t="s">
        <v>6597</v>
      </c>
      <c r="C5040" s="538" t="s">
        <v>740</v>
      </c>
      <c r="D5040" s="538" t="s">
        <v>393</v>
      </c>
      <c r="E5040" s="538" t="s">
        <v>207</v>
      </c>
      <c r="F5040" s="538">
        <v>11328</v>
      </c>
      <c r="G5040" s="538">
        <v>1</v>
      </c>
    </row>
    <row r="5041" spans="1:7" x14ac:dyDescent="0.2">
      <c r="A5041" s="538">
        <v>1</v>
      </c>
      <c r="B5041" s="538" t="s">
        <v>6602</v>
      </c>
      <c r="C5041" s="538" t="s">
        <v>393</v>
      </c>
      <c r="D5041" s="538" t="s">
        <v>393</v>
      </c>
      <c r="E5041" s="538" t="s">
        <v>202</v>
      </c>
      <c r="F5041" s="538">
        <v>4226073</v>
      </c>
      <c r="G5041" s="538">
        <v>66</v>
      </c>
    </row>
    <row r="5042" spans="1:7" x14ac:dyDescent="0.2">
      <c r="A5042" s="538">
        <v>8</v>
      </c>
      <c r="B5042" s="538" t="s">
        <v>6577</v>
      </c>
      <c r="C5042" s="538" t="s">
        <v>740</v>
      </c>
      <c r="D5042" s="538" t="s">
        <v>740</v>
      </c>
      <c r="E5042" s="538" t="s">
        <v>210</v>
      </c>
      <c r="F5042" s="538">
        <v>13039445</v>
      </c>
      <c r="G5042" s="538">
        <v>215</v>
      </c>
    </row>
    <row r="5043" spans="1:7" x14ac:dyDescent="0.2">
      <c r="A5043" s="538">
        <v>7</v>
      </c>
      <c r="B5043" s="538" t="s">
        <v>6564</v>
      </c>
      <c r="C5043" s="538" t="s">
        <v>740</v>
      </c>
      <c r="D5043" s="538" t="s">
        <v>393</v>
      </c>
      <c r="E5043" s="538" t="s">
        <v>230</v>
      </c>
      <c r="F5043" s="538">
        <v>220011</v>
      </c>
      <c r="G5043" s="538">
        <v>7</v>
      </c>
    </row>
    <row r="5044" spans="1:7" x14ac:dyDescent="0.2">
      <c r="A5044" s="538">
        <v>3</v>
      </c>
      <c r="B5044" s="538" t="s">
        <v>6561</v>
      </c>
      <c r="C5044" s="538" t="s">
        <v>740</v>
      </c>
      <c r="D5044" s="538" t="s">
        <v>740</v>
      </c>
      <c r="E5044" s="538" t="s">
        <v>860</v>
      </c>
      <c r="F5044" s="538">
        <v>22656</v>
      </c>
      <c r="G5044" s="538">
        <v>2</v>
      </c>
    </row>
    <row r="5045" spans="1:7" x14ac:dyDescent="0.2">
      <c r="A5045" s="538">
        <v>4</v>
      </c>
      <c r="B5045" s="538" t="s">
        <v>6559</v>
      </c>
      <c r="C5045" s="538" t="s">
        <v>740</v>
      </c>
      <c r="D5045" s="538" t="s">
        <v>393</v>
      </c>
      <c r="E5045" s="538" t="s">
        <v>419</v>
      </c>
      <c r="F5045" s="538">
        <v>802112</v>
      </c>
      <c r="G5045" s="538">
        <v>19</v>
      </c>
    </row>
    <row r="5046" spans="1:7" x14ac:dyDescent="0.2">
      <c r="A5046" s="538">
        <v>1</v>
      </c>
      <c r="B5046" s="538" t="s">
        <v>6595</v>
      </c>
      <c r="C5046" s="538" t="s">
        <v>393</v>
      </c>
      <c r="D5046" s="538" t="s">
        <v>393</v>
      </c>
      <c r="E5046" s="538" t="s">
        <v>390</v>
      </c>
      <c r="F5046" s="538">
        <v>5607350</v>
      </c>
      <c r="G5046" s="538">
        <v>75</v>
      </c>
    </row>
    <row r="5047" spans="1:7" x14ac:dyDescent="0.2">
      <c r="A5047" s="538">
        <v>8</v>
      </c>
      <c r="B5047" s="538" t="s">
        <v>6570</v>
      </c>
      <c r="C5047" s="538" t="s">
        <v>393</v>
      </c>
      <c r="D5047" s="538" t="s">
        <v>393</v>
      </c>
      <c r="E5047" s="538" t="s">
        <v>860</v>
      </c>
      <c r="F5047" s="538">
        <v>1849473</v>
      </c>
      <c r="G5047" s="538">
        <v>61</v>
      </c>
    </row>
    <row r="5048" spans="1:7" x14ac:dyDescent="0.2">
      <c r="A5048" s="538">
        <v>1</v>
      </c>
      <c r="B5048" s="538" t="s">
        <v>6581</v>
      </c>
      <c r="C5048" s="538" t="s">
        <v>393</v>
      </c>
      <c r="D5048" s="538" t="s">
        <v>740</v>
      </c>
      <c r="E5048" s="538" t="s">
        <v>438</v>
      </c>
      <c r="F5048" s="538">
        <v>11328</v>
      </c>
      <c r="G5048" s="538">
        <v>1</v>
      </c>
    </row>
    <row r="5049" spans="1:7" x14ac:dyDescent="0.2">
      <c r="A5049" s="538">
        <v>2</v>
      </c>
      <c r="B5049" s="538" t="s">
        <v>6055</v>
      </c>
      <c r="C5049" s="538" t="s">
        <v>393</v>
      </c>
      <c r="D5049" s="538" t="s">
        <v>740</v>
      </c>
      <c r="E5049" s="538" t="s">
        <v>416</v>
      </c>
      <c r="F5049" s="538">
        <v>544629</v>
      </c>
      <c r="G5049" s="538">
        <v>28</v>
      </c>
    </row>
    <row r="5050" spans="1:7" x14ac:dyDescent="0.2">
      <c r="A5050" s="538">
        <v>7</v>
      </c>
      <c r="B5050" s="538" t="s">
        <v>6580</v>
      </c>
      <c r="C5050" s="538" t="s">
        <v>740</v>
      </c>
      <c r="D5050" s="538" t="s">
        <v>393</v>
      </c>
      <c r="E5050" s="538" t="s">
        <v>211</v>
      </c>
      <c r="F5050" s="538">
        <v>7018373</v>
      </c>
      <c r="G5050" s="538">
        <v>216</v>
      </c>
    </row>
    <row r="5051" spans="1:7" x14ac:dyDescent="0.2">
      <c r="A5051" s="538">
        <v>1</v>
      </c>
      <c r="B5051" s="538" t="s">
        <v>1288</v>
      </c>
      <c r="C5051" s="538" t="s">
        <v>740</v>
      </c>
      <c r="D5051" s="538" t="s">
        <v>393</v>
      </c>
      <c r="E5051" s="538" t="s">
        <v>202</v>
      </c>
      <c r="F5051" s="538">
        <v>496433</v>
      </c>
      <c r="G5051" s="538">
        <v>1</v>
      </c>
    </row>
    <row r="5052" spans="1:7" x14ac:dyDescent="0.2">
      <c r="A5052" s="538">
        <v>5</v>
      </c>
      <c r="B5052" s="538" t="s">
        <v>6599</v>
      </c>
      <c r="C5052" s="538" t="s">
        <v>740</v>
      </c>
      <c r="D5052" s="538" t="s">
        <v>740</v>
      </c>
      <c r="E5052" s="538" t="s">
        <v>390</v>
      </c>
      <c r="F5052" s="538">
        <v>226383</v>
      </c>
      <c r="G5052" s="538">
        <v>11</v>
      </c>
    </row>
    <row r="5053" spans="1:7" x14ac:dyDescent="0.2">
      <c r="A5053" s="538">
        <v>4</v>
      </c>
      <c r="B5053" s="538" t="s">
        <v>6590</v>
      </c>
      <c r="C5053" s="538" t="s">
        <v>740</v>
      </c>
      <c r="D5053" s="538" t="s">
        <v>393</v>
      </c>
      <c r="E5053" s="538" t="s">
        <v>402</v>
      </c>
      <c r="F5053" s="538">
        <v>1163192</v>
      </c>
      <c r="G5053" s="538">
        <v>44</v>
      </c>
    </row>
    <row r="5054" spans="1:7" x14ac:dyDescent="0.2">
      <c r="A5054" s="538">
        <v>7</v>
      </c>
      <c r="B5054" s="538" t="s">
        <v>6594</v>
      </c>
      <c r="C5054" s="538" t="s">
        <v>393</v>
      </c>
      <c r="D5054" s="538" t="s">
        <v>740</v>
      </c>
      <c r="E5054" s="538" t="s">
        <v>210</v>
      </c>
      <c r="F5054" s="538">
        <v>541745</v>
      </c>
      <c r="G5054" s="538">
        <v>5</v>
      </c>
    </row>
    <row r="5055" spans="1:7" x14ac:dyDescent="0.2">
      <c r="A5055" s="538">
        <v>7</v>
      </c>
      <c r="B5055" s="538" t="s">
        <v>6661</v>
      </c>
      <c r="C5055" s="538" t="s">
        <v>740</v>
      </c>
      <c r="D5055" s="538" t="s">
        <v>393</v>
      </c>
      <c r="E5055" s="538" t="s">
        <v>210</v>
      </c>
      <c r="F5055" s="538">
        <v>33984</v>
      </c>
      <c r="G5055" s="538">
        <v>3</v>
      </c>
    </row>
    <row r="5056" spans="1:7" x14ac:dyDescent="0.2">
      <c r="A5056" s="538">
        <v>8</v>
      </c>
      <c r="B5056" s="538" t="s">
        <v>6567</v>
      </c>
      <c r="C5056" s="538" t="s">
        <v>740</v>
      </c>
      <c r="D5056" s="538" t="s">
        <v>740</v>
      </c>
      <c r="E5056" s="538" t="s">
        <v>409</v>
      </c>
      <c r="F5056" s="538">
        <v>1129614</v>
      </c>
      <c r="G5056" s="538">
        <v>63</v>
      </c>
    </row>
    <row r="5057" spans="1:7" x14ac:dyDescent="0.2">
      <c r="A5057" s="538">
        <v>9</v>
      </c>
      <c r="B5057" s="538" t="s">
        <v>6645</v>
      </c>
      <c r="C5057" s="538" t="s">
        <v>740</v>
      </c>
      <c r="D5057" s="538" t="s">
        <v>393</v>
      </c>
      <c r="E5057" s="538" t="s">
        <v>409</v>
      </c>
      <c r="F5057" s="538">
        <v>583569</v>
      </c>
      <c r="G5057" s="538">
        <v>28</v>
      </c>
    </row>
    <row r="5058" spans="1:7" x14ac:dyDescent="0.2">
      <c r="A5058" s="538">
        <v>9</v>
      </c>
      <c r="B5058" s="538" t="s">
        <v>6613</v>
      </c>
      <c r="C5058" s="538" t="s">
        <v>393</v>
      </c>
      <c r="D5058" s="538" t="s">
        <v>393</v>
      </c>
      <c r="E5058" s="538" t="s">
        <v>402</v>
      </c>
      <c r="F5058" s="538">
        <v>6989647</v>
      </c>
      <c r="G5058" s="538">
        <v>209</v>
      </c>
    </row>
    <row r="5059" spans="1:7" x14ac:dyDescent="0.2">
      <c r="A5059" s="538">
        <v>11</v>
      </c>
      <c r="B5059" s="538" t="s">
        <v>6610</v>
      </c>
      <c r="C5059" s="538" t="s">
        <v>740</v>
      </c>
      <c r="D5059" s="538" t="s">
        <v>393</v>
      </c>
      <c r="E5059" s="538" t="s">
        <v>212</v>
      </c>
      <c r="F5059" s="538">
        <v>5686427</v>
      </c>
      <c r="G5059" s="538">
        <v>424</v>
      </c>
    </row>
    <row r="5060" spans="1:7" x14ac:dyDescent="0.2">
      <c r="A5060" s="538">
        <v>7</v>
      </c>
      <c r="B5060" s="538" t="s">
        <v>6579</v>
      </c>
      <c r="C5060" s="538" t="s">
        <v>740</v>
      </c>
      <c r="D5060" s="538" t="s">
        <v>393</v>
      </c>
      <c r="E5060" s="538" t="s">
        <v>409</v>
      </c>
      <c r="F5060" s="538">
        <v>5594023</v>
      </c>
      <c r="G5060" s="538">
        <v>91</v>
      </c>
    </row>
    <row r="5061" spans="1:7" x14ac:dyDescent="0.2">
      <c r="A5061" s="538">
        <v>4</v>
      </c>
      <c r="B5061" s="538" t="s">
        <v>6590</v>
      </c>
      <c r="C5061" s="538" t="s">
        <v>740</v>
      </c>
      <c r="D5061" s="538" t="s">
        <v>393</v>
      </c>
      <c r="E5061" s="538" t="s">
        <v>419</v>
      </c>
      <c r="F5061" s="538">
        <v>11328</v>
      </c>
      <c r="G5061" s="538">
        <v>1</v>
      </c>
    </row>
    <row r="5062" spans="1:7" x14ac:dyDescent="0.2">
      <c r="A5062" s="538">
        <v>12</v>
      </c>
      <c r="B5062" s="538" t="s">
        <v>6563</v>
      </c>
      <c r="C5062" s="538" t="s">
        <v>740</v>
      </c>
      <c r="D5062" s="538" t="s">
        <v>740</v>
      </c>
      <c r="E5062" s="538" t="s">
        <v>210</v>
      </c>
      <c r="F5062" s="538">
        <v>11328</v>
      </c>
      <c r="G5062" s="538">
        <v>1</v>
      </c>
    </row>
    <row r="5063" spans="1:7" x14ac:dyDescent="0.2">
      <c r="A5063" s="538">
        <v>10</v>
      </c>
      <c r="B5063" s="538" t="s">
        <v>6611</v>
      </c>
      <c r="C5063" s="538" t="s">
        <v>393</v>
      </c>
      <c r="D5063" s="538" t="s">
        <v>393</v>
      </c>
      <c r="E5063" s="538" t="s">
        <v>390</v>
      </c>
      <c r="F5063" s="538">
        <v>1669589</v>
      </c>
      <c r="G5063" s="538">
        <v>48</v>
      </c>
    </row>
    <row r="5064" spans="1:7" x14ac:dyDescent="0.2">
      <c r="A5064" s="538">
        <v>7</v>
      </c>
      <c r="B5064" s="538" t="s">
        <v>6571</v>
      </c>
      <c r="C5064" s="538" t="s">
        <v>740</v>
      </c>
      <c r="D5064" s="538" t="s">
        <v>393</v>
      </c>
      <c r="E5064" s="538" t="s">
        <v>402</v>
      </c>
      <c r="F5064" s="538">
        <v>22656</v>
      </c>
      <c r="G5064" s="538">
        <v>2</v>
      </c>
    </row>
    <row r="5065" spans="1:7" x14ac:dyDescent="0.2">
      <c r="A5065" s="538">
        <v>7</v>
      </c>
      <c r="B5065" s="538" t="s">
        <v>6564</v>
      </c>
      <c r="C5065" s="538" t="s">
        <v>740</v>
      </c>
      <c r="D5065" s="538" t="s">
        <v>740</v>
      </c>
      <c r="E5065" s="538" t="s">
        <v>230</v>
      </c>
      <c r="F5065" s="538">
        <v>690071</v>
      </c>
      <c r="G5065" s="538">
        <v>7</v>
      </c>
    </row>
    <row r="5066" spans="1:7" x14ac:dyDescent="0.2">
      <c r="A5066" s="538">
        <v>6</v>
      </c>
      <c r="B5066" s="538" t="s">
        <v>6617</v>
      </c>
      <c r="C5066" s="538" t="s">
        <v>393</v>
      </c>
      <c r="D5066" s="538" t="s">
        <v>740</v>
      </c>
      <c r="E5066" s="538" t="s">
        <v>401</v>
      </c>
      <c r="F5066" s="538">
        <v>504627</v>
      </c>
      <c r="G5066" s="538">
        <v>39</v>
      </c>
    </row>
    <row r="5067" spans="1:7" x14ac:dyDescent="0.2">
      <c r="A5067" s="538">
        <v>2</v>
      </c>
      <c r="B5067" s="538" t="s">
        <v>6608</v>
      </c>
      <c r="C5067" s="538" t="s">
        <v>740</v>
      </c>
      <c r="D5067" s="538" t="s">
        <v>393</v>
      </c>
      <c r="E5067" s="538" t="s">
        <v>438</v>
      </c>
      <c r="F5067" s="538">
        <v>1553654</v>
      </c>
      <c r="G5067" s="538">
        <v>23</v>
      </c>
    </row>
    <row r="5068" spans="1:7" x14ac:dyDescent="0.2">
      <c r="A5068" s="538">
        <v>2</v>
      </c>
      <c r="B5068" s="538" t="s">
        <v>6608</v>
      </c>
      <c r="C5068" s="538" t="s">
        <v>740</v>
      </c>
      <c r="D5068" s="538" t="s">
        <v>393</v>
      </c>
      <c r="E5068" s="538" t="s">
        <v>206</v>
      </c>
      <c r="F5068" s="538">
        <v>11328</v>
      </c>
      <c r="G5068" s="538">
        <v>1</v>
      </c>
    </row>
    <row r="5069" spans="1:7" x14ac:dyDescent="0.2">
      <c r="A5069" s="538">
        <v>7</v>
      </c>
      <c r="B5069" s="538" t="s">
        <v>6571</v>
      </c>
      <c r="C5069" s="538" t="s">
        <v>393</v>
      </c>
      <c r="D5069" s="538" t="s">
        <v>393</v>
      </c>
      <c r="E5069" s="538" t="s">
        <v>212</v>
      </c>
      <c r="F5069" s="538">
        <v>1732070</v>
      </c>
      <c r="G5069" s="538">
        <v>90</v>
      </c>
    </row>
    <row r="5070" spans="1:7" x14ac:dyDescent="0.2">
      <c r="A5070" s="538">
        <v>5</v>
      </c>
      <c r="B5070" s="538" t="s">
        <v>6566</v>
      </c>
      <c r="C5070" s="538" t="s">
        <v>393</v>
      </c>
      <c r="D5070" s="538" t="s">
        <v>393</v>
      </c>
      <c r="E5070" s="538" t="s">
        <v>210</v>
      </c>
      <c r="F5070" s="538">
        <v>2546041</v>
      </c>
      <c r="G5070" s="538">
        <v>72</v>
      </c>
    </row>
    <row r="5071" spans="1:7" x14ac:dyDescent="0.2">
      <c r="A5071" s="538">
        <v>7</v>
      </c>
      <c r="B5071" s="538" t="s">
        <v>6579</v>
      </c>
      <c r="C5071" s="538" t="s">
        <v>740</v>
      </c>
      <c r="D5071" s="538" t="s">
        <v>393</v>
      </c>
      <c r="E5071" s="538" t="s">
        <v>313</v>
      </c>
      <c r="F5071" s="538">
        <v>496433</v>
      </c>
      <c r="G5071" s="538">
        <v>1</v>
      </c>
    </row>
    <row r="5072" spans="1:7" x14ac:dyDescent="0.2">
      <c r="A5072" s="538">
        <v>7</v>
      </c>
      <c r="B5072" s="538" t="s">
        <v>6655</v>
      </c>
      <c r="C5072" s="538" t="s">
        <v>740</v>
      </c>
      <c r="D5072" s="538" t="s">
        <v>393</v>
      </c>
      <c r="E5072" s="538" t="s">
        <v>211</v>
      </c>
      <c r="F5072" s="538">
        <v>11328</v>
      </c>
      <c r="G5072" s="538">
        <v>1</v>
      </c>
    </row>
    <row r="5073" spans="1:7" x14ac:dyDescent="0.2">
      <c r="A5073" s="538">
        <v>11</v>
      </c>
      <c r="B5073" s="538" t="s">
        <v>6610</v>
      </c>
      <c r="C5073" s="538" t="s">
        <v>740</v>
      </c>
      <c r="D5073" s="538" t="s">
        <v>393</v>
      </c>
      <c r="E5073" s="538" t="s">
        <v>401</v>
      </c>
      <c r="F5073" s="538">
        <v>785828</v>
      </c>
      <c r="G5073" s="538">
        <v>21</v>
      </c>
    </row>
    <row r="5074" spans="1:7" x14ac:dyDescent="0.2">
      <c r="A5074" s="538">
        <v>7</v>
      </c>
      <c r="B5074" s="538" t="s">
        <v>6564</v>
      </c>
      <c r="C5074" s="538" t="s">
        <v>740</v>
      </c>
      <c r="D5074" s="538" t="s">
        <v>393</v>
      </c>
      <c r="E5074" s="538" t="s">
        <v>390</v>
      </c>
      <c r="F5074" s="538">
        <v>8068545</v>
      </c>
      <c r="G5074" s="538">
        <v>365</v>
      </c>
    </row>
    <row r="5075" spans="1:7" x14ac:dyDescent="0.2">
      <c r="A5075" s="538">
        <v>3</v>
      </c>
      <c r="B5075" s="538" t="s">
        <v>6561</v>
      </c>
      <c r="C5075" s="538" t="s">
        <v>740</v>
      </c>
      <c r="D5075" s="538" t="s">
        <v>740</v>
      </c>
      <c r="E5075" s="538" t="s">
        <v>207</v>
      </c>
      <c r="F5075" s="538">
        <v>2358119</v>
      </c>
      <c r="G5075" s="538">
        <v>108</v>
      </c>
    </row>
    <row r="5076" spans="1:7" x14ac:dyDescent="0.2">
      <c r="A5076" s="538">
        <v>2</v>
      </c>
      <c r="B5076" s="538" t="s">
        <v>6576</v>
      </c>
      <c r="C5076" s="538" t="s">
        <v>740</v>
      </c>
      <c r="D5076" s="538" t="s">
        <v>393</v>
      </c>
      <c r="E5076" s="538" t="s">
        <v>438</v>
      </c>
      <c r="F5076" s="538">
        <v>620864</v>
      </c>
      <c r="G5076" s="538">
        <v>3</v>
      </c>
    </row>
    <row r="5077" spans="1:7" x14ac:dyDescent="0.2">
      <c r="A5077" s="538">
        <v>9</v>
      </c>
      <c r="B5077" s="538" t="s">
        <v>6614</v>
      </c>
      <c r="C5077" s="538" t="s">
        <v>740</v>
      </c>
      <c r="D5077" s="538" t="s">
        <v>393</v>
      </c>
      <c r="E5077" s="538" t="s">
        <v>409</v>
      </c>
      <c r="F5077" s="538">
        <v>11328</v>
      </c>
      <c r="G5077" s="538">
        <v>1</v>
      </c>
    </row>
    <row r="5078" spans="1:7" x14ac:dyDescent="0.2">
      <c r="A5078" s="538">
        <v>7</v>
      </c>
      <c r="B5078" s="538" t="s">
        <v>6564</v>
      </c>
      <c r="C5078" s="538" t="s">
        <v>393</v>
      </c>
      <c r="D5078" s="538" t="s">
        <v>393</v>
      </c>
      <c r="E5078" s="538" t="s">
        <v>209</v>
      </c>
      <c r="F5078" s="538">
        <v>1858875</v>
      </c>
      <c r="G5078" s="538">
        <v>10</v>
      </c>
    </row>
    <row r="5079" spans="1:7" x14ac:dyDescent="0.2">
      <c r="A5079" s="538">
        <v>8</v>
      </c>
      <c r="B5079" s="538" t="s">
        <v>6560</v>
      </c>
      <c r="C5079" s="538" t="s">
        <v>740</v>
      </c>
      <c r="D5079" s="538" t="s">
        <v>393</v>
      </c>
      <c r="E5079" s="538" t="s">
        <v>449</v>
      </c>
      <c r="F5079" s="538">
        <v>553073</v>
      </c>
      <c r="G5079" s="538">
        <v>6</v>
      </c>
    </row>
    <row r="5080" spans="1:7" x14ac:dyDescent="0.2">
      <c r="A5080" s="538">
        <v>7</v>
      </c>
      <c r="B5080" s="538" t="s">
        <v>6604</v>
      </c>
      <c r="C5080" s="538" t="s">
        <v>393</v>
      </c>
      <c r="D5080" s="538" t="s">
        <v>740</v>
      </c>
      <c r="E5080" s="538" t="s">
        <v>211</v>
      </c>
      <c r="F5080" s="538">
        <v>632192</v>
      </c>
      <c r="G5080" s="538">
        <v>4</v>
      </c>
    </row>
    <row r="5081" spans="1:7" x14ac:dyDescent="0.2">
      <c r="A5081" s="538">
        <v>6</v>
      </c>
      <c r="B5081" s="538" t="s">
        <v>6565</v>
      </c>
      <c r="C5081" s="538" t="s">
        <v>740</v>
      </c>
      <c r="D5081" s="538" t="s">
        <v>393</v>
      </c>
      <c r="E5081" s="538" t="s">
        <v>409</v>
      </c>
      <c r="F5081" s="538">
        <v>407454</v>
      </c>
      <c r="G5081" s="538">
        <v>18</v>
      </c>
    </row>
    <row r="5082" spans="1:7" x14ac:dyDescent="0.2">
      <c r="A5082" s="538">
        <v>11</v>
      </c>
      <c r="B5082" s="538" t="s">
        <v>6660</v>
      </c>
      <c r="C5082" s="538" t="s">
        <v>393</v>
      </c>
      <c r="D5082" s="538" t="s">
        <v>393</v>
      </c>
      <c r="E5082" s="538" t="s">
        <v>210</v>
      </c>
      <c r="F5082" s="538">
        <v>900576</v>
      </c>
      <c r="G5082" s="538">
        <v>47</v>
      </c>
    </row>
    <row r="5083" spans="1:7" x14ac:dyDescent="0.2">
      <c r="A5083" s="538">
        <v>2</v>
      </c>
      <c r="B5083" s="538" t="s">
        <v>6585</v>
      </c>
      <c r="C5083" s="538" t="s">
        <v>740</v>
      </c>
      <c r="D5083" s="538" t="s">
        <v>393</v>
      </c>
      <c r="E5083" s="538" t="s">
        <v>402</v>
      </c>
      <c r="F5083" s="538">
        <v>483033</v>
      </c>
      <c r="G5083" s="538">
        <v>26</v>
      </c>
    </row>
    <row r="5084" spans="1:7" x14ac:dyDescent="0.2">
      <c r="A5084" s="538">
        <v>5</v>
      </c>
      <c r="B5084" s="538" t="s">
        <v>6599</v>
      </c>
      <c r="C5084" s="538" t="s">
        <v>740</v>
      </c>
      <c r="D5084" s="538" t="s">
        <v>740</v>
      </c>
      <c r="E5084" s="538" t="s">
        <v>402</v>
      </c>
      <c r="F5084" s="538">
        <v>11328</v>
      </c>
      <c r="G5084" s="538">
        <v>1</v>
      </c>
    </row>
    <row r="5085" spans="1:7" x14ac:dyDescent="0.2">
      <c r="A5085" s="538">
        <v>2</v>
      </c>
      <c r="B5085" s="538" t="s">
        <v>6573</v>
      </c>
      <c r="C5085" s="538" t="s">
        <v>740</v>
      </c>
      <c r="D5085" s="538" t="s">
        <v>393</v>
      </c>
      <c r="E5085" s="538" t="s">
        <v>402</v>
      </c>
      <c r="F5085" s="538">
        <v>272934</v>
      </c>
      <c r="G5085" s="538">
        <v>13</v>
      </c>
    </row>
    <row r="5086" spans="1:7" x14ac:dyDescent="0.2">
      <c r="A5086" s="538">
        <v>1</v>
      </c>
      <c r="B5086" s="538" t="s">
        <v>6581</v>
      </c>
      <c r="C5086" s="538" t="s">
        <v>740</v>
      </c>
      <c r="D5086" s="538" t="s">
        <v>740</v>
      </c>
      <c r="E5086" s="538" t="s">
        <v>390</v>
      </c>
      <c r="F5086" s="538">
        <v>11328</v>
      </c>
      <c r="G5086" s="538">
        <v>1</v>
      </c>
    </row>
    <row r="5087" spans="1:7" x14ac:dyDescent="0.2">
      <c r="A5087" s="538">
        <v>4</v>
      </c>
      <c r="B5087" s="538" t="s">
        <v>6562</v>
      </c>
      <c r="C5087" s="538" t="s">
        <v>393</v>
      </c>
      <c r="D5087" s="538" t="s">
        <v>740</v>
      </c>
      <c r="E5087" s="538" t="s">
        <v>409</v>
      </c>
      <c r="F5087" s="538">
        <v>634191</v>
      </c>
      <c r="G5087" s="538">
        <v>47</v>
      </c>
    </row>
    <row r="5088" spans="1:7" x14ac:dyDescent="0.2">
      <c r="A5088" s="538">
        <v>7</v>
      </c>
      <c r="B5088" s="538" t="s">
        <v>6661</v>
      </c>
      <c r="C5088" s="538" t="s">
        <v>740</v>
      </c>
      <c r="D5088" s="538" t="s">
        <v>393</v>
      </c>
      <c r="E5088" s="538" t="s">
        <v>211</v>
      </c>
      <c r="F5088" s="538">
        <v>8641588</v>
      </c>
      <c r="G5088" s="538">
        <v>266</v>
      </c>
    </row>
    <row r="5089" spans="1:7" x14ac:dyDescent="0.2">
      <c r="A5089" s="538">
        <v>2</v>
      </c>
      <c r="B5089" s="538" t="s">
        <v>6585</v>
      </c>
      <c r="C5089" s="538" t="s">
        <v>740</v>
      </c>
      <c r="D5089" s="538" t="s">
        <v>393</v>
      </c>
      <c r="E5089" s="538" t="s">
        <v>438</v>
      </c>
      <c r="F5089" s="538">
        <v>581924</v>
      </c>
      <c r="G5089" s="538">
        <v>3</v>
      </c>
    </row>
    <row r="5090" spans="1:7" x14ac:dyDescent="0.2">
      <c r="A5090" s="538">
        <v>10</v>
      </c>
      <c r="B5090" s="538" t="s">
        <v>6597</v>
      </c>
      <c r="C5090" s="538" t="s">
        <v>740</v>
      </c>
      <c r="D5090" s="538" t="s">
        <v>393</v>
      </c>
      <c r="E5090" s="538" t="s">
        <v>860</v>
      </c>
      <c r="F5090" s="538">
        <v>679149</v>
      </c>
      <c r="G5090" s="538">
        <v>33</v>
      </c>
    </row>
    <row r="5091" spans="1:7" x14ac:dyDescent="0.2">
      <c r="A5091" s="538">
        <v>7</v>
      </c>
      <c r="B5091" s="538" t="s">
        <v>6579</v>
      </c>
      <c r="C5091" s="538" t="s">
        <v>740</v>
      </c>
      <c r="D5091" s="538" t="s">
        <v>740</v>
      </c>
      <c r="E5091" s="538" t="s">
        <v>449</v>
      </c>
      <c r="F5091" s="538">
        <v>67968</v>
      </c>
      <c r="G5091" s="538">
        <v>6</v>
      </c>
    </row>
    <row r="5092" spans="1:7" x14ac:dyDescent="0.2">
      <c r="A5092" s="538">
        <v>1</v>
      </c>
      <c r="B5092" s="538" t="s">
        <v>1288</v>
      </c>
      <c r="C5092" s="538" t="s">
        <v>740</v>
      </c>
      <c r="D5092" s="538" t="s">
        <v>393</v>
      </c>
      <c r="E5092" s="538" t="s">
        <v>313</v>
      </c>
      <c r="F5092" s="538">
        <v>545514</v>
      </c>
      <c r="G5092" s="538">
        <v>8</v>
      </c>
    </row>
    <row r="5093" spans="1:7" x14ac:dyDescent="0.2">
      <c r="A5093" s="538">
        <v>8</v>
      </c>
      <c r="B5093" s="538" t="s">
        <v>6560</v>
      </c>
      <c r="C5093" s="538" t="s">
        <v>740</v>
      </c>
      <c r="D5093" s="538" t="s">
        <v>393</v>
      </c>
      <c r="E5093" s="538" t="s">
        <v>209</v>
      </c>
      <c r="F5093" s="538">
        <v>9306713</v>
      </c>
      <c r="G5093" s="538">
        <v>36</v>
      </c>
    </row>
    <row r="5094" spans="1:7" x14ac:dyDescent="0.2">
      <c r="A5094" s="538">
        <v>5</v>
      </c>
      <c r="B5094" s="538" t="s">
        <v>6599</v>
      </c>
      <c r="C5094" s="538" t="s">
        <v>740</v>
      </c>
      <c r="D5094" s="538" t="s">
        <v>393</v>
      </c>
      <c r="E5094" s="538" t="s">
        <v>211</v>
      </c>
      <c r="F5094" s="538">
        <v>38449878</v>
      </c>
      <c r="G5094" s="538">
        <v>981</v>
      </c>
    </row>
    <row r="5095" spans="1:7" x14ac:dyDescent="0.2">
      <c r="A5095" s="538">
        <v>1</v>
      </c>
      <c r="B5095" s="538" t="s">
        <v>6663</v>
      </c>
      <c r="C5095" s="538" t="s">
        <v>740</v>
      </c>
      <c r="D5095" s="538" t="s">
        <v>393</v>
      </c>
      <c r="E5095" s="538" t="s">
        <v>207</v>
      </c>
      <c r="F5095" s="538">
        <v>11328</v>
      </c>
      <c r="G5095" s="538">
        <v>1</v>
      </c>
    </row>
    <row r="5096" spans="1:7" x14ac:dyDescent="0.2">
      <c r="A5096" s="538">
        <v>6</v>
      </c>
      <c r="B5096" s="538" t="s">
        <v>6429</v>
      </c>
      <c r="C5096" s="538" t="s">
        <v>393</v>
      </c>
      <c r="D5096" s="538" t="s">
        <v>393</v>
      </c>
      <c r="E5096" s="538" t="s">
        <v>401</v>
      </c>
      <c r="F5096" s="538">
        <v>11328</v>
      </c>
      <c r="G5096" s="538">
        <v>1</v>
      </c>
    </row>
    <row r="5097" spans="1:7" x14ac:dyDescent="0.2">
      <c r="A5097" s="538">
        <v>6</v>
      </c>
      <c r="B5097" s="538" t="s">
        <v>6575</v>
      </c>
      <c r="C5097" s="538" t="s">
        <v>393</v>
      </c>
      <c r="D5097" s="538" t="s">
        <v>740</v>
      </c>
      <c r="E5097" s="538" t="s">
        <v>401</v>
      </c>
      <c r="F5097" s="538">
        <v>158592</v>
      </c>
      <c r="G5097" s="538">
        <v>14</v>
      </c>
    </row>
    <row r="5098" spans="1:7" x14ac:dyDescent="0.2">
      <c r="A5098" s="538">
        <v>4</v>
      </c>
      <c r="B5098" s="538" t="s">
        <v>6572</v>
      </c>
      <c r="C5098" s="538" t="s">
        <v>740</v>
      </c>
      <c r="D5098" s="538" t="s">
        <v>740</v>
      </c>
      <c r="E5098" s="538" t="s">
        <v>409</v>
      </c>
      <c r="F5098" s="538">
        <v>2898094</v>
      </c>
      <c r="G5098" s="538">
        <v>83</v>
      </c>
    </row>
    <row r="5099" spans="1:7" x14ac:dyDescent="0.2">
      <c r="A5099" s="538">
        <v>9</v>
      </c>
      <c r="B5099" s="538" t="s">
        <v>6645</v>
      </c>
      <c r="C5099" s="538" t="s">
        <v>740</v>
      </c>
      <c r="D5099" s="538" t="s">
        <v>393</v>
      </c>
      <c r="E5099" s="538" t="s">
        <v>211</v>
      </c>
      <c r="F5099" s="538">
        <v>8456623</v>
      </c>
      <c r="G5099" s="538">
        <v>256</v>
      </c>
    </row>
    <row r="5100" spans="1:7" x14ac:dyDescent="0.2">
      <c r="A5100" s="538">
        <v>7</v>
      </c>
      <c r="B5100" s="538" t="s">
        <v>6594</v>
      </c>
      <c r="C5100" s="538" t="s">
        <v>740</v>
      </c>
      <c r="D5100" s="538" t="s">
        <v>393</v>
      </c>
      <c r="E5100" s="538" t="s">
        <v>202</v>
      </c>
      <c r="F5100" s="538">
        <v>1962066</v>
      </c>
      <c r="G5100" s="538">
        <v>17</v>
      </c>
    </row>
    <row r="5101" spans="1:7" x14ac:dyDescent="0.2">
      <c r="A5101" s="538">
        <v>3</v>
      </c>
      <c r="B5101" s="538" t="s">
        <v>6561</v>
      </c>
      <c r="C5101" s="538" t="s">
        <v>740</v>
      </c>
      <c r="D5101" s="538" t="s">
        <v>393</v>
      </c>
      <c r="E5101" s="538" t="s">
        <v>390</v>
      </c>
      <c r="F5101" s="538">
        <v>1643216</v>
      </c>
      <c r="G5101" s="538">
        <v>42</v>
      </c>
    </row>
    <row r="5102" spans="1:7" x14ac:dyDescent="0.2">
      <c r="A5102" s="538">
        <v>1</v>
      </c>
      <c r="B5102" s="538" t="s">
        <v>6581</v>
      </c>
      <c r="C5102" s="538" t="s">
        <v>393</v>
      </c>
      <c r="D5102" s="538" t="s">
        <v>393</v>
      </c>
      <c r="E5102" s="538" t="s">
        <v>202</v>
      </c>
      <c r="F5102" s="538">
        <v>5728949</v>
      </c>
      <c r="G5102" s="538">
        <v>53</v>
      </c>
    </row>
    <row r="5103" spans="1:7" x14ac:dyDescent="0.2">
      <c r="A5103" s="538">
        <v>1</v>
      </c>
      <c r="B5103" s="538" t="s">
        <v>6602</v>
      </c>
      <c r="C5103" s="538" t="s">
        <v>740</v>
      </c>
      <c r="D5103" s="538" t="s">
        <v>393</v>
      </c>
      <c r="E5103" s="538" t="s">
        <v>230</v>
      </c>
      <c r="F5103" s="538">
        <v>15255391</v>
      </c>
      <c r="G5103" s="538">
        <v>412</v>
      </c>
    </row>
    <row r="5104" spans="1:7" x14ac:dyDescent="0.2">
      <c r="A5104" s="538">
        <v>2</v>
      </c>
      <c r="B5104" s="538" t="s">
        <v>6576</v>
      </c>
      <c r="C5104" s="538" t="s">
        <v>740</v>
      </c>
      <c r="D5104" s="538" t="s">
        <v>393</v>
      </c>
      <c r="E5104" s="538" t="s">
        <v>390</v>
      </c>
      <c r="F5104" s="538">
        <v>9245762</v>
      </c>
      <c r="G5104" s="538">
        <v>249</v>
      </c>
    </row>
    <row r="5105" spans="1:7" x14ac:dyDescent="0.2">
      <c r="A5105" s="538">
        <v>10</v>
      </c>
      <c r="B5105" s="538" t="s">
        <v>6601</v>
      </c>
      <c r="C5105" s="538" t="s">
        <v>393</v>
      </c>
      <c r="D5105" s="538" t="s">
        <v>393</v>
      </c>
      <c r="E5105" s="538" t="s">
        <v>207</v>
      </c>
      <c r="F5105" s="538">
        <v>3190092</v>
      </c>
      <c r="G5105" s="538">
        <v>104</v>
      </c>
    </row>
    <row r="5106" spans="1:7" x14ac:dyDescent="0.2">
      <c r="A5106" s="538">
        <v>1</v>
      </c>
      <c r="B5106" s="538" t="s">
        <v>1288</v>
      </c>
      <c r="C5106" s="538" t="s">
        <v>393</v>
      </c>
      <c r="D5106" s="538" t="s">
        <v>393</v>
      </c>
      <c r="E5106" s="538" t="s">
        <v>230</v>
      </c>
      <c r="F5106" s="538">
        <v>3664171</v>
      </c>
      <c r="G5106" s="538">
        <v>52</v>
      </c>
    </row>
    <row r="5107" spans="1:7" x14ac:dyDescent="0.2">
      <c r="A5107" s="538">
        <v>8</v>
      </c>
      <c r="B5107" s="538" t="s">
        <v>6583</v>
      </c>
      <c r="C5107" s="538" t="s">
        <v>740</v>
      </c>
      <c r="D5107" s="538" t="s">
        <v>740</v>
      </c>
      <c r="E5107" s="538" t="s">
        <v>419</v>
      </c>
      <c r="F5107" s="538">
        <v>22656</v>
      </c>
      <c r="G5107" s="538">
        <v>2</v>
      </c>
    </row>
    <row r="5108" spans="1:7" x14ac:dyDescent="0.2">
      <c r="A5108" s="538">
        <v>5</v>
      </c>
      <c r="B5108" s="538" t="s">
        <v>6598</v>
      </c>
      <c r="C5108" s="538" t="s">
        <v>393</v>
      </c>
      <c r="D5108" s="538" t="s">
        <v>393</v>
      </c>
      <c r="E5108" s="538" t="s">
        <v>209</v>
      </c>
      <c r="F5108" s="538">
        <v>2293712</v>
      </c>
      <c r="G5108" s="538">
        <v>9</v>
      </c>
    </row>
    <row r="5109" spans="1:7" x14ac:dyDescent="0.2">
      <c r="A5109" s="538">
        <v>6</v>
      </c>
      <c r="B5109" s="538" t="s">
        <v>6607</v>
      </c>
      <c r="C5109" s="538" t="s">
        <v>740</v>
      </c>
      <c r="D5109" s="538" t="s">
        <v>393</v>
      </c>
      <c r="E5109" s="538" t="s">
        <v>401</v>
      </c>
      <c r="F5109" s="538">
        <v>691893</v>
      </c>
      <c r="G5109" s="538">
        <v>41</v>
      </c>
    </row>
    <row r="5110" spans="1:7" x14ac:dyDescent="0.2">
      <c r="A5110" s="538">
        <v>11</v>
      </c>
      <c r="B5110" s="538" t="s">
        <v>6610</v>
      </c>
      <c r="C5110" s="538" t="s">
        <v>393</v>
      </c>
      <c r="D5110" s="538" t="s">
        <v>393</v>
      </c>
      <c r="E5110" s="538" t="s">
        <v>409</v>
      </c>
      <c r="F5110" s="538">
        <v>1918753</v>
      </c>
      <c r="G5110" s="538">
        <v>56</v>
      </c>
    </row>
    <row r="5111" spans="1:7" x14ac:dyDescent="0.2">
      <c r="A5111" s="538">
        <v>5</v>
      </c>
      <c r="B5111" s="538" t="s">
        <v>6599</v>
      </c>
      <c r="C5111" s="538" t="s">
        <v>740</v>
      </c>
      <c r="D5111" s="538" t="s">
        <v>740</v>
      </c>
      <c r="E5111" s="538" t="s">
        <v>401</v>
      </c>
      <c r="F5111" s="538">
        <v>11328</v>
      </c>
      <c r="G5111" s="538">
        <v>1</v>
      </c>
    </row>
    <row r="5112" spans="1:7" x14ac:dyDescent="0.2">
      <c r="A5112" s="538">
        <v>12</v>
      </c>
      <c r="B5112" s="538" t="s">
        <v>6569</v>
      </c>
      <c r="C5112" s="538" t="s">
        <v>740</v>
      </c>
      <c r="D5112" s="538" t="s">
        <v>393</v>
      </c>
      <c r="E5112" s="538" t="s">
        <v>409</v>
      </c>
      <c r="F5112" s="538">
        <v>519089</v>
      </c>
      <c r="G5112" s="538">
        <v>3</v>
      </c>
    </row>
    <row r="5113" spans="1:7" x14ac:dyDescent="0.2">
      <c r="A5113" s="538">
        <v>12</v>
      </c>
      <c r="B5113" s="538" t="s">
        <v>6563</v>
      </c>
      <c r="C5113" s="538" t="s">
        <v>740</v>
      </c>
      <c r="D5113" s="538" t="s">
        <v>740</v>
      </c>
      <c r="E5113" s="538" t="s">
        <v>416</v>
      </c>
      <c r="F5113" s="538">
        <v>581091</v>
      </c>
      <c r="G5113" s="538">
        <v>32</v>
      </c>
    </row>
    <row r="5114" spans="1:7" x14ac:dyDescent="0.2">
      <c r="A5114" s="538">
        <v>8</v>
      </c>
      <c r="B5114" s="538" t="s">
        <v>6570</v>
      </c>
      <c r="C5114" s="538" t="s">
        <v>740</v>
      </c>
      <c r="D5114" s="538" t="s">
        <v>393</v>
      </c>
      <c r="E5114" s="538" t="s">
        <v>207</v>
      </c>
      <c r="F5114" s="538">
        <v>169920</v>
      </c>
      <c r="G5114" s="538">
        <v>15</v>
      </c>
    </row>
    <row r="5115" spans="1:7" x14ac:dyDescent="0.2">
      <c r="A5115" s="538">
        <v>3</v>
      </c>
      <c r="B5115" s="538" t="s">
        <v>6605</v>
      </c>
      <c r="C5115" s="538" t="s">
        <v>393</v>
      </c>
      <c r="D5115" s="538" t="s">
        <v>740</v>
      </c>
      <c r="E5115" s="538" t="s">
        <v>210</v>
      </c>
      <c r="F5115" s="538">
        <v>96819</v>
      </c>
      <c r="G5115" s="538">
        <v>3</v>
      </c>
    </row>
    <row r="5116" spans="1:7" x14ac:dyDescent="0.2">
      <c r="A5116" s="538">
        <v>3</v>
      </c>
      <c r="B5116" s="538" t="s">
        <v>6586</v>
      </c>
      <c r="C5116" s="538" t="s">
        <v>740</v>
      </c>
      <c r="D5116" s="538" t="s">
        <v>740</v>
      </c>
      <c r="E5116" s="538" t="s">
        <v>402</v>
      </c>
      <c r="F5116" s="538">
        <v>16325075</v>
      </c>
      <c r="G5116" s="538">
        <v>565</v>
      </c>
    </row>
    <row r="5117" spans="1:7" x14ac:dyDescent="0.2">
      <c r="A5117" s="538">
        <v>5</v>
      </c>
      <c r="B5117" s="538" t="s">
        <v>6599</v>
      </c>
      <c r="C5117" s="538" t="s">
        <v>393</v>
      </c>
      <c r="D5117" s="538" t="s">
        <v>393</v>
      </c>
      <c r="E5117" s="538" t="s">
        <v>402</v>
      </c>
      <c r="F5117" s="538">
        <v>5826403</v>
      </c>
      <c r="G5117" s="538">
        <v>166</v>
      </c>
    </row>
    <row r="5118" spans="1:7" x14ac:dyDescent="0.2">
      <c r="A5118" s="538">
        <v>8</v>
      </c>
      <c r="B5118" s="538" t="s">
        <v>6658</v>
      </c>
      <c r="C5118" s="538" t="s">
        <v>393</v>
      </c>
      <c r="D5118" s="538" t="s">
        <v>740</v>
      </c>
      <c r="E5118" s="538" t="s">
        <v>211</v>
      </c>
      <c r="F5118" s="538">
        <v>209922</v>
      </c>
      <c r="G5118" s="538">
        <v>4</v>
      </c>
    </row>
    <row r="5119" spans="1:7" x14ac:dyDescent="0.2">
      <c r="A5119" s="538">
        <v>9</v>
      </c>
      <c r="B5119" s="538" t="s">
        <v>6657</v>
      </c>
      <c r="C5119" s="538" t="s">
        <v>740</v>
      </c>
      <c r="D5119" s="538" t="s">
        <v>393</v>
      </c>
      <c r="E5119" s="538" t="s">
        <v>211</v>
      </c>
      <c r="F5119" s="538">
        <v>10142725</v>
      </c>
      <c r="G5119" s="538">
        <v>300</v>
      </c>
    </row>
    <row r="5120" spans="1:7" x14ac:dyDescent="0.2">
      <c r="A5120" s="538">
        <v>3</v>
      </c>
      <c r="B5120" s="538" t="s">
        <v>6561</v>
      </c>
      <c r="C5120" s="538" t="s">
        <v>740</v>
      </c>
      <c r="D5120" s="538" t="s">
        <v>393</v>
      </c>
      <c r="E5120" s="538" t="s">
        <v>860</v>
      </c>
      <c r="F5120" s="538">
        <v>716444</v>
      </c>
      <c r="G5120" s="538">
        <v>8</v>
      </c>
    </row>
    <row r="5121" spans="1:7" x14ac:dyDescent="0.2">
      <c r="A5121" s="538">
        <v>8</v>
      </c>
      <c r="B5121" s="538" t="s">
        <v>6570</v>
      </c>
      <c r="C5121" s="538" t="s">
        <v>740</v>
      </c>
      <c r="D5121" s="538" t="s">
        <v>393</v>
      </c>
      <c r="E5121" s="538" t="s">
        <v>449</v>
      </c>
      <c r="F5121" s="538">
        <v>592013</v>
      </c>
      <c r="G5121" s="538">
        <v>6</v>
      </c>
    </row>
    <row r="5122" spans="1:7" x14ac:dyDescent="0.2">
      <c r="A5122" s="538">
        <v>7</v>
      </c>
      <c r="B5122" s="538" t="s">
        <v>6579</v>
      </c>
      <c r="C5122" s="538" t="s">
        <v>393</v>
      </c>
      <c r="D5122" s="538" t="s">
        <v>393</v>
      </c>
      <c r="E5122" s="538" t="s">
        <v>212</v>
      </c>
      <c r="F5122" s="538">
        <v>549939</v>
      </c>
      <c r="G5122" s="538">
        <v>43</v>
      </c>
    </row>
    <row r="5123" spans="1:7" x14ac:dyDescent="0.2">
      <c r="A5123" s="538">
        <v>4</v>
      </c>
      <c r="B5123" s="538" t="s">
        <v>6562</v>
      </c>
      <c r="C5123" s="538" t="s">
        <v>740</v>
      </c>
      <c r="D5123" s="538" t="s">
        <v>740</v>
      </c>
      <c r="E5123" s="538" t="s">
        <v>416</v>
      </c>
      <c r="F5123" s="538">
        <v>631182</v>
      </c>
      <c r="G5123" s="538">
        <v>19</v>
      </c>
    </row>
    <row r="5124" spans="1:7" x14ac:dyDescent="0.2">
      <c r="A5124" s="538">
        <v>10</v>
      </c>
      <c r="B5124" s="538" t="s">
        <v>6652</v>
      </c>
      <c r="C5124" s="538" t="s">
        <v>740</v>
      </c>
      <c r="D5124" s="538" t="s">
        <v>393</v>
      </c>
      <c r="E5124" s="538" t="s">
        <v>419</v>
      </c>
      <c r="F5124" s="538">
        <v>85491</v>
      </c>
      <c r="G5124" s="538">
        <v>2</v>
      </c>
    </row>
    <row r="5125" spans="1:7" x14ac:dyDescent="0.2">
      <c r="A5125" s="538">
        <v>2</v>
      </c>
      <c r="B5125" s="538" t="s">
        <v>6576</v>
      </c>
      <c r="C5125" s="538" t="s">
        <v>740</v>
      </c>
      <c r="D5125" s="538" t="s">
        <v>393</v>
      </c>
      <c r="E5125" s="538" t="s">
        <v>230</v>
      </c>
      <c r="F5125" s="538">
        <v>74163</v>
      </c>
      <c r="G5125" s="538">
        <v>1</v>
      </c>
    </row>
    <row r="5126" spans="1:7" x14ac:dyDescent="0.2">
      <c r="A5126" s="538">
        <v>7</v>
      </c>
      <c r="B5126" s="538" t="s">
        <v>6588</v>
      </c>
      <c r="C5126" s="538" t="s">
        <v>740</v>
      </c>
      <c r="D5126" s="538" t="s">
        <v>393</v>
      </c>
      <c r="E5126" s="538" t="s">
        <v>416</v>
      </c>
      <c r="F5126" s="538">
        <v>317120415</v>
      </c>
      <c r="G5126" s="538">
        <v>5785</v>
      </c>
    </row>
    <row r="5127" spans="1:7" x14ac:dyDescent="0.2">
      <c r="A5127" s="538">
        <v>2</v>
      </c>
      <c r="B5127" s="538" t="s">
        <v>6608</v>
      </c>
      <c r="C5127" s="538" t="s">
        <v>740</v>
      </c>
      <c r="D5127" s="538" t="s">
        <v>393</v>
      </c>
      <c r="E5127" s="538" t="s">
        <v>401</v>
      </c>
      <c r="F5127" s="538">
        <v>220011</v>
      </c>
      <c r="G5127" s="538">
        <v>7</v>
      </c>
    </row>
    <row r="5128" spans="1:7" x14ac:dyDescent="0.2">
      <c r="A5128" s="538">
        <v>9</v>
      </c>
      <c r="B5128" s="538" t="s">
        <v>6615</v>
      </c>
      <c r="C5128" s="538" t="s">
        <v>740</v>
      </c>
      <c r="D5128" s="538" t="s">
        <v>740</v>
      </c>
      <c r="E5128" s="538" t="s">
        <v>211</v>
      </c>
      <c r="F5128" s="538">
        <v>791846</v>
      </c>
      <c r="G5128" s="538">
        <v>7</v>
      </c>
    </row>
    <row r="5129" spans="1:7" x14ac:dyDescent="0.2">
      <c r="A5129" s="538">
        <v>11</v>
      </c>
      <c r="B5129" s="538" t="s">
        <v>6584</v>
      </c>
      <c r="C5129" s="538" t="s">
        <v>740</v>
      </c>
      <c r="D5129" s="538" t="s">
        <v>393</v>
      </c>
      <c r="E5129" s="538" t="s">
        <v>202</v>
      </c>
      <c r="F5129" s="538">
        <v>465156</v>
      </c>
      <c r="G5129" s="538">
        <v>12</v>
      </c>
    </row>
    <row r="5130" spans="1:7" x14ac:dyDescent="0.2">
      <c r="A5130" s="538">
        <v>6</v>
      </c>
      <c r="B5130" s="538" t="s">
        <v>6596</v>
      </c>
      <c r="C5130" s="538" t="s">
        <v>740</v>
      </c>
      <c r="D5130" s="538" t="s">
        <v>393</v>
      </c>
      <c r="E5130" s="538" t="s">
        <v>209</v>
      </c>
      <c r="F5130" s="538">
        <v>4391360</v>
      </c>
      <c r="G5130" s="538">
        <v>20</v>
      </c>
    </row>
    <row r="5131" spans="1:7" x14ac:dyDescent="0.2">
      <c r="A5131" s="538">
        <v>8</v>
      </c>
      <c r="B5131" s="538" t="s">
        <v>6570</v>
      </c>
      <c r="C5131" s="538" t="s">
        <v>740</v>
      </c>
      <c r="D5131" s="538" t="s">
        <v>393</v>
      </c>
      <c r="E5131" s="538" t="s">
        <v>202</v>
      </c>
      <c r="F5131" s="538">
        <v>889904</v>
      </c>
      <c r="G5131" s="538">
        <v>8</v>
      </c>
    </row>
    <row r="5132" spans="1:7" x14ac:dyDescent="0.2">
      <c r="A5132" s="538">
        <v>3</v>
      </c>
      <c r="B5132" s="538" t="s">
        <v>6586</v>
      </c>
      <c r="C5132" s="538" t="s">
        <v>740</v>
      </c>
      <c r="D5132" s="538" t="s">
        <v>740</v>
      </c>
      <c r="E5132" s="538" t="s">
        <v>212</v>
      </c>
      <c r="F5132" s="538">
        <v>799155</v>
      </c>
      <c r="G5132" s="538">
        <v>65</v>
      </c>
    </row>
    <row r="5133" spans="1:7" x14ac:dyDescent="0.2">
      <c r="A5133" s="538">
        <v>7</v>
      </c>
      <c r="B5133" s="538" t="s">
        <v>6588</v>
      </c>
      <c r="C5133" s="538" t="s">
        <v>740</v>
      </c>
      <c r="D5133" s="538" t="s">
        <v>393</v>
      </c>
      <c r="E5133" s="538" t="s">
        <v>230</v>
      </c>
      <c r="F5133" s="538">
        <v>188801971</v>
      </c>
      <c r="G5133" s="538">
        <v>4247</v>
      </c>
    </row>
    <row r="5134" spans="1:7" x14ac:dyDescent="0.2">
      <c r="A5134" s="538">
        <v>7</v>
      </c>
      <c r="B5134" s="538" t="s">
        <v>6655</v>
      </c>
      <c r="C5134" s="538" t="s">
        <v>740</v>
      </c>
      <c r="D5134" s="538" t="s">
        <v>393</v>
      </c>
      <c r="E5134" s="538" t="s">
        <v>390</v>
      </c>
      <c r="F5134" s="538">
        <v>9067377</v>
      </c>
      <c r="G5134" s="538">
        <v>329</v>
      </c>
    </row>
    <row r="5135" spans="1:7" x14ac:dyDescent="0.2">
      <c r="A5135" s="538">
        <v>8</v>
      </c>
      <c r="B5135" s="538" t="s">
        <v>6560</v>
      </c>
      <c r="C5135" s="538" t="s">
        <v>740</v>
      </c>
      <c r="D5135" s="538" t="s">
        <v>740</v>
      </c>
      <c r="E5135" s="538" t="s">
        <v>402</v>
      </c>
      <c r="F5135" s="538">
        <v>27286477</v>
      </c>
      <c r="G5135" s="538">
        <v>1039</v>
      </c>
    </row>
    <row r="5136" spans="1:7" x14ac:dyDescent="0.2">
      <c r="A5136" s="538">
        <v>4</v>
      </c>
      <c r="B5136" s="538" t="s">
        <v>6572</v>
      </c>
      <c r="C5136" s="538" t="s">
        <v>740</v>
      </c>
      <c r="D5136" s="538" t="s">
        <v>393</v>
      </c>
      <c r="E5136" s="538" t="s">
        <v>860</v>
      </c>
      <c r="F5136" s="538">
        <v>108147</v>
      </c>
      <c r="G5136" s="538">
        <v>4</v>
      </c>
    </row>
    <row r="5137" spans="1:7" x14ac:dyDescent="0.2">
      <c r="A5137" s="538">
        <v>2</v>
      </c>
      <c r="B5137" s="538" t="s">
        <v>6055</v>
      </c>
      <c r="C5137" s="538" t="s">
        <v>740</v>
      </c>
      <c r="D5137" s="538" t="s">
        <v>393</v>
      </c>
      <c r="E5137" s="538" t="s">
        <v>210</v>
      </c>
      <c r="F5137" s="538">
        <v>76906002</v>
      </c>
      <c r="G5137" s="538">
        <v>3944</v>
      </c>
    </row>
    <row r="5138" spans="1:7" x14ac:dyDescent="0.2">
      <c r="A5138" s="538">
        <v>8</v>
      </c>
      <c r="B5138" s="538" t="s">
        <v>6560</v>
      </c>
      <c r="C5138" s="538" t="s">
        <v>393</v>
      </c>
      <c r="D5138" s="538" t="s">
        <v>740</v>
      </c>
      <c r="E5138" s="538" t="s">
        <v>860</v>
      </c>
      <c r="F5138" s="538">
        <v>11328</v>
      </c>
      <c r="G5138" s="538">
        <v>1</v>
      </c>
    </row>
    <row r="5139" spans="1:7" x14ac:dyDescent="0.2">
      <c r="A5139" s="538">
        <v>5</v>
      </c>
      <c r="B5139" s="538" t="s">
        <v>6650</v>
      </c>
      <c r="C5139" s="538" t="s">
        <v>393</v>
      </c>
      <c r="D5139" s="538" t="s">
        <v>393</v>
      </c>
      <c r="E5139" s="538" t="s">
        <v>449</v>
      </c>
      <c r="F5139" s="538">
        <v>108147</v>
      </c>
      <c r="G5139" s="538">
        <v>4</v>
      </c>
    </row>
    <row r="5140" spans="1:7" x14ac:dyDescent="0.2">
      <c r="A5140" s="538">
        <v>5</v>
      </c>
      <c r="B5140" s="538" t="s">
        <v>6568</v>
      </c>
      <c r="C5140" s="538" t="s">
        <v>740</v>
      </c>
      <c r="D5140" s="538" t="s">
        <v>393</v>
      </c>
      <c r="E5140" s="538" t="s">
        <v>419</v>
      </c>
      <c r="F5140" s="538">
        <v>33984</v>
      </c>
      <c r="G5140" s="538">
        <v>3</v>
      </c>
    </row>
    <row r="5141" spans="1:7" x14ac:dyDescent="0.2">
      <c r="A5141" s="538">
        <v>4</v>
      </c>
      <c r="B5141" s="538" t="s">
        <v>6590</v>
      </c>
      <c r="C5141" s="538" t="s">
        <v>740</v>
      </c>
      <c r="D5141" s="538" t="s">
        <v>393</v>
      </c>
      <c r="E5141" s="538" t="s">
        <v>438</v>
      </c>
      <c r="F5141" s="538">
        <v>74163</v>
      </c>
      <c r="G5141" s="538">
        <v>1</v>
      </c>
    </row>
    <row r="5142" spans="1:7" x14ac:dyDescent="0.2">
      <c r="A5142" s="538">
        <v>9</v>
      </c>
      <c r="B5142" s="538" t="s">
        <v>6613</v>
      </c>
      <c r="C5142" s="538" t="s">
        <v>393</v>
      </c>
      <c r="D5142" s="538" t="s">
        <v>393</v>
      </c>
      <c r="E5142" s="538" t="s">
        <v>230</v>
      </c>
      <c r="F5142" s="538">
        <v>4897434</v>
      </c>
      <c r="G5142" s="538">
        <v>148</v>
      </c>
    </row>
    <row r="5143" spans="1:7" x14ac:dyDescent="0.2">
      <c r="A5143" s="538">
        <v>5</v>
      </c>
      <c r="B5143" s="538" t="s">
        <v>6568</v>
      </c>
      <c r="C5143" s="538" t="s">
        <v>740</v>
      </c>
      <c r="D5143" s="538" t="s">
        <v>393</v>
      </c>
      <c r="E5143" s="538" t="s">
        <v>401</v>
      </c>
      <c r="F5143" s="538">
        <v>272934</v>
      </c>
      <c r="G5143" s="538">
        <v>13</v>
      </c>
    </row>
    <row r="5144" spans="1:7" x14ac:dyDescent="0.2">
      <c r="A5144" s="538">
        <v>2</v>
      </c>
      <c r="B5144" s="538" t="s">
        <v>6654</v>
      </c>
      <c r="C5144" s="538" t="s">
        <v>393</v>
      </c>
      <c r="D5144" s="538" t="s">
        <v>740</v>
      </c>
      <c r="E5144" s="538" t="s">
        <v>202</v>
      </c>
      <c r="F5144" s="538">
        <v>1351114</v>
      </c>
      <c r="G5144" s="538">
        <v>8</v>
      </c>
    </row>
    <row r="5145" spans="1:7" x14ac:dyDescent="0.2">
      <c r="A5145" s="538">
        <v>9</v>
      </c>
      <c r="B5145" s="538" t="s">
        <v>6606</v>
      </c>
      <c r="C5145" s="538" t="s">
        <v>740</v>
      </c>
      <c r="D5145" s="538" t="s">
        <v>740</v>
      </c>
      <c r="E5145" s="538" t="s">
        <v>390</v>
      </c>
      <c r="F5145" s="538">
        <v>11328</v>
      </c>
      <c r="G5145" s="538">
        <v>1</v>
      </c>
    </row>
    <row r="5146" spans="1:7" x14ac:dyDescent="0.2">
      <c r="A5146" s="538">
        <v>8</v>
      </c>
      <c r="B5146" s="538" t="s">
        <v>6567</v>
      </c>
      <c r="C5146" s="538" t="s">
        <v>740</v>
      </c>
      <c r="D5146" s="538" t="s">
        <v>740</v>
      </c>
      <c r="E5146" s="538" t="s">
        <v>230</v>
      </c>
      <c r="F5146" s="538">
        <v>1953497</v>
      </c>
      <c r="G5146" s="538">
        <v>39</v>
      </c>
    </row>
    <row r="5147" spans="1:7" x14ac:dyDescent="0.2">
      <c r="A5147" s="538">
        <v>2</v>
      </c>
      <c r="B5147" s="538" t="s">
        <v>6662</v>
      </c>
      <c r="C5147" s="538" t="s">
        <v>393</v>
      </c>
      <c r="D5147" s="538" t="s">
        <v>740</v>
      </c>
      <c r="E5147" s="538" t="s">
        <v>416</v>
      </c>
      <c r="F5147" s="538">
        <v>5128294</v>
      </c>
      <c r="G5147" s="538">
        <v>203</v>
      </c>
    </row>
    <row r="5148" spans="1:7" x14ac:dyDescent="0.2">
      <c r="A5148" s="538">
        <v>10</v>
      </c>
      <c r="B5148" s="538" t="s">
        <v>6587</v>
      </c>
      <c r="C5148" s="538" t="s">
        <v>393</v>
      </c>
      <c r="D5148" s="538" t="s">
        <v>393</v>
      </c>
      <c r="E5148" s="538" t="s">
        <v>212</v>
      </c>
      <c r="F5148" s="538">
        <v>520911</v>
      </c>
      <c r="G5148" s="538">
        <v>37</v>
      </c>
    </row>
    <row r="5149" spans="1:7" x14ac:dyDescent="0.2">
      <c r="A5149" s="538">
        <v>11</v>
      </c>
      <c r="B5149" s="538" t="s">
        <v>6610</v>
      </c>
      <c r="C5149" s="538" t="s">
        <v>393</v>
      </c>
      <c r="D5149" s="538" t="s">
        <v>740</v>
      </c>
      <c r="E5149" s="538" t="s">
        <v>438</v>
      </c>
      <c r="F5149" s="538">
        <v>61596</v>
      </c>
      <c r="G5149" s="538">
        <v>2</v>
      </c>
    </row>
    <row r="5150" spans="1:7" x14ac:dyDescent="0.2">
      <c r="A5150" s="538">
        <v>3</v>
      </c>
      <c r="B5150" s="538" t="s">
        <v>6605</v>
      </c>
      <c r="C5150" s="538" t="s">
        <v>740</v>
      </c>
      <c r="D5150" s="538" t="s">
        <v>393</v>
      </c>
      <c r="E5150" s="538" t="s">
        <v>211</v>
      </c>
      <c r="F5150" s="538">
        <v>18133276</v>
      </c>
      <c r="G5150" s="538">
        <v>397</v>
      </c>
    </row>
    <row r="5151" spans="1:7" x14ac:dyDescent="0.2">
      <c r="A5151" s="538">
        <v>4</v>
      </c>
      <c r="B5151" s="538" t="s">
        <v>6593</v>
      </c>
      <c r="C5151" s="538" t="s">
        <v>393</v>
      </c>
      <c r="D5151" s="538" t="s">
        <v>740</v>
      </c>
      <c r="E5151" s="538" t="s">
        <v>401</v>
      </c>
      <c r="F5151" s="538">
        <v>101952</v>
      </c>
      <c r="G5151" s="538">
        <v>9</v>
      </c>
    </row>
    <row r="5152" spans="1:7" x14ac:dyDescent="0.2">
      <c r="A5152" s="538">
        <v>8</v>
      </c>
      <c r="B5152" s="538" t="s">
        <v>6570</v>
      </c>
      <c r="C5152" s="538" t="s">
        <v>740</v>
      </c>
      <c r="D5152" s="538" t="s">
        <v>393</v>
      </c>
      <c r="E5152" s="538" t="s">
        <v>230</v>
      </c>
      <c r="F5152" s="538">
        <v>40949566</v>
      </c>
      <c r="G5152" s="538">
        <v>917</v>
      </c>
    </row>
    <row r="5153" spans="1:7" x14ac:dyDescent="0.2">
      <c r="A5153" s="538">
        <v>10</v>
      </c>
      <c r="B5153" s="538" t="s">
        <v>6597</v>
      </c>
      <c r="C5153" s="538" t="s">
        <v>740</v>
      </c>
      <c r="D5153" s="538" t="s">
        <v>393</v>
      </c>
      <c r="E5153" s="538" t="s">
        <v>438</v>
      </c>
      <c r="F5153" s="538">
        <v>2624754</v>
      </c>
      <c r="G5153" s="538">
        <v>43</v>
      </c>
    </row>
    <row r="5154" spans="1:7" x14ac:dyDescent="0.2">
      <c r="A5154" s="538">
        <v>1</v>
      </c>
      <c r="B5154" s="538" t="s">
        <v>6649</v>
      </c>
      <c r="C5154" s="538" t="s">
        <v>740</v>
      </c>
      <c r="D5154" s="538" t="s">
        <v>393</v>
      </c>
      <c r="E5154" s="538" t="s">
        <v>449</v>
      </c>
      <c r="F5154" s="538">
        <v>11328</v>
      </c>
      <c r="G5154" s="538">
        <v>1</v>
      </c>
    </row>
    <row r="5155" spans="1:7" x14ac:dyDescent="0.2">
      <c r="A5155" s="538">
        <v>7</v>
      </c>
      <c r="B5155" s="538" t="s">
        <v>6655</v>
      </c>
      <c r="C5155" s="538" t="s">
        <v>740</v>
      </c>
      <c r="D5155" s="538" t="s">
        <v>393</v>
      </c>
      <c r="E5155" s="538" t="s">
        <v>209</v>
      </c>
      <c r="F5155" s="538">
        <v>3722706</v>
      </c>
      <c r="G5155" s="538">
        <v>17</v>
      </c>
    </row>
    <row r="5156" spans="1:7" x14ac:dyDescent="0.2">
      <c r="A5156" s="538">
        <v>5</v>
      </c>
      <c r="B5156" s="538" t="s">
        <v>6566</v>
      </c>
      <c r="C5156" s="538" t="s">
        <v>740</v>
      </c>
      <c r="D5156" s="538" t="s">
        <v>393</v>
      </c>
      <c r="E5156" s="538" t="s">
        <v>402</v>
      </c>
      <c r="F5156" s="538">
        <v>22656</v>
      </c>
      <c r="G5156" s="538">
        <v>2</v>
      </c>
    </row>
    <row r="5157" spans="1:7" x14ac:dyDescent="0.2">
      <c r="A5157" s="538">
        <v>3</v>
      </c>
      <c r="B5157" s="538" t="s">
        <v>6578</v>
      </c>
      <c r="C5157" s="538" t="s">
        <v>740</v>
      </c>
      <c r="D5157" s="538" t="s">
        <v>393</v>
      </c>
      <c r="E5157" s="538" t="s">
        <v>211</v>
      </c>
      <c r="F5157" s="538">
        <v>76042212</v>
      </c>
      <c r="G5157" s="538">
        <v>1684</v>
      </c>
    </row>
    <row r="5158" spans="1:7" x14ac:dyDescent="0.2">
      <c r="A5158" s="538">
        <v>1</v>
      </c>
      <c r="B5158" s="538" t="s">
        <v>6646</v>
      </c>
      <c r="C5158" s="538" t="s">
        <v>393</v>
      </c>
      <c r="D5158" s="538" t="s">
        <v>393</v>
      </c>
      <c r="E5158" s="538" t="s">
        <v>449</v>
      </c>
      <c r="F5158" s="538">
        <v>238950</v>
      </c>
      <c r="G5158" s="538">
        <v>10</v>
      </c>
    </row>
    <row r="5159" spans="1:7" x14ac:dyDescent="0.2">
      <c r="A5159" s="538">
        <v>4</v>
      </c>
      <c r="B5159" s="538" t="s">
        <v>6590</v>
      </c>
      <c r="C5159" s="538" t="s">
        <v>393</v>
      </c>
      <c r="D5159" s="538" t="s">
        <v>393</v>
      </c>
      <c r="E5159" s="538" t="s">
        <v>409</v>
      </c>
      <c r="F5159" s="538">
        <v>2565990</v>
      </c>
      <c r="G5159" s="538">
        <v>60</v>
      </c>
    </row>
    <row r="5160" spans="1:7" x14ac:dyDescent="0.2">
      <c r="A5160" s="538">
        <v>5</v>
      </c>
      <c r="B5160" s="538" t="s">
        <v>6599</v>
      </c>
      <c r="C5160" s="538" t="s">
        <v>740</v>
      </c>
      <c r="D5160" s="538" t="s">
        <v>393</v>
      </c>
      <c r="E5160" s="538" t="s">
        <v>860</v>
      </c>
      <c r="F5160" s="538">
        <v>72924</v>
      </c>
      <c r="G5160" s="538">
        <v>3</v>
      </c>
    </row>
    <row r="5161" spans="1:7" x14ac:dyDescent="0.2">
      <c r="A5161" s="538">
        <v>12</v>
      </c>
      <c r="B5161" s="538" t="s">
        <v>6616</v>
      </c>
      <c r="C5161" s="538" t="s">
        <v>393</v>
      </c>
      <c r="D5161" s="538" t="s">
        <v>393</v>
      </c>
      <c r="E5161" s="538" t="s">
        <v>313</v>
      </c>
      <c r="F5161" s="538">
        <v>2864308</v>
      </c>
      <c r="G5161" s="538">
        <v>11</v>
      </c>
    </row>
    <row r="5162" spans="1:7" x14ac:dyDescent="0.2">
      <c r="A5162" s="538">
        <v>9</v>
      </c>
      <c r="B5162" s="538" t="s">
        <v>6606</v>
      </c>
      <c r="C5162" s="538" t="s">
        <v>393</v>
      </c>
      <c r="D5162" s="538" t="s">
        <v>740</v>
      </c>
      <c r="E5162" s="538" t="s">
        <v>402</v>
      </c>
      <c r="F5162" s="538">
        <v>108147</v>
      </c>
      <c r="G5162" s="538">
        <v>4</v>
      </c>
    </row>
    <row r="5163" spans="1:7" x14ac:dyDescent="0.2">
      <c r="A5163" s="538">
        <v>7</v>
      </c>
      <c r="B5163" s="538" t="s">
        <v>6564</v>
      </c>
      <c r="C5163" s="538" t="s">
        <v>393</v>
      </c>
      <c r="D5163" s="538" t="s">
        <v>393</v>
      </c>
      <c r="E5163" s="538" t="s">
        <v>449</v>
      </c>
      <c r="F5163" s="538">
        <v>384798</v>
      </c>
      <c r="G5163" s="538">
        <v>16</v>
      </c>
    </row>
    <row r="5164" spans="1:7" x14ac:dyDescent="0.2">
      <c r="A5164" s="538">
        <v>7</v>
      </c>
      <c r="B5164" s="538" t="s">
        <v>6594</v>
      </c>
      <c r="C5164" s="538" t="s">
        <v>740</v>
      </c>
      <c r="D5164" s="538" t="s">
        <v>393</v>
      </c>
      <c r="E5164" s="538" t="s">
        <v>416</v>
      </c>
      <c r="F5164" s="538">
        <v>653609</v>
      </c>
      <c r="G5164" s="538">
        <v>8</v>
      </c>
    </row>
    <row r="5165" spans="1:7" x14ac:dyDescent="0.2">
      <c r="A5165" s="538">
        <v>1</v>
      </c>
      <c r="B5165" s="538" t="s">
        <v>6649</v>
      </c>
      <c r="C5165" s="538" t="s">
        <v>740</v>
      </c>
      <c r="D5165" s="538" t="s">
        <v>393</v>
      </c>
      <c r="E5165" s="538" t="s">
        <v>402</v>
      </c>
      <c r="F5165" s="538">
        <v>158415</v>
      </c>
      <c r="G5165" s="538">
        <v>5</v>
      </c>
    </row>
    <row r="5166" spans="1:7" x14ac:dyDescent="0.2">
      <c r="A5166" s="538">
        <v>6</v>
      </c>
      <c r="B5166" s="538" t="s">
        <v>6433</v>
      </c>
      <c r="C5166" s="538" t="s">
        <v>740</v>
      </c>
      <c r="D5166" s="538" t="s">
        <v>393</v>
      </c>
      <c r="E5166" s="538" t="s">
        <v>211</v>
      </c>
      <c r="F5166" s="538">
        <v>11328</v>
      </c>
      <c r="G5166" s="538">
        <v>1</v>
      </c>
    </row>
    <row r="5167" spans="1:7" x14ac:dyDescent="0.2">
      <c r="A5167" s="538">
        <v>12</v>
      </c>
      <c r="B5167" s="538" t="s">
        <v>6563</v>
      </c>
      <c r="C5167" s="538" t="s">
        <v>740</v>
      </c>
      <c r="D5167" s="538" t="s">
        <v>393</v>
      </c>
      <c r="E5167" s="538" t="s">
        <v>419</v>
      </c>
      <c r="F5167" s="538">
        <v>108147</v>
      </c>
      <c r="G5167" s="538">
        <v>4</v>
      </c>
    </row>
    <row r="5168" spans="1:7" x14ac:dyDescent="0.2">
      <c r="A5168" s="538">
        <v>11</v>
      </c>
      <c r="B5168" s="538" t="s">
        <v>6584</v>
      </c>
      <c r="C5168" s="538" t="s">
        <v>740</v>
      </c>
      <c r="D5168" s="538" t="s">
        <v>393</v>
      </c>
      <c r="E5168" s="538" t="s">
        <v>210</v>
      </c>
      <c r="F5168" s="538">
        <v>33984</v>
      </c>
      <c r="G5168" s="538">
        <v>3</v>
      </c>
    </row>
    <row r="5169" spans="1:7" x14ac:dyDescent="0.2">
      <c r="A5169" s="538">
        <v>8</v>
      </c>
      <c r="B5169" s="538" t="s">
        <v>6658</v>
      </c>
      <c r="C5169" s="538" t="s">
        <v>740</v>
      </c>
      <c r="D5169" s="538" t="s">
        <v>393</v>
      </c>
      <c r="E5169" s="538" t="s">
        <v>210</v>
      </c>
      <c r="F5169" s="538">
        <v>101952</v>
      </c>
      <c r="G5169" s="538">
        <v>9</v>
      </c>
    </row>
    <row r="5170" spans="1:7" x14ac:dyDescent="0.2">
      <c r="A5170" s="538">
        <v>10</v>
      </c>
      <c r="B5170" s="538" t="s">
        <v>6582</v>
      </c>
      <c r="C5170" s="538" t="s">
        <v>740</v>
      </c>
      <c r="D5170" s="538" t="s">
        <v>740</v>
      </c>
      <c r="E5170" s="538" t="s">
        <v>390</v>
      </c>
      <c r="F5170" s="538">
        <v>1330280</v>
      </c>
      <c r="G5170" s="538">
        <v>40</v>
      </c>
    </row>
    <row r="5171" spans="1:7" x14ac:dyDescent="0.2">
      <c r="A5171" s="538">
        <v>4</v>
      </c>
      <c r="B5171" s="538" t="s">
        <v>6574</v>
      </c>
      <c r="C5171" s="538" t="s">
        <v>740</v>
      </c>
      <c r="D5171" s="538" t="s">
        <v>393</v>
      </c>
      <c r="E5171" s="538" t="s">
        <v>402</v>
      </c>
      <c r="F5171" s="538">
        <v>71849393</v>
      </c>
      <c r="G5171" s="538">
        <v>3431</v>
      </c>
    </row>
    <row r="5172" spans="1:7" x14ac:dyDescent="0.2">
      <c r="A5172" s="538">
        <v>10</v>
      </c>
      <c r="B5172" s="538" t="s">
        <v>6597</v>
      </c>
      <c r="C5172" s="538" t="s">
        <v>740</v>
      </c>
      <c r="D5172" s="538" t="s">
        <v>393</v>
      </c>
      <c r="E5172" s="538" t="s">
        <v>210</v>
      </c>
      <c r="F5172" s="538">
        <v>288156</v>
      </c>
      <c r="G5172" s="538">
        <v>22</v>
      </c>
    </row>
    <row r="5173" spans="1:7" x14ac:dyDescent="0.2">
      <c r="A5173" s="538">
        <v>6</v>
      </c>
      <c r="B5173" s="538" t="s">
        <v>6429</v>
      </c>
      <c r="C5173" s="538" t="s">
        <v>740</v>
      </c>
      <c r="D5173" s="538" t="s">
        <v>393</v>
      </c>
      <c r="E5173" s="538" t="s">
        <v>390</v>
      </c>
      <c r="F5173" s="538">
        <v>564453</v>
      </c>
      <c r="G5173" s="538">
        <v>16</v>
      </c>
    </row>
    <row r="5174" spans="1:7" x14ac:dyDescent="0.2">
      <c r="A5174" s="538">
        <v>6</v>
      </c>
      <c r="B5174" s="538" t="s">
        <v>6565</v>
      </c>
      <c r="C5174" s="538" t="s">
        <v>740</v>
      </c>
      <c r="D5174" s="538" t="s">
        <v>393</v>
      </c>
      <c r="E5174" s="538" t="s">
        <v>860</v>
      </c>
      <c r="F5174" s="538">
        <v>61596</v>
      </c>
      <c r="G5174" s="538">
        <v>2</v>
      </c>
    </row>
    <row r="5175" spans="1:7" x14ac:dyDescent="0.2">
      <c r="A5175" s="538">
        <v>7</v>
      </c>
      <c r="B5175" s="538" t="s">
        <v>6604</v>
      </c>
      <c r="C5175" s="538" t="s">
        <v>740</v>
      </c>
      <c r="D5175" s="538" t="s">
        <v>740</v>
      </c>
      <c r="E5175" s="538" t="s">
        <v>210</v>
      </c>
      <c r="F5175" s="538">
        <v>84252</v>
      </c>
      <c r="G5175" s="538">
        <v>4</v>
      </c>
    </row>
    <row r="5176" spans="1:7" x14ac:dyDescent="0.2">
      <c r="A5176" s="538">
        <v>7</v>
      </c>
      <c r="B5176" s="538" t="s">
        <v>6661</v>
      </c>
      <c r="C5176" s="538" t="s">
        <v>393</v>
      </c>
      <c r="D5176" s="538" t="s">
        <v>393</v>
      </c>
      <c r="E5176" s="538" t="s">
        <v>390</v>
      </c>
      <c r="F5176" s="538">
        <v>8659996</v>
      </c>
      <c r="G5176" s="538">
        <v>232</v>
      </c>
    </row>
    <row r="5177" spans="1:7" x14ac:dyDescent="0.2">
      <c r="A5177" s="538">
        <v>10</v>
      </c>
      <c r="B5177" s="538" t="s">
        <v>6600</v>
      </c>
      <c r="C5177" s="538" t="s">
        <v>393</v>
      </c>
      <c r="D5177" s="538" t="s">
        <v>393</v>
      </c>
      <c r="E5177" s="538" t="s">
        <v>207</v>
      </c>
      <c r="F5177" s="538">
        <v>6993489</v>
      </c>
      <c r="G5177" s="538">
        <v>283</v>
      </c>
    </row>
    <row r="5178" spans="1:7" x14ac:dyDescent="0.2">
      <c r="A5178" s="538">
        <v>10</v>
      </c>
      <c r="B5178" s="538" t="s">
        <v>6611</v>
      </c>
      <c r="C5178" s="538" t="s">
        <v>393</v>
      </c>
      <c r="D5178" s="538" t="s">
        <v>393</v>
      </c>
      <c r="E5178" s="538" t="s">
        <v>212</v>
      </c>
      <c r="F5178" s="538">
        <v>294528</v>
      </c>
      <c r="G5178" s="538">
        <v>26</v>
      </c>
    </row>
    <row r="5179" spans="1:7" x14ac:dyDescent="0.2">
      <c r="A5179" s="538">
        <v>3</v>
      </c>
      <c r="B5179" s="538" t="s">
        <v>6586</v>
      </c>
      <c r="C5179" s="538" t="s">
        <v>393</v>
      </c>
      <c r="D5179" s="538" t="s">
        <v>740</v>
      </c>
      <c r="E5179" s="538" t="s">
        <v>210</v>
      </c>
      <c r="F5179" s="538">
        <v>22656</v>
      </c>
      <c r="G5179" s="538">
        <v>2</v>
      </c>
    </row>
    <row r="5180" spans="1:7" x14ac:dyDescent="0.2">
      <c r="A5180" s="538">
        <v>4</v>
      </c>
      <c r="B5180" s="538" t="s">
        <v>6590</v>
      </c>
      <c r="C5180" s="538" t="s">
        <v>740</v>
      </c>
      <c r="D5180" s="538" t="s">
        <v>393</v>
      </c>
      <c r="E5180" s="538" t="s">
        <v>207</v>
      </c>
      <c r="F5180" s="538">
        <v>1586805</v>
      </c>
      <c r="G5180" s="538">
        <v>120</v>
      </c>
    </row>
    <row r="5181" spans="1:7" x14ac:dyDescent="0.2">
      <c r="A5181" s="538">
        <v>11</v>
      </c>
      <c r="B5181" s="538" t="s">
        <v>6612</v>
      </c>
      <c r="C5181" s="538" t="s">
        <v>740</v>
      </c>
      <c r="D5181" s="538" t="s">
        <v>393</v>
      </c>
      <c r="E5181" s="538" t="s">
        <v>409</v>
      </c>
      <c r="F5181" s="538">
        <v>1306562</v>
      </c>
      <c r="G5181" s="538">
        <v>49</v>
      </c>
    </row>
    <row r="5182" spans="1:7" x14ac:dyDescent="0.2">
      <c r="A5182" s="538">
        <v>4</v>
      </c>
      <c r="B5182" s="538" t="s">
        <v>6574</v>
      </c>
      <c r="C5182" s="538" t="s">
        <v>740</v>
      </c>
      <c r="D5182" s="538" t="s">
        <v>393</v>
      </c>
      <c r="E5182" s="538" t="s">
        <v>401</v>
      </c>
      <c r="F5182" s="538">
        <v>163548</v>
      </c>
      <c r="G5182" s="538">
        <v>11</v>
      </c>
    </row>
    <row r="5183" spans="1:7" x14ac:dyDescent="0.2">
      <c r="A5183" s="538">
        <v>6</v>
      </c>
      <c r="B5183" s="538" t="s">
        <v>6607</v>
      </c>
      <c r="C5183" s="538" t="s">
        <v>740</v>
      </c>
      <c r="D5183" s="538" t="s">
        <v>393</v>
      </c>
      <c r="E5183" s="538" t="s">
        <v>419</v>
      </c>
      <c r="F5183" s="538">
        <v>11328</v>
      </c>
      <c r="G5183" s="538">
        <v>1</v>
      </c>
    </row>
    <row r="5184" spans="1:7" x14ac:dyDescent="0.2">
      <c r="A5184" s="538">
        <v>1</v>
      </c>
      <c r="B5184" s="538" t="s">
        <v>6602</v>
      </c>
      <c r="C5184" s="538" t="s">
        <v>740</v>
      </c>
      <c r="D5184" s="538" t="s">
        <v>740</v>
      </c>
      <c r="E5184" s="538" t="s">
        <v>401</v>
      </c>
      <c r="F5184" s="538">
        <v>396480</v>
      </c>
      <c r="G5184" s="538">
        <v>35</v>
      </c>
    </row>
    <row r="5185" spans="1:7" x14ac:dyDescent="0.2">
      <c r="A5185" s="538">
        <v>3</v>
      </c>
      <c r="B5185" s="538" t="s">
        <v>6578</v>
      </c>
      <c r="C5185" s="538" t="s">
        <v>740</v>
      </c>
      <c r="D5185" s="538" t="s">
        <v>740</v>
      </c>
      <c r="E5185" s="538" t="s">
        <v>449</v>
      </c>
      <c r="F5185" s="538">
        <v>758622</v>
      </c>
      <c r="G5185" s="538">
        <v>49</v>
      </c>
    </row>
    <row r="5186" spans="1:7" x14ac:dyDescent="0.2">
      <c r="A5186" s="538">
        <v>8</v>
      </c>
      <c r="B5186" s="538" t="s">
        <v>6577</v>
      </c>
      <c r="C5186" s="538" t="s">
        <v>740</v>
      </c>
      <c r="D5186" s="538" t="s">
        <v>393</v>
      </c>
      <c r="E5186" s="538" t="s">
        <v>207</v>
      </c>
      <c r="F5186" s="538">
        <v>17247203</v>
      </c>
      <c r="G5186" s="538">
        <v>1046</v>
      </c>
    </row>
    <row r="5187" spans="1:7" x14ac:dyDescent="0.2">
      <c r="A5187" s="538">
        <v>10</v>
      </c>
      <c r="B5187" s="538" t="s">
        <v>6587</v>
      </c>
      <c r="C5187" s="538" t="s">
        <v>740</v>
      </c>
      <c r="D5187" s="538" t="s">
        <v>393</v>
      </c>
      <c r="E5187" s="538" t="s">
        <v>402</v>
      </c>
      <c r="F5187" s="538">
        <v>74163</v>
      </c>
      <c r="G5187" s="538">
        <v>1</v>
      </c>
    </row>
    <row r="5188" spans="1:7" x14ac:dyDescent="0.2">
      <c r="A5188" s="538">
        <v>7</v>
      </c>
      <c r="B5188" s="538" t="s">
        <v>6588</v>
      </c>
      <c r="C5188" s="538" t="s">
        <v>740</v>
      </c>
      <c r="D5188" s="538" t="s">
        <v>393</v>
      </c>
      <c r="E5188" s="538" t="s">
        <v>390</v>
      </c>
      <c r="F5188" s="538">
        <v>294846771</v>
      </c>
      <c r="G5188" s="538">
        <v>10282</v>
      </c>
    </row>
    <row r="5189" spans="1:7" x14ac:dyDescent="0.2">
      <c r="A5189" s="538">
        <v>1</v>
      </c>
      <c r="B5189" s="538" t="s">
        <v>6646</v>
      </c>
      <c r="C5189" s="538" t="s">
        <v>740</v>
      </c>
      <c r="D5189" s="538" t="s">
        <v>393</v>
      </c>
      <c r="E5189" s="538" t="s">
        <v>449</v>
      </c>
      <c r="F5189" s="538">
        <v>182310</v>
      </c>
      <c r="G5189" s="538">
        <v>5</v>
      </c>
    </row>
    <row r="5190" spans="1:7" x14ac:dyDescent="0.2">
      <c r="A5190" s="538">
        <v>5</v>
      </c>
      <c r="B5190" s="538" t="s">
        <v>6598</v>
      </c>
      <c r="C5190" s="538" t="s">
        <v>393</v>
      </c>
      <c r="D5190" s="538" t="s">
        <v>740</v>
      </c>
      <c r="E5190" s="538" t="s">
        <v>409</v>
      </c>
      <c r="F5190" s="538">
        <v>488166</v>
      </c>
      <c r="G5190" s="538">
        <v>32</v>
      </c>
    </row>
    <row r="5191" spans="1:7" x14ac:dyDescent="0.2">
      <c r="A5191" s="538">
        <v>10</v>
      </c>
      <c r="B5191" s="538" t="s">
        <v>6582</v>
      </c>
      <c r="C5191" s="538" t="s">
        <v>740</v>
      </c>
      <c r="D5191" s="538" t="s">
        <v>393</v>
      </c>
      <c r="E5191" s="538" t="s">
        <v>860</v>
      </c>
      <c r="F5191" s="538">
        <v>1530061</v>
      </c>
      <c r="G5191" s="538">
        <v>37</v>
      </c>
    </row>
    <row r="5192" spans="1:7" x14ac:dyDescent="0.2">
      <c r="A5192" s="538">
        <v>10</v>
      </c>
      <c r="B5192" s="538" t="s">
        <v>6653</v>
      </c>
      <c r="C5192" s="538" t="s">
        <v>393</v>
      </c>
      <c r="D5192" s="538" t="s">
        <v>393</v>
      </c>
      <c r="E5192" s="538" t="s">
        <v>313</v>
      </c>
      <c r="F5192" s="538">
        <v>496433</v>
      </c>
      <c r="G5192" s="538">
        <v>1</v>
      </c>
    </row>
    <row r="5193" spans="1:7" x14ac:dyDescent="0.2">
      <c r="A5193" s="538">
        <v>3</v>
      </c>
      <c r="B5193" s="538" t="s">
        <v>6591</v>
      </c>
      <c r="C5193" s="538" t="s">
        <v>393</v>
      </c>
      <c r="D5193" s="538" t="s">
        <v>740</v>
      </c>
      <c r="E5193" s="538" t="s">
        <v>207</v>
      </c>
      <c r="F5193" s="538">
        <v>3010947</v>
      </c>
      <c r="G5193" s="538">
        <v>219</v>
      </c>
    </row>
    <row r="5194" spans="1:7" x14ac:dyDescent="0.2">
      <c r="A5194" s="538">
        <v>3</v>
      </c>
      <c r="B5194" s="538" t="s">
        <v>6578</v>
      </c>
      <c r="C5194" s="538" t="s">
        <v>740</v>
      </c>
      <c r="D5194" s="538" t="s">
        <v>393</v>
      </c>
      <c r="E5194" s="538" t="s">
        <v>416</v>
      </c>
      <c r="F5194" s="538">
        <v>3932836</v>
      </c>
      <c r="G5194" s="538">
        <v>112</v>
      </c>
    </row>
    <row r="5195" spans="1:7" x14ac:dyDescent="0.2">
      <c r="A5195" s="538">
        <v>1</v>
      </c>
      <c r="B5195" s="538" t="s">
        <v>6609</v>
      </c>
      <c r="C5195" s="538" t="s">
        <v>740</v>
      </c>
      <c r="D5195" s="538" t="s">
        <v>393</v>
      </c>
      <c r="E5195" s="538" t="s">
        <v>449</v>
      </c>
      <c r="F5195" s="538">
        <v>90624</v>
      </c>
      <c r="G5195" s="538">
        <v>8</v>
      </c>
    </row>
    <row r="5196" spans="1:7" x14ac:dyDescent="0.2">
      <c r="A5196" s="538">
        <v>5</v>
      </c>
      <c r="B5196" s="538" t="s">
        <v>6598</v>
      </c>
      <c r="C5196" s="538" t="s">
        <v>740</v>
      </c>
      <c r="D5196" s="538" t="s">
        <v>740</v>
      </c>
      <c r="E5196" s="538" t="s">
        <v>860</v>
      </c>
      <c r="F5196" s="538">
        <v>22656</v>
      </c>
      <c r="G5196" s="538">
        <v>2</v>
      </c>
    </row>
    <row r="5197" spans="1:7" x14ac:dyDescent="0.2">
      <c r="A5197" s="538">
        <v>10</v>
      </c>
      <c r="B5197" s="538" t="s">
        <v>6587</v>
      </c>
      <c r="C5197" s="538" t="s">
        <v>393</v>
      </c>
      <c r="D5197" s="538" t="s">
        <v>393</v>
      </c>
      <c r="E5197" s="538" t="s">
        <v>401</v>
      </c>
      <c r="F5197" s="538">
        <v>79296</v>
      </c>
      <c r="G5197" s="538">
        <v>7</v>
      </c>
    </row>
    <row r="5198" spans="1:7" x14ac:dyDescent="0.2">
      <c r="A5198" s="538">
        <v>12</v>
      </c>
      <c r="B5198" s="538" t="s">
        <v>6616</v>
      </c>
      <c r="C5198" s="538" t="s">
        <v>740</v>
      </c>
      <c r="D5198" s="538" t="s">
        <v>393</v>
      </c>
      <c r="E5198" s="538" t="s">
        <v>212</v>
      </c>
      <c r="F5198" s="538">
        <v>542328</v>
      </c>
      <c r="G5198" s="538">
        <v>41</v>
      </c>
    </row>
    <row r="5199" spans="1:7" x14ac:dyDescent="0.2">
      <c r="A5199" s="538">
        <v>6</v>
      </c>
      <c r="B5199" s="538" t="s">
        <v>6575</v>
      </c>
      <c r="C5199" s="538" t="s">
        <v>393</v>
      </c>
      <c r="D5199" s="538" t="s">
        <v>740</v>
      </c>
      <c r="E5199" s="538" t="s">
        <v>210</v>
      </c>
      <c r="F5199" s="538">
        <v>84252</v>
      </c>
      <c r="G5199" s="538">
        <v>4</v>
      </c>
    </row>
    <row r="5200" spans="1:7" x14ac:dyDescent="0.2">
      <c r="A5200" s="538">
        <v>7</v>
      </c>
      <c r="B5200" s="538" t="s">
        <v>6661</v>
      </c>
      <c r="C5200" s="538" t="s">
        <v>740</v>
      </c>
      <c r="D5200" s="538" t="s">
        <v>393</v>
      </c>
      <c r="E5200" s="538" t="s">
        <v>409</v>
      </c>
      <c r="F5200" s="538">
        <v>712727</v>
      </c>
      <c r="G5200" s="538">
        <v>9</v>
      </c>
    </row>
    <row r="5201" spans="1:7" x14ac:dyDescent="0.2">
      <c r="A5201" s="538">
        <v>7</v>
      </c>
      <c r="B5201" s="538" t="s">
        <v>6571</v>
      </c>
      <c r="C5201" s="538" t="s">
        <v>740</v>
      </c>
      <c r="D5201" s="538" t="s">
        <v>740</v>
      </c>
      <c r="E5201" s="538" t="s">
        <v>402</v>
      </c>
      <c r="F5201" s="538">
        <v>814679</v>
      </c>
      <c r="G5201" s="538">
        <v>18</v>
      </c>
    </row>
    <row r="5202" spans="1:7" x14ac:dyDescent="0.2">
      <c r="A5202" s="538">
        <v>4</v>
      </c>
      <c r="B5202" s="538" t="s">
        <v>6572</v>
      </c>
      <c r="C5202" s="538" t="s">
        <v>740</v>
      </c>
      <c r="D5202" s="538" t="s">
        <v>393</v>
      </c>
      <c r="E5202" s="538" t="s">
        <v>438</v>
      </c>
      <c r="F5202" s="538">
        <v>22656</v>
      </c>
      <c r="G5202" s="538">
        <v>2</v>
      </c>
    </row>
    <row r="5203" spans="1:7" x14ac:dyDescent="0.2">
      <c r="A5203" s="538">
        <v>2</v>
      </c>
      <c r="B5203" s="538" t="s">
        <v>6662</v>
      </c>
      <c r="C5203" s="538" t="s">
        <v>393</v>
      </c>
      <c r="D5203" s="538" t="s">
        <v>740</v>
      </c>
      <c r="E5203" s="538" t="s">
        <v>210</v>
      </c>
      <c r="F5203" s="538">
        <v>957570</v>
      </c>
      <c r="G5203" s="538">
        <v>70</v>
      </c>
    </row>
    <row r="5204" spans="1:7" x14ac:dyDescent="0.2">
      <c r="A5204" s="538">
        <v>6</v>
      </c>
      <c r="B5204" s="538" t="s">
        <v>6575</v>
      </c>
      <c r="C5204" s="538" t="s">
        <v>740</v>
      </c>
      <c r="D5204" s="538" t="s">
        <v>393</v>
      </c>
      <c r="E5204" s="538" t="s">
        <v>210</v>
      </c>
      <c r="F5204" s="538">
        <v>11485166</v>
      </c>
      <c r="G5204" s="538">
        <v>522</v>
      </c>
    </row>
    <row r="5205" spans="1:7" x14ac:dyDescent="0.2">
      <c r="A5205" s="538">
        <v>4</v>
      </c>
      <c r="B5205" s="538" t="s">
        <v>6562</v>
      </c>
      <c r="C5205" s="538" t="s">
        <v>740</v>
      </c>
      <c r="D5205" s="538" t="s">
        <v>740</v>
      </c>
      <c r="E5205" s="538" t="s">
        <v>390</v>
      </c>
      <c r="F5205" s="538">
        <v>85491</v>
      </c>
      <c r="G5205" s="538">
        <v>2</v>
      </c>
    </row>
    <row r="5206" spans="1:7" x14ac:dyDescent="0.2">
      <c r="A5206" s="538">
        <v>9</v>
      </c>
      <c r="B5206" s="538" t="s">
        <v>6615</v>
      </c>
      <c r="C5206" s="538" t="s">
        <v>740</v>
      </c>
      <c r="D5206" s="538" t="s">
        <v>393</v>
      </c>
      <c r="E5206" s="538" t="s">
        <v>313</v>
      </c>
      <c r="F5206" s="538">
        <v>2153153</v>
      </c>
      <c r="G5206" s="538">
        <v>31</v>
      </c>
    </row>
    <row r="5207" spans="1:7" x14ac:dyDescent="0.2">
      <c r="A5207" s="538">
        <v>2</v>
      </c>
      <c r="B5207" s="538" t="s">
        <v>6576</v>
      </c>
      <c r="C5207" s="538" t="s">
        <v>393</v>
      </c>
      <c r="D5207" s="538" t="s">
        <v>393</v>
      </c>
      <c r="E5207" s="538" t="s">
        <v>230</v>
      </c>
      <c r="F5207" s="538">
        <v>3313815</v>
      </c>
      <c r="G5207" s="538">
        <v>70</v>
      </c>
    </row>
    <row r="5208" spans="1:7" x14ac:dyDescent="0.2">
      <c r="A5208" s="538">
        <v>4</v>
      </c>
      <c r="B5208" s="538" t="s">
        <v>6574</v>
      </c>
      <c r="C5208" s="538" t="s">
        <v>393</v>
      </c>
      <c r="D5208" s="538" t="s">
        <v>393</v>
      </c>
      <c r="E5208" s="538" t="s">
        <v>202</v>
      </c>
      <c r="F5208" s="538">
        <v>6039584</v>
      </c>
      <c r="G5208" s="538">
        <v>68</v>
      </c>
    </row>
    <row r="5209" spans="1:7" x14ac:dyDescent="0.2">
      <c r="A5209" s="538">
        <v>6</v>
      </c>
      <c r="B5209" s="538" t="s">
        <v>6565</v>
      </c>
      <c r="C5209" s="538" t="s">
        <v>740</v>
      </c>
      <c r="D5209" s="538" t="s">
        <v>740</v>
      </c>
      <c r="E5209" s="538" t="s">
        <v>402</v>
      </c>
      <c r="F5209" s="538">
        <v>2433521</v>
      </c>
      <c r="G5209" s="538">
        <v>112</v>
      </c>
    </row>
    <row r="5210" spans="1:7" x14ac:dyDescent="0.2">
      <c r="A5210" s="538">
        <v>2</v>
      </c>
      <c r="B5210" s="538" t="s">
        <v>6585</v>
      </c>
      <c r="C5210" s="538" t="s">
        <v>740</v>
      </c>
      <c r="D5210" s="538" t="s">
        <v>393</v>
      </c>
      <c r="E5210" s="538" t="s">
        <v>401</v>
      </c>
      <c r="F5210" s="538">
        <v>56640</v>
      </c>
      <c r="G5210" s="538">
        <v>5</v>
      </c>
    </row>
    <row r="5211" spans="1:7" x14ac:dyDescent="0.2">
      <c r="A5211" s="538">
        <v>6</v>
      </c>
      <c r="B5211" s="538" t="s">
        <v>6565</v>
      </c>
      <c r="C5211" s="538" t="s">
        <v>393</v>
      </c>
      <c r="D5211" s="538" t="s">
        <v>740</v>
      </c>
      <c r="E5211" s="538" t="s">
        <v>210</v>
      </c>
      <c r="F5211" s="538">
        <v>581924</v>
      </c>
      <c r="G5211" s="538">
        <v>3</v>
      </c>
    </row>
    <row r="5212" spans="1:7" x14ac:dyDescent="0.2">
      <c r="A5212" s="538">
        <v>3</v>
      </c>
      <c r="B5212" s="538" t="s">
        <v>1390</v>
      </c>
      <c r="C5212" s="538" t="s">
        <v>393</v>
      </c>
      <c r="D5212" s="538" t="s">
        <v>393</v>
      </c>
      <c r="E5212" s="538" t="s">
        <v>401</v>
      </c>
      <c r="F5212" s="538">
        <v>174876</v>
      </c>
      <c r="G5212" s="538">
        <v>12</v>
      </c>
    </row>
    <row r="5213" spans="1:7" x14ac:dyDescent="0.2">
      <c r="A5213" s="538">
        <v>3</v>
      </c>
      <c r="B5213" s="538" t="s">
        <v>6561</v>
      </c>
      <c r="C5213" s="538" t="s">
        <v>740</v>
      </c>
      <c r="D5213" s="538" t="s">
        <v>393</v>
      </c>
      <c r="E5213" s="538" t="s">
        <v>210</v>
      </c>
      <c r="F5213" s="538">
        <v>4021888</v>
      </c>
      <c r="G5213" s="538">
        <v>96</v>
      </c>
    </row>
    <row r="5214" spans="1:7" x14ac:dyDescent="0.2">
      <c r="A5214" s="538">
        <v>12</v>
      </c>
      <c r="B5214" s="538" t="s">
        <v>6616</v>
      </c>
      <c r="C5214" s="538" t="s">
        <v>740</v>
      </c>
      <c r="D5214" s="538" t="s">
        <v>393</v>
      </c>
      <c r="E5214" s="538" t="s">
        <v>401</v>
      </c>
      <c r="F5214" s="538">
        <v>22656</v>
      </c>
      <c r="G5214" s="538">
        <v>2</v>
      </c>
    </row>
    <row r="5215" spans="1:7" x14ac:dyDescent="0.2">
      <c r="A5215" s="538">
        <v>10</v>
      </c>
      <c r="B5215" s="538" t="s">
        <v>6582</v>
      </c>
      <c r="C5215" s="538" t="s">
        <v>393</v>
      </c>
      <c r="D5215" s="538" t="s">
        <v>393</v>
      </c>
      <c r="E5215" s="538" t="s">
        <v>438</v>
      </c>
      <c r="F5215" s="538">
        <v>6926677</v>
      </c>
      <c r="G5215" s="538">
        <v>49</v>
      </c>
    </row>
    <row r="5216" spans="1:7" x14ac:dyDescent="0.2">
      <c r="A5216" s="538">
        <v>2</v>
      </c>
      <c r="B5216" s="538" t="s">
        <v>6662</v>
      </c>
      <c r="C5216" s="538" t="s">
        <v>740</v>
      </c>
      <c r="D5216" s="538" t="s">
        <v>393</v>
      </c>
      <c r="E5216" s="538" t="s">
        <v>212</v>
      </c>
      <c r="F5216" s="538">
        <v>1054566</v>
      </c>
      <c r="G5216" s="538">
        <v>82</v>
      </c>
    </row>
    <row r="5217" spans="1:7" x14ac:dyDescent="0.2">
      <c r="A5217" s="538">
        <v>3</v>
      </c>
      <c r="B5217" s="538" t="s">
        <v>6586</v>
      </c>
      <c r="C5217" s="538" t="s">
        <v>740</v>
      </c>
      <c r="D5217" s="538" t="s">
        <v>393</v>
      </c>
      <c r="E5217" s="538" t="s">
        <v>211</v>
      </c>
      <c r="F5217" s="538">
        <v>2299532</v>
      </c>
      <c r="G5217" s="538">
        <v>69</v>
      </c>
    </row>
    <row r="5218" spans="1:7" x14ac:dyDescent="0.2">
      <c r="A5218" s="538">
        <v>7</v>
      </c>
      <c r="B5218" s="538" t="s">
        <v>6661</v>
      </c>
      <c r="C5218" s="538" t="s">
        <v>393</v>
      </c>
      <c r="D5218" s="538" t="s">
        <v>393</v>
      </c>
      <c r="E5218" s="538" t="s">
        <v>230</v>
      </c>
      <c r="F5218" s="538">
        <v>6697389</v>
      </c>
      <c r="G5218" s="538">
        <v>88</v>
      </c>
    </row>
    <row r="5219" spans="1:7" x14ac:dyDescent="0.2">
      <c r="A5219" s="538">
        <v>5</v>
      </c>
      <c r="B5219" s="538" t="s">
        <v>6651</v>
      </c>
      <c r="C5219" s="538" t="s">
        <v>740</v>
      </c>
      <c r="D5219" s="538" t="s">
        <v>393</v>
      </c>
      <c r="E5219" s="538" t="s">
        <v>860</v>
      </c>
      <c r="F5219" s="538">
        <v>596313</v>
      </c>
      <c r="G5219" s="538">
        <v>36</v>
      </c>
    </row>
    <row r="5220" spans="1:7" x14ac:dyDescent="0.2">
      <c r="A5220" s="538">
        <v>7</v>
      </c>
      <c r="B5220" s="538" t="s">
        <v>6588</v>
      </c>
      <c r="C5220" s="538" t="s">
        <v>740</v>
      </c>
      <c r="D5220" s="538" t="s">
        <v>393</v>
      </c>
      <c r="E5220" s="538" t="s">
        <v>202</v>
      </c>
      <c r="F5220" s="538">
        <v>11328</v>
      </c>
      <c r="G5220" s="538">
        <v>1</v>
      </c>
    </row>
    <row r="5221" spans="1:7" x14ac:dyDescent="0.2">
      <c r="A5221" s="538">
        <v>4</v>
      </c>
      <c r="B5221" s="538" t="s">
        <v>6572</v>
      </c>
      <c r="C5221" s="538" t="s">
        <v>740</v>
      </c>
      <c r="D5221" s="538" t="s">
        <v>393</v>
      </c>
      <c r="E5221" s="538" t="s">
        <v>416</v>
      </c>
      <c r="F5221" s="538">
        <v>111330237</v>
      </c>
      <c r="G5221" s="538">
        <v>2294</v>
      </c>
    </row>
    <row r="5222" spans="1:7" x14ac:dyDescent="0.2">
      <c r="A5222" s="538">
        <v>2</v>
      </c>
      <c r="B5222" s="538" t="s">
        <v>6656</v>
      </c>
      <c r="C5222" s="538" t="s">
        <v>740</v>
      </c>
      <c r="D5222" s="538" t="s">
        <v>740</v>
      </c>
      <c r="E5222" s="538" t="s">
        <v>409</v>
      </c>
      <c r="F5222" s="538">
        <v>22656</v>
      </c>
      <c r="G5222" s="538">
        <v>2</v>
      </c>
    </row>
    <row r="5223" spans="1:7" x14ac:dyDescent="0.2">
      <c r="A5223" s="538">
        <v>3</v>
      </c>
      <c r="B5223" s="538" t="s">
        <v>6561</v>
      </c>
      <c r="C5223" s="538" t="s">
        <v>740</v>
      </c>
      <c r="D5223" s="538" t="s">
        <v>393</v>
      </c>
      <c r="E5223" s="538" t="s">
        <v>202</v>
      </c>
      <c r="F5223" s="538">
        <v>876098</v>
      </c>
      <c r="G5223" s="538">
        <v>11</v>
      </c>
    </row>
    <row r="5224" spans="1:7" x14ac:dyDescent="0.2">
      <c r="A5224" s="538">
        <v>1</v>
      </c>
      <c r="B5224" s="538" t="s">
        <v>6602</v>
      </c>
      <c r="C5224" s="538" t="s">
        <v>740</v>
      </c>
      <c r="D5224" s="538" t="s">
        <v>740</v>
      </c>
      <c r="E5224" s="538" t="s">
        <v>212</v>
      </c>
      <c r="F5224" s="538">
        <v>56640</v>
      </c>
      <c r="G5224" s="538">
        <v>5</v>
      </c>
    </row>
    <row r="5225" spans="1:7" x14ac:dyDescent="0.2">
      <c r="A5225" s="538">
        <v>10</v>
      </c>
      <c r="B5225" s="538" t="s">
        <v>6652</v>
      </c>
      <c r="C5225" s="538" t="s">
        <v>393</v>
      </c>
      <c r="D5225" s="538" t="s">
        <v>740</v>
      </c>
      <c r="E5225" s="538" t="s">
        <v>202</v>
      </c>
      <c r="F5225" s="538">
        <v>581924</v>
      </c>
      <c r="G5225" s="538">
        <v>3</v>
      </c>
    </row>
    <row r="5226" spans="1:7" x14ac:dyDescent="0.2">
      <c r="A5226" s="538">
        <v>8</v>
      </c>
      <c r="B5226" s="538" t="s">
        <v>6560</v>
      </c>
      <c r="C5226" s="538" t="s">
        <v>740</v>
      </c>
      <c r="D5226" s="538" t="s">
        <v>393</v>
      </c>
      <c r="E5226" s="538" t="s">
        <v>313</v>
      </c>
      <c r="F5226" s="538">
        <v>4567402</v>
      </c>
      <c r="G5226" s="538">
        <v>39</v>
      </c>
    </row>
    <row r="5227" spans="1:7" x14ac:dyDescent="0.2">
      <c r="A5227" s="538">
        <v>6</v>
      </c>
      <c r="B5227" s="538" t="s">
        <v>6429</v>
      </c>
      <c r="C5227" s="538" t="s">
        <v>740</v>
      </c>
      <c r="D5227" s="538" t="s">
        <v>393</v>
      </c>
      <c r="E5227" s="538" t="s">
        <v>416</v>
      </c>
      <c r="F5227" s="538">
        <v>3419078</v>
      </c>
      <c r="G5227" s="538">
        <v>51</v>
      </c>
    </row>
    <row r="5228" spans="1:7" x14ac:dyDescent="0.2">
      <c r="A5228" s="538">
        <v>11</v>
      </c>
      <c r="B5228" s="538" t="s">
        <v>6610</v>
      </c>
      <c r="C5228" s="538" t="s">
        <v>393</v>
      </c>
      <c r="D5228" s="538" t="s">
        <v>393</v>
      </c>
      <c r="E5228" s="538" t="s">
        <v>209</v>
      </c>
      <c r="F5228" s="538">
        <v>1538380</v>
      </c>
      <c r="G5228" s="538">
        <v>10</v>
      </c>
    </row>
    <row r="5229" spans="1:7" x14ac:dyDescent="0.2">
      <c r="A5229" s="538">
        <v>3</v>
      </c>
      <c r="B5229" s="538" t="s">
        <v>6561</v>
      </c>
      <c r="C5229" s="538" t="s">
        <v>393</v>
      </c>
      <c r="D5229" s="538" t="s">
        <v>393</v>
      </c>
      <c r="E5229" s="538" t="s">
        <v>211</v>
      </c>
      <c r="F5229" s="538">
        <v>57300172</v>
      </c>
      <c r="G5229" s="538">
        <v>814</v>
      </c>
    </row>
    <row r="5230" spans="1:7" x14ac:dyDescent="0.2">
      <c r="A5230" s="538">
        <v>8</v>
      </c>
      <c r="B5230" s="538" t="s">
        <v>6567</v>
      </c>
      <c r="C5230" s="538" t="s">
        <v>393</v>
      </c>
      <c r="D5230" s="538" t="s">
        <v>740</v>
      </c>
      <c r="E5230" s="538" t="s">
        <v>202</v>
      </c>
      <c r="F5230" s="538">
        <v>603393</v>
      </c>
      <c r="G5230" s="538">
        <v>11</v>
      </c>
    </row>
    <row r="5231" spans="1:7" x14ac:dyDescent="0.2">
      <c r="A5231" s="538">
        <v>5</v>
      </c>
      <c r="B5231" s="538" t="s">
        <v>6599</v>
      </c>
      <c r="C5231" s="538" t="s">
        <v>393</v>
      </c>
      <c r="D5231" s="538" t="s">
        <v>393</v>
      </c>
      <c r="E5231" s="538" t="s">
        <v>419</v>
      </c>
      <c r="F5231" s="538">
        <v>507761</v>
      </c>
      <c r="G5231" s="538">
        <v>2</v>
      </c>
    </row>
    <row r="5232" spans="1:7" x14ac:dyDescent="0.2">
      <c r="A5232" s="538">
        <v>4</v>
      </c>
      <c r="B5232" s="538" t="s">
        <v>6574</v>
      </c>
      <c r="C5232" s="538" t="s">
        <v>740</v>
      </c>
      <c r="D5232" s="538" t="s">
        <v>740</v>
      </c>
      <c r="E5232" s="538" t="s">
        <v>409</v>
      </c>
      <c r="F5232" s="538">
        <v>1388742</v>
      </c>
      <c r="G5232" s="538">
        <v>79</v>
      </c>
    </row>
    <row r="5233" spans="1:7" x14ac:dyDescent="0.2">
      <c r="A5233" s="538">
        <v>8</v>
      </c>
      <c r="B5233" s="538" t="s">
        <v>6577</v>
      </c>
      <c r="C5233" s="538" t="s">
        <v>393</v>
      </c>
      <c r="D5233" s="538" t="s">
        <v>740</v>
      </c>
      <c r="E5233" s="538" t="s">
        <v>409</v>
      </c>
      <c r="F5233" s="538">
        <v>11328</v>
      </c>
      <c r="G5233" s="538">
        <v>1</v>
      </c>
    </row>
    <row r="5234" spans="1:7" x14ac:dyDescent="0.2">
      <c r="A5234" s="538">
        <v>4</v>
      </c>
      <c r="B5234" s="538" t="s">
        <v>6572</v>
      </c>
      <c r="C5234" s="538" t="s">
        <v>740</v>
      </c>
      <c r="D5234" s="538" t="s">
        <v>393</v>
      </c>
      <c r="E5234" s="538" t="s">
        <v>230</v>
      </c>
      <c r="F5234" s="538">
        <v>108147</v>
      </c>
      <c r="G5234" s="538">
        <v>4</v>
      </c>
    </row>
    <row r="5235" spans="1:7" x14ac:dyDescent="0.2">
      <c r="A5235" s="538">
        <v>6</v>
      </c>
      <c r="B5235" s="538" t="s">
        <v>6429</v>
      </c>
      <c r="C5235" s="538" t="s">
        <v>740</v>
      </c>
      <c r="D5235" s="538" t="s">
        <v>393</v>
      </c>
      <c r="E5235" s="538" t="s">
        <v>202</v>
      </c>
      <c r="F5235" s="538">
        <v>24965800</v>
      </c>
      <c r="G5235" s="538">
        <v>215</v>
      </c>
    </row>
    <row r="5236" spans="1:7" x14ac:dyDescent="0.2">
      <c r="A5236" s="538">
        <v>11</v>
      </c>
      <c r="B5236" s="538" t="s">
        <v>6592</v>
      </c>
      <c r="C5236" s="538" t="s">
        <v>393</v>
      </c>
      <c r="D5236" s="538" t="s">
        <v>740</v>
      </c>
      <c r="E5236" s="538" t="s">
        <v>438</v>
      </c>
      <c r="F5236" s="538">
        <v>11328</v>
      </c>
      <c r="G5236" s="538">
        <v>1</v>
      </c>
    </row>
    <row r="5237" spans="1:7" x14ac:dyDescent="0.2">
      <c r="A5237" s="538">
        <v>6</v>
      </c>
      <c r="B5237" s="538" t="s">
        <v>6565</v>
      </c>
      <c r="C5237" s="538" t="s">
        <v>740</v>
      </c>
      <c r="D5237" s="538" t="s">
        <v>393</v>
      </c>
      <c r="E5237" s="538" t="s">
        <v>202</v>
      </c>
      <c r="F5237" s="538">
        <v>108147</v>
      </c>
      <c r="G5237" s="538">
        <v>4</v>
      </c>
    </row>
    <row r="5238" spans="1:7" x14ac:dyDescent="0.2">
      <c r="A5238" s="538">
        <v>7</v>
      </c>
      <c r="B5238" s="538" t="s">
        <v>6588</v>
      </c>
      <c r="C5238" s="538" t="s">
        <v>740</v>
      </c>
      <c r="D5238" s="538" t="s">
        <v>740</v>
      </c>
      <c r="E5238" s="538" t="s">
        <v>210</v>
      </c>
      <c r="F5238" s="538">
        <v>11328</v>
      </c>
      <c r="G5238" s="538">
        <v>1</v>
      </c>
    </row>
    <row r="5239" spans="1:7" x14ac:dyDescent="0.2">
      <c r="A5239" s="538">
        <v>2</v>
      </c>
      <c r="B5239" s="538" t="s">
        <v>6654</v>
      </c>
      <c r="C5239" s="538" t="s">
        <v>740</v>
      </c>
      <c r="D5239" s="538" t="s">
        <v>393</v>
      </c>
      <c r="E5239" s="538" t="s">
        <v>313</v>
      </c>
      <c r="F5239" s="538">
        <v>843353</v>
      </c>
      <c r="G5239" s="538">
        <v>6</v>
      </c>
    </row>
    <row r="5240" spans="1:7" x14ac:dyDescent="0.2">
      <c r="A5240" s="538">
        <v>4</v>
      </c>
      <c r="B5240" s="538" t="s">
        <v>6590</v>
      </c>
      <c r="C5240" s="538" t="s">
        <v>393</v>
      </c>
      <c r="D5240" s="538" t="s">
        <v>740</v>
      </c>
      <c r="E5240" s="538" t="s">
        <v>210</v>
      </c>
      <c r="F5240" s="538">
        <v>22656</v>
      </c>
      <c r="G5240" s="538">
        <v>2</v>
      </c>
    </row>
    <row r="5241" spans="1:7" x14ac:dyDescent="0.2">
      <c r="A5241" s="538">
        <v>2</v>
      </c>
      <c r="B5241" s="538" t="s">
        <v>6055</v>
      </c>
      <c r="C5241" s="538" t="s">
        <v>740</v>
      </c>
      <c r="D5241" s="538" t="s">
        <v>393</v>
      </c>
      <c r="E5241" s="538" t="s">
        <v>416</v>
      </c>
      <c r="F5241" s="538">
        <v>233114219</v>
      </c>
      <c r="G5241" s="538">
        <v>5133</v>
      </c>
    </row>
    <row r="5242" spans="1:7" x14ac:dyDescent="0.2">
      <c r="A5242" s="538">
        <v>8</v>
      </c>
      <c r="B5242" s="538" t="s">
        <v>6583</v>
      </c>
      <c r="C5242" s="538" t="s">
        <v>740</v>
      </c>
      <c r="D5242" s="538" t="s">
        <v>740</v>
      </c>
      <c r="E5242" s="538" t="s">
        <v>409</v>
      </c>
      <c r="F5242" s="538">
        <v>635430</v>
      </c>
      <c r="G5242" s="538">
        <v>45</v>
      </c>
    </row>
    <row r="5243" spans="1:7" x14ac:dyDescent="0.2">
      <c r="A5243" s="538">
        <v>4</v>
      </c>
      <c r="B5243" s="538" t="s">
        <v>6559</v>
      </c>
      <c r="C5243" s="538" t="s">
        <v>740</v>
      </c>
      <c r="D5243" s="538" t="s">
        <v>393</v>
      </c>
      <c r="E5243" s="538" t="s">
        <v>211</v>
      </c>
      <c r="F5243" s="538">
        <v>422499</v>
      </c>
      <c r="G5243" s="538">
        <v>18</v>
      </c>
    </row>
    <row r="5244" spans="1:7" x14ac:dyDescent="0.2">
      <c r="A5244" s="538">
        <v>4</v>
      </c>
      <c r="B5244" s="538" t="s">
        <v>6562</v>
      </c>
      <c r="C5244" s="538" t="s">
        <v>740</v>
      </c>
      <c r="D5244" s="538" t="s">
        <v>393</v>
      </c>
      <c r="E5244" s="538" t="s">
        <v>230</v>
      </c>
      <c r="F5244" s="538">
        <v>50268</v>
      </c>
      <c r="G5244" s="538">
        <v>1</v>
      </c>
    </row>
    <row r="5245" spans="1:7" x14ac:dyDescent="0.2">
      <c r="A5245" s="538">
        <v>8</v>
      </c>
      <c r="B5245" s="538" t="s">
        <v>6570</v>
      </c>
      <c r="C5245" s="538" t="s">
        <v>740</v>
      </c>
      <c r="D5245" s="538" t="s">
        <v>740</v>
      </c>
      <c r="E5245" s="538" t="s">
        <v>202</v>
      </c>
      <c r="F5245" s="538">
        <v>2455844</v>
      </c>
      <c r="G5245" s="538">
        <v>13</v>
      </c>
    </row>
    <row r="5246" spans="1:7" x14ac:dyDescent="0.2">
      <c r="A5246" s="538">
        <v>12</v>
      </c>
      <c r="B5246" s="538" t="s">
        <v>6563</v>
      </c>
      <c r="C5246" s="538" t="s">
        <v>740</v>
      </c>
      <c r="D5246" s="538" t="s">
        <v>740</v>
      </c>
      <c r="E5246" s="538" t="s">
        <v>416</v>
      </c>
      <c r="F5246" s="538">
        <v>280577219</v>
      </c>
      <c r="G5246" s="538">
        <v>5658</v>
      </c>
    </row>
    <row r="5247" spans="1:7" x14ac:dyDescent="0.2">
      <c r="A5247" s="538">
        <v>7</v>
      </c>
      <c r="B5247" s="538" t="s">
        <v>6655</v>
      </c>
      <c r="C5247" s="538" t="s">
        <v>393</v>
      </c>
      <c r="D5247" s="538" t="s">
        <v>393</v>
      </c>
      <c r="E5247" s="538" t="s">
        <v>207</v>
      </c>
      <c r="F5247" s="538">
        <v>12713733</v>
      </c>
      <c r="G5247" s="538">
        <v>991</v>
      </c>
    </row>
    <row r="5248" spans="1:7" x14ac:dyDescent="0.2">
      <c r="A5248" s="538">
        <v>2</v>
      </c>
      <c r="B5248" s="538" t="s">
        <v>6576</v>
      </c>
      <c r="C5248" s="538" t="s">
        <v>393</v>
      </c>
      <c r="D5248" s="538" t="s">
        <v>393</v>
      </c>
      <c r="E5248" s="538" t="s">
        <v>416</v>
      </c>
      <c r="F5248" s="538">
        <v>31325056</v>
      </c>
      <c r="G5248" s="538">
        <v>537</v>
      </c>
    </row>
    <row r="5249" spans="1:7" x14ac:dyDescent="0.2">
      <c r="A5249" s="538">
        <v>1</v>
      </c>
      <c r="B5249" s="538" t="s">
        <v>6602</v>
      </c>
      <c r="C5249" s="538" t="s">
        <v>740</v>
      </c>
      <c r="D5249" s="538" t="s">
        <v>393</v>
      </c>
      <c r="E5249" s="538" t="s">
        <v>210</v>
      </c>
      <c r="F5249" s="538">
        <v>140892</v>
      </c>
      <c r="G5249" s="538">
        <v>9</v>
      </c>
    </row>
    <row r="5250" spans="1:7" x14ac:dyDescent="0.2">
      <c r="A5250" s="538">
        <v>5</v>
      </c>
      <c r="B5250" s="538" t="s">
        <v>6651</v>
      </c>
      <c r="C5250" s="538" t="s">
        <v>740</v>
      </c>
      <c r="D5250" s="538" t="s">
        <v>393</v>
      </c>
      <c r="E5250" s="538" t="s">
        <v>212</v>
      </c>
      <c r="F5250" s="538">
        <v>1063416</v>
      </c>
      <c r="G5250" s="538">
        <v>87</v>
      </c>
    </row>
    <row r="5251" spans="1:7" x14ac:dyDescent="0.2">
      <c r="A5251" s="538">
        <v>2</v>
      </c>
      <c r="B5251" s="538" t="s">
        <v>6608</v>
      </c>
      <c r="C5251" s="538" t="s">
        <v>393</v>
      </c>
      <c r="D5251" s="538" t="s">
        <v>393</v>
      </c>
      <c r="E5251" s="538" t="s">
        <v>419</v>
      </c>
      <c r="F5251" s="538">
        <v>22656</v>
      </c>
      <c r="G5251" s="538">
        <v>2</v>
      </c>
    </row>
    <row r="5252" spans="1:7" x14ac:dyDescent="0.2">
      <c r="A5252" s="538">
        <v>10</v>
      </c>
      <c r="B5252" s="538" t="s">
        <v>6652</v>
      </c>
      <c r="C5252" s="538" t="s">
        <v>393</v>
      </c>
      <c r="D5252" s="538" t="s">
        <v>393</v>
      </c>
      <c r="E5252" s="538" t="s">
        <v>202</v>
      </c>
      <c r="F5252" s="538">
        <v>5514977</v>
      </c>
      <c r="G5252" s="538">
        <v>24</v>
      </c>
    </row>
    <row r="5253" spans="1:7" x14ac:dyDescent="0.2">
      <c r="A5253" s="538">
        <v>10</v>
      </c>
      <c r="B5253" s="538" t="s">
        <v>6587</v>
      </c>
      <c r="C5253" s="538" t="s">
        <v>393</v>
      </c>
      <c r="D5253" s="538" t="s">
        <v>740</v>
      </c>
      <c r="E5253" s="538" t="s">
        <v>401</v>
      </c>
      <c r="F5253" s="538">
        <v>11328</v>
      </c>
      <c r="G5253" s="538">
        <v>1</v>
      </c>
    </row>
    <row r="5254" spans="1:7" x14ac:dyDescent="0.2">
      <c r="A5254" s="538">
        <v>9</v>
      </c>
      <c r="B5254" s="538" t="s">
        <v>6615</v>
      </c>
      <c r="C5254" s="538" t="s">
        <v>740</v>
      </c>
      <c r="D5254" s="538" t="s">
        <v>393</v>
      </c>
      <c r="E5254" s="538" t="s">
        <v>438</v>
      </c>
      <c r="F5254" s="538">
        <v>11328</v>
      </c>
      <c r="G5254" s="538">
        <v>1</v>
      </c>
    </row>
    <row r="5255" spans="1:7" x14ac:dyDescent="0.2">
      <c r="A5255" s="538">
        <v>7</v>
      </c>
      <c r="B5255" s="538" t="s">
        <v>6571</v>
      </c>
      <c r="C5255" s="538" t="s">
        <v>740</v>
      </c>
      <c r="D5255" s="538" t="s">
        <v>393</v>
      </c>
      <c r="E5255" s="538" t="s">
        <v>313</v>
      </c>
      <c r="F5255" s="538">
        <v>1626349</v>
      </c>
      <c r="G5255" s="538">
        <v>13</v>
      </c>
    </row>
    <row r="5256" spans="1:7" x14ac:dyDescent="0.2">
      <c r="A5256" s="538">
        <v>9</v>
      </c>
      <c r="B5256" s="538" t="s">
        <v>948</v>
      </c>
      <c r="C5256" s="538" t="s">
        <v>740</v>
      </c>
      <c r="D5256" s="538" t="s">
        <v>393</v>
      </c>
      <c r="E5256" s="538" t="s">
        <v>438</v>
      </c>
      <c r="F5256" s="538">
        <v>11328</v>
      </c>
      <c r="G5256" s="538">
        <v>1</v>
      </c>
    </row>
    <row r="5257" spans="1:7" x14ac:dyDescent="0.2">
      <c r="A5257" s="538">
        <v>9</v>
      </c>
      <c r="B5257" s="538" t="s">
        <v>6657</v>
      </c>
      <c r="C5257" s="538" t="s">
        <v>740</v>
      </c>
      <c r="D5257" s="538" t="s">
        <v>740</v>
      </c>
      <c r="E5257" s="538" t="s">
        <v>402</v>
      </c>
      <c r="F5257" s="538">
        <v>420021</v>
      </c>
      <c r="G5257" s="538">
        <v>17</v>
      </c>
    </row>
    <row r="5258" spans="1:7" x14ac:dyDescent="0.2">
      <c r="A5258" s="538">
        <v>5</v>
      </c>
      <c r="B5258" s="538" t="s">
        <v>6599</v>
      </c>
      <c r="C5258" s="538" t="s">
        <v>740</v>
      </c>
      <c r="D5258" s="538" t="s">
        <v>393</v>
      </c>
      <c r="E5258" s="538" t="s">
        <v>212</v>
      </c>
      <c r="F5258" s="538">
        <v>543744</v>
      </c>
      <c r="G5258" s="538">
        <v>48</v>
      </c>
    </row>
    <row r="5259" spans="1:7" x14ac:dyDescent="0.2">
      <c r="A5259" s="538">
        <v>6</v>
      </c>
      <c r="B5259" s="538" t="s">
        <v>6617</v>
      </c>
      <c r="C5259" s="538" t="s">
        <v>393</v>
      </c>
      <c r="D5259" s="538" t="s">
        <v>740</v>
      </c>
      <c r="E5259" s="538" t="s">
        <v>207</v>
      </c>
      <c r="F5259" s="538">
        <v>2019393</v>
      </c>
      <c r="G5259" s="538">
        <v>136</v>
      </c>
    </row>
    <row r="5260" spans="1:7" x14ac:dyDescent="0.2">
      <c r="A5260" s="538">
        <v>3</v>
      </c>
      <c r="B5260" s="538" t="s">
        <v>6578</v>
      </c>
      <c r="C5260" s="538" t="s">
        <v>393</v>
      </c>
      <c r="D5260" s="538" t="s">
        <v>740</v>
      </c>
      <c r="E5260" s="538" t="s">
        <v>207</v>
      </c>
      <c r="F5260" s="538">
        <v>2255990</v>
      </c>
      <c r="G5260" s="538">
        <v>90</v>
      </c>
    </row>
    <row r="5261" spans="1:7" x14ac:dyDescent="0.2">
      <c r="A5261" s="538">
        <v>11</v>
      </c>
      <c r="B5261" s="538" t="s">
        <v>6660</v>
      </c>
      <c r="C5261" s="538" t="s">
        <v>393</v>
      </c>
      <c r="D5261" s="538" t="s">
        <v>393</v>
      </c>
      <c r="E5261" s="538" t="s">
        <v>402</v>
      </c>
      <c r="F5261" s="538">
        <v>10218346</v>
      </c>
      <c r="G5261" s="538">
        <v>227</v>
      </c>
    </row>
    <row r="5262" spans="1:7" x14ac:dyDescent="0.2">
      <c r="A5262" s="538">
        <v>3</v>
      </c>
      <c r="B5262" s="538" t="s">
        <v>1390</v>
      </c>
      <c r="C5262" s="538" t="s">
        <v>393</v>
      </c>
      <c r="D5262" s="538" t="s">
        <v>393</v>
      </c>
      <c r="E5262" s="538" t="s">
        <v>212</v>
      </c>
      <c r="F5262" s="538">
        <v>1715609</v>
      </c>
      <c r="G5262" s="538">
        <v>83</v>
      </c>
    </row>
    <row r="5263" spans="1:7" x14ac:dyDescent="0.2">
      <c r="A5263" s="538">
        <v>5</v>
      </c>
      <c r="B5263" s="538" t="s">
        <v>6651</v>
      </c>
      <c r="C5263" s="538" t="s">
        <v>740</v>
      </c>
      <c r="D5263" s="538" t="s">
        <v>393</v>
      </c>
      <c r="E5263" s="538" t="s">
        <v>313</v>
      </c>
      <c r="F5263" s="538">
        <v>1215355</v>
      </c>
      <c r="G5263" s="538">
        <v>5</v>
      </c>
    </row>
    <row r="5264" spans="1:7" x14ac:dyDescent="0.2">
      <c r="A5264" s="538">
        <v>1</v>
      </c>
      <c r="B5264" s="538" t="s">
        <v>6602</v>
      </c>
      <c r="C5264" s="538" t="s">
        <v>740</v>
      </c>
      <c r="D5264" s="538" t="s">
        <v>740</v>
      </c>
      <c r="E5264" s="538" t="s">
        <v>207</v>
      </c>
      <c r="F5264" s="538">
        <v>1168908</v>
      </c>
      <c r="G5264" s="538">
        <v>81</v>
      </c>
    </row>
    <row r="5265" spans="1:7" x14ac:dyDescent="0.2">
      <c r="A5265" s="538">
        <v>4</v>
      </c>
      <c r="B5265" s="538" t="s">
        <v>6559</v>
      </c>
      <c r="C5265" s="538" t="s">
        <v>740</v>
      </c>
      <c r="D5265" s="538" t="s">
        <v>740</v>
      </c>
      <c r="E5265" s="538" t="s">
        <v>438</v>
      </c>
      <c r="F5265" s="538">
        <v>5143433</v>
      </c>
      <c r="G5265" s="538">
        <v>56</v>
      </c>
    </row>
    <row r="5266" spans="1:7" x14ac:dyDescent="0.2">
      <c r="A5266" s="538">
        <v>4</v>
      </c>
      <c r="B5266" s="538" t="s">
        <v>6559</v>
      </c>
      <c r="C5266" s="538" t="s">
        <v>740</v>
      </c>
      <c r="D5266" s="538" t="s">
        <v>740</v>
      </c>
      <c r="E5266" s="538" t="s">
        <v>206</v>
      </c>
      <c r="F5266" s="538">
        <v>61596</v>
      </c>
      <c r="G5266" s="538">
        <v>2</v>
      </c>
    </row>
    <row r="5267" spans="1:7" x14ac:dyDescent="0.2">
      <c r="A5267" s="538">
        <v>9</v>
      </c>
      <c r="B5267" s="538" t="s">
        <v>6614</v>
      </c>
      <c r="C5267" s="538" t="s">
        <v>393</v>
      </c>
      <c r="D5267" s="538" t="s">
        <v>393</v>
      </c>
      <c r="E5267" s="538" t="s">
        <v>419</v>
      </c>
      <c r="F5267" s="538">
        <v>11328</v>
      </c>
      <c r="G5267" s="538">
        <v>1</v>
      </c>
    </row>
    <row r="5268" spans="1:7" x14ac:dyDescent="0.2">
      <c r="A5268" s="538">
        <v>2</v>
      </c>
      <c r="B5268" s="538" t="s">
        <v>6585</v>
      </c>
      <c r="C5268" s="538" t="s">
        <v>740</v>
      </c>
      <c r="D5268" s="538" t="s">
        <v>393</v>
      </c>
      <c r="E5268" s="538" t="s">
        <v>860</v>
      </c>
      <c r="F5268" s="538">
        <v>2505456</v>
      </c>
      <c r="G5268" s="538">
        <v>47</v>
      </c>
    </row>
    <row r="5269" spans="1:7" x14ac:dyDescent="0.2">
      <c r="A5269" s="538">
        <v>4</v>
      </c>
      <c r="B5269" s="538" t="s">
        <v>6574</v>
      </c>
      <c r="C5269" s="538" t="s">
        <v>740</v>
      </c>
      <c r="D5269" s="538" t="s">
        <v>740</v>
      </c>
      <c r="E5269" s="538" t="s">
        <v>438</v>
      </c>
      <c r="F5269" s="538">
        <v>2999005</v>
      </c>
      <c r="G5269" s="538">
        <v>25</v>
      </c>
    </row>
    <row r="5270" spans="1:7" x14ac:dyDescent="0.2">
      <c r="A5270" s="538">
        <v>4</v>
      </c>
      <c r="B5270" s="538" t="s">
        <v>6590</v>
      </c>
      <c r="C5270" s="538" t="s">
        <v>740</v>
      </c>
      <c r="D5270" s="538" t="s">
        <v>393</v>
      </c>
      <c r="E5270" s="538" t="s">
        <v>210</v>
      </c>
      <c r="F5270" s="538">
        <v>4088846</v>
      </c>
      <c r="G5270" s="538">
        <v>117</v>
      </c>
    </row>
    <row r="5271" spans="1:7" x14ac:dyDescent="0.2">
      <c r="A5271" s="538">
        <v>11</v>
      </c>
      <c r="B5271" s="538" t="s">
        <v>6584</v>
      </c>
      <c r="C5271" s="538" t="s">
        <v>740</v>
      </c>
      <c r="D5271" s="538" t="s">
        <v>393</v>
      </c>
      <c r="E5271" s="538" t="s">
        <v>230</v>
      </c>
      <c r="F5271" s="538">
        <v>1636844</v>
      </c>
      <c r="G5271" s="538">
        <v>38</v>
      </c>
    </row>
    <row r="5272" spans="1:7" x14ac:dyDescent="0.2">
      <c r="A5272" s="538">
        <v>3</v>
      </c>
      <c r="B5272" s="538" t="s">
        <v>6561</v>
      </c>
      <c r="C5272" s="538" t="s">
        <v>740</v>
      </c>
      <c r="D5272" s="538" t="s">
        <v>740</v>
      </c>
      <c r="E5272" s="538" t="s">
        <v>202</v>
      </c>
      <c r="F5272" s="538">
        <v>705116</v>
      </c>
      <c r="G5272" s="538">
        <v>7</v>
      </c>
    </row>
    <row r="5273" spans="1:7" x14ac:dyDescent="0.2">
      <c r="A5273" s="538">
        <v>5</v>
      </c>
      <c r="B5273" s="538" t="s">
        <v>6568</v>
      </c>
      <c r="C5273" s="538" t="s">
        <v>740</v>
      </c>
      <c r="D5273" s="538" t="s">
        <v>740</v>
      </c>
      <c r="E5273" s="538" t="s">
        <v>860</v>
      </c>
      <c r="F5273" s="538">
        <v>326919</v>
      </c>
      <c r="G5273" s="538">
        <v>13</v>
      </c>
    </row>
    <row r="5274" spans="1:7" x14ac:dyDescent="0.2">
      <c r="A5274" s="538">
        <v>10</v>
      </c>
      <c r="B5274" s="538" t="s">
        <v>6652</v>
      </c>
      <c r="C5274" s="538" t="s">
        <v>740</v>
      </c>
      <c r="D5274" s="538" t="s">
        <v>393</v>
      </c>
      <c r="E5274" s="538" t="s">
        <v>390</v>
      </c>
      <c r="F5274" s="538">
        <v>852380</v>
      </c>
      <c r="G5274" s="538">
        <v>20</v>
      </c>
    </row>
    <row r="5275" spans="1:7" x14ac:dyDescent="0.2">
      <c r="A5275" s="538">
        <v>1</v>
      </c>
      <c r="B5275" s="538" t="s">
        <v>1288</v>
      </c>
      <c r="C5275" s="538" t="s">
        <v>740</v>
      </c>
      <c r="D5275" s="538" t="s">
        <v>393</v>
      </c>
      <c r="E5275" s="538" t="s">
        <v>401</v>
      </c>
      <c r="F5275" s="538">
        <v>56640</v>
      </c>
      <c r="G5275" s="538">
        <v>5</v>
      </c>
    </row>
    <row r="5276" spans="1:7" x14ac:dyDescent="0.2">
      <c r="A5276" s="538">
        <v>1</v>
      </c>
      <c r="B5276" s="538" t="s">
        <v>6663</v>
      </c>
      <c r="C5276" s="538" t="s">
        <v>393</v>
      </c>
      <c r="D5276" s="538" t="s">
        <v>393</v>
      </c>
      <c r="E5276" s="538" t="s">
        <v>207</v>
      </c>
      <c r="F5276" s="538">
        <v>14263316</v>
      </c>
      <c r="G5276" s="538">
        <v>1127</v>
      </c>
    </row>
    <row r="5277" spans="1:7" x14ac:dyDescent="0.2">
      <c r="A5277" s="538">
        <v>11</v>
      </c>
      <c r="B5277" s="538" t="s">
        <v>6612</v>
      </c>
      <c r="C5277" s="538" t="s">
        <v>740</v>
      </c>
      <c r="D5277" s="538" t="s">
        <v>740</v>
      </c>
      <c r="E5277" s="538" t="s">
        <v>438</v>
      </c>
      <c r="F5277" s="538">
        <v>775562</v>
      </c>
      <c r="G5277" s="538">
        <v>9</v>
      </c>
    </row>
    <row r="5278" spans="1:7" x14ac:dyDescent="0.2">
      <c r="A5278" s="538">
        <v>3</v>
      </c>
      <c r="B5278" s="538" t="s">
        <v>6561</v>
      </c>
      <c r="C5278" s="538" t="s">
        <v>393</v>
      </c>
      <c r="D5278" s="538" t="s">
        <v>393</v>
      </c>
      <c r="E5278" s="538" t="s">
        <v>402</v>
      </c>
      <c r="F5278" s="538">
        <v>13737533</v>
      </c>
      <c r="G5278" s="538">
        <v>321</v>
      </c>
    </row>
    <row r="5279" spans="1:7" x14ac:dyDescent="0.2">
      <c r="A5279" s="538">
        <v>6</v>
      </c>
      <c r="B5279" s="538" t="s">
        <v>6429</v>
      </c>
      <c r="C5279" s="538" t="s">
        <v>740</v>
      </c>
      <c r="D5279" s="538" t="s">
        <v>740</v>
      </c>
      <c r="E5279" s="538" t="s">
        <v>402</v>
      </c>
      <c r="F5279" s="538">
        <v>220548087</v>
      </c>
      <c r="G5279" s="538">
        <v>6719</v>
      </c>
    </row>
    <row r="5280" spans="1:7" x14ac:dyDescent="0.2">
      <c r="A5280" s="538">
        <v>4</v>
      </c>
      <c r="B5280" s="538" t="s">
        <v>6562</v>
      </c>
      <c r="C5280" s="538" t="s">
        <v>740</v>
      </c>
      <c r="D5280" s="538" t="s">
        <v>740</v>
      </c>
      <c r="E5280" s="538" t="s">
        <v>390</v>
      </c>
      <c r="F5280" s="538">
        <v>4678183</v>
      </c>
      <c r="G5280" s="538">
        <v>136</v>
      </c>
    </row>
    <row r="5281" spans="1:7" x14ac:dyDescent="0.2">
      <c r="A5281" s="538">
        <v>2</v>
      </c>
      <c r="B5281" s="538" t="s">
        <v>6573</v>
      </c>
      <c r="C5281" s="538" t="s">
        <v>740</v>
      </c>
      <c r="D5281" s="538" t="s">
        <v>393</v>
      </c>
      <c r="E5281" s="538" t="s">
        <v>211</v>
      </c>
      <c r="F5281" s="538">
        <v>436482</v>
      </c>
      <c r="G5281" s="538">
        <v>24</v>
      </c>
    </row>
    <row r="5282" spans="1:7" x14ac:dyDescent="0.2">
      <c r="A5282" s="538">
        <v>6</v>
      </c>
      <c r="B5282" s="538" t="s">
        <v>6565</v>
      </c>
      <c r="C5282" s="538" t="s">
        <v>740</v>
      </c>
      <c r="D5282" s="538" t="s">
        <v>393</v>
      </c>
      <c r="E5282" s="538" t="s">
        <v>449</v>
      </c>
      <c r="F5282" s="538">
        <v>11328</v>
      </c>
      <c r="G5282" s="538">
        <v>1</v>
      </c>
    </row>
    <row r="5283" spans="1:7" x14ac:dyDescent="0.2">
      <c r="A5283" s="538">
        <v>4</v>
      </c>
      <c r="B5283" s="538" t="s">
        <v>6574</v>
      </c>
      <c r="C5283" s="538" t="s">
        <v>740</v>
      </c>
      <c r="D5283" s="538" t="s">
        <v>393</v>
      </c>
      <c r="E5283" s="538" t="s">
        <v>390</v>
      </c>
      <c r="F5283" s="538">
        <v>1042884</v>
      </c>
      <c r="G5283" s="538">
        <v>63</v>
      </c>
    </row>
    <row r="5284" spans="1:7" x14ac:dyDescent="0.2">
      <c r="A5284" s="538">
        <v>6</v>
      </c>
      <c r="B5284" s="538" t="s">
        <v>6617</v>
      </c>
      <c r="C5284" s="538" t="s">
        <v>393</v>
      </c>
      <c r="D5284" s="538" t="s">
        <v>393</v>
      </c>
      <c r="E5284" s="538" t="s">
        <v>438</v>
      </c>
      <c r="F5284" s="538">
        <v>10252601</v>
      </c>
      <c r="G5284" s="538">
        <v>87</v>
      </c>
    </row>
    <row r="5285" spans="1:7" x14ac:dyDescent="0.2">
      <c r="A5285" s="538">
        <v>9</v>
      </c>
      <c r="B5285" s="538" t="s">
        <v>6657</v>
      </c>
      <c r="C5285" s="538" t="s">
        <v>740</v>
      </c>
      <c r="D5285" s="538" t="s">
        <v>393</v>
      </c>
      <c r="E5285" s="538" t="s">
        <v>419</v>
      </c>
      <c r="F5285" s="538">
        <v>108147</v>
      </c>
      <c r="G5285" s="538">
        <v>4</v>
      </c>
    </row>
    <row r="5286" spans="1:7" x14ac:dyDescent="0.2">
      <c r="A5286" s="538">
        <v>11</v>
      </c>
      <c r="B5286" s="538" t="s">
        <v>6584</v>
      </c>
      <c r="C5286" s="538" t="s">
        <v>393</v>
      </c>
      <c r="D5286" s="538" t="s">
        <v>740</v>
      </c>
      <c r="E5286" s="538" t="s">
        <v>409</v>
      </c>
      <c r="F5286" s="538">
        <v>158592</v>
      </c>
      <c r="G5286" s="538">
        <v>14</v>
      </c>
    </row>
    <row r="5287" spans="1:7" x14ac:dyDescent="0.2">
      <c r="A5287" s="538">
        <v>10</v>
      </c>
      <c r="B5287" s="538" t="s">
        <v>6582</v>
      </c>
      <c r="C5287" s="538" t="s">
        <v>740</v>
      </c>
      <c r="D5287" s="538" t="s">
        <v>393</v>
      </c>
      <c r="E5287" s="538" t="s">
        <v>416</v>
      </c>
      <c r="F5287" s="538">
        <v>1170449</v>
      </c>
      <c r="G5287" s="538">
        <v>28</v>
      </c>
    </row>
    <row r="5288" spans="1:7" x14ac:dyDescent="0.2">
      <c r="A5288" s="538">
        <v>7</v>
      </c>
      <c r="B5288" s="538" t="s">
        <v>6594</v>
      </c>
      <c r="C5288" s="538" t="s">
        <v>740</v>
      </c>
      <c r="D5288" s="538" t="s">
        <v>740</v>
      </c>
      <c r="E5288" s="538" t="s">
        <v>211</v>
      </c>
      <c r="F5288" s="538">
        <v>157176</v>
      </c>
      <c r="G5288" s="538">
        <v>7</v>
      </c>
    </row>
    <row r="5289" spans="1:7" x14ac:dyDescent="0.2">
      <c r="A5289" s="538">
        <v>8</v>
      </c>
      <c r="B5289" s="538" t="s">
        <v>6567</v>
      </c>
      <c r="C5289" s="538" t="s">
        <v>740</v>
      </c>
      <c r="D5289" s="538" t="s">
        <v>393</v>
      </c>
      <c r="E5289" s="538" t="s">
        <v>449</v>
      </c>
      <c r="F5289" s="538">
        <v>1209743</v>
      </c>
      <c r="G5289" s="538">
        <v>46</v>
      </c>
    </row>
    <row r="5290" spans="1:7" x14ac:dyDescent="0.2">
      <c r="A5290" s="538">
        <v>4</v>
      </c>
      <c r="B5290" s="538" t="s">
        <v>6590</v>
      </c>
      <c r="C5290" s="538" t="s">
        <v>740</v>
      </c>
      <c r="D5290" s="538" t="s">
        <v>740</v>
      </c>
      <c r="E5290" s="538" t="s">
        <v>416</v>
      </c>
      <c r="F5290" s="538">
        <v>2248983</v>
      </c>
      <c r="G5290" s="538">
        <v>41</v>
      </c>
    </row>
    <row r="5291" spans="1:7" x14ac:dyDescent="0.2">
      <c r="A5291" s="538">
        <v>7</v>
      </c>
      <c r="B5291" s="538" t="s">
        <v>6604</v>
      </c>
      <c r="C5291" s="538" t="s">
        <v>393</v>
      </c>
      <c r="D5291" s="538" t="s">
        <v>393</v>
      </c>
      <c r="E5291" s="538" t="s">
        <v>416</v>
      </c>
      <c r="F5291" s="538">
        <v>20559915</v>
      </c>
      <c r="G5291" s="538">
        <v>380</v>
      </c>
    </row>
    <row r="5292" spans="1:7" x14ac:dyDescent="0.2">
      <c r="A5292" s="538">
        <v>5</v>
      </c>
      <c r="B5292" s="538" t="s">
        <v>6599</v>
      </c>
      <c r="C5292" s="538" t="s">
        <v>740</v>
      </c>
      <c r="D5292" s="538" t="s">
        <v>740</v>
      </c>
      <c r="E5292" s="538" t="s">
        <v>209</v>
      </c>
      <c r="F5292" s="538">
        <v>992866</v>
      </c>
      <c r="G5292" s="538">
        <v>2</v>
      </c>
    </row>
    <row r="5293" spans="1:7" x14ac:dyDescent="0.2">
      <c r="A5293" s="538">
        <v>7</v>
      </c>
      <c r="B5293" s="538" t="s">
        <v>6564</v>
      </c>
      <c r="C5293" s="538" t="s">
        <v>740</v>
      </c>
      <c r="D5293" s="538" t="s">
        <v>393</v>
      </c>
      <c r="E5293" s="538" t="s">
        <v>438</v>
      </c>
      <c r="F5293" s="538">
        <v>1953445</v>
      </c>
      <c r="G5293" s="538">
        <v>30</v>
      </c>
    </row>
    <row r="5294" spans="1:7" x14ac:dyDescent="0.2">
      <c r="A5294" s="538">
        <v>10</v>
      </c>
      <c r="B5294" s="538" t="s">
        <v>6582</v>
      </c>
      <c r="C5294" s="538" t="s">
        <v>740</v>
      </c>
      <c r="D5294" s="538" t="s">
        <v>393</v>
      </c>
      <c r="E5294" s="538" t="s">
        <v>207</v>
      </c>
      <c r="F5294" s="538">
        <v>328512</v>
      </c>
      <c r="G5294" s="538">
        <v>29</v>
      </c>
    </row>
    <row r="5295" spans="1:7" x14ac:dyDescent="0.2">
      <c r="A5295" s="538">
        <v>7</v>
      </c>
      <c r="B5295" s="538" t="s">
        <v>6604</v>
      </c>
      <c r="C5295" s="538" t="s">
        <v>740</v>
      </c>
      <c r="D5295" s="538" t="s">
        <v>393</v>
      </c>
      <c r="E5295" s="538" t="s">
        <v>390</v>
      </c>
      <c r="F5295" s="538">
        <v>3539417</v>
      </c>
      <c r="G5295" s="538">
        <v>119</v>
      </c>
    </row>
    <row r="5296" spans="1:7" x14ac:dyDescent="0.2">
      <c r="A5296" s="538">
        <v>4</v>
      </c>
      <c r="B5296" s="538" t="s">
        <v>6572</v>
      </c>
      <c r="C5296" s="538" t="s">
        <v>740</v>
      </c>
      <c r="D5296" s="538" t="s">
        <v>393</v>
      </c>
      <c r="E5296" s="538" t="s">
        <v>409</v>
      </c>
      <c r="F5296" s="538">
        <v>85491</v>
      </c>
      <c r="G5296" s="538">
        <v>2</v>
      </c>
    </row>
    <row r="5297" spans="1:7" x14ac:dyDescent="0.2">
      <c r="A5297" s="538">
        <v>4</v>
      </c>
      <c r="B5297" s="538" t="s">
        <v>6590</v>
      </c>
      <c r="C5297" s="538" t="s">
        <v>740</v>
      </c>
      <c r="D5297" s="538" t="s">
        <v>740</v>
      </c>
      <c r="E5297" s="538" t="s">
        <v>390</v>
      </c>
      <c r="F5297" s="538">
        <v>815970</v>
      </c>
      <c r="G5297" s="538">
        <v>25</v>
      </c>
    </row>
    <row r="5298" spans="1:7" x14ac:dyDescent="0.2">
      <c r="A5298" s="538">
        <v>7</v>
      </c>
      <c r="B5298" s="538" t="s">
        <v>6604</v>
      </c>
      <c r="C5298" s="538" t="s">
        <v>393</v>
      </c>
      <c r="D5298" s="538" t="s">
        <v>393</v>
      </c>
      <c r="E5298" s="538" t="s">
        <v>390</v>
      </c>
      <c r="F5298" s="538">
        <v>5150367</v>
      </c>
      <c r="G5298" s="538">
        <v>104</v>
      </c>
    </row>
    <row r="5299" spans="1:7" x14ac:dyDescent="0.2">
      <c r="A5299" s="538">
        <v>1</v>
      </c>
      <c r="B5299" s="538" t="s">
        <v>6649</v>
      </c>
      <c r="C5299" s="538" t="s">
        <v>740</v>
      </c>
      <c r="D5299" s="538" t="s">
        <v>393</v>
      </c>
      <c r="E5299" s="538" t="s">
        <v>209</v>
      </c>
      <c r="F5299" s="538">
        <v>570596</v>
      </c>
      <c r="G5299" s="538">
        <v>2</v>
      </c>
    </row>
    <row r="5300" spans="1:7" x14ac:dyDescent="0.2">
      <c r="A5300" s="538">
        <v>7</v>
      </c>
      <c r="B5300" s="538" t="s">
        <v>6604</v>
      </c>
      <c r="C5300" s="538" t="s">
        <v>740</v>
      </c>
      <c r="D5300" s="538" t="s">
        <v>393</v>
      </c>
      <c r="E5300" s="538" t="s">
        <v>211</v>
      </c>
      <c r="F5300" s="538">
        <v>5712113</v>
      </c>
      <c r="G5300" s="538">
        <v>181</v>
      </c>
    </row>
    <row r="5301" spans="1:7" x14ac:dyDescent="0.2">
      <c r="A5301" s="538">
        <v>12</v>
      </c>
      <c r="B5301" s="538" t="s">
        <v>6569</v>
      </c>
      <c r="C5301" s="538" t="s">
        <v>740</v>
      </c>
      <c r="D5301" s="538" t="s">
        <v>393</v>
      </c>
      <c r="E5301" s="538" t="s">
        <v>211</v>
      </c>
      <c r="F5301" s="538">
        <v>1144482</v>
      </c>
      <c r="G5301" s="538">
        <v>54</v>
      </c>
    </row>
    <row r="5302" spans="1:7" x14ac:dyDescent="0.2">
      <c r="A5302" s="538">
        <v>8</v>
      </c>
      <c r="B5302" s="538" t="s">
        <v>6570</v>
      </c>
      <c r="C5302" s="538" t="s">
        <v>740</v>
      </c>
      <c r="D5302" s="538" t="s">
        <v>740</v>
      </c>
      <c r="E5302" s="538" t="s">
        <v>860</v>
      </c>
      <c r="F5302" s="538">
        <v>541745</v>
      </c>
      <c r="G5302" s="538">
        <v>5</v>
      </c>
    </row>
    <row r="5303" spans="1:7" x14ac:dyDescent="0.2">
      <c r="A5303" s="538">
        <v>8</v>
      </c>
      <c r="B5303" s="538" t="s">
        <v>6570</v>
      </c>
      <c r="C5303" s="538" t="s">
        <v>393</v>
      </c>
      <c r="D5303" s="538" t="s">
        <v>740</v>
      </c>
      <c r="E5303" s="538" t="s">
        <v>416</v>
      </c>
      <c r="F5303" s="538">
        <v>7913910</v>
      </c>
      <c r="G5303" s="538">
        <v>175</v>
      </c>
    </row>
    <row r="5304" spans="1:7" x14ac:dyDescent="0.2">
      <c r="A5304" s="538">
        <v>6</v>
      </c>
      <c r="B5304" s="538" t="s">
        <v>6429</v>
      </c>
      <c r="C5304" s="538" t="s">
        <v>740</v>
      </c>
      <c r="D5304" s="538" t="s">
        <v>740</v>
      </c>
      <c r="E5304" s="538" t="s">
        <v>449</v>
      </c>
      <c r="F5304" s="538">
        <v>4118103</v>
      </c>
      <c r="G5304" s="538">
        <v>141</v>
      </c>
    </row>
    <row r="5305" spans="1:7" x14ac:dyDescent="0.2">
      <c r="A5305" s="538">
        <v>10</v>
      </c>
      <c r="B5305" s="538" t="s">
        <v>6587</v>
      </c>
      <c r="C5305" s="538" t="s">
        <v>740</v>
      </c>
      <c r="D5305" s="538" t="s">
        <v>740</v>
      </c>
      <c r="E5305" s="538" t="s">
        <v>207</v>
      </c>
      <c r="F5305" s="538">
        <v>901107</v>
      </c>
      <c r="G5305" s="538">
        <v>74</v>
      </c>
    </row>
    <row r="5306" spans="1:7" x14ac:dyDescent="0.2">
      <c r="A5306" s="538">
        <v>1</v>
      </c>
      <c r="B5306" s="538" t="s">
        <v>6649</v>
      </c>
      <c r="C5306" s="538" t="s">
        <v>740</v>
      </c>
      <c r="D5306" s="538" t="s">
        <v>393</v>
      </c>
      <c r="E5306" s="538" t="s">
        <v>402</v>
      </c>
      <c r="F5306" s="538">
        <v>545868</v>
      </c>
      <c r="G5306" s="538">
        <v>26</v>
      </c>
    </row>
    <row r="5307" spans="1:7" x14ac:dyDescent="0.2">
      <c r="A5307" s="538">
        <v>5</v>
      </c>
      <c r="B5307" s="538" t="s">
        <v>6589</v>
      </c>
      <c r="C5307" s="538" t="s">
        <v>393</v>
      </c>
      <c r="D5307" s="538" t="s">
        <v>393</v>
      </c>
      <c r="E5307" s="538" t="s">
        <v>207</v>
      </c>
      <c r="F5307" s="538">
        <v>15718423</v>
      </c>
      <c r="G5307" s="538">
        <v>831</v>
      </c>
    </row>
    <row r="5308" spans="1:7" x14ac:dyDescent="0.2">
      <c r="A5308" s="538">
        <v>2</v>
      </c>
      <c r="B5308" s="538" t="s">
        <v>6656</v>
      </c>
      <c r="C5308" s="538" t="s">
        <v>740</v>
      </c>
      <c r="D5308" s="538" t="s">
        <v>393</v>
      </c>
      <c r="E5308" s="538" t="s">
        <v>409</v>
      </c>
      <c r="F5308" s="538">
        <v>67968</v>
      </c>
      <c r="G5308" s="538">
        <v>6</v>
      </c>
    </row>
    <row r="5309" spans="1:7" x14ac:dyDescent="0.2">
      <c r="A5309" s="538">
        <v>4</v>
      </c>
      <c r="B5309" s="538" t="s">
        <v>6562</v>
      </c>
      <c r="C5309" s="538" t="s">
        <v>740</v>
      </c>
      <c r="D5309" s="538" t="s">
        <v>740</v>
      </c>
      <c r="E5309" s="538" t="s">
        <v>230</v>
      </c>
      <c r="F5309" s="538">
        <v>111864</v>
      </c>
      <c r="G5309" s="538">
        <v>3</v>
      </c>
    </row>
    <row r="5310" spans="1:7" x14ac:dyDescent="0.2">
      <c r="A5310" s="538">
        <v>7</v>
      </c>
      <c r="B5310" s="538" t="s">
        <v>6588</v>
      </c>
      <c r="C5310" s="538" t="s">
        <v>393</v>
      </c>
      <c r="D5310" s="538" t="s">
        <v>393</v>
      </c>
      <c r="E5310" s="538" t="s">
        <v>209</v>
      </c>
      <c r="F5310" s="538">
        <v>1265623</v>
      </c>
      <c r="G5310" s="538">
        <v>6</v>
      </c>
    </row>
    <row r="5311" spans="1:7" x14ac:dyDescent="0.2">
      <c r="A5311" s="538">
        <v>6</v>
      </c>
      <c r="B5311" s="538" t="s">
        <v>1668</v>
      </c>
      <c r="C5311" s="538" t="s">
        <v>393</v>
      </c>
      <c r="D5311" s="538" t="s">
        <v>393</v>
      </c>
      <c r="E5311" s="538" t="s">
        <v>409</v>
      </c>
      <c r="F5311" s="538">
        <v>868841</v>
      </c>
      <c r="G5311" s="538">
        <v>27</v>
      </c>
    </row>
    <row r="5312" spans="1:7" x14ac:dyDescent="0.2">
      <c r="A5312" s="538">
        <v>2</v>
      </c>
      <c r="B5312" s="538" t="s">
        <v>6585</v>
      </c>
      <c r="C5312" s="538" t="s">
        <v>393</v>
      </c>
      <c r="D5312" s="538" t="s">
        <v>393</v>
      </c>
      <c r="E5312" s="538" t="s">
        <v>438</v>
      </c>
      <c r="F5312" s="538">
        <v>8124457</v>
      </c>
      <c r="G5312" s="538">
        <v>54</v>
      </c>
    </row>
    <row r="5313" spans="1:7" x14ac:dyDescent="0.2">
      <c r="A5313" s="538">
        <v>2</v>
      </c>
      <c r="B5313" s="538" t="s">
        <v>6585</v>
      </c>
      <c r="C5313" s="538" t="s">
        <v>393</v>
      </c>
      <c r="D5313" s="538" t="s">
        <v>393</v>
      </c>
      <c r="E5313" s="538" t="s">
        <v>206</v>
      </c>
      <c r="F5313" s="538">
        <v>74163</v>
      </c>
      <c r="G5313" s="538">
        <v>1</v>
      </c>
    </row>
    <row r="5314" spans="1:7" x14ac:dyDescent="0.2">
      <c r="A5314" s="538">
        <v>8</v>
      </c>
      <c r="B5314" s="538" t="s">
        <v>6658</v>
      </c>
      <c r="C5314" s="538" t="s">
        <v>393</v>
      </c>
      <c r="D5314" s="538" t="s">
        <v>393</v>
      </c>
      <c r="E5314" s="538" t="s">
        <v>230</v>
      </c>
      <c r="F5314" s="538">
        <v>6160225</v>
      </c>
      <c r="G5314" s="538">
        <v>140</v>
      </c>
    </row>
    <row r="5315" spans="1:7" x14ac:dyDescent="0.2">
      <c r="A5315" s="538">
        <v>7</v>
      </c>
      <c r="B5315" s="538" t="s">
        <v>6580</v>
      </c>
      <c r="C5315" s="538" t="s">
        <v>740</v>
      </c>
      <c r="D5315" s="538" t="s">
        <v>393</v>
      </c>
      <c r="E5315" s="538" t="s">
        <v>416</v>
      </c>
      <c r="F5315" s="538">
        <v>11328</v>
      </c>
      <c r="G5315" s="538">
        <v>1</v>
      </c>
    </row>
    <row r="5316" spans="1:7" x14ac:dyDescent="0.2">
      <c r="A5316" s="538">
        <v>1</v>
      </c>
      <c r="B5316" s="538" t="s">
        <v>6581</v>
      </c>
      <c r="C5316" s="538" t="s">
        <v>740</v>
      </c>
      <c r="D5316" s="538" t="s">
        <v>740</v>
      </c>
      <c r="E5316" s="538" t="s">
        <v>202</v>
      </c>
      <c r="F5316" s="538">
        <v>2615498</v>
      </c>
      <c r="G5316" s="538">
        <v>16</v>
      </c>
    </row>
    <row r="5317" spans="1:7" x14ac:dyDescent="0.2">
      <c r="A5317" s="538">
        <v>7</v>
      </c>
      <c r="B5317" s="538" t="s">
        <v>6579</v>
      </c>
      <c r="C5317" s="538" t="s">
        <v>740</v>
      </c>
      <c r="D5317" s="538" t="s">
        <v>740</v>
      </c>
      <c r="E5317" s="538" t="s">
        <v>211</v>
      </c>
      <c r="F5317" s="538">
        <v>1796040</v>
      </c>
      <c r="G5317" s="538">
        <v>10</v>
      </c>
    </row>
    <row r="5318" spans="1:7" x14ac:dyDescent="0.2">
      <c r="A5318" s="538">
        <v>7</v>
      </c>
      <c r="B5318" s="538" t="s">
        <v>6579</v>
      </c>
      <c r="C5318" s="538" t="s">
        <v>393</v>
      </c>
      <c r="D5318" s="538" t="s">
        <v>393</v>
      </c>
      <c r="E5318" s="538" t="s">
        <v>860</v>
      </c>
      <c r="F5318" s="538">
        <v>1469527</v>
      </c>
      <c r="G5318" s="538">
        <v>24</v>
      </c>
    </row>
    <row r="5319" spans="1:7" x14ac:dyDescent="0.2">
      <c r="A5319" s="538">
        <v>8</v>
      </c>
      <c r="B5319" s="538" t="s">
        <v>6570</v>
      </c>
      <c r="C5319" s="538" t="s">
        <v>393</v>
      </c>
      <c r="D5319" s="538" t="s">
        <v>740</v>
      </c>
      <c r="E5319" s="538" t="s">
        <v>210</v>
      </c>
      <c r="F5319" s="538">
        <v>541745</v>
      </c>
      <c r="G5319" s="538">
        <v>5</v>
      </c>
    </row>
    <row r="5320" spans="1:7" x14ac:dyDescent="0.2">
      <c r="A5320" s="538">
        <v>10</v>
      </c>
      <c r="B5320" s="538" t="s">
        <v>6597</v>
      </c>
      <c r="C5320" s="538" t="s">
        <v>393</v>
      </c>
      <c r="D5320" s="538" t="s">
        <v>393</v>
      </c>
      <c r="E5320" s="538" t="s">
        <v>419</v>
      </c>
      <c r="F5320" s="538">
        <v>22656</v>
      </c>
      <c r="G5320" s="538">
        <v>2</v>
      </c>
    </row>
    <row r="5321" spans="1:7" x14ac:dyDescent="0.2">
      <c r="A5321" s="538">
        <v>2</v>
      </c>
      <c r="B5321" s="538" t="s">
        <v>6656</v>
      </c>
      <c r="C5321" s="538" t="s">
        <v>740</v>
      </c>
      <c r="D5321" s="538" t="s">
        <v>393</v>
      </c>
      <c r="E5321" s="538" t="s">
        <v>212</v>
      </c>
      <c r="F5321" s="538">
        <v>22656</v>
      </c>
      <c r="G5321" s="538">
        <v>2</v>
      </c>
    </row>
    <row r="5322" spans="1:7" x14ac:dyDescent="0.2">
      <c r="A5322" s="538">
        <v>5</v>
      </c>
      <c r="B5322" s="538" t="s">
        <v>6650</v>
      </c>
      <c r="C5322" s="538" t="s">
        <v>740</v>
      </c>
      <c r="D5322" s="538" t="s">
        <v>393</v>
      </c>
      <c r="E5322" s="538" t="s">
        <v>211</v>
      </c>
      <c r="F5322" s="538">
        <v>12022309</v>
      </c>
      <c r="G5322" s="538">
        <v>363</v>
      </c>
    </row>
    <row r="5323" spans="1:7" x14ac:dyDescent="0.2">
      <c r="A5323" s="538">
        <v>11</v>
      </c>
      <c r="B5323" s="538" t="s">
        <v>6584</v>
      </c>
      <c r="C5323" s="538" t="s">
        <v>740</v>
      </c>
      <c r="D5323" s="538" t="s">
        <v>393</v>
      </c>
      <c r="E5323" s="538" t="s">
        <v>207</v>
      </c>
      <c r="F5323" s="538">
        <v>244083</v>
      </c>
      <c r="G5323" s="538">
        <v>16</v>
      </c>
    </row>
    <row r="5324" spans="1:7" x14ac:dyDescent="0.2">
      <c r="A5324" s="538">
        <v>2</v>
      </c>
      <c r="B5324" s="538" t="s">
        <v>6055</v>
      </c>
      <c r="C5324" s="538" t="s">
        <v>393</v>
      </c>
      <c r="D5324" s="538" t="s">
        <v>740</v>
      </c>
      <c r="E5324" s="538" t="s">
        <v>860</v>
      </c>
      <c r="F5324" s="538">
        <v>11328</v>
      </c>
      <c r="G5324" s="538">
        <v>1</v>
      </c>
    </row>
    <row r="5325" spans="1:7" x14ac:dyDescent="0.2">
      <c r="A5325" s="538">
        <v>7</v>
      </c>
      <c r="B5325" s="538" t="s">
        <v>6564</v>
      </c>
      <c r="C5325" s="538" t="s">
        <v>740</v>
      </c>
      <c r="D5325" s="538" t="s">
        <v>393</v>
      </c>
      <c r="E5325" s="538" t="s">
        <v>211</v>
      </c>
      <c r="F5325" s="538">
        <v>29505162</v>
      </c>
      <c r="G5325" s="538">
        <v>794</v>
      </c>
    </row>
    <row r="5326" spans="1:7" x14ac:dyDescent="0.2">
      <c r="A5326" s="538">
        <v>7</v>
      </c>
      <c r="B5326" s="538" t="s">
        <v>6571</v>
      </c>
      <c r="C5326" s="538" t="s">
        <v>740</v>
      </c>
      <c r="D5326" s="538" t="s">
        <v>740</v>
      </c>
      <c r="E5326" s="538" t="s">
        <v>438</v>
      </c>
      <c r="F5326" s="538">
        <v>11328</v>
      </c>
      <c r="G5326" s="538">
        <v>1</v>
      </c>
    </row>
    <row r="5327" spans="1:7" x14ac:dyDescent="0.2">
      <c r="A5327" s="538">
        <v>11</v>
      </c>
      <c r="B5327" s="538" t="s">
        <v>6584</v>
      </c>
      <c r="C5327" s="538" t="s">
        <v>740</v>
      </c>
      <c r="D5327" s="538" t="s">
        <v>393</v>
      </c>
      <c r="E5327" s="538" t="s">
        <v>390</v>
      </c>
      <c r="F5327" s="538">
        <v>2359660</v>
      </c>
      <c r="G5327" s="538">
        <v>50</v>
      </c>
    </row>
    <row r="5328" spans="1:7" x14ac:dyDescent="0.2">
      <c r="A5328" s="538">
        <v>11</v>
      </c>
      <c r="B5328" s="538" t="s">
        <v>6592</v>
      </c>
      <c r="C5328" s="538" t="s">
        <v>740</v>
      </c>
      <c r="D5328" s="538" t="s">
        <v>393</v>
      </c>
      <c r="E5328" s="538" t="s">
        <v>402</v>
      </c>
      <c r="F5328" s="538">
        <v>56640</v>
      </c>
      <c r="G5328" s="538">
        <v>5</v>
      </c>
    </row>
    <row r="5329" spans="1:7" x14ac:dyDescent="0.2">
      <c r="A5329" s="538">
        <v>7</v>
      </c>
      <c r="B5329" s="538" t="s">
        <v>6594</v>
      </c>
      <c r="C5329" s="538" t="s">
        <v>740</v>
      </c>
      <c r="D5329" s="538" t="s">
        <v>393</v>
      </c>
      <c r="E5329" s="538" t="s">
        <v>209</v>
      </c>
      <c r="F5329" s="538">
        <v>74163</v>
      </c>
      <c r="G5329" s="538">
        <v>1</v>
      </c>
    </row>
    <row r="5330" spans="1:7" x14ac:dyDescent="0.2">
      <c r="A5330" s="538">
        <v>11</v>
      </c>
      <c r="B5330" s="538" t="s">
        <v>6610</v>
      </c>
      <c r="C5330" s="538" t="s">
        <v>740</v>
      </c>
      <c r="D5330" s="538" t="s">
        <v>393</v>
      </c>
      <c r="E5330" s="538" t="s">
        <v>202</v>
      </c>
      <c r="F5330" s="538">
        <v>85491</v>
      </c>
      <c r="G5330" s="538">
        <v>2</v>
      </c>
    </row>
    <row r="5331" spans="1:7" x14ac:dyDescent="0.2">
      <c r="A5331" s="538">
        <v>9</v>
      </c>
      <c r="B5331" s="538" t="s">
        <v>6644</v>
      </c>
      <c r="C5331" s="538" t="s">
        <v>393</v>
      </c>
      <c r="D5331" s="538" t="s">
        <v>393</v>
      </c>
      <c r="E5331" s="538" t="s">
        <v>390</v>
      </c>
      <c r="F5331" s="538">
        <v>13583647</v>
      </c>
      <c r="G5331" s="538">
        <v>294</v>
      </c>
    </row>
    <row r="5332" spans="1:7" x14ac:dyDescent="0.2">
      <c r="A5332" s="538">
        <v>2</v>
      </c>
      <c r="B5332" s="538" t="s">
        <v>6055</v>
      </c>
      <c r="C5332" s="538" t="s">
        <v>740</v>
      </c>
      <c r="D5332" s="538" t="s">
        <v>393</v>
      </c>
      <c r="E5332" s="538" t="s">
        <v>409</v>
      </c>
      <c r="F5332" s="538">
        <v>267801</v>
      </c>
      <c r="G5332" s="538">
        <v>7</v>
      </c>
    </row>
    <row r="5333" spans="1:7" x14ac:dyDescent="0.2">
      <c r="A5333" s="538">
        <v>2</v>
      </c>
      <c r="B5333" s="538" t="s">
        <v>6656</v>
      </c>
      <c r="C5333" s="538" t="s">
        <v>740</v>
      </c>
      <c r="D5333" s="538" t="s">
        <v>393</v>
      </c>
      <c r="E5333" s="538" t="s">
        <v>449</v>
      </c>
      <c r="F5333" s="538">
        <v>33984</v>
      </c>
      <c r="G5333" s="538">
        <v>3</v>
      </c>
    </row>
    <row r="5334" spans="1:7" x14ac:dyDescent="0.2">
      <c r="A5334" s="538">
        <v>3</v>
      </c>
      <c r="B5334" s="538" t="s">
        <v>6591</v>
      </c>
      <c r="C5334" s="538" t="s">
        <v>740</v>
      </c>
      <c r="D5334" s="538" t="s">
        <v>740</v>
      </c>
      <c r="E5334" s="538" t="s">
        <v>409</v>
      </c>
      <c r="F5334" s="538">
        <v>417720</v>
      </c>
      <c r="G5334" s="538">
        <v>30</v>
      </c>
    </row>
    <row r="5335" spans="1:7" x14ac:dyDescent="0.2">
      <c r="A5335" s="538">
        <v>1</v>
      </c>
      <c r="B5335" s="538" t="s">
        <v>6581</v>
      </c>
      <c r="C5335" s="538" t="s">
        <v>740</v>
      </c>
      <c r="D5335" s="538" t="s">
        <v>393</v>
      </c>
      <c r="E5335" s="538" t="s">
        <v>860</v>
      </c>
      <c r="F5335" s="538">
        <v>9576398</v>
      </c>
      <c r="G5335" s="538">
        <v>326</v>
      </c>
    </row>
    <row r="5336" spans="1:7" x14ac:dyDescent="0.2">
      <c r="A5336" s="538">
        <v>4</v>
      </c>
      <c r="B5336" s="538" t="s">
        <v>6574</v>
      </c>
      <c r="C5336" s="538" t="s">
        <v>740</v>
      </c>
      <c r="D5336" s="538" t="s">
        <v>393</v>
      </c>
      <c r="E5336" s="538" t="s">
        <v>210</v>
      </c>
      <c r="F5336" s="538">
        <v>848663</v>
      </c>
      <c r="G5336" s="538">
        <v>21</v>
      </c>
    </row>
    <row r="5337" spans="1:7" x14ac:dyDescent="0.2">
      <c r="A5337" s="538">
        <v>3</v>
      </c>
      <c r="B5337" s="538" t="s">
        <v>1390</v>
      </c>
      <c r="C5337" s="538" t="s">
        <v>393</v>
      </c>
      <c r="D5337" s="538" t="s">
        <v>393</v>
      </c>
      <c r="E5337" s="538" t="s">
        <v>210</v>
      </c>
      <c r="F5337" s="538">
        <v>1832908</v>
      </c>
      <c r="G5337" s="538">
        <v>36</v>
      </c>
    </row>
    <row r="5338" spans="1:7" x14ac:dyDescent="0.2">
      <c r="A5338" s="538">
        <v>4</v>
      </c>
      <c r="B5338" s="538" t="s">
        <v>6593</v>
      </c>
      <c r="C5338" s="538" t="s">
        <v>740</v>
      </c>
      <c r="D5338" s="538" t="s">
        <v>740</v>
      </c>
      <c r="E5338" s="538" t="s">
        <v>209</v>
      </c>
      <c r="F5338" s="538">
        <v>496433</v>
      </c>
      <c r="G5338" s="538">
        <v>1</v>
      </c>
    </row>
    <row r="5339" spans="1:7" x14ac:dyDescent="0.2">
      <c r="A5339" s="538">
        <v>9</v>
      </c>
      <c r="B5339" s="538" t="s">
        <v>6644</v>
      </c>
      <c r="C5339" s="538" t="s">
        <v>740</v>
      </c>
      <c r="D5339" s="538" t="s">
        <v>393</v>
      </c>
      <c r="E5339" s="538" t="s">
        <v>209</v>
      </c>
      <c r="F5339" s="538">
        <v>148326</v>
      </c>
      <c r="G5339" s="538">
        <v>2</v>
      </c>
    </row>
    <row r="5340" spans="1:7" x14ac:dyDescent="0.2">
      <c r="A5340" s="538">
        <v>2</v>
      </c>
      <c r="B5340" s="538" t="s">
        <v>6585</v>
      </c>
      <c r="C5340" s="538" t="s">
        <v>393</v>
      </c>
      <c r="D5340" s="538" t="s">
        <v>740</v>
      </c>
      <c r="E5340" s="538" t="s">
        <v>207</v>
      </c>
      <c r="F5340" s="538">
        <v>1689642</v>
      </c>
      <c r="G5340" s="538">
        <v>109</v>
      </c>
    </row>
    <row r="5341" spans="1:7" x14ac:dyDescent="0.2">
      <c r="A5341" s="538">
        <v>6</v>
      </c>
      <c r="B5341" s="538" t="s">
        <v>6575</v>
      </c>
      <c r="C5341" s="538" t="s">
        <v>393</v>
      </c>
      <c r="D5341" s="538" t="s">
        <v>740</v>
      </c>
      <c r="E5341" s="538" t="s">
        <v>416</v>
      </c>
      <c r="F5341" s="538">
        <v>4756823</v>
      </c>
      <c r="G5341" s="538">
        <v>171</v>
      </c>
    </row>
    <row r="5342" spans="1:7" x14ac:dyDescent="0.2">
      <c r="A5342" s="538">
        <v>2</v>
      </c>
      <c r="B5342" s="538" t="s">
        <v>6662</v>
      </c>
      <c r="C5342" s="538" t="s">
        <v>740</v>
      </c>
      <c r="D5342" s="538" t="s">
        <v>393</v>
      </c>
      <c r="E5342" s="538" t="s">
        <v>409</v>
      </c>
      <c r="F5342" s="538">
        <v>705116</v>
      </c>
      <c r="G5342" s="538">
        <v>7</v>
      </c>
    </row>
    <row r="5343" spans="1:7" x14ac:dyDescent="0.2">
      <c r="A5343" s="538">
        <v>12</v>
      </c>
      <c r="B5343" s="538" t="s">
        <v>6563</v>
      </c>
      <c r="C5343" s="538" t="s">
        <v>740</v>
      </c>
      <c r="D5343" s="538" t="s">
        <v>740</v>
      </c>
      <c r="E5343" s="538" t="s">
        <v>390</v>
      </c>
      <c r="F5343" s="538">
        <v>255190508</v>
      </c>
      <c r="G5343" s="538">
        <v>7456</v>
      </c>
    </row>
    <row r="5344" spans="1:7" x14ac:dyDescent="0.2">
      <c r="A5344" s="538">
        <v>6</v>
      </c>
      <c r="B5344" s="538" t="s">
        <v>6433</v>
      </c>
      <c r="C5344" s="538" t="s">
        <v>393</v>
      </c>
      <c r="D5344" s="538" t="s">
        <v>393</v>
      </c>
      <c r="E5344" s="538" t="s">
        <v>438</v>
      </c>
      <c r="F5344" s="538">
        <v>6904073</v>
      </c>
      <c r="G5344" s="538">
        <v>56</v>
      </c>
    </row>
    <row r="5345" spans="1:7" x14ac:dyDescent="0.2">
      <c r="A5345" s="538">
        <v>10</v>
      </c>
      <c r="B5345" s="538" t="s">
        <v>6582</v>
      </c>
      <c r="C5345" s="538" t="s">
        <v>740</v>
      </c>
      <c r="D5345" s="538" t="s">
        <v>393</v>
      </c>
      <c r="E5345" s="538" t="s">
        <v>313</v>
      </c>
      <c r="F5345" s="538">
        <v>74163</v>
      </c>
      <c r="G5345" s="538">
        <v>1</v>
      </c>
    </row>
    <row r="5346" spans="1:7" x14ac:dyDescent="0.2">
      <c r="A5346" s="538">
        <v>1</v>
      </c>
      <c r="B5346" s="538" t="s">
        <v>6663</v>
      </c>
      <c r="C5346" s="538" t="s">
        <v>393</v>
      </c>
      <c r="D5346" s="538" t="s">
        <v>740</v>
      </c>
      <c r="E5346" s="538" t="s">
        <v>402</v>
      </c>
      <c r="F5346" s="538">
        <v>1317713</v>
      </c>
      <c r="G5346" s="538">
        <v>41</v>
      </c>
    </row>
    <row r="5347" spans="1:7" x14ac:dyDescent="0.2">
      <c r="A5347" s="538">
        <v>5</v>
      </c>
      <c r="B5347" s="538" t="s">
        <v>6599</v>
      </c>
      <c r="C5347" s="538" t="s">
        <v>393</v>
      </c>
      <c r="D5347" s="538" t="s">
        <v>740</v>
      </c>
      <c r="E5347" s="538" t="s">
        <v>409</v>
      </c>
      <c r="F5347" s="538">
        <v>284262</v>
      </c>
      <c r="G5347" s="538">
        <v>14</v>
      </c>
    </row>
    <row r="5348" spans="1:7" x14ac:dyDescent="0.2">
      <c r="A5348" s="538">
        <v>2</v>
      </c>
      <c r="B5348" s="538" t="s">
        <v>6573</v>
      </c>
      <c r="C5348" s="538" t="s">
        <v>393</v>
      </c>
      <c r="D5348" s="538" t="s">
        <v>393</v>
      </c>
      <c r="E5348" s="538" t="s">
        <v>230</v>
      </c>
      <c r="F5348" s="538">
        <v>8979398</v>
      </c>
      <c r="G5348" s="538">
        <v>166</v>
      </c>
    </row>
    <row r="5349" spans="1:7" x14ac:dyDescent="0.2">
      <c r="A5349" s="538">
        <v>12</v>
      </c>
      <c r="B5349" s="538" t="s">
        <v>6563</v>
      </c>
      <c r="C5349" s="538" t="s">
        <v>740</v>
      </c>
      <c r="D5349" s="538" t="s">
        <v>740</v>
      </c>
      <c r="E5349" s="538" t="s">
        <v>212</v>
      </c>
      <c r="F5349" s="538">
        <v>22656</v>
      </c>
      <c r="G5349" s="538">
        <v>2</v>
      </c>
    </row>
    <row r="5350" spans="1:7" x14ac:dyDescent="0.2">
      <c r="A5350" s="538">
        <v>9</v>
      </c>
      <c r="B5350" s="538" t="s">
        <v>6644</v>
      </c>
      <c r="C5350" s="538" t="s">
        <v>393</v>
      </c>
      <c r="D5350" s="538" t="s">
        <v>393</v>
      </c>
      <c r="E5350" s="538" t="s">
        <v>402</v>
      </c>
      <c r="F5350" s="538">
        <v>5436295</v>
      </c>
      <c r="G5350" s="538">
        <v>135</v>
      </c>
    </row>
    <row r="5351" spans="1:7" x14ac:dyDescent="0.2">
      <c r="A5351" s="538">
        <v>6</v>
      </c>
      <c r="B5351" s="538" t="s">
        <v>6565</v>
      </c>
      <c r="C5351" s="538" t="s">
        <v>393</v>
      </c>
      <c r="D5351" s="538" t="s">
        <v>393</v>
      </c>
      <c r="E5351" s="538" t="s">
        <v>211</v>
      </c>
      <c r="F5351" s="538">
        <v>25257121</v>
      </c>
      <c r="G5351" s="538">
        <v>282</v>
      </c>
    </row>
    <row r="5352" spans="1:7" x14ac:dyDescent="0.2">
      <c r="A5352" s="538">
        <v>2</v>
      </c>
      <c r="B5352" s="538" t="s">
        <v>6656</v>
      </c>
      <c r="C5352" s="538" t="s">
        <v>393</v>
      </c>
      <c r="D5352" s="538" t="s">
        <v>393</v>
      </c>
      <c r="E5352" s="538" t="s">
        <v>207</v>
      </c>
      <c r="F5352" s="538">
        <v>17477001</v>
      </c>
      <c r="G5352" s="538">
        <v>1232</v>
      </c>
    </row>
    <row r="5353" spans="1:7" x14ac:dyDescent="0.2">
      <c r="A5353" s="538">
        <v>9</v>
      </c>
      <c r="B5353" s="538" t="s">
        <v>6606</v>
      </c>
      <c r="C5353" s="538" t="s">
        <v>393</v>
      </c>
      <c r="D5353" s="538" t="s">
        <v>393</v>
      </c>
      <c r="E5353" s="538" t="s">
        <v>209</v>
      </c>
      <c r="F5353" s="538">
        <v>1004194</v>
      </c>
      <c r="G5353" s="538">
        <v>3</v>
      </c>
    </row>
    <row r="5354" spans="1:7" x14ac:dyDescent="0.2">
      <c r="A5354" s="538">
        <v>12</v>
      </c>
      <c r="B5354" s="538" t="s">
        <v>6569</v>
      </c>
      <c r="C5354" s="538" t="s">
        <v>740</v>
      </c>
      <c r="D5354" s="538" t="s">
        <v>740</v>
      </c>
      <c r="E5354" s="538" t="s">
        <v>409</v>
      </c>
      <c r="F5354" s="538">
        <v>1281251</v>
      </c>
      <c r="G5354" s="538">
        <v>42</v>
      </c>
    </row>
    <row r="5355" spans="1:7" x14ac:dyDescent="0.2">
      <c r="A5355" s="538">
        <v>4</v>
      </c>
      <c r="B5355" s="538" t="s">
        <v>6574</v>
      </c>
      <c r="C5355" s="538" t="s">
        <v>740</v>
      </c>
      <c r="D5355" s="538" t="s">
        <v>740</v>
      </c>
      <c r="E5355" s="538" t="s">
        <v>212</v>
      </c>
      <c r="F5355" s="538">
        <v>215232</v>
      </c>
      <c r="G5355" s="538">
        <v>19</v>
      </c>
    </row>
    <row r="5356" spans="1:7" x14ac:dyDescent="0.2">
      <c r="A5356" s="538">
        <v>7</v>
      </c>
      <c r="B5356" s="538" t="s">
        <v>6564</v>
      </c>
      <c r="C5356" s="538" t="s">
        <v>740</v>
      </c>
      <c r="D5356" s="538" t="s">
        <v>740</v>
      </c>
      <c r="E5356" s="538" t="s">
        <v>207</v>
      </c>
      <c r="F5356" s="538">
        <v>992616</v>
      </c>
      <c r="G5356" s="538">
        <v>62</v>
      </c>
    </row>
    <row r="5357" spans="1:7" x14ac:dyDescent="0.2">
      <c r="A5357" s="538">
        <v>11</v>
      </c>
      <c r="B5357" s="538" t="s">
        <v>6592</v>
      </c>
      <c r="C5357" s="538" t="s">
        <v>740</v>
      </c>
      <c r="D5357" s="538" t="s">
        <v>393</v>
      </c>
      <c r="E5357" s="538" t="s">
        <v>207</v>
      </c>
      <c r="F5357" s="538">
        <v>1340546</v>
      </c>
      <c r="G5357" s="538">
        <v>52</v>
      </c>
    </row>
    <row r="5358" spans="1:7" x14ac:dyDescent="0.2">
      <c r="A5358" s="538">
        <v>12</v>
      </c>
      <c r="B5358" s="538" t="s">
        <v>6569</v>
      </c>
      <c r="C5358" s="538" t="s">
        <v>393</v>
      </c>
      <c r="D5358" s="538" t="s">
        <v>740</v>
      </c>
      <c r="E5358" s="538" t="s">
        <v>416</v>
      </c>
      <c r="F5358" s="538">
        <v>5060170</v>
      </c>
      <c r="G5358" s="538">
        <v>115</v>
      </c>
    </row>
    <row r="5359" spans="1:7" x14ac:dyDescent="0.2">
      <c r="A5359" s="538">
        <v>4</v>
      </c>
      <c r="B5359" s="538" t="s">
        <v>6572</v>
      </c>
      <c r="C5359" s="538" t="s">
        <v>740</v>
      </c>
      <c r="D5359" s="538" t="s">
        <v>393</v>
      </c>
      <c r="E5359" s="538" t="s">
        <v>401</v>
      </c>
      <c r="F5359" s="538">
        <v>33984</v>
      </c>
      <c r="G5359" s="538">
        <v>3</v>
      </c>
    </row>
    <row r="5360" spans="1:7" x14ac:dyDescent="0.2">
      <c r="A5360" s="538">
        <v>4</v>
      </c>
      <c r="B5360" s="538" t="s">
        <v>6559</v>
      </c>
      <c r="C5360" s="538" t="s">
        <v>740</v>
      </c>
      <c r="D5360" s="538" t="s">
        <v>393</v>
      </c>
      <c r="E5360" s="538" t="s">
        <v>313</v>
      </c>
      <c r="F5360" s="538">
        <v>5732385</v>
      </c>
      <c r="G5360" s="538">
        <v>30</v>
      </c>
    </row>
    <row r="5361" spans="1:7" x14ac:dyDescent="0.2">
      <c r="A5361" s="538">
        <v>5</v>
      </c>
      <c r="B5361" s="538" t="s">
        <v>6598</v>
      </c>
      <c r="C5361" s="538" t="s">
        <v>740</v>
      </c>
      <c r="D5361" s="538" t="s">
        <v>393</v>
      </c>
      <c r="E5361" s="538" t="s">
        <v>390</v>
      </c>
      <c r="F5361" s="538">
        <v>56640</v>
      </c>
      <c r="G5361" s="538">
        <v>5</v>
      </c>
    </row>
    <row r="5362" spans="1:7" x14ac:dyDescent="0.2">
      <c r="A5362" s="538">
        <v>9</v>
      </c>
      <c r="B5362" s="538" t="s">
        <v>948</v>
      </c>
      <c r="C5362" s="538" t="s">
        <v>393</v>
      </c>
      <c r="D5362" s="538" t="s">
        <v>393</v>
      </c>
      <c r="E5362" s="538" t="s">
        <v>416</v>
      </c>
      <c r="F5362" s="538">
        <v>62950502</v>
      </c>
      <c r="G5362" s="538">
        <v>1054</v>
      </c>
    </row>
    <row r="5363" spans="1:7" x14ac:dyDescent="0.2">
      <c r="A5363" s="538">
        <v>3</v>
      </c>
      <c r="B5363" s="538" t="s">
        <v>6561</v>
      </c>
      <c r="C5363" s="538" t="s">
        <v>740</v>
      </c>
      <c r="D5363" s="538" t="s">
        <v>393</v>
      </c>
      <c r="E5363" s="538" t="s">
        <v>401</v>
      </c>
      <c r="F5363" s="538">
        <v>700160</v>
      </c>
      <c r="G5363" s="538">
        <v>10</v>
      </c>
    </row>
    <row r="5364" spans="1:7" x14ac:dyDescent="0.2">
      <c r="A5364" s="538">
        <v>12</v>
      </c>
      <c r="B5364" s="538" t="s">
        <v>6569</v>
      </c>
      <c r="C5364" s="538" t="s">
        <v>393</v>
      </c>
      <c r="D5364" s="538" t="s">
        <v>740</v>
      </c>
      <c r="E5364" s="538" t="s">
        <v>390</v>
      </c>
      <c r="F5364" s="538">
        <v>5362840</v>
      </c>
      <c r="G5364" s="538">
        <v>105</v>
      </c>
    </row>
    <row r="5365" spans="1:7" x14ac:dyDescent="0.2">
      <c r="A5365" s="538">
        <v>10</v>
      </c>
      <c r="B5365" s="538" t="s">
        <v>6597</v>
      </c>
      <c r="C5365" s="538" t="s">
        <v>740</v>
      </c>
      <c r="D5365" s="538" t="s">
        <v>393</v>
      </c>
      <c r="E5365" s="538" t="s">
        <v>409</v>
      </c>
      <c r="F5365" s="538">
        <v>494184</v>
      </c>
      <c r="G5365" s="538">
        <v>18</v>
      </c>
    </row>
    <row r="5366" spans="1:7" x14ac:dyDescent="0.2">
      <c r="A5366" s="538">
        <v>2</v>
      </c>
      <c r="B5366" s="538" t="s">
        <v>6573</v>
      </c>
      <c r="C5366" s="538" t="s">
        <v>740</v>
      </c>
      <c r="D5366" s="538" t="s">
        <v>393</v>
      </c>
      <c r="E5366" s="538" t="s">
        <v>212</v>
      </c>
      <c r="F5366" s="538">
        <v>45312</v>
      </c>
      <c r="G5366" s="538">
        <v>4</v>
      </c>
    </row>
    <row r="5367" spans="1:7" x14ac:dyDescent="0.2">
      <c r="A5367" s="538">
        <v>7</v>
      </c>
      <c r="B5367" s="538" t="s">
        <v>6580</v>
      </c>
      <c r="C5367" s="538" t="s">
        <v>393</v>
      </c>
      <c r="D5367" s="538" t="s">
        <v>740</v>
      </c>
      <c r="E5367" s="538" t="s">
        <v>402</v>
      </c>
      <c r="F5367" s="538">
        <v>72924</v>
      </c>
      <c r="G5367" s="538">
        <v>3</v>
      </c>
    </row>
    <row r="5368" spans="1:7" x14ac:dyDescent="0.2">
      <c r="A5368" s="538">
        <v>3</v>
      </c>
      <c r="B5368" s="538" t="s">
        <v>6591</v>
      </c>
      <c r="C5368" s="538" t="s">
        <v>740</v>
      </c>
      <c r="D5368" s="538" t="s">
        <v>393</v>
      </c>
      <c r="E5368" s="538" t="s">
        <v>449</v>
      </c>
      <c r="F5368" s="538">
        <v>876452</v>
      </c>
      <c r="G5368" s="538">
        <v>29</v>
      </c>
    </row>
    <row r="5369" spans="1:7" x14ac:dyDescent="0.2">
      <c r="A5369" s="538">
        <v>4</v>
      </c>
      <c r="B5369" s="538" t="s">
        <v>6572</v>
      </c>
      <c r="C5369" s="538" t="s">
        <v>740</v>
      </c>
      <c r="D5369" s="538" t="s">
        <v>393</v>
      </c>
      <c r="E5369" s="538" t="s">
        <v>212</v>
      </c>
      <c r="F5369" s="538">
        <v>310812</v>
      </c>
      <c r="G5369" s="538">
        <v>24</v>
      </c>
    </row>
    <row r="5370" spans="1:7" x14ac:dyDescent="0.2">
      <c r="A5370" s="538">
        <v>4</v>
      </c>
      <c r="B5370" s="538" t="s">
        <v>6562</v>
      </c>
      <c r="C5370" s="538" t="s">
        <v>740</v>
      </c>
      <c r="D5370" s="538" t="s">
        <v>740</v>
      </c>
      <c r="E5370" s="538" t="s">
        <v>416</v>
      </c>
      <c r="F5370" s="538">
        <v>74163</v>
      </c>
      <c r="G5370" s="538">
        <v>1</v>
      </c>
    </row>
    <row r="5371" spans="1:7" x14ac:dyDescent="0.2">
      <c r="A5371" s="538">
        <v>11</v>
      </c>
      <c r="B5371" s="538" t="s">
        <v>6584</v>
      </c>
      <c r="C5371" s="538" t="s">
        <v>740</v>
      </c>
      <c r="D5371" s="538" t="s">
        <v>740</v>
      </c>
      <c r="E5371" s="538" t="s">
        <v>402</v>
      </c>
      <c r="F5371" s="538">
        <v>672954</v>
      </c>
      <c r="G5371" s="538">
        <v>38</v>
      </c>
    </row>
    <row r="5372" spans="1:7" x14ac:dyDescent="0.2">
      <c r="A5372" s="538">
        <v>8</v>
      </c>
      <c r="B5372" s="538" t="s">
        <v>6560</v>
      </c>
      <c r="C5372" s="538" t="s">
        <v>393</v>
      </c>
      <c r="D5372" s="538" t="s">
        <v>393</v>
      </c>
      <c r="E5372" s="538" t="s">
        <v>401</v>
      </c>
      <c r="F5372" s="538">
        <v>226383</v>
      </c>
      <c r="G5372" s="538">
        <v>11</v>
      </c>
    </row>
    <row r="5373" spans="1:7" x14ac:dyDescent="0.2">
      <c r="A5373" s="538">
        <v>7</v>
      </c>
      <c r="B5373" s="538" t="s">
        <v>6580</v>
      </c>
      <c r="C5373" s="538" t="s">
        <v>740</v>
      </c>
      <c r="D5373" s="538" t="s">
        <v>393</v>
      </c>
      <c r="E5373" s="538" t="s">
        <v>207</v>
      </c>
      <c r="F5373" s="538">
        <v>11328</v>
      </c>
      <c r="G5373" s="538">
        <v>1</v>
      </c>
    </row>
    <row r="5374" spans="1:7" x14ac:dyDescent="0.2">
      <c r="A5374" s="538">
        <v>4</v>
      </c>
      <c r="B5374" s="538" t="s">
        <v>6559</v>
      </c>
      <c r="C5374" s="538" t="s">
        <v>393</v>
      </c>
      <c r="D5374" s="538" t="s">
        <v>393</v>
      </c>
      <c r="E5374" s="538" t="s">
        <v>313</v>
      </c>
      <c r="F5374" s="538">
        <v>496433</v>
      </c>
      <c r="G5374" s="538">
        <v>1</v>
      </c>
    </row>
    <row r="5375" spans="1:7" x14ac:dyDescent="0.2">
      <c r="A5375" s="538">
        <v>8</v>
      </c>
      <c r="B5375" s="538" t="s">
        <v>6583</v>
      </c>
      <c r="C5375" s="538" t="s">
        <v>740</v>
      </c>
      <c r="D5375" s="538" t="s">
        <v>393</v>
      </c>
      <c r="E5375" s="538" t="s">
        <v>416</v>
      </c>
      <c r="F5375" s="538">
        <v>87516988</v>
      </c>
      <c r="G5375" s="538">
        <v>2226</v>
      </c>
    </row>
    <row r="5376" spans="1:7" x14ac:dyDescent="0.2">
      <c r="A5376" s="538">
        <v>5</v>
      </c>
      <c r="B5376" s="538" t="s">
        <v>6599</v>
      </c>
      <c r="C5376" s="538" t="s">
        <v>740</v>
      </c>
      <c r="D5376" s="538" t="s">
        <v>393</v>
      </c>
      <c r="E5376" s="538" t="s">
        <v>416</v>
      </c>
      <c r="F5376" s="538">
        <v>466572</v>
      </c>
      <c r="G5376" s="538">
        <v>24</v>
      </c>
    </row>
    <row r="5377" spans="1:7" x14ac:dyDescent="0.2">
      <c r="A5377" s="538">
        <v>2</v>
      </c>
      <c r="B5377" s="538" t="s">
        <v>6656</v>
      </c>
      <c r="C5377" s="538" t="s">
        <v>740</v>
      </c>
      <c r="D5377" s="538" t="s">
        <v>393</v>
      </c>
      <c r="E5377" s="538" t="s">
        <v>209</v>
      </c>
      <c r="F5377" s="538">
        <v>74163</v>
      </c>
      <c r="G5377" s="538">
        <v>1</v>
      </c>
    </row>
    <row r="5378" spans="1:7" x14ac:dyDescent="0.2">
      <c r="A5378" s="538">
        <v>7</v>
      </c>
      <c r="B5378" s="538" t="s">
        <v>6661</v>
      </c>
      <c r="C5378" s="538" t="s">
        <v>393</v>
      </c>
      <c r="D5378" s="538" t="s">
        <v>740</v>
      </c>
      <c r="E5378" s="538" t="s">
        <v>402</v>
      </c>
      <c r="F5378" s="538">
        <v>1422320</v>
      </c>
      <c r="G5378" s="538">
        <v>60</v>
      </c>
    </row>
    <row r="5379" spans="1:7" x14ac:dyDescent="0.2">
      <c r="A5379" s="538">
        <v>3</v>
      </c>
      <c r="B5379" s="538" t="s">
        <v>6591</v>
      </c>
      <c r="C5379" s="538" t="s">
        <v>740</v>
      </c>
      <c r="D5379" s="538" t="s">
        <v>740</v>
      </c>
      <c r="E5379" s="538" t="s">
        <v>402</v>
      </c>
      <c r="F5379" s="538">
        <v>345858</v>
      </c>
      <c r="G5379" s="538">
        <v>16</v>
      </c>
    </row>
    <row r="5380" spans="1:7" x14ac:dyDescent="0.2">
      <c r="A5380" s="538">
        <v>3</v>
      </c>
      <c r="B5380" s="538" t="s">
        <v>6561</v>
      </c>
      <c r="C5380" s="538" t="s">
        <v>740</v>
      </c>
      <c r="D5380" s="538" t="s">
        <v>393</v>
      </c>
      <c r="E5380" s="538" t="s">
        <v>202</v>
      </c>
      <c r="F5380" s="538">
        <v>570596</v>
      </c>
      <c r="G5380" s="538">
        <v>2</v>
      </c>
    </row>
    <row r="5381" spans="1:7" x14ac:dyDescent="0.2">
      <c r="A5381" s="538">
        <v>7</v>
      </c>
      <c r="B5381" s="538" t="s">
        <v>6588</v>
      </c>
      <c r="C5381" s="538" t="s">
        <v>740</v>
      </c>
      <c r="D5381" s="538" t="s">
        <v>740</v>
      </c>
      <c r="E5381" s="538" t="s">
        <v>202</v>
      </c>
      <c r="F5381" s="538">
        <v>74163</v>
      </c>
      <c r="G5381" s="538">
        <v>1</v>
      </c>
    </row>
    <row r="5382" spans="1:7" x14ac:dyDescent="0.2">
      <c r="A5382" s="538">
        <v>3</v>
      </c>
      <c r="B5382" s="538" t="s">
        <v>6603</v>
      </c>
      <c r="C5382" s="538" t="s">
        <v>740</v>
      </c>
      <c r="D5382" s="538" t="s">
        <v>393</v>
      </c>
      <c r="E5382" s="538" t="s">
        <v>211</v>
      </c>
      <c r="F5382" s="538">
        <v>2370509</v>
      </c>
      <c r="G5382" s="538">
        <v>98</v>
      </c>
    </row>
    <row r="5383" spans="1:7" x14ac:dyDescent="0.2">
      <c r="A5383" s="538">
        <v>10</v>
      </c>
      <c r="B5383" s="538" t="s">
        <v>6597</v>
      </c>
      <c r="C5383" s="538" t="s">
        <v>740</v>
      </c>
      <c r="D5383" s="538" t="s">
        <v>393</v>
      </c>
      <c r="E5383" s="538" t="s">
        <v>438</v>
      </c>
      <c r="F5383" s="538">
        <v>2004723</v>
      </c>
      <c r="G5383" s="538">
        <v>16</v>
      </c>
    </row>
    <row r="5384" spans="1:7" x14ac:dyDescent="0.2">
      <c r="A5384" s="538">
        <v>10</v>
      </c>
      <c r="B5384" s="538" t="s">
        <v>6597</v>
      </c>
      <c r="C5384" s="538" t="s">
        <v>393</v>
      </c>
      <c r="D5384" s="538" t="s">
        <v>740</v>
      </c>
      <c r="E5384" s="538" t="s">
        <v>401</v>
      </c>
      <c r="F5384" s="538">
        <v>101952</v>
      </c>
      <c r="G5384" s="538">
        <v>9</v>
      </c>
    </row>
    <row r="5385" spans="1:7" x14ac:dyDescent="0.2">
      <c r="A5385" s="538">
        <v>5</v>
      </c>
      <c r="B5385" s="538" t="s">
        <v>6599</v>
      </c>
      <c r="C5385" s="538" t="s">
        <v>740</v>
      </c>
      <c r="D5385" s="538" t="s">
        <v>393</v>
      </c>
      <c r="E5385" s="538" t="s">
        <v>209</v>
      </c>
      <c r="F5385" s="538">
        <v>248862</v>
      </c>
      <c r="G5385" s="538">
        <v>4</v>
      </c>
    </row>
    <row r="5386" spans="1:7" x14ac:dyDescent="0.2">
      <c r="A5386" s="538">
        <v>1</v>
      </c>
      <c r="B5386" s="538" t="s">
        <v>6663</v>
      </c>
      <c r="C5386" s="538" t="s">
        <v>393</v>
      </c>
      <c r="D5386" s="538" t="s">
        <v>393</v>
      </c>
      <c r="E5386" s="538" t="s">
        <v>860</v>
      </c>
      <c r="F5386" s="538">
        <v>226383</v>
      </c>
      <c r="G5386" s="538">
        <v>11</v>
      </c>
    </row>
    <row r="5387" spans="1:7" x14ac:dyDescent="0.2">
      <c r="A5387" s="538">
        <v>11</v>
      </c>
      <c r="B5387" s="538" t="s">
        <v>6584</v>
      </c>
      <c r="C5387" s="538" t="s">
        <v>740</v>
      </c>
      <c r="D5387" s="538" t="s">
        <v>393</v>
      </c>
      <c r="E5387" s="538" t="s">
        <v>438</v>
      </c>
      <c r="F5387" s="538">
        <v>1529936</v>
      </c>
      <c r="G5387" s="538">
        <v>32</v>
      </c>
    </row>
    <row r="5388" spans="1:7" x14ac:dyDescent="0.2">
      <c r="A5388" s="538">
        <v>11</v>
      </c>
      <c r="B5388" s="538" t="s">
        <v>6584</v>
      </c>
      <c r="C5388" s="538" t="s">
        <v>740</v>
      </c>
      <c r="D5388" s="538" t="s">
        <v>393</v>
      </c>
      <c r="E5388" s="538" t="s">
        <v>206</v>
      </c>
      <c r="F5388" s="538">
        <v>11328</v>
      </c>
      <c r="G5388" s="538">
        <v>1</v>
      </c>
    </row>
    <row r="5389" spans="1:7" x14ac:dyDescent="0.2">
      <c r="A5389" s="538">
        <v>6</v>
      </c>
      <c r="B5389" s="538" t="s">
        <v>6429</v>
      </c>
      <c r="C5389" s="538" t="s">
        <v>393</v>
      </c>
      <c r="D5389" s="538" t="s">
        <v>393</v>
      </c>
      <c r="E5389" s="538" t="s">
        <v>212</v>
      </c>
      <c r="F5389" s="538">
        <v>328335</v>
      </c>
      <c r="G5389" s="538">
        <v>20</v>
      </c>
    </row>
    <row r="5390" spans="1:7" x14ac:dyDescent="0.2">
      <c r="A5390" s="538">
        <v>7</v>
      </c>
      <c r="B5390" s="538" t="s">
        <v>6580</v>
      </c>
      <c r="C5390" s="538" t="s">
        <v>740</v>
      </c>
      <c r="D5390" s="538" t="s">
        <v>393</v>
      </c>
      <c r="E5390" s="538" t="s">
        <v>390</v>
      </c>
      <c r="F5390" s="538">
        <v>50268</v>
      </c>
      <c r="G5390" s="538">
        <v>1</v>
      </c>
    </row>
    <row r="5391" spans="1:7" x14ac:dyDescent="0.2">
      <c r="A5391" s="538">
        <v>8</v>
      </c>
      <c r="B5391" s="538" t="s">
        <v>6560</v>
      </c>
      <c r="C5391" s="538" t="s">
        <v>740</v>
      </c>
      <c r="D5391" s="538" t="s">
        <v>393</v>
      </c>
      <c r="E5391" s="538" t="s">
        <v>209</v>
      </c>
      <c r="F5391" s="538">
        <v>31434984</v>
      </c>
      <c r="G5391" s="538">
        <v>193</v>
      </c>
    </row>
    <row r="5392" spans="1:7" x14ac:dyDescent="0.2">
      <c r="A5392" s="538">
        <v>11</v>
      </c>
      <c r="B5392" s="538" t="s">
        <v>6660</v>
      </c>
      <c r="C5392" s="538" t="s">
        <v>393</v>
      </c>
      <c r="D5392" s="538" t="s">
        <v>393</v>
      </c>
      <c r="E5392" s="538" t="s">
        <v>409</v>
      </c>
      <c r="F5392" s="538">
        <v>1361380</v>
      </c>
      <c r="G5392" s="538">
        <v>20</v>
      </c>
    </row>
    <row r="5393" spans="1:7" x14ac:dyDescent="0.2">
      <c r="A5393" s="538">
        <v>3</v>
      </c>
      <c r="B5393" s="538" t="s">
        <v>6586</v>
      </c>
      <c r="C5393" s="538" t="s">
        <v>740</v>
      </c>
      <c r="D5393" s="538" t="s">
        <v>740</v>
      </c>
      <c r="E5393" s="538" t="s">
        <v>449</v>
      </c>
      <c r="F5393" s="538">
        <v>396480</v>
      </c>
      <c r="G5393" s="538">
        <v>35</v>
      </c>
    </row>
    <row r="5394" spans="1:7" x14ac:dyDescent="0.2">
      <c r="A5394" s="538">
        <v>8</v>
      </c>
      <c r="B5394" s="538" t="s">
        <v>6658</v>
      </c>
      <c r="C5394" s="538" t="s">
        <v>740</v>
      </c>
      <c r="D5394" s="538" t="s">
        <v>393</v>
      </c>
      <c r="E5394" s="538" t="s">
        <v>402</v>
      </c>
      <c r="F5394" s="538">
        <v>2311214</v>
      </c>
      <c r="G5394" s="538">
        <v>88</v>
      </c>
    </row>
    <row r="5395" spans="1:7" x14ac:dyDescent="0.2">
      <c r="A5395" s="538">
        <v>3</v>
      </c>
      <c r="B5395" s="538" t="s">
        <v>6561</v>
      </c>
      <c r="C5395" s="538" t="s">
        <v>740</v>
      </c>
      <c r="D5395" s="538" t="s">
        <v>393</v>
      </c>
      <c r="E5395" s="538" t="s">
        <v>211</v>
      </c>
      <c r="F5395" s="538">
        <v>12618112</v>
      </c>
      <c r="G5395" s="538">
        <v>284</v>
      </c>
    </row>
    <row r="5396" spans="1:7" x14ac:dyDescent="0.2">
      <c r="A5396" s="538">
        <v>4</v>
      </c>
      <c r="B5396" s="538" t="s">
        <v>6593</v>
      </c>
      <c r="C5396" s="538" t="s">
        <v>740</v>
      </c>
      <c r="D5396" s="538" t="s">
        <v>393</v>
      </c>
      <c r="E5396" s="538" t="s">
        <v>860</v>
      </c>
      <c r="F5396" s="538">
        <v>11604568</v>
      </c>
      <c r="G5396" s="538">
        <v>466</v>
      </c>
    </row>
    <row r="5397" spans="1:7" x14ac:dyDescent="0.2">
      <c r="A5397" s="538">
        <v>12</v>
      </c>
      <c r="B5397" s="538" t="s">
        <v>6616</v>
      </c>
      <c r="C5397" s="538" t="s">
        <v>740</v>
      </c>
      <c r="D5397" s="538" t="s">
        <v>393</v>
      </c>
      <c r="E5397" s="538" t="s">
        <v>402</v>
      </c>
      <c r="F5397" s="538">
        <v>1158465</v>
      </c>
      <c r="G5397" s="538">
        <v>60</v>
      </c>
    </row>
    <row r="5398" spans="1:7" x14ac:dyDescent="0.2">
      <c r="A5398" s="538">
        <v>7</v>
      </c>
      <c r="B5398" s="538" t="s">
        <v>6594</v>
      </c>
      <c r="C5398" s="538" t="s">
        <v>393</v>
      </c>
      <c r="D5398" s="538" t="s">
        <v>740</v>
      </c>
      <c r="E5398" s="538" t="s">
        <v>402</v>
      </c>
      <c r="F5398" s="538">
        <v>2291796</v>
      </c>
      <c r="G5398" s="538">
        <v>122</v>
      </c>
    </row>
    <row r="5399" spans="1:7" x14ac:dyDescent="0.2">
      <c r="A5399" s="538">
        <v>7</v>
      </c>
      <c r="B5399" s="538" t="s">
        <v>6594</v>
      </c>
      <c r="C5399" s="538" t="s">
        <v>740</v>
      </c>
      <c r="D5399" s="538" t="s">
        <v>740</v>
      </c>
      <c r="E5399" s="538" t="s">
        <v>202</v>
      </c>
      <c r="F5399" s="538">
        <v>1112341</v>
      </c>
      <c r="G5399" s="538">
        <v>7</v>
      </c>
    </row>
    <row r="5400" spans="1:7" x14ac:dyDescent="0.2">
      <c r="A5400" s="538">
        <v>8</v>
      </c>
      <c r="B5400" s="538" t="s">
        <v>6583</v>
      </c>
      <c r="C5400" s="538" t="s">
        <v>740</v>
      </c>
      <c r="D5400" s="538" t="s">
        <v>393</v>
      </c>
      <c r="E5400" s="538" t="s">
        <v>390</v>
      </c>
      <c r="F5400" s="538">
        <v>119717679</v>
      </c>
      <c r="G5400" s="538">
        <v>4973</v>
      </c>
    </row>
    <row r="5401" spans="1:7" x14ac:dyDescent="0.2">
      <c r="A5401" s="538">
        <v>8</v>
      </c>
      <c r="B5401" s="538" t="s">
        <v>6567</v>
      </c>
      <c r="C5401" s="538" t="s">
        <v>393</v>
      </c>
      <c r="D5401" s="538" t="s">
        <v>740</v>
      </c>
      <c r="E5401" s="538" t="s">
        <v>211</v>
      </c>
      <c r="F5401" s="538">
        <v>233817</v>
      </c>
      <c r="G5401" s="538">
        <v>4</v>
      </c>
    </row>
    <row r="5402" spans="1:7" x14ac:dyDescent="0.2">
      <c r="A5402" s="538">
        <v>3</v>
      </c>
      <c r="B5402" s="538" t="s">
        <v>6605</v>
      </c>
      <c r="C5402" s="538" t="s">
        <v>393</v>
      </c>
      <c r="D5402" s="538" t="s">
        <v>740</v>
      </c>
      <c r="E5402" s="538" t="s">
        <v>409</v>
      </c>
      <c r="F5402" s="538">
        <v>402498</v>
      </c>
      <c r="G5402" s="538">
        <v>21</v>
      </c>
    </row>
    <row r="5403" spans="1:7" x14ac:dyDescent="0.2">
      <c r="A5403" s="538">
        <v>6</v>
      </c>
      <c r="B5403" s="538" t="s">
        <v>6433</v>
      </c>
      <c r="C5403" s="538" t="s">
        <v>740</v>
      </c>
      <c r="D5403" s="538" t="s">
        <v>393</v>
      </c>
      <c r="E5403" s="538" t="s">
        <v>209</v>
      </c>
      <c r="F5403" s="538">
        <v>769190</v>
      </c>
      <c r="G5403" s="538">
        <v>5</v>
      </c>
    </row>
    <row r="5404" spans="1:7" x14ac:dyDescent="0.2">
      <c r="A5404" s="538">
        <v>11</v>
      </c>
      <c r="B5404" s="538" t="s">
        <v>6584</v>
      </c>
      <c r="C5404" s="538" t="s">
        <v>740</v>
      </c>
      <c r="D5404" s="538" t="s">
        <v>393</v>
      </c>
      <c r="E5404" s="538" t="s">
        <v>449</v>
      </c>
      <c r="F5404" s="538">
        <v>11328</v>
      </c>
      <c r="G5404" s="538">
        <v>1</v>
      </c>
    </row>
    <row r="5405" spans="1:7" x14ac:dyDescent="0.2">
      <c r="A5405" s="538">
        <v>7</v>
      </c>
      <c r="B5405" s="538" t="s">
        <v>6594</v>
      </c>
      <c r="C5405" s="538" t="s">
        <v>740</v>
      </c>
      <c r="D5405" s="538" t="s">
        <v>393</v>
      </c>
      <c r="E5405" s="538" t="s">
        <v>211</v>
      </c>
      <c r="F5405" s="538">
        <v>72924</v>
      </c>
      <c r="G5405" s="538">
        <v>3</v>
      </c>
    </row>
    <row r="5406" spans="1:7" x14ac:dyDescent="0.2">
      <c r="A5406" s="538">
        <v>4</v>
      </c>
      <c r="B5406" s="538" t="s">
        <v>6559</v>
      </c>
      <c r="C5406" s="538" t="s">
        <v>740</v>
      </c>
      <c r="D5406" s="538" t="s">
        <v>740</v>
      </c>
      <c r="E5406" s="538" t="s">
        <v>230</v>
      </c>
      <c r="F5406" s="538">
        <v>22656</v>
      </c>
      <c r="G5406" s="538">
        <v>2</v>
      </c>
    </row>
    <row r="5407" spans="1:7" x14ac:dyDescent="0.2">
      <c r="A5407" s="538">
        <v>4</v>
      </c>
      <c r="B5407" s="538" t="s">
        <v>6574</v>
      </c>
      <c r="C5407" s="538" t="s">
        <v>740</v>
      </c>
      <c r="D5407" s="538" t="s">
        <v>393</v>
      </c>
      <c r="E5407" s="538" t="s">
        <v>409</v>
      </c>
      <c r="F5407" s="538">
        <v>545868</v>
      </c>
      <c r="G5407" s="538">
        <v>26</v>
      </c>
    </row>
    <row r="5408" spans="1:7" x14ac:dyDescent="0.2">
      <c r="A5408" s="538">
        <v>5</v>
      </c>
      <c r="B5408" s="538" t="s">
        <v>6650</v>
      </c>
      <c r="C5408" s="538" t="s">
        <v>740</v>
      </c>
      <c r="D5408" s="538" t="s">
        <v>740</v>
      </c>
      <c r="E5408" s="538" t="s">
        <v>230</v>
      </c>
      <c r="F5408" s="538">
        <v>45312</v>
      </c>
      <c r="G5408" s="538">
        <v>4</v>
      </c>
    </row>
    <row r="5409" spans="1:7" x14ac:dyDescent="0.2">
      <c r="A5409" s="538">
        <v>2</v>
      </c>
      <c r="B5409" s="538" t="s">
        <v>6576</v>
      </c>
      <c r="C5409" s="538" t="s">
        <v>740</v>
      </c>
      <c r="D5409" s="538" t="s">
        <v>393</v>
      </c>
      <c r="E5409" s="538" t="s">
        <v>211</v>
      </c>
      <c r="F5409" s="538">
        <v>1416656</v>
      </c>
      <c r="G5409" s="538">
        <v>22</v>
      </c>
    </row>
    <row r="5410" spans="1:7" x14ac:dyDescent="0.2">
      <c r="A5410" s="538">
        <v>4</v>
      </c>
      <c r="B5410" s="538" t="s">
        <v>6562</v>
      </c>
      <c r="C5410" s="538" t="s">
        <v>740</v>
      </c>
      <c r="D5410" s="538" t="s">
        <v>393</v>
      </c>
      <c r="E5410" s="538" t="s">
        <v>207</v>
      </c>
      <c r="F5410" s="538">
        <v>67968</v>
      </c>
      <c r="G5410" s="538">
        <v>6</v>
      </c>
    </row>
    <row r="5411" spans="1:7" x14ac:dyDescent="0.2">
      <c r="A5411" s="538">
        <v>6</v>
      </c>
      <c r="B5411" s="538" t="s">
        <v>1668</v>
      </c>
      <c r="C5411" s="538" t="s">
        <v>393</v>
      </c>
      <c r="D5411" s="538" t="s">
        <v>740</v>
      </c>
      <c r="E5411" s="538" t="s">
        <v>210</v>
      </c>
      <c r="F5411" s="538">
        <v>530417</v>
      </c>
      <c r="G5411" s="538">
        <v>4</v>
      </c>
    </row>
    <row r="5412" spans="1:7" x14ac:dyDescent="0.2">
      <c r="A5412" s="538">
        <v>2</v>
      </c>
      <c r="B5412" s="538" t="s">
        <v>6608</v>
      </c>
      <c r="C5412" s="538" t="s">
        <v>740</v>
      </c>
      <c r="D5412" s="538" t="s">
        <v>393</v>
      </c>
      <c r="E5412" s="538" t="s">
        <v>212</v>
      </c>
      <c r="F5412" s="538">
        <v>1517775</v>
      </c>
      <c r="G5412" s="538">
        <v>125</v>
      </c>
    </row>
    <row r="5413" spans="1:7" x14ac:dyDescent="0.2">
      <c r="A5413" s="538">
        <v>11</v>
      </c>
      <c r="B5413" s="538" t="s">
        <v>6584</v>
      </c>
      <c r="C5413" s="538" t="s">
        <v>740</v>
      </c>
      <c r="D5413" s="538" t="s">
        <v>393</v>
      </c>
      <c r="E5413" s="538" t="s">
        <v>390</v>
      </c>
      <c r="F5413" s="538">
        <v>9297144</v>
      </c>
      <c r="G5413" s="538">
        <v>248</v>
      </c>
    </row>
    <row r="5414" spans="1:7" x14ac:dyDescent="0.2">
      <c r="A5414" s="538">
        <v>12</v>
      </c>
      <c r="B5414" s="538" t="s">
        <v>6569</v>
      </c>
      <c r="C5414" s="538" t="s">
        <v>740</v>
      </c>
      <c r="D5414" s="538" t="s">
        <v>393</v>
      </c>
      <c r="E5414" s="538" t="s">
        <v>402</v>
      </c>
      <c r="F5414" s="538">
        <v>1277711</v>
      </c>
      <c r="G5414" s="538">
        <v>52</v>
      </c>
    </row>
    <row r="5415" spans="1:7" x14ac:dyDescent="0.2">
      <c r="A5415" s="538">
        <v>2</v>
      </c>
      <c r="B5415" s="538" t="s">
        <v>6585</v>
      </c>
      <c r="C5415" s="538" t="s">
        <v>740</v>
      </c>
      <c r="D5415" s="538" t="s">
        <v>393</v>
      </c>
      <c r="E5415" s="538" t="s">
        <v>210</v>
      </c>
      <c r="F5415" s="538">
        <v>2203067</v>
      </c>
      <c r="G5415" s="538">
        <v>79</v>
      </c>
    </row>
    <row r="5416" spans="1:7" x14ac:dyDescent="0.2">
      <c r="A5416" s="538">
        <v>10</v>
      </c>
      <c r="B5416" s="538" t="s">
        <v>6582</v>
      </c>
      <c r="C5416" s="538" t="s">
        <v>393</v>
      </c>
      <c r="D5416" s="538" t="s">
        <v>393</v>
      </c>
      <c r="E5416" s="538" t="s">
        <v>209</v>
      </c>
      <c r="F5416" s="538">
        <v>2184326</v>
      </c>
      <c r="G5416" s="538">
        <v>7</v>
      </c>
    </row>
    <row r="5417" spans="1:7" x14ac:dyDescent="0.2">
      <c r="A5417" s="538">
        <v>2</v>
      </c>
      <c r="B5417" s="538" t="s">
        <v>6656</v>
      </c>
      <c r="C5417" s="538" t="s">
        <v>740</v>
      </c>
      <c r="D5417" s="538" t="s">
        <v>740</v>
      </c>
      <c r="E5417" s="538" t="s">
        <v>402</v>
      </c>
      <c r="F5417" s="538">
        <v>33984</v>
      </c>
      <c r="G5417" s="538">
        <v>3</v>
      </c>
    </row>
    <row r="5418" spans="1:7" x14ac:dyDescent="0.2">
      <c r="A5418" s="538">
        <v>1</v>
      </c>
      <c r="B5418" s="538" t="s">
        <v>6595</v>
      </c>
      <c r="C5418" s="538" t="s">
        <v>393</v>
      </c>
      <c r="D5418" s="538" t="s">
        <v>740</v>
      </c>
      <c r="E5418" s="538" t="s">
        <v>402</v>
      </c>
      <c r="F5418" s="538">
        <v>368514</v>
      </c>
      <c r="G5418" s="538">
        <v>18</v>
      </c>
    </row>
    <row r="5419" spans="1:7" x14ac:dyDescent="0.2">
      <c r="A5419" s="538">
        <v>7</v>
      </c>
      <c r="B5419" s="538" t="s">
        <v>6588</v>
      </c>
      <c r="C5419" s="538" t="s">
        <v>740</v>
      </c>
      <c r="D5419" s="538" t="s">
        <v>393</v>
      </c>
      <c r="E5419" s="538" t="s">
        <v>416</v>
      </c>
      <c r="F5419" s="538">
        <v>4492104</v>
      </c>
      <c r="G5419" s="538">
        <v>118</v>
      </c>
    </row>
    <row r="5420" spans="1:7" x14ac:dyDescent="0.2">
      <c r="A5420" s="538">
        <v>8</v>
      </c>
      <c r="B5420" s="538" t="s">
        <v>6560</v>
      </c>
      <c r="C5420" s="538" t="s">
        <v>740</v>
      </c>
      <c r="D5420" s="538" t="s">
        <v>393</v>
      </c>
      <c r="E5420" s="538" t="s">
        <v>313</v>
      </c>
      <c r="F5420" s="538">
        <v>12504676</v>
      </c>
      <c r="G5420" s="538">
        <v>107</v>
      </c>
    </row>
    <row r="5421" spans="1:7" x14ac:dyDescent="0.2">
      <c r="A5421" s="538">
        <v>2</v>
      </c>
      <c r="B5421" s="538" t="s">
        <v>6585</v>
      </c>
      <c r="C5421" s="538" t="s">
        <v>740</v>
      </c>
      <c r="D5421" s="538" t="s">
        <v>393</v>
      </c>
      <c r="E5421" s="538" t="s">
        <v>402</v>
      </c>
      <c r="F5421" s="538">
        <v>22656</v>
      </c>
      <c r="G5421" s="538">
        <v>2</v>
      </c>
    </row>
    <row r="5422" spans="1:7" x14ac:dyDescent="0.2">
      <c r="A5422" s="538">
        <v>2</v>
      </c>
      <c r="B5422" s="538" t="s">
        <v>6654</v>
      </c>
      <c r="C5422" s="538" t="s">
        <v>740</v>
      </c>
      <c r="D5422" s="538" t="s">
        <v>740</v>
      </c>
      <c r="E5422" s="538" t="s">
        <v>402</v>
      </c>
      <c r="F5422" s="538">
        <v>808484</v>
      </c>
      <c r="G5422" s="538">
        <v>23</v>
      </c>
    </row>
    <row r="5423" spans="1:7" x14ac:dyDescent="0.2">
      <c r="A5423" s="538">
        <v>6</v>
      </c>
      <c r="B5423" s="538" t="s">
        <v>6429</v>
      </c>
      <c r="C5423" s="538" t="s">
        <v>740</v>
      </c>
      <c r="D5423" s="538" t="s">
        <v>740</v>
      </c>
      <c r="E5423" s="538" t="s">
        <v>416</v>
      </c>
      <c r="F5423" s="538">
        <v>944066</v>
      </c>
      <c r="G5423" s="538">
        <v>17</v>
      </c>
    </row>
    <row r="5424" spans="1:7" x14ac:dyDescent="0.2">
      <c r="A5424" s="538">
        <v>9</v>
      </c>
      <c r="B5424" s="538" t="s">
        <v>6613</v>
      </c>
      <c r="C5424" s="538" t="s">
        <v>393</v>
      </c>
      <c r="D5424" s="538" t="s">
        <v>393</v>
      </c>
      <c r="E5424" s="538" t="s">
        <v>409</v>
      </c>
      <c r="F5424" s="538">
        <v>1574540</v>
      </c>
      <c r="G5424" s="538">
        <v>65</v>
      </c>
    </row>
    <row r="5425" spans="1:7" x14ac:dyDescent="0.2">
      <c r="A5425" s="538">
        <v>6</v>
      </c>
      <c r="B5425" s="538" t="s">
        <v>6575</v>
      </c>
      <c r="C5425" s="538" t="s">
        <v>393</v>
      </c>
      <c r="D5425" s="538" t="s">
        <v>740</v>
      </c>
      <c r="E5425" s="538" t="s">
        <v>409</v>
      </c>
      <c r="F5425" s="538">
        <v>260544</v>
      </c>
      <c r="G5425" s="538">
        <v>23</v>
      </c>
    </row>
    <row r="5426" spans="1:7" x14ac:dyDescent="0.2">
      <c r="A5426" s="538">
        <v>8</v>
      </c>
      <c r="B5426" s="538" t="s">
        <v>6648</v>
      </c>
      <c r="C5426" s="538" t="s">
        <v>740</v>
      </c>
      <c r="D5426" s="538" t="s">
        <v>393</v>
      </c>
      <c r="E5426" s="538" t="s">
        <v>860</v>
      </c>
      <c r="F5426" s="538">
        <v>22656</v>
      </c>
      <c r="G5426" s="538">
        <v>2</v>
      </c>
    </row>
    <row r="5427" spans="1:7" x14ac:dyDescent="0.2">
      <c r="A5427" s="538">
        <v>9</v>
      </c>
      <c r="B5427" s="538" t="s">
        <v>6615</v>
      </c>
      <c r="C5427" s="538" t="s">
        <v>740</v>
      </c>
      <c r="D5427" s="538" t="s">
        <v>393</v>
      </c>
      <c r="E5427" s="538" t="s">
        <v>438</v>
      </c>
      <c r="F5427" s="538">
        <v>11328</v>
      </c>
      <c r="G5427" s="538">
        <v>1</v>
      </c>
    </row>
    <row r="5428" spans="1:7" x14ac:dyDescent="0.2">
      <c r="A5428" s="538">
        <v>7</v>
      </c>
      <c r="B5428" s="538" t="s">
        <v>6655</v>
      </c>
      <c r="C5428" s="538" t="s">
        <v>393</v>
      </c>
      <c r="D5428" s="538" t="s">
        <v>393</v>
      </c>
      <c r="E5428" s="538" t="s">
        <v>401</v>
      </c>
      <c r="F5428" s="538">
        <v>1077118</v>
      </c>
      <c r="G5428" s="538">
        <v>6</v>
      </c>
    </row>
    <row r="5429" spans="1:7" x14ac:dyDescent="0.2">
      <c r="A5429" s="538">
        <v>8</v>
      </c>
      <c r="B5429" s="538" t="s">
        <v>6570</v>
      </c>
      <c r="C5429" s="538" t="s">
        <v>740</v>
      </c>
      <c r="D5429" s="538" t="s">
        <v>393</v>
      </c>
      <c r="E5429" s="538" t="s">
        <v>401</v>
      </c>
      <c r="F5429" s="538">
        <v>50268</v>
      </c>
      <c r="G5429" s="538">
        <v>1</v>
      </c>
    </row>
    <row r="5430" spans="1:7" x14ac:dyDescent="0.2">
      <c r="A5430" s="538">
        <v>7</v>
      </c>
      <c r="B5430" s="538" t="s">
        <v>6594</v>
      </c>
      <c r="C5430" s="538" t="s">
        <v>393</v>
      </c>
      <c r="D5430" s="538" t="s">
        <v>393</v>
      </c>
      <c r="E5430" s="538" t="s">
        <v>409</v>
      </c>
      <c r="F5430" s="538">
        <v>500556</v>
      </c>
      <c r="G5430" s="538">
        <v>22</v>
      </c>
    </row>
    <row r="5431" spans="1:7" x14ac:dyDescent="0.2">
      <c r="A5431" s="538">
        <v>5</v>
      </c>
      <c r="B5431" s="538" t="s">
        <v>6589</v>
      </c>
      <c r="C5431" s="538" t="s">
        <v>740</v>
      </c>
      <c r="D5431" s="538" t="s">
        <v>393</v>
      </c>
      <c r="E5431" s="538" t="s">
        <v>401</v>
      </c>
      <c r="F5431" s="538">
        <v>79296</v>
      </c>
      <c r="G5431" s="538">
        <v>7</v>
      </c>
    </row>
    <row r="5432" spans="1:7" x14ac:dyDescent="0.2">
      <c r="A5432" s="538">
        <v>2</v>
      </c>
      <c r="B5432" s="538" t="s">
        <v>6662</v>
      </c>
      <c r="C5432" s="538" t="s">
        <v>393</v>
      </c>
      <c r="D5432" s="538" t="s">
        <v>393</v>
      </c>
      <c r="E5432" s="538" t="s">
        <v>402</v>
      </c>
      <c r="F5432" s="538">
        <v>6417708</v>
      </c>
      <c r="G5432" s="538">
        <v>126</v>
      </c>
    </row>
    <row r="5433" spans="1:7" x14ac:dyDescent="0.2">
      <c r="A5433" s="538">
        <v>7</v>
      </c>
      <c r="B5433" s="538" t="s">
        <v>6579</v>
      </c>
      <c r="C5433" s="538" t="s">
        <v>740</v>
      </c>
      <c r="D5433" s="538" t="s">
        <v>393</v>
      </c>
      <c r="E5433" s="538" t="s">
        <v>209</v>
      </c>
      <c r="F5433" s="538">
        <v>30850093</v>
      </c>
      <c r="G5433" s="538">
        <v>146</v>
      </c>
    </row>
    <row r="5434" spans="1:7" x14ac:dyDescent="0.2">
      <c r="A5434" s="538">
        <v>6</v>
      </c>
      <c r="B5434" s="538" t="s">
        <v>6433</v>
      </c>
      <c r="C5434" s="538" t="s">
        <v>740</v>
      </c>
      <c r="D5434" s="538" t="s">
        <v>393</v>
      </c>
      <c r="E5434" s="538" t="s">
        <v>207</v>
      </c>
      <c r="F5434" s="538">
        <v>11328</v>
      </c>
      <c r="G5434" s="538">
        <v>1</v>
      </c>
    </row>
    <row r="5435" spans="1:7" x14ac:dyDescent="0.2">
      <c r="A5435" s="538">
        <v>1</v>
      </c>
      <c r="B5435" s="538" t="s">
        <v>6609</v>
      </c>
      <c r="C5435" s="538" t="s">
        <v>740</v>
      </c>
      <c r="D5435" s="538" t="s">
        <v>740</v>
      </c>
      <c r="E5435" s="538" t="s">
        <v>449</v>
      </c>
      <c r="F5435" s="538">
        <v>67968</v>
      </c>
      <c r="G5435" s="538">
        <v>6</v>
      </c>
    </row>
    <row r="5436" spans="1:7" x14ac:dyDescent="0.2">
      <c r="A5436" s="538">
        <v>2</v>
      </c>
      <c r="B5436" s="538" t="s">
        <v>6656</v>
      </c>
      <c r="C5436" s="538" t="s">
        <v>740</v>
      </c>
      <c r="D5436" s="538" t="s">
        <v>393</v>
      </c>
      <c r="E5436" s="538" t="s">
        <v>409</v>
      </c>
      <c r="F5436" s="538">
        <v>108147</v>
      </c>
      <c r="G5436" s="538">
        <v>4</v>
      </c>
    </row>
    <row r="5437" spans="1:7" x14ac:dyDescent="0.2">
      <c r="A5437" s="538">
        <v>1</v>
      </c>
      <c r="B5437" s="538" t="s">
        <v>6595</v>
      </c>
      <c r="C5437" s="538" t="s">
        <v>740</v>
      </c>
      <c r="D5437" s="538" t="s">
        <v>393</v>
      </c>
      <c r="E5437" s="538" t="s">
        <v>401</v>
      </c>
      <c r="F5437" s="538">
        <v>56640</v>
      </c>
      <c r="G5437" s="538">
        <v>5</v>
      </c>
    </row>
    <row r="5438" spans="1:7" x14ac:dyDescent="0.2">
      <c r="A5438" s="538">
        <v>11</v>
      </c>
      <c r="B5438" s="538" t="s">
        <v>6584</v>
      </c>
      <c r="C5438" s="538" t="s">
        <v>740</v>
      </c>
      <c r="D5438" s="538" t="s">
        <v>393</v>
      </c>
      <c r="E5438" s="538" t="s">
        <v>210</v>
      </c>
      <c r="F5438" s="538">
        <v>22656</v>
      </c>
      <c r="G5438" s="538">
        <v>2</v>
      </c>
    </row>
    <row r="5439" spans="1:7" x14ac:dyDescent="0.2">
      <c r="A5439" s="538">
        <v>10</v>
      </c>
      <c r="B5439" s="538" t="s">
        <v>6653</v>
      </c>
      <c r="C5439" s="538" t="s">
        <v>393</v>
      </c>
      <c r="D5439" s="538" t="s">
        <v>393</v>
      </c>
      <c r="E5439" s="538" t="s">
        <v>210</v>
      </c>
      <c r="F5439" s="538">
        <v>1541212</v>
      </c>
      <c r="G5439" s="538">
        <v>29</v>
      </c>
    </row>
    <row r="5440" spans="1:7" x14ac:dyDescent="0.2">
      <c r="A5440" s="538">
        <v>8</v>
      </c>
      <c r="B5440" s="538" t="s">
        <v>6570</v>
      </c>
      <c r="C5440" s="538" t="s">
        <v>740</v>
      </c>
      <c r="D5440" s="538" t="s">
        <v>393</v>
      </c>
      <c r="E5440" s="538" t="s">
        <v>409</v>
      </c>
      <c r="F5440" s="538">
        <v>267801</v>
      </c>
      <c r="G5440" s="538">
        <v>7</v>
      </c>
    </row>
    <row r="5441" spans="1:7" x14ac:dyDescent="0.2">
      <c r="A5441" s="538">
        <v>8</v>
      </c>
      <c r="B5441" s="538" t="s">
        <v>6577</v>
      </c>
      <c r="C5441" s="538" t="s">
        <v>393</v>
      </c>
      <c r="D5441" s="538" t="s">
        <v>393</v>
      </c>
      <c r="E5441" s="538" t="s">
        <v>207</v>
      </c>
      <c r="F5441" s="538">
        <v>2157401</v>
      </c>
      <c r="G5441" s="538">
        <v>122</v>
      </c>
    </row>
    <row r="5442" spans="1:7" x14ac:dyDescent="0.2">
      <c r="A5442" s="538">
        <v>6</v>
      </c>
      <c r="B5442" s="538" t="s">
        <v>6575</v>
      </c>
      <c r="C5442" s="538" t="s">
        <v>740</v>
      </c>
      <c r="D5442" s="538" t="s">
        <v>740</v>
      </c>
      <c r="E5442" s="538" t="s">
        <v>210</v>
      </c>
      <c r="F5442" s="538">
        <v>1039646</v>
      </c>
      <c r="G5442" s="538">
        <v>22</v>
      </c>
    </row>
    <row r="5443" spans="1:7" x14ac:dyDescent="0.2">
      <c r="A5443" s="538">
        <v>9</v>
      </c>
      <c r="B5443" s="538" t="s">
        <v>6606</v>
      </c>
      <c r="C5443" s="538" t="s">
        <v>393</v>
      </c>
      <c r="D5443" s="538" t="s">
        <v>393</v>
      </c>
      <c r="E5443" s="538" t="s">
        <v>313</v>
      </c>
      <c r="F5443" s="538">
        <v>74163</v>
      </c>
      <c r="G5443" s="538">
        <v>1</v>
      </c>
    </row>
    <row r="5444" spans="1:7" x14ac:dyDescent="0.2">
      <c r="A5444" s="538">
        <v>2</v>
      </c>
      <c r="B5444" s="538" t="s">
        <v>6055</v>
      </c>
      <c r="C5444" s="538" t="s">
        <v>740</v>
      </c>
      <c r="D5444" s="538" t="s">
        <v>393</v>
      </c>
      <c r="E5444" s="538" t="s">
        <v>212</v>
      </c>
      <c r="F5444" s="538">
        <v>32707778</v>
      </c>
      <c r="G5444" s="538">
        <v>2386</v>
      </c>
    </row>
    <row r="5445" spans="1:7" x14ac:dyDescent="0.2">
      <c r="A5445" s="538">
        <v>8</v>
      </c>
      <c r="B5445" s="538" t="s">
        <v>6570</v>
      </c>
      <c r="C5445" s="538" t="s">
        <v>740</v>
      </c>
      <c r="D5445" s="538" t="s">
        <v>393</v>
      </c>
      <c r="E5445" s="538" t="s">
        <v>202</v>
      </c>
      <c r="F5445" s="538">
        <v>465156</v>
      </c>
      <c r="G5445" s="538">
        <v>12</v>
      </c>
    </row>
    <row r="5446" spans="1:7" x14ac:dyDescent="0.2">
      <c r="A5446" s="538">
        <v>2</v>
      </c>
      <c r="B5446" s="538" t="s">
        <v>6585</v>
      </c>
      <c r="C5446" s="538" t="s">
        <v>740</v>
      </c>
      <c r="D5446" s="538" t="s">
        <v>740</v>
      </c>
      <c r="E5446" s="538" t="s">
        <v>202</v>
      </c>
      <c r="F5446" s="538">
        <v>546701</v>
      </c>
      <c r="G5446" s="538">
        <v>2</v>
      </c>
    </row>
    <row r="5447" spans="1:7" x14ac:dyDescent="0.2">
      <c r="A5447" s="538">
        <v>3</v>
      </c>
      <c r="B5447" s="538" t="s">
        <v>6578</v>
      </c>
      <c r="C5447" s="538" t="s">
        <v>740</v>
      </c>
      <c r="D5447" s="538" t="s">
        <v>393</v>
      </c>
      <c r="E5447" s="538" t="s">
        <v>409</v>
      </c>
      <c r="F5447" s="538">
        <v>33984</v>
      </c>
      <c r="G5447" s="538">
        <v>3</v>
      </c>
    </row>
    <row r="5448" spans="1:7" x14ac:dyDescent="0.2">
      <c r="A5448" s="538">
        <v>7</v>
      </c>
      <c r="B5448" s="538" t="s">
        <v>6594</v>
      </c>
      <c r="C5448" s="538" t="s">
        <v>740</v>
      </c>
      <c r="D5448" s="538" t="s">
        <v>393</v>
      </c>
      <c r="E5448" s="538" t="s">
        <v>390</v>
      </c>
      <c r="F5448" s="538">
        <v>11568408</v>
      </c>
      <c r="G5448" s="538">
        <v>426</v>
      </c>
    </row>
    <row r="5449" spans="1:7" x14ac:dyDescent="0.2">
      <c r="A5449" s="538">
        <v>6</v>
      </c>
      <c r="B5449" s="538" t="s">
        <v>6575</v>
      </c>
      <c r="C5449" s="538" t="s">
        <v>740</v>
      </c>
      <c r="D5449" s="538" t="s">
        <v>393</v>
      </c>
      <c r="E5449" s="538" t="s">
        <v>402</v>
      </c>
      <c r="F5449" s="538">
        <v>300723</v>
      </c>
      <c r="G5449" s="538">
        <v>21</v>
      </c>
    </row>
    <row r="5450" spans="1:7" x14ac:dyDescent="0.2">
      <c r="A5450" s="538">
        <v>6</v>
      </c>
      <c r="B5450" s="538" t="s">
        <v>6596</v>
      </c>
      <c r="C5450" s="538" t="s">
        <v>740</v>
      </c>
      <c r="D5450" s="538" t="s">
        <v>393</v>
      </c>
      <c r="E5450" s="538" t="s">
        <v>209</v>
      </c>
      <c r="F5450" s="538">
        <v>323025</v>
      </c>
      <c r="G5450" s="538">
        <v>5</v>
      </c>
    </row>
    <row r="5451" spans="1:7" x14ac:dyDescent="0.2">
      <c r="A5451" s="538">
        <v>2</v>
      </c>
      <c r="B5451" s="538" t="s">
        <v>6656</v>
      </c>
      <c r="C5451" s="538" t="s">
        <v>393</v>
      </c>
      <c r="D5451" s="538" t="s">
        <v>393</v>
      </c>
      <c r="E5451" s="538" t="s">
        <v>416</v>
      </c>
      <c r="F5451" s="538">
        <v>34023879</v>
      </c>
      <c r="G5451" s="538">
        <v>683</v>
      </c>
    </row>
    <row r="5452" spans="1:7" x14ac:dyDescent="0.2">
      <c r="A5452" s="538">
        <v>8</v>
      </c>
      <c r="B5452" s="538" t="s">
        <v>6583</v>
      </c>
      <c r="C5452" s="538" t="s">
        <v>740</v>
      </c>
      <c r="D5452" s="538" t="s">
        <v>393</v>
      </c>
      <c r="E5452" s="538" t="s">
        <v>212</v>
      </c>
      <c r="F5452" s="538">
        <v>6790907</v>
      </c>
      <c r="G5452" s="538">
        <v>484</v>
      </c>
    </row>
    <row r="5453" spans="1:7" x14ac:dyDescent="0.2">
      <c r="A5453" s="538">
        <v>2</v>
      </c>
      <c r="B5453" s="538" t="s">
        <v>6585</v>
      </c>
      <c r="C5453" s="538" t="s">
        <v>393</v>
      </c>
      <c r="D5453" s="538" t="s">
        <v>740</v>
      </c>
      <c r="E5453" s="538" t="s">
        <v>402</v>
      </c>
      <c r="F5453" s="538">
        <v>7293181</v>
      </c>
      <c r="G5453" s="538">
        <v>327</v>
      </c>
    </row>
    <row r="5454" spans="1:7" x14ac:dyDescent="0.2">
      <c r="A5454" s="538">
        <v>9</v>
      </c>
      <c r="B5454" s="538" t="s">
        <v>6606</v>
      </c>
      <c r="C5454" s="538" t="s">
        <v>740</v>
      </c>
      <c r="D5454" s="538" t="s">
        <v>393</v>
      </c>
      <c r="E5454" s="538" t="s">
        <v>313</v>
      </c>
      <c r="F5454" s="538">
        <v>991679</v>
      </c>
      <c r="G5454" s="538">
        <v>8</v>
      </c>
    </row>
    <row r="5455" spans="1:7" x14ac:dyDescent="0.2">
      <c r="A5455" s="538">
        <v>7</v>
      </c>
      <c r="B5455" s="538" t="s">
        <v>6580</v>
      </c>
      <c r="C5455" s="538" t="s">
        <v>740</v>
      </c>
      <c r="D5455" s="538" t="s">
        <v>393</v>
      </c>
      <c r="E5455" s="538" t="s">
        <v>313</v>
      </c>
      <c r="F5455" s="538">
        <v>496433</v>
      </c>
      <c r="G5455" s="538">
        <v>1</v>
      </c>
    </row>
    <row r="5456" spans="1:7" x14ac:dyDescent="0.2">
      <c r="A5456" s="538">
        <v>3</v>
      </c>
      <c r="B5456" s="538" t="s">
        <v>6586</v>
      </c>
      <c r="C5456" s="538" t="s">
        <v>740</v>
      </c>
      <c r="D5456" s="538" t="s">
        <v>393</v>
      </c>
      <c r="E5456" s="538" t="s">
        <v>313</v>
      </c>
      <c r="F5456" s="538">
        <v>1401382</v>
      </c>
      <c r="G5456" s="538">
        <v>9</v>
      </c>
    </row>
    <row r="5457" spans="1:7" x14ac:dyDescent="0.2">
      <c r="A5457" s="538">
        <v>2</v>
      </c>
      <c r="B5457" s="538" t="s">
        <v>6576</v>
      </c>
      <c r="C5457" s="538" t="s">
        <v>740</v>
      </c>
      <c r="D5457" s="538" t="s">
        <v>393</v>
      </c>
      <c r="E5457" s="538" t="s">
        <v>209</v>
      </c>
      <c r="F5457" s="538">
        <v>1004194</v>
      </c>
      <c r="G5457" s="538">
        <v>3</v>
      </c>
    </row>
    <row r="5458" spans="1:7" x14ac:dyDescent="0.2">
      <c r="A5458" s="538">
        <v>6</v>
      </c>
      <c r="B5458" s="538" t="s">
        <v>6433</v>
      </c>
      <c r="C5458" s="538" t="s">
        <v>393</v>
      </c>
      <c r="D5458" s="538" t="s">
        <v>740</v>
      </c>
      <c r="E5458" s="538" t="s">
        <v>416</v>
      </c>
      <c r="F5458" s="538">
        <v>16067738</v>
      </c>
      <c r="G5458" s="538">
        <v>421</v>
      </c>
    </row>
    <row r="5459" spans="1:7" x14ac:dyDescent="0.2">
      <c r="A5459" s="538">
        <v>3</v>
      </c>
      <c r="B5459" s="538" t="s">
        <v>6591</v>
      </c>
      <c r="C5459" s="538" t="s">
        <v>740</v>
      </c>
      <c r="D5459" s="538" t="s">
        <v>740</v>
      </c>
      <c r="E5459" s="538" t="s">
        <v>402</v>
      </c>
      <c r="F5459" s="538">
        <v>3147664</v>
      </c>
      <c r="G5459" s="538">
        <v>128</v>
      </c>
    </row>
    <row r="5460" spans="1:7" x14ac:dyDescent="0.2">
      <c r="A5460" s="538">
        <v>8</v>
      </c>
      <c r="B5460" s="538" t="s">
        <v>6570</v>
      </c>
      <c r="C5460" s="538" t="s">
        <v>393</v>
      </c>
      <c r="D5460" s="538" t="s">
        <v>740</v>
      </c>
      <c r="E5460" s="538" t="s">
        <v>401</v>
      </c>
      <c r="F5460" s="538">
        <v>56640</v>
      </c>
      <c r="G5460" s="538">
        <v>5</v>
      </c>
    </row>
    <row r="5461" spans="1:7" x14ac:dyDescent="0.2">
      <c r="A5461" s="538">
        <v>7</v>
      </c>
      <c r="B5461" s="538" t="s">
        <v>6564</v>
      </c>
      <c r="C5461" s="538" t="s">
        <v>740</v>
      </c>
      <c r="D5461" s="538" t="s">
        <v>740</v>
      </c>
      <c r="E5461" s="538" t="s">
        <v>416</v>
      </c>
      <c r="F5461" s="538">
        <v>4447552</v>
      </c>
      <c r="G5461" s="538">
        <v>154</v>
      </c>
    </row>
    <row r="5462" spans="1:7" x14ac:dyDescent="0.2">
      <c r="A5462" s="538">
        <v>2</v>
      </c>
      <c r="B5462" s="538" t="s">
        <v>6585</v>
      </c>
      <c r="C5462" s="538" t="s">
        <v>740</v>
      </c>
      <c r="D5462" s="538" t="s">
        <v>393</v>
      </c>
      <c r="E5462" s="538" t="s">
        <v>210</v>
      </c>
      <c r="F5462" s="538">
        <v>575729</v>
      </c>
      <c r="G5462" s="538">
        <v>8</v>
      </c>
    </row>
    <row r="5463" spans="1:7" x14ac:dyDescent="0.2">
      <c r="A5463" s="538">
        <v>6</v>
      </c>
      <c r="B5463" s="538" t="s">
        <v>6429</v>
      </c>
      <c r="C5463" s="538" t="s">
        <v>740</v>
      </c>
      <c r="D5463" s="538" t="s">
        <v>393</v>
      </c>
      <c r="E5463" s="538" t="s">
        <v>210</v>
      </c>
      <c r="F5463" s="538">
        <v>72924</v>
      </c>
      <c r="G5463" s="538">
        <v>3</v>
      </c>
    </row>
    <row r="5464" spans="1:7" x14ac:dyDescent="0.2">
      <c r="A5464" s="538">
        <v>2</v>
      </c>
      <c r="B5464" s="538" t="s">
        <v>6608</v>
      </c>
      <c r="C5464" s="538" t="s">
        <v>740</v>
      </c>
      <c r="D5464" s="538" t="s">
        <v>393</v>
      </c>
      <c r="E5464" s="538" t="s">
        <v>207</v>
      </c>
      <c r="F5464" s="538">
        <v>3373797</v>
      </c>
      <c r="G5464" s="538">
        <v>264</v>
      </c>
    </row>
    <row r="5465" spans="1:7" x14ac:dyDescent="0.2">
      <c r="A5465" s="538">
        <v>6</v>
      </c>
      <c r="B5465" s="538" t="s">
        <v>6575</v>
      </c>
      <c r="C5465" s="538" t="s">
        <v>740</v>
      </c>
      <c r="D5465" s="538" t="s">
        <v>393</v>
      </c>
      <c r="E5465" s="538" t="s">
        <v>210</v>
      </c>
      <c r="F5465" s="538">
        <v>640563</v>
      </c>
      <c r="G5465" s="538">
        <v>51</v>
      </c>
    </row>
    <row r="5466" spans="1:7" x14ac:dyDescent="0.2">
      <c r="A5466" s="538">
        <v>4</v>
      </c>
      <c r="B5466" s="538" t="s">
        <v>6574</v>
      </c>
      <c r="C5466" s="538" t="s">
        <v>393</v>
      </c>
      <c r="D5466" s="538" t="s">
        <v>393</v>
      </c>
      <c r="E5466" s="538" t="s">
        <v>416</v>
      </c>
      <c r="F5466" s="538">
        <v>69521481</v>
      </c>
      <c r="G5466" s="538">
        <v>1382</v>
      </c>
    </row>
    <row r="5467" spans="1:7" x14ac:dyDescent="0.2">
      <c r="A5467" s="538">
        <v>7</v>
      </c>
      <c r="B5467" s="538" t="s">
        <v>6604</v>
      </c>
      <c r="C5467" s="538" t="s">
        <v>740</v>
      </c>
      <c r="D5467" s="538" t="s">
        <v>393</v>
      </c>
      <c r="E5467" s="538" t="s">
        <v>202</v>
      </c>
      <c r="F5467" s="538">
        <v>741578</v>
      </c>
      <c r="G5467" s="538">
        <v>6</v>
      </c>
    </row>
    <row r="5468" spans="1:7" x14ac:dyDescent="0.2">
      <c r="A5468" s="538">
        <v>6</v>
      </c>
      <c r="B5468" s="538" t="s">
        <v>6433</v>
      </c>
      <c r="C5468" s="538" t="s">
        <v>393</v>
      </c>
      <c r="D5468" s="538" t="s">
        <v>740</v>
      </c>
      <c r="E5468" s="538" t="s">
        <v>212</v>
      </c>
      <c r="F5468" s="538">
        <v>101952</v>
      </c>
      <c r="G5468" s="538">
        <v>9</v>
      </c>
    </row>
    <row r="5469" spans="1:7" x14ac:dyDescent="0.2">
      <c r="A5469" s="538">
        <v>9</v>
      </c>
      <c r="B5469" s="538" t="s">
        <v>6657</v>
      </c>
      <c r="C5469" s="538" t="s">
        <v>393</v>
      </c>
      <c r="D5469" s="538" t="s">
        <v>393</v>
      </c>
      <c r="E5469" s="538" t="s">
        <v>209</v>
      </c>
      <c r="F5469" s="538">
        <v>1489299</v>
      </c>
      <c r="G5469" s="538">
        <v>3</v>
      </c>
    </row>
    <row r="5470" spans="1:7" x14ac:dyDescent="0.2">
      <c r="A5470" s="538">
        <v>6</v>
      </c>
      <c r="B5470" s="538" t="s">
        <v>6429</v>
      </c>
      <c r="C5470" s="538" t="s">
        <v>740</v>
      </c>
      <c r="D5470" s="538" t="s">
        <v>740</v>
      </c>
      <c r="E5470" s="538" t="s">
        <v>390</v>
      </c>
      <c r="F5470" s="538">
        <v>614669</v>
      </c>
      <c r="G5470" s="538">
        <v>8</v>
      </c>
    </row>
    <row r="5471" spans="1:7" x14ac:dyDescent="0.2">
      <c r="A5471" s="538">
        <v>9</v>
      </c>
      <c r="B5471" s="538" t="s">
        <v>6657</v>
      </c>
      <c r="C5471" s="538" t="s">
        <v>740</v>
      </c>
      <c r="D5471" s="538" t="s">
        <v>393</v>
      </c>
      <c r="E5471" s="538" t="s">
        <v>207</v>
      </c>
      <c r="F5471" s="538">
        <v>22656</v>
      </c>
      <c r="G5471" s="538">
        <v>2</v>
      </c>
    </row>
    <row r="5472" spans="1:7" x14ac:dyDescent="0.2">
      <c r="A5472" s="538">
        <v>5</v>
      </c>
      <c r="B5472" s="538" t="s">
        <v>6568</v>
      </c>
      <c r="C5472" s="538" t="s">
        <v>740</v>
      </c>
      <c r="D5472" s="538" t="s">
        <v>393</v>
      </c>
      <c r="E5472" s="538" t="s">
        <v>207</v>
      </c>
      <c r="F5472" s="538">
        <v>2700260</v>
      </c>
      <c r="G5472" s="538">
        <v>125</v>
      </c>
    </row>
    <row r="5473" spans="1:7" x14ac:dyDescent="0.2">
      <c r="A5473" s="538">
        <v>11</v>
      </c>
      <c r="B5473" s="538" t="s">
        <v>6610</v>
      </c>
      <c r="C5473" s="538" t="s">
        <v>393</v>
      </c>
      <c r="D5473" s="538" t="s">
        <v>740</v>
      </c>
      <c r="E5473" s="538" t="s">
        <v>211</v>
      </c>
      <c r="F5473" s="538">
        <v>620864</v>
      </c>
      <c r="G5473" s="538">
        <v>3</v>
      </c>
    </row>
    <row r="5474" spans="1:7" x14ac:dyDescent="0.2">
      <c r="A5474" s="538">
        <v>9</v>
      </c>
      <c r="B5474" s="538" t="s">
        <v>6613</v>
      </c>
      <c r="C5474" s="538" t="s">
        <v>740</v>
      </c>
      <c r="D5474" s="538" t="s">
        <v>393</v>
      </c>
      <c r="E5474" s="538" t="s">
        <v>449</v>
      </c>
      <c r="F5474" s="538">
        <v>22656</v>
      </c>
      <c r="G5474" s="538">
        <v>2</v>
      </c>
    </row>
    <row r="5475" spans="1:7" x14ac:dyDescent="0.2">
      <c r="A5475" s="538">
        <v>8</v>
      </c>
      <c r="B5475" s="538" t="s">
        <v>6567</v>
      </c>
      <c r="C5475" s="538" t="s">
        <v>740</v>
      </c>
      <c r="D5475" s="538" t="s">
        <v>393</v>
      </c>
      <c r="E5475" s="538" t="s">
        <v>409</v>
      </c>
      <c r="F5475" s="538">
        <v>5019939</v>
      </c>
      <c r="G5475" s="538">
        <v>108</v>
      </c>
    </row>
    <row r="5476" spans="1:7" x14ac:dyDescent="0.2">
      <c r="A5476" s="538">
        <v>6</v>
      </c>
      <c r="B5476" s="538" t="s">
        <v>6565</v>
      </c>
      <c r="C5476" s="538" t="s">
        <v>393</v>
      </c>
      <c r="D5476" s="538" t="s">
        <v>740</v>
      </c>
      <c r="E5476" s="538" t="s">
        <v>212</v>
      </c>
      <c r="F5476" s="538">
        <v>33984</v>
      </c>
      <c r="G5476" s="538">
        <v>3</v>
      </c>
    </row>
    <row r="5477" spans="1:7" x14ac:dyDescent="0.2">
      <c r="A5477" s="538">
        <v>8</v>
      </c>
      <c r="B5477" s="538" t="s">
        <v>6560</v>
      </c>
      <c r="C5477" s="538" t="s">
        <v>740</v>
      </c>
      <c r="D5477" s="538" t="s">
        <v>393</v>
      </c>
      <c r="E5477" s="538" t="s">
        <v>202</v>
      </c>
      <c r="F5477" s="538">
        <v>7357953</v>
      </c>
      <c r="G5477" s="538">
        <v>71</v>
      </c>
    </row>
    <row r="5478" spans="1:7" x14ac:dyDescent="0.2">
      <c r="A5478" s="538">
        <v>7</v>
      </c>
      <c r="B5478" s="538" t="s">
        <v>6661</v>
      </c>
      <c r="C5478" s="538" t="s">
        <v>740</v>
      </c>
      <c r="D5478" s="538" t="s">
        <v>393</v>
      </c>
      <c r="E5478" s="538" t="s">
        <v>209</v>
      </c>
      <c r="F5478" s="538">
        <v>644759</v>
      </c>
      <c r="G5478" s="538">
        <v>3</v>
      </c>
    </row>
    <row r="5479" spans="1:7" x14ac:dyDescent="0.2">
      <c r="A5479" s="538">
        <v>3</v>
      </c>
      <c r="B5479" s="538" t="s">
        <v>6578</v>
      </c>
      <c r="C5479" s="538" t="s">
        <v>740</v>
      </c>
      <c r="D5479" s="538" t="s">
        <v>740</v>
      </c>
      <c r="E5479" s="538" t="s">
        <v>211</v>
      </c>
      <c r="F5479" s="538">
        <v>1306031</v>
      </c>
      <c r="G5479" s="538">
        <v>22</v>
      </c>
    </row>
    <row r="5480" spans="1:7" x14ac:dyDescent="0.2">
      <c r="A5480" s="538">
        <v>3</v>
      </c>
      <c r="B5480" s="538" t="s">
        <v>6603</v>
      </c>
      <c r="C5480" s="538" t="s">
        <v>740</v>
      </c>
      <c r="D5480" s="538" t="s">
        <v>393</v>
      </c>
      <c r="E5480" s="538" t="s">
        <v>209</v>
      </c>
      <c r="F5480" s="538">
        <v>74163</v>
      </c>
      <c r="G5480" s="538">
        <v>1</v>
      </c>
    </row>
    <row r="5481" spans="1:7" x14ac:dyDescent="0.2">
      <c r="A5481" s="538">
        <v>5</v>
      </c>
      <c r="B5481" s="538" t="s">
        <v>6598</v>
      </c>
      <c r="C5481" s="538" t="s">
        <v>393</v>
      </c>
      <c r="D5481" s="538" t="s">
        <v>393</v>
      </c>
      <c r="E5481" s="538" t="s">
        <v>860</v>
      </c>
      <c r="F5481" s="538">
        <v>1278596</v>
      </c>
      <c r="G5481" s="538">
        <v>32</v>
      </c>
    </row>
    <row r="5482" spans="1:7" x14ac:dyDescent="0.2">
      <c r="A5482" s="538">
        <v>3</v>
      </c>
      <c r="B5482" s="538" t="s">
        <v>6603</v>
      </c>
      <c r="C5482" s="538" t="s">
        <v>393</v>
      </c>
      <c r="D5482" s="538" t="s">
        <v>393</v>
      </c>
      <c r="E5482" s="538" t="s">
        <v>402</v>
      </c>
      <c r="F5482" s="538">
        <v>4400241</v>
      </c>
      <c r="G5482" s="538">
        <v>102</v>
      </c>
    </row>
    <row r="5483" spans="1:7" x14ac:dyDescent="0.2">
      <c r="A5483" s="538">
        <v>7</v>
      </c>
      <c r="B5483" s="538" t="s">
        <v>6655</v>
      </c>
      <c r="C5483" s="538" t="s">
        <v>393</v>
      </c>
      <c r="D5483" s="538" t="s">
        <v>393</v>
      </c>
      <c r="E5483" s="538" t="s">
        <v>212</v>
      </c>
      <c r="F5483" s="538">
        <v>1453826</v>
      </c>
      <c r="G5483" s="538">
        <v>62</v>
      </c>
    </row>
    <row r="5484" spans="1:7" x14ac:dyDescent="0.2">
      <c r="A5484" s="538">
        <v>5</v>
      </c>
      <c r="B5484" s="538" t="s">
        <v>6599</v>
      </c>
      <c r="C5484" s="538" t="s">
        <v>740</v>
      </c>
      <c r="D5484" s="538" t="s">
        <v>740</v>
      </c>
      <c r="E5484" s="538" t="s">
        <v>402</v>
      </c>
      <c r="F5484" s="538">
        <v>2443381</v>
      </c>
      <c r="G5484" s="538">
        <v>92</v>
      </c>
    </row>
    <row r="5485" spans="1:7" x14ac:dyDescent="0.2">
      <c r="A5485" s="538">
        <v>5</v>
      </c>
      <c r="B5485" s="538" t="s">
        <v>6598</v>
      </c>
      <c r="C5485" s="538" t="s">
        <v>740</v>
      </c>
      <c r="D5485" s="538" t="s">
        <v>393</v>
      </c>
      <c r="E5485" s="538" t="s">
        <v>210</v>
      </c>
      <c r="F5485" s="538">
        <v>50268</v>
      </c>
      <c r="G5485" s="538">
        <v>1</v>
      </c>
    </row>
    <row r="5486" spans="1:7" x14ac:dyDescent="0.2">
      <c r="A5486" s="538">
        <v>7</v>
      </c>
      <c r="B5486" s="538" t="s">
        <v>6588</v>
      </c>
      <c r="C5486" s="538" t="s">
        <v>393</v>
      </c>
      <c r="D5486" s="538" t="s">
        <v>740</v>
      </c>
      <c r="E5486" s="538" t="s">
        <v>402</v>
      </c>
      <c r="F5486" s="538">
        <v>242844</v>
      </c>
      <c r="G5486" s="538">
        <v>18</v>
      </c>
    </row>
    <row r="5487" spans="1:7" x14ac:dyDescent="0.2">
      <c r="A5487" s="538">
        <v>8</v>
      </c>
      <c r="B5487" s="538" t="s">
        <v>6570</v>
      </c>
      <c r="C5487" s="538" t="s">
        <v>740</v>
      </c>
      <c r="D5487" s="538" t="s">
        <v>740</v>
      </c>
      <c r="E5487" s="538" t="s">
        <v>390</v>
      </c>
      <c r="F5487" s="538">
        <v>12110455</v>
      </c>
      <c r="G5487" s="538">
        <v>305</v>
      </c>
    </row>
    <row r="5488" spans="1:7" x14ac:dyDescent="0.2">
      <c r="A5488" s="538">
        <v>3</v>
      </c>
      <c r="B5488" s="538" t="s">
        <v>6591</v>
      </c>
      <c r="C5488" s="538" t="s">
        <v>393</v>
      </c>
      <c r="D5488" s="538" t="s">
        <v>393</v>
      </c>
      <c r="E5488" s="538" t="s">
        <v>449</v>
      </c>
      <c r="F5488" s="538">
        <v>859991</v>
      </c>
      <c r="G5488" s="538">
        <v>22</v>
      </c>
    </row>
    <row r="5489" spans="1:7" x14ac:dyDescent="0.2">
      <c r="A5489" s="538">
        <v>3</v>
      </c>
      <c r="B5489" s="538" t="s">
        <v>6578</v>
      </c>
      <c r="C5489" s="538" t="s">
        <v>740</v>
      </c>
      <c r="D5489" s="538" t="s">
        <v>393</v>
      </c>
      <c r="E5489" s="538" t="s">
        <v>449</v>
      </c>
      <c r="F5489" s="538">
        <v>11328</v>
      </c>
      <c r="G5489" s="538">
        <v>1</v>
      </c>
    </row>
    <row r="5490" spans="1:7" x14ac:dyDescent="0.2">
      <c r="A5490" s="538">
        <v>11</v>
      </c>
      <c r="B5490" s="538" t="s">
        <v>6612</v>
      </c>
      <c r="C5490" s="538" t="s">
        <v>393</v>
      </c>
      <c r="D5490" s="538" t="s">
        <v>393</v>
      </c>
      <c r="E5490" s="538" t="s">
        <v>230</v>
      </c>
      <c r="F5490" s="538">
        <v>6448787</v>
      </c>
      <c r="G5490" s="538">
        <v>199</v>
      </c>
    </row>
    <row r="5491" spans="1:7" x14ac:dyDescent="0.2">
      <c r="A5491" s="538">
        <v>11</v>
      </c>
      <c r="B5491" s="538" t="s">
        <v>6592</v>
      </c>
      <c r="C5491" s="538" t="s">
        <v>740</v>
      </c>
      <c r="D5491" s="538" t="s">
        <v>393</v>
      </c>
      <c r="E5491" s="538" t="s">
        <v>230</v>
      </c>
      <c r="F5491" s="538">
        <v>96819</v>
      </c>
      <c r="G5491" s="538">
        <v>3</v>
      </c>
    </row>
    <row r="5492" spans="1:7" x14ac:dyDescent="0.2">
      <c r="A5492" s="538">
        <v>2</v>
      </c>
      <c r="B5492" s="538" t="s">
        <v>6656</v>
      </c>
      <c r="C5492" s="538" t="s">
        <v>740</v>
      </c>
      <c r="D5492" s="538" t="s">
        <v>393</v>
      </c>
      <c r="E5492" s="538" t="s">
        <v>401</v>
      </c>
      <c r="F5492" s="538">
        <v>11328</v>
      </c>
      <c r="G5492" s="538">
        <v>1</v>
      </c>
    </row>
    <row r="5493" spans="1:7" x14ac:dyDescent="0.2">
      <c r="A5493" s="538">
        <v>4</v>
      </c>
      <c r="B5493" s="538" t="s">
        <v>6562</v>
      </c>
      <c r="C5493" s="538" t="s">
        <v>740</v>
      </c>
      <c r="D5493" s="538" t="s">
        <v>740</v>
      </c>
      <c r="E5493" s="538" t="s">
        <v>401</v>
      </c>
      <c r="F5493" s="538">
        <v>124608</v>
      </c>
      <c r="G5493" s="538">
        <v>11</v>
      </c>
    </row>
    <row r="5494" spans="1:7" x14ac:dyDescent="0.2">
      <c r="A5494" s="538">
        <v>7</v>
      </c>
      <c r="B5494" s="538" t="s">
        <v>6564</v>
      </c>
      <c r="C5494" s="538" t="s">
        <v>740</v>
      </c>
      <c r="D5494" s="538" t="s">
        <v>740</v>
      </c>
      <c r="E5494" s="538" t="s">
        <v>402</v>
      </c>
      <c r="F5494" s="538">
        <v>8637923</v>
      </c>
      <c r="G5494" s="538">
        <v>331</v>
      </c>
    </row>
    <row r="5495" spans="1:7" x14ac:dyDescent="0.2">
      <c r="A5495" s="538">
        <v>8</v>
      </c>
      <c r="B5495" s="538" t="s">
        <v>6648</v>
      </c>
      <c r="C5495" s="538" t="s">
        <v>740</v>
      </c>
      <c r="D5495" s="538" t="s">
        <v>393</v>
      </c>
      <c r="E5495" s="538" t="s">
        <v>202</v>
      </c>
      <c r="F5495" s="538">
        <v>1139953</v>
      </c>
      <c r="G5495" s="538">
        <v>6</v>
      </c>
    </row>
    <row r="5496" spans="1:7" x14ac:dyDescent="0.2">
      <c r="A5496" s="538">
        <v>3</v>
      </c>
      <c r="B5496" s="538" t="s">
        <v>6561</v>
      </c>
      <c r="C5496" s="538" t="s">
        <v>740</v>
      </c>
      <c r="D5496" s="538" t="s">
        <v>393</v>
      </c>
      <c r="E5496" s="538" t="s">
        <v>438</v>
      </c>
      <c r="F5496" s="538">
        <v>11328</v>
      </c>
      <c r="G5496" s="538">
        <v>1</v>
      </c>
    </row>
    <row r="5497" spans="1:7" x14ac:dyDescent="0.2">
      <c r="A5497" s="538">
        <v>11</v>
      </c>
      <c r="B5497" s="538" t="s">
        <v>6612</v>
      </c>
      <c r="C5497" s="538" t="s">
        <v>393</v>
      </c>
      <c r="D5497" s="538" t="s">
        <v>740</v>
      </c>
      <c r="E5497" s="538" t="s">
        <v>390</v>
      </c>
      <c r="F5497" s="538">
        <v>4198409</v>
      </c>
      <c r="G5497" s="538">
        <v>68</v>
      </c>
    </row>
    <row r="5498" spans="1:7" x14ac:dyDescent="0.2">
      <c r="A5498" s="538">
        <v>7</v>
      </c>
      <c r="B5498" s="538" t="s">
        <v>6604</v>
      </c>
      <c r="C5498" s="538" t="s">
        <v>740</v>
      </c>
      <c r="D5498" s="538" t="s">
        <v>393</v>
      </c>
      <c r="E5498" s="538" t="s">
        <v>860</v>
      </c>
      <c r="F5498" s="538">
        <v>153459</v>
      </c>
      <c r="G5498" s="538">
        <v>8</v>
      </c>
    </row>
    <row r="5499" spans="1:7" x14ac:dyDescent="0.2">
      <c r="A5499" s="538">
        <v>12</v>
      </c>
      <c r="B5499" s="538" t="s">
        <v>6563</v>
      </c>
      <c r="C5499" s="538" t="s">
        <v>740</v>
      </c>
      <c r="D5499" s="538" t="s">
        <v>393</v>
      </c>
      <c r="E5499" s="538" t="s">
        <v>438</v>
      </c>
      <c r="F5499" s="538">
        <v>3492002</v>
      </c>
      <c r="G5499" s="538">
        <v>59</v>
      </c>
    </row>
    <row r="5500" spans="1:7" x14ac:dyDescent="0.2">
      <c r="A5500" s="538">
        <v>2</v>
      </c>
      <c r="B5500" s="538" t="s">
        <v>6656</v>
      </c>
      <c r="C5500" s="538" t="s">
        <v>740</v>
      </c>
      <c r="D5500" s="538" t="s">
        <v>393</v>
      </c>
      <c r="E5500" s="538" t="s">
        <v>212</v>
      </c>
      <c r="F5500" s="538">
        <v>870486</v>
      </c>
      <c r="G5500" s="538">
        <v>52</v>
      </c>
    </row>
    <row r="5501" spans="1:7" x14ac:dyDescent="0.2">
      <c r="A5501" s="538">
        <v>3</v>
      </c>
      <c r="B5501" s="538" t="s">
        <v>6591</v>
      </c>
      <c r="C5501" s="538" t="s">
        <v>740</v>
      </c>
      <c r="D5501" s="538" t="s">
        <v>393</v>
      </c>
      <c r="E5501" s="538" t="s">
        <v>402</v>
      </c>
      <c r="F5501" s="538">
        <v>10157468</v>
      </c>
      <c r="G5501" s="538">
        <v>556</v>
      </c>
    </row>
    <row r="5502" spans="1:7" x14ac:dyDescent="0.2">
      <c r="A5502" s="538">
        <v>4</v>
      </c>
      <c r="B5502" s="538" t="s">
        <v>6562</v>
      </c>
      <c r="C5502" s="538" t="s">
        <v>740</v>
      </c>
      <c r="D5502" s="538" t="s">
        <v>393</v>
      </c>
      <c r="E5502" s="538" t="s">
        <v>207</v>
      </c>
      <c r="F5502" s="538">
        <v>7217175</v>
      </c>
      <c r="G5502" s="538">
        <v>510</v>
      </c>
    </row>
    <row r="5503" spans="1:7" x14ac:dyDescent="0.2">
      <c r="A5503" s="538">
        <v>3</v>
      </c>
      <c r="B5503" s="538" t="s">
        <v>6586</v>
      </c>
      <c r="C5503" s="538" t="s">
        <v>740</v>
      </c>
      <c r="D5503" s="538" t="s">
        <v>740</v>
      </c>
      <c r="E5503" s="538" t="s">
        <v>401</v>
      </c>
      <c r="F5503" s="538">
        <v>458076</v>
      </c>
      <c r="G5503" s="538">
        <v>37</v>
      </c>
    </row>
    <row r="5504" spans="1:7" x14ac:dyDescent="0.2">
      <c r="A5504" s="538">
        <v>6</v>
      </c>
      <c r="B5504" s="538" t="s">
        <v>6429</v>
      </c>
      <c r="C5504" s="538" t="s">
        <v>740</v>
      </c>
      <c r="D5504" s="538" t="s">
        <v>393</v>
      </c>
      <c r="E5504" s="538" t="s">
        <v>230</v>
      </c>
      <c r="F5504" s="538">
        <v>801935</v>
      </c>
      <c r="G5504" s="538">
        <v>10</v>
      </c>
    </row>
    <row r="5505" spans="1:7" x14ac:dyDescent="0.2">
      <c r="A5505" s="538">
        <v>7</v>
      </c>
      <c r="B5505" s="538" t="s">
        <v>6594</v>
      </c>
      <c r="C5505" s="538" t="s">
        <v>740</v>
      </c>
      <c r="D5505" s="538" t="s">
        <v>740</v>
      </c>
      <c r="E5505" s="538" t="s">
        <v>390</v>
      </c>
      <c r="F5505" s="538">
        <v>4154034</v>
      </c>
      <c r="G5505" s="538">
        <v>113</v>
      </c>
    </row>
    <row r="5506" spans="1:7" x14ac:dyDescent="0.2">
      <c r="A5506" s="538">
        <v>6</v>
      </c>
      <c r="B5506" s="538" t="s">
        <v>6433</v>
      </c>
      <c r="C5506" s="538" t="s">
        <v>740</v>
      </c>
      <c r="D5506" s="538" t="s">
        <v>393</v>
      </c>
      <c r="E5506" s="538" t="s">
        <v>202</v>
      </c>
      <c r="F5506" s="538">
        <v>148326</v>
      </c>
      <c r="G5506" s="538">
        <v>2</v>
      </c>
    </row>
    <row r="5507" spans="1:7" x14ac:dyDescent="0.2">
      <c r="A5507" s="538">
        <v>9</v>
      </c>
      <c r="B5507" s="538" t="s">
        <v>6613</v>
      </c>
      <c r="C5507" s="538" t="s">
        <v>393</v>
      </c>
      <c r="D5507" s="538" t="s">
        <v>393</v>
      </c>
      <c r="E5507" s="538" t="s">
        <v>416</v>
      </c>
      <c r="F5507" s="538">
        <v>54428534</v>
      </c>
      <c r="G5507" s="538">
        <v>1043</v>
      </c>
    </row>
    <row r="5508" spans="1:7" x14ac:dyDescent="0.2">
      <c r="A5508" s="538">
        <v>3</v>
      </c>
      <c r="B5508" s="538" t="s">
        <v>6647</v>
      </c>
      <c r="C5508" s="538" t="s">
        <v>393</v>
      </c>
      <c r="D5508" s="538" t="s">
        <v>393</v>
      </c>
      <c r="E5508" s="538" t="s">
        <v>202</v>
      </c>
      <c r="F5508" s="538">
        <v>6536975</v>
      </c>
      <c r="G5508" s="538">
        <v>45</v>
      </c>
    </row>
    <row r="5509" spans="1:7" x14ac:dyDescent="0.2">
      <c r="A5509" s="538">
        <v>4</v>
      </c>
      <c r="B5509" s="538" t="s">
        <v>6562</v>
      </c>
      <c r="C5509" s="538" t="s">
        <v>740</v>
      </c>
      <c r="D5509" s="538" t="s">
        <v>740</v>
      </c>
      <c r="E5509" s="538" t="s">
        <v>390</v>
      </c>
      <c r="F5509" s="538">
        <v>61596</v>
      </c>
      <c r="G5509" s="538">
        <v>2</v>
      </c>
    </row>
    <row r="5510" spans="1:7" x14ac:dyDescent="0.2">
      <c r="A5510" s="538">
        <v>3</v>
      </c>
      <c r="B5510" s="538" t="s">
        <v>6586</v>
      </c>
      <c r="C5510" s="538" t="s">
        <v>740</v>
      </c>
      <c r="D5510" s="538" t="s">
        <v>393</v>
      </c>
      <c r="E5510" s="538" t="s">
        <v>409</v>
      </c>
      <c r="F5510" s="538">
        <v>541745</v>
      </c>
      <c r="G5510" s="538">
        <v>5</v>
      </c>
    </row>
    <row r="5511" spans="1:7" x14ac:dyDescent="0.2">
      <c r="A5511" s="538">
        <v>2</v>
      </c>
      <c r="B5511" s="538" t="s">
        <v>6585</v>
      </c>
      <c r="C5511" s="538" t="s">
        <v>740</v>
      </c>
      <c r="D5511" s="538" t="s">
        <v>393</v>
      </c>
      <c r="E5511" s="538" t="s">
        <v>212</v>
      </c>
      <c r="F5511" s="538">
        <v>1289799</v>
      </c>
      <c r="G5511" s="538">
        <v>98</v>
      </c>
    </row>
    <row r="5512" spans="1:7" x14ac:dyDescent="0.2">
      <c r="A5512" s="538">
        <v>5</v>
      </c>
      <c r="B5512" s="538" t="s">
        <v>6598</v>
      </c>
      <c r="C5512" s="538" t="s">
        <v>740</v>
      </c>
      <c r="D5512" s="538" t="s">
        <v>740</v>
      </c>
      <c r="E5512" s="538" t="s">
        <v>211</v>
      </c>
      <c r="F5512" s="538">
        <v>226383</v>
      </c>
      <c r="G5512" s="538">
        <v>11</v>
      </c>
    </row>
    <row r="5513" spans="1:7" x14ac:dyDescent="0.2">
      <c r="A5513" s="538">
        <v>3</v>
      </c>
      <c r="B5513" s="538" t="s">
        <v>6603</v>
      </c>
      <c r="C5513" s="538" t="s">
        <v>393</v>
      </c>
      <c r="D5513" s="538" t="s">
        <v>393</v>
      </c>
      <c r="E5513" s="538" t="s">
        <v>409</v>
      </c>
      <c r="F5513" s="538">
        <v>2864464</v>
      </c>
      <c r="G5513" s="538">
        <v>103</v>
      </c>
    </row>
    <row r="5514" spans="1:7" x14ac:dyDescent="0.2">
      <c r="A5514" s="538">
        <v>6</v>
      </c>
      <c r="B5514" s="538" t="s">
        <v>6596</v>
      </c>
      <c r="C5514" s="538" t="s">
        <v>740</v>
      </c>
      <c r="D5514" s="538" t="s">
        <v>393</v>
      </c>
      <c r="E5514" s="538" t="s">
        <v>449</v>
      </c>
      <c r="F5514" s="538">
        <v>74163</v>
      </c>
      <c r="G5514" s="538">
        <v>1</v>
      </c>
    </row>
    <row r="5515" spans="1:7" x14ac:dyDescent="0.2">
      <c r="A5515" s="538">
        <v>7</v>
      </c>
      <c r="B5515" s="538" t="s">
        <v>6604</v>
      </c>
      <c r="C5515" s="538" t="s">
        <v>393</v>
      </c>
      <c r="D5515" s="538" t="s">
        <v>393</v>
      </c>
      <c r="E5515" s="538" t="s">
        <v>212</v>
      </c>
      <c r="F5515" s="538">
        <v>459315</v>
      </c>
      <c r="G5515" s="538">
        <v>35</v>
      </c>
    </row>
    <row r="5516" spans="1:7" x14ac:dyDescent="0.2">
      <c r="A5516" s="538">
        <v>2</v>
      </c>
      <c r="B5516" s="538" t="s">
        <v>6585</v>
      </c>
      <c r="C5516" s="538" t="s">
        <v>740</v>
      </c>
      <c r="D5516" s="538" t="s">
        <v>393</v>
      </c>
      <c r="E5516" s="538" t="s">
        <v>401</v>
      </c>
      <c r="F5516" s="538">
        <v>22656</v>
      </c>
      <c r="G5516" s="538">
        <v>2</v>
      </c>
    </row>
    <row r="5517" spans="1:7" x14ac:dyDescent="0.2">
      <c r="A5517" s="538">
        <v>9</v>
      </c>
      <c r="B5517" s="538" t="s">
        <v>6606</v>
      </c>
      <c r="C5517" s="538" t="s">
        <v>740</v>
      </c>
      <c r="D5517" s="538" t="s">
        <v>740</v>
      </c>
      <c r="E5517" s="538" t="s">
        <v>402</v>
      </c>
      <c r="F5517" s="538">
        <v>3321301</v>
      </c>
      <c r="G5517" s="538">
        <v>137</v>
      </c>
    </row>
    <row r="5518" spans="1:7" x14ac:dyDescent="0.2">
      <c r="A5518" s="538">
        <v>4</v>
      </c>
      <c r="B5518" s="538" t="s">
        <v>6562</v>
      </c>
      <c r="C5518" s="538" t="s">
        <v>393</v>
      </c>
      <c r="D5518" s="538" t="s">
        <v>393</v>
      </c>
      <c r="E5518" s="538" t="s">
        <v>202</v>
      </c>
      <c r="F5518" s="538">
        <v>9596035</v>
      </c>
      <c r="G5518" s="538">
        <v>60</v>
      </c>
    </row>
    <row r="5519" spans="1:7" x14ac:dyDescent="0.2">
      <c r="A5519" s="538">
        <v>3</v>
      </c>
      <c r="B5519" s="538" t="s">
        <v>6603</v>
      </c>
      <c r="C5519" s="538" t="s">
        <v>740</v>
      </c>
      <c r="D5519" s="538" t="s">
        <v>393</v>
      </c>
      <c r="E5519" s="538" t="s">
        <v>402</v>
      </c>
      <c r="F5519" s="538">
        <v>317007</v>
      </c>
      <c r="G5519" s="538">
        <v>19</v>
      </c>
    </row>
    <row r="5520" spans="1:7" x14ac:dyDescent="0.2">
      <c r="A5520" s="538">
        <v>10</v>
      </c>
      <c r="B5520" s="538" t="s">
        <v>6587</v>
      </c>
      <c r="C5520" s="538" t="s">
        <v>740</v>
      </c>
      <c r="D5520" s="538" t="s">
        <v>393</v>
      </c>
      <c r="E5520" s="538" t="s">
        <v>207</v>
      </c>
      <c r="F5520" s="538">
        <v>813440</v>
      </c>
      <c r="G5520" s="538">
        <v>20</v>
      </c>
    </row>
    <row r="5521" spans="1:7" x14ac:dyDescent="0.2">
      <c r="A5521" s="538">
        <v>7</v>
      </c>
      <c r="B5521" s="538" t="s">
        <v>6579</v>
      </c>
      <c r="C5521" s="538" t="s">
        <v>393</v>
      </c>
      <c r="D5521" s="538" t="s">
        <v>740</v>
      </c>
      <c r="E5521" s="538" t="s">
        <v>207</v>
      </c>
      <c r="F5521" s="538">
        <v>2558660</v>
      </c>
      <c r="G5521" s="538">
        <v>145</v>
      </c>
    </row>
    <row r="5522" spans="1:7" x14ac:dyDescent="0.2">
      <c r="A5522" s="538">
        <v>10</v>
      </c>
      <c r="B5522" s="538" t="s">
        <v>6597</v>
      </c>
      <c r="C5522" s="538" t="s">
        <v>740</v>
      </c>
      <c r="D5522" s="538" t="s">
        <v>393</v>
      </c>
      <c r="E5522" s="538" t="s">
        <v>416</v>
      </c>
      <c r="F5522" s="538">
        <v>33984</v>
      </c>
      <c r="G5522" s="538">
        <v>3</v>
      </c>
    </row>
    <row r="5523" spans="1:7" x14ac:dyDescent="0.2">
      <c r="A5523" s="538">
        <v>3</v>
      </c>
      <c r="B5523" s="538" t="s">
        <v>6647</v>
      </c>
      <c r="C5523" s="538" t="s">
        <v>740</v>
      </c>
      <c r="D5523" s="538" t="s">
        <v>393</v>
      </c>
      <c r="E5523" s="538" t="s">
        <v>402</v>
      </c>
      <c r="F5523" s="538">
        <v>1172625</v>
      </c>
      <c r="G5523" s="538">
        <v>80</v>
      </c>
    </row>
    <row r="5524" spans="1:7" x14ac:dyDescent="0.2">
      <c r="A5524" s="538">
        <v>2</v>
      </c>
      <c r="B5524" s="538" t="s">
        <v>6662</v>
      </c>
      <c r="C5524" s="538" t="s">
        <v>740</v>
      </c>
      <c r="D5524" s="538" t="s">
        <v>393</v>
      </c>
      <c r="E5524" s="538" t="s">
        <v>211</v>
      </c>
      <c r="F5524" s="538">
        <v>108147</v>
      </c>
      <c r="G5524" s="538">
        <v>4</v>
      </c>
    </row>
    <row r="5525" spans="1:7" x14ac:dyDescent="0.2">
      <c r="A5525" s="538">
        <v>10</v>
      </c>
      <c r="B5525" s="538" t="s">
        <v>6600</v>
      </c>
      <c r="C5525" s="538" t="s">
        <v>393</v>
      </c>
      <c r="D5525" s="538" t="s">
        <v>393</v>
      </c>
      <c r="E5525" s="538" t="s">
        <v>401</v>
      </c>
      <c r="F5525" s="538">
        <v>67968</v>
      </c>
      <c r="G5525" s="538">
        <v>6</v>
      </c>
    </row>
    <row r="5526" spans="1:7" x14ac:dyDescent="0.2">
      <c r="A5526" s="538">
        <v>5</v>
      </c>
      <c r="B5526" s="538" t="s">
        <v>6566</v>
      </c>
      <c r="C5526" s="538" t="s">
        <v>393</v>
      </c>
      <c r="D5526" s="538" t="s">
        <v>393</v>
      </c>
      <c r="E5526" s="538" t="s">
        <v>409</v>
      </c>
      <c r="F5526" s="538">
        <v>1502501</v>
      </c>
      <c r="G5526" s="538">
        <v>47</v>
      </c>
    </row>
    <row r="5527" spans="1:7" x14ac:dyDescent="0.2">
      <c r="A5527" s="538">
        <v>2</v>
      </c>
      <c r="B5527" s="538" t="s">
        <v>6656</v>
      </c>
      <c r="C5527" s="538" t="s">
        <v>740</v>
      </c>
      <c r="D5527" s="538" t="s">
        <v>393</v>
      </c>
      <c r="E5527" s="538" t="s">
        <v>402</v>
      </c>
      <c r="F5527" s="538">
        <v>294351</v>
      </c>
      <c r="G5527" s="538">
        <v>17</v>
      </c>
    </row>
    <row r="5528" spans="1:7" x14ac:dyDescent="0.2">
      <c r="A5528" s="538">
        <v>10</v>
      </c>
      <c r="B5528" s="538" t="s">
        <v>6587</v>
      </c>
      <c r="C5528" s="538" t="s">
        <v>740</v>
      </c>
      <c r="D5528" s="538" t="s">
        <v>740</v>
      </c>
      <c r="E5528" s="538" t="s">
        <v>390</v>
      </c>
      <c r="F5528" s="538">
        <v>1702334</v>
      </c>
      <c r="G5528" s="538">
        <v>48</v>
      </c>
    </row>
    <row r="5529" spans="1:7" x14ac:dyDescent="0.2">
      <c r="A5529" s="538">
        <v>4</v>
      </c>
      <c r="B5529" s="538" t="s">
        <v>6559</v>
      </c>
      <c r="C5529" s="538" t="s">
        <v>740</v>
      </c>
      <c r="D5529" s="538" t="s">
        <v>393</v>
      </c>
      <c r="E5529" s="538" t="s">
        <v>211</v>
      </c>
      <c r="F5529" s="538">
        <v>21439188</v>
      </c>
      <c r="G5529" s="538">
        <v>721</v>
      </c>
    </row>
    <row r="5530" spans="1:7" x14ac:dyDescent="0.2">
      <c r="A5530" s="538">
        <v>1</v>
      </c>
      <c r="B5530" s="538" t="s">
        <v>6609</v>
      </c>
      <c r="C5530" s="538" t="s">
        <v>740</v>
      </c>
      <c r="D5530" s="538" t="s">
        <v>393</v>
      </c>
      <c r="E5530" s="538" t="s">
        <v>211</v>
      </c>
      <c r="F5530" s="538">
        <v>10750366</v>
      </c>
      <c r="G5530" s="538">
        <v>277</v>
      </c>
    </row>
    <row r="5531" spans="1:7" x14ac:dyDescent="0.2">
      <c r="A5531" s="538">
        <v>4</v>
      </c>
      <c r="B5531" s="538" t="s">
        <v>6559</v>
      </c>
      <c r="C5531" s="538" t="s">
        <v>740</v>
      </c>
      <c r="D5531" s="538" t="s">
        <v>740</v>
      </c>
      <c r="E5531" s="538" t="s">
        <v>202</v>
      </c>
      <c r="F5531" s="538">
        <v>74163</v>
      </c>
      <c r="G5531" s="538">
        <v>1</v>
      </c>
    </row>
    <row r="5532" spans="1:7" x14ac:dyDescent="0.2">
      <c r="A5532" s="538">
        <v>12</v>
      </c>
      <c r="B5532" s="538" t="s">
        <v>6616</v>
      </c>
      <c r="C5532" s="538" t="s">
        <v>740</v>
      </c>
      <c r="D5532" s="538" t="s">
        <v>393</v>
      </c>
      <c r="E5532" s="538" t="s">
        <v>409</v>
      </c>
      <c r="F5532" s="538">
        <v>130803</v>
      </c>
      <c r="G5532" s="538">
        <v>6</v>
      </c>
    </row>
    <row r="5533" spans="1:7" x14ac:dyDescent="0.2">
      <c r="A5533" s="538">
        <v>7</v>
      </c>
      <c r="B5533" s="538" t="s">
        <v>6588</v>
      </c>
      <c r="C5533" s="538" t="s">
        <v>740</v>
      </c>
      <c r="D5533" s="538" t="s">
        <v>393</v>
      </c>
      <c r="E5533" s="538" t="s">
        <v>860</v>
      </c>
      <c r="F5533" s="538">
        <v>613659</v>
      </c>
      <c r="G5533" s="538">
        <v>28</v>
      </c>
    </row>
    <row r="5534" spans="1:7" x14ac:dyDescent="0.2">
      <c r="A5534" s="538">
        <v>2</v>
      </c>
      <c r="B5534" s="538" t="s">
        <v>6654</v>
      </c>
      <c r="C5534" s="538" t="s">
        <v>393</v>
      </c>
      <c r="D5534" s="538" t="s">
        <v>393</v>
      </c>
      <c r="E5534" s="538" t="s">
        <v>409</v>
      </c>
      <c r="F5534" s="538">
        <v>396303</v>
      </c>
      <c r="G5534" s="538">
        <v>26</v>
      </c>
    </row>
    <row r="5535" spans="1:7" x14ac:dyDescent="0.2">
      <c r="A5535" s="538">
        <v>12</v>
      </c>
      <c r="B5535" s="538" t="s">
        <v>6569</v>
      </c>
      <c r="C5535" s="538" t="s">
        <v>740</v>
      </c>
      <c r="D5535" s="538" t="s">
        <v>393</v>
      </c>
      <c r="E5535" s="538" t="s">
        <v>419</v>
      </c>
      <c r="F5535" s="538">
        <v>33984</v>
      </c>
      <c r="G5535" s="538">
        <v>3</v>
      </c>
    </row>
    <row r="5536" spans="1:7" x14ac:dyDescent="0.2">
      <c r="A5536" s="538">
        <v>2</v>
      </c>
      <c r="B5536" s="538" t="s">
        <v>6573</v>
      </c>
      <c r="C5536" s="538" t="s">
        <v>740</v>
      </c>
      <c r="D5536" s="538" t="s">
        <v>393</v>
      </c>
      <c r="E5536" s="538" t="s">
        <v>211</v>
      </c>
      <c r="F5536" s="538">
        <v>2065257</v>
      </c>
      <c r="G5536" s="538">
        <v>29</v>
      </c>
    </row>
    <row r="5537" spans="1:7" x14ac:dyDescent="0.2">
      <c r="A5537" s="538">
        <v>2</v>
      </c>
      <c r="B5537" s="538" t="s">
        <v>6576</v>
      </c>
      <c r="C5537" s="538" t="s">
        <v>393</v>
      </c>
      <c r="D5537" s="538" t="s">
        <v>393</v>
      </c>
      <c r="E5537" s="538" t="s">
        <v>390</v>
      </c>
      <c r="F5537" s="538">
        <v>8072533</v>
      </c>
      <c r="G5537" s="538">
        <v>201</v>
      </c>
    </row>
    <row r="5538" spans="1:7" x14ac:dyDescent="0.2">
      <c r="A5538" s="538">
        <v>4</v>
      </c>
      <c r="B5538" s="538" t="s">
        <v>6593</v>
      </c>
      <c r="C5538" s="538" t="s">
        <v>740</v>
      </c>
      <c r="D5538" s="538" t="s">
        <v>393</v>
      </c>
      <c r="E5538" s="538" t="s">
        <v>207</v>
      </c>
      <c r="F5538" s="538">
        <v>157176</v>
      </c>
      <c r="G5538" s="538">
        <v>7</v>
      </c>
    </row>
    <row r="5539" spans="1:7" x14ac:dyDescent="0.2">
      <c r="A5539" s="538">
        <v>3</v>
      </c>
      <c r="B5539" s="538" t="s">
        <v>6586</v>
      </c>
      <c r="C5539" s="538" t="s">
        <v>740</v>
      </c>
      <c r="D5539" s="538" t="s">
        <v>393</v>
      </c>
      <c r="E5539" s="538" t="s">
        <v>860</v>
      </c>
      <c r="F5539" s="538">
        <v>129564</v>
      </c>
      <c r="G5539" s="538">
        <v>8</v>
      </c>
    </row>
    <row r="5540" spans="1:7" x14ac:dyDescent="0.2">
      <c r="A5540" s="538">
        <v>8</v>
      </c>
      <c r="B5540" s="538" t="s">
        <v>6577</v>
      </c>
      <c r="C5540" s="538" t="s">
        <v>740</v>
      </c>
      <c r="D5540" s="538" t="s">
        <v>740</v>
      </c>
      <c r="E5540" s="538" t="s">
        <v>401</v>
      </c>
      <c r="F5540" s="538">
        <v>1046955</v>
      </c>
      <c r="G5540" s="538">
        <v>80</v>
      </c>
    </row>
    <row r="5541" spans="1:7" x14ac:dyDescent="0.2">
      <c r="A5541" s="538">
        <v>3</v>
      </c>
      <c r="B5541" s="538" t="s">
        <v>6578</v>
      </c>
      <c r="C5541" s="538" t="s">
        <v>393</v>
      </c>
      <c r="D5541" s="538" t="s">
        <v>393</v>
      </c>
      <c r="E5541" s="538" t="s">
        <v>438</v>
      </c>
      <c r="F5541" s="538">
        <v>8582002</v>
      </c>
      <c r="G5541" s="538">
        <v>59</v>
      </c>
    </row>
    <row r="5542" spans="1:7" x14ac:dyDescent="0.2">
      <c r="A5542" s="538">
        <v>3</v>
      </c>
      <c r="B5542" s="538" t="s">
        <v>6578</v>
      </c>
      <c r="C5542" s="538" t="s">
        <v>393</v>
      </c>
      <c r="D5542" s="538" t="s">
        <v>393</v>
      </c>
      <c r="E5542" s="538" t="s">
        <v>206</v>
      </c>
      <c r="F5542" s="538">
        <v>496433</v>
      </c>
      <c r="G5542" s="538">
        <v>1</v>
      </c>
    </row>
    <row r="5543" spans="1:7" x14ac:dyDescent="0.2">
      <c r="A5543" s="538">
        <v>3</v>
      </c>
      <c r="B5543" s="538" t="s">
        <v>1390</v>
      </c>
      <c r="C5543" s="538" t="s">
        <v>393</v>
      </c>
      <c r="D5543" s="538" t="s">
        <v>393</v>
      </c>
      <c r="E5543" s="538" t="s">
        <v>207</v>
      </c>
      <c r="F5543" s="538">
        <v>9731356</v>
      </c>
      <c r="G5543" s="538">
        <v>552</v>
      </c>
    </row>
    <row r="5544" spans="1:7" x14ac:dyDescent="0.2">
      <c r="A5544" s="538">
        <v>1</v>
      </c>
      <c r="B5544" s="538" t="s">
        <v>6602</v>
      </c>
      <c r="C5544" s="538" t="s">
        <v>740</v>
      </c>
      <c r="D5544" s="538" t="s">
        <v>740</v>
      </c>
      <c r="E5544" s="538" t="s">
        <v>402</v>
      </c>
      <c r="F5544" s="538">
        <v>22656</v>
      </c>
      <c r="G5544" s="538">
        <v>2</v>
      </c>
    </row>
    <row r="5545" spans="1:7" x14ac:dyDescent="0.2">
      <c r="A5545" s="538">
        <v>8</v>
      </c>
      <c r="B5545" s="538" t="s">
        <v>6658</v>
      </c>
      <c r="C5545" s="538" t="s">
        <v>393</v>
      </c>
      <c r="D5545" s="538" t="s">
        <v>393</v>
      </c>
      <c r="E5545" s="538" t="s">
        <v>401</v>
      </c>
      <c r="F5545" s="538">
        <v>108147</v>
      </c>
      <c r="G5545" s="538">
        <v>4</v>
      </c>
    </row>
    <row r="5546" spans="1:7" x14ac:dyDescent="0.2">
      <c r="A5546" s="538">
        <v>2</v>
      </c>
      <c r="B5546" s="538" t="s">
        <v>6656</v>
      </c>
      <c r="C5546" s="538" t="s">
        <v>393</v>
      </c>
      <c r="D5546" s="538" t="s">
        <v>740</v>
      </c>
      <c r="E5546" s="538" t="s">
        <v>202</v>
      </c>
      <c r="F5546" s="538">
        <v>951500</v>
      </c>
      <c r="G5546" s="538">
        <v>10</v>
      </c>
    </row>
    <row r="5547" spans="1:7" x14ac:dyDescent="0.2">
      <c r="A5547" s="538">
        <v>6</v>
      </c>
      <c r="B5547" s="538" t="s">
        <v>6575</v>
      </c>
      <c r="C5547" s="538" t="s">
        <v>740</v>
      </c>
      <c r="D5547" s="538" t="s">
        <v>740</v>
      </c>
      <c r="E5547" s="538" t="s">
        <v>230</v>
      </c>
      <c r="F5547" s="538">
        <v>169743</v>
      </c>
      <c r="G5547" s="538">
        <v>6</v>
      </c>
    </row>
    <row r="5548" spans="1:7" x14ac:dyDescent="0.2">
      <c r="A5548" s="538">
        <v>1</v>
      </c>
      <c r="B5548" s="538" t="s">
        <v>6602</v>
      </c>
      <c r="C5548" s="538" t="s">
        <v>740</v>
      </c>
      <c r="D5548" s="538" t="s">
        <v>393</v>
      </c>
      <c r="E5548" s="538" t="s">
        <v>230</v>
      </c>
      <c r="F5548" s="538">
        <v>45312</v>
      </c>
      <c r="G5548" s="538">
        <v>4</v>
      </c>
    </row>
    <row r="5549" spans="1:7" x14ac:dyDescent="0.2">
      <c r="A5549" s="538">
        <v>3</v>
      </c>
      <c r="B5549" s="538" t="s">
        <v>6561</v>
      </c>
      <c r="C5549" s="538" t="s">
        <v>393</v>
      </c>
      <c r="D5549" s="538" t="s">
        <v>740</v>
      </c>
      <c r="E5549" s="538" t="s">
        <v>416</v>
      </c>
      <c r="F5549" s="538">
        <v>8492502</v>
      </c>
      <c r="G5549" s="538">
        <v>279</v>
      </c>
    </row>
    <row r="5550" spans="1:7" x14ac:dyDescent="0.2">
      <c r="A5550" s="538">
        <v>7</v>
      </c>
      <c r="B5550" s="538" t="s">
        <v>6564</v>
      </c>
      <c r="C5550" s="538" t="s">
        <v>393</v>
      </c>
      <c r="D5550" s="538" t="s">
        <v>393</v>
      </c>
      <c r="E5550" s="538" t="s">
        <v>211</v>
      </c>
      <c r="F5550" s="538">
        <v>31982778</v>
      </c>
      <c r="G5550" s="538">
        <v>406</v>
      </c>
    </row>
    <row r="5551" spans="1:7" x14ac:dyDescent="0.2">
      <c r="A5551" s="538">
        <v>10</v>
      </c>
      <c r="B5551" s="538" t="s">
        <v>6600</v>
      </c>
      <c r="C5551" s="538" t="s">
        <v>740</v>
      </c>
      <c r="D5551" s="538" t="s">
        <v>393</v>
      </c>
      <c r="E5551" s="538" t="s">
        <v>402</v>
      </c>
      <c r="F5551" s="538">
        <v>493122</v>
      </c>
      <c r="G5551" s="538">
        <v>29</v>
      </c>
    </row>
    <row r="5552" spans="1:7" x14ac:dyDescent="0.2">
      <c r="A5552" s="538">
        <v>8</v>
      </c>
      <c r="B5552" s="538" t="s">
        <v>6658</v>
      </c>
      <c r="C5552" s="538" t="s">
        <v>740</v>
      </c>
      <c r="D5552" s="538" t="s">
        <v>393</v>
      </c>
      <c r="E5552" s="538" t="s">
        <v>207</v>
      </c>
      <c r="F5552" s="538">
        <v>549939</v>
      </c>
      <c r="G5552" s="538">
        <v>43</v>
      </c>
    </row>
    <row r="5553" spans="1:7" x14ac:dyDescent="0.2">
      <c r="A5553" s="538">
        <v>10</v>
      </c>
      <c r="B5553" s="538" t="s">
        <v>6611</v>
      </c>
      <c r="C5553" s="538" t="s">
        <v>740</v>
      </c>
      <c r="D5553" s="538" t="s">
        <v>393</v>
      </c>
      <c r="E5553" s="538" t="s">
        <v>210</v>
      </c>
      <c r="F5553" s="538">
        <v>22656</v>
      </c>
      <c r="G5553" s="538">
        <v>2</v>
      </c>
    </row>
    <row r="5554" spans="1:7" x14ac:dyDescent="0.2">
      <c r="A5554" s="538">
        <v>3</v>
      </c>
      <c r="B5554" s="538" t="s">
        <v>6578</v>
      </c>
      <c r="C5554" s="538" t="s">
        <v>740</v>
      </c>
      <c r="D5554" s="538" t="s">
        <v>740</v>
      </c>
      <c r="E5554" s="538" t="s">
        <v>390</v>
      </c>
      <c r="F5554" s="538">
        <v>74163</v>
      </c>
      <c r="G5554" s="538">
        <v>1</v>
      </c>
    </row>
    <row r="5555" spans="1:7" x14ac:dyDescent="0.2">
      <c r="A5555" s="538">
        <v>7</v>
      </c>
      <c r="B5555" s="538" t="s">
        <v>6594</v>
      </c>
      <c r="C5555" s="538" t="s">
        <v>740</v>
      </c>
      <c r="D5555" s="538" t="s">
        <v>393</v>
      </c>
      <c r="E5555" s="538" t="s">
        <v>230</v>
      </c>
      <c r="F5555" s="538">
        <v>158415</v>
      </c>
      <c r="G5555" s="538">
        <v>5</v>
      </c>
    </row>
    <row r="5556" spans="1:7" x14ac:dyDescent="0.2">
      <c r="A5556" s="538">
        <v>10</v>
      </c>
      <c r="B5556" s="538" t="s">
        <v>6652</v>
      </c>
      <c r="C5556" s="538" t="s">
        <v>393</v>
      </c>
      <c r="D5556" s="538" t="s">
        <v>393</v>
      </c>
      <c r="E5556" s="538" t="s">
        <v>860</v>
      </c>
      <c r="F5556" s="538">
        <v>33984</v>
      </c>
      <c r="G5556" s="538">
        <v>3</v>
      </c>
    </row>
    <row r="5557" spans="1:7" x14ac:dyDescent="0.2">
      <c r="A5557" s="538">
        <v>8</v>
      </c>
      <c r="B5557" s="538" t="s">
        <v>6658</v>
      </c>
      <c r="C5557" s="538" t="s">
        <v>393</v>
      </c>
      <c r="D5557" s="538" t="s">
        <v>393</v>
      </c>
      <c r="E5557" s="538" t="s">
        <v>212</v>
      </c>
      <c r="F5557" s="538">
        <v>912258</v>
      </c>
      <c r="G5557" s="538">
        <v>66</v>
      </c>
    </row>
    <row r="5558" spans="1:7" x14ac:dyDescent="0.2">
      <c r="A5558" s="538">
        <v>4</v>
      </c>
      <c r="B5558" s="538" t="s">
        <v>6574</v>
      </c>
      <c r="C5558" s="538" t="s">
        <v>740</v>
      </c>
      <c r="D5558" s="538" t="s">
        <v>393</v>
      </c>
      <c r="E5558" s="538" t="s">
        <v>207</v>
      </c>
      <c r="F5558" s="538">
        <v>1457064</v>
      </c>
      <c r="G5558" s="538">
        <v>103</v>
      </c>
    </row>
    <row r="5559" spans="1:7" x14ac:dyDescent="0.2">
      <c r="A5559" s="538">
        <v>4</v>
      </c>
      <c r="B5559" s="538" t="s">
        <v>6559</v>
      </c>
      <c r="C5559" s="538" t="s">
        <v>740</v>
      </c>
      <c r="D5559" s="538" t="s">
        <v>740</v>
      </c>
      <c r="E5559" s="538" t="s">
        <v>401</v>
      </c>
      <c r="F5559" s="538">
        <v>11328</v>
      </c>
      <c r="G5559" s="538">
        <v>1</v>
      </c>
    </row>
    <row r="5560" spans="1:7" x14ac:dyDescent="0.2">
      <c r="A5560" s="538">
        <v>2</v>
      </c>
      <c r="B5560" s="538" t="s">
        <v>6055</v>
      </c>
      <c r="C5560" s="538" t="s">
        <v>740</v>
      </c>
      <c r="D5560" s="538" t="s">
        <v>740</v>
      </c>
      <c r="E5560" s="538" t="s">
        <v>416</v>
      </c>
      <c r="F5560" s="538">
        <v>68348824</v>
      </c>
      <c r="G5560" s="538">
        <v>1628</v>
      </c>
    </row>
    <row r="5561" spans="1:7" x14ac:dyDescent="0.2">
      <c r="A5561" s="538">
        <v>2</v>
      </c>
      <c r="B5561" s="538" t="s">
        <v>6654</v>
      </c>
      <c r="C5561" s="538" t="s">
        <v>393</v>
      </c>
      <c r="D5561" s="538" t="s">
        <v>393</v>
      </c>
      <c r="E5561" s="538" t="s">
        <v>402</v>
      </c>
      <c r="F5561" s="538">
        <v>1669995</v>
      </c>
      <c r="G5561" s="538">
        <v>75</v>
      </c>
    </row>
    <row r="5562" spans="1:7" x14ac:dyDescent="0.2">
      <c r="A5562" s="538">
        <v>3</v>
      </c>
      <c r="B5562" s="538" t="s">
        <v>6591</v>
      </c>
      <c r="C5562" s="538" t="s">
        <v>740</v>
      </c>
      <c r="D5562" s="538" t="s">
        <v>393</v>
      </c>
      <c r="E5562" s="538" t="s">
        <v>209</v>
      </c>
      <c r="F5562" s="538">
        <v>50268</v>
      </c>
      <c r="G5562" s="538">
        <v>1</v>
      </c>
    </row>
    <row r="5563" spans="1:7" x14ac:dyDescent="0.2">
      <c r="A5563" s="538">
        <v>7</v>
      </c>
      <c r="B5563" s="538" t="s">
        <v>6571</v>
      </c>
      <c r="C5563" s="538" t="s">
        <v>740</v>
      </c>
      <c r="D5563" s="538" t="s">
        <v>393</v>
      </c>
      <c r="E5563" s="538" t="s">
        <v>211</v>
      </c>
      <c r="F5563" s="538">
        <v>169743</v>
      </c>
      <c r="G5563" s="538">
        <v>6</v>
      </c>
    </row>
    <row r="5564" spans="1:7" x14ac:dyDescent="0.2">
      <c r="A5564" s="538">
        <v>11</v>
      </c>
      <c r="B5564" s="538" t="s">
        <v>6659</v>
      </c>
      <c r="C5564" s="538" t="s">
        <v>393</v>
      </c>
      <c r="D5564" s="538" t="s">
        <v>393</v>
      </c>
      <c r="E5564" s="538" t="s">
        <v>207</v>
      </c>
      <c r="F5564" s="538">
        <v>4928180</v>
      </c>
      <c r="G5564" s="538">
        <v>180</v>
      </c>
    </row>
    <row r="5565" spans="1:7" x14ac:dyDescent="0.2">
      <c r="A5565" s="538">
        <v>12</v>
      </c>
      <c r="B5565" s="538" t="s">
        <v>6569</v>
      </c>
      <c r="C5565" s="538" t="s">
        <v>740</v>
      </c>
      <c r="D5565" s="538" t="s">
        <v>393</v>
      </c>
      <c r="E5565" s="538" t="s">
        <v>209</v>
      </c>
      <c r="F5565" s="538">
        <v>21405122</v>
      </c>
      <c r="G5565" s="538">
        <v>124</v>
      </c>
    </row>
    <row r="5566" spans="1:7" x14ac:dyDescent="0.2">
      <c r="A5566" s="538">
        <v>4</v>
      </c>
      <c r="B5566" s="538" t="s">
        <v>6574</v>
      </c>
      <c r="C5566" s="538" t="s">
        <v>393</v>
      </c>
      <c r="D5566" s="538" t="s">
        <v>740</v>
      </c>
      <c r="E5566" s="538" t="s">
        <v>202</v>
      </c>
      <c r="F5566" s="538">
        <v>620864</v>
      </c>
      <c r="G5566" s="538">
        <v>3</v>
      </c>
    </row>
    <row r="5567" spans="1:7" x14ac:dyDescent="0.2">
      <c r="A5567" s="538">
        <v>4</v>
      </c>
      <c r="B5567" s="538" t="s">
        <v>6562</v>
      </c>
      <c r="C5567" s="538" t="s">
        <v>740</v>
      </c>
      <c r="D5567" s="538" t="s">
        <v>393</v>
      </c>
      <c r="E5567" s="538" t="s">
        <v>402</v>
      </c>
      <c r="F5567" s="538">
        <v>4306233</v>
      </c>
      <c r="G5567" s="538">
        <v>271</v>
      </c>
    </row>
    <row r="5568" spans="1:7" x14ac:dyDescent="0.2">
      <c r="A5568" s="538">
        <v>2</v>
      </c>
      <c r="B5568" s="538" t="s">
        <v>6608</v>
      </c>
      <c r="C5568" s="538" t="s">
        <v>740</v>
      </c>
      <c r="D5568" s="538" t="s">
        <v>393</v>
      </c>
      <c r="E5568" s="538" t="s">
        <v>401</v>
      </c>
      <c r="F5568" s="538">
        <v>61596</v>
      </c>
      <c r="G5568" s="538">
        <v>2</v>
      </c>
    </row>
    <row r="5569" spans="1:7" x14ac:dyDescent="0.2">
      <c r="A5569" s="538">
        <v>5</v>
      </c>
      <c r="B5569" s="538" t="s">
        <v>6568</v>
      </c>
      <c r="C5569" s="538" t="s">
        <v>393</v>
      </c>
      <c r="D5569" s="538" t="s">
        <v>393</v>
      </c>
      <c r="E5569" s="538" t="s">
        <v>449</v>
      </c>
      <c r="F5569" s="538">
        <v>413826</v>
      </c>
      <c r="G5569" s="538">
        <v>22</v>
      </c>
    </row>
    <row r="5570" spans="1:7" x14ac:dyDescent="0.2">
      <c r="A5570" s="538">
        <v>1</v>
      </c>
      <c r="B5570" s="538" t="s">
        <v>1288</v>
      </c>
      <c r="C5570" s="538" t="s">
        <v>740</v>
      </c>
      <c r="D5570" s="538" t="s">
        <v>393</v>
      </c>
      <c r="E5570" s="538" t="s">
        <v>230</v>
      </c>
      <c r="F5570" s="538">
        <v>1740035</v>
      </c>
      <c r="G5570" s="538">
        <v>45</v>
      </c>
    </row>
    <row r="5571" spans="1:7" x14ac:dyDescent="0.2">
      <c r="A5571" s="538">
        <v>4</v>
      </c>
      <c r="B5571" s="538" t="s">
        <v>6572</v>
      </c>
      <c r="C5571" s="538" t="s">
        <v>740</v>
      </c>
      <c r="D5571" s="538" t="s">
        <v>740</v>
      </c>
      <c r="E5571" s="538" t="s">
        <v>313</v>
      </c>
      <c r="F5571" s="538">
        <v>11328</v>
      </c>
      <c r="G5571" s="538">
        <v>1</v>
      </c>
    </row>
    <row r="5572" spans="1:7" x14ac:dyDescent="0.2">
      <c r="A5572" s="538">
        <v>8</v>
      </c>
      <c r="B5572" s="538" t="s">
        <v>6658</v>
      </c>
      <c r="C5572" s="538" t="s">
        <v>740</v>
      </c>
      <c r="D5572" s="538" t="s">
        <v>393</v>
      </c>
      <c r="E5572" s="538" t="s">
        <v>416</v>
      </c>
      <c r="F5572" s="538">
        <v>905126</v>
      </c>
      <c r="G5572" s="538">
        <v>17</v>
      </c>
    </row>
    <row r="5573" spans="1:7" x14ac:dyDescent="0.2">
      <c r="A5573" s="538">
        <v>7</v>
      </c>
      <c r="B5573" s="538" t="s">
        <v>6564</v>
      </c>
      <c r="C5573" s="538" t="s">
        <v>740</v>
      </c>
      <c r="D5573" s="538" t="s">
        <v>740</v>
      </c>
      <c r="E5573" s="538" t="s">
        <v>409</v>
      </c>
      <c r="F5573" s="538">
        <v>305856</v>
      </c>
      <c r="G5573" s="538">
        <v>27</v>
      </c>
    </row>
    <row r="5574" spans="1:7" x14ac:dyDescent="0.2">
      <c r="A5574" s="538">
        <v>3</v>
      </c>
      <c r="B5574" s="538" t="s">
        <v>6586</v>
      </c>
      <c r="C5574" s="538" t="s">
        <v>740</v>
      </c>
      <c r="D5574" s="538" t="s">
        <v>393</v>
      </c>
      <c r="E5574" s="538" t="s">
        <v>449</v>
      </c>
      <c r="F5574" s="538">
        <v>814023</v>
      </c>
      <c r="G5574" s="538">
        <v>56</v>
      </c>
    </row>
    <row r="5575" spans="1:7" x14ac:dyDescent="0.2">
      <c r="A5575" s="538">
        <v>4</v>
      </c>
      <c r="B5575" s="538" t="s">
        <v>6590</v>
      </c>
      <c r="C5575" s="538" t="s">
        <v>740</v>
      </c>
      <c r="D5575" s="538" t="s">
        <v>740</v>
      </c>
      <c r="E5575" s="538" t="s">
        <v>207</v>
      </c>
      <c r="F5575" s="538">
        <v>339840</v>
      </c>
      <c r="G5575" s="538">
        <v>30</v>
      </c>
    </row>
    <row r="5576" spans="1:7" x14ac:dyDescent="0.2">
      <c r="A5576" s="538">
        <v>10</v>
      </c>
      <c r="B5576" s="538" t="s">
        <v>6653</v>
      </c>
      <c r="C5576" s="538" t="s">
        <v>740</v>
      </c>
      <c r="D5576" s="538" t="s">
        <v>393</v>
      </c>
      <c r="E5576" s="538" t="s">
        <v>390</v>
      </c>
      <c r="F5576" s="538">
        <v>9966766</v>
      </c>
      <c r="G5576" s="538">
        <v>352</v>
      </c>
    </row>
    <row r="5577" spans="1:7" x14ac:dyDescent="0.2">
      <c r="A5577" s="538">
        <v>2</v>
      </c>
      <c r="B5577" s="538" t="s">
        <v>6654</v>
      </c>
      <c r="C5577" s="538" t="s">
        <v>740</v>
      </c>
      <c r="D5577" s="538" t="s">
        <v>393</v>
      </c>
      <c r="E5577" s="538" t="s">
        <v>402</v>
      </c>
      <c r="F5577" s="538">
        <v>11328</v>
      </c>
      <c r="G5577" s="538">
        <v>1</v>
      </c>
    </row>
    <row r="5578" spans="1:7" x14ac:dyDescent="0.2">
      <c r="A5578" s="538">
        <v>1</v>
      </c>
      <c r="B5578" s="538" t="s">
        <v>1288</v>
      </c>
      <c r="C5578" s="538" t="s">
        <v>740</v>
      </c>
      <c r="D5578" s="538" t="s">
        <v>393</v>
      </c>
      <c r="E5578" s="538" t="s">
        <v>390</v>
      </c>
      <c r="F5578" s="538">
        <v>8072939</v>
      </c>
      <c r="G5578" s="538">
        <v>243</v>
      </c>
    </row>
    <row r="5579" spans="1:7" x14ac:dyDescent="0.2">
      <c r="A5579" s="538">
        <v>8</v>
      </c>
      <c r="B5579" s="538" t="s">
        <v>6577</v>
      </c>
      <c r="C5579" s="538" t="s">
        <v>393</v>
      </c>
      <c r="D5579" s="538" t="s">
        <v>393</v>
      </c>
      <c r="E5579" s="538" t="s">
        <v>212</v>
      </c>
      <c r="F5579" s="538">
        <v>979164</v>
      </c>
      <c r="G5579" s="538">
        <v>83</v>
      </c>
    </row>
    <row r="5580" spans="1:7" x14ac:dyDescent="0.2">
      <c r="A5580" s="538">
        <v>6</v>
      </c>
      <c r="B5580" s="538" t="s">
        <v>6596</v>
      </c>
      <c r="C5580" s="538" t="s">
        <v>740</v>
      </c>
      <c r="D5580" s="538" t="s">
        <v>393</v>
      </c>
      <c r="E5580" s="538" t="s">
        <v>313</v>
      </c>
      <c r="F5580" s="538">
        <v>507761</v>
      </c>
      <c r="G5580" s="538">
        <v>2</v>
      </c>
    </row>
    <row r="5581" spans="1:7" x14ac:dyDescent="0.2">
      <c r="A5581" s="538">
        <v>2</v>
      </c>
      <c r="B5581" s="538" t="s">
        <v>6055</v>
      </c>
      <c r="C5581" s="538" t="s">
        <v>740</v>
      </c>
      <c r="D5581" s="538" t="s">
        <v>393</v>
      </c>
      <c r="E5581" s="538" t="s">
        <v>438</v>
      </c>
      <c r="F5581" s="538">
        <v>1259428</v>
      </c>
      <c r="G5581" s="538">
        <v>11</v>
      </c>
    </row>
    <row r="5582" spans="1:7" x14ac:dyDescent="0.2">
      <c r="A5582" s="538">
        <v>3</v>
      </c>
      <c r="B5582" s="538" t="s">
        <v>6647</v>
      </c>
      <c r="C5582" s="538" t="s">
        <v>740</v>
      </c>
      <c r="D5582" s="538" t="s">
        <v>740</v>
      </c>
      <c r="E5582" s="538" t="s">
        <v>212</v>
      </c>
      <c r="F5582" s="538">
        <v>22656</v>
      </c>
      <c r="G5582" s="538">
        <v>2</v>
      </c>
    </row>
    <row r="5583" spans="1:7" x14ac:dyDescent="0.2">
      <c r="A5583" s="538">
        <v>5</v>
      </c>
      <c r="B5583" s="538" t="s">
        <v>6599</v>
      </c>
      <c r="C5583" s="538" t="s">
        <v>393</v>
      </c>
      <c r="D5583" s="538" t="s">
        <v>393</v>
      </c>
      <c r="E5583" s="538" t="s">
        <v>209</v>
      </c>
      <c r="F5583" s="538">
        <v>2208221</v>
      </c>
      <c r="G5583" s="538">
        <v>7</v>
      </c>
    </row>
    <row r="5584" spans="1:7" x14ac:dyDescent="0.2">
      <c r="A5584" s="538">
        <v>9</v>
      </c>
      <c r="B5584" s="538" t="s">
        <v>948</v>
      </c>
      <c r="C5584" s="538" t="s">
        <v>740</v>
      </c>
      <c r="D5584" s="538" t="s">
        <v>393</v>
      </c>
      <c r="E5584" s="538" t="s">
        <v>402</v>
      </c>
      <c r="F5584" s="538">
        <v>11328</v>
      </c>
      <c r="G5584" s="538">
        <v>1</v>
      </c>
    </row>
    <row r="5585" spans="1:7" x14ac:dyDescent="0.2">
      <c r="A5585" s="538">
        <v>8</v>
      </c>
      <c r="B5585" s="538" t="s">
        <v>6570</v>
      </c>
      <c r="C5585" s="538" t="s">
        <v>740</v>
      </c>
      <c r="D5585" s="538" t="s">
        <v>740</v>
      </c>
      <c r="E5585" s="538" t="s">
        <v>438</v>
      </c>
      <c r="F5585" s="538">
        <v>1211638</v>
      </c>
      <c r="G5585" s="538">
        <v>11</v>
      </c>
    </row>
    <row r="5586" spans="1:7" x14ac:dyDescent="0.2">
      <c r="A5586" s="538">
        <v>1</v>
      </c>
      <c r="B5586" s="538" t="s">
        <v>6609</v>
      </c>
      <c r="C5586" s="538" t="s">
        <v>740</v>
      </c>
      <c r="D5586" s="538" t="s">
        <v>740</v>
      </c>
      <c r="E5586" s="538" t="s">
        <v>209</v>
      </c>
      <c r="F5586" s="538">
        <v>496433</v>
      </c>
      <c r="G5586" s="538">
        <v>1</v>
      </c>
    </row>
    <row r="5587" spans="1:7" x14ac:dyDescent="0.2">
      <c r="A5587" s="538">
        <v>6</v>
      </c>
      <c r="B5587" s="538" t="s">
        <v>6596</v>
      </c>
      <c r="C5587" s="538" t="s">
        <v>740</v>
      </c>
      <c r="D5587" s="538" t="s">
        <v>393</v>
      </c>
      <c r="E5587" s="538" t="s">
        <v>416</v>
      </c>
      <c r="F5587" s="538">
        <v>33984</v>
      </c>
      <c r="G5587" s="538">
        <v>3</v>
      </c>
    </row>
    <row r="5588" spans="1:7" x14ac:dyDescent="0.2">
      <c r="A5588" s="538">
        <v>6</v>
      </c>
      <c r="B5588" s="538" t="s">
        <v>6596</v>
      </c>
      <c r="C5588" s="538" t="s">
        <v>393</v>
      </c>
      <c r="D5588" s="538" t="s">
        <v>740</v>
      </c>
      <c r="E5588" s="538" t="s">
        <v>409</v>
      </c>
      <c r="F5588" s="538">
        <v>95580</v>
      </c>
      <c r="G5588" s="538">
        <v>5</v>
      </c>
    </row>
    <row r="5589" spans="1:7" x14ac:dyDescent="0.2">
      <c r="A5589" s="538">
        <v>7</v>
      </c>
      <c r="B5589" s="538" t="s">
        <v>6661</v>
      </c>
      <c r="C5589" s="538" t="s">
        <v>740</v>
      </c>
      <c r="D5589" s="538" t="s">
        <v>393</v>
      </c>
      <c r="E5589" s="538" t="s">
        <v>207</v>
      </c>
      <c r="F5589" s="538">
        <v>33984</v>
      </c>
      <c r="G5589" s="538">
        <v>3</v>
      </c>
    </row>
    <row r="5590" spans="1:7" x14ac:dyDescent="0.2">
      <c r="A5590" s="538">
        <v>2</v>
      </c>
      <c r="B5590" s="538" t="s">
        <v>6585</v>
      </c>
      <c r="C5590" s="538" t="s">
        <v>740</v>
      </c>
      <c r="D5590" s="538" t="s">
        <v>393</v>
      </c>
      <c r="E5590" s="538" t="s">
        <v>409</v>
      </c>
      <c r="F5590" s="538">
        <v>22656</v>
      </c>
      <c r="G5590" s="538">
        <v>2</v>
      </c>
    </row>
    <row r="5591" spans="1:7" x14ac:dyDescent="0.2">
      <c r="A5591" s="538">
        <v>2</v>
      </c>
      <c r="B5591" s="538" t="s">
        <v>6573</v>
      </c>
      <c r="C5591" s="538" t="s">
        <v>393</v>
      </c>
      <c r="D5591" s="538" t="s">
        <v>393</v>
      </c>
      <c r="E5591" s="538" t="s">
        <v>210</v>
      </c>
      <c r="F5591" s="538">
        <v>1661041</v>
      </c>
      <c r="G5591" s="538">
        <v>52</v>
      </c>
    </row>
    <row r="5592" spans="1:7" x14ac:dyDescent="0.2">
      <c r="A5592" s="538">
        <v>11</v>
      </c>
      <c r="B5592" s="538" t="s">
        <v>6584</v>
      </c>
      <c r="C5592" s="538" t="s">
        <v>740</v>
      </c>
      <c r="D5592" s="538" t="s">
        <v>393</v>
      </c>
      <c r="E5592" s="538" t="s">
        <v>390</v>
      </c>
      <c r="F5592" s="538">
        <v>67968</v>
      </c>
      <c r="G5592" s="538">
        <v>6</v>
      </c>
    </row>
    <row r="5593" spans="1:7" x14ac:dyDescent="0.2">
      <c r="A5593" s="538">
        <v>2</v>
      </c>
      <c r="B5593" s="538" t="s">
        <v>6573</v>
      </c>
      <c r="C5593" s="538" t="s">
        <v>740</v>
      </c>
      <c r="D5593" s="538" t="s">
        <v>393</v>
      </c>
      <c r="E5593" s="538" t="s">
        <v>401</v>
      </c>
      <c r="F5593" s="538">
        <v>960881</v>
      </c>
      <c r="G5593" s="538">
        <v>42</v>
      </c>
    </row>
    <row r="5594" spans="1:7" x14ac:dyDescent="0.2">
      <c r="A5594" s="538">
        <v>11</v>
      </c>
      <c r="B5594" s="538" t="s">
        <v>6558</v>
      </c>
      <c r="C5594" s="538" t="s">
        <v>740</v>
      </c>
      <c r="D5594" s="538" t="s">
        <v>393</v>
      </c>
      <c r="E5594" s="538" t="s">
        <v>313</v>
      </c>
      <c r="F5594" s="538">
        <v>50268</v>
      </c>
      <c r="G5594" s="538">
        <v>1</v>
      </c>
    </row>
    <row r="5595" spans="1:7" x14ac:dyDescent="0.2">
      <c r="A5595" s="538">
        <v>1</v>
      </c>
      <c r="B5595" s="538" t="s">
        <v>6646</v>
      </c>
      <c r="C5595" s="538" t="s">
        <v>740</v>
      </c>
      <c r="D5595" s="538" t="s">
        <v>393</v>
      </c>
      <c r="E5595" s="538" t="s">
        <v>211</v>
      </c>
      <c r="F5595" s="538">
        <v>3691783</v>
      </c>
      <c r="G5595" s="538">
        <v>51</v>
      </c>
    </row>
    <row r="5596" spans="1:7" x14ac:dyDescent="0.2">
      <c r="A5596" s="538">
        <v>9</v>
      </c>
      <c r="B5596" s="538" t="s">
        <v>6644</v>
      </c>
      <c r="C5596" s="538" t="s">
        <v>740</v>
      </c>
      <c r="D5596" s="538" t="s">
        <v>393</v>
      </c>
      <c r="E5596" s="538" t="s">
        <v>207</v>
      </c>
      <c r="F5596" s="538">
        <v>2894783</v>
      </c>
      <c r="G5596" s="538">
        <v>176</v>
      </c>
    </row>
    <row r="5597" spans="1:7" x14ac:dyDescent="0.2">
      <c r="A5597" s="538">
        <v>1</v>
      </c>
      <c r="B5597" s="538" t="s">
        <v>6649</v>
      </c>
      <c r="C5597" s="538" t="s">
        <v>740</v>
      </c>
      <c r="D5597" s="538" t="s">
        <v>393</v>
      </c>
      <c r="E5597" s="538" t="s">
        <v>409</v>
      </c>
      <c r="F5597" s="538">
        <v>11328</v>
      </c>
      <c r="G5597" s="538">
        <v>1</v>
      </c>
    </row>
    <row r="5598" spans="1:7" x14ac:dyDescent="0.2">
      <c r="A5598" s="538">
        <v>8</v>
      </c>
      <c r="B5598" s="538" t="s">
        <v>6577</v>
      </c>
      <c r="C5598" s="538" t="s">
        <v>740</v>
      </c>
      <c r="D5598" s="538" t="s">
        <v>740</v>
      </c>
      <c r="E5598" s="538" t="s">
        <v>860</v>
      </c>
      <c r="F5598" s="538">
        <v>45312</v>
      </c>
      <c r="G5598" s="538">
        <v>4</v>
      </c>
    </row>
    <row r="5599" spans="1:7" x14ac:dyDescent="0.2">
      <c r="A5599" s="538">
        <v>3</v>
      </c>
      <c r="B5599" s="538" t="s">
        <v>6586</v>
      </c>
      <c r="C5599" s="538" t="s">
        <v>740</v>
      </c>
      <c r="D5599" s="538" t="s">
        <v>740</v>
      </c>
      <c r="E5599" s="538" t="s">
        <v>409</v>
      </c>
      <c r="F5599" s="538">
        <v>938631</v>
      </c>
      <c r="G5599" s="538">
        <v>67</v>
      </c>
    </row>
    <row r="5600" spans="1:7" x14ac:dyDescent="0.2">
      <c r="A5600" s="538">
        <v>3</v>
      </c>
      <c r="B5600" s="538" t="s">
        <v>1390</v>
      </c>
      <c r="C5600" s="538" t="s">
        <v>740</v>
      </c>
      <c r="D5600" s="538" t="s">
        <v>393</v>
      </c>
      <c r="E5600" s="538" t="s">
        <v>402</v>
      </c>
      <c r="F5600" s="538">
        <v>2102177</v>
      </c>
      <c r="G5600" s="538">
        <v>59</v>
      </c>
    </row>
    <row r="5601" spans="1:7" x14ac:dyDescent="0.2">
      <c r="A5601" s="538">
        <v>8</v>
      </c>
      <c r="B5601" s="538" t="s">
        <v>6560</v>
      </c>
      <c r="C5601" s="538" t="s">
        <v>393</v>
      </c>
      <c r="D5601" s="538" t="s">
        <v>393</v>
      </c>
      <c r="E5601" s="538" t="s">
        <v>212</v>
      </c>
      <c r="F5601" s="538">
        <v>781455</v>
      </c>
      <c r="G5601" s="538">
        <v>60</v>
      </c>
    </row>
    <row r="5602" spans="1:7" x14ac:dyDescent="0.2">
      <c r="A5602" s="538">
        <v>6</v>
      </c>
      <c r="B5602" s="538" t="s">
        <v>6429</v>
      </c>
      <c r="C5602" s="538" t="s">
        <v>393</v>
      </c>
      <c r="D5602" s="538" t="s">
        <v>393</v>
      </c>
      <c r="E5602" s="538" t="s">
        <v>230</v>
      </c>
      <c r="F5602" s="538">
        <v>3122249</v>
      </c>
      <c r="G5602" s="538">
        <v>38</v>
      </c>
    </row>
    <row r="5603" spans="1:7" x14ac:dyDescent="0.2">
      <c r="A5603" s="538">
        <v>9</v>
      </c>
      <c r="B5603" s="538" t="s">
        <v>6606</v>
      </c>
      <c r="C5603" s="538" t="s">
        <v>393</v>
      </c>
      <c r="D5603" s="538" t="s">
        <v>393</v>
      </c>
      <c r="E5603" s="538" t="s">
        <v>202</v>
      </c>
      <c r="F5603" s="538">
        <v>10880951</v>
      </c>
      <c r="G5603" s="538">
        <v>87</v>
      </c>
    </row>
    <row r="5604" spans="1:7" x14ac:dyDescent="0.2">
      <c r="A5604" s="538">
        <v>10</v>
      </c>
      <c r="B5604" s="538" t="s">
        <v>6652</v>
      </c>
      <c r="C5604" s="538" t="s">
        <v>740</v>
      </c>
      <c r="D5604" s="538" t="s">
        <v>393</v>
      </c>
      <c r="E5604" s="538" t="s">
        <v>230</v>
      </c>
      <c r="F5604" s="538">
        <v>22656</v>
      </c>
      <c r="G5604" s="538">
        <v>2</v>
      </c>
    </row>
    <row r="5605" spans="1:7" x14ac:dyDescent="0.2">
      <c r="A5605" s="538">
        <v>5</v>
      </c>
      <c r="B5605" s="538" t="s">
        <v>6598</v>
      </c>
      <c r="C5605" s="538" t="s">
        <v>740</v>
      </c>
      <c r="D5605" s="538" t="s">
        <v>393</v>
      </c>
      <c r="E5605" s="538" t="s">
        <v>860</v>
      </c>
      <c r="F5605" s="538">
        <v>5010287</v>
      </c>
      <c r="G5605" s="538">
        <v>284</v>
      </c>
    </row>
    <row r="5606" spans="1:7" x14ac:dyDescent="0.2">
      <c r="A5606" s="538">
        <v>3</v>
      </c>
      <c r="B5606" s="538" t="s">
        <v>6578</v>
      </c>
      <c r="C5606" s="538" t="s">
        <v>393</v>
      </c>
      <c r="D5606" s="538" t="s">
        <v>393</v>
      </c>
      <c r="E5606" s="538" t="s">
        <v>230</v>
      </c>
      <c r="F5606" s="538">
        <v>5966868</v>
      </c>
      <c r="G5606" s="538">
        <v>151</v>
      </c>
    </row>
    <row r="5607" spans="1:7" x14ac:dyDescent="0.2">
      <c r="A5607" s="538">
        <v>3</v>
      </c>
      <c r="B5607" s="538" t="s">
        <v>6591</v>
      </c>
      <c r="C5607" s="538" t="s">
        <v>740</v>
      </c>
      <c r="D5607" s="538" t="s">
        <v>393</v>
      </c>
      <c r="E5607" s="538" t="s">
        <v>209</v>
      </c>
      <c r="F5607" s="538">
        <v>358248</v>
      </c>
      <c r="G5607" s="538">
        <v>6</v>
      </c>
    </row>
    <row r="5608" spans="1:7" x14ac:dyDescent="0.2">
      <c r="A5608" s="538">
        <v>3</v>
      </c>
      <c r="B5608" s="538" t="s">
        <v>1390</v>
      </c>
      <c r="C5608" s="538" t="s">
        <v>740</v>
      </c>
      <c r="D5608" s="538" t="s">
        <v>393</v>
      </c>
      <c r="E5608" s="538" t="s">
        <v>409</v>
      </c>
      <c r="F5608" s="538">
        <v>191160</v>
      </c>
      <c r="G5608" s="538">
        <v>10</v>
      </c>
    </row>
    <row r="5609" spans="1:7" x14ac:dyDescent="0.2">
      <c r="A5609" s="538">
        <v>4</v>
      </c>
      <c r="B5609" s="538" t="s">
        <v>6593</v>
      </c>
      <c r="C5609" s="538" t="s">
        <v>740</v>
      </c>
      <c r="D5609" s="538" t="s">
        <v>740</v>
      </c>
      <c r="E5609" s="538" t="s">
        <v>202</v>
      </c>
      <c r="F5609" s="538">
        <v>4637973</v>
      </c>
      <c r="G5609" s="538">
        <v>41</v>
      </c>
    </row>
    <row r="5610" spans="1:7" x14ac:dyDescent="0.2">
      <c r="A5610" s="538">
        <v>2</v>
      </c>
      <c r="B5610" s="538" t="s">
        <v>6055</v>
      </c>
      <c r="C5610" s="538" t="s">
        <v>740</v>
      </c>
      <c r="D5610" s="538" t="s">
        <v>740</v>
      </c>
      <c r="E5610" s="538" t="s">
        <v>390</v>
      </c>
      <c r="F5610" s="538">
        <v>55414516</v>
      </c>
      <c r="G5610" s="538">
        <v>1637</v>
      </c>
    </row>
    <row r="5611" spans="1:7" x14ac:dyDescent="0.2">
      <c r="A5611" s="538">
        <v>11</v>
      </c>
      <c r="B5611" s="538" t="s">
        <v>6592</v>
      </c>
      <c r="C5611" s="538" t="s">
        <v>393</v>
      </c>
      <c r="D5611" s="538" t="s">
        <v>393</v>
      </c>
      <c r="E5611" s="538" t="s">
        <v>419</v>
      </c>
      <c r="F5611" s="538">
        <v>615908</v>
      </c>
      <c r="G5611" s="538">
        <v>6</v>
      </c>
    </row>
    <row r="5612" spans="1:7" x14ac:dyDescent="0.2">
      <c r="A5612" s="538">
        <v>4</v>
      </c>
      <c r="B5612" s="538" t="s">
        <v>6559</v>
      </c>
      <c r="C5612" s="538" t="s">
        <v>393</v>
      </c>
      <c r="D5612" s="538" t="s">
        <v>393</v>
      </c>
      <c r="E5612" s="538" t="s">
        <v>230</v>
      </c>
      <c r="F5612" s="538">
        <v>743223</v>
      </c>
      <c r="G5612" s="538">
        <v>36</v>
      </c>
    </row>
    <row r="5613" spans="1:7" x14ac:dyDescent="0.2">
      <c r="A5613" s="538">
        <v>11</v>
      </c>
      <c r="B5613" s="538" t="s">
        <v>6584</v>
      </c>
      <c r="C5613" s="538" t="s">
        <v>740</v>
      </c>
      <c r="D5613" s="538" t="s">
        <v>393</v>
      </c>
      <c r="E5613" s="538" t="s">
        <v>230</v>
      </c>
      <c r="F5613" s="538">
        <v>85491</v>
      </c>
      <c r="G5613" s="538">
        <v>2</v>
      </c>
    </row>
    <row r="5614" spans="1:7" x14ac:dyDescent="0.2">
      <c r="A5614" s="538">
        <v>7</v>
      </c>
      <c r="B5614" s="538" t="s">
        <v>6564</v>
      </c>
      <c r="C5614" s="538" t="s">
        <v>740</v>
      </c>
      <c r="D5614" s="538" t="s">
        <v>740</v>
      </c>
      <c r="E5614" s="538" t="s">
        <v>860</v>
      </c>
      <c r="F5614" s="538">
        <v>134520</v>
      </c>
      <c r="G5614" s="538">
        <v>5</v>
      </c>
    </row>
    <row r="5615" spans="1:7" x14ac:dyDescent="0.2">
      <c r="A5615" s="538">
        <v>8</v>
      </c>
      <c r="B5615" s="538" t="s">
        <v>6570</v>
      </c>
      <c r="C5615" s="538" t="s">
        <v>740</v>
      </c>
      <c r="D5615" s="538" t="s">
        <v>740</v>
      </c>
      <c r="E5615" s="538" t="s">
        <v>416</v>
      </c>
      <c r="F5615" s="538">
        <v>11328</v>
      </c>
      <c r="G5615" s="538">
        <v>1</v>
      </c>
    </row>
    <row r="5616" spans="1:7" x14ac:dyDescent="0.2">
      <c r="A5616" s="538">
        <v>5</v>
      </c>
      <c r="B5616" s="538" t="s">
        <v>6598</v>
      </c>
      <c r="C5616" s="538" t="s">
        <v>740</v>
      </c>
      <c r="D5616" s="538" t="s">
        <v>393</v>
      </c>
      <c r="E5616" s="538" t="s">
        <v>416</v>
      </c>
      <c r="F5616" s="538">
        <v>56640</v>
      </c>
      <c r="G5616" s="538">
        <v>5</v>
      </c>
    </row>
    <row r="5617" spans="1:7" x14ac:dyDescent="0.2">
      <c r="A5617" s="538">
        <v>3</v>
      </c>
      <c r="B5617" s="538" t="s">
        <v>6561</v>
      </c>
      <c r="C5617" s="538" t="s">
        <v>740</v>
      </c>
      <c r="D5617" s="538" t="s">
        <v>393</v>
      </c>
      <c r="E5617" s="538" t="s">
        <v>230</v>
      </c>
      <c r="F5617" s="538">
        <v>13761886</v>
      </c>
      <c r="G5617" s="538">
        <v>362</v>
      </c>
    </row>
    <row r="5618" spans="1:7" x14ac:dyDescent="0.2">
      <c r="A5618" s="538">
        <v>6</v>
      </c>
      <c r="B5618" s="538" t="s">
        <v>6433</v>
      </c>
      <c r="C5618" s="538" t="s">
        <v>393</v>
      </c>
      <c r="D5618" s="538" t="s">
        <v>393</v>
      </c>
      <c r="E5618" s="538" t="s">
        <v>409</v>
      </c>
      <c r="F5618" s="538">
        <v>3908660</v>
      </c>
      <c r="G5618" s="538">
        <v>90</v>
      </c>
    </row>
    <row r="5619" spans="1:7" x14ac:dyDescent="0.2">
      <c r="A5619" s="538">
        <v>2</v>
      </c>
      <c r="B5619" s="538" t="s">
        <v>6654</v>
      </c>
      <c r="C5619" s="538" t="s">
        <v>393</v>
      </c>
      <c r="D5619" s="538" t="s">
        <v>740</v>
      </c>
      <c r="E5619" s="538" t="s">
        <v>210</v>
      </c>
      <c r="F5619" s="538">
        <v>61596</v>
      </c>
      <c r="G5619" s="538">
        <v>2</v>
      </c>
    </row>
    <row r="5620" spans="1:7" x14ac:dyDescent="0.2">
      <c r="A5620" s="538">
        <v>6</v>
      </c>
      <c r="B5620" s="538" t="s">
        <v>6575</v>
      </c>
      <c r="C5620" s="538" t="s">
        <v>740</v>
      </c>
      <c r="D5620" s="538" t="s">
        <v>393</v>
      </c>
      <c r="E5620" s="538" t="s">
        <v>438</v>
      </c>
      <c r="F5620" s="538">
        <v>11328</v>
      </c>
      <c r="G5620" s="538">
        <v>1</v>
      </c>
    </row>
    <row r="5621" spans="1:7" x14ac:dyDescent="0.2">
      <c r="A5621" s="538">
        <v>6</v>
      </c>
      <c r="B5621" s="538" t="s">
        <v>6575</v>
      </c>
      <c r="C5621" s="538" t="s">
        <v>740</v>
      </c>
      <c r="D5621" s="538" t="s">
        <v>393</v>
      </c>
      <c r="E5621" s="538" t="s">
        <v>402</v>
      </c>
      <c r="F5621" s="538">
        <v>23962094</v>
      </c>
      <c r="G5621" s="538">
        <v>1088</v>
      </c>
    </row>
    <row r="5622" spans="1:7" x14ac:dyDescent="0.2">
      <c r="A5622" s="538">
        <v>2</v>
      </c>
      <c r="B5622" s="538" t="s">
        <v>6055</v>
      </c>
      <c r="C5622" s="538" t="s">
        <v>393</v>
      </c>
      <c r="D5622" s="538" t="s">
        <v>740</v>
      </c>
      <c r="E5622" s="538" t="s">
        <v>390</v>
      </c>
      <c r="F5622" s="538">
        <v>1023185</v>
      </c>
      <c r="G5622" s="538">
        <v>15</v>
      </c>
    </row>
    <row r="5623" spans="1:7" x14ac:dyDescent="0.2">
      <c r="A5623" s="538">
        <v>5</v>
      </c>
      <c r="B5623" s="538" t="s">
        <v>6598</v>
      </c>
      <c r="C5623" s="538" t="s">
        <v>740</v>
      </c>
      <c r="D5623" s="538" t="s">
        <v>393</v>
      </c>
      <c r="E5623" s="538" t="s">
        <v>416</v>
      </c>
      <c r="F5623" s="538">
        <v>38355371</v>
      </c>
      <c r="G5623" s="538">
        <v>997</v>
      </c>
    </row>
    <row r="5624" spans="1:7" x14ac:dyDescent="0.2">
      <c r="A5624" s="538">
        <v>10</v>
      </c>
      <c r="B5624" s="538" t="s">
        <v>6653</v>
      </c>
      <c r="C5624" s="538" t="s">
        <v>740</v>
      </c>
      <c r="D5624" s="538" t="s">
        <v>740</v>
      </c>
      <c r="E5624" s="538" t="s">
        <v>207</v>
      </c>
      <c r="F5624" s="538">
        <v>283200</v>
      </c>
      <c r="G5624" s="538">
        <v>25</v>
      </c>
    </row>
    <row r="5625" spans="1:7" x14ac:dyDescent="0.2">
      <c r="A5625" s="538">
        <v>11</v>
      </c>
      <c r="B5625" s="538" t="s">
        <v>6610</v>
      </c>
      <c r="C5625" s="538" t="s">
        <v>740</v>
      </c>
      <c r="D5625" s="538" t="s">
        <v>740</v>
      </c>
      <c r="E5625" s="538" t="s">
        <v>416</v>
      </c>
      <c r="F5625" s="538">
        <v>9540894</v>
      </c>
      <c r="G5625" s="538">
        <v>218</v>
      </c>
    </row>
    <row r="5626" spans="1:7" x14ac:dyDescent="0.2">
      <c r="A5626" s="538">
        <v>4</v>
      </c>
      <c r="B5626" s="538" t="s">
        <v>6562</v>
      </c>
      <c r="C5626" s="538" t="s">
        <v>740</v>
      </c>
      <c r="D5626" s="538" t="s">
        <v>393</v>
      </c>
      <c r="E5626" s="538" t="s">
        <v>416</v>
      </c>
      <c r="F5626" s="538">
        <v>441261</v>
      </c>
      <c r="G5626" s="538">
        <v>12</v>
      </c>
    </row>
    <row r="5627" spans="1:7" x14ac:dyDescent="0.2">
      <c r="A5627" s="538">
        <v>6</v>
      </c>
      <c r="B5627" s="538" t="s">
        <v>6607</v>
      </c>
      <c r="C5627" s="538" t="s">
        <v>740</v>
      </c>
      <c r="D5627" s="538" t="s">
        <v>393</v>
      </c>
      <c r="E5627" s="538" t="s">
        <v>313</v>
      </c>
      <c r="F5627" s="538">
        <v>7308695</v>
      </c>
      <c r="G5627" s="538">
        <v>50</v>
      </c>
    </row>
    <row r="5628" spans="1:7" x14ac:dyDescent="0.2">
      <c r="A5628" s="538">
        <v>2</v>
      </c>
      <c r="B5628" s="538" t="s">
        <v>6656</v>
      </c>
      <c r="C5628" s="538" t="s">
        <v>740</v>
      </c>
      <c r="D5628" s="538" t="s">
        <v>393</v>
      </c>
      <c r="E5628" s="538" t="s">
        <v>210</v>
      </c>
      <c r="F5628" s="538">
        <v>11328</v>
      </c>
      <c r="G5628" s="538">
        <v>1</v>
      </c>
    </row>
    <row r="5629" spans="1:7" x14ac:dyDescent="0.2">
      <c r="A5629" s="538">
        <v>11</v>
      </c>
      <c r="B5629" s="538" t="s">
        <v>6612</v>
      </c>
      <c r="C5629" s="538" t="s">
        <v>740</v>
      </c>
      <c r="D5629" s="538" t="s">
        <v>740</v>
      </c>
      <c r="E5629" s="538" t="s">
        <v>207</v>
      </c>
      <c r="F5629" s="538">
        <v>2064705</v>
      </c>
      <c r="G5629" s="538">
        <v>145</v>
      </c>
    </row>
    <row r="5630" spans="1:7" x14ac:dyDescent="0.2">
      <c r="A5630" s="538">
        <v>1</v>
      </c>
      <c r="B5630" s="538" t="s">
        <v>6609</v>
      </c>
      <c r="C5630" s="538" t="s">
        <v>393</v>
      </c>
      <c r="D5630" s="538" t="s">
        <v>393</v>
      </c>
      <c r="E5630" s="538" t="s">
        <v>449</v>
      </c>
      <c r="F5630" s="538">
        <v>197532</v>
      </c>
      <c r="G5630" s="538">
        <v>14</v>
      </c>
    </row>
    <row r="5631" spans="1:7" x14ac:dyDescent="0.2">
      <c r="A5631" s="538">
        <v>10</v>
      </c>
      <c r="B5631" s="538" t="s">
        <v>6611</v>
      </c>
      <c r="C5631" s="538" t="s">
        <v>740</v>
      </c>
      <c r="D5631" s="538" t="s">
        <v>393</v>
      </c>
      <c r="E5631" s="538" t="s">
        <v>207</v>
      </c>
      <c r="F5631" s="538">
        <v>45312</v>
      </c>
      <c r="G5631" s="538">
        <v>4</v>
      </c>
    </row>
    <row r="5632" spans="1:7" x14ac:dyDescent="0.2">
      <c r="A5632" s="538">
        <v>10</v>
      </c>
      <c r="B5632" s="538" t="s">
        <v>6600</v>
      </c>
      <c r="C5632" s="538" t="s">
        <v>393</v>
      </c>
      <c r="D5632" s="538" t="s">
        <v>393</v>
      </c>
      <c r="E5632" s="538" t="s">
        <v>438</v>
      </c>
      <c r="F5632" s="538">
        <v>8197152</v>
      </c>
      <c r="G5632" s="538">
        <v>39</v>
      </c>
    </row>
    <row r="5633" spans="1:7" x14ac:dyDescent="0.2">
      <c r="A5633" s="538">
        <v>10</v>
      </c>
      <c r="B5633" s="538" t="s">
        <v>6600</v>
      </c>
      <c r="C5633" s="538" t="s">
        <v>393</v>
      </c>
      <c r="D5633" s="538" t="s">
        <v>393</v>
      </c>
      <c r="E5633" s="538" t="s">
        <v>206</v>
      </c>
      <c r="F5633" s="538">
        <v>74163</v>
      </c>
      <c r="G5633" s="538">
        <v>1</v>
      </c>
    </row>
    <row r="5634" spans="1:7" x14ac:dyDescent="0.2">
      <c r="A5634" s="538">
        <v>5</v>
      </c>
      <c r="B5634" s="538" t="s">
        <v>6599</v>
      </c>
      <c r="C5634" s="538" t="s">
        <v>393</v>
      </c>
      <c r="D5634" s="538" t="s">
        <v>393</v>
      </c>
      <c r="E5634" s="538" t="s">
        <v>449</v>
      </c>
      <c r="F5634" s="538">
        <v>587057</v>
      </c>
      <c r="G5634" s="538">
        <v>9</v>
      </c>
    </row>
    <row r="5635" spans="1:7" x14ac:dyDescent="0.2">
      <c r="A5635" s="538">
        <v>4</v>
      </c>
      <c r="B5635" s="538" t="s">
        <v>6590</v>
      </c>
      <c r="C5635" s="538" t="s">
        <v>393</v>
      </c>
      <c r="D5635" s="538" t="s">
        <v>393</v>
      </c>
      <c r="E5635" s="538" t="s">
        <v>209</v>
      </c>
      <c r="F5635" s="538">
        <v>3236414</v>
      </c>
      <c r="G5635" s="538">
        <v>23</v>
      </c>
    </row>
    <row r="5636" spans="1:7" x14ac:dyDescent="0.2">
      <c r="A5636" s="538">
        <v>2</v>
      </c>
      <c r="B5636" s="538" t="s">
        <v>6662</v>
      </c>
      <c r="C5636" s="538" t="s">
        <v>740</v>
      </c>
      <c r="D5636" s="538" t="s">
        <v>393</v>
      </c>
      <c r="E5636" s="538" t="s">
        <v>402</v>
      </c>
      <c r="F5636" s="538">
        <v>1416531</v>
      </c>
      <c r="G5636" s="538">
        <v>87</v>
      </c>
    </row>
    <row r="5637" spans="1:7" x14ac:dyDescent="0.2">
      <c r="A5637" s="538">
        <v>9</v>
      </c>
      <c r="B5637" s="538" t="s">
        <v>6615</v>
      </c>
      <c r="C5637" s="538" t="s">
        <v>393</v>
      </c>
      <c r="D5637" s="538" t="s">
        <v>740</v>
      </c>
      <c r="E5637" s="538" t="s">
        <v>449</v>
      </c>
      <c r="F5637" s="538">
        <v>163548</v>
      </c>
      <c r="G5637" s="538">
        <v>11</v>
      </c>
    </row>
    <row r="5638" spans="1:7" x14ac:dyDescent="0.2">
      <c r="A5638" s="538">
        <v>4</v>
      </c>
      <c r="B5638" s="538" t="s">
        <v>6572</v>
      </c>
      <c r="C5638" s="538" t="s">
        <v>740</v>
      </c>
      <c r="D5638" s="538" t="s">
        <v>393</v>
      </c>
      <c r="E5638" s="538" t="s">
        <v>401</v>
      </c>
      <c r="F5638" s="538">
        <v>5587245</v>
      </c>
      <c r="G5638" s="538">
        <v>65</v>
      </c>
    </row>
    <row r="5639" spans="1:7" x14ac:dyDescent="0.2">
      <c r="A5639" s="538">
        <v>10</v>
      </c>
      <c r="B5639" s="538" t="s">
        <v>6597</v>
      </c>
      <c r="C5639" s="538" t="s">
        <v>393</v>
      </c>
      <c r="D5639" s="538" t="s">
        <v>393</v>
      </c>
      <c r="E5639" s="538" t="s">
        <v>209</v>
      </c>
      <c r="F5639" s="538">
        <v>1289518</v>
      </c>
      <c r="G5639" s="538">
        <v>6</v>
      </c>
    </row>
    <row r="5640" spans="1:7" x14ac:dyDescent="0.2">
      <c r="A5640" s="538">
        <v>9</v>
      </c>
      <c r="B5640" s="538" t="s">
        <v>6615</v>
      </c>
      <c r="C5640" s="538" t="s">
        <v>740</v>
      </c>
      <c r="D5640" s="538" t="s">
        <v>393</v>
      </c>
      <c r="E5640" s="538" t="s">
        <v>230</v>
      </c>
      <c r="F5640" s="538">
        <v>18245973</v>
      </c>
      <c r="G5640" s="538">
        <v>386</v>
      </c>
    </row>
    <row r="5641" spans="1:7" x14ac:dyDescent="0.2">
      <c r="A5641" s="538">
        <v>4</v>
      </c>
      <c r="B5641" s="538" t="s">
        <v>6574</v>
      </c>
      <c r="C5641" s="538" t="s">
        <v>740</v>
      </c>
      <c r="D5641" s="538" t="s">
        <v>393</v>
      </c>
      <c r="E5641" s="538" t="s">
        <v>416</v>
      </c>
      <c r="F5641" s="538">
        <v>1028724</v>
      </c>
      <c r="G5641" s="538">
        <v>48</v>
      </c>
    </row>
    <row r="5642" spans="1:7" x14ac:dyDescent="0.2">
      <c r="A5642" s="538">
        <v>6</v>
      </c>
      <c r="B5642" s="538" t="s">
        <v>6565</v>
      </c>
      <c r="C5642" s="538" t="s">
        <v>740</v>
      </c>
      <c r="D5642" s="538" t="s">
        <v>740</v>
      </c>
      <c r="E5642" s="538" t="s">
        <v>409</v>
      </c>
      <c r="F5642" s="538">
        <v>11328</v>
      </c>
      <c r="G5642" s="538">
        <v>1</v>
      </c>
    </row>
    <row r="5643" spans="1:7" x14ac:dyDescent="0.2">
      <c r="A5643" s="538">
        <v>2</v>
      </c>
      <c r="B5643" s="538" t="s">
        <v>6573</v>
      </c>
      <c r="C5643" s="538" t="s">
        <v>740</v>
      </c>
      <c r="D5643" s="538" t="s">
        <v>393</v>
      </c>
      <c r="E5643" s="538" t="s">
        <v>402</v>
      </c>
      <c r="F5643" s="538">
        <v>3226533</v>
      </c>
      <c r="G5643" s="538">
        <v>251</v>
      </c>
    </row>
    <row r="5644" spans="1:7" x14ac:dyDescent="0.2">
      <c r="A5644" s="538">
        <v>6</v>
      </c>
      <c r="B5644" s="538" t="s">
        <v>6429</v>
      </c>
      <c r="C5644" s="538" t="s">
        <v>393</v>
      </c>
      <c r="D5644" s="538" t="s">
        <v>393</v>
      </c>
      <c r="E5644" s="538" t="s">
        <v>207</v>
      </c>
      <c r="F5644" s="538">
        <v>1150448</v>
      </c>
      <c r="G5644" s="538">
        <v>31</v>
      </c>
    </row>
    <row r="5645" spans="1:7" x14ac:dyDescent="0.2">
      <c r="A5645" s="538">
        <v>7</v>
      </c>
      <c r="B5645" s="538" t="s">
        <v>6580</v>
      </c>
      <c r="C5645" s="538" t="s">
        <v>740</v>
      </c>
      <c r="D5645" s="538" t="s">
        <v>393</v>
      </c>
      <c r="E5645" s="538" t="s">
        <v>402</v>
      </c>
      <c r="F5645" s="538">
        <v>2272628</v>
      </c>
      <c r="G5645" s="538">
        <v>106</v>
      </c>
    </row>
    <row r="5646" spans="1:7" x14ac:dyDescent="0.2">
      <c r="A5646" s="538">
        <v>7</v>
      </c>
      <c r="B5646" s="538" t="s">
        <v>6655</v>
      </c>
      <c r="C5646" s="538" t="s">
        <v>393</v>
      </c>
      <c r="D5646" s="538" t="s">
        <v>393</v>
      </c>
      <c r="E5646" s="538" t="s">
        <v>230</v>
      </c>
      <c r="F5646" s="538">
        <v>7223506</v>
      </c>
      <c r="G5646" s="538">
        <v>67</v>
      </c>
    </row>
    <row r="5647" spans="1:7" x14ac:dyDescent="0.2">
      <c r="A5647" s="538">
        <v>5</v>
      </c>
      <c r="B5647" s="538" t="s">
        <v>6589</v>
      </c>
      <c r="C5647" s="538" t="s">
        <v>740</v>
      </c>
      <c r="D5647" s="538" t="s">
        <v>393</v>
      </c>
      <c r="E5647" s="538" t="s">
        <v>212</v>
      </c>
      <c r="F5647" s="538">
        <v>1949301</v>
      </c>
      <c r="G5647" s="538">
        <v>152</v>
      </c>
    </row>
    <row r="5648" spans="1:7" x14ac:dyDescent="0.2">
      <c r="A5648" s="538">
        <v>9</v>
      </c>
      <c r="B5648" s="538" t="s">
        <v>6615</v>
      </c>
      <c r="C5648" s="538" t="s">
        <v>393</v>
      </c>
      <c r="D5648" s="538" t="s">
        <v>740</v>
      </c>
      <c r="E5648" s="538" t="s">
        <v>211</v>
      </c>
      <c r="F5648" s="538">
        <v>614721</v>
      </c>
      <c r="G5648" s="538">
        <v>12</v>
      </c>
    </row>
    <row r="5649" spans="1:7" x14ac:dyDescent="0.2">
      <c r="A5649" s="538">
        <v>11</v>
      </c>
      <c r="B5649" s="538" t="s">
        <v>6592</v>
      </c>
      <c r="C5649" s="538" t="s">
        <v>740</v>
      </c>
      <c r="D5649" s="538" t="s">
        <v>740</v>
      </c>
      <c r="E5649" s="538" t="s">
        <v>209</v>
      </c>
      <c r="F5649" s="538">
        <v>1489299</v>
      </c>
      <c r="G5649" s="538">
        <v>3</v>
      </c>
    </row>
    <row r="5650" spans="1:7" x14ac:dyDescent="0.2">
      <c r="A5650" s="538">
        <v>10</v>
      </c>
      <c r="B5650" s="538" t="s">
        <v>6600</v>
      </c>
      <c r="C5650" s="538" t="s">
        <v>393</v>
      </c>
      <c r="D5650" s="538" t="s">
        <v>393</v>
      </c>
      <c r="E5650" s="538" t="s">
        <v>210</v>
      </c>
      <c r="F5650" s="538">
        <v>436305</v>
      </c>
      <c r="G5650" s="538">
        <v>15</v>
      </c>
    </row>
    <row r="5651" spans="1:7" x14ac:dyDescent="0.2">
      <c r="A5651" s="538">
        <v>8</v>
      </c>
      <c r="B5651" s="538" t="s">
        <v>6577</v>
      </c>
      <c r="C5651" s="538" t="s">
        <v>740</v>
      </c>
      <c r="D5651" s="538" t="s">
        <v>740</v>
      </c>
      <c r="E5651" s="538" t="s">
        <v>202</v>
      </c>
      <c r="F5651" s="538">
        <v>570596</v>
      </c>
      <c r="G5651" s="538">
        <v>2</v>
      </c>
    </row>
    <row r="5652" spans="1:7" x14ac:dyDescent="0.2">
      <c r="A5652" s="538">
        <v>4</v>
      </c>
      <c r="B5652" s="538" t="s">
        <v>6572</v>
      </c>
      <c r="C5652" s="538" t="s">
        <v>740</v>
      </c>
      <c r="D5652" s="538" t="s">
        <v>393</v>
      </c>
      <c r="E5652" s="538" t="s">
        <v>449</v>
      </c>
      <c r="F5652" s="538">
        <v>11328</v>
      </c>
      <c r="G5652" s="538">
        <v>1</v>
      </c>
    </row>
    <row r="5653" spans="1:7" x14ac:dyDescent="0.2">
      <c r="A5653" s="538">
        <v>4</v>
      </c>
      <c r="B5653" s="538" t="s">
        <v>6590</v>
      </c>
      <c r="C5653" s="538" t="s">
        <v>393</v>
      </c>
      <c r="D5653" s="538" t="s">
        <v>740</v>
      </c>
      <c r="E5653" s="538" t="s">
        <v>438</v>
      </c>
      <c r="F5653" s="538">
        <v>667415</v>
      </c>
      <c r="G5653" s="538">
        <v>5</v>
      </c>
    </row>
    <row r="5654" spans="1:7" x14ac:dyDescent="0.2">
      <c r="A5654" s="538">
        <v>4</v>
      </c>
      <c r="B5654" s="538" t="s">
        <v>6590</v>
      </c>
      <c r="C5654" s="538" t="s">
        <v>393</v>
      </c>
      <c r="D5654" s="538" t="s">
        <v>740</v>
      </c>
      <c r="E5654" s="538" t="s">
        <v>206</v>
      </c>
      <c r="F5654" s="538">
        <v>496433</v>
      </c>
      <c r="G5654" s="538">
        <v>1</v>
      </c>
    </row>
    <row r="5655" spans="1:7" x14ac:dyDescent="0.2">
      <c r="A5655" s="538">
        <v>8</v>
      </c>
      <c r="B5655" s="538" t="s">
        <v>6567</v>
      </c>
      <c r="C5655" s="538" t="s">
        <v>393</v>
      </c>
      <c r="D5655" s="538" t="s">
        <v>393</v>
      </c>
      <c r="E5655" s="538" t="s">
        <v>313</v>
      </c>
      <c r="F5655" s="538">
        <v>1734444</v>
      </c>
      <c r="G5655" s="538">
        <v>8</v>
      </c>
    </row>
    <row r="5656" spans="1:7" x14ac:dyDescent="0.2">
      <c r="A5656" s="538">
        <v>7</v>
      </c>
      <c r="B5656" s="538" t="s">
        <v>6604</v>
      </c>
      <c r="C5656" s="538" t="s">
        <v>740</v>
      </c>
      <c r="D5656" s="538" t="s">
        <v>393</v>
      </c>
      <c r="E5656" s="538" t="s">
        <v>416</v>
      </c>
      <c r="F5656" s="538">
        <v>22656</v>
      </c>
      <c r="G5656" s="538">
        <v>2</v>
      </c>
    </row>
    <row r="5657" spans="1:7" x14ac:dyDescent="0.2">
      <c r="A5657" s="538">
        <v>8</v>
      </c>
      <c r="B5657" s="538" t="s">
        <v>6560</v>
      </c>
      <c r="C5657" s="538" t="s">
        <v>740</v>
      </c>
      <c r="D5657" s="538" t="s">
        <v>393</v>
      </c>
      <c r="E5657" s="538" t="s">
        <v>211</v>
      </c>
      <c r="F5657" s="538">
        <v>9945266</v>
      </c>
      <c r="G5657" s="538">
        <v>287</v>
      </c>
    </row>
    <row r="5658" spans="1:7" x14ac:dyDescent="0.2">
      <c r="A5658" s="538">
        <v>11</v>
      </c>
      <c r="B5658" s="538" t="s">
        <v>6610</v>
      </c>
      <c r="C5658" s="538" t="s">
        <v>393</v>
      </c>
      <c r="D5658" s="538" t="s">
        <v>393</v>
      </c>
      <c r="E5658" s="538" t="s">
        <v>402</v>
      </c>
      <c r="F5658" s="538">
        <v>5288198</v>
      </c>
      <c r="G5658" s="538">
        <v>141</v>
      </c>
    </row>
    <row r="5659" spans="1:7" x14ac:dyDescent="0.2">
      <c r="A5659" s="538">
        <v>2</v>
      </c>
      <c r="B5659" s="538" t="s">
        <v>6573</v>
      </c>
      <c r="C5659" s="538" t="s">
        <v>393</v>
      </c>
      <c r="D5659" s="538" t="s">
        <v>393</v>
      </c>
      <c r="E5659" s="538" t="s">
        <v>409</v>
      </c>
      <c r="F5659" s="538">
        <v>3897738</v>
      </c>
      <c r="G5659" s="538">
        <v>116</v>
      </c>
    </row>
    <row r="5660" spans="1:7" x14ac:dyDescent="0.2">
      <c r="A5660" s="538">
        <v>2</v>
      </c>
      <c r="B5660" s="538" t="s">
        <v>6656</v>
      </c>
      <c r="C5660" s="538" t="s">
        <v>740</v>
      </c>
      <c r="D5660" s="538" t="s">
        <v>393</v>
      </c>
      <c r="E5660" s="538" t="s">
        <v>416</v>
      </c>
      <c r="F5660" s="538">
        <v>95580</v>
      </c>
      <c r="G5660" s="538">
        <v>5</v>
      </c>
    </row>
    <row r="5661" spans="1:7" x14ac:dyDescent="0.2">
      <c r="A5661" s="538">
        <v>3</v>
      </c>
      <c r="B5661" s="538" t="s">
        <v>6578</v>
      </c>
      <c r="C5661" s="538" t="s">
        <v>740</v>
      </c>
      <c r="D5661" s="538" t="s">
        <v>740</v>
      </c>
      <c r="E5661" s="538" t="s">
        <v>207</v>
      </c>
      <c r="F5661" s="538">
        <v>108147</v>
      </c>
      <c r="G5661" s="538">
        <v>4</v>
      </c>
    </row>
    <row r="5662" spans="1:7" x14ac:dyDescent="0.2">
      <c r="A5662" s="538">
        <v>3</v>
      </c>
      <c r="B5662" s="538" t="s">
        <v>6578</v>
      </c>
      <c r="C5662" s="538" t="s">
        <v>740</v>
      </c>
      <c r="D5662" s="538" t="s">
        <v>740</v>
      </c>
      <c r="E5662" s="538" t="s">
        <v>402</v>
      </c>
      <c r="F5662" s="538">
        <v>11328</v>
      </c>
      <c r="G5662" s="538">
        <v>1</v>
      </c>
    </row>
    <row r="5663" spans="1:7" x14ac:dyDescent="0.2">
      <c r="A5663" s="538">
        <v>1</v>
      </c>
      <c r="B5663" s="538" t="s">
        <v>6663</v>
      </c>
      <c r="C5663" s="538" t="s">
        <v>393</v>
      </c>
      <c r="D5663" s="538" t="s">
        <v>740</v>
      </c>
      <c r="E5663" s="538" t="s">
        <v>202</v>
      </c>
      <c r="F5663" s="538">
        <v>294174</v>
      </c>
      <c r="G5663" s="538">
        <v>8</v>
      </c>
    </row>
    <row r="5664" spans="1:7" x14ac:dyDescent="0.2">
      <c r="A5664" s="538">
        <v>1</v>
      </c>
      <c r="B5664" s="538" t="s">
        <v>6602</v>
      </c>
      <c r="C5664" s="538" t="s">
        <v>393</v>
      </c>
      <c r="D5664" s="538" t="s">
        <v>393</v>
      </c>
      <c r="E5664" s="538" t="s">
        <v>230</v>
      </c>
      <c r="F5664" s="538">
        <v>1994436</v>
      </c>
      <c r="G5664" s="538">
        <v>77</v>
      </c>
    </row>
    <row r="5665" spans="1:7" x14ac:dyDescent="0.2">
      <c r="A5665" s="538">
        <v>2</v>
      </c>
      <c r="B5665" s="538" t="s">
        <v>6656</v>
      </c>
      <c r="C5665" s="538" t="s">
        <v>740</v>
      </c>
      <c r="D5665" s="538" t="s">
        <v>393</v>
      </c>
      <c r="E5665" s="538" t="s">
        <v>230</v>
      </c>
      <c r="F5665" s="538">
        <v>61596</v>
      </c>
      <c r="G5665" s="538">
        <v>2</v>
      </c>
    </row>
    <row r="5666" spans="1:7" x14ac:dyDescent="0.2">
      <c r="A5666" s="538">
        <v>1</v>
      </c>
      <c r="B5666" s="538" t="s">
        <v>6602</v>
      </c>
      <c r="C5666" s="538" t="s">
        <v>740</v>
      </c>
      <c r="D5666" s="538" t="s">
        <v>740</v>
      </c>
      <c r="E5666" s="538" t="s">
        <v>438</v>
      </c>
      <c r="F5666" s="538">
        <v>148326</v>
      </c>
      <c r="G5666" s="538">
        <v>2</v>
      </c>
    </row>
    <row r="5667" spans="1:7" x14ac:dyDescent="0.2">
      <c r="A5667" s="538">
        <v>6</v>
      </c>
      <c r="B5667" s="538" t="s">
        <v>6596</v>
      </c>
      <c r="C5667" s="538" t="s">
        <v>740</v>
      </c>
      <c r="D5667" s="538" t="s">
        <v>393</v>
      </c>
      <c r="E5667" s="538" t="s">
        <v>438</v>
      </c>
      <c r="F5667" s="538">
        <v>1383859</v>
      </c>
      <c r="G5667" s="538">
        <v>13</v>
      </c>
    </row>
    <row r="5668" spans="1:7" x14ac:dyDescent="0.2">
      <c r="A5668" s="538">
        <v>3</v>
      </c>
      <c r="B5668" s="538" t="s">
        <v>6647</v>
      </c>
      <c r="C5668" s="538" t="s">
        <v>740</v>
      </c>
      <c r="D5668" s="538" t="s">
        <v>393</v>
      </c>
      <c r="E5668" s="538" t="s">
        <v>211</v>
      </c>
      <c r="F5668" s="538">
        <v>8703486</v>
      </c>
      <c r="G5668" s="538">
        <v>212</v>
      </c>
    </row>
    <row r="5669" spans="1:7" x14ac:dyDescent="0.2">
      <c r="A5669" s="538">
        <v>10</v>
      </c>
      <c r="B5669" s="538" t="s">
        <v>6600</v>
      </c>
      <c r="C5669" s="538" t="s">
        <v>740</v>
      </c>
      <c r="D5669" s="538" t="s">
        <v>393</v>
      </c>
      <c r="E5669" s="538" t="s">
        <v>409</v>
      </c>
      <c r="F5669" s="538">
        <v>33984</v>
      </c>
      <c r="G5669" s="538">
        <v>3</v>
      </c>
    </row>
    <row r="5670" spans="1:7" x14ac:dyDescent="0.2">
      <c r="A5670" s="538">
        <v>2</v>
      </c>
      <c r="B5670" s="538" t="s">
        <v>6576</v>
      </c>
      <c r="C5670" s="538" t="s">
        <v>393</v>
      </c>
      <c r="D5670" s="538" t="s">
        <v>740</v>
      </c>
      <c r="E5670" s="538" t="s">
        <v>860</v>
      </c>
      <c r="F5670" s="538">
        <v>11328</v>
      </c>
      <c r="G5670" s="538">
        <v>1</v>
      </c>
    </row>
    <row r="5671" spans="1:7" x14ac:dyDescent="0.2">
      <c r="A5671" s="538">
        <v>2</v>
      </c>
      <c r="B5671" s="538" t="s">
        <v>6055</v>
      </c>
      <c r="C5671" s="538" t="s">
        <v>740</v>
      </c>
      <c r="D5671" s="538" t="s">
        <v>740</v>
      </c>
      <c r="E5671" s="538" t="s">
        <v>860</v>
      </c>
      <c r="F5671" s="538">
        <v>1795613</v>
      </c>
      <c r="G5671" s="538">
        <v>66</v>
      </c>
    </row>
    <row r="5672" spans="1:7" x14ac:dyDescent="0.2">
      <c r="A5672" s="538">
        <v>3</v>
      </c>
      <c r="B5672" s="538" t="s">
        <v>6647</v>
      </c>
      <c r="C5672" s="538" t="s">
        <v>393</v>
      </c>
      <c r="D5672" s="538" t="s">
        <v>740</v>
      </c>
      <c r="E5672" s="538" t="s">
        <v>409</v>
      </c>
      <c r="F5672" s="538">
        <v>147264</v>
      </c>
      <c r="G5672" s="538">
        <v>13</v>
      </c>
    </row>
    <row r="5673" spans="1:7" x14ac:dyDescent="0.2">
      <c r="A5673" s="538">
        <v>9</v>
      </c>
      <c r="B5673" s="538" t="s">
        <v>6645</v>
      </c>
      <c r="C5673" s="538" t="s">
        <v>740</v>
      </c>
      <c r="D5673" s="538" t="s">
        <v>393</v>
      </c>
      <c r="E5673" s="538" t="s">
        <v>402</v>
      </c>
      <c r="F5673" s="538">
        <v>11328</v>
      </c>
      <c r="G5673" s="538">
        <v>1</v>
      </c>
    </row>
    <row r="5674" spans="1:7" x14ac:dyDescent="0.2">
      <c r="A5674" s="538">
        <v>1</v>
      </c>
      <c r="B5674" s="538" t="s">
        <v>6646</v>
      </c>
      <c r="C5674" s="538" t="s">
        <v>740</v>
      </c>
      <c r="D5674" s="538" t="s">
        <v>393</v>
      </c>
      <c r="E5674" s="538" t="s">
        <v>209</v>
      </c>
      <c r="F5674" s="538">
        <v>695027</v>
      </c>
      <c r="G5674" s="538">
        <v>4</v>
      </c>
    </row>
    <row r="5675" spans="1:7" x14ac:dyDescent="0.2">
      <c r="A5675" s="538">
        <v>3</v>
      </c>
      <c r="B5675" s="538" t="s">
        <v>6586</v>
      </c>
      <c r="C5675" s="538" t="s">
        <v>740</v>
      </c>
      <c r="D5675" s="538" t="s">
        <v>740</v>
      </c>
      <c r="E5675" s="538" t="s">
        <v>438</v>
      </c>
      <c r="F5675" s="538">
        <v>2650669</v>
      </c>
      <c r="G5675" s="538">
        <v>13</v>
      </c>
    </row>
    <row r="5676" spans="1:7" x14ac:dyDescent="0.2">
      <c r="A5676" s="538">
        <v>3</v>
      </c>
      <c r="B5676" s="538" t="s">
        <v>6647</v>
      </c>
      <c r="C5676" s="538" t="s">
        <v>740</v>
      </c>
      <c r="D5676" s="538" t="s">
        <v>393</v>
      </c>
      <c r="E5676" s="538" t="s">
        <v>438</v>
      </c>
      <c r="F5676" s="538">
        <v>2217300</v>
      </c>
      <c r="G5676" s="538">
        <v>25</v>
      </c>
    </row>
    <row r="5677" spans="1:7" x14ac:dyDescent="0.2">
      <c r="A5677" s="538">
        <v>7</v>
      </c>
      <c r="B5677" s="538" t="s">
        <v>6604</v>
      </c>
      <c r="C5677" s="538" t="s">
        <v>740</v>
      </c>
      <c r="D5677" s="538" t="s">
        <v>393</v>
      </c>
      <c r="E5677" s="538" t="s">
        <v>202</v>
      </c>
      <c r="F5677" s="538">
        <v>769190</v>
      </c>
      <c r="G5677" s="538">
        <v>5</v>
      </c>
    </row>
    <row r="5678" spans="1:7" x14ac:dyDescent="0.2">
      <c r="A5678" s="538">
        <v>2</v>
      </c>
      <c r="B5678" s="538" t="s">
        <v>6573</v>
      </c>
      <c r="C5678" s="538" t="s">
        <v>393</v>
      </c>
      <c r="D5678" s="538" t="s">
        <v>740</v>
      </c>
      <c r="E5678" s="538" t="s">
        <v>212</v>
      </c>
      <c r="F5678" s="538">
        <v>464448</v>
      </c>
      <c r="G5678" s="538">
        <v>41</v>
      </c>
    </row>
    <row r="5679" spans="1:7" x14ac:dyDescent="0.2">
      <c r="A5679" s="538">
        <v>2</v>
      </c>
      <c r="B5679" s="538" t="s">
        <v>6585</v>
      </c>
      <c r="C5679" s="538" t="s">
        <v>740</v>
      </c>
      <c r="D5679" s="538" t="s">
        <v>393</v>
      </c>
      <c r="E5679" s="538" t="s">
        <v>206</v>
      </c>
      <c r="F5679" s="538">
        <v>11328</v>
      </c>
      <c r="G5679" s="538">
        <v>1</v>
      </c>
    </row>
    <row r="5680" spans="1:7" x14ac:dyDescent="0.2">
      <c r="A5680" s="538">
        <v>2</v>
      </c>
      <c r="B5680" s="538" t="s">
        <v>6585</v>
      </c>
      <c r="C5680" s="538" t="s">
        <v>740</v>
      </c>
      <c r="D5680" s="538" t="s">
        <v>393</v>
      </c>
      <c r="E5680" s="538" t="s">
        <v>438</v>
      </c>
      <c r="F5680" s="538">
        <v>22656</v>
      </c>
      <c r="G5680" s="538">
        <v>2</v>
      </c>
    </row>
    <row r="5681" spans="1:7" x14ac:dyDescent="0.2">
      <c r="A5681" s="538">
        <v>1</v>
      </c>
      <c r="B5681" s="538" t="s">
        <v>6649</v>
      </c>
      <c r="C5681" s="538" t="s">
        <v>740</v>
      </c>
      <c r="D5681" s="538" t="s">
        <v>393</v>
      </c>
      <c r="E5681" s="538" t="s">
        <v>202</v>
      </c>
      <c r="F5681" s="538">
        <v>50268</v>
      </c>
      <c r="G5681" s="538">
        <v>1</v>
      </c>
    </row>
    <row r="5682" spans="1:7" x14ac:dyDescent="0.2">
      <c r="A5682" s="538">
        <v>9</v>
      </c>
      <c r="B5682" s="538" t="s">
        <v>6645</v>
      </c>
      <c r="C5682" s="538" t="s">
        <v>393</v>
      </c>
      <c r="D5682" s="538" t="s">
        <v>393</v>
      </c>
      <c r="E5682" s="538" t="s">
        <v>860</v>
      </c>
      <c r="F5682" s="538">
        <v>1576487</v>
      </c>
      <c r="G5682" s="538">
        <v>34</v>
      </c>
    </row>
    <row r="5683" spans="1:7" x14ac:dyDescent="0.2">
      <c r="A5683" s="538">
        <v>3</v>
      </c>
      <c r="B5683" s="538" t="s">
        <v>6561</v>
      </c>
      <c r="C5683" s="538" t="s">
        <v>740</v>
      </c>
      <c r="D5683" s="538" t="s">
        <v>393</v>
      </c>
      <c r="E5683" s="538" t="s">
        <v>209</v>
      </c>
      <c r="F5683" s="538">
        <v>496433</v>
      </c>
      <c r="G5683" s="538">
        <v>1</v>
      </c>
    </row>
    <row r="5684" spans="1:7" x14ac:dyDescent="0.2">
      <c r="A5684" s="538">
        <v>7</v>
      </c>
      <c r="B5684" s="538" t="s">
        <v>6604</v>
      </c>
      <c r="C5684" s="538" t="s">
        <v>740</v>
      </c>
      <c r="D5684" s="538" t="s">
        <v>393</v>
      </c>
      <c r="E5684" s="538" t="s">
        <v>438</v>
      </c>
      <c r="F5684" s="538">
        <v>22656</v>
      </c>
      <c r="G5684" s="538">
        <v>2</v>
      </c>
    </row>
    <row r="5685" spans="1:7" x14ac:dyDescent="0.2">
      <c r="A5685" s="538">
        <v>6</v>
      </c>
      <c r="B5685" s="538" t="s">
        <v>6596</v>
      </c>
      <c r="C5685" s="538" t="s">
        <v>393</v>
      </c>
      <c r="D5685" s="538" t="s">
        <v>393</v>
      </c>
      <c r="E5685" s="538" t="s">
        <v>209</v>
      </c>
      <c r="F5685" s="538">
        <v>5435681</v>
      </c>
      <c r="G5685" s="538">
        <v>17</v>
      </c>
    </row>
    <row r="5686" spans="1:7" x14ac:dyDescent="0.2">
      <c r="A5686" s="538">
        <v>9</v>
      </c>
      <c r="B5686" s="538" t="s">
        <v>6606</v>
      </c>
      <c r="C5686" s="538" t="s">
        <v>393</v>
      </c>
      <c r="D5686" s="538" t="s">
        <v>393</v>
      </c>
      <c r="E5686" s="538" t="s">
        <v>207</v>
      </c>
      <c r="F5686" s="538">
        <v>4528920</v>
      </c>
      <c r="G5686" s="538">
        <v>200</v>
      </c>
    </row>
    <row r="5687" spans="1:7" x14ac:dyDescent="0.2">
      <c r="A5687" s="538">
        <v>2</v>
      </c>
      <c r="B5687" s="538" t="s">
        <v>6608</v>
      </c>
      <c r="C5687" s="538" t="s">
        <v>393</v>
      </c>
      <c r="D5687" s="538" t="s">
        <v>393</v>
      </c>
      <c r="E5687" s="538" t="s">
        <v>409</v>
      </c>
      <c r="F5687" s="538">
        <v>2163492</v>
      </c>
      <c r="G5687" s="538">
        <v>39</v>
      </c>
    </row>
    <row r="5688" spans="1:7" x14ac:dyDescent="0.2">
      <c r="A5688" s="538">
        <v>4</v>
      </c>
      <c r="B5688" s="538" t="s">
        <v>6572</v>
      </c>
      <c r="C5688" s="538" t="s">
        <v>740</v>
      </c>
      <c r="D5688" s="538" t="s">
        <v>393</v>
      </c>
      <c r="E5688" s="538" t="s">
        <v>211</v>
      </c>
      <c r="F5688" s="538">
        <v>1331113</v>
      </c>
      <c r="G5688" s="538">
        <v>16</v>
      </c>
    </row>
    <row r="5689" spans="1:7" x14ac:dyDescent="0.2">
      <c r="A5689" s="538">
        <v>10</v>
      </c>
      <c r="B5689" s="538" t="s">
        <v>6587</v>
      </c>
      <c r="C5689" s="538" t="s">
        <v>740</v>
      </c>
      <c r="D5689" s="538" t="s">
        <v>393</v>
      </c>
      <c r="E5689" s="538" t="s">
        <v>390</v>
      </c>
      <c r="F5689" s="538">
        <v>1258470</v>
      </c>
      <c r="G5689" s="538">
        <v>35</v>
      </c>
    </row>
    <row r="5690" spans="1:7" x14ac:dyDescent="0.2">
      <c r="A5690" s="538">
        <v>7</v>
      </c>
      <c r="B5690" s="538" t="s">
        <v>6588</v>
      </c>
      <c r="C5690" s="538" t="s">
        <v>740</v>
      </c>
      <c r="D5690" s="538" t="s">
        <v>740</v>
      </c>
      <c r="E5690" s="538" t="s">
        <v>207</v>
      </c>
      <c r="F5690" s="538">
        <v>3582657</v>
      </c>
      <c r="G5690" s="538">
        <v>209</v>
      </c>
    </row>
    <row r="5691" spans="1:7" x14ac:dyDescent="0.2">
      <c r="A5691" s="538">
        <v>8</v>
      </c>
      <c r="B5691" s="538" t="s">
        <v>6577</v>
      </c>
      <c r="C5691" s="538" t="s">
        <v>740</v>
      </c>
      <c r="D5691" s="538" t="s">
        <v>393</v>
      </c>
      <c r="E5691" s="538" t="s">
        <v>230</v>
      </c>
      <c r="F5691" s="538">
        <v>303139725</v>
      </c>
      <c r="G5691" s="538">
        <v>8690</v>
      </c>
    </row>
    <row r="5692" spans="1:7" x14ac:dyDescent="0.2">
      <c r="A5692" s="538">
        <v>12</v>
      </c>
      <c r="B5692" s="538" t="s">
        <v>6616</v>
      </c>
      <c r="C5692" s="538" t="s">
        <v>740</v>
      </c>
      <c r="D5692" s="538" t="s">
        <v>393</v>
      </c>
      <c r="E5692" s="538" t="s">
        <v>438</v>
      </c>
      <c r="F5692" s="538">
        <v>1401559</v>
      </c>
      <c r="G5692" s="538">
        <v>18</v>
      </c>
    </row>
    <row r="5693" spans="1:7" x14ac:dyDescent="0.2">
      <c r="A5693" s="538">
        <v>5</v>
      </c>
      <c r="B5693" s="538" t="s">
        <v>6568</v>
      </c>
      <c r="C5693" s="538" t="s">
        <v>740</v>
      </c>
      <c r="D5693" s="538" t="s">
        <v>393</v>
      </c>
      <c r="E5693" s="538" t="s">
        <v>401</v>
      </c>
      <c r="F5693" s="538">
        <v>158415</v>
      </c>
      <c r="G5693" s="538">
        <v>5</v>
      </c>
    </row>
    <row r="5694" spans="1:7" x14ac:dyDescent="0.2">
      <c r="A5694" s="538">
        <v>1</v>
      </c>
      <c r="B5694" s="538" t="s">
        <v>6595</v>
      </c>
      <c r="C5694" s="538" t="s">
        <v>393</v>
      </c>
      <c r="D5694" s="538" t="s">
        <v>393</v>
      </c>
      <c r="E5694" s="538" t="s">
        <v>209</v>
      </c>
      <c r="F5694" s="538">
        <v>496433</v>
      </c>
      <c r="G5694" s="538">
        <v>1</v>
      </c>
    </row>
    <row r="5695" spans="1:7" x14ac:dyDescent="0.2">
      <c r="A5695" s="538">
        <v>10</v>
      </c>
      <c r="B5695" s="538" t="s">
        <v>6582</v>
      </c>
      <c r="C5695" s="538" t="s">
        <v>393</v>
      </c>
      <c r="D5695" s="538" t="s">
        <v>740</v>
      </c>
      <c r="E5695" s="538" t="s">
        <v>409</v>
      </c>
      <c r="F5695" s="538">
        <v>33984</v>
      </c>
      <c r="G5695" s="538">
        <v>3</v>
      </c>
    </row>
    <row r="5696" spans="1:7" x14ac:dyDescent="0.2">
      <c r="A5696" s="538">
        <v>3</v>
      </c>
      <c r="B5696" s="538" t="s">
        <v>6586</v>
      </c>
      <c r="C5696" s="538" t="s">
        <v>393</v>
      </c>
      <c r="D5696" s="538" t="s">
        <v>740</v>
      </c>
      <c r="E5696" s="538" t="s">
        <v>401</v>
      </c>
      <c r="F5696" s="538">
        <v>79296</v>
      </c>
      <c r="G5696" s="538">
        <v>7</v>
      </c>
    </row>
    <row r="5697" spans="1:7" x14ac:dyDescent="0.2">
      <c r="A5697" s="538">
        <v>7</v>
      </c>
      <c r="B5697" s="538" t="s">
        <v>6579</v>
      </c>
      <c r="C5697" s="538" t="s">
        <v>740</v>
      </c>
      <c r="D5697" s="538" t="s">
        <v>740</v>
      </c>
      <c r="E5697" s="538" t="s">
        <v>211</v>
      </c>
      <c r="F5697" s="538">
        <v>496433</v>
      </c>
      <c r="G5697" s="538">
        <v>1</v>
      </c>
    </row>
    <row r="5698" spans="1:7" x14ac:dyDescent="0.2">
      <c r="A5698" s="538">
        <v>2</v>
      </c>
      <c r="B5698" s="538" t="s">
        <v>6055</v>
      </c>
      <c r="C5698" s="538" t="s">
        <v>393</v>
      </c>
      <c r="D5698" s="538" t="s">
        <v>393</v>
      </c>
      <c r="E5698" s="538" t="s">
        <v>401</v>
      </c>
      <c r="F5698" s="538">
        <v>90624</v>
      </c>
      <c r="G5698" s="538">
        <v>8</v>
      </c>
    </row>
    <row r="5699" spans="1:7" x14ac:dyDescent="0.2">
      <c r="A5699" s="538">
        <v>7</v>
      </c>
      <c r="B5699" s="538" t="s">
        <v>6604</v>
      </c>
      <c r="C5699" s="538" t="s">
        <v>740</v>
      </c>
      <c r="D5699" s="538" t="s">
        <v>740</v>
      </c>
      <c r="E5699" s="538" t="s">
        <v>211</v>
      </c>
      <c r="F5699" s="538">
        <v>435066</v>
      </c>
      <c r="G5699" s="538">
        <v>17</v>
      </c>
    </row>
    <row r="5700" spans="1:7" x14ac:dyDescent="0.2">
      <c r="A5700" s="538">
        <v>6</v>
      </c>
      <c r="B5700" s="538" t="s">
        <v>1668</v>
      </c>
      <c r="C5700" s="538" t="s">
        <v>393</v>
      </c>
      <c r="D5700" s="538" t="s">
        <v>393</v>
      </c>
      <c r="E5700" s="538" t="s">
        <v>211</v>
      </c>
      <c r="F5700" s="538">
        <v>11111790</v>
      </c>
      <c r="G5700" s="538">
        <v>155</v>
      </c>
    </row>
    <row r="5701" spans="1:7" x14ac:dyDescent="0.2">
      <c r="A5701" s="538">
        <v>7</v>
      </c>
      <c r="B5701" s="538" t="s">
        <v>6571</v>
      </c>
      <c r="C5701" s="538" t="s">
        <v>740</v>
      </c>
      <c r="D5701" s="538" t="s">
        <v>393</v>
      </c>
      <c r="E5701" s="538" t="s">
        <v>209</v>
      </c>
      <c r="F5701" s="538">
        <v>85491</v>
      </c>
      <c r="G5701" s="538">
        <v>2</v>
      </c>
    </row>
    <row r="5702" spans="1:7" x14ac:dyDescent="0.2">
      <c r="A5702" s="538">
        <v>6</v>
      </c>
      <c r="B5702" s="538" t="s">
        <v>1668</v>
      </c>
      <c r="C5702" s="538" t="s">
        <v>740</v>
      </c>
      <c r="D5702" s="538" t="s">
        <v>393</v>
      </c>
      <c r="E5702" s="538" t="s">
        <v>207</v>
      </c>
      <c r="F5702" s="538">
        <v>527283</v>
      </c>
      <c r="G5702" s="538">
        <v>41</v>
      </c>
    </row>
    <row r="5703" spans="1:7" x14ac:dyDescent="0.2">
      <c r="A5703" s="538">
        <v>2</v>
      </c>
      <c r="B5703" s="538" t="s">
        <v>6573</v>
      </c>
      <c r="C5703" s="538" t="s">
        <v>740</v>
      </c>
      <c r="D5703" s="538" t="s">
        <v>393</v>
      </c>
      <c r="E5703" s="538" t="s">
        <v>438</v>
      </c>
      <c r="F5703" s="538">
        <v>22656</v>
      </c>
      <c r="G5703" s="538">
        <v>2</v>
      </c>
    </row>
    <row r="5704" spans="1:7" x14ac:dyDescent="0.2">
      <c r="A5704" s="538">
        <v>8</v>
      </c>
      <c r="B5704" s="538" t="s">
        <v>6567</v>
      </c>
      <c r="C5704" s="538" t="s">
        <v>393</v>
      </c>
      <c r="D5704" s="538" t="s">
        <v>740</v>
      </c>
      <c r="E5704" s="538" t="s">
        <v>449</v>
      </c>
      <c r="F5704" s="538">
        <v>255411</v>
      </c>
      <c r="G5704" s="538">
        <v>17</v>
      </c>
    </row>
    <row r="5705" spans="1:7" x14ac:dyDescent="0.2">
      <c r="A5705" s="538">
        <v>7</v>
      </c>
      <c r="B5705" s="538" t="s">
        <v>6588</v>
      </c>
      <c r="C5705" s="538" t="s">
        <v>393</v>
      </c>
      <c r="D5705" s="538" t="s">
        <v>393</v>
      </c>
      <c r="E5705" s="538" t="s">
        <v>211</v>
      </c>
      <c r="F5705" s="538">
        <v>15091271</v>
      </c>
      <c r="G5705" s="538">
        <v>187</v>
      </c>
    </row>
    <row r="5706" spans="1:7" x14ac:dyDescent="0.2">
      <c r="A5706" s="538">
        <v>4</v>
      </c>
      <c r="B5706" s="538" t="s">
        <v>6574</v>
      </c>
      <c r="C5706" s="538" t="s">
        <v>740</v>
      </c>
      <c r="D5706" s="538" t="s">
        <v>393</v>
      </c>
      <c r="E5706" s="538" t="s">
        <v>209</v>
      </c>
      <c r="F5706" s="538">
        <v>49115120</v>
      </c>
      <c r="G5706" s="538">
        <v>295</v>
      </c>
    </row>
    <row r="5707" spans="1:7" x14ac:dyDescent="0.2">
      <c r="A5707" s="538">
        <v>2</v>
      </c>
      <c r="B5707" s="538" t="s">
        <v>6576</v>
      </c>
      <c r="C5707" s="538" t="s">
        <v>393</v>
      </c>
      <c r="D5707" s="538" t="s">
        <v>393</v>
      </c>
      <c r="E5707" s="538" t="s">
        <v>207</v>
      </c>
      <c r="F5707" s="538">
        <v>10973063</v>
      </c>
      <c r="G5707" s="538">
        <v>836</v>
      </c>
    </row>
    <row r="5708" spans="1:7" x14ac:dyDescent="0.2">
      <c r="A5708" s="538">
        <v>1</v>
      </c>
      <c r="B5708" s="538" t="s">
        <v>6581</v>
      </c>
      <c r="C5708" s="538" t="s">
        <v>740</v>
      </c>
      <c r="D5708" s="538" t="s">
        <v>393</v>
      </c>
      <c r="E5708" s="538" t="s">
        <v>313</v>
      </c>
      <c r="F5708" s="538">
        <v>6539557</v>
      </c>
      <c r="G5708" s="538">
        <v>59</v>
      </c>
    </row>
    <row r="5709" spans="1:7" x14ac:dyDescent="0.2">
      <c r="A5709" s="538">
        <v>3</v>
      </c>
      <c r="B5709" s="538" t="s">
        <v>6578</v>
      </c>
      <c r="C5709" s="538" t="s">
        <v>740</v>
      </c>
      <c r="D5709" s="538" t="s">
        <v>393</v>
      </c>
      <c r="E5709" s="538" t="s">
        <v>202</v>
      </c>
      <c r="F5709" s="538">
        <v>5525399</v>
      </c>
      <c r="G5709" s="538">
        <v>48</v>
      </c>
    </row>
    <row r="5710" spans="1:7" x14ac:dyDescent="0.2">
      <c r="A5710" s="538">
        <v>5</v>
      </c>
      <c r="B5710" s="538" t="s">
        <v>6568</v>
      </c>
      <c r="C5710" s="538" t="s">
        <v>393</v>
      </c>
      <c r="D5710" s="538" t="s">
        <v>393</v>
      </c>
      <c r="E5710" s="538" t="s">
        <v>209</v>
      </c>
      <c r="F5710" s="538">
        <v>3569424</v>
      </c>
      <c r="G5710" s="538">
        <v>18</v>
      </c>
    </row>
    <row r="5711" spans="1:7" x14ac:dyDescent="0.2">
      <c r="A5711" s="538">
        <v>1</v>
      </c>
      <c r="B5711" s="538" t="s">
        <v>6595</v>
      </c>
      <c r="C5711" s="538" t="s">
        <v>393</v>
      </c>
      <c r="D5711" s="538" t="s">
        <v>740</v>
      </c>
      <c r="E5711" s="538" t="s">
        <v>202</v>
      </c>
      <c r="F5711" s="538">
        <v>135759</v>
      </c>
      <c r="G5711" s="538">
        <v>3</v>
      </c>
    </row>
    <row r="5712" spans="1:7" x14ac:dyDescent="0.2">
      <c r="A5712" s="538">
        <v>8</v>
      </c>
      <c r="B5712" s="538" t="s">
        <v>6583</v>
      </c>
      <c r="C5712" s="538" t="s">
        <v>740</v>
      </c>
      <c r="D5712" s="538" t="s">
        <v>393</v>
      </c>
      <c r="E5712" s="538" t="s">
        <v>202</v>
      </c>
      <c r="F5712" s="538">
        <v>7052680</v>
      </c>
      <c r="G5712" s="538">
        <v>75</v>
      </c>
    </row>
    <row r="5713" spans="1:7" x14ac:dyDescent="0.2">
      <c r="A5713" s="538">
        <v>6</v>
      </c>
      <c r="B5713" s="538" t="s">
        <v>6596</v>
      </c>
      <c r="C5713" s="538" t="s">
        <v>740</v>
      </c>
      <c r="D5713" s="538" t="s">
        <v>393</v>
      </c>
      <c r="E5713" s="538" t="s">
        <v>209</v>
      </c>
      <c r="F5713" s="538">
        <v>620864</v>
      </c>
      <c r="G5713" s="538">
        <v>3</v>
      </c>
    </row>
    <row r="5714" spans="1:7" x14ac:dyDescent="0.2">
      <c r="A5714" s="538">
        <v>3</v>
      </c>
      <c r="B5714" s="538" t="s">
        <v>6603</v>
      </c>
      <c r="C5714" s="538" t="s">
        <v>740</v>
      </c>
      <c r="D5714" s="538" t="s">
        <v>393</v>
      </c>
      <c r="E5714" s="538" t="s">
        <v>860</v>
      </c>
      <c r="F5714" s="538">
        <v>124431</v>
      </c>
      <c r="G5714" s="538">
        <v>2</v>
      </c>
    </row>
    <row r="5715" spans="1:7" x14ac:dyDescent="0.2">
      <c r="A5715" s="538">
        <v>2</v>
      </c>
      <c r="B5715" s="538" t="s">
        <v>6654</v>
      </c>
      <c r="C5715" s="538" t="s">
        <v>393</v>
      </c>
      <c r="D5715" s="538" t="s">
        <v>393</v>
      </c>
      <c r="E5715" s="538" t="s">
        <v>438</v>
      </c>
      <c r="F5715" s="538">
        <v>3307995</v>
      </c>
      <c r="G5715" s="538">
        <v>15</v>
      </c>
    </row>
    <row r="5716" spans="1:7" x14ac:dyDescent="0.2">
      <c r="A5716" s="538">
        <v>2</v>
      </c>
      <c r="B5716" s="538" t="s">
        <v>6654</v>
      </c>
      <c r="C5716" s="538" t="s">
        <v>393</v>
      </c>
      <c r="D5716" s="538" t="s">
        <v>393</v>
      </c>
      <c r="E5716" s="538" t="s">
        <v>206</v>
      </c>
      <c r="F5716" s="538">
        <v>11328</v>
      </c>
      <c r="G5716" s="538">
        <v>1</v>
      </c>
    </row>
    <row r="5717" spans="1:7" x14ac:dyDescent="0.2">
      <c r="A5717" s="538">
        <v>10</v>
      </c>
      <c r="B5717" s="538" t="s">
        <v>6587</v>
      </c>
      <c r="C5717" s="538" t="s">
        <v>393</v>
      </c>
      <c r="D5717" s="538" t="s">
        <v>393</v>
      </c>
      <c r="E5717" s="538" t="s">
        <v>438</v>
      </c>
      <c r="F5717" s="538">
        <v>4320081</v>
      </c>
      <c r="G5717" s="538">
        <v>42</v>
      </c>
    </row>
    <row r="5718" spans="1:7" x14ac:dyDescent="0.2">
      <c r="A5718" s="538">
        <v>6</v>
      </c>
      <c r="B5718" s="538" t="s">
        <v>6429</v>
      </c>
      <c r="C5718" s="538" t="s">
        <v>740</v>
      </c>
      <c r="D5718" s="538" t="s">
        <v>393</v>
      </c>
      <c r="E5718" s="538" t="s">
        <v>313</v>
      </c>
      <c r="F5718" s="538">
        <v>106057751</v>
      </c>
      <c r="G5718" s="538">
        <v>882</v>
      </c>
    </row>
    <row r="5719" spans="1:7" x14ac:dyDescent="0.2">
      <c r="A5719" s="538">
        <v>12</v>
      </c>
      <c r="B5719" s="538" t="s">
        <v>6569</v>
      </c>
      <c r="C5719" s="538" t="s">
        <v>740</v>
      </c>
      <c r="D5719" s="538" t="s">
        <v>393</v>
      </c>
      <c r="E5719" s="538" t="s">
        <v>449</v>
      </c>
      <c r="F5719" s="538">
        <v>11328</v>
      </c>
      <c r="G5719" s="538">
        <v>1</v>
      </c>
    </row>
    <row r="5720" spans="1:7" x14ac:dyDescent="0.2">
      <c r="A5720" s="538">
        <v>6</v>
      </c>
      <c r="B5720" s="538" t="s">
        <v>6596</v>
      </c>
      <c r="C5720" s="538" t="s">
        <v>740</v>
      </c>
      <c r="D5720" s="538" t="s">
        <v>393</v>
      </c>
      <c r="E5720" s="538" t="s">
        <v>313</v>
      </c>
      <c r="F5720" s="538">
        <v>50268</v>
      </c>
      <c r="G5720" s="538">
        <v>1</v>
      </c>
    </row>
    <row r="5721" spans="1:7" x14ac:dyDescent="0.2">
      <c r="A5721" s="538">
        <v>11</v>
      </c>
      <c r="B5721" s="538" t="s">
        <v>6659</v>
      </c>
      <c r="C5721" s="538" t="s">
        <v>393</v>
      </c>
      <c r="D5721" s="538" t="s">
        <v>393</v>
      </c>
      <c r="E5721" s="538" t="s">
        <v>202</v>
      </c>
      <c r="F5721" s="538">
        <v>8817110</v>
      </c>
      <c r="G5721" s="538">
        <v>70</v>
      </c>
    </row>
    <row r="5722" spans="1:7" x14ac:dyDescent="0.2">
      <c r="A5722" s="538">
        <v>4</v>
      </c>
      <c r="B5722" s="538" t="s">
        <v>6590</v>
      </c>
      <c r="C5722" s="538" t="s">
        <v>740</v>
      </c>
      <c r="D5722" s="538" t="s">
        <v>740</v>
      </c>
      <c r="E5722" s="538" t="s">
        <v>211</v>
      </c>
      <c r="F5722" s="538">
        <v>496433</v>
      </c>
      <c r="G5722" s="538">
        <v>1</v>
      </c>
    </row>
    <row r="5723" spans="1:7" x14ac:dyDescent="0.2">
      <c r="A5723" s="538">
        <v>1</v>
      </c>
      <c r="B5723" s="538" t="s">
        <v>6581</v>
      </c>
      <c r="C5723" s="538" t="s">
        <v>740</v>
      </c>
      <c r="D5723" s="538" t="s">
        <v>393</v>
      </c>
      <c r="E5723" s="538" t="s">
        <v>416</v>
      </c>
      <c r="F5723" s="538">
        <v>2361909</v>
      </c>
      <c r="G5723" s="538">
        <v>33</v>
      </c>
    </row>
    <row r="5724" spans="1:7" x14ac:dyDescent="0.2">
      <c r="A5724" s="538">
        <v>5</v>
      </c>
      <c r="B5724" s="538" t="s">
        <v>6650</v>
      </c>
      <c r="C5724" s="538" t="s">
        <v>393</v>
      </c>
      <c r="D5724" s="538" t="s">
        <v>740</v>
      </c>
      <c r="E5724" s="538" t="s">
        <v>438</v>
      </c>
      <c r="F5724" s="538">
        <v>2071223</v>
      </c>
      <c r="G5724" s="538">
        <v>6</v>
      </c>
    </row>
    <row r="5725" spans="1:7" x14ac:dyDescent="0.2">
      <c r="A5725" s="538">
        <v>4</v>
      </c>
      <c r="B5725" s="538" t="s">
        <v>6562</v>
      </c>
      <c r="C5725" s="538" t="s">
        <v>740</v>
      </c>
      <c r="D5725" s="538" t="s">
        <v>393</v>
      </c>
      <c r="E5725" s="538" t="s">
        <v>438</v>
      </c>
      <c r="F5725" s="538">
        <v>10102182</v>
      </c>
      <c r="G5725" s="538">
        <v>124</v>
      </c>
    </row>
    <row r="5726" spans="1:7" x14ac:dyDescent="0.2">
      <c r="A5726" s="538">
        <v>4</v>
      </c>
      <c r="B5726" s="538" t="s">
        <v>6562</v>
      </c>
      <c r="C5726" s="538" t="s">
        <v>740</v>
      </c>
      <c r="D5726" s="538" t="s">
        <v>393</v>
      </c>
      <c r="E5726" s="538" t="s">
        <v>206</v>
      </c>
      <c r="F5726" s="538">
        <v>74163</v>
      </c>
      <c r="G5726" s="538">
        <v>1</v>
      </c>
    </row>
    <row r="5727" spans="1:7" x14ac:dyDescent="0.2">
      <c r="A5727" s="538">
        <v>9</v>
      </c>
      <c r="B5727" s="538" t="s">
        <v>6645</v>
      </c>
      <c r="C5727" s="538" t="s">
        <v>740</v>
      </c>
      <c r="D5727" s="538" t="s">
        <v>393</v>
      </c>
      <c r="E5727" s="538" t="s">
        <v>230</v>
      </c>
      <c r="F5727" s="538">
        <v>215055</v>
      </c>
      <c r="G5727" s="538">
        <v>10</v>
      </c>
    </row>
    <row r="5728" spans="1:7" x14ac:dyDescent="0.2">
      <c r="A5728" s="538">
        <v>6</v>
      </c>
      <c r="B5728" s="538" t="s">
        <v>1668</v>
      </c>
      <c r="C5728" s="538" t="s">
        <v>393</v>
      </c>
      <c r="D5728" s="538" t="s">
        <v>740</v>
      </c>
      <c r="E5728" s="538" t="s">
        <v>860</v>
      </c>
      <c r="F5728" s="538">
        <v>11328</v>
      </c>
      <c r="G5728" s="538">
        <v>1</v>
      </c>
    </row>
    <row r="5729" spans="1:7" x14ac:dyDescent="0.2">
      <c r="A5729" s="538">
        <v>3</v>
      </c>
      <c r="B5729" s="538" t="s">
        <v>6647</v>
      </c>
      <c r="C5729" s="538" t="s">
        <v>393</v>
      </c>
      <c r="D5729" s="538" t="s">
        <v>740</v>
      </c>
      <c r="E5729" s="538" t="s">
        <v>212</v>
      </c>
      <c r="F5729" s="538">
        <v>11328</v>
      </c>
      <c r="G5729" s="538">
        <v>1</v>
      </c>
    </row>
    <row r="5730" spans="1:7" x14ac:dyDescent="0.2">
      <c r="A5730" s="538">
        <v>1</v>
      </c>
      <c r="B5730" s="538" t="s">
        <v>6663</v>
      </c>
      <c r="C5730" s="538" t="s">
        <v>393</v>
      </c>
      <c r="D5730" s="538" t="s">
        <v>393</v>
      </c>
      <c r="E5730" s="538" t="s">
        <v>401</v>
      </c>
      <c r="F5730" s="538">
        <v>101952</v>
      </c>
      <c r="G5730" s="538">
        <v>9</v>
      </c>
    </row>
    <row r="5731" spans="1:7" x14ac:dyDescent="0.2">
      <c r="A5731" s="538">
        <v>8</v>
      </c>
      <c r="B5731" s="538" t="s">
        <v>6583</v>
      </c>
      <c r="C5731" s="538" t="s">
        <v>740</v>
      </c>
      <c r="D5731" s="538" t="s">
        <v>393</v>
      </c>
      <c r="E5731" s="538" t="s">
        <v>209</v>
      </c>
      <c r="F5731" s="538">
        <v>96819</v>
      </c>
      <c r="G5731" s="538">
        <v>3</v>
      </c>
    </row>
    <row r="5732" spans="1:7" x14ac:dyDescent="0.2">
      <c r="A5732" s="538">
        <v>2</v>
      </c>
      <c r="B5732" s="538" t="s">
        <v>6573</v>
      </c>
      <c r="C5732" s="538" t="s">
        <v>740</v>
      </c>
      <c r="D5732" s="538" t="s">
        <v>393</v>
      </c>
      <c r="E5732" s="538" t="s">
        <v>449</v>
      </c>
      <c r="F5732" s="538">
        <v>45312</v>
      </c>
      <c r="G5732" s="538">
        <v>4</v>
      </c>
    </row>
    <row r="5733" spans="1:7" x14ac:dyDescent="0.2">
      <c r="A5733" s="538">
        <v>3</v>
      </c>
      <c r="B5733" s="538" t="s">
        <v>6647</v>
      </c>
      <c r="C5733" s="538" t="s">
        <v>740</v>
      </c>
      <c r="D5733" s="538" t="s">
        <v>740</v>
      </c>
      <c r="E5733" s="538" t="s">
        <v>401</v>
      </c>
      <c r="F5733" s="538">
        <v>33984</v>
      </c>
      <c r="G5733" s="538">
        <v>3</v>
      </c>
    </row>
    <row r="5734" spans="1:7" x14ac:dyDescent="0.2">
      <c r="A5734" s="538">
        <v>7</v>
      </c>
      <c r="B5734" s="538" t="s">
        <v>6579</v>
      </c>
      <c r="C5734" s="538" t="s">
        <v>740</v>
      </c>
      <c r="D5734" s="538" t="s">
        <v>740</v>
      </c>
      <c r="E5734" s="538" t="s">
        <v>449</v>
      </c>
      <c r="F5734" s="538">
        <v>464448</v>
      </c>
      <c r="G5734" s="538">
        <v>41</v>
      </c>
    </row>
    <row r="5735" spans="1:7" x14ac:dyDescent="0.2">
      <c r="A5735" s="538">
        <v>3</v>
      </c>
      <c r="B5735" s="538" t="s">
        <v>6586</v>
      </c>
      <c r="C5735" s="538" t="s">
        <v>740</v>
      </c>
      <c r="D5735" s="538" t="s">
        <v>393</v>
      </c>
      <c r="E5735" s="538" t="s">
        <v>419</v>
      </c>
      <c r="F5735" s="538">
        <v>140892</v>
      </c>
      <c r="G5735" s="538">
        <v>9</v>
      </c>
    </row>
    <row r="5736" spans="1:7" x14ac:dyDescent="0.2">
      <c r="A5736" s="538">
        <v>3</v>
      </c>
      <c r="B5736" s="538" t="s">
        <v>6603</v>
      </c>
      <c r="C5736" s="538" t="s">
        <v>740</v>
      </c>
      <c r="D5736" s="538" t="s">
        <v>393</v>
      </c>
      <c r="E5736" s="538" t="s">
        <v>313</v>
      </c>
      <c r="F5736" s="538">
        <v>1282136</v>
      </c>
      <c r="G5736" s="538">
        <v>22</v>
      </c>
    </row>
    <row r="5737" spans="1:7" x14ac:dyDescent="0.2">
      <c r="A5737" s="538">
        <v>5</v>
      </c>
      <c r="B5737" s="538" t="s">
        <v>6598</v>
      </c>
      <c r="C5737" s="538" t="s">
        <v>740</v>
      </c>
      <c r="D5737" s="538" t="s">
        <v>393</v>
      </c>
      <c r="E5737" s="538" t="s">
        <v>230</v>
      </c>
      <c r="F5737" s="538">
        <v>21418146</v>
      </c>
      <c r="G5737" s="538">
        <v>622</v>
      </c>
    </row>
    <row r="5738" spans="1:7" x14ac:dyDescent="0.2">
      <c r="A5738" s="538">
        <v>5</v>
      </c>
      <c r="B5738" s="538" t="s">
        <v>6650</v>
      </c>
      <c r="C5738" s="538" t="s">
        <v>740</v>
      </c>
      <c r="D5738" s="538" t="s">
        <v>740</v>
      </c>
      <c r="E5738" s="538" t="s">
        <v>438</v>
      </c>
      <c r="F5738" s="538">
        <v>546701</v>
      </c>
      <c r="G5738" s="538">
        <v>2</v>
      </c>
    </row>
    <row r="5739" spans="1:7" x14ac:dyDescent="0.2">
      <c r="A5739" s="538">
        <v>9</v>
      </c>
      <c r="B5739" s="538" t="s">
        <v>6644</v>
      </c>
      <c r="C5739" s="538" t="s">
        <v>740</v>
      </c>
      <c r="D5739" s="538" t="s">
        <v>393</v>
      </c>
      <c r="E5739" s="538" t="s">
        <v>210</v>
      </c>
      <c r="F5739" s="538">
        <v>13842504</v>
      </c>
      <c r="G5739" s="538">
        <v>663</v>
      </c>
    </row>
    <row r="5740" spans="1:7" x14ac:dyDescent="0.2">
      <c r="A5740" s="538">
        <v>9</v>
      </c>
      <c r="B5740" s="538" t="s">
        <v>6645</v>
      </c>
      <c r="C5740" s="538" t="s">
        <v>740</v>
      </c>
      <c r="D5740" s="538" t="s">
        <v>393</v>
      </c>
      <c r="E5740" s="538" t="s">
        <v>390</v>
      </c>
      <c r="F5740" s="538">
        <v>2049202</v>
      </c>
      <c r="G5740" s="538">
        <v>49</v>
      </c>
    </row>
    <row r="5741" spans="1:7" x14ac:dyDescent="0.2">
      <c r="A5741" s="538">
        <v>4</v>
      </c>
      <c r="B5741" s="538" t="s">
        <v>6593</v>
      </c>
      <c r="C5741" s="538" t="s">
        <v>393</v>
      </c>
      <c r="D5741" s="538" t="s">
        <v>393</v>
      </c>
      <c r="E5741" s="538" t="s">
        <v>438</v>
      </c>
      <c r="F5741" s="538">
        <v>6758402</v>
      </c>
      <c r="G5741" s="538">
        <v>54</v>
      </c>
    </row>
    <row r="5742" spans="1:7" x14ac:dyDescent="0.2">
      <c r="A5742" s="538">
        <v>5</v>
      </c>
      <c r="B5742" s="538" t="s">
        <v>6599</v>
      </c>
      <c r="C5742" s="538" t="s">
        <v>740</v>
      </c>
      <c r="D5742" s="538" t="s">
        <v>393</v>
      </c>
      <c r="E5742" s="538" t="s">
        <v>230</v>
      </c>
      <c r="F5742" s="538">
        <v>621041</v>
      </c>
      <c r="G5742" s="538">
        <v>12</v>
      </c>
    </row>
    <row r="5743" spans="1:7" x14ac:dyDescent="0.2">
      <c r="A5743" s="538">
        <v>1</v>
      </c>
      <c r="B5743" s="538" t="s">
        <v>6581</v>
      </c>
      <c r="C5743" s="538" t="s">
        <v>740</v>
      </c>
      <c r="D5743" s="538" t="s">
        <v>393</v>
      </c>
      <c r="E5743" s="538" t="s">
        <v>207</v>
      </c>
      <c r="F5743" s="538">
        <v>11067654</v>
      </c>
      <c r="G5743" s="538">
        <v>718</v>
      </c>
    </row>
    <row r="5744" spans="1:7" x14ac:dyDescent="0.2">
      <c r="A5744" s="538">
        <v>8</v>
      </c>
      <c r="B5744" s="538" t="s">
        <v>6567</v>
      </c>
      <c r="C5744" s="538" t="s">
        <v>740</v>
      </c>
      <c r="D5744" s="538" t="s">
        <v>393</v>
      </c>
      <c r="E5744" s="538" t="s">
        <v>438</v>
      </c>
      <c r="F5744" s="538">
        <v>18651720</v>
      </c>
      <c r="G5744" s="538">
        <v>200</v>
      </c>
    </row>
    <row r="5745" spans="1:7" x14ac:dyDescent="0.2">
      <c r="A5745" s="538">
        <v>7</v>
      </c>
      <c r="B5745" s="538" t="s">
        <v>6661</v>
      </c>
      <c r="C5745" s="538" t="s">
        <v>393</v>
      </c>
      <c r="D5745" s="538" t="s">
        <v>393</v>
      </c>
      <c r="E5745" s="538" t="s">
        <v>449</v>
      </c>
      <c r="F5745" s="538">
        <v>169920</v>
      </c>
      <c r="G5745" s="538">
        <v>15</v>
      </c>
    </row>
    <row r="5746" spans="1:7" x14ac:dyDescent="0.2">
      <c r="A5746" s="538">
        <v>3</v>
      </c>
      <c r="B5746" s="538" t="s">
        <v>6578</v>
      </c>
      <c r="C5746" s="538" t="s">
        <v>393</v>
      </c>
      <c r="D5746" s="538" t="s">
        <v>740</v>
      </c>
      <c r="E5746" s="538" t="s">
        <v>212</v>
      </c>
      <c r="F5746" s="538">
        <v>61596</v>
      </c>
      <c r="G5746" s="538">
        <v>2</v>
      </c>
    </row>
    <row r="5747" spans="1:7" x14ac:dyDescent="0.2">
      <c r="A5747" s="538">
        <v>7</v>
      </c>
      <c r="B5747" s="538" t="s">
        <v>6655</v>
      </c>
      <c r="C5747" s="538" t="s">
        <v>393</v>
      </c>
      <c r="D5747" s="538" t="s">
        <v>393</v>
      </c>
      <c r="E5747" s="538" t="s">
        <v>202</v>
      </c>
      <c r="F5747" s="538">
        <v>3779575</v>
      </c>
      <c r="G5747" s="538">
        <v>35</v>
      </c>
    </row>
    <row r="5748" spans="1:7" x14ac:dyDescent="0.2">
      <c r="A5748" s="538">
        <v>7</v>
      </c>
      <c r="B5748" s="538" t="s">
        <v>6604</v>
      </c>
      <c r="C5748" s="538" t="s">
        <v>740</v>
      </c>
      <c r="D5748" s="538" t="s">
        <v>740</v>
      </c>
      <c r="E5748" s="538" t="s">
        <v>416</v>
      </c>
      <c r="F5748" s="538">
        <v>191160</v>
      </c>
      <c r="G5748" s="538">
        <v>10</v>
      </c>
    </row>
    <row r="5749" spans="1:7" x14ac:dyDescent="0.2">
      <c r="A5749" s="538">
        <v>4</v>
      </c>
      <c r="B5749" s="538" t="s">
        <v>6562</v>
      </c>
      <c r="C5749" s="538" t="s">
        <v>740</v>
      </c>
      <c r="D5749" s="538" t="s">
        <v>740</v>
      </c>
      <c r="E5749" s="538" t="s">
        <v>390</v>
      </c>
      <c r="F5749" s="538">
        <v>1249922</v>
      </c>
      <c r="G5749" s="538">
        <v>44</v>
      </c>
    </row>
    <row r="5750" spans="1:7" x14ac:dyDescent="0.2">
      <c r="A5750" s="538">
        <v>7</v>
      </c>
      <c r="B5750" s="538" t="s">
        <v>6579</v>
      </c>
      <c r="C5750" s="538" t="s">
        <v>740</v>
      </c>
      <c r="D5750" s="538" t="s">
        <v>740</v>
      </c>
      <c r="E5750" s="538" t="s">
        <v>209</v>
      </c>
      <c r="F5750" s="538">
        <v>1563462</v>
      </c>
      <c r="G5750" s="538">
        <v>4</v>
      </c>
    </row>
    <row r="5751" spans="1:7" x14ac:dyDescent="0.2">
      <c r="A5751" s="538">
        <v>7</v>
      </c>
      <c r="B5751" s="538" t="s">
        <v>6579</v>
      </c>
      <c r="C5751" s="538" t="s">
        <v>740</v>
      </c>
      <c r="D5751" s="538" t="s">
        <v>393</v>
      </c>
      <c r="E5751" s="538" t="s">
        <v>402</v>
      </c>
      <c r="F5751" s="538">
        <v>1955444</v>
      </c>
      <c r="G5751" s="538">
        <v>73</v>
      </c>
    </row>
    <row r="5752" spans="1:7" x14ac:dyDescent="0.2">
      <c r="A5752" s="538">
        <v>8</v>
      </c>
      <c r="B5752" s="538" t="s">
        <v>6567</v>
      </c>
      <c r="C5752" s="538" t="s">
        <v>740</v>
      </c>
      <c r="D5752" s="538" t="s">
        <v>740</v>
      </c>
      <c r="E5752" s="538" t="s">
        <v>207</v>
      </c>
      <c r="F5752" s="538">
        <v>4129181</v>
      </c>
      <c r="G5752" s="538">
        <v>202</v>
      </c>
    </row>
    <row r="5753" spans="1:7" x14ac:dyDescent="0.2">
      <c r="A5753" s="538">
        <v>7</v>
      </c>
      <c r="B5753" s="538" t="s">
        <v>6579</v>
      </c>
      <c r="C5753" s="538" t="s">
        <v>740</v>
      </c>
      <c r="D5753" s="538" t="s">
        <v>740</v>
      </c>
      <c r="E5753" s="538" t="s">
        <v>409</v>
      </c>
      <c r="F5753" s="538">
        <v>79296</v>
      </c>
      <c r="G5753" s="538">
        <v>7</v>
      </c>
    </row>
    <row r="5754" spans="1:7" x14ac:dyDescent="0.2">
      <c r="A5754" s="538">
        <v>3</v>
      </c>
      <c r="B5754" s="538" t="s">
        <v>6586</v>
      </c>
      <c r="C5754" s="538" t="s">
        <v>393</v>
      </c>
      <c r="D5754" s="538" t="s">
        <v>740</v>
      </c>
      <c r="E5754" s="538" t="s">
        <v>207</v>
      </c>
      <c r="F5754" s="538">
        <v>1509633</v>
      </c>
      <c r="G5754" s="538">
        <v>96</v>
      </c>
    </row>
    <row r="5755" spans="1:7" x14ac:dyDescent="0.2">
      <c r="A5755" s="538">
        <v>3</v>
      </c>
      <c r="B5755" s="538" t="s">
        <v>1390</v>
      </c>
      <c r="C5755" s="538" t="s">
        <v>740</v>
      </c>
      <c r="D5755" s="538" t="s">
        <v>393</v>
      </c>
      <c r="E5755" s="538" t="s">
        <v>212</v>
      </c>
      <c r="F5755" s="538">
        <v>45312</v>
      </c>
      <c r="G5755" s="538">
        <v>4</v>
      </c>
    </row>
    <row r="5756" spans="1:7" x14ac:dyDescent="0.2">
      <c r="A5756" s="538">
        <v>12</v>
      </c>
      <c r="B5756" s="538" t="s">
        <v>6616</v>
      </c>
      <c r="C5756" s="538" t="s">
        <v>393</v>
      </c>
      <c r="D5756" s="538" t="s">
        <v>393</v>
      </c>
      <c r="E5756" s="538" t="s">
        <v>202</v>
      </c>
      <c r="F5756" s="538">
        <v>6885311</v>
      </c>
      <c r="G5756" s="538">
        <v>57</v>
      </c>
    </row>
    <row r="5757" spans="1:7" x14ac:dyDescent="0.2">
      <c r="A5757" s="538">
        <v>8</v>
      </c>
      <c r="B5757" s="538" t="s">
        <v>6570</v>
      </c>
      <c r="C5757" s="538" t="s">
        <v>740</v>
      </c>
      <c r="D5757" s="538" t="s">
        <v>393</v>
      </c>
      <c r="E5757" s="538" t="s">
        <v>402</v>
      </c>
      <c r="F5757" s="538">
        <v>22825452</v>
      </c>
      <c r="G5757" s="538">
        <v>1119</v>
      </c>
    </row>
    <row r="5758" spans="1:7" x14ac:dyDescent="0.2">
      <c r="A5758" s="538">
        <v>5</v>
      </c>
      <c r="B5758" s="538" t="s">
        <v>6589</v>
      </c>
      <c r="C5758" s="538" t="s">
        <v>393</v>
      </c>
      <c r="D5758" s="538" t="s">
        <v>393</v>
      </c>
      <c r="E5758" s="538" t="s">
        <v>390</v>
      </c>
      <c r="F5758" s="538">
        <v>10291582</v>
      </c>
      <c r="G5758" s="538">
        <v>259</v>
      </c>
    </row>
    <row r="5759" spans="1:7" x14ac:dyDescent="0.2">
      <c r="A5759" s="538">
        <v>9</v>
      </c>
      <c r="B5759" s="538" t="s">
        <v>6615</v>
      </c>
      <c r="C5759" s="538" t="s">
        <v>740</v>
      </c>
      <c r="D5759" s="538" t="s">
        <v>393</v>
      </c>
      <c r="E5759" s="538" t="s">
        <v>209</v>
      </c>
      <c r="F5759" s="538">
        <v>50268</v>
      </c>
      <c r="G5759" s="538">
        <v>1</v>
      </c>
    </row>
    <row r="5760" spans="1:7" x14ac:dyDescent="0.2">
      <c r="A5760" s="538">
        <v>3</v>
      </c>
      <c r="B5760" s="538" t="s">
        <v>6561</v>
      </c>
      <c r="C5760" s="538" t="s">
        <v>393</v>
      </c>
      <c r="D5760" s="538" t="s">
        <v>393</v>
      </c>
      <c r="E5760" s="538" t="s">
        <v>419</v>
      </c>
      <c r="F5760" s="538">
        <v>22656</v>
      </c>
      <c r="G5760" s="538">
        <v>2</v>
      </c>
    </row>
    <row r="5761" spans="1:7" x14ac:dyDescent="0.2">
      <c r="A5761" s="538">
        <v>10</v>
      </c>
      <c r="B5761" s="538" t="s">
        <v>6600</v>
      </c>
      <c r="C5761" s="538" t="s">
        <v>740</v>
      </c>
      <c r="D5761" s="538" t="s">
        <v>393</v>
      </c>
      <c r="E5761" s="538" t="s">
        <v>416</v>
      </c>
      <c r="F5761" s="538">
        <v>11328</v>
      </c>
      <c r="G5761" s="538">
        <v>1</v>
      </c>
    </row>
    <row r="5762" spans="1:7" x14ac:dyDescent="0.2">
      <c r="A5762" s="538">
        <v>3</v>
      </c>
      <c r="B5762" s="538" t="s">
        <v>6591</v>
      </c>
      <c r="C5762" s="538" t="s">
        <v>740</v>
      </c>
      <c r="D5762" s="538" t="s">
        <v>740</v>
      </c>
      <c r="E5762" s="538" t="s">
        <v>449</v>
      </c>
      <c r="F5762" s="538">
        <v>90624</v>
      </c>
      <c r="G5762" s="538">
        <v>8</v>
      </c>
    </row>
    <row r="5763" spans="1:7" x14ac:dyDescent="0.2">
      <c r="A5763" s="538">
        <v>8</v>
      </c>
      <c r="B5763" s="538" t="s">
        <v>6577</v>
      </c>
      <c r="C5763" s="538" t="s">
        <v>740</v>
      </c>
      <c r="D5763" s="538" t="s">
        <v>393</v>
      </c>
      <c r="E5763" s="538" t="s">
        <v>390</v>
      </c>
      <c r="F5763" s="538">
        <v>7868889</v>
      </c>
      <c r="G5763" s="538">
        <v>368</v>
      </c>
    </row>
    <row r="5764" spans="1:7" x14ac:dyDescent="0.2">
      <c r="A5764" s="538">
        <v>11</v>
      </c>
      <c r="B5764" s="538" t="s">
        <v>6612</v>
      </c>
      <c r="C5764" s="538" t="s">
        <v>740</v>
      </c>
      <c r="D5764" s="538" t="s">
        <v>393</v>
      </c>
      <c r="E5764" s="538" t="s">
        <v>402</v>
      </c>
      <c r="F5764" s="538">
        <v>3716063</v>
      </c>
      <c r="G5764" s="538">
        <v>221</v>
      </c>
    </row>
    <row r="5765" spans="1:7" x14ac:dyDescent="0.2">
      <c r="A5765" s="538">
        <v>12</v>
      </c>
      <c r="B5765" s="538" t="s">
        <v>6616</v>
      </c>
      <c r="C5765" s="538" t="s">
        <v>740</v>
      </c>
      <c r="D5765" s="538" t="s">
        <v>740</v>
      </c>
      <c r="E5765" s="538" t="s">
        <v>211</v>
      </c>
      <c r="F5765" s="538">
        <v>11328</v>
      </c>
      <c r="G5765" s="538">
        <v>1</v>
      </c>
    </row>
    <row r="5766" spans="1:7" x14ac:dyDescent="0.2">
      <c r="A5766" s="538">
        <v>5</v>
      </c>
      <c r="B5766" s="538" t="s">
        <v>6566</v>
      </c>
      <c r="C5766" s="538" t="s">
        <v>740</v>
      </c>
      <c r="D5766" s="538" t="s">
        <v>393</v>
      </c>
      <c r="E5766" s="538" t="s">
        <v>209</v>
      </c>
      <c r="F5766" s="538">
        <v>50268</v>
      </c>
      <c r="G5766" s="538">
        <v>1</v>
      </c>
    </row>
    <row r="5767" spans="1:7" x14ac:dyDescent="0.2">
      <c r="A5767" s="538">
        <v>1</v>
      </c>
      <c r="B5767" s="538" t="s">
        <v>6649</v>
      </c>
      <c r="C5767" s="538" t="s">
        <v>393</v>
      </c>
      <c r="D5767" s="538" t="s">
        <v>393</v>
      </c>
      <c r="E5767" s="538" t="s">
        <v>202</v>
      </c>
      <c r="F5767" s="538">
        <v>3794620</v>
      </c>
      <c r="G5767" s="538">
        <v>35</v>
      </c>
    </row>
    <row r="5768" spans="1:7" x14ac:dyDescent="0.2">
      <c r="A5768" s="538">
        <v>3</v>
      </c>
      <c r="B5768" s="538" t="s">
        <v>6647</v>
      </c>
      <c r="C5768" s="538" t="s">
        <v>393</v>
      </c>
      <c r="D5768" s="538" t="s">
        <v>740</v>
      </c>
      <c r="E5768" s="538" t="s">
        <v>211</v>
      </c>
      <c r="F5768" s="538">
        <v>159654</v>
      </c>
      <c r="G5768" s="538">
        <v>3</v>
      </c>
    </row>
    <row r="5769" spans="1:7" x14ac:dyDescent="0.2">
      <c r="A5769" s="538">
        <v>8</v>
      </c>
      <c r="B5769" s="538" t="s">
        <v>6583</v>
      </c>
      <c r="C5769" s="538" t="s">
        <v>740</v>
      </c>
      <c r="D5769" s="538" t="s">
        <v>393</v>
      </c>
      <c r="E5769" s="538" t="s">
        <v>210</v>
      </c>
      <c r="F5769" s="538">
        <v>5922212</v>
      </c>
      <c r="G5769" s="538">
        <v>249</v>
      </c>
    </row>
    <row r="5770" spans="1:7" x14ac:dyDescent="0.2">
      <c r="A5770" s="538">
        <v>11</v>
      </c>
      <c r="B5770" s="538" t="s">
        <v>6592</v>
      </c>
      <c r="C5770" s="538" t="s">
        <v>393</v>
      </c>
      <c r="D5770" s="538" t="s">
        <v>740</v>
      </c>
      <c r="E5770" s="538" t="s">
        <v>390</v>
      </c>
      <c r="F5770" s="538">
        <v>593252</v>
      </c>
      <c r="G5770" s="538">
        <v>4</v>
      </c>
    </row>
    <row r="5771" spans="1:7" x14ac:dyDescent="0.2">
      <c r="A5771" s="538">
        <v>3</v>
      </c>
      <c r="B5771" s="538" t="s">
        <v>1390</v>
      </c>
      <c r="C5771" s="538" t="s">
        <v>740</v>
      </c>
      <c r="D5771" s="538" t="s">
        <v>393</v>
      </c>
      <c r="E5771" s="538" t="s">
        <v>416</v>
      </c>
      <c r="F5771" s="538">
        <v>3070315</v>
      </c>
      <c r="G5771" s="538">
        <v>85</v>
      </c>
    </row>
    <row r="5772" spans="1:7" x14ac:dyDescent="0.2">
      <c r="A5772" s="538">
        <v>10</v>
      </c>
      <c r="B5772" s="538" t="s">
        <v>6597</v>
      </c>
      <c r="C5772" s="538" t="s">
        <v>740</v>
      </c>
      <c r="D5772" s="538" t="s">
        <v>740</v>
      </c>
      <c r="E5772" s="538" t="s">
        <v>416</v>
      </c>
      <c r="F5772" s="538">
        <v>1678616</v>
      </c>
      <c r="G5772" s="538">
        <v>57</v>
      </c>
    </row>
    <row r="5773" spans="1:7" x14ac:dyDescent="0.2">
      <c r="A5773" s="538">
        <v>10</v>
      </c>
      <c r="B5773" s="538" t="s">
        <v>6653</v>
      </c>
      <c r="C5773" s="538" t="s">
        <v>393</v>
      </c>
      <c r="D5773" s="538" t="s">
        <v>393</v>
      </c>
      <c r="E5773" s="538" t="s">
        <v>202</v>
      </c>
      <c r="F5773" s="538">
        <v>6729551</v>
      </c>
      <c r="G5773" s="538">
        <v>62</v>
      </c>
    </row>
    <row r="5774" spans="1:7" x14ac:dyDescent="0.2">
      <c r="A5774" s="538">
        <v>1</v>
      </c>
      <c r="B5774" s="538" t="s">
        <v>6649</v>
      </c>
      <c r="C5774" s="538" t="s">
        <v>740</v>
      </c>
      <c r="D5774" s="538" t="s">
        <v>393</v>
      </c>
      <c r="E5774" s="538" t="s">
        <v>211</v>
      </c>
      <c r="F5774" s="538">
        <v>11328</v>
      </c>
      <c r="G5774" s="538">
        <v>1</v>
      </c>
    </row>
    <row r="5775" spans="1:7" x14ac:dyDescent="0.2">
      <c r="A5775" s="538">
        <v>5</v>
      </c>
      <c r="B5775" s="538" t="s">
        <v>6568</v>
      </c>
      <c r="C5775" s="538" t="s">
        <v>740</v>
      </c>
      <c r="D5775" s="538" t="s">
        <v>393</v>
      </c>
      <c r="E5775" s="538" t="s">
        <v>212</v>
      </c>
      <c r="F5775" s="538">
        <v>4585133</v>
      </c>
      <c r="G5775" s="538">
        <v>326</v>
      </c>
    </row>
    <row r="5776" spans="1:7" x14ac:dyDescent="0.2">
      <c r="A5776" s="538">
        <v>4</v>
      </c>
      <c r="B5776" s="538" t="s">
        <v>6572</v>
      </c>
      <c r="C5776" s="538" t="s">
        <v>393</v>
      </c>
      <c r="D5776" s="538" t="s">
        <v>393</v>
      </c>
      <c r="E5776" s="538" t="s">
        <v>402</v>
      </c>
      <c r="F5776" s="538">
        <v>8757263</v>
      </c>
      <c r="G5776" s="538">
        <v>176</v>
      </c>
    </row>
    <row r="5777" spans="1:7" x14ac:dyDescent="0.2">
      <c r="A5777" s="538">
        <v>3</v>
      </c>
      <c r="B5777" s="538" t="s">
        <v>1390</v>
      </c>
      <c r="C5777" s="538" t="s">
        <v>740</v>
      </c>
      <c r="D5777" s="538" t="s">
        <v>740</v>
      </c>
      <c r="E5777" s="538" t="s">
        <v>438</v>
      </c>
      <c r="F5777" s="538">
        <v>1026850</v>
      </c>
      <c r="G5777" s="538">
        <v>5</v>
      </c>
    </row>
    <row r="5778" spans="1:7" x14ac:dyDescent="0.2">
      <c r="A5778" s="538">
        <v>9</v>
      </c>
      <c r="B5778" s="538" t="s">
        <v>6606</v>
      </c>
      <c r="C5778" s="538" t="s">
        <v>393</v>
      </c>
      <c r="D5778" s="538" t="s">
        <v>393</v>
      </c>
      <c r="E5778" s="538" t="s">
        <v>401</v>
      </c>
      <c r="F5778" s="538">
        <v>56640</v>
      </c>
      <c r="G5778" s="538">
        <v>5</v>
      </c>
    </row>
    <row r="5779" spans="1:7" x14ac:dyDescent="0.2">
      <c r="A5779" s="538">
        <v>8</v>
      </c>
      <c r="B5779" s="538" t="s">
        <v>6577</v>
      </c>
      <c r="C5779" s="538" t="s">
        <v>393</v>
      </c>
      <c r="D5779" s="538" t="s">
        <v>393</v>
      </c>
      <c r="E5779" s="538" t="s">
        <v>210</v>
      </c>
      <c r="F5779" s="538">
        <v>2319606</v>
      </c>
      <c r="G5779" s="538">
        <v>57</v>
      </c>
    </row>
    <row r="5780" spans="1:7" x14ac:dyDescent="0.2">
      <c r="A5780" s="538">
        <v>9</v>
      </c>
      <c r="B5780" s="538" t="s">
        <v>6614</v>
      </c>
      <c r="C5780" s="538" t="s">
        <v>740</v>
      </c>
      <c r="D5780" s="538" t="s">
        <v>393</v>
      </c>
      <c r="E5780" s="538" t="s">
        <v>416</v>
      </c>
      <c r="F5780" s="538">
        <v>8919322</v>
      </c>
      <c r="G5780" s="538">
        <v>179</v>
      </c>
    </row>
    <row r="5781" spans="1:7" x14ac:dyDescent="0.2">
      <c r="A5781" s="538">
        <v>11</v>
      </c>
      <c r="B5781" s="538" t="s">
        <v>6610</v>
      </c>
      <c r="C5781" s="538" t="s">
        <v>393</v>
      </c>
      <c r="D5781" s="538" t="s">
        <v>740</v>
      </c>
      <c r="E5781" s="538" t="s">
        <v>409</v>
      </c>
      <c r="F5781" s="538">
        <v>465510</v>
      </c>
      <c r="G5781" s="538">
        <v>30</v>
      </c>
    </row>
    <row r="5782" spans="1:7" x14ac:dyDescent="0.2">
      <c r="A5782" s="538">
        <v>6</v>
      </c>
      <c r="B5782" s="538" t="s">
        <v>6433</v>
      </c>
      <c r="C5782" s="538" t="s">
        <v>393</v>
      </c>
      <c r="D5782" s="538" t="s">
        <v>393</v>
      </c>
      <c r="E5782" s="538" t="s">
        <v>230</v>
      </c>
      <c r="F5782" s="538">
        <v>9740675</v>
      </c>
      <c r="G5782" s="538">
        <v>150</v>
      </c>
    </row>
    <row r="5783" spans="1:7" x14ac:dyDescent="0.2">
      <c r="A5783" s="538">
        <v>8</v>
      </c>
      <c r="B5783" s="538" t="s">
        <v>6577</v>
      </c>
      <c r="C5783" s="538" t="s">
        <v>393</v>
      </c>
      <c r="D5783" s="538" t="s">
        <v>393</v>
      </c>
      <c r="E5783" s="538" t="s">
        <v>416</v>
      </c>
      <c r="F5783" s="538">
        <v>23526050</v>
      </c>
      <c r="G5783" s="538">
        <v>490</v>
      </c>
    </row>
    <row r="5784" spans="1:7" x14ac:dyDescent="0.2">
      <c r="A5784" s="538">
        <v>11</v>
      </c>
      <c r="B5784" s="538" t="s">
        <v>6584</v>
      </c>
      <c r="C5784" s="538" t="s">
        <v>740</v>
      </c>
      <c r="D5784" s="538" t="s">
        <v>393</v>
      </c>
      <c r="E5784" s="538" t="s">
        <v>860</v>
      </c>
      <c r="F5784" s="538">
        <v>11328</v>
      </c>
      <c r="G5784" s="538">
        <v>1</v>
      </c>
    </row>
    <row r="5785" spans="1:7" x14ac:dyDescent="0.2">
      <c r="A5785" s="538">
        <v>3</v>
      </c>
      <c r="B5785" s="538" t="s">
        <v>6591</v>
      </c>
      <c r="C5785" s="538" t="s">
        <v>740</v>
      </c>
      <c r="D5785" s="538" t="s">
        <v>393</v>
      </c>
      <c r="E5785" s="538" t="s">
        <v>209</v>
      </c>
      <c r="F5785" s="538">
        <v>7828794</v>
      </c>
      <c r="G5785" s="538">
        <v>43</v>
      </c>
    </row>
    <row r="5786" spans="1:7" x14ac:dyDescent="0.2">
      <c r="A5786" s="538">
        <v>7</v>
      </c>
      <c r="B5786" s="538" t="s">
        <v>6588</v>
      </c>
      <c r="C5786" s="538" t="s">
        <v>393</v>
      </c>
      <c r="D5786" s="538" t="s">
        <v>393</v>
      </c>
      <c r="E5786" s="538" t="s">
        <v>449</v>
      </c>
      <c r="F5786" s="538">
        <v>118236</v>
      </c>
      <c r="G5786" s="538">
        <v>7</v>
      </c>
    </row>
    <row r="5787" spans="1:7" x14ac:dyDescent="0.2">
      <c r="A5787" s="538">
        <v>3</v>
      </c>
      <c r="B5787" s="538" t="s">
        <v>6603</v>
      </c>
      <c r="C5787" s="538" t="s">
        <v>740</v>
      </c>
      <c r="D5787" s="538" t="s">
        <v>393</v>
      </c>
      <c r="E5787" s="538" t="s">
        <v>207</v>
      </c>
      <c r="F5787" s="538">
        <v>4843782</v>
      </c>
      <c r="G5787" s="538">
        <v>384</v>
      </c>
    </row>
    <row r="5788" spans="1:7" x14ac:dyDescent="0.2">
      <c r="A5788" s="538">
        <v>11</v>
      </c>
      <c r="B5788" s="538" t="s">
        <v>6592</v>
      </c>
      <c r="C5788" s="538" t="s">
        <v>740</v>
      </c>
      <c r="D5788" s="538" t="s">
        <v>393</v>
      </c>
      <c r="E5788" s="538" t="s">
        <v>212</v>
      </c>
      <c r="F5788" s="538">
        <v>45312</v>
      </c>
      <c r="G5788" s="538">
        <v>4</v>
      </c>
    </row>
    <row r="5789" spans="1:7" x14ac:dyDescent="0.2">
      <c r="A5789" s="538">
        <v>1</v>
      </c>
      <c r="B5789" s="538" t="s">
        <v>6602</v>
      </c>
      <c r="C5789" s="538" t="s">
        <v>393</v>
      </c>
      <c r="D5789" s="538" t="s">
        <v>393</v>
      </c>
      <c r="E5789" s="538" t="s">
        <v>390</v>
      </c>
      <c r="F5789" s="538">
        <v>7425119</v>
      </c>
      <c r="G5789" s="538">
        <v>193</v>
      </c>
    </row>
    <row r="5790" spans="1:7" x14ac:dyDescent="0.2">
      <c r="A5790" s="538">
        <v>8</v>
      </c>
      <c r="B5790" s="538" t="s">
        <v>6658</v>
      </c>
      <c r="C5790" s="538" t="s">
        <v>740</v>
      </c>
      <c r="D5790" s="538" t="s">
        <v>393</v>
      </c>
      <c r="E5790" s="538" t="s">
        <v>860</v>
      </c>
      <c r="F5790" s="538">
        <v>22656</v>
      </c>
      <c r="G5790" s="538">
        <v>2</v>
      </c>
    </row>
    <row r="5791" spans="1:7" x14ac:dyDescent="0.2">
      <c r="A5791" s="538">
        <v>8</v>
      </c>
      <c r="B5791" s="538" t="s">
        <v>6577</v>
      </c>
      <c r="C5791" s="538" t="s">
        <v>740</v>
      </c>
      <c r="D5791" s="538" t="s">
        <v>393</v>
      </c>
      <c r="E5791" s="538" t="s">
        <v>390</v>
      </c>
      <c r="F5791" s="538">
        <v>601522876</v>
      </c>
      <c r="G5791" s="538">
        <v>25652</v>
      </c>
    </row>
    <row r="5792" spans="1:7" x14ac:dyDescent="0.2">
      <c r="A5792" s="538">
        <v>5</v>
      </c>
      <c r="B5792" s="538" t="s">
        <v>6598</v>
      </c>
      <c r="C5792" s="538" t="s">
        <v>393</v>
      </c>
      <c r="D5792" s="538" t="s">
        <v>740</v>
      </c>
      <c r="E5792" s="538" t="s">
        <v>209</v>
      </c>
      <c r="F5792" s="538">
        <v>570596</v>
      </c>
      <c r="G5792" s="538">
        <v>2</v>
      </c>
    </row>
    <row r="5793" spans="1:7" x14ac:dyDescent="0.2">
      <c r="A5793" s="538">
        <v>1</v>
      </c>
      <c r="B5793" s="538" t="s">
        <v>6581</v>
      </c>
      <c r="C5793" s="538" t="s">
        <v>740</v>
      </c>
      <c r="D5793" s="538" t="s">
        <v>393</v>
      </c>
      <c r="E5793" s="538" t="s">
        <v>210</v>
      </c>
      <c r="F5793" s="538">
        <v>197532</v>
      </c>
      <c r="G5793" s="538">
        <v>14</v>
      </c>
    </row>
    <row r="5794" spans="1:7" x14ac:dyDescent="0.2">
      <c r="A5794" s="538">
        <v>5</v>
      </c>
      <c r="B5794" s="538" t="s">
        <v>6599</v>
      </c>
      <c r="C5794" s="538" t="s">
        <v>740</v>
      </c>
      <c r="D5794" s="538" t="s">
        <v>740</v>
      </c>
      <c r="E5794" s="538" t="s">
        <v>449</v>
      </c>
      <c r="F5794" s="538">
        <v>22656</v>
      </c>
      <c r="G5794" s="538">
        <v>2</v>
      </c>
    </row>
    <row r="5795" spans="1:7" x14ac:dyDescent="0.2">
      <c r="A5795" s="538">
        <v>6</v>
      </c>
      <c r="B5795" s="538" t="s">
        <v>6596</v>
      </c>
      <c r="C5795" s="538" t="s">
        <v>740</v>
      </c>
      <c r="D5795" s="538" t="s">
        <v>393</v>
      </c>
      <c r="E5795" s="538" t="s">
        <v>212</v>
      </c>
      <c r="F5795" s="538">
        <v>11328</v>
      </c>
      <c r="G5795" s="538">
        <v>1</v>
      </c>
    </row>
    <row r="5796" spans="1:7" x14ac:dyDescent="0.2">
      <c r="A5796" s="538">
        <v>4</v>
      </c>
      <c r="B5796" s="538" t="s">
        <v>6572</v>
      </c>
      <c r="C5796" s="538" t="s">
        <v>393</v>
      </c>
      <c r="D5796" s="538" t="s">
        <v>740</v>
      </c>
      <c r="E5796" s="538" t="s">
        <v>860</v>
      </c>
      <c r="F5796" s="538">
        <v>203727</v>
      </c>
      <c r="G5796" s="538">
        <v>9</v>
      </c>
    </row>
    <row r="5797" spans="1:7" x14ac:dyDescent="0.2">
      <c r="A5797" s="538">
        <v>11</v>
      </c>
      <c r="B5797" s="538" t="s">
        <v>6610</v>
      </c>
      <c r="C5797" s="538" t="s">
        <v>393</v>
      </c>
      <c r="D5797" s="538" t="s">
        <v>393</v>
      </c>
      <c r="E5797" s="538" t="s">
        <v>211</v>
      </c>
      <c r="F5797" s="538">
        <v>19884910</v>
      </c>
      <c r="G5797" s="538">
        <v>295</v>
      </c>
    </row>
    <row r="5798" spans="1:7" x14ac:dyDescent="0.2">
      <c r="A5798" s="538">
        <v>6</v>
      </c>
      <c r="B5798" s="538" t="s">
        <v>6565</v>
      </c>
      <c r="C5798" s="538" t="s">
        <v>740</v>
      </c>
      <c r="D5798" s="538" t="s">
        <v>393</v>
      </c>
      <c r="E5798" s="538" t="s">
        <v>313</v>
      </c>
      <c r="F5798" s="538">
        <v>558029</v>
      </c>
      <c r="G5798" s="538">
        <v>3</v>
      </c>
    </row>
    <row r="5799" spans="1:7" x14ac:dyDescent="0.2">
      <c r="A5799" s="538">
        <v>2</v>
      </c>
      <c r="B5799" s="538" t="s">
        <v>6573</v>
      </c>
      <c r="C5799" s="538" t="s">
        <v>393</v>
      </c>
      <c r="D5799" s="538" t="s">
        <v>740</v>
      </c>
      <c r="E5799" s="538" t="s">
        <v>416</v>
      </c>
      <c r="F5799" s="538">
        <v>16973655</v>
      </c>
      <c r="G5799" s="538">
        <v>495</v>
      </c>
    </row>
    <row r="5800" spans="1:7" x14ac:dyDescent="0.2">
      <c r="A5800" s="538">
        <v>3</v>
      </c>
      <c r="B5800" s="538" t="s">
        <v>1390</v>
      </c>
      <c r="C5800" s="538" t="s">
        <v>740</v>
      </c>
      <c r="D5800" s="538" t="s">
        <v>393</v>
      </c>
      <c r="E5800" s="538" t="s">
        <v>409</v>
      </c>
      <c r="F5800" s="538">
        <v>232755</v>
      </c>
      <c r="G5800" s="538">
        <v>15</v>
      </c>
    </row>
    <row r="5801" spans="1:7" x14ac:dyDescent="0.2">
      <c r="A5801" s="538">
        <v>1</v>
      </c>
      <c r="B5801" s="538" t="s">
        <v>6602</v>
      </c>
      <c r="C5801" s="538" t="s">
        <v>740</v>
      </c>
      <c r="D5801" s="538" t="s">
        <v>393</v>
      </c>
      <c r="E5801" s="538" t="s">
        <v>211</v>
      </c>
      <c r="F5801" s="538">
        <v>519089</v>
      </c>
      <c r="G5801" s="538">
        <v>3</v>
      </c>
    </row>
    <row r="5802" spans="1:7" x14ac:dyDescent="0.2">
      <c r="A5802" s="538">
        <v>10</v>
      </c>
      <c r="B5802" s="538" t="s">
        <v>6652</v>
      </c>
      <c r="C5802" s="538" t="s">
        <v>740</v>
      </c>
      <c r="D5802" s="538" t="s">
        <v>393</v>
      </c>
      <c r="E5802" s="538" t="s">
        <v>207</v>
      </c>
      <c r="F5802" s="538">
        <v>22656</v>
      </c>
      <c r="G5802" s="538">
        <v>2</v>
      </c>
    </row>
    <row r="5803" spans="1:7" x14ac:dyDescent="0.2">
      <c r="A5803" s="538">
        <v>6</v>
      </c>
      <c r="B5803" s="538" t="s">
        <v>6607</v>
      </c>
      <c r="C5803" s="538" t="s">
        <v>740</v>
      </c>
      <c r="D5803" s="538" t="s">
        <v>393</v>
      </c>
      <c r="E5803" s="538" t="s">
        <v>860</v>
      </c>
      <c r="F5803" s="538">
        <v>3836954</v>
      </c>
      <c r="G5803" s="538">
        <v>163</v>
      </c>
    </row>
    <row r="5804" spans="1:7" x14ac:dyDescent="0.2">
      <c r="A5804" s="538">
        <v>3</v>
      </c>
      <c r="B5804" s="538" t="s">
        <v>1390</v>
      </c>
      <c r="C5804" s="538" t="s">
        <v>393</v>
      </c>
      <c r="D5804" s="538" t="s">
        <v>393</v>
      </c>
      <c r="E5804" s="538" t="s">
        <v>202</v>
      </c>
      <c r="F5804" s="538">
        <v>7440133</v>
      </c>
      <c r="G5804" s="538">
        <v>96</v>
      </c>
    </row>
    <row r="5805" spans="1:7" x14ac:dyDescent="0.2">
      <c r="A5805" s="538">
        <v>10</v>
      </c>
      <c r="B5805" s="538" t="s">
        <v>6652</v>
      </c>
      <c r="C5805" s="538" t="s">
        <v>740</v>
      </c>
      <c r="D5805" s="538" t="s">
        <v>393</v>
      </c>
      <c r="E5805" s="538" t="s">
        <v>313</v>
      </c>
      <c r="F5805" s="538">
        <v>496433</v>
      </c>
      <c r="G5805" s="538">
        <v>1</v>
      </c>
    </row>
    <row r="5806" spans="1:7" x14ac:dyDescent="0.2">
      <c r="A5806" s="538">
        <v>9</v>
      </c>
      <c r="B5806" s="538" t="s">
        <v>6615</v>
      </c>
      <c r="C5806" s="538" t="s">
        <v>740</v>
      </c>
      <c r="D5806" s="538" t="s">
        <v>393</v>
      </c>
      <c r="E5806" s="538" t="s">
        <v>390</v>
      </c>
      <c r="F5806" s="538">
        <v>28444525</v>
      </c>
      <c r="G5806" s="538">
        <v>1055</v>
      </c>
    </row>
    <row r="5807" spans="1:7" x14ac:dyDescent="0.2">
      <c r="A5807" s="538">
        <v>5</v>
      </c>
      <c r="B5807" s="538" t="s">
        <v>6568</v>
      </c>
      <c r="C5807" s="538" t="s">
        <v>740</v>
      </c>
      <c r="D5807" s="538" t="s">
        <v>740</v>
      </c>
      <c r="E5807" s="538" t="s">
        <v>202</v>
      </c>
      <c r="F5807" s="538">
        <v>889904</v>
      </c>
      <c r="G5807" s="538">
        <v>8</v>
      </c>
    </row>
    <row r="5808" spans="1:7" x14ac:dyDescent="0.2">
      <c r="A5808" s="538">
        <v>1</v>
      </c>
      <c r="B5808" s="538" t="s">
        <v>6581</v>
      </c>
      <c r="C5808" s="538" t="s">
        <v>740</v>
      </c>
      <c r="D5808" s="538" t="s">
        <v>393</v>
      </c>
      <c r="E5808" s="538" t="s">
        <v>401</v>
      </c>
      <c r="F5808" s="538">
        <v>11328</v>
      </c>
      <c r="G5808" s="538">
        <v>1</v>
      </c>
    </row>
    <row r="5809" spans="1:7" x14ac:dyDescent="0.2">
      <c r="A5809" s="538">
        <v>10</v>
      </c>
      <c r="B5809" s="538" t="s">
        <v>6653</v>
      </c>
      <c r="C5809" s="538" t="s">
        <v>740</v>
      </c>
      <c r="D5809" s="538" t="s">
        <v>740</v>
      </c>
      <c r="E5809" s="538" t="s">
        <v>401</v>
      </c>
      <c r="F5809" s="538">
        <v>33984</v>
      </c>
      <c r="G5809" s="538">
        <v>3</v>
      </c>
    </row>
    <row r="5810" spans="1:7" x14ac:dyDescent="0.2">
      <c r="A5810" s="538">
        <v>11</v>
      </c>
      <c r="B5810" s="538" t="s">
        <v>6558</v>
      </c>
      <c r="C5810" s="538" t="s">
        <v>393</v>
      </c>
      <c r="D5810" s="538" t="s">
        <v>393</v>
      </c>
      <c r="E5810" s="538" t="s">
        <v>209</v>
      </c>
      <c r="F5810" s="538">
        <v>1053275</v>
      </c>
      <c r="G5810" s="538">
        <v>10</v>
      </c>
    </row>
    <row r="5811" spans="1:7" x14ac:dyDescent="0.2">
      <c r="A5811" s="538">
        <v>11</v>
      </c>
      <c r="B5811" s="538" t="s">
        <v>6610</v>
      </c>
      <c r="C5811" s="538" t="s">
        <v>393</v>
      </c>
      <c r="D5811" s="538" t="s">
        <v>393</v>
      </c>
      <c r="E5811" s="538" t="s">
        <v>449</v>
      </c>
      <c r="F5811" s="538">
        <v>237711</v>
      </c>
      <c r="G5811" s="538">
        <v>12</v>
      </c>
    </row>
    <row r="5812" spans="1:7" x14ac:dyDescent="0.2">
      <c r="A5812" s="538">
        <v>5</v>
      </c>
      <c r="B5812" s="538" t="s">
        <v>6599</v>
      </c>
      <c r="C5812" s="538" t="s">
        <v>393</v>
      </c>
      <c r="D5812" s="538" t="s">
        <v>740</v>
      </c>
      <c r="E5812" s="538" t="s">
        <v>401</v>
      </c>
      <c r="F5812" s="538">
        <v>11328</v>
      </c>
      <c r="G5812" s="538">
        <v>1</v>
      </c>
    </row>
    <row r="5813" spans="1:7" x14ac:dyDescent="0.2">
      <c r="A5813" s="538">
        <v>2</v>
      </c>
      <c r="B5813" s="538" t="s">
        <v>6585</v>
      </c>
      <c r="C5813" s="538" t="s">
        <v>740</v>
      </c>
      <c r="D5813" s="538" t="s">
        <v>740</v>
      </c>
      <c r="E5813" s="538" t="s">
        <v>449</v>
      </c>
      <c r="F5813" s="538">
        <v>67968</v>
      </c>
      <c r="G5813" s="538">
        <v>6</v>
      </c>
    </row>
    <row r="5814" spans="1:7" x14ac:dyDescent="0.2">
      <c r="A5814" s="538">
        <v>8</v>
      </c>
      <c r="B5814" s="538" t="s">
        <v>6560</v>
      </c>
      <c r="C5814" s="538" t="s">
        <v>393</v>
      </c>
      <c r="D5814" s="538" t="s">
        <v>393</v>
      </c>
      <c r="E5814" s="538" t="s">
        <v>230</v>
      </c>
      <c r="F5814" s="538">
        <v>7909943</v>
      </c>
      <c r="G5814" s="538">
        <v>171</v>
      </c>
    </row>
    <row r="5815" spans="1:7" x14ac:dyDescent="0.2">
      <c r="A5815" s="538">
        <v>11</v>
      </c>
      <c r="B5815" s="538" t="s">
        <v>6584</v>
      </c>
      <c r="C5815" s="538" t="s">
        <v>740</v>
      </c>
      <c r="D5815" s="538" t="s">
        <v>393</v>
      </c>
      <c r="E5815" s="538" t="s">
        <v>401</v>
      </c>
      <c r="F5815" s="538">
        <v>22656</v>
      </c>
      <c r="G5815" s="538">
        <v>2</v>
      </c>
    </row>
    <row r="5816" spans="1:7" x14ac:dyDescent="0.2">
      <c r="A5816" s="538">
        <v>11</v>
      </c>
      <c r="B5816" s="538" t="s">
        <v>6659</v>
      </c>
      <c r="C5816" s="538" t="s">
        <v>393</v>
      </c>
      <c r="D5816" s="538" t="s">
        <v>393</v>
      </c>
      <c r="E5816" s="538" t="s">
        <v>416</v>
      </c>
      <c r="F5816" s="538">
        <v>34205721</v>
      </c>
      <c r="G5816" s="538">
        <v>532</v>
      </c>
    </row>
    <row r="5817" spans="1:7" x14ac:dyDescent="0.2">
      <c r="A5817" s="538">
        <v>4</v>
      </c>
      <c r="B5817" s="538" t="s">
        <v>6559</v>
      </c>
      <c r="C5817" s="538" t="s">
        <v>740</v>
      </c>
      <c r="D5817" s="538" t="s">
        <v>740</v>
      </c>
      <c r="E5817" s="538" t="s">
        <v>438</v>
      </c>
      <c r="F5817" s="538">
        <v>61596</v>
      </c>
      <c r="G5817" s="538">
        <v>2</v>
      </c>
    </row>
    <row r="5818" spans="1:7" x14ac:dyDescent="0.2">
      <c r="A5818" s="538">
        <v>4</v>
      </c>
      <c r="B5818" s="538" t="s">
        <v>6593</v>
      </c>
      <c r="C5818" s="538" t="s">
        <v>740</v>
      </c>
      <c r="D5818" s="538" t="s">
        <v>393</v>
      </c>
      <c r="E5818" s="538" t="s">
        <v>449</v>
      </c>
      <c r="F5818" s="538">
        <v>872964</v>
      </c>
      <c r="G5818" s="538">
        <v>48</v>
      </c>
    </row>
    <row r="5819" spans="1:7" x14ac:dyDescent="0.2">
      <c r="A5819" s="538">
        <v>3</v>
      </c>
      <c r="B5819" s="538" t="s">
        <v>1390</v>
      </c>
      <c r="C5819" s="538" t="s">
        <v>393</v>
      </c>
      <c r="D5819" s="538" t="s">
        <v>393</v>
      </c>
      <c r="E5819" s="538" t="s">
        <v>230</v>
      </c>
      <c r="F5819" s="538">
        <v>11781006</v>
      </c>
      <c r="G5819" s="538">
        <v>257</v>
      </c>
    </row>
    <row r="5820" spans="1:7" x14ac:dyDescent="0.2">
      <c r="A5820" s="538">
        <v>9</v>
      </c>
      <c r="B5820" s="538" t="s">
        <v>6657</v>
      </c>
      <c r="C5820" s="538" t="s">
        <v>393</v>
      </c>
      <c r="D5820" s="538" t="s">
        <v>393</v>
      </c>
      <c r="E5820" s="538" t="s">
        <v>409</v>
      </c>
      <c r="F5820" s="538">
        <v>1212221</v>
      </c>
      <c r="G5820" s="538">
        <v>42</v>
      </c>
    </row>
    <row r="5821" spans="1:7" x14ac:dyDescent="0.2">
      <c r="A5821" s="538">
        <v>5</v>
      </c>
      <c r="B5821" s="538" t="s">
        <v>6598</v>
      </c>
      <c r="C5821" s="538" t="s">
        <v>740</v>
      </c>
      <c r="D5821" s="538" t="s">
        <v>393</v>
      </c>
      <c r="E5821" s="538" t="s">
        <v>210</v>
      </c>
      <c r="F5821" s="538">
        <v>10099766</v>
      </c>
      <c r="G5821" s="538">
        <v>562</v>
      </c>
    </row>
    <row r="5822" spans="1:7" x14ac:dyDescent="0.2">
      <c r="A5822" s="538">
        <v>11</v>
      </c>
      <c r="B5822" s="538" t="s">
        <v>6584</v>
      </c>
      <c r="C5822" s="538" t="s">
        <v>740</v>
      </c>
      <c r="D5822" s="538" t="s">
        <v>393</v>
      </c>
      <c r="E5822" s="538" t="s">
        <v>212</v>
      </c>
      <c r="F5822" s="538">
        <v>33984</v>
      </c>
      <c r="G5822" s="538">
        <v>3</v>
      </c>
    </row>
    <row r="5823" spans="1:7" x14ac:dyDescent="0.2">
      <c r="A5823" s="538">
        <v>8</v>
      </c>
      <c r="B5823" s="538" t="s">
        <v>6570</v>
      </c>
      <c r="C5823" s="538" t="s">
        <v>393</v>
      </c>
      <c r="D5823" s="538" t="s">
        <v>740</v>
      </c>
      <c r="E5823" s="538" t="s">
        <v>230</v>
      </c>
      <c r="F5823" s="538">
        <v>74163</v>
      </c>
      <c r="G5823" s="538">
        <v>1</v>
      </c>
    </row>
    <row r="5824" spans="1:7" x14ac:dyDescent="0.2">
      <c r="A5824" s="538">
        <v>11</v>
      </c>
      <c r="B5824" s="538" t="s">
        <v>6592</v>
      </c>
      <c r="C5824" s="538" t="s">
        <v>740</v>
      </c>
      <c r="D5824" s="538" t="s">
        <v>393</v>
      </c>
      <c r="E5824" s="538" t="s">
        <v>860</v>
      </c>
      <c r="F5824" s="538">
        <v>11328</v>
      </c>
      <c r="G5824" s="538">
        <v>1</v>
      </c>
    </row>
    <row r="5825" spans="1:7" x14ac:dyDescent="0.2">
      <c r="A5825" s="538">
        <v>8</v>
      </c>
      <c r="B5825" s="538" t="s">
        <v>6560</v>
      </c>
      <c r="C5825" s="538" t="s">
        <v>740</v>
      </c>
      <c r="D5825" s="538" t="s">
        <v>393</v>
      </c>
      <c r="E5825" s="538" t="s">
        <v>409</v>
      </c>
      <c r="F5825" s="538">
        <v>735383</v>
      </c>
      <c r="G5825" s="538">
        <v>11</v>
      </c>
    </row>
    <row r="5826" spans="1:7" x14ac:dyDescent="0.2">
      <c r="A5826" s="538">
        <v>2</v>
      </c>
      <c r="B5826" s="538" t="s">
        <v>6608</v>
      </c>
      <c r="C5826" s="538" t="s">
        <v>740</v>
      </c>
      <c r="D5826" s="538" t="s">
        <v>393</v>
      </c>
      <c r="E5826" s="538" t="s">
        <v>211</v>
      </c>
      <c r="F5826" s="538">
        <v>56640</v>
      </c>
      <c r="G5826" s="538">
        <v>5</v>
      </c>
    </row>
    <row r="5827" spans="1:7" x14ac:dyDescent="0.2">
      <c r="A5827" s="538">
        <v>2</v>
      </c>
      <c r="B5827" s="538" t="s">
        <v>6576</v>
      </c>
      <c r="C5827" s="538" t="s">
        <v>393</v>
      </c>
      <c r="D5827" s="538" t="s">
        <v>740</v>
      </c>
      <c r="E5827" s="538" t="s">
        <v>202</v>
      </c>
      <c r="F5827" s="538">
        <v>11328</v>
      </c>
      <c r="G5827" s="538">
        <v>1</v>
      </c>
    </row>
    <row r="5828" spans="1:7" x14ac:dyDescent="0.2">
      <c r="A5828" s="538">
        <v>6</v>
      </c>
      <c r="B5828" s="538" t="s">
        <v>6565</v>
      </c>
      <c r="C5828" s="538" t="s">
        <v>393</v>
      </c>
      <c r="D5828" s="538" t="s">
        <v>393</v>
      </c>
      <c r="E5828" s="538" t="s">
        <v>402</v>
      </c>
      <c r="F5828" s="538">
        <v>6551624</v>
      </c>
      <c r="G5828" s="538">
        <v>173</v>
      </c>
    </row>
    <row r="5829" spans="1:7" x14ac:dyDescent="0.2">
      <c r="A5829" s="538">
        <v>5</v>
      </c>
      <c r="B5829" s="538" t="s">
        <v>6598</v>
      </c>
      <c r="C5829" s="538" t="s">
        <v>740</v>
      </c>
      <c r="D5829" s="538" t="s">
        <v>393</v>
      </c>
      <c r="E5829" s="538" t="s">
        <v>390</v>
      </c>
      <c r="F5829" s="538">
        <v>41682730</v>
      </c>
      <c r="G5829" s="538">
        <v>1905</v>
      </c>
    </row>
    <row r="5830" spans="1:7" x14ac:dyDescent="0.2">
      <c r="A5830" s="538">
        <v>8</v>
      </c>
      <c r="B5830" s="538" t="s">
        <v>6583</v>
      </c>
      <c r="C5830" s="538" t="s">
        <v>740</v>
      </c>
      <c r="D5830" s="538" t="s">
        <v>393</v>
      </c>
      <c r="E5830" s="538" t="s">
        <v>401</v>
      </c>
      <c r="F5830" s="538">
        <v>2240289</v>
      </c>
      <c r="G5830" s="538">
        <v>128</v>
      </c>
    </row>
    <row r="5831" spans="1:7" x14ac:dyDescent="0.2">
      <c r="A5831" s="538">
        <v>2</v>
      </c>
      <c r="B5831" s="538" t="s">
        <v>6055</v>
      </c>
      <c r="C5831" s="538" t="s">
        <v>740</v>
      </c>
      <c r="D5831" s="538" t="s">
        <v>393</v>
      </c>
      <c r="E5831" s="538" t="s">
        <v>402</v>
      </c>
      <c r="F5831" s="538">
        <v>2668525</v>
      </c>
      <c r="G5831" s="538">
        <v>105</v>
      </c>
    </row>
    <row r="5832" spans="1:7" x14ac:dyDescent="0.2">
      <c r="A5832" s="538">
        <v>7</v>
      </c>
      <c r="B5832" s="538" t="s">
        <v>6579</v>
      </c>
      <c r="C5832" s="538" t="s">
        <v>740</v>
      </c>
      <c r="D5832" s="538" t="s">
        <v>740</v>
      </c>
      <c r="E5832" s="538" t="s">
        <v>409</v>
      </c>
      <c r="F5832" s="538">
        <v>675609</v>
      </c>
      <c r="G5832" s="538">
        <v>43</v>
      </c>
    </row>
    <row r="5833" spans="1:7" x14ac:dyDescent="0.2">
      <c r="A5833" s="538">
        <v>10</v>
      </c>
      <c r="B5833" s="538" t="s">
        <v>6587</v>
      </c>
      <c r="C5833" s="538" t="s">
        <v>740</v>
      </c>
      <c r="D5833" s="538" t="s">
        <v>393</v>
      </c>
      <c r="E5833" s="538" t="s">
        <v>438</v>
      </c>
      <c r="F5833" s="538">
        <v>2353059</v>
      </c>
      <c r="G5833" s="538">
        <v>28</v>
      </c>
    </row>
    <row r="5834" spans="1:7" x14ac:dyDescent="0.2">
      <c r="A5834" s="538">
        <v>2</v>
      </c>
      <c r="B5834" s="538" t="s">
        <v>6656</v>
      </c>
      <c r="C5834" s="538" t="s">
        <v>740</v>
      </c>
      <c r="D5834" s="538" t="s">
        <v>393</v>
      </c>
      <c r="E5834" s="538" t="s">
        <v>402</v>
      </c>
      <c r="F5834" s="538">
        <v>593658</v>
      </c>
      <c r="G5834" s="538">
        <v>31</v>
      </c>
    </row>
    <row r="5835" spans="1:7" x14ac:dyDescent="0.2">
      <c r="A5835" s="538">
        <v>8</v>
      </c>
      <c r="B5835" s="538" t="s">
        <v>6560</v>
      </c>
      <c r="C5835" s="538" t="s">
        <v>393</v>
      </c>
      <c r="D5835" s="538" t="s">
        <v>393</v>
      </c>
      <c r="E5835" s="538" t="s">
        <v>202</v>
      </c>
      <c r="F5835" s="538">
        <v>5502743</v>
      </c>
      <c r="G5835" s="538">
        <v>51</v>
      </c>
    </row>
    <row r="5836" spans="1:7" x14ac:dyDescent="0.2">
      <c r="A5836" s="538">
        <v>11</v>
      </c>
      <c r="B5836" s="538" t="s">
        <v>6610</v>
      </c>
      <c r="C5836" s="538" t="s">
        <v>740</v>
      </c>
      <c r="D5836" s="538" t="s">
        <v>740</v>
      </c>
      <c r="E5836" s="538" t="s">
        <v>390</v>
      </c>
      <c r="F5836" s="538">
        <v>11039230</v>
      </c>
      <c r="G5836" s="538">
        <v>280</v>
      </c>
    </row>
    <row r="5837" spans="1:7" x14ac:dyDescent="0.2">
      <c r="A5837" s="538">
        <v>1</v>
      </c>
      <c r="B5837" s="538" t="s">
        <v>6595</v>
      </c>
      <c r="C5837" s="538" t="s">
        <v>740</v>
      </c>
      <c r="D5837" s="538" t="s">
        <v>393</v>
      </c>
      <c r="E5837" s="538" t="s">
        <v>207</v>
      </c>
      <c r="F5837" s="538">
        <v>45312</v>
      </c>
      <c r="G5837" s="538">
        <v>4</v>
      </c>
    </row>
    <row r="5838" spans="1:7" x14ac:dyDescent="0.2">
      <c r="A5838" s="538">
        <v>1</v>
      </c>
      <c r="B5838" s="538" t="s">
        <v>6581</v>
      </c>
      <c r="C5838" s="538" t="s">
        <v>393</v>
      </c>
      <c r="D5838" s="538" t="s">
        <v>393</v>
      </c>
      <c r="E5838" s="538" t="s">
        <v>419</v>
      </c>
      <c r="F5838" s="538">
        <v>22656</v>
      </c>
      <c r="G5838" s="538">
        <v>2</v>
      </c>
    </row>
    <row r="5839" spans="1:7" x14ac:dyDescent="0.2">
      <c r="A5839" s="538">
        <v>3</v>
      </c>
      <c r="B5839" s="538" t="s">
        <v>6603</v>
      </c>
      <c r="C5839" s="538" t="s">
        <v>740</v>
      </c>
      <c r="D5839" s="538" t="s">
        <v>393</v>
      </c>
      <c r="E5839" s="538" t="s">
        <v>419</v>
      </c>
      <c r="F5839" s="538">
        <v>328158</v>
      </c>
      <c r="G5839" s="538">
        <v>11</v>
      </c>
    </row>
    <row r="5840" spans="1:7" x14ac:dyDescent="0.2">
      <c r="A5840" s="538">
        <v>8</v>
      </c>
      <c r="B5840" s="538" t="s">
        <v>6583</v>
      </c>
      <c r="C5840" s="538" t="s">
        <v>740</v>
      </c>
      <c r="D5840" s="538" t="s">
        <v>740</v>
      </c>
      <c r="E5840" s="538" t="s">
        <v>209</v>
      </c>
      <c r="F5840" s="538">
        <v>992866</v>
      </c>
      <c r="G5840" s="538">
        <v>2</v>
      </c>
    </row>
    <row r="5841" spans="1:7" x14ac:dyDescent="0.2">
      <c r="A5841" s="538">
        <v>7</v>
      </c>
      <c r="B5841" s="538" t="s">
        <v>6588</v>
      </c>
      <c r="C5841" s="538" t="s">
        <v>740</v>
      </c>
      <c r="D5841" s="538" t="s">
        <v>393</v>
      </c>
      <c r="E5841" s="538" t="s">
        <v>438</v>
      </c>
      <c r="F5841" s="538">
        <v>847247</v>
      </c>
      <c r="G5841" s="538">
        <v>14</v>
      </c>
    </row>
    <row r="5842" spans="1:7" x14ac:dyDescent="0.2">
      <c r="A5842" s="538">
        <v>10</v>
      </c>
      <c r="B5842" s="538" t="s">
        <v>6664</v>
      </c>
      <c r="C5842" s="538" t="s">
        <v>393</v>
      </c>
      <c r="D5842" s="538" t="s">
        <v>393</v>
      </c>
      <c r="E5842" s="538" t="s">
        <v>212</v>
      </c>
      <c r="F5842" s="538">
        <v>192576</v>
      </c>
      <c r="G5842" s="538">
        <v>17</v>
      </c>
    </row>
    <row r="5843" spans="1:7" x14ac:dyDescent="0.2">
      <c r="A5843" s="538">
        <v>7</v>
      </c>
      <c r="B5843" s="538" t="s">
        <v>6579</v>
      </c>
      <c r="C5843" s="538" t="s">
        <v>393</v>
      </c>
      <c r="D5843" s="538" t="s">
        <v>740</v>
      </c>
      <c r="E5843" s="538" t="s">
        <v>210</v>
      </c>
      <c r="F5843" s="538">
        <v>1282084</v>
      </c>
      <c r="G5843" s="538">
        <v>13</v>
      </c>
    </row>
    <row r="5844" spans="1:7" x14ac:dyDescent="0.2">
      <c r="A5844" s="538">
        <v>4</v>
      </c>
      <c r="B5844" s="538" t="s">
        <v>6562</v>
      </c>
      <c r="C5844" s="538" t="s">
        <v>740</v>
      </c>
      <c r="D5844" s="538" t="s">
        <v>393</v>
      </c>
      <c r="E5844" s="538" t="s">
        <v>212</v>
      </c>
      <c r="F5844" s="538">
        <v>327096</v>
      </c>
      <c r="G5844" s="538">
        <v>22</v>
      </c>
    </row>
    <row r="5845" spans="1:7" x14ac:dyDescent="0.2">
      <c r="A5845" s="538">
        <v>2</v>
      </c>
      <c r="B5845" s="538" t="s">
        <v>6576</v>
      </c>
      <c r="C5845" s="538" t="s">
        <v>740</v>
      </c>
      <c r="D5845" s="538" t="s">
        <v>393</v>
      </c>
      <c r="E5845" s="538" t="s">
        <v>210</v>
      </c>
      <c r="F5845" s="538">
        <v>11328</v>
      </c>
      <c r="G5845" s="538">
        <v>1</v>
      </c>
    </row>
    <row r="5846" spans="1:7" x14ac:dyDescent="0.2">
      <c r="A5846" s="538">
        <v>6</v>
      </c>
      <c r="B5846" s="538" t="s">
        <v>6565</v>
      </c>
      <c r="C5846" s="538" t="s">
        <v>740</v>
      </c>
      <c r="D5846" s="538" t="s">
        <v>740</v>
      </c>
      <c r="E5846" s="538" t="s">
        <v>211</v>
      </c>
      <c r="F5846" s="538">
        <v>11328</v>
      </c>
      <c r="G5846" s="538">
        <v>1</v>
      </c>
    </row>
    <row r="5847" spans="1:7" x14ac:dyDescent="0.2">
      <c r="A5847" s="538">
        <v>11</v>
      </c>
      <c r="B5847" s="538" t="s">
        <v>6584</v>
      </c>
      <c r="C5847" s="538" t="s">
        <v>740</v>
      </c>
      <c r="D5847" s="538" t="s">
        <v>393</v>
      </c>
      <c r="E5847" s="538" t="s">
        <v>212</v>
      </c>
      <c r="F5847" s="538">
        <v>33984</v>
      </c>
      <c r="G5847" s="538">
        <v>3</v>
      </c>
    </row>
    <row r="5848" spans="1:7" x14ac:dyDescent="0.2">
      <c r="A5848" s="538">
        <v>1</v>
      </c>
      <c r="B5848" s="538" t="s">
        <v>6595</v>
      </c>
      <c r="C5848" s="538" t="s">
        <v>740</v>
      </c>
      <c r="D5848" s="538" t="s">
        <v>393</v>
      </c>
      <c r="E5848" s="538" t="s">
        <v>202</v>
      </c>
      <c r="F5848" s="538">
        <v>1563462</v>
      </c>
      <c r="G5848" s="538">
        <v>4</v>
      </c>
    </row>
    <row r="5849" spans="1:7" x14ac:dyDescent="0.2">
      <c r="A5849" s="538">
        <v>3</v>
      </c>
      <c r="B5849" s="538" t="s">
        <v>6578</v>
      </c>
      <c r="C5849" s="538" t="s">
        <v>740</v>
      </c>
      <c r="D5849" s="538" t="s">
        <v>393</v>
      </c>
      <c r="E5849" s="538" t="s">
        <v>419</v>
      </c>
      <c r="F5849" s="538">
        <v>74163</v>
      </c>
      <c r="G5849" s="538">
        <v>1</v>
      </c>
    </row>
    <row r="5850" spans="1:7" x14ac:dyDescent="0.2">
      <c r="A5850" s="538">
        <v>3</v>
      </c>
      <c r="B5850" s="538" t="s">
        <v>6561</v>
      </c>
      <c r="C5850" s="538" t="s">
        <v>740</v>
      </c>
      <c r="D5850" s="538" t="s">
        <v>393</v>
      </c>
      <c r="E5850" s="538" t="s">
        <v>409</v>
      </c>
      <c r="F5850" s="538">
        <v>33984</v>
      </c>
      <c r="G5850" s="538">
        <v>3</v>
      </c>
    </row>
    <row r="5851" spans="1:7" x14ac:dyDescent="0.2">
      <c r="A5851" s="538">
        <v>3</v>
      </c>
      <c r="B5851" s="538" t="s">
        <v>6647</v>
      </c>
      <c r="C5851" s="538" t="s">
        <v>393</v>
      </c>
      <c r="D5851" s="538" t="s">
        <v>740</v>
      </c>
      <c r="E5851" s="538" t="s">
        <v>402</v>
      </c>
      <c r="F5851" s="538">
        <v>328335</v>
      </c>
      <c r="G5851" s="538">
        <v>20</v>
      </c>
    </row>
    <row r="5852" spans="1:7" x14ac:dyDescent="0.2">
      <c r="A5852" s="538">
        <v>8</v>
      </c>
      <c r="B5852" s="538" t="s">
        <v>6567</v>
      </c>
      <c r="C5852" s="538" t="s">
        <v>740</v>
      </c>
      <c r="D5852" s="538" t="s">
        <v>393</v>
      </c>
      <c r="E5852" s="538" t="s">
        <v>209</v>
      </c>
      <c r="F5852" s="538">
        <v>13073648</v>
      </c>
      <c r="G5852" s="538">
        <v>76</v>
      </c>
    </row>
    <row r="5853" spans="1:7" x14ac:dyDescent="0.2">
      <c r="A5853" s="538">
        <v>10</v>
      </c>
      <c r="B5853" s="538" t="s">
        <v>6600</v>
      </c>
      <c r="C5853" s="538" t="s">
        <v>393</v>
      </c>
      <c r="D5853" s="538" t="s">
        <v>393</v>
      </c>
      <c r="E5853" s="538" t="s">
        <v>230</v>
      </c>
      <c r="F5853" s="538">
        <v>2711661</v>
      </c>
      <c r="G5853" s="538">
        <v>52</v>
      </c>
    </row>
    <row r="5854" spans="1:7" x14ac:dyDescent="0.2">
      <c r="A5854" s="538">
        <v>9</v>
      </c>
      <c r="B5854" s="538" t="s">
        <v>6615</v>
      </c>
      <c r="C5854" s="538" t="s">
        <v>393</v>
      </c>
      <c r="D5854" s="538" t="s">
        <v>393</v>
      </c>
      <c r="E5854" s="538" t="s">
        <v>402</v>
      </c>
      <c r="F5854" s="538">
        <v>9302579</v>
      </c>
      <c r="G5854" s="538">
        <v>248</v>
      </c>
    </row>
    <row r="5855" spans="1:7" x14ac:dyDescent="0.2">
      <c r="A5855" s="538">
        <v>5</v>
      </c>
      <c r="B5855" s="538" t="s">
        <v>6599</v>
      </c>
      <c r="C5855" s="538" t="s">
        <v>740</v>
      </c>
      <c r="D5855" s="538" t="s">
        <v>393</v>
      </c>
      <c r="E5855" s="538" t="s">
        <v>402</v>
      </c>
      <c r="F5855" s="538">
        <v>13612581</v>
      </c>
      <c r="G5855" s="538">
        <v>607</v>
      </c>
    </row>
    <row r="5856" spans="1:7" x14ac:dyDescent="0.2">
      <c r="A5856" s="538">
        <v>5</v>
      </c>
      <c r="B5856" s="538" t="s">
        <v>6651</v>
      </c>
      <c r="C5856" s="538" t="s">
        <v>740</v>
      </c>
      <c r="D5856" s="538" t="s">
        <v>393</v>
      </c>
      <c r="E5856" s="538" t="s">
        <v>390</v>
      </c>
      <c r="F5856" s="538">
        <v>6321628</v>
      </c>
      <c r="G5856" s="538">
        <v>256</v>
      </c>
    </row>
    <row r="5857" spans="1:7" x14ac:dyDescent="0.2">
      <c r="A5857" s="538">
        <v>6</v>
      </c>
      <c r="B5857" s="538" t="s">
        <v>6607</v>
      </c>
      <c r="C5857" s="538" t="s">
        <v>740</v>
      </c>
      <c r="D5857" s="538" t="s">
        <v>393</v>
      </c>
      <c r="E5857" s="538" t="s">
        <v>212</v>
      </c>
      <c r="F5857" s="538">
        <v>4225875</v>
      </c>
      <c r="G5857" s="538">
        <v>335</v>
      </c>
    </row>
    <row r="5858" spans="1:7" x14ac:dyDescent="0.2">
      <c r="A5858" s="538">
        <v>8</v>
      </c>
      <c r="B5858" s="538" t="s">
        <v>6648</v>
      </c>
      <c r="C5858" s="538" t="s">
        <v>393</v>
      </c>
      <c r="D5858" s="538" t="s">
        <v>740</v>
      </c>
      <c r="E5858" s="538" t="s">
        <v>401</v>
      </c>
      <c r="F5858" s="538">
        <v>56640</v>
      </c>
      <c r="G5858" s="538">
        <v>5</v>
      </c>
    </row>
    <row r="5859" spans="1:7" x14ac:dyDescent="0.2">
      <c r="A5859" s="538">
        <v>8</v>
      </c>
      <c r="B5859" s="538" t="s">
        <v>6577</v>
      </c>
      <c r="C5859" s="538" t="s">
        <v>740</v>
      </c>
      <c r="D5859" s="538" t="s">
        <v>740</v>
      </c>
      <c r="E5859" s="538" t="s">
        <v>212</v>
      </c>
      <c r="F5859" s="538">
        <v>2001516</v>
      </c>
      <c r="G5859" s="538">
        <v>127</v>
      </c>
    </row>
    <row r="5860" spans="1:7" x14ac:dyDescent="0.2">
      <c r="A5860" s="538">
        <v>7</v>
      </c>
      <c r="B5860" s="538" t="s">
        <v>6655</v>
      </c>
      <c r="C5860" s="538" t="s">
        <v>740</v>
      </c>
      <c r="D5860" s="538" t="s">
        <v>393</v>
      </c>
      <c r="E5860" s="538" t="s">
        <v>860</v>
      </c>
      <c r="F5860" s="538">
        <v>467988</v>
      </c>
      <c r="G5860" s="538">
        <v>31</v>
      </c>
    </row>
    <row r="5861" spans="1:7" x14ac:dyDescent="0.2">
      <c r="A5861" s="538">
        <v>1</v>
      </c>
      <c r="B5861" s="538" t="s">
        <v>6581</v>
      </c>
      <c r="C5861" s="538" t="s">
        <v>393</v>
      </c>
      <c r="D5861" s="538" t="s">
        <v>393</v>
      </c>
      <c r="E5861" s="538" t="s">
        <v>409</v>
      </c>
      <c r="F5861" s="538">
        <v>1264134</v>
      </c>
      <c r="G5861" s="538">
        <v>68</v>
      </c>
    </row>
    <row r="5862" spans="1:7" x14ac:dyDescent="0.2">
      <c r="A5862" s="538">
        <v>11</v>
      </c>
      <c r="B5862" s="538" t="s">
        <v>6592</v>
      </c>
      <c r="C5862" s="538" t="s">
        <v>740</v>
      </c>
      <c r="D5862" s="538" t="s">
        <v>393</v>
      </c>
      <c r="E5862" s="538" t="s">
        <v>416</v>
      </c>
      <c r="F5862" s="538">
        <v>726762</v>
      </c>
      <c r="G5862" s="538">
        <v>24</v>
      </c>
    </row>
    <row r="5863" spans="1:7" x14ac:dyDescent="0.2">
      <c r="A5863" s="538">
        <v>3</v>
      </c>
      <c r="B5863" s="538" t="s">
        <v>1390</v>
      </c>
      <c r="C5863" s="538" t="s">
        <v>740</v>
      </c>
      <c r="D5863" s="538" t="s">
        <v>393</v>
      </c>
      <c r="E5863" s="538" t="s">
        <v>438</v>
      </c>
      <c r="F5863" s="538">
        <v>197355</v>
      </c>
      <c r="G5863" s="538">
        <v>5</v>
      </c>
    </row>
    <row r="5864" spans="1:7" x14ac:dyDescent="0.2">
      <c r="A5864" s="538">
        <v>3</v>
      </c>
      <c r="B5864" s="538" t="s">
        <v>1390</v>
      </c>
      <c r="C5864" s="538" t="s">
        <v>740</v>
      </c>
      <c r="D5864" s="538" t="s">
        <v>393</v>
      </c>
      <c r="E5864" s="538" t="s">
        <v>206</v>
      </c>
      <c r="F5864" s="538">
        <v>11328</v>
      </c>
      <c r="G5864" s="538">
        <v>1</v>
      </c>
    </row>
    <row r="5865" spans="1:7" x14ac:dyDescent="0.2">
      <c r="A5865" s="538">
        <v>2</v>
      </c>
      <c r="B5865" s="538" t="s">
        <v>6055</v>
      </c>
      <c r="C5865" s="538" t="s">
        <v>393</v>
      </c>
      <c r="D5865" s="538" t="s">
        <v>740</v>
      </c>
      <c r="E5865" s="538" t="s">
        <v>207</v>
      </c>
      <c r="F5865" s="538">
        <v>642864</v>
      </c>
      <c r="G5865" s="538">
        <v>43</v>
      </c>
    </row>
    <row r="5866" spans="1:7" x14ac:dyDescent="0.2">
      <c r="A5866" s="538">
        <v>8</v>
      </c>
      <c r="B5866" s="538" t="s">
        <v>6560</v>
      </c>
      <c r="C5866" s="538" t="s">
        <v>740</v>
      </c>
      <c r="D5866" s="538" t="s">
        <v>393</v>
      </c>
      <c r="E5866" s="538" t="s">
        <v>202</v>
      </c>
      <c r="F5866" s="538">
        <v>2869493</v>
      </c>
      <c r="G5866" s="538">
        <v>26</v>
      </c>
    </row>
    <row r="5867" spans="1:7" x14ac:dyDescent="0.2">
      <c r="A5867" s="538">
        <v>9</v>
      </c>
      <c r="B5867" s="538" t="s">
        <v>6645</v>
      </c>
      <c r="C5867" s="538" t="s">
        <v>393</v>
      </c>
      <c r="D5867" s="538" t="s">
        <v>393</v>
      </c>
      <c r="E5867" s="538" t="s">
        <v>390</v>
      </c>
      <c r="F5867" s="538">
        <v>12015854</v>
      </c>
      <c r="G5867" s="538">
        <v>178</v>
      </c>
    </row>
    <row r="5868" spans="1:7" x14ac:dyDescent="0.2">
      <c r="A5868" s="538">
        <v>1</v>
      </c>
      <c r="B5868" s="538" t="s">
        <v>6609</v>
      </c>
      <c r="C5868" s="538" t="s">
        <v>393</v>
      </c>
      <c r="D5868" s="538" t="s">
        <v>393</v>
      </c>
      <c r="E5868" s="538" t="s">
        <v>209</v>
      </c>
      <c r="F5868" s="538">
        <v>1141192</v>
      </c>
      <c r="G5868" s="538">
        <v>4</v>
      </c>
    </row>
    <row r="5869" spans="1:7" x14ac:dyDescent="0.2">
      <c r="A5869" s="538">
        <v>10</v>
      </c>
      <c r="B5869" s="538" t="s">
        <v>6652</v>
      </c>
      <c r="C5869" s="538" t="s">
        <v>740</v>
      </c>
      <c r="D5869" s="538" t="s">
        <v>393</v>
      </c>
      <c r="E5869" s="538" t="s">
        <v>416</v>
      </c>
      <c r="F5869" s="538">
        <v>2301552</v>
      </c>
      <c r="G5869" s="538">
        <v>29</v>
      </c>
    </row>
    <row r="5870" spans="1:7" x14ac:dyDescent="0.2">
      <c r="A5870" s="538">
        <v>3</v>
      </c>
      <c r="B5870" s="538" t="s">
        <v>6578</v>
      </c>
      <c r="C5870" s="538" t="s">
        <v>740</v>
      </c>
      <c r="D5870" s="538" t="s">
        <v>393</v>
      </c>
      <c r="E5870" s="538" t="s">
        <v>207</v>
      </c>
      <c r="F5870" s="538">
        <v>1043238</v>
      </c>
      <c r="G5870" s="538">
        <v>81</v>
      </c>
    </row>
    <row r="5871" spans="1:7" x14ac:dyDescent="0.2">
      <c r="A5871" s="538">
        <v>10</v>
      </c>
      <c r="B5871" s="538" t="s">
        <v>6597</v>
      </c>
      <c r="C5871" s="538" t="s">
        <v>393</v>
      </c>
      <c r="D5871" s="538" t="s">
        <v>393</v>
      </c>
      <c r="E5871" s="538" t="s">
        <v>449</v>
      </c>
      <c r="F5871" s="538">
        <v>67968</v>
      </c>
      <c r="G5871" s="538">
        <v>6</v>
      </c>
    </row>
    <row r="5872" spans="1:7" x14ac:dyDescent="0.2">
      <c r="A5872" s="538">
        <v>12</v>
      </c>
      <c r="B5872" s="538" t="s">
        <v>6563</v>
      </c>
      <c r="C5872" s="538" t="s">
        <v>740</v>
      </c>
      <c r="D5872" s="538" t="s">
        <v>393</v>
      </c>
      <c r="E5872" s="538" t="s">
        <v>211</v>
      </c>
      <c r="F5872" s="538">
        <v>861158606</v>
      </c>
      <c r="G5872" s="538">
        <v>19707</v>
      </c>
    </row>
    <row r="5873" spans="1:7" x14ac:dyDescent="0.2">
      <c r="A5873" s="538">
        <v>5</v>
      </c>
      <c r="B5873" s="538" t="s">
        <v>6651</v>
      </c>
      <c r="C5873" s="538" t="s">
        <v>740</v>
      </c>
      <c r="D5873" s="538" t="s">
        <v>393</v>
      </c>
      <c r="E5873" s="538" t="s">
        <v>202</v>
      </c>
      <c r="F5873" s="538">
        <v>74163</v>
      </c>
      <c r="G5873" s="538">
        <v>1</v>
      </c>
    </row>
    <row r="5874" spans="1:7" x14ac:dyDescent="0.2">
      <c r="A5874" s="538">
        <v>8</v>
      </c>
      <c r="B5874" s="538" t="s">
        <v>6570</v>
      </c>
      <c r="C5874" s="538" t="s">
        <v>740</v>
      </c>
      <c r="D5874" s="538" t="s">
        <v>740</v>
      </c>
      <c r="E5874" s="538" t="s">
        <v>230</v>
      </c>
      <c r="F5874" s="538">
        <v>1576487</v>
      </c>
      <c r="G5874" s="538">
        <v>34</v>
      </c>
    </row>
    <row r="5875" spans="1:7" x14ac:dyDescent="0.2">
      <c r="A5875" s="538">
        <v>10</v>
      </c>
      <c r="B5875" s="538" t="s">
        <v>6582</v>
      </c>
      <c r="C5875" s="538" t="s">
        <v>393</v>
      </c>
      <c r="D5875" s="538" t="s">
        <v>393</v>
      </c>
      <c r="E5875" s="538" t="s">
        <v>449</v>
      </c>
      <c r="F5875" s="538">
        <v>740516</v>
      </c>
      <c r="G5875" s="538">
        <v>17</v>
      </c>
    </row>
    <row r="5876" spans="1:7" x14ac:dyDescent="0.2">
      <c r="A5876" s="538">
        <v>3</v>
      </c>
      <c r="B5876" s="538" t="s">
        <v>6586</v>
      </c>
      <c r="C5876" s="538" t="s">
        <v>740</v>
      </c>
      <c r="D5876" s="538" t="s">
        <v>393</v>
      </c>
      <c r="E5876" s="538" t="s">
        <v>212</v>
      </c>
      <c r="F5876" s="538">
        <v>3300696</v>
      </c>
      <c r="G5876" s="538">
        <v>252</v>
      </c>
    </row>
    <row r="5877" spans="1:7" x14ac:dyDescent="0.2">
      <c r="A5877" s="538">
        <v>7</v>
      </c>
      <c r="B5877" s="538" t="s">
        <v>6579</v>
      </c>
      <c r="C5877" s="538" t="s">
        <v>393</v>
      </c>
      <c r="D5877" s="538" t="s">
        <v>740</v>
      </c>
      <c r="E5877" s="538" t="s">
        <v>212</v>
      </c>
      <c r="F5877" s="538">
        <v>79296</v>
      </c>
      <c r="G5877" s="538">
        <v>7</v>
      </c>
    </row>
    <row r="5878" spans="1:7" x14ac:dyDescent="0.2">
      <c r="A5878" s="538">
        <v>1</v>
      </c>
      <c r="B5878" s="538" t="s">
        <v>6602</v>
      </c>
      <c r="C5878" s="538" t="s">
        <v>740</v>
      </c>
      <c r="D5878" s="538" t="s">
        <v>393</v>
      </c>
      <c r="E5878" s="538" t="s">
        <v>207</v>
      </c>
      <c r="F5878" s="538">
        <v>328512</v>
      </c>
      <c r="G5878" s="538">
        <v>29</v>
      </c>
    </row>
    <row r="5879" spans="1:7" x14ac:dyDescent="0.2">
      <c r="A5879" s="538">
        <v>2</v>
      </c>
      <c r="B5879" s="538" t="s">
        <v>6585</v>
      </c>
      <c r="C5879" s="538" t="s">
        <v>740</v>
      </c>
      <c r="D5879" s="538" t="s">
        <v>393</v>
      </c>
      <c r="E5879" s="538" t="s">
        <v>230</v>
      </c>
      <c r="F5879" s="538">
        <v>11328</v>
      </c>
      <c r="G5879" s="538">
        <v>1</v>
      </c>
    </row>
    <row r="5880" spans="1:7" x14ac:dyDescent="0.2">
      <c r="A5880" s="538">
        <v>10</v>
      </c>
      <c r="B5880" s="538" t="s">
        <v>6653</v>
      </c>
      <c r="C5880" s="538" t="s">
        <v>740</v>
      </c>
      <c r="D5880" s="538" t="s">
        <v>393</v>
      </c>
      <c r="E5880" s="538" t="s">
        <v>210</v>
      </c>
      <c r="F5880" s="538">
        <v>2653126</v>
      </c>
      <c r="G5880" s="538">
        <v>87</v>
      </c>
    </row>
    <row r="5881" spans="1:7" x14ac:dyDescent="0.2">
      <c r="A5881" s="538">
        <v>3</v>
      </c>
      <c r="B5881" s="538" t="s">
        <v>1390</v>
      </c>
      <c r="C5881" s="538" t="s">
        <v>740</v>
      </c>
      <c r="D5881" s="538" t="s">
        <v>393</v>
      </c>
      <c r="E5881" s="538" t="s">
        <v>438</v>
      </c>
      <c r="F5881" s="538">
        <v>11328</v>
      </c>
      <c r="G5881" s="538">
        <v>1</v>
      </c>
    </row>
    <row r="5882" spans="1:7" x14ac:dyDescent="0.2">
      <c r="A5882" s="538">
        <v>9</v>
      </c>
      <c r="B5882" s="538" t="s">
        <v>6615</v>
      </c>
      <c r="C5882" s="538" t="s">
        <v>740</v>
      </c>
      <c r="D5882" s="538" t="s">
        <v>393</v>
      </c>
      <c r="E5882" s="538" t="s">
        <v>402</v>
      </c>
      <c r="F5882" s="538">
        <v>85491</v>
      </c>
      <c r="G5882" s="538">
        <v>2</v>
      </c>
    </row>
    <row r="5883" spans="1:7" x14ac:dyDescent="0.2">
      <c r="A5883" s="538">
        <v>6</v>
      </c>
      <c r="B5883" s="538" t="s">
        <v>6429</v>
      </c>
      <c r="C5883" s="538" t="s">
        <v>740</v>
      </c>
      <c r="D5883" s="538" t="s">
        <v>393</v>
      </c>
      <c r="E5883" s="538" t="s">
        <v>416</v>
      </c>
      <c r="F5883" s="538">
        <v>7337858</v>
      </c>
      <c r="G5883" s="538">
        <v>231</v>
      </c>
    </row>
    <row r="5884" spans="1:7" x14ac:dyDescent="0.2">
      <c r="A5884" s="538">
        <v>8</v>
      </c>
      <c r="B5884" s="538" t="s">
        <v>6560</v>
      </c>
      <c r="C5884" s="538" t="s">
        <v>740</v>
      </c>
      <c r="D5884" s="538" t="s">
        <v>393</v>
      </c>
      <c r="E5884" s="538" t="s">
        <v>419</v>
      </c>
      <c r="F5884" s="538">
        <v>74163</v>
      </c>
      <c r="G5884" s="538">
        <v>1</v>
      </c>
    </row>
    <row r="5885" spans="1:7" x14ac:dyDescent="0.2">
      <c r="A5885" s="538">
        <v>11</v>
      </c>
      <c r="B5885" s="538" t="s">
        <v>6592</v>
      </c>
      <c r="C5885" s="538" t="s">
        <v>740</v>
      </c>
      <c r="D5885" s="538" t="s">
        <v>740</v>
      </c>
      <c r="E5885" s="538" t="s">
        <v>207</v>
      </c>
      <c r="F5885" s="538">
        <v>79296</v>
      </c>
      <c r="G5885" s="538">
        <v>7</v>
      </c>
    </row>
    <row r="5886" spans="1:7" x14ac:dyDescent="0.2">
      <c r="A5886" s="538">
        <v>10</v>
      </c>
      <c r="B5886" s="538" t="s">
        <v>6653</v>
      </c>
      <c r="C5886" s="538" t="s">
        <v>740</v>
      </c>
      <c r="D5886" s="538" t="s">
        <v>393</v>
      </c>
      <c r="E5886" s="538" t="s">
        <v>416</v>
      </c>
      <c r="F5886" s="538">
        <v>9835672</v>
      </c>
      <c r="G5886" s="538">
        <v>184</v>
      </c>
    </row>
    <row r="5887" spans="1:7" x14ac:dyDescent="0.2">
      <c r="A5887" s="538">
        <v>11</v>
      </c>
      <c r="B5887" s="538" t="s">
        <v>6612</v>
      </c>
      <c r="C5887" s="538" t="s">
        <v>393</v>
      </c>
      <c r="D5887" s="538" t="s">
        <v>393</v>
      </c>
      <c r="E5887" s="538" t="s">
        <v>210</v>
      </c>
      <c r="F5887" s="538">
        <v>1301835</v>
      </c>
      <c r="G5887" s="538">
        <v>70</v>
      </c>
    </row>
    <row r="5888" spans="1:7" x14ac:dyDescent="0.2">
      <c r="A5888" s="538">
        <v>5</v>
      </c>
      <c r="B5888" s="538" t="s">
        <v>6599</v>
      </c>
      <c r="C5888" s="538" t="s">
        <v>393</v>
      </c>
      <c r="D5888" s="538" t="s">
        <v>393</v>
      </c>
      <c r="E5888" s="538" t="s">
        <v>211</v>
      </c>
      <c r="F5888" s="538">
        <v>34092670</v>
      </c>
      <c r="G5888" s="538">
        <v>400</v>
      </c>
    </row>
    <row r="5889" spans="1:7" x14ac:dyDescent="0.2">
      <c r="A5889" s="538">
        <v>1</v>
      </c>
      <c r="B5889" s="538" t="s">
        <v>6609</v>
      </c>
      <c r="C5889" s="538" t="s">
        <v>740</v>
      </c>
      <c r="D5889" s="538" t="s">
        <v>393</v>
      </c>
      <c r="E5889" s="538" t="s">
        <v>419</v>
      </c>
      <c r="F5889" s="538">
        <v>11328</v>
      </c>
      <c r="G5889" s="538">
        <v>1</v>
      </c>
    </row>
    <row r="5890" spans="1:7" x14ac:dyDescent="0.2">
      <c r="A5890" s="538">
        <v>1</v>
      </c>
      <c r="B5890" s="538" t="s">
        <v>6602</v>
      </c>
      <c r="C5890" s="538" t="s">
        <v>740</v>
      </c>
      <c r="D5890" s="538" t="s">
        <v>740</v>
      </c>
      <c r="E5890" s="538" t="s">
        <v>390</v>
      </c>
      <c r="F5890" s="538">
        <v>2806460</v>
      </c>
      <c r="G5890" s="538">
        <v>95</v>
      </c>
    </row>
    <row r="5891" spans="1:7" x14ac:dyDescent="0.2">
      <c r="A5891" s="538">
        <v>4</v>
      </c>
      <c r="B5891" s="538" t="s">
        <v>6562</v>
      </c>
      <c r="C5891" s="538" t="s">
        <v>740</v>
      </c>
      <c r="D5891" s="538" t="s">
        <v>740</v>
      </c>
      <c r="E5891" s="538" t="s">
        <v>416</v>
      </c>
      <c r="F5891" s="538">
        <v>9523777</v>
      </c>
      <c r="G5891" s="538">
        <v>249</v>
      </c>
    </row>
    <row r="5892" spans="1:7" x14ac:dyDescent="0.2">
      <c r="A5892" s="538">
        <v>7</v>
      </c>
      <c r="B5892" s="538" t="s">
        <v>6571</v>
      </c>
      <c r="C5892" s="538" t="s">
        <v>393</v>
      </c>
      <c r="D5892" s="538" t="s">
        <v>393</v>
      </c>
      <c r="E5892" s="538" t="s">
        <v>438</v>
      </c>
      <c r="F5892" s="538">
        <v>10483711</v>
      </c>
      <c r="G5892" s="538">
        <v>77</v>
      </c>
    </row>
    <row r="5893" spans="1:7" x14ac:dyDescent="0.2">
      <c r="A5893" s="538">
        <v>7</v>
      </c>
      <c r="B5893" s="538" t="s">
        <v>6571</v>
      </c>
      <c r="C5893" s="538" t="s">
        <v>393</v>
      </c>
      <c r="D5893" s="538" t="s">
        <v>393</v>
      </c>
      <c r="E5893" s="538" t="s">
        <v>206</v>
      </c>
      <c r="F5893" s="538">
        <v>22656</v>
      </c>
      <c r="G5893" s="538">
        <v>2</v>
      </c>
    </row>
    <row r="5894" spans="1:7" x14ac:dyDescent="0.2">
      <c r="A5894" s="538">
        <v>1</v>
      </c>
      <c r="B5894" s="538" t="s">
        <v>6646</v>
      </c>
      <c r="C5894" s="538" t="s">
        <v>740</v>
      </c>
      <c r="D5894" s="538" t="s">
        <v>393</v>
      </c>
      <c r="E5894" s="538" t="s">
        <v>449</v>
      </c>
      <c r="F5894" s="538">
        <v>22656</v>
      </c>
      <c r="G5894" s="538">
        <v>2</v>
      </c>
    </row>
    <row r="5895" spans="1:7" x14ac:dyDescent="0.2">
      <c r="A5895" s="538">
        <v>12</v>
      </c>
      <c r="B5895" s="538" t="s">
        <v>6569</v>
      </c>
      <c r="C5895" s="538" t="s">
        <v>740</v>
      </c>
      <c r="D5895" s="538" t="s">
        <v>740</v>
      </c>
      <c r="E5895" s="538" t="s">
        <v>409</v>
      </c>
      <c r="F5895" s="538">
        <v>11328</v>
      </c>
      <c r="G5895" s="538">
        <v>1</v>
      </c>
    </row>
    <row r="5896" spans="1:7" x14ac:dyDescent="0.2">
      <c r="A5896" s="538">
        <v>11</v>
      </c>
      <c r="B5896" s="538" t="s">
        <v>6659</v>
      </c>
      <c r="C5896" s="538" t="s">
        <v>740</v>
      </c>
      <c r="D5896" s="538" t="s">
        <v>393</v>
      </c>
      <c r="E5896" s="538" t="s">
        <v>402</v>
      </c>
      <c r="F5896" s="538">
        <v>50268</v>
      </c>
      <c r="G5896" s="538">
        <v>1</v>
      </c>
    </row>
    <row r="5897" spans="1:7" x14ac:dyDescent="0.2">
      <c r="A5897" s="538">
        <v>8</v>
      </c>
      <c r="B5897" s="538" t="s">
        <v>6658</v>
      </c>
      <c r="C5897" s="538" t="s">
        <v>393</v>
      </c>
      <c r="D5897" s="538" t="s">
        <v>393</v>
      </c>
      <c r="E5897" s="538" t="s">
        <v>207</v>
      </c>
      <c r="F5897" s="538">
        <v>7943198</v>
      </c>
      <c r="G5897" s="538">
        <v>411</v>
      </c>
    </row>
    <row r="5898" spans="1:7" x14ac:dyDescent="0.2">
      <c r="A5898" s="538">
        <v>7</v>
      </c>
      <c r="B5898" s="538" t="s">
        <v>6579</v>
      </c>
      <c r="C5898" s="538" t="s">
        <v>393</v>
      </c>
      <c r="D5898" s="538" t="s">
        <v>740</v>
      </c>
      <c r="E5898" s="538" t="s">
        <v>401</v>
      </c>
      <c r="F5898" s="538">
        <v>249216</v>
      </c>
      <c r="G5898" s="538">
        <v>22</v>
      </c>
    </row>
    <row r="5899" spans="1:7" x14ac:dyDescent="0.2">
      <c r="A5899" s="538">
        <v>3</v>
      </c>
      <c r="B5899" s="538" t="s">
        <v>6603</v>
      </c>
      <c r="C5899" s="538" t="s">
        <v>740</v>
      </c>
      <c r="D5899" s="538" t="s">
        <v>393</v>
      </c>
      <c r="E5899" s="538" t="s">
        <v>209</v>
      </c>
      <c r="F5899" s="538">
        <v>1093402</v>
      </c>
      <c r="G5899" s="538">
        <v>4</v>
      </c>
    </row>
    <row r="5900" spans="1:7" x14ac:dyDescent="0.2">
      <c r="A5900" s="538">
        <v>10</v>
      </c>
      <c r="B5900" s="538" t="s">
        <v>6587</v>
      </c>
      <c r="C5900" s="538" t="s">
        <v>393</v>
      </c>
      <c r="D5900" s="538" t="s">
        <v>393</v>
      </c>
      <c r="E5900" s="538" t="s">
        <v>207</v>
      </c>
      <c r="F5900" s="538">
        <v>7961054</v>
      </c>
      <c r="G5900" s="538">
        <v>503</v>
      </c>
    </row>
    <row r="5901" spans="1:7" x14ac:dyDescent="0.2">
      <c r="A5901" s="538">
        <v>10</v>
      </c>
      <c r="B5901" s="538" t="s">
        <v>6600</v>
      </c>
      <c r="C5901" s="538" t="s">
        <v>740</v>
      </c>
      <c r="D5901" s="538" t="s">
        <v>393</v>
      </c>
      <c r="E5901" s="538" t="s">
        <v>449</v>
      </c>
      <c r="F5901" s="538">
        <v>79296</v>
      </c>
      <c r="G5901" s="538">
        <v>7</v>
      </c>
    </row>
    <row r="5902" spans="1:7" x14ac:dyDescent="0.2">
      <c r="A5902" s="538">
        <v>3</v>
      </c>
      <c r="B5902" s="538" t="s">
        <v>6605</v>
      </c>
      <c r="C5902" s="538" t="s">
        <v>740</v>
      </c>
      <c r="D5902" s="538" t="s">
        <v>393</v>
      </c>
      <c r="E5902" s="538" t="s">
        <v>202</v>
      </c>
      <c r="F5902" s="538">
        <v>1857636</v>
      </c>
      <c r="G5902" s="538">
        <v>12</v>
      </c>
    </row>
    <row r="5903" spans="1:7" x14ac:dyDescent="0.2">
      <c r="A5903" s="538">
        <v>4</v>
      </c>
      <c r="B5903" s="538" t="s">
        <v>6559</v>
      </c>
      <c r="C5903" s="538" t="s">
        <v>740</v>
      </c>
      <c r="D5903" s="538" t="s">
        <v>740</v>
      </c>
      <c r="E5903" s="538" t="s">
        <v>209</v>
      </c>
      <c r="F5903" s="538">
        <v>4056955</v>
      </c>
      <c r="G5903" s="538">
        <v>10</v>
      </c>
    </row>
    <row r="5904" spans="1:7" x14ac:dyDescent="0.2">
      <c r="A5904" s="538">
        <v>8</v>
      </c>
      <c r="B5904" s="538" t="s">
        <v>6577</v>
      </c>
      <c r="C5904" s="538" t="s">
        <v>740</v>
      </c>
      <c r="D5904" s="538" t="s">
        <v>393</v>
      </c>
      <c r="E5904" s="538" t="s">
        <v>210</v>
      </c>
      <c r="F5904" s="538">
        <v>211155007</v>
      </c>
      <c r="G5904" s="538">
        <v>10729</v>
      </c>
    </row>
    <row r="5905" spans="1:7" x14ac:dyDescent="0.2">
      <c r="A5905" s="538">
        <v>8</v>
      </c>
      <c r="B5905" s="538" t="s">
        <v>6583</v>
      </c>
      <c r="C5905" s="538" t="s">
        <v>740</v>
      </c>
      <c r="D5905" s="538" t="s">
        <v>393</v>
      </c>
      <c r="E5905" s="538" t="s">
        <v>202</v>
      </c>
      <c r="F5905" s="538">
        <v>85491</v>
      </c>
      <c r="G5905" s="538">
        <v>2</v>
      </c>
    </row>
    <row r="5906" spans="1:7" x14ac:dyDescent="0.2">
      <c r="A5906" s="538">
        <v>6</v>
      </c>
      <c r="B5906" s="538" t="s">
        <v>6596</v>
      </c>
      <c r="C5906" s="538" t="s">
        <v>393</v>
      </c>
      <c r="D5906" s="538" t="s">
        <v>393</v>
      </c>
      <c r="E5906" s="538" t="s">
        <v>449</v>
      </c>
      <c r="F5906" s="538">
        <v>415065</v>
      </c>
      <c r="G5906" s="538">
        <v>20</v>
      </c>
    </row>
    <row r="5907" spans="1:7" x14ac:dyDescent="0.2">
      <c r="A5907" s="538">
        <v>11</v>
      </c>
      <c r="B5907" s="538" t="s">
        <v>6610</v>
      </c>
      <c r="C5907" s="538" t="s">
        <v>740</v>
      </c>
      <c r="D5907" s="538" t="s">
        <v>740</v>
      </c>
      <c r="E5907" s="538" t="s">
        <v>212</v>
      </c>
      <c r="F5907" s="538">
        <v>45312</v>
      </c>
      <c r="G5907" s="538">
        <v>4</v>
      </c>
    </row>
    <row r="5908" spans="1:7" x14ac:dyDescent="0.2">
      <c r="A5908" s="538">
        <v>2</v>
      </c>
      <c r="B5908" s="538" t="s">
        <v>6608</v>
      </c>
      <c r="C5908" s="538" t="s">
        <v>740</v>
      </c>
      <c r="D5908" s="538" t="s">
        <v>393</v>
      </c>
      <c r="E5908" s="538" t="s">
        <v>313</v>
      </c>
      <c r="F5908" s="538">
        <v>209922</v>
      </c>
      <c r="G5908" s="538">
        <v>4</v>
      </c>
    </row>
    <row r="5909" spans="1:7" x14ac:dyDescent="0.2">
      <c r="A5909" s="538">
        <v>4</v>
      </c>
      <c r="B5909" s="538" t="s">
        <v>6590</v>
      </c>
      <c r="C5909" s="538" t="s">
        <v>740</v>
      </c>
      <c r="D5909" s="538" t="s">
        <v>740</v>
      </c>
      <c r="E5909" s="538" t="s">
        <v>402</v>
      </c>
      <c r="F5909" s="538">
        <v>467811</v>
      </c>
      <c r="G5909" s="538">
        <v>22</v>
      </c>
    </row>
    <row r="5910" spans="1:7" x14ac:dyDescent="0.2">
      <c r="A5910" s="538">
        <v>11</v>
      </c>
      <c r="B5910" s="538" t="s">
        <v>6592</v>
      </c>
      <c r="C5910" s="538" t="s">
        <v>740</v>
      </c>
      <c r="D5910" s="538" t="s">
        <v>393</v>
      </c>
      <c r="E5910" s="538" t="s">
        <v>210</v>
      </c>
      <c r="F5910" s="538">
        <v>56640</v>
      </c>
      <c r="G5910" s="538">
        <v>5</v>
      </c>
    </row>
    <row r="5911" spans="1:7" x14ac:dyDescent="0.2">
      <c r="A5911" s="538">
        <v>11</v>
      </c>
      <c r="B5911" s="538" t="s">
        <v>6584</v>
      </c>
      <c r="C5911" s="538" t="s">
        <v>740</v>
      </c>
      <c r="D5911" s="538" t="s">
        <v>393</v>
      </c>
      <c r="E5911" s="538" t="s">
        <v>402</v>
      </c>
      <c r="F5911" s="538">
        <v>887603</v>
      </c>
      <c r="G5911" s="538">
        <v>21</v>
      </c>
    </row>
    <row r="5912" spans="1:7" x14ac:dyDescent="0.2">
      <c r="A5912" s="538">
        <v>9</v>
      </c>
      <c r="B5912" s="538" t="s">
        <v>6614</v>
      </c>
      <c r="C5912" s="538" t="s">
        <v>740</v>
      </c>
      <c r="D5912" s="538" t="s">
        <v>393</v>
      </c>
      <c r="E5912" s="538" t="s">
        <v>438</v>
      </c>
      <c r="F5912" s="538">
        <v>3054229</v>
      </c>
      <c r="G5912" s="538">
        <v>23</v>
      </c>
    </row>
    <row r="5913" spans="1:7" x14ac:dyDescent="0.2">
      <c r="A5913" s="538">
        <v>4</v>
      </c>
      <c r="B5913" s="538" t="s">
        <v>6574</v>
      </c>
      <c r="C5913" s="538" t="s">
        <v>740</v>
      </c>
      <c r="D5913" s="538" t="s">
        <v>393</v>
      </c>
      <c r="E5913" s="538" t="s">
        <v>449</v>
      </c>
      <c r="F5913" s="538">
        <v>1179174</v>
      </c>
      <c r="G5913" s="538">
        <v>93</v>
      </c>
    </row>
    <row r="5914" spans="1:7" x14ac:dyDescent="0.2">
      <c r="A5914" s="538">
        <v>11</v>
      </c>
      <c r="B5914" s="538" t="s">
        <v>6610</v>
      </c>
      <c r="C5914" s="538" t="s">
        <v>393</v>
      </c>
      <c r="D5914" s="538" t="s">
        <v>393</v>
      </c>
      <c r="E5914" s="538" t="s">
        <v>202</v>
      </c>
      <c r="F5914" s="538">
        <v>10164611</v>
      </c>
      <c r="G5914" s="538">
        <v>87</v>
      </c>
    </row>
    <row r="5915" spans="1:7" x14ac:dyDescent="0.2">
      <c r="A5915" s="538">
        <v>9</v>
      </c>
      <c r="B5915" s="538" t="s">
        <v>6657</v>
      </c>
      <c r="C5915" s="538" t="s">
        <v>740</v>
      </c>
      <c r="D5915" s="538" t="s">
        <v>740</v>
      </c>
      <c r="E5915" s="538" t="s">
        <v>211</v>
      </c>
      <c r="F5915" s="538">
        <v>593252</v>
      </c>
      <c r="G5915" s="538">
        <v>4</v>
      </c>
    </row>
    <row r="5916" spans="1:7" x14ac:dyDescent="0.2">
      <c r="A5916" s="538">
        <v>6</v>
      </c>
      <c r="B5916" s="538" t="s">
        <v>6429</v>
      </c>
      <c r="C5916" s="538" t="s">
        <v>740</v>
      </c>
      <c r="D5916" s="538" t="s">
        <v>740</v>
      </c>
      <c r="E5916" s="538" t="s">
        <v>211</v>
      </c>
      <c r="F5916" s="538">
        <v>17754215</v>
      </c>
      <c r="G5916" s="538">
        <v>285</v>
      </c>
    </row>
    <row r="5917" spans="1:7" x14ac:dyDescent="0.2">
      <c r="A5917" s="538">
        <v>9</v>
      </c>
      <c r="B5917" s="538" t="s">
        <v>6613</v>
      </c>
      <c r="C5917" s="538" t="s">
        <v>740</v>
      </c>
      <c r="D5917" s="538" t="s">
        <v>393</v>
      </c>
      <c r="E5917" s="538" t="s">
        <v>209</v>
      </c>
      <c r="F5917" s="538">
        <v>61596</v>
      </c>
      <c r="G5917" s="538">
        <v>2</v>
      </c>
    </row>
    <row r="5918" spans="1:7" x14ac:dyDescent="0.2">
      <c r="A5918" s="538">
        <v>7</v>
      </c>
      <c r="B5918" s="538" t="s">
        <v>6604</v>
      </c>
      <c r="C5918" s="538" t="s">
        <v>393</v>
      </c>
      <c r="D5918" s="538" t="s">
        <v>740</v>
      </c>
      <c r="E5918" s="538" t="s">
        <v>860</v>
      </c>
      <c r="F5918" s="538">
        <v>11328</v>
      </c>
      <c r="G5918" s="538">
        <v>1</v>
      </c>
    </row>
    <row r="5919" spans="1:7" x14ac:dyDescent="0.2">
      <c r="A5919" s="538">
        <v>7</v>
      </c>
      <c r="B5919" s="538" t="s">
        <v>6571</v>
      </c>
      <c r="C5919" s="538" t="s">
        <v>740</v>
      </c>
      <c r="D5919" s="538" t="s">
        <v>393</v>
      </c>
      <c r="E5919" s="538" t="s">
        <v>202</v>
      </c>
      <c r="F5919" s="538">
        <v>170982</v>
      </c>
      <c r="G5919" s="538">
        <v>4</v>
      </c>
    </row>
    <row r="5920" spans="1:7" x14ac:dyDescent="0.2">
      <c r="A5920" s="538">
        <v>11</v>
      </c>
      <c r="B5920" s="538" t="s">
        <v>6612</v>
      </c>
      <c r="C5920" s="538" t="s">
        <v>393</v>
      </c>
      <c r="D5920" s="538" t="s">
        <v>393</v>
      </c>
      <c r="E5920" s="538" t="s">
        <v>416</v>
      </c>
      <c r="F5920" s="538">
        <v>46579593</v>
      </c>
      <c r="G5920" s="538">
        <v>1046</v>
      </c>
    </row>
    <row r="5921" spans="1:7" x14ac:dyDescent="0.2">
      <c r="A5921" s="538">
        <v>3</v>
      </c>
      <c r="B5921" s="538" t="s">
        <v>6561</v>
      </c>
      <c r="C5921" s="538" t="s">
        <v>393</v>
      </c>
      <c r="D5921" s="538" t="s">
        <v>393</v>
      </c>
      <c r="E5921" s="538" t="s">
        <v>209</v>
      </c>
      <c r="F5921" s="538">
        <v>5287355</v>
      </c>
      <c r="G5921" s="538">
        <v>15</v>
      </c>
    </row>
    <row r="5922" spans="1:7" x14ac:dyDescent="0.2">
      <c r="A5922" s="538">
        <v>4</v>
      </c>
      <c r="B5922" s="538" t="s">
        <v>6562</v>
      </c>
      <c r="C5922" s="538" t="s">
        <v>393</v>
      </c>
      <c r="D5922" s="538" t="s">
        <v>393</v>
      </c>
      <c r="E5922" s="538" t="s">
        <v>419</v>
      </c>
      <c r="F5922" s="538">
        <v>11328</v>
      </c>
      <c r="G5922" s="538">
        <v>1</v>
      </c>
    </row>
    <row r="5923" spans="1:7" x14ac:dyDescent="0.2">
      <c r="A5923" s="538">
        <v>5</v>
      </c>
      <c r="B5923" s="538" t="s">
        <v>6568</v>
      </c>
      <c r="C5923" s="538" t="s">
        <v>740</v>
      </c>
      <c r="D5923" s="538" t="s">
        <v>393</v>
      </c>
      <c r="E5923" s="538" t="s">
        <v>497</v>
      </c>
      <c r="F5923" s="538">
        <v>11328</v>
      </c>
      <c r="G5923" s="538">
        <v>1</v>
      </c>
    </row>
    <row r="5924" spans="1:7" x14ac:dyDescent="0.2">
      <c r="A5924" s="538">
        <v>7</v>
      </c>
      <c r="B5924" s="538" t="s">
        <v>6655</v>
      </c>
      <c r="C5924" s="538" t="s">
        <v>740</v>
      </c>
      <c r="D5924" s="538" t="s">
        <v>393</v>
      </c>
      <c r="E5924" s="538" t="s">
        <v>390</v>
      </c>
      <c r="F5924" s="538">
        <v>108147</v>
      </c>
      <c r="G5924" s="538">
        <v>4</v>
      </c>
    </row>
    <row r="5925" spans="1:7" x14ac:dyDescent="0.2">
      <c r="A5925" s="538">
        <v>8</v>
      </c>
      <c r="B5925" s="538" t="s">
        <v>6658</v>
      </c>
      <c r="C5925" s="538" t="s">
        <v>393</v>
      </c>
      <c r="D5925" s="538" t="s">
        <v>393</v>
      </c>
      <c r="E5925" s="538" t="s">
        <v>313</v>
      </c>
      <c r="F5925" s="538">
        <v>718922</v>
      </c>
      <c r="G5925" s="538">
        <v>4</v>
      </c>
    </row>
    <row r="5926" spans="1:7" x14ac:dyDescent="0.2">
      <c r="A5926" s="538">
        <v>7</v>
      </c>
      <c r="B5926" s="538" t="s">
        <v>6661</v>
      </c>
      <c r="C5926" s="538" t="s">
        <v>740</v>
      </c>
      <c r="D5926" s="538" t="s">
        <v>393</v>
      </c>
      <c r="E5926" s="538" t="s">
        <v>860</v>
      </c>
      <c r="F5926" s="538">
        <v>1157226</v>
      </c>
      <c r="G5926" s="538">
        <v>62</v>
      </c>
    </row>
    <row r="5927" spans="1:7" x14ac:dyDescent="0.2">
      <c r="A5927" s="538">
        <v>5</v>
      </c>
      <c r="B5927" s="538" t="s">
        <v>6650</v>
      </c>
      <c r="C5927" s="538" t="s">
        <v>740</v>
      </c>
      <c r="D5927" s="538" t="s">
        <v>393</v>
      </c>
      <c r="E5927" s="538" t="s">
        <v>409</v>
      </c>
      <c r="F5927" s="538">
        <v>1492183</v>
      </c>
      <c r="G5927" s="538">
        <v>26</v>
      </c>
    </row>
    <row r="5928" spans="1:7" x14ac:dyDescent="0.2">
      <c r="A5928" s="538">
        <v>8</v>
      </c>
      <c r="B5928" s="538" t="s">
        <v>6577</v>
      </c>
      <c r="C5928" s="538" t="s">
        <v>740</v>
      </c>
      <c r="D5928" s="538" t="s">
        <v>393</v>
      </c>
      <c r="E5928" s="538" t="s">
        <v>416</v>
      </c>
      <c r="F5928" s="538">
        <v>433151017</v>
      </c>
      <c r="G5928" s="538">
        <v>10189</v>
      </c>
    </row>
    <row r="5929" spans="1:7" x14ac:dyDescent="0.2">
      <c r="A5929" s="538">
        <v>8</v>
      </c>
      <c r="B5929" s="538" t="s">
        <v>6583</v>
      </c>
      <c r="C5929" s="538" t="s">
        <v>740</v>
      </c>
      <c r="D5929" s="538" t="s">
        <v>393</v>
      </c>
      <c r="E5929" s="538" t="s">
        <v>419</v>
      </c>
      <c r="F5929" s="538">
        <v>11328</v>
      </c>
      <c r="G5929" s="538">
        <v>1</v>
      </c>
    </row>
    <row r="5930" spans="1:7" x14ac:dyDescent="0.2">
      <c r="A5930" s="538">
        <v>7</v>
      </c>
      <c r="B5930" s="538" t="s">
        <v>6564</v>
      </c>
      <c r="C5930" s="538" t="s">
        <v>740</v>
      </c>
      <c r="D5930" s="538" t="s">
        <v>393</v>
      </c>
      <c r="E5930" s="538" t="s">
        <v>401</v>
      </c>
      <c r="F5930" s="538">
        <v>119475</v>
      </c>
      <c r="G5930" s="538">
        <v>5</v>
      </c>
    </row>
    <row r="5931" spans="1:7" x14ac:dyDescent="0.2">
      <c r="A5931" s="538">
        <v>2</v>
      </c>
      <c r="B5931" s="538" t="s">
        <v>6055</v>
      </c>
      <c r="C5931" s="538" t="s">
        <v>393</v>
      </c>
      <c r="D5931" s="538" t="s">
        <v>393</v>
      </c>
      <c r="E5931" s="538" t="s">
        <v>416</v>
      </c>
      <c r="F5931" s="538">
        <v>13541240</v>
      </c>
      <c r="G5931" s="538">
        <v>235</v>
      </c>
    </row>
    <row r="5932" spans="1:7" x14ac:dyDescent="0.2">
      <c r="A5932" s="538">
        <v>3</v>
      </c>
      <c r="B5932" s="538" t="s">
        <v>1390</v>
      </c>
      <c r="C5932" s="538" t="s">
        <v>393</v>
      </c>
      <c r="D5932" s="538" t="s">
        <v>740</v>
      </c>
      <c r="E5932" s="538" t="s">
        <v>449</v>
      </c>
      <c r="F5932" s="538">
        <v>333468</v>
      </c>
      <c r="G5932" s="538">
        <v>26</v>
      </c>
    </row>
    <row r="5933" spans="1:7" x14ac:dyDescent="0.2">
      <c r="A5933" s="538">
        <v>10</v>
      </c>
      <c r="B5933" s="538" t="s">
        <v>6597</v>
      </c>
      <c r="C5933" s="538" t="s">
        <v>740</v>
      </c>
      <c r="D5933" s="538" t="s">
        <v>393</v>
      </c>
      <c r="E5933" s="538" t="s">
        <v>401</v>
      </c>
      <c r="F5933" s="538">
        <v>85491</v>
      </c>
      <c r="G5933" s="538">
        <v>2</v>
      </c>
    </row>
    <row r="5934" spans="1:7" x14ac:dyDescent="0.2">
      <c r="A5934" s="538">
        <v>10</v>
      </c>
      <c r="B5934" s="538" t="s">
        <v>6652</v>
      </c>
      <c r="C5934" s="538" t="s">
        <v>393</v>
      </c>
      <c r="D5934" s="538" t="s">
        <v>740</v>
      </c>
      <c r="E5934" s="538" t="s">
        <v>211</v>
      </c>
      <c r="F5934" s="538">
        <v>507761</v>
      </c>
      <c r="G5934" s="538">
        <v>2</v>
      </c>
    </row>
    <row r="5935" spans="1:7" x14ac:dyDescent="0.2">
      <c r="A5935" s="538">
        <v>3</v>
      </c>
      <c r="B5935" s="538" t="s">
        <v>6586</v>
      </c>
      <c r="C5935" s="538" t="s">
        <v>740</v>
      </c>
      <c r="D5935" s="538" t="s">
        <v>393</v>
      </c>
      <c r="E5935" s="538" t="s">
        <v>416</v>
      </c>
      <c r="F5935" s="538">
        <v>24220369</v>
      </c>
      <c r="G5935" s="538">
        <v>528</v>
      </c>
    </row>
    <row r="5936" spans="1:7" x14ac:dyDescent="0.2">
      <c r="A5936" s="538">
        <v>7</v>
      </c>
      <c r="B5936" s="538" t="s">
        <v>6594</v>
      </c>
      <c r="C5936" s="538" t="s">
        <v>740</v>
      </c>
      <c r="D5936" s="538" t="s">
        <v>393</v>
      </c>
      <c r="E5936" s="538" t="s">
        <v>230</v>
      </c>
      <c r="F5936" s="538">
        <v>5357863</v>
      </c>
      <c r="G5936" s="538">
        <v>186</v>
      </c>
    </row>
    <row r="5937" spans="1:7" x14ac:dyDescent="0.2">
      <c r="A5937" s="538">
        <v>1</v>
      </c>
      <c r="B5937" s="538" t="s">
        <v>6581</v>
      </c>
      <c r="C5937" s="538" t="s">
        <v>740</v>
      </c>
      <c r="D5937" s="538" t="s">
        <v>393</v>
      </c>
      <c r="E5937" s="538" t="s">
        <v>212</v>
      </c>
      <c r="F5937" s="538">
        <v>390108</v>
      </c>
      <c r="G5937" s="538">
        <v>31</v>
      </c>
    </row>
    <row r="5938" spans="1:7" x14ac:dyDescent="0.2">
      <c r="A5938" s="538">
        <v>7</v>
      </c>
      <c r="B5938" s="538" t="s">
        <v>6604</v>
      </c>
      <c r="C5938" s="538" t="s">
        <v>740</v>
      </c>
      <c r="D5938" s="538" t="s">
        <v>393</v>
      </c>
      <c r="E5938" s="538" t="s">
        <v>207</v>
      </c>
      <c r="F5938" s="538">
        <v>113280</v>
      </c>
      <c r="G5938" s="538">
        <v>10</v>
      </c>
    </row>
    <row r="5939" spans="1:7" x14ac:dyDescent="0.2">
      <c r="A5939" s="538">
        <v>2</v>
      </c>
      <c r="B5939" s="538" t="s">
        <v>6055</v>
      </c>
      <c r="C5939" s="538" t="s">
        <v>393</v>
      </c>
      <c r="D5939" s="538" t="s">
        <v>393</v>
      </c>
      <c r="E5939" s="538" t="s">
        <v>212</v>
      </c>
      <c r="F5939" s="538">
        <v>790961</v>
      </c>
      <c r="G5939" s="538">
        <v>27</v>
      </c>
    </row>
    <row r="5940" spans="1:7" x14ac:dyDescent="0.2">
      <c r="A5940" s="538">
        <v>3</v>
      </c>
      <c r="B5940" s="538" t="s">
        <v>6586</v>
      </c>
      <c r="C5940" s="538" t="s">
        <v>740</v>
      </c>
      <c r="D5940" s="538" t="s">
        <v>393</v>
      </c>
      <c r="E5940" s="538" t="s">
        <v>401</v>
      </c>
      <c r="F5940" s="538">
        <v>79296</v>
      </c>
      <c r="G5940" s="538">
        <v>7</v>
      </c>
    </row>
    <row r="5941" spans="1:7" x14ac:dyDescent="0.2">
      <c r="A5941" s="538">
        <v>10</v>
      </c>
      <c r="B5941" s="538" t="s">
        <v>6597</v>
      </c>
      <c r="C5941" s="538" t="s">
        <v>740</v>
      </c>
      <c r="D5941" s="538" t="s">
        <v>393</v>
      </c>
      <c r="E5941" s="538" t="s">
        <v>211</v>
      </c>
      <c r="F5941" s="538">
        <v>12178527</v>
      </c>
      <c r="G5941" s="538">
        <v>394</v>
      </c>
    </row>
    <row r="5942" spans="1:7" x14ac:dyDescent="0.2">
      <c r="A5942" s="538">
        <v>9</v>
      </c>
      <c r="B5942" s="538" t="s">
        <v>6613</v>
      </c>
      <c r="C5942" s="538" t="s">
        <v>740</v>
      </c>
      <c r="D5942" s="538" t="s">
        <v>393</v>
      </c>
      <c r="E5942" s="538" t="s">
        <v>211</v>
      </c>
      <c r="F5942" s="538">
        <v>130803</v>
      </c>
      <c r="G5942" s="538">
        <v>6</v>
      </c>
    </row>
    <row r="5943" spans="1:7" x14ac:dyDescent="0.2">
      <c r="A5943" s="538">
        <v>5</v>
      </c>
      <c r="B5943" s="538" t="s">
        <v>6568</v>
      </c>
      <c r="C5943" s="538" t="s">
        <v>740</v>
      </c>
      <c r="D5943" s="538" t="s">
        <v>393</v>
      </c>
      <c r="E5943" s="538" t="s">
        <v>390</v>
      </c>
      <c r="F5943" s="538">
        <v>23350559</v>
      </c>
      <c r="G5943" s="538">
        <v>788</v>
      </c>
    </row>
    <row r="5944" spans="1:7" x14ac:dyDescent="0.2">
      <c r="A5944" s="538">
        <v>2</v>
      </c>
      <c r="B5944" s="538" t="s">
        <v>6662</v>
      </c>
      <c r="C5944" s="538" t="s">
        <v>740</v>
      </c>
      <c r="D5944" s="538" t="s">
        <v>393</v>
      </c>
      <c r="E5944" s="538" t="s">
        <v>402</v>
      </c>
      <c r="F5944" s="538">
        <v>22656</v>
      </c>
      <c r="G5944" s="538">
        <v>2</v>
      </c>
    </row>
    <row r="5945" spans="1:7" x14ac:dyDescent="0.2">
      <c r="A5945" s="538">
        <v>4</v>
      </c>
      <c r="B5945" s="538" t="s">
        <v>6559</v>
      </c>
      <c r="C5945" s="538" t="s">
        <v>740</v>
      </c>
      <c r="D5945" s="538" t="s">
        <v>393</v>
      </c>
      <c r="E5945" s="538" t="s">
        <v>390</v>
      </c>
      <c r="F5945" s="538">
        <v>4814400</v>
      </c>
      <c r="G5945" s="538">
        <v>235</v>
      </c>
    </row>
    <row r="5946" spans="1:7" x14ac:dyDescent="0.2">
      <c r="A5946" s="538">
        <v>6</v>
      </c>
      <c r="B5946" s="538" t="s">
        <v>6596</v>
      </c>
      <c r="C5946" s="538" t="s">
        <v>740</v>
      </c>
      <c r="D5946" s="538" t="s">
        <v>393</v>
      </c>
      <c r="E5946" s="538" t="s">
        <v>210</v>
      </c>
      <c r="F5946" s="538">
        <v>67968</v>
      </c>
      <c r="G5946" s="538">
        <v>6</v>
      </c>
    </row>
    <row r="5947" spans="1:7" x14ac:dyDescent="0.2">
      <c r="A5947" s="538">
        <v>7</v>
      </c>
      <c r="B5947" s="538" t="s">
        <v>6580</v>
      </c>
      <c r="C5947" s="538" t="s">
        <v>740</v>
      </c>
      <c r="D5947" s="538" t="s">
        <v>393</v>
      </c>
      <c r="E5947" s="538" t="s">
        <v>438</v>
      </c>
      <c r="F5947" s="538">
        <v>2310225</v>
      </c>
      <c r="G5947" s="538">
        <v>25</v>
      </c>
    </row>
    <row r="5948" spans="1:7" x14ac:dyDescent="0.2">
      <c r="A5948" s="538">
        <v>7</v>
      </c>
      <c r="B5948" s="538" t="s">
        <v>6661</v>
      </c>
      <c r="C5948" s="538" t="s">
        <v>740</v>
      </c>
      <c r="D5948" s="538" t="s">
        <v>740</v>
      </c>
      <c r="E5948" s="538" t="s">
        <v>211</v>
      </c>
      <c r="F5948" s="538">
        <v>22656</v>
      </c>
      <c r="G5948" s="538">
        <v>2</v>
      </c>
    </row>
    <row r="5949" spans="1:7" x14ac:dyDescent="0.2">
      <c r="A5949" s="538">
        <v>2</v>
      </c>
      <c r="B5949" s="538" t="s">
        <v>6585</v>
      </c>
      <c r="C5949" s="538" t="s">
        <v>740</v>
      </c>
      <c r="D5949" s="538" t="s">
        <v>393</v>
      </c>
      <c r="E5949" s="538" t="s">
        <v>230</v>
      </c>
      <c r="F5949" s="538">
        <v>7496596</v>
      </c>
      <c r="G5949" s="538">
        <v>102</v>
      </c>
    </row>
    <row r="5950" spans="1:7" x14ac:dyDescent="0.2">
      <c r="A5950" s="538">
        <v>10</v>
      </c>
      <c r="B5950" s="538" t="s">
        <v>6597</v>
      </c>
      <c r="C5950" s="538" t="s">
        <v>740</v>
      </c>
      <c r="D5950" s="538" t="s">
        <v>393</v>
      </c>
      <c r="E5950" s="538" t="s">
        <v>212</v>
      </c>
      <c r="F5950" s="538">
        <v>485688</v>
      </c>
      <c r="G5950" s="538">
        <v>36</v>
      </c>
    </row>
    <row r="5951" spans="1:7" x14ac:dyDescent="0.2">
      <c r="A5951" s="538">
        <v>2</v>
      </c>
      <c r="B5951" s="538" t="s">
        <v>6662</v>
      </c>
      <c r="C5951" s="538" t="s">
        <v>393</v>
      </c>
      <c r="D5951" s="538" t="s">
        <v>393</v>
      </c>
      <c r="E5951" s="538" t="s">
        <v>206</v>
      </c>
      <c r="F5951" s="538">
        <v>221250</v>
      </c>
      <c r="G5951" s="538">
        <v>5</v>
      </c>
    </row>
    <row r="5952" spans="1:7" x14ac:dyDescent="0.2">
      <c r="A5952" s="538">
        <v>2</v>
      </c>
      <c r="B5952" s="538" t="s">
        <v>6662</v>
      </c>
      <c r="C5952" s="538" t="s">
        <v>393</v>
      </c>
      <c r="D5952" s="538" t="s">
        <v>393</v>
      </c>
      <c r="E5952" s="538" t="s">
        <v>438</v>
      </c>
      <c r="F5952" s="538">
        <v>6772385</v>
      </c>
      <c r="G5952" s="538">
        <v>65</v>
      </c>
    </row>
    <row r="5953" spans="1:7" x14ac:dyDescent="0.2">
      <c r="A5953" s="538">
        <v>4</v>
      </c>
      <c r="B5953" s="538" t="s">
        <v>6590</v>
      </c>
      <c r="C5953" s="538" t="s">
        <v>740</v>
      </c>
      <c r="D5953" s="538" t="s">
        <v>393</v>
      </c>
      <c r="E5953" s="538" t="s">
        <v>207</v>
      </c>
      <c r="F5953" s="538">
        <v>11328</v>
      </c>
      <c r="G5953" s="538">
        <v>1</v>
      </c>
    </row>
    <row r="5954" spans="1:7" x14ac:dyDescent="0.2">
      <c r="A5954" s="538">
        <v>3</v>
      </c>
      <c r="B5954" s="538" t="s">
        <v>6578</v>
      </c>
      <c r="C5954" s="538" t="s">
        <v>740</v>
      </c>
      <c r="D5954" s="538" t="s">
        <v>393</v>
      </c>
      <c r="E5954" s="538" t="s">
        <v>211</v>
      </c>
      <c r="F5954" s="538">
        <v>232578</v>
      </c>
      <c r="G5954" s="538">
        <v>6</v>
      </c>
    </row>
    <row r="5955" spans="1:7" x14ac:dyDescent="0.2">
      <c r="A5955" s="538">
        <v>3</v>
      </c>
      <c r="B5955" s="538" t="s">
        <v>6561</v>
      </c>
      <c r="C5955" s="538" t="s">
        <v>740</v>
      </c>
      <c r="D5955" s="538" t="s">
        <v>393</v>
      </c>
      <c r="E5955" s="538" t="s">
        <v>860</v>
      </c>
      <c r="F5955" s="538">
        <v>4005333</v>
      </c>
      <c r="G5955" s="538">
        <v>236</v>
      </c>
    </row>
    <row r="5956" spans="1:7" x14ac:dyDescent="0.2">
      <c r="A5956" s="538">
        <v>6</v>
      </c>
      <c r="B5956" s="538" t="s">
        <v>6565</v>
      </c>
      <c r="C5956" s="538" t="s">
        <v>740</v>
      </c>
      <c r="D5956" s="538" t="s">
        <v>393</v>
      </c>
      <c r="E5956" s="538" t="s">
        <v>209</v>
      </c>
      <c r="F5956" s="538">
        <v>74163</v>
      </c>
      <c r="G5956" s="538">
        <v>1</v>
      </c>
    </row>
    <row r="5957" spans="1:7" x14ac:dyDescent="0.2">
      <c r="A5957" s="538">
        <v>3</v>
      </c>
      <c r="B5957" s="538" t="s">
        <v>6586</v>
      </c>
      <c r="C5957" s="538" t="s">
        <v>393</v>
      </c>
      <c r="D5957" s="538" t="s">
        <v>393</v>
      </c>
      <c r="E5957" s="538" t="s">
        <v>409</v>
      </c>
      <c r="F5957" s="538">
        <v>2984543</v>
      </c>
      <c r="G5957" s="538">
        <v>61</v>
      </c>
    </row>
    <row r="5958" spans="1:7" x14ac:dyDescent="0.2">
      <c r="A5958" s="538">
        <v>3</v>
      </c>
      <c r="B5958" s="538" t="s">
        <v>6647</v>
      </c>
      <c r="C5958" s="538" t="s">
        <v>393</v>
      </c>
      <c r="D5958" s="538" t="s">
        <v>393</v>
      </c>
      <c r="E5958" s="538" t="s">
        <v>449</v>
      </c>
      <c r="F5958" s="538">
        <v>90624</v>
      </c>
      <c r="G5958" s="538">
        <v>8</v>
      </c>
    </row>
    <row r="5959" spans="1:7" x14ac:dyDescent="0.2">
      <c r="A5959" s="538">
        <v>1</v>
      </c>
      <c r="B5959" s="538" t="s">
        <v>6663</v>
      </c>
      <c r="C5959" s="538" t="s">
        <v>393</v>
      </c>
      <c r="D5959" s="538" t="s">
        <v>393</v>
      </c>
      <c r="E5959" s="538" t="s">
        <v>390</v>
      </c>
      <c r="F5959" s="538">
        <v>3447325</v>
      </c>
      <c r="G5959" s="538">
        <v>95</v>
      </c>
    </row>
    <row r="5960" spans="1:7" x14ac:dyDescent="0.2">
      <c r="A5960" s="538">
        <v>8</v>
      </c>
      <c r="B5960" s="538" t="s">
        <v>6560</v>
      </c>
      <c r="C5960" s="538" t="s">
        <v>740</v>
      </c>
      <c r="D5960" s="538" t="s">
        <v>393</v>
      </c>
      <c r="E5960" s="538" t="s">
        <v>860</v>
      </c>
      <c r="F5960" s="538">
        <v>317007</v>
      </c>
      <c r="G5960" s="538">
        <v>19</v>
      </c>
    </row>
    <row r="5961" spans="1:7" x14ac:dyDescent="0.2">
      <c r="A5961" s="538">
        <v>10</v>
      </c>
      <c r="B5961" s="538" t="s">
        <v>6587</v>
      </c>
      <c r="C5961" s="538" t="s">
        <v>740</v>
      </c>
      <c r="D5961" s="538" t="s">
        <v>740</v>
      </c>
      <c r="E5961" s="538" t="s">
        <v>202</v>
      </c>
      <c r="F5961" s="538">
        <v>147087</v>
      </c>
      <c r="G5961" s="538">
        <v>4</v>
      </c>
    </row>
    <row r="5962" spans="1:7" x14ac:dyDescent="0.2">
      <c r="A5962" s="538">
        <v>7</v>
      </c>
      <c r="B5962" s="538" t="s">
        <v>6661</v>
      </c>
      <c r="C5962" s="538" t="s">
        <v>393</v>
      </c>
      <c r="D5962" s="538" t="s">
        <v>393</v>
      </c>
      <c r="E5962" s="538" t="s">
        <v>207</v>
      </c>
      <c r="F5962" s="538">
        <v>8448450</v>
      </c>
      <c r="G5962" s="538">
        <v>260</v>
      </c>
    </row>
    <row r="5963" spans="1:7" x14ac:dyDescent="0.2">
      <c r="A5963" s="538">
        <v>6</v>
      </c>
      <c r="B5963" s="538" t="s">
        <v>6596</v>
      </c>
      <c r="C5963" s="538" t="s">
        <v>740</v>
      </c>
      <c r="D5963" s="538" t="s">
        <v>393</v>
      </c>
      <c r="E5963" s="538" t="s">
        <v>210</v>
      </c>
      <c r="F5963" s="538">
        <v>220188</v>
      </c>
      <c r="G5963" s="538">
        <v>16</v>
      </c>
    </row>
    <row r="5964" spans="1:7" x14ac:dyDescent="0.2">
      <c r="A5964" s="538">
        <v>2</v>
      </c>
      <c r="B5964" s="538" t="s">
        <v>6585</v>
      </c>
      <c r="C5964" s="538" t="s">
        <v>393</v>
      </c>
      <c r="D5964" s="538" t="s">
        <v>393</v>
      </c>
      <c r="E5964" s="538" t="s">
        <v>449</v>
      </c>
      <c r="F5964" s="538">
        <v>340902</v>
      </c>
      <c r="G5964" s="538">
        <v>19</v>
      </c>
    </row>
    <row r="5965" spans="1:7" x14ac:dyDescent="0.2">
      <c r="A5965" s="538">
        <v>9</v>
      </c>
      <c r="B5965" s="538" t="s">
        <v>6644</v>
      </c>
      <c r="C5965" s="538" t="s">
        <v>393</v>
      </c>
      <c r="D5965" s="538" t="s">
        <v>393</v>
      </c>
      <c r="E5965" s="538" t="s">
        <v>438</v>
      </c>
      <c r="F5965" s="538">
        <v>15185706</v>
      </c>
      <c r="G5965" s="538">
        <v>107</v>
      </c>
    </row>
    <row r="5966" spans="1:7" x14ac:dyDescent="0.2">
      <c r="A5966" s="538">
        <v>9</v>
      </c>
      <c r="B5966" s="538" t="s">
        <v>6644</v>
      </c>
      <c r="C5966" s="538" t="s">
        <v>393</v>
      </c>
      <c r="D5966" s="538" t="s">
        <v>393</v>
      </c>
      <c r="E5966" s="538" t="s">
        <v>206</v>
      </c>
      <c r="F5966" s="538">
        <v>22656</v>
      </c>
      <c r="G5966" s="538">
        <v>2</v>
      </c>
    </row>
    <row r="5967" spans="1:7" x14ac:dyDescent="0.2">
      <c r="A5967" s="538">
        <v>10</v>
      </c>
      <c r="B5967" s="538" t="s">
        <v>6653</v>
      </c>
      <c r="C5967" s="538" t="s">
        <v>393</v>
      </c>
      <c r="D5967" s="538" t="s">
        <v>393</v>
      </c>
      <c r="E5967" s="538" t="s">
        <v>230</v>
      </c>
      <c r="F5967" s="538">
        <v>3321884</v>
      </c>
      <c r="G5967" s="538">
        <v>103</v>
      </c>
    </row>
    <row r="5968" spans="1:7" x14ac:dyDescent="0.2">
      <c r="A5968" s="538">
        <v>7</v>
      </c>
      <c r="B5968" s="538" t="s">
        <v>6604</v>
      </c>
      <c r="C5968" s="538" t="s">
        <v>740</v>
      </c>
      <c r="D5968" s="538" t="s">
        <v>393</v>
      </c>
      <c r="E5968" s="538" t="s">
        <v>416</v>
      </c>
      <c r="F5968" s="538">
        <v>1582807</v>
      </c>
      <c r="G5968" s="538">
        <v>34</v>
      </c>
    </row>
    <row r="5969" spans="1:7" x14ac:dyDescent="0.2">
      <c r="A5969" s="538">
        <v>3</v>
      </c>
      <c r="B5969" s="538" t="s">
        <v>6605</v>
      </c>
      <c r="C5969" s="538" t="s">
        <v>740</v>
      </c>
      <c r="D5969" s="538" t="s">
        <v>393</v>
      </c>
      <c r="E5969" s="538" t="s">
        <v>402</v>
      </c>
      <c r="F5969" s="538">
        <v>22656</v>
      </c>
      <c r="G5969" s="538">
        <v>2</v>
      </c>
    </row>
    <row r="5970" spans="1:7" x14ac:dyDescent="0.2">
      <c r="A5970" s="538">
        <v>9</v>
      </c>
      <c r="B5970" s="538" t="s">
        <v>6657</v>
      </c>
      <c r="C5970" s="538" t="s">
        <v>393</v>
      </c>
      <c r="D5970" s="538" t="s">
        <v>393</v>
      </c>
      <c r="E5970" s="538" t="s">
        <v>449</v>
      </c>
      <c r="F5970" s="538">
        <v>124608</v>
      </c>
      <c r="G5970" s="538">
        <v>11</v>
      </c>
    </row>
    <row r="5971" spans="1:7" x14ac:dyDescent="0.2">
      <c r="A5971" s="538">
        <v>8</v>
      </c>
      <c r="B5971" s="538" t="s">
        <v>6658</v>
      </c>
      <c r="C5971" s="538" t="s">
        <v>393</v>
      </c>
      <c r="D5971" s="538" t="s">
        <v>740</v>
      </c>
      <c r="E5971" s="538" t="s">
        <v>449</v>
      </c>
      <c r="F5971" s="538">
        <v>323379</v>
      </c>
      <c r="G5971" s="538">
        <v>23</v>
      </c>
    </row>
    <row r="5972" spans="1:7" x14ac:dyDescent="0.2">
      <c r="A5972" s="538">
        <v>4</v>
      </c>
      <c r="B5972" s="538" t="s">
        <v>6562</v>
      </c>
      <c r="C5972" s="538" t="s">
        <v>393</v>
      </c>
      <c r="D5972" s="538" t="s">
        <v>740</v>
      </c>
      <c r="E5972" s="538" t="s">
        <v>211</v>
      </c>
      <c r="F5972" s="538">
        <v>604580</v>
      </c>
      <c r="G5972" s="538">
        <v>5</v>
      </c>
    </row>
    <row r="5973" spans="1:7" x14ac:dyDescent="0.2">
      <c r="A5973" s="538">
        <v>4</v>
      </c>
      <c r="B5973" s="538" t="s">
        <v>6593</v>
      </c>
      <c r="C5973" s="538" t="s">
        <v>740</v>
      </c>
      <c r="D5973" s="538" t="s">
        <v>393</v>
      </c>
      <c r="E5973" s="538" t="s">
        <v>207</v>
      </c>
      <c r="F5973" s="538">
        <v>12936420</v>
      </c>
      <c r="G5973" s="538">
        <v>865</v>
      </c>
    </row>
    <row r="5974" spans="1:7" x14ac:dyDescent="0.2">
      <c r="A5974" s="538">
        <v>4</v>
      </c>
      <c r="B5974" s="538" t="s">
        <v>6590</v>
      </c>
      <c r="C5974" s="538" t="s">
        <v>740</v>
      </c>
      <c r="D5974" s="538" t="s">
        <v>740</v>
      </c>
      <c r="E5974" s="538" t="s">
        <v>402</v>
      </c>
      <c r="F5974" s="538">
        <v>236472</v>
      </c>
      <c r="G5974" s="538">
        <v>14</v>
      </c>
    </row>
    <row r="5975" spans="1:7" x14ac:dyDescent="0.2">
      <c r="A5975" s="538">
        <v>5</v>
      </c>
      <c r="B5975" s="538" t="s">
        <v>6651</v>
      </c>
      <c r="C5975" s="538" t="s">
        <v>393</v>
      </c>
      <c r="D5975" s="538" t="s">
        <v>393</v>
      </c>
      <c r="E5975" s="538" t="s">
        <v>212</v>
      </c>
      <c r="F5975" s="538">
        <v>870257</v>
      </c>
      <c r="G5975" s="538">
        <v>34</v>
      </c>
    </row>
    <row r="5976" spans="1:7" x14ac:dyDescent="0.2">
      <c r="A5976" s="538">
        <v>6</v>
      </c>
      <c r="B5976" s="538" t="s">
        <v>6429</v>
      </c>
      <c r="C5976" s="538" t="s">
        <v>740</v>
      </c>
      <c r="D5976" s="538" t="s">
        <v>393</v>
      </c>
      <c r="E5976" s="538" t="s">
        <v>860</v>
      </c>
      <c r="F5976" s="538">
        <v>101467959</v>
      </c>
      <c r="G5976" s="538">
        <v>3508</v>
      </c>
    </row>
    <row r="5977" spans="1:7" x14ac:dyDescent="0.2">
      <c r="A5977" s="538">
        <v>8</v>
      </c>
      <c r="B5977" s="538" t="s">
        <v>6570</v>
      </c>
      <c r="C5977" s="538" t="s">
        <v>393</v>
      </c>
      <c r="D5977" s="538" t="s">
        <v>740</v>
      </c>
      <c r="E5977" s="538" t="s">
        <v>390</v>
      </c>
      <c r="F5977" s="538">
        <v>5546441</v>
      </c>
      <c r="G5977" s="538">
        <v>122</v>
      </c>
    </row>
    <row r="5978" spans="1:7" x14ac:dyDescent="0.2">
      <c r="A5978" s="538">
        <v>6</v>
      </c>
      <c r="B5978" s="538" t="s">
        <v>6429</v>
      </c>
      <c r="C5978" s="538" t="s">
        <v>740</v>
      </c>
      <c r="D5978" s="538" t="s">
        <v>393</v>
      </c>
      <c r="E5978" s="538" t="s">
        <v>207</v>
      </c>
      <c r="F5978" s="538">
        <v>85491</v>
      </c>
      <c r="G5978" s="538">
        <v>2</v>
      </c>
    </row>
    <row r="5979" spans="1:7" x14ac:dyDescent="0.2">
      <c r="A5979" s="538">
        <v>12</v>
      </c>
      <c r="B5979" s="538" t="s">
        <v>6569</v>
      </c>
      <c r="C5979" s="538" t="s">
        <v>740</v>
      </c>
      <c r="D5979" s="538" t="s">
        <v>393</v>
      </c>
      <c r="E5979" s="538" t="s">
        <v>449</v>
      </c>
      <c r="F5979" s="538">
        <v>414003</v>
      </c>
      <c r="G5979" s="538">
        <v>31</v>
      </c>
    </row>
    <row r="5980" spans="1:7" x14ac:dyDescent="0.2">
      <c r="A5980" s="538">
        <v>7</v>
      </c>
      <c r="B5980" s="538" t="s">
        <v>6588</v>
      </c>
      <c r="C5980" s="538" t="s">
        <v>740</v>
      </c>
      <c r="D5980" s="538" t="s">
        <v>740</v>
      </c>
      <c r="E5980" s="538" t="s">
        <v>401</v>
      </c>
      <c r="F5980" s="538">
        <v>2043413</v>
      </c>
      <c r="G5980" s="538">
        <v>76</v>
      </c>
    </row>
    <row r="5981" spans="1:7" x14ac:dyDescent="0.2">
      <c r="A5981" s="538">
        <v>10</v>
      </c>
      <c r="B5981" s="538" t="s">
        <v>6597</v>
      </c>
      <c r="C5981" s="538" t="s">
        <v>740</v>
      </c>
      <c r="D5981" s="538" t="s">
        <v>393</v>
      </c>
      <c r="E5981" s="538" t="s">
        <v>212</v>
      </c>
      <c r="F5981" s="538">
        <v>33984</v>
      </c>
      <c r="G5981" s="538">
        <v>3</v>
      </c>
    </row>
    <row r="5982" spans="1:7" x14ac:dyDescent="0.2">
      <c r="A5982" s="538">
        <v>3</v>
      </c>
      <c r="B5982" s="538" t="s">
        <v>1390</v>
      </c>
      <c r="C5982" s="538" t="s">
        <v>740</v>
      </c>
      <c r="D5982" s="538" t="s">
        <v>393</v>
      </c>
      <c r="E5982" s="538" t="s">
        <v>202</v>
      </c>
      <c r="F5982" s="538">
        <v>489051</v>
      </c>
      <c r="G5982" s="538">
        <v>12</v>
      </c>
    </row>
    <row r="5983" spans="1:7" x14ac:dyDescent="0.2">
      <c r="A5983" s="538">
        <v>8</v>
      </c>
      <c r="B5983" s="538" t="s">
        <v>6648</v>
      </c>
      <c r="C5983" s="538" t="s">
        <v>740</v>
      </c>
      <c r="D5983" s="538" t="s">
        <v>393</v>
      </c>
      <c r="E5983" s="538" t="s">
        <v>860</v>
      </c>
      <c r="F5983" s="538">
        <v>1924771</v>
      </c>
      <c r="G5983" s="538">
        <v>47</v>
      </c>
    </row>
    <row r="5984" spans="1:7" x14ac:dyDescent="0.2">
      <c r="A5984" s="538">
        <v>1</v>
      </c>
      <c r="B5984" s="538" t="s">
        <v>1288</v>
      </c>
      <c r="C5984" s="538" t="s">
        <v>740</v>
      </c>
      <c r="D5984" s="538" t="s">
        <v>393</v>
      </c>
      <c r="E5984" s="538" t="s">
        <v>207</v>
      </c>
      <c r="F5984" s="538">
        <v>776499</v>
      </c>
      <c r="G5984" s="538">
        <v>63</v>
      </c>
    </row>
    <row r="5985" spans="1:7" x14ac:dyDescent="0.2">
      <c r="A5985" s="538">
        <v>4</v>
      </c>
      <c r="B5985" s="538" t="s">
        <v>6559</v>
      </c>
      <c r="C5985" s="538" t="s">
        <v>740</v>
      </c>
      <c r="D5985" s="538" t="s">
        <v>740</v>
      </c>
      <c r="E5985" s="538" t="s">
        <v>402</v>
      </c>
      <c r="F5985" s="538">
        <v>93034576</v>
      </c>
      <c r="G5985" s="538">
        <v>3977</v>
      </c>
    </row>
    <row r="5986" spans="1:7" x14ac:dyDescent="0.2">
      <c r="A5986" s="538">
        <v>7</v>
      </c>
      <c r="B5986" s="538" t="s">
        <v>6661</v>
      </c>
      <c r="C5986" s="538" t="s">
        <v>740</v>
      </c>
      <c r="D5986" s="538" t="s">
        <v>393</v>
      </c>
      <c r="E5986" s="538" t="s">
        <v>313</v>
      </c>
      <c r="F5986" s="538">
        <v>1522096</v>
      </c>
      <c r="G5986" s="538">
        <v>12</v>
      </c>
    </row>
    <row r="5987" spans="1:7" x14ac:dyDescent="0.2">
      <c r="A5987" s="538">
        <v>11</v>
      </c>
      <c r="B5987" s="538" t="s">
        <v>6584</v>
      </c>
      <c r="C5987" s="538" t="s">
        <v>740</v>
      </c>
      <c r="D5987" s="538" t="s">
        <v>393</v>
      </c>
      <c r="E5987" s="538" t="s">
        <v>210</v>
      </c>
      <c r="F5987" s="538">
        <v>598385</v>
      </c>
      <c r="G5987" s="538">
        <v>10</v>
      </c>
    </row>
    <row r="5988" spans="1:7" x14ac:dyDescent="0.2">
      <c r="A5988" s="538">
        <v>4</v>
      </c>
      <c r="B5988" s="538" t="s">
        <v>6559</v>
      </c>
      <c r="C5988" s="538" t="s">
        <v>740</v>
      </c>
      <c r="D5988" s="538" t="s">
        <v>393</v>
      </c>
      <c r="E5988" s="538" t="s">
        <v>416</v>
      </c>
      <c r="F5988" s="538">
        <v>9760218</v>
      </c>
      <c r="G5988" s="538">
        <v>181</v>
      </c>
    </row>
    <row r="5989" spans="1:7" x14ac:dyDescent="0.2">
      <c r="A5989" s="538">
        <v>3</v>
      </c>
      <c r="B5989" s="538" t="s">
        <v>6605</v>
      </c>
      <c r="C5989" s="538" t="s">
        <v>740</v>
      </c>
      <c r="D5989" s="538" t="s">
        <v>740</v>
      </c>
      <c r="E5989" s="538" t="s">
        <v>449</v>
      </c>
      <c r="F5989" s="538">
        <v>158592</v>
      </c>
      <c r="G5989" s="538">
        <v>14</v>
      </c>
    </row>
    <row r="5990" spans="1:7" x14ac:dyDescent="0.2">
      <c r="A5990" s="538">
        <v>6</v>
      </c>
      <c r="B5990" s="538" t="s">
        <v>6596</v>
      </c>
      <c r="C5990" s="538" t="s">
        <v>740</v>
      </c>
      <c r="D5990" s="538" t="s">
        <v>393</v>
      </c>
      <c r="E5990" s="538" t="s">
        <v>416</v>
      </c>
      <c r="F5990" s="538">
        <v>4937582</v>
      </c>
      <c r="G5990" s="538">
        <v>69</v>
      </c>
    </row>
    <row r="5991" spans="1:7" x14ac:dyDescent="0.2">
      <c r="A5991" s="538">
        <v>6</v>
      </c>
      <c r="B5991" s="538" t="s">
        <v>6429</v>
      </c>
      <c r="C5991" s="538" t="s">
        <v>393</v>
      </c>
      <c r="D5991" s="538" t="s">
        <v>740</v>
      </c>
      <c r="E5991" s="538" t="s">
        <v>401</v>
      </c>
      <c r="F5991" s="538">
        <v>45312</v>
      </c>
      <c r="G5991" s="538">
        <v>4</v>
      </c>
    </row>
    <row r="5992" spans="1:7" x14ac:dyDescent="0.2">
      <c r="A5992" s="538">
        <v>5</v>
      </c>
      <c r="B5992" s="538" t="s">
        <v>6598</v>
      </c>
      <c r="C5992" s="538" t="s">
        <v>740</v>
      </c>
      <c r="D5992" s="538" t="s">
        <v>393</v>
      </c>
      <c r="E5992" s="538" t="s">
        <v>860</v>
      </c>
      <c r="F5992" s="538">
        <v>22656</v>
      </c>
      <c r="G5992" s="538">
        <v>2</v>
      </c>
    </row>
    <row r="5993" spans="1:7" x14ac:dyDescent="0.2">
      <c r="A5993" s="538">
        <v>6</v>
      </c>
      <c r="B5993" s="538" t="s">
        <v>6617</v>
      </c>
      <c r="C5993" s="538" t="s">
        <v>393</v>
      </c>
      <c r="D5993" s="538" t="s">
        <v>393</v>
      </c>
      <c r="E5993" s="538" t="s">
        <v>402</v>
      </c>
      <c r="F5993" s="538">
        <v>5644374</v>
      </c>
      <c r="G5993" s="538">
        <v>178</v>
      </c>
    </row>
    <row r="5994" spans="1:7" x14ac:dyDescent="0.2">
      <c r="A5994" s="538">
        <v>4</v>
      </c>
      <c r="B5994" s="538" t="s">
        <v>6572</v>
      </c>
      <c r="C5994" s="538" t="s">
        <v>740</v>
      </c>
      <c r="D5994" s="538" t="s">
        <v>393</v>
      </c>
      <c r="E5994" s="538" t="s">
        <v>230</v>
      </c>
      <c r="F5994" s="538">
        <v>216294</v>
      </c>
      <c r="G5994" s="538">
        <v>8</v>
      </c>
    </row>
    <row r="5995" spans="1:7" x14ac:dyDescent="0.2">
      <c r="A5995" s="538">
        <v>11</v>
      </c>
      <c r="B5995" s="538" t="s">
        <v>6610</v>
      </c>
      <c r="C5995" s="538" t="s">
        <v>740</v>
      </c>
      <c r="D5995" s="538" t="s">
        <v>740</v>
      </c>
      <c r="E5995" s="538" t="s">
        <v>210</v>
      </c>
      <c r="F5995" s="538">
        <v>108147</v>
      </c>
      <c r="G5995" s="538">
        <v>4</v>
      </c>
    </row>
    <row r="5996" spans="1:7" x14ac:dyDescent="0.2">
      <c r="A5996" s="538">
        <v>8</v>
      </c>
      <c r="B5996" s="538" t="s">
        <v>6583</v>
      </c>
      <c r="C5996" s="538" t="s">
        <v>393</v>
      </c>
      <c r="D5996" s="538" t="s">
        <v>393</v>
      </c>
      <c r="E5996" s="538" t="s">
        <v>209</v>
      </c>
      <c r="F5996" s="538">
        <v>3793152</v>
      </c>
      <c r="G5996" s="538">
        <v>19</v>
      </c>
    </row>
    <row r="5997" spans="1:7" x14ac:dyDescent="0.2">
      <c r="A5997" s="538">
        <v>5</v>
      </c>
      <c r="B5997" s="538" t="s">
        <v>6568</v>
      </c>
      <c r="C5997" s="538" t="s">
        <v>740</v>
      </c>
      <c r="D5997" s="538" t="s">
        <v>393</v>
      </c>
      <c r="E5997" s="538" t="s">
        <v>416</v>
      </c>
      <c r="F5997" s="538">
        <v>19198202</v>
      </c>
      <c r="G5997" s="538">
        <v>429</v>
      </c>
    </row>
    <row r="5998" spans="1:7" x14ac:dyDescent="0.2">
      <c r="A5998" s="538">
        <v>11</v>
      </c>
      <c r="B5998" s="538" t="s">
        <v>6584</v>
      </c>
      <c r="C5998" s="538" t="s">
        <v>393</v>
      </c>
      <c r="D5998" s="538" t="s">
        <v>393</v>
      </c>
      <c r="E5998" s="538" t="s">
        <v>209</v>
      </c>
      <c r="F5998" s="538">
        <v>5385413</v>
      </c>
      <c r="G5998" s="538">
        <v>16</v>
      </c>
    </row>
    <row r="5999" spans="1:7" x14ac:dyDescent="0.2">
      <c r="A5999" s="538">
        <v>7</v>
      </c>
      <c r="B5999" s="538" t="s">
        <v>6661</v>
      </c>
      <c r="C5999" s="538" t="s">
        <v>393</v>
      </c>
      <c r="D5999" s="538" t="s">
        <v>740</v>
      </c>
      <c r="E5999" s="538" t="s">
        <v>449</v>
      </c>
      <c r="F5999" s="538">
        <v>135936</v>
      </c>
      <c r="G5999" s="538">
        <v>12</v>
      </c>
    </row>
    <row r="6000" spans="1:7" x14ac:dyDescent="0.2">
      <c r="A6000" s="538">
        <v>8</v>
      </c>
      <c r="B6000" s="538" t="s">
        <v>6570</v>
      </c>
      <c r="C6000" s="538" t="s">
        <v>393</v>
      </c>
      <c r="D6000" s="538" t="s">
        <v>740</v>
      </c>
      <c r="E6000" s="538" t="s">
        <v>860</v>
      </c>
      <c r="F6000" s="538">
        <v>11328</v>
      </c>
      <c r="G6000" s="538">
        <v>1</v>
      </c>
    </row>
    <row r="6001" spans="1:7" x14ac:dyDescent="0.2">
      <c r="A6001" s="538">
        <v>7</v>
      </c>
      <c r="B6001" s="538" t="s">
        <v>6588</v>
      </c>
      <c r="C6001" s="538" t="s">
        <v>740</v>
      </c>
      <c r="D6001" s="538" t="s">
        <v>740</v>
      </c>
      <c r="E6001" s="538" t="s">
        <v>860</v>
      </c>
      <c r="F6001" s="538">
        <v>2526040</v>
      </c>
      <c r="G6001" s="538">
        <v>80</v>
      </c>
    </row>
    <row r="6002" spans="1:7" x14ac:dyDescent="0.2">
      <c r="A6002" s="538">
        <v>8</v>
      </c>
      <c r="B6002" s="538" t="s">
        <v>6577</v>
      </c>
      <c r="C6002" s="538" t="s">
        <v>740</v>
      </c>
      <c r="D6002" s="538" t="s">
        <v>740</v>
      </c>
      <c r="E6002" s="538" t="s">
        <v>390</v>
      </c>
      <c r="F6002" s="538">
        <v>2171967</v>
      </c>
      <c r="G6002" s="538">
        <v>104</v>
      </c>
    </row>
    <row r="6003" spans="1:7" x14ac:dyDescent="0.2">
      <c r="A6003" s="538">
        <v>1</v>
      </c>
      <c r="B6003" s="538" t="s">
        <v>6609</v>
      </c>
      <c r="C6003" s="538" t="s">
        <v>393</v>
      </c>
      <c r="D6003" s="538" t="s">
        <v>740</v>
      </c>
      <c r="E6003" s="538" t="s">
        <v>409</v>
      </c>
      <c r="F6003" s="538">
        <v>33984</v>
      </c>
      <c r="G6003" s="538">
        <v>3</v>
      </c>
    </row>
    <row r="6004" spans="1:7" x14ac:dyDescent="0.2">
      <c r="A6004" s="538">
        <v>10</v>
      </c>
      <c r="B6004" s="538" t="s">
        <v>6652</v>
      </c>
      <c r="C6004" s="538" t="s">
        <v>740</v>
      </c>
      <c r="D6004" s="538" t="s">
        <v>393</v>
      </c>
      <c r="E6004" s="538" t="s">
        <v>860</v>
      </c>
      <c r="F6004" s="538">
        <v>95580</v>
      </c>
      <c r="G6004" s="538">
        <v>5</v>
      </c>
    </row>
    <row r="6005" spans="1:7" x14ac:dyDescent="0.2">
      <c r="A6005" s="538">
        <v>7</v>
      </c>
      <c r="B6005" s="538" t="s">
        <v>6604</v>
      </c>
      <c r="C6005" s="538" t="s">
        <v>740</v>
      </c>
      <c r="D6005" s="538" t="s">
        <v>393</v>
      </c>
      <c r="E6005" s="538" t="s">
        <v>230</v>
      </c>
      <c r="F6005" s="538">
        <v>33984</v>
      </c>
      <c r="G6005" s="538">
        <v>3</v>
      </c>
    </row>
    <row r="6006" spans="1:7" x14ac:dyDescent="0.2">
      <c r="A6006" s="538">
        <v>6</v>
      </c>
      <c r="B6006" s="538" t="s">
        <v>6575</v>
      </c>
      <c r="C6006" s="538" t="s">
        <v>393</v>
      </c>
      <c r="D6006" s="538" t="s">
        <v>393</v>
      </c>
      <c r="E6006" s="538" t="s">
        <v>402</v>
      </c>
      <c r="F6006" s="538">
        <v>10655463</v>
      </c>
      <c r="G6006" s="538">
        <v>296</v>
      </c>
    </row>
    <row r="6007" spans="1:7" x14ac:dyDescent="0.2">
      <c r="A6007" s="538">
        <v>3</v>
      </c>
      <c r="B6007" s="538" t="s">
        <v>6586</v>
      </c>
      <c r="C6007" s="538" t="s">
        <v>740</v>
      </c>
      <c r="D6007" s="538" t="s">
        <v>393</v>
      </c>
      <c r="E6007" s="538" t="s">
        <v>860</v>
      </c>
      <c r="F6007" s="538">
        <v>5193076</v>
      </c>
      <c r="G6007" s="538">
        <v>247</v>
      </c>
    </row>
    <row r="6008" spans="1:7" x14ac:dyDescent="0.2">
      <c r="A6008" s="538">
        <v>1</v>
      </c>
      <c r="B6008" s="538" t="s">
        <v>6646</v>
      </c>
      <c r="C6008" s="538" t="s">
        <v>393</v>
      </c>
      <c r="D6008" s="538" t="s">
        <v>393</v>
      </c>
      <c r="E6008" s="538" t="s">
        <v>419</v>
      </c>
      <c r="F6008" s="538">
        <v>22656</v>
      </c>
      <c r="G6008" s="538">
        <v>2</v>
      </c>
    </row>
    <row r="6009" spans="1:7" x14ac:dyDescent="0.2">
      <c r="A6009" s="538">
        <v>8</v>
      </c>
      <c r="B6009" s="538" t="s">
        <v>6570</v>
      </c>
      <c r="C6009" s="538" t="s">
        <v>740</v>
      </c>
      <c r="D6009" s="538" t="s">
        <v>740</v>
      </c>
      <c r="E6009" s="538" t="s">
        <v>449</v>
      </c>
      <c r="F6009" s="538">
        <v>595251</v>
      </c>
      <c r="G6009" s="538">
        <v>47</v>
      </c>
    </row>
    <row r="6010" spans="1:7" x14ac:dyDescent="0.2">
      <c r="A6010" s="538">
        <v>8</v>
      </c>
      <c r="B6010" s="538" t="s">
        <v>6570</v>
      </c>
      <c r="C6010" s="538" t="s">
        <v>740</v>
      </c>
      <c r="D6010" s="538" t="s">
        <v>393</v>
      </c>
      <c r="E6010" s="538" t="s">
        <v>211</v>
      </c>
      <c r="F6010" s="538">
        <v>15893820</v>
      </c>
      <c r="G6010" s="538">
        <v>315</v>
      </c>
    </row>
    <row r="6011" spans="1:7" x14ac:dyDescent="0.2">
      <c r="A6011" s="538">
        <v>5</v>
      </c>
      <c r="B6011" s="538" t="s">
        <v>6589</v>
      </c>
      <c r="C6011" s="538" t="s">
        <v>740</v>
      </c>
      <c r="D6011" s="538" t="s">
        <v>393</v>
      </c>
      <c r="E6011" s="538" t="s">
        <v>212</v>
      </c>
      <c r="F6011" s="538">
        <v>33984</v>
      </c>
      <c r="G6011" s="538">
        <v>3</v>
      </c>
    </row>
    <row r="6012" spans="1:7" x14ac:dyDescent="0.2">
      <c r="A6012" s="538">
        <v>4</v>
      </c>
      <c r="B6012" s="538" t="s">
        <v>6562</v>
      </c>
      <c r="C6012" s="538" t="s">
        <v>393</v>
      </c>
      <c r="D6012" s="538" t="s">
        <v>740</v>
      </c>
      <c r="E6012" s="538" t="s">
        <v>449</v>
      </c>
      <c r="F6012" s="538">
        <v>486927</v>
      </c>
      <c r="G6012" s="538">
        <v>34</v>
      </c>
    </row>
    <row r="6013" spans="1:7" x14ac:dyDescent="0.2">
      <c r="A6013" s="538">
        <v>6</v>
      </c>
      <c r="B6013" s="538" t="s">
        <v>6433</v>
      </c>
      <c r="C6013" s="538" t="s">
        <v>740</v>
      </c>
      <c r="D6013" s="538" t="s">
        <v>393</v>
      </c>
      <c r="E6013" s="538" t="s">
        <v>449</v>
      </c>
      <c r="F6013" s="538">
        <v>511884</v>
      </c>
      <c r="G6013" s="538">
        <v>23</v>
      </c>
    </row>
    <row r="6014" spans="1:7" x14ac:dyDescent="0.2">
      <c r="A6014" s="538">
        <v>11</v>
      </c>
      <c r="B6014" s="538" t="s">
        <v>6584</v>
      </c>
      <c r="C6014" s="538" t="s">
        <v>740</v>
      </c>
      <c r="D6014" s="538" t="s">
        <v>393</v>
      </c>
      <c r="E6014" s="538" t="s">
        <v>207</v>
      </c>
      <c r="F6014" s="538">
        <v>1829066</v>
      </c>
      <c r="G6014" s="538">
        <v>102</v>
      </c>
    </row>
    <row r="6015" spans="1:7" x14ac:dyDescent="0.2">
      <c r="A6015" s="538">
        <v>3</v>
      </c>
      <c r="B6015" s="538" t="s">
        <v>6591</v>
      </c>
      <c r="C6015" s="538" t="s">
        <v>393</v>
      </c>
      <c r="D6015" s="538" t="s">
        <v>393</v>
      </c>
      <c r="E6015" s="538" t="s">
        <v>409</v>
      </c>
      <c r="F6015" s="538">
        <v>3026190</v>
      </c>
      <c r="G6015" s="538">
        <v>80</v>
      </c>
    </row>
    <row r="6016" spans="1:7" x14ac:dyDescent="0.2">
      <c r="A6016" s="538">
        <v>6</v>
      </c>
      <c r="B6016" s="538" t="s">
        <v>6429</v>
      </c>
      <c r="C6016" s="538" t="s">
        <v>740</v>
      </c>
      <c r="D6016" s="538" t="s">
        <v>393</v>
      </c>
      <c r="E6016" s="538" t="s">
        <v>438</v>
      </c>
      <c r="F6016" s="538">
        <v>1749770</v>
      </c>
      <c r="G6016" s="538">
        <v>30</v>
      </c>
    </row>
    <row r="6017" spans="1:7" x14ac:dyDescent="0.2">
      <c r="A6017" s="538">
        <v>10</v>
      </c>
      <c r="B6017" s="538" t="s">
        <v>6587</v>
      </c>
      <c r="C6017" s="538" t="s">
        <v>740</v>
      </c>
      <c r="D6017" s="538" t="s">
        <v>393</v>
      </c>
      <c r="E6017" s="538" t="s">
        <v>210</v>
      </c>
      <c r="F6017" s="538">
        <v>1802745</v>
      </c>
      <c r="G6017" s="538">
        <v>110</v>
      </c>
    </row>
    <row r="6018" spans="1:7" x14ac:dyDescent="0.2">
      <c r="A6018" s="538">
        <v>4</v>
      </c>
      <c r="B6018" s="538" t="s">
        <v>6562</v>
      </c>
      <c r="C6018" s="538" t="s">
        <v>740</v>
      </c>
      <c r="D6018" s="538" t="s">
        <v>393</v>
      </c>
      <c r="E6018" s="538" t="s">
        <v>211</v>
      </c>
      <c r="F6018" s="538">
        <v>10448050</v>
      </c>
      <c r="G6018" s="538">
        <v>310</v>
      </c>
    </row>
    <row r="6019" spans="1:7" x14ac:dyDescent="0.2">
      <c r="A6019" s="538">
        <v>10</v>
      </c>
      <c r="B6019" s="538" t="s">
        <v>6652</v>
      </c>
      <c r="C6019" s="538" t="s">
        <v>393</v>
      </c>
      <c r="D6019" s="538" t="s">
        <v>393</v>
      </c>
      <c r="E6019" s="538" t="s">
        <v>419</v>
      </c>
      <c r="F6019" s="538">
        <v>168504</v>
      </c>
      <c r="G6019" s="538">
        <v>8</v>
      </c>
    </row>
    <row r="6020" spans="1:7" x14ac:dyDescent="0.2">
      <c r="A6020" s="538">
        <v>4</v>
      </c>
      <c r="B6020" s="538" t="s">
        <v>6590</v>
      </c>
      <c r="C6020" s="538" t="s">
        <v>740</v>
      </c>
      <c r="D6020" s="538" t="s">
        <v>393</v>
      </c>
      <c r="E6020" s="538" t="s">
        <v>230</v>
      </c>
      <c r="F6020" s="538">
        <v>8632582</v>
      </c>
      <c r="G6020" s="538">
        <v>169</v>
      </c>
    </row>
    <row r="6021" spans="1:7" x14ac:dyDescent="0.2">
      <c r="A6021" s="538">
        <v>3</v>
      </c>
      <c r="B6021" s="538" t="s">
        <v>6591</v>
      </c>
      <c r="C6021" s="538" t="s">
        <v>740</v>
      </c>
      <c r="D6021" s="538" t="s">
        <v>393</v>
      </c>
      <c r="E6021" s="538" t="s">
        <v>409</v>
      </c>
      <c r="F6021" s="538">
        <v>5522161</v>
      </c>
      <c r="G6021" s="538">
        <v>77</v>
      </c>
    </row>
    <row r="6022" spans="1:7" x14ac:dyDescent="0.2">
      <c r="A6022" s="538">
        <v>6</v>
      </c>
      <c r="B6022" s="538" t="s">
        <v>6575</v>
      </c>
      <c r="C6022" s="538" t="s">
        <v>740</v>
      </c>
      <c r="D6022" s="538" t="s">
        <v>740</v>
      </c>
      <c r="E6022" s="538" t="s">
        <v>207</v>
      </c>
      <c r="F6022" s="538">
        <v>780039</v>
      </c>
      <c r="G6022" s="538">
        <v>53</v>
      </c>
    </row>
    <row r="6023" spans="1:7" x14ac:dyDescent="0.2">
      <c r="A6023" s="538">
        <v>11</v>
      </c>
      <c r="B6023" s="538" t="s">
        <v>6584</v>
      </c>
      <c r="C6023" s="538" t="s">
        <v>740</v>
      </c>
      <c r="D6023" s="538" t="s">
        <v>393</v>
      </c>
      <c r="E6023" s="538" t="s">
        <v>209</v>
      </c>
      <c r="F6023" s="538">
        <v>3449949</v>
      </c>
      <c r="G6023" s="538">
        <v>13</v>
      </c>
    </row>
    <row r="6024" spans="1:7" x14ac:dyDescent="0.2">
      <c r="A6024" s="538">
        <v>6</v>
      </c>
      <c r="B6024" s="538" t="s">
        <v>6565</v>
      </c>
      <c r="C6024" s="538" t="s">
        <v>393</v>
      </c>
      <c r="D6024" s="538" t="s">
        <v>740</v>
      </c>
      <c r="E6024" s="538" t="s">
        <v>401</v>
      </c>
      <c r="F6024" s="538">
        <v>147264</v>
      </c>
      <c r="G6024" s="538">
        <v>13</v>
      </c>
    </row>
    <row r="6025" spans="1:7" x14ac:dyDescent="0.2">
      <c r="A6025" s="538">
        <v>11</v>
      </c>
      <c r="B6025" s="538" t="s">
        <v>6584</v>
      </c>
      <c r="C6025" s="538" t="s">
        <v>393</v>
      </c>
      <c r="D6025" s="538" t="s">
        <v>393</v>
      </c>
      <c r="E6025" s="538" t="s">
        <v>409</v>
      </c>
      <c r="F6025" s="538">
        <v>2704404</v>
      </c>
      <c r="G6025" s="538">
        <v>73</v>
      </c>
    </row>
    <row r="6026" spans="1:7" x14ac:dyDescent="0.2">
      <c r="A6026" s="538">
        <v>6</v>
      </c>
      <c r="B6026" s="538" t="s">
        <v>6433</v>
      </c>
      <c r="C6026" s="538" t="s">
        <v>740</v>
      </c>
      <c r="D6026" s="538" t="s">
        <v>393</v>
      </c>
      <c r="E6026" s="538" t="s">
        <v>210</v>
      </c>
      <c r="F6026" s="538">
        <v>22656</v>
      </c>
      <c r="G6026" s="538">
        <v>2</v>
      </c>
    </row>
    <row r="6027" spans="1:7" x14ac:dyDescent="0.2">
      <c r="A6027" s="538">
        <v>4</v>
      </c>
      <c r="B6027" s="538" t="s">
        <v>6572</v>
      </c>
      <c r="C6027" s="538" t="s">
        <v>740</v>
      </c>
      <c r="D6027" s="538" t="s">
        <v>393</v>
      </c>
      <c r="E6027" s="538" t="s">
        <v>449</v>
      </c>
      <c r="F6027" s="538">
        <v>96819</v>
      </c>
      <c r="G6027" s="538">
        <v>3</v>
      </c>
    </row>
    <row r="6028" spans="1:7" x14ac:dyDescent="0.2">
      <c r="A6028" s="538">
        <v>6</v>
      </c>
      <c r="B6028" s="538" t="s">
        <v>6565</v>
      </c>
      <c r="C6028" s="538" t="s">
        <v>740</v>
      </c>
      <c r="D6028" s="538" t="s">
        <v>740</v>
      </c>
      <c r="E6028" s="538" t="s">
        <v>409</v>
      </c>
      <c r="F6028" s="538">
        <v>1326157</v>
      </c>
      <c r="G6028" s="538">
        <v>19</v>
      </c>
    </row>
    <row r="6029" spans="1:7" x14ac:dyDescent="0.2">
      <c r="A6029" s="538">
        <v>9</v>
      </c>
      <c r="B6029" s="538" t="s">
        <v>6615</v>
      </c>
      <c r="C6029" s="538" t="s">
        <v>740</v>
      </c>
      <c r="D6029" s="538" t="s">
        <v>393</v>
      </c>
      <c r="E6029" s="538" t="s">
        <v>210</v>
      </c>
      <c r="F6029" s="538">
        <v>9527421</v>
      </c>
      <c r="G6029" s="538">
        <v>397</v>
      </c>
    </row>
    <row r="6030" spans="1:7" x14ac:dyDescent="0.2">
      <c r="A6030" s="538">
        <v>9</v>
      </c>
      <c r="B6030" s="538" t="s">
        <v>6606</v>
      </c>
      <c r="C6030" s="538" t="s">
        <v>740</v>
      </c>
      <c r="D6030" s="538" t="s">
        <v>393</v>
      </c>
      <c r="E6030" s="538" t="s">
        <v>402</v>
      </c>
      <c r="F6030" s="538">
        <v>11328</v>
      </c>
      <c r="G6030" s="538">
        <v>1</v>
      </c>
    </row>
    <row r="6031" spans="1:7" x14ac:dyDescent="0.2">
      <c r="A6031" s="538">
        <v>4</v>
      </c>
      <c r="B6031" s="538" t="s">
        <v>6562</v>
      </c>
      <c r="C6031" s="538" t="s">
        <v>740</v>
      </c>
      <c r="D6031" s="538" t="s">
        <v>393</v>
      </c>
      <c r="E6031" s="538" t="s">
        <v>438</v>
      </c>
      <c r="F6031" s="538">
        <v>2155475</v>
      </c>
      <c r="G6031" s="538">
        <v>10</v>
      </c>
    </row>
    <row r="6032" spans="1:7" x14ac:dyDescent="0.2">
      <c r="A6032" s="538">
        <v>3</v>
      </c>
      <c r="B6032" s="538" t="s">
        <v>6591</v>
      </c>
      <c r="C6032" s="538" t="s">
        <v>740</v>
      </c>
      <c r="D6032" s="538" t="s">
        <v>393</v>
      </c>
      <c r="E6032" s="538" t="s">
        <v>449</v>
      </c>
      <c r="F6032" s="538">
        <v>168504</v>
      </c>
      <c r="G6032" s="538">
        <v>8</v>
      </c>
    </row>
    <row r="6033" spans="1:7" x14ac:dyDescent="0.2">
      <c r="A6033" s="538">
        <v>5</v>
      </c>
      <c r="B6033" s="538" t="s">
        <v>6599</v>
      </c>
      <c r="C6033" s="538" t="s">
        <v>740</v>
      </c>
      <c r="D6033" s="538" t="s">
        <v>393</v>
      </c>
      <c r="E6033" s="538" t="s">
        <v>211</v>
      </c>
      <c r="F6033" s="538">
        <v>19341759</v>
      </c>
      <c r="G6033" s="538">
        <v>458</v>
      </c>
    </row>
    <row r="6034" spans="1:7" x14ac:dyDescent="0.2">
      <c r="A6034" s="538">
        <v>5</v>
      </c>
      <c r="B6034" s="538" t="s">
        <v>6568</v>
      </c>
      <c r="C6034" s="538" t="s">
        <v>740</v>
      </c>
      <c r="D6034" s="538" t="s">
        <v>393</v>
      </c>
      <c r="E6034" s="538" t="s">
        <v>212</v>
      </c>
      <c r="F6034" s="538">
        <v>430287</v>
      </c>
      <c r="G6034" s="538">
        <v>29</v>
      </c>
    </row>
    <row r="6035" spans="1:7" x14ac:dyDescent="0.2">
      <c r="A6035" s="538">
        <v>6</v>
      </c>
      <c r="B6035" s="538" t="s">
        <v>6429</v>
      </c>
      <c r="C6035" s="538" t="s">
        <v>393</v>
      </c>
      <c r="D6035" s="538" t="s">
        <v>740</v>
      </c>
      <c r="E6035" s="538" t="s">
        <v>390</v>
      </c>
      <c r="F6035" s="538">
        <v>1495952</v>
      </c>
      <c r="G6035" s="538">
        <v>34</v>
      </c>
    </row>
    <row r="6036" spans="1:7" x14ac:dyDescent="0.2">
      <c r="A6036" s="538">
        <v>6</v>
      </c>
      <c r="B6036" s="538" t="s">
        <v>6565</v>
      </c>
      <c r="C6036" s="538" t="s">
        <v>740</v>
      </c>
      <c r="D6036" s="538" t="s">
        <v>393</v>
      </c>
      <c r="E6036" s="538" t="s">
        <v>209</v>
      </c>
      <c r="F6036" s="538">
        <v>570596</v>
      </c>
      <c r="G6036" s="538">
        <v>2</v>
      </c>
    </row>
    <row r="6037" spans="1:7" x14ac:dyDescent="0.2">
      <c r="A6037" s="538">
        <v>2</v>
      </c>
      <c r="B6037" s="538" t="s">
        <v>6608</v>
      </c>
      <c r="C6037" s="538" t="s">
        <v>740</v>
      </c>
      <c r="D6037" s="538" t="s">
        <v>393</v>
      </c>
      <c r="E6037" s="538" t="s">
        <v>212</v>
      </c>
      <c r="F6037" s="538">
        <v>961464</v>
      </c>
      <c r="G6037" s="538">
        <v>78</v>
      </c>
    </row>
    <row r="6038" spans="1:7" x14ac:dyDescent="0.2">
      <c r="A6038" s="538">
        <v>4</v>
      </c>
      <c r="B6038" s="538" t="s">
        <v>6559</v>
      </c>
      <c r="C6038" s="538" t="s">
        <v>740</v>
      </c>
      <c r="D6038" s="538" t="s">
        <v>740</v>
      </c>
      <c r="E6038" s="538" t="s">
        <v>449</v>
      </c>
      <c r="F6038" s="538">
        <v>1267799</v>
      </c>
      <c r="G6038" s="538">
        <v>58</v>
      </c>
    </row>
    <row r="6039" spans="1:7" x14ac:dyDescent="0.2">
      <c r="A6039" s="538">
        <v>10</v>
      </c>
      <c r="B6039" s="538" t="s">
        <v>6597</v>
      </c>
      <c r="C6039" s="538" t="s">
        <v>393</v>
      </c>
      <c r="D6039" s="538" t="s">
        <v>740</v>
      </c>
      <c r="E6039" s="538" t="s">
        <v>409</v>
      </c>
      <c r="F6039" s="538">
        <v>176115</v>
      </c>
      <c r="G6039" s="538">
        <v>10</v>
      </c>
    </row>
    <row r="6040" spans="1:7" x14ac:dyDescent="0.2">
      <c r="A6040" s="538">
        <v>5</v>
      </c>
      <c r="B6040" s="538" t="s">
        <v>6599</v>
      </c>
      <c r="C6040" s="538" t="s">
        <v>393</v>
      </c>
      <c r="D6040" s="538" t="s">
        <v>740</v>
      </c>
      <c r="E6040" s="538" t="s">
        <v>438</v>
      </c>
      <c r="F6040" s="538">
        <v>84252</v>
      </c>
      <c r="G6040" s="538">
        <v>4</v>
      </c>
    </row>
    <row r="6041" spans="1:7" x14ac:dyDescent="0.2">
      <c r="A6041" s="538">
        <v>3</v>
      </c>
      <c r="B6041" s="538" t="s">
        <v>6561</v>
      </c>
      <c r="C6041" s="538" t="s">
        <v>740</v>
      </c>
      <c r="D6041" s="538" t="s">
        <v>740</v>
      </c>
      <c r="E6041" s="538" t="s">
        <v>402</v>
      </c>
      <c r="F6041" s="538">
        <v>2160410</v>
      </c>
      <c r="G6041" s="538">
        <v>85</v>
      </c>
    </row>
    <row r="6042" spans="1:7" x14ac:dyDescent="0.2">
      <c r="A6042" s="538">
        <v>4</v>
      </c>
      <c r="B6042" s="538" t="s">
        <v>6590</v>
      </c>
      <c r="C6042" s="538" t="s">
        <v>740</v>
      </c>
      <c r="D6042" s="538" t="s">
        <v>740</v>
      </c>
      <c r="E6042" s="538" t="s">
        <v>438</v>
      </c>
      <c r="F6042" s="538">
        <v>11328</v>
      </c>
      <c r="G6042" s="538">
        <v>1</v>
      </c>
    </row>
    <row r="6043" spans="1:7" x14ac:dyDescent="0.2">
      <c r="A6043" s="538">
        <v>11</v>
      </c>
      <c r="B6043" s="538" t="s">
        <v>6584</v>
      </c>
      <c r="C6043" s="538" t="s">
        <v>740</v>
      </c>
      <c r="D6043" s="538" t="s">
        <v>740</v>
      </c>
      <c r="E6043" s="538" t="s">
        <v>416</v>
      </c>
      <c r="F6043" s="538">
        <v>50268</v>
      </c>
      <c r="G6043" s="538">
        <v>1</v>
      </c>
    </row>
    <row r="6044" spans="1:7" x14ac:dyDescent="0.2">
      <c r="A6044" s="538">
        <v>3</v>
      </c>
      <c r="B6044" s="538" t="s">
        <v>6591</v>
      </c>
      <c r="C6044" s="538" t="s">
        <v>740</v>
      </c>
      <c r="D6044" s="538" t="s">
        <v>393</v>
      </c>
      <c r="E6044" s="538" t="s">
        <v>419</v>
      </c>
      <c r="F6044" s="538">
        <v>56640</v>
      </c>
      <c r="G6044" s="538">
        <v>5</v>
      </c>
    </row>
    <row r="6045" spans="1:7" x14ac:dyDescent="0.2">
      <c r="A6045" s="538">
        <v>4</v>
      </c>
      <c r="B6045" s="538" t="s">
        <v>6572</v>
      </c>
      <c r="C6045" s="538" t="s">
        <v>740</v>
      </c>
      <c r="D6045" s="538" t="s">
        <v>393</v>
      </c>
      <c r="E6045" s="538" t="s">
        <v>390</v>
      </c>
      <c r="F6045" s="538">
        <v>916631</v>
      </c>
      <c r="G6045" s="538">
        <v>27</v>
      </c>
    </row>
    <row r="6046" spans="1:7" x14ac:dyDescent="0.2">
      <c r="A6046" s="538">
        <v>4</v>
      </c>
      <c r="B6046" s="538" t="s">
        <v>6562</v>
      </c>
      <c r="C6046" s="538" t="s">
        <v>393</v>
      </c>
      <c r="D6046" s="538" t="s">
        <v>740</v>
      </c>
      <c r="E6046" s="538" t="s">
        <v>209</v>
      </c>
      <c r="F6046" s="538">
        <v>570596</v>
      </c>
      <c r="G6046" s="538">
        <v>2</v>
      </c>
    </row>
    <row r="6047" spans="1:7" x14ac:dyDescent="0.2">
      <c r="A6047" s="538">
        <v>4</v>
      </c>
      <c r="B6047" s="538" t="s">
        <v>6590</v>
      </c>
      <c r="C6047" s="538" t="s">
        <v>740</v>
      </c>
      <c r="D6047" s="538" t="s">
        <v>393</v>
      </c>
      <c r="E6047" s="538" t="s">
        <v>211</v>
      </c>
      <c r="F6047" s="538">
        <v>5366609</v>
      </c>
      <c r="G6047" s="538">
        <v>108</v>
      </c>
    </row>
    <row r="6048" spans="1:7" x14ac:dyDescent="0.2">
      <c r="A6048" s="538">
        <v>1</v>
      </c>
      <c r="B6048" s="538" t="s">
        <v>6602</v>
      </c>
      <c r="C6048" s="538" t="s">
        <v>740</v>
      </c>
      <c r="D6048" s="538" t="s">
        <v>393</v>
      </c>
      <c r="E6048" s="538" t="s">
        <v>416</v>
      </c>
      <c r="F6048" s="538">
        <v>1615375</v>
      </c>
      <c r="G6048" s="538">
        <v>30</v>
      </c>
    </row>
    <row r="6049" spans="1:7" x14ac:dyDescent="0.2">
      <c r="A6049" s="538">
        <v>9</v>
      </c>
      <c r="B6049" s="538" t="s">
        <v>6645</v>
      </c>
      <c r="C6049" s="538" t="s">
        <v>740</v>
      </c>
      <c r="D6049" s="538" t="s">
        <v>393</v>
      </c>
      <c r="E6049" s="538" t="s">
        <v>313</v>
      </c>
      <c r="F6049" s="538">
        <v>496433</v>
      </c>
      <c r="G6049" s="538">
        <v>1</v>
      </c>
    </row>
    <row r="6050" spans="1:7" x14ac:dyDescent="0.2">
      <c r="A6050" s="538">
        <v>10</v>
      </c>
      <c r="B6050" s="538" t="s">
        <v>6653</v>
      </c>
      <c r="C6050" s="538" t="s">
        <v>393</v>
      </c>
      <c r="D6050" s="538" t="s">
        <v>393</v>
      </c>
      <c r="E6050" s="538" t="s">
        <v>860</v>
      </c>
      <c r="F6050" s="538">
        <v>1123898</v>
      </c>
      <c r="G6050" s="538">
        <v>26</v>
      </c>
    </row>
    <row r="6051" spans="1:7" x14ac:dyDescent="0.2">
      <c r="A6051" s="538">
        <v>12</v>
      </c>
      <c r="B6051" s="538" t="s">
        <v>6569</v>
      </c>
      <c r="C6051" s="538" t="s">
        <v>393</v>
      </c>
      <c r="D6051" s="538" t="s">
        <v>740</v>
      </c>
      <c r="E6051" s="538" t="s">
        <v>401</v>
      </c>
      <c r="F6051" s="538">
        <v>181248</v>
      </c>
      <c r="G6051" s="538">
        <v>16</v>
      </c>
    </row>
    <row r="6052" spans="1:7" x14ac:dyDescent="0.2">
      <c r="A6052" s="538">
        <v>3</v>
      </c>
      <c r="B6052" s="538" t="s">
        <v>6561</v>
      </c>
      <c r="C6052" s="538" t="s">
        <v>740</v>
      </c>
      <c r="D6052" s="538" t="s">
        <v>393</v>
      </c>
      <c r="E6052" s="538" t="s">
        <v>416</v>
      </c>
      <c r="F6052" s="538">
        <v>20521756</v>
      </c>
      <c r="G6052" s="538">
        <v>497</v>
      </c>
    </row>
    <row r="6053" spans="1:7" x14ac:dyDescent="0.2">
      <c r="A6053" s="538">
        <v>7</v>
      </c>
      <c r="B6053" s="538" t="s">
        <v>6588</v>
      </c>
      <c r="C6053" s="538" t="s">
        <v>740</v>
      </c>
      <c r="D6053" s="538" t="s">
        <v>393</v>
      </c>
      <c r="E6053" s="538" t="s">
        <v>210</v>
      </c>
      <c r="F6053" s="538">
        <v>919692</v>
      </c>
      <c r="G6053" s="538">
        <v>59</v>
      </c>
    </row>
    <row r="6054" spans="1:7" x14ac:dyDescent="0.2">
      <c r="A6054" s="538">
        <v>12</v>
      </c>
      <c r="B6054" s="538" t="s">
        <v>6616</v>
      </c>
      <c r="C6054" s="538" t="s">
        <v>740</v>
      </c>
      <c r="D6054" s="538" t="s">
        <v>393</v>
      </c>
      <c r="E6054" s="538" t="s">
        <v>438</v>
      </c>
      <c r="F6054" s="538">
        <v>50268</v>
      </c>
      <c r="G6054" s="538">
        <v>1</v>
      </c>
    </row>
    <row r="6055" spans="1:7" x14ac:dyDescent="0.2">
      <c r="A6055" s="538">
        <v>11</v>
      </c>
      <c r="B6055" s="538" t="s">
        <v>6584</v>
      </c>
      <c r="C6055" s="538" t="s">
        <v>740</v>
      </c>
      <c r="D6055" s="538" t="s">
        <v>393</v>
      </c>
      <c r="E6055" s="538" t="s">
        <v>416</v>
      </c>
      <c r="F6055" s="538">
        <v>10187725</v>
      </c>
      <c r="G6055" s="538">
        <v>200</v>
      </c>
    </row>
    <row r="6056" spans="1:7" x14ac:dyDescent="0.2">
      <c r="A6056" s="538">
        <v>8</v>
      </c>
      <c r="B6056" s="538" t="s">
        <v>6583</v>
      </c>
      <c r="C6056" s="538" t="s">
        <v>393</v>
      </c>
      <c r="D6056" s="538" t="s">
        <v>393</v>
      </c>
      <c r="E6056" s="538" t="s">
        <v>409</v>
      </c>
      <c r="F6056" s="538">
        <v>3655477</v>
      </c>
      <c r="G6056" s="538">
        <v>129</v>
      </c>
    </row>
    <row r="6057" spans="1:7" x14ac:dyDescent="0.2">
      <c r="A6057" s="538">
        <v>3</v>
      </c>
      <c r="B6057" s="538" t="s">
        <v>6647</v>
      </c>
      <c r="C6057" s="538" t="s">
        <v>740</v>
      </c>
      <c r="D6057" s="538" t="s">
        <v>393</v>
      </c>
      <c r="E6057" s="538" t="s">
        <v>409</v>
      </c>
      <c r="F6057" s="538">
        <v>1010972</v>
      </c>
      <c r="G6057" s="538">
        <v>34</v>
      </c>
    </row>
    <row r="6058" spans="1:7" x14ac:dyDescent="0.2">
      <c r="A6058" s="538">
        <v>4</v>
      </c>
      <c r="B6058" s="538" t="s">
        <v>6590</v>
      </c>
      <c r="C6058" s="538" t="s">
        <v>393</v>
      </c>
      <c r="D6058" s="538" t="s">
        <v>393</v>
      </c>
      <c r="E6058" s="538" t="s">
        <v>402</v>
      </c>
      <c r="F6058" s="538">
        <v>9902224</v>
      </c>
      <c r="G6058" s="538">
        <v>178</v>
      </c>
    </row>
    <row r="6059" spans="1:7" x14ac:dyDescent="0.2">
      <c r="A6059" s="538">
        <v>4</v>
      </c>
      <c r="B6059" s="538" t="s">
        <v>6574</v>
      </c>
      <c r="C6059" s="538" t="s">
        <v>393</v>
      </c>
      <c r="D6059" s="538" t="s">
        <v>393</v>
      </c>
      <c r="E6059" s="538" t="s">
        <v>860</v>
      </c>
      <c r="F6059" s="538">
        <v>1755663</v>
      </c>
      <c r="G6059" s="538">
        <v>81</v>
      </c>
    </row>
    <row r="6060" spans="1:7" x14ac:dyDescent="0.2">
      <c r="A6060" s="538">
        <v>6</v>
      </c>
      <c r="B6060" s="538" t="s">
        <v>6429</v>
      </c>
      <c r="C6060" s="538" t="s">
        <v>393</v>
      </c>
      <c r="D6060" s="538" t="s">
        <v>393</v>
      </c>
      <c r="E6060" s="538" t="s">
        <v>438</v>
      </c>
      <c r="F6060" s="538">
        <v>879815</v>
      </c>
      <c r="G6060" s="538">
        <v>10</v>
      </c>
    </row>
    <row r="6061" spans="1:7" x14ac:dyDescent="0.2">
      <c r="A6061" s="538">
        <v>6</v>
      </c>
      <c r="B6061" s="538" t="s">
        <v>6429</v>
      </c>
      <c r="C6061" s="538" t="s">
        <v>393</v>
      </c>
      <c r="D6061" s="538" t="s">
        <v>393</v>
      </c>
      <c r="E6061" s="538" t="s">
        <v>206</v>
      </c>
      <c r="F6061" s="538">
        <v>11328</v>
      </c>
      <c r="G6061" s="538">
        <v>1</v>
      </c>
    </row>
    <row r="6062" spans="1:7" x14ac:dyDescent="0.2">
      <c r="A6062" s="538">
        <v>4</v>
      </c>
      <c r="B6062" s="538" t="s">
        <v>6590</v>
      </c>
      <c r="C6062" s="538" t="s">
        <v>740</v>
      </c>
      <c r="D6062" s="538" t="s">
        <v>393</v>
      </c>
      <c r="E6062" s="538" t="s">
        <v>209</v>
      </c>
      <c r="F6062" s="538">
        <v>1882770</v>
      </c>
      <c r="G6062" s="538">
        <v>10</v>
      </c>
    </row>
    <row r="6063" spans="1:7" x14ac:dyDescent="0.2">
      <c r="A6063" s="538">
        <v>1</v>
      </c>
      <c r="B6063" s="538" t="s">
        <v>6581</v>
      </c>
      <c r="C6063" s="538" t="s">
        <v>740</v>
      </c>
      <c r="D6063" s="538" t="s">
        <v>393</v>
      </c>
      <c r="E6063" s="538" t="s">
        <v>210</v>
      </c>
      <c r="F6063" s="538">
        <v>101952</v>
      </c>
      <c r="G6063" s="538">
        <v>9</v>
      </c>
    </row>
    <row r="6064" spans="1:7" x14ac:dyDescent="0.2">
      <c r="A6064" s="538">
        <v>4</v>
      </c>
      <c r="B6064" s="538" t="s">
        <v>6572</v>
      </c>
      <c r="C6064" s="538" t="s">
        <v>740</v>
      </c>
      <c r="D6064" s="538" t="s">
        <v>393</v>
      </c>
      <c r="E6064" s="538" t="s">
        <v>416</v>
      </c>
      <c r="F6064" s="538">
        <v>622686</v>
      </c>
      <c r="G6064" s="538">
        <v>37</v>
      </c>
    </row>
    <row r="6065" spans="1:7" x14ac:dyDescent="0.2">
      <c r="A6065" s="538">
        <v>5</v>
      </c>
      <c r="B6065" s="538" t="s">
        <v>6589</v>
      </c>
      <c r="C6065" s="538" t="s">
        <v>393</v>
      </c>
      <c r="D6065" s="538" t="s">
        <v>393</v>
      </c>
      <c r="E6065" s="538" t="s">
        <v>313</v>
      </c>
      <c r="F6065" s="538">
        <v>74163</v>
      </c>
      <c r="G6065" s="538">
        <v>1</v>
      </c>
    </row>
    <row r="6066" spans="1:7" x14ac:dyDescent="0.2">
      <c r="A6066" s="538">
        <v>3</v>
      </c>
      <c r="B6066" s="538" t="s">
        <v>6603</v>
      </c>
      <c r="C6066" s="538" t="s">
        <v>740</v>
      </c>
      <c r="D6066" s="538" t="s">
        <v>393</v>
      </c>
      <c r="E6066" s="538" t="s">
        <v>402</v>
      </c>
      <c r="F6066" s="538">
        <v>1243550</v>
      </c>
      <c r="G6066" s="538">
        <v>40</v>
      </c>
    </row>
    <row r="6067" spans="1:7" x14ac:dyDescent="0.2">
      <c r="A6067" s="538">
        <v>5</v>
      </c>
      <c r="B6067" s="538" t="s">
        <v>6650</v>
      </c>
      <c r="C6067" s="538" t="s">
        <v>740</v>
      </c>
      <c r="D6067" s="538" t="s">
        <v>740</v>
      </c>
      <c r="E6067" s="538" t="s">
        <v>401</v>
      </c>
      <c r="F6067" s="538">
        <v>231516</v>
      </c>
      <c r="G6067" s="538">
        <v>17</v>
      </c>
    </row>
    <row r="6068" spans="1:7" x14ac:dyDescent="0.2">
      <c r="A6068" s="538">
        <v>2</v>
      </c>
      <c r="B6068" s="538" t="s">
        <v>6573</v>
      </c>
      <c r="C6068" s="538" t="s">
        <v>740</v>
      </c>
      <c r="D6068" s="538" t="s">
        <v>740</v>
      </c>
      <c r="E6068" s="538" t="s">
        <v>207</v>
      </c>
      <c r="F6068" s="538">
        <v>514539</v>
      </c>
      <c r="G6068" s="538">
        <v>33</v>
      </c>
    </row>
    <row r="6069" spans="1:7" x14ac:dyDescent="0.2">
      <c r="A6069" s="538">
        <v>1</v>
      </c>
      <c r="B6069" s="538" t="s">
        <v>6602</v>
      </c>
      <c r="C6069" s="538" t="s">
        <v>740</v>
      </c>
      <c r="D6069" s="538" t="s">
        <v>393</v>
      </c>
      <c r="E6069" s="538" t="s">
        <v>211</v>
      </c>
      <c r="F6069" s="538">
        <v>31949532</v>
      </c>
      <c r="G6069" s="538">
        <v>874</v>
      </c>
    </row>
    <row r="6070" spans="1:7" x14ac:dyDescent="0.2">
      <c r="A6070" s="538">
        <v>11</v>
      </c>
      <c r="B6070" s="538" t="s">
        <v>6610</v>
      </c>
      <c r="C6070" s="538" t="s">
        <v>393</v>
      </c>
      <c r="D6070" s="538" t="s">
        <v>393</v>
      </c>
      <c r="E6070" s="538" t="s">
        <v>419</v>
      </c>
      <c r="F6070" s="538">
        <v>33984</v>
      </c>
      <c r="G6070" s="538">
        <v>3</v>
      </c>
    </row>
    <row r="6071" spans="1:7" x14ac:dyDescent="0.2">
      <c r="A6071" s="538">
        <v>7</v>
      </c>
      <c r="B6071" s="538" t="s">
        <v>6580</v>
      </c>
      <c r="C6071" s="538" t="s">
        <v>393</v>
      </c>
      <c r="D6071" s="538" t="s">
        <v>393</v>
      </c>
      <c r="E6071" s="538" t="s">
        <v>449</v>
      </c>
      <c r="F6071" s="538">
        <v>598385</v>
      </c>
      <c r="G6071" s="538">
        <v>10</v>
      </c>
    </row>
    <row r="6072" spans="1:7" x14ac:dyDescent="0.2">
      <c r="A6072" s="538">
        <v>7</v>
      </c>
      <c r="B6072" s="538" t="s">
        <v>6579</v>
      </c>
      <c r="C6072" s="538" t="s">
        <v>740</v>
      </c>
      <c r="D6072" s="538" t="s">
        <v>393</v>
      </c>
      <c r="E6072" s="538" t="s">
        <v>202</v>
      </c>
      <c r="F6072" s="538">
        <v>1117297</v>
      </c>
      <c r="G6072" s="538">
        <v>4</v>
      </c>
    </row>
    <row r="6073" spans="1:7" x14ac:dyDescent="0.2">
      <c r="A6073" s="538">
        <v>7</v>
      </c>
      <c r="B6073" s="538" t="s">
        <v>6579</v>
      </c>
      <c r="C6073" s="538" t="s">
        <v>393</v>
      </c>
      <c r="D6073" s="538" t="s">
        <v>393</v>
      </c>
      <c r="E6073" s="538" t="s">
        <v>438</v>
      </c>
      <c r="F6073" s="538">
        <v>3470356</v>
      </c>
      <c r="G6073" s="538">
        <v>32</v>
      </c>
    </row>
    <row r="6074" spans="1:7" x14ac:dyDescent="0.2">
      <c r="A6074" s="538">
        <v>7</v>
      </c>
      <c r="B6074" s="538" t="s">
        <v>6579</v>
      </c>
      <c r="C6074" s="538" t="s">
        <v>393</v>
      </c>
      <c r="D6074" s="538" t="s">
        <v>393</v>
      </c>
      <c r="E6074" s="538" t="s">
        <v>206</v>
      </c>
      <c r="F6074" s="538">
        <v>11328</v>
      </c>
      <c r="G6074" s="538">
        <v>1</v>
      </c>
    </row>
    <row r="6075" spans="1:7" x14ac:dyDescent="0.2">
      <c r="A6075" s="538">
        <v>11</v>
      </c>
      <c r="B6075" s="538" t="s">
        <v>6592</v>
      </c>
      <c r="C6075" s="538" t="s">
        <v>740</v>
      </c>
      <c r="D6075" s="538" t="s">
        <v>393</v>
      </c>
      <c r="E6075" s="538" t="s">
        <v>416</v>
      </c>
      <c r="F6075" s="538">
        <v>19750921</v>
      </c>
      <c r="G6075" s="538">
        <v>407</v>
      </c>
    </row>
    <row r="6076" spans="1:7" x14ac:dyDescent="0.2">
      <c r="A6076" s="538">
        <v>12</v>
      </c>
      <c r="B6076" s="538" t="s">
        <v>6569</v>
      </c>
      <c r="C6076" s="538" t="s">
        <v>740</v>
      </c>
      <c r="D6076" s="538" t="s">
        <v>740</v>
      </c>
      <c r="E6076" s="538" t="s">
        <v>438</v>
      </c>
      <c r="F6076" s="538">
        <v>1964544</v>
      </c>
      <c r="G6076" s="538">
        <v>18</v>
      </c>
    </row>
    <row r="6077" spans="1:7" x14ac:dyDescent="0.2">
      <c r="A6077" s="538">
        <v>2</v>
      </c>
      <c r="B6077" s="538" t="s">
        <v>6654</v>
      </c>
      <c r="C6077" s="538" t="s">
        <v>393</v>
      </c>
      <c r="D6077" s="538" t="s">
        <v>393</v>
      </c>
      <c r="E6077" s="538" t="s">
        <v>212</v>
      </c>
      <c r="F6077" s="538">
        <v>605340</v>
      </c>
      <c r="G6077" s="538">
        <v>50</v>
      </c>
    </row>
    <row r="6078" spans="1:7" x14ac:dyDescent="0.2">
      <c r="A6078" s="538">
        <v>3</v>
      </c>
      <c r="B6078" s="538" t="s">
        <v>6603</v>
      </c>
      <c r="C6078" s="538" t="s">
        <v>740</v>
      </c>
      <c r="D6078" s="538" t="s">
        <v>393</v>
      </c>
      <c r="E6078" s="538" t="s">
        <v>416</v>
      </c>
      <c r="F6078" s="538">
        <v>9600595</v>
      </c>
      <c r="G6078" s="538">
        <v>255</v>
      </c>
    </row>
    <row r="6079" spans="1:7" x14ac:dyDescent="0.2">
      <c r="A6079" s="538">
        <v>9</v>
      </c>
      <c r="B6079" s="538" t="s">
        <v>6615</v>
      </c>
      <c r="C6079" s="538" t="s">
        <v>740</v>
      </c>
      <c r="D6079" s="538" t="s">
        <v>740</v>
      </c>
      <c r="E6079" s="538" t="s">
        <v>860</v>
      </c>
      <c r="F6079" s="538">
        <v>387276</v>
      </c>
      <c r="G6079" s="538">
        <v>12</v>
      </c>
    </row>
    <row r="6080" spans="1:7" x14ac:dyDescent="0.2">
      <c r="A6080" s="538">
        <v>7</v>
      </c>
      <c r="B6080" s="538" t="s">
        <v>6588</v>
      </c>
      <c r="C6080" s="538" t="s">
        <v>740</v>
      </c>
      <c r="D6080" s="538" t="s">
        <v>740</v>
      </c>
      <c r="E6080" s="538" t="s">
        <v>230</v>
      </c>
      <c r="F6080" s="538">
        <v>4373285</v>
      </c>
      <c r="G6080" s="538">
        <v>80</v>
      </c>
    </row>
    <row r="6081" spans="1:7" x14ac:dyDescent="0.2">
      <c r="A6081" s="538">
        <v>3</v>
      </c>
      <c r="B6081" s="538" t="s">
        <v>1390</v>
      </c>
      <c r="C6081" s="538" t="s">
        <v>740</v>
      </c>
      <c r="D6081" s="538" t="s">
        <v>393</v>
      </c>
      <c r="E6081" s="538" t="s">
        <v>313</v>
      </c>
      <c r="F6081" s="538">
        <v>2590416</v>
      </c>
      <c r="G6081" s="538">
        <v>22</v>
      </c>
    </row>
    <row r="6082" spans="1:7" x14ac:dyDescent="0.2">
      <c r="A6082" s="538">
        <v>9</v>
      </c>
      <c r="B6082" s="538" t="s">
        <v>6615</v>
      </c>
      <c r="C6082" s="538" t="s">
        <v>740</v>
      </c>
      <c r="D6082" s="538" t="s">
        <v>393</v>
      </c>
      <c r="E6082" s="538" t="s">
        <v>211</v>
      </c>
      <c r="F6082" s="538">
        <v>847247</v>
      </c>
      <c r="G6082" s="538">
        <v>14</v>
      </c>
    </row>
    <row r="6083" spans="1:7" x14ac:dyDescent="0.2">
      <c r="A6083" s="538">
        <v>10</v>
      </c>
      <c r="B6083" s="538" t="s">
        <v>6597</v>
      </c>
      <c r="C6083" s="538" t="s">
        <v>393</v>
      </c>
      <c r="D6083" s="538" t="s">
        <v>393</v>
      </c>
      <c r="E6083" s="538" t="s">
        <v>402</v>
      </c>
      <c r="F6083" s="538">
        <v>7273295</v>
      </c>
      <c r="G6083" s="538">
        <v>115</v>
      </c>
    </row>
    <row r="6084" spans="1:7" x14ac:dyDescent="0.2">
      <c r="A6084" s="538">
        <v>3</v>
      </c>
      <c r="B6084" s="538" t="s">
        <v>6605</v>
      </c>
      <c r="C6084" s="538" t="s">
        <v>393</v>
      </c>
      <c r="D6084" s="538" t="s">
        <v>740</v>
      </c>
      <c r="E6084" s="538" t="s">
        <v>211</v>
      </c>
      <c r="F6084" s="538">
        <v>496433</v>
      </c>
      <c r="G6084" s="538">
        <v>1</v>
      </c>
    </row>
    <row r="6085" spans="1:7" x14ac:dyDescent="0.2">
      <c r="A6085" s="538">
        <v>12</v>
      </c>
      <c r="B6085" s="538" t="s">
        <v>6563</v>
      </c>
      <c r="C6085" s="538" t="s">
        <v>393</v>
      </c>
      <c r="D6085" s="538" t="s">
        <v>393</v>
      </c>
      <c r="E6085" s="538" t="s">
        <v>402</v>
      </c>
      <c r="F6085" s="538">
        <v>790784</v>
      </c>
      <c r="G6085" s="538">
        <v>18</v>
      </c>
    </row>
    <row r="6086" spans="1:7" x14ac:dyDescent="0.2">
      <c r="A6086" s="538">
        <v>6</v>
      </c>
      <c r="B6086" s="538" t="s">
        <v>1668</v>
      </c>
      <c r="C6086" s="538" t="s">
        <v>740</v>
      </c>
      <c r="D6086" s="538" t="s">
        <v>740</v>
      </c>
      <c r="E6086" s="538" t="s">
        <v>202</v>
      </c>
      <c r="F6086" s="538">
        <v>581924</v>
      </c>
      <c r="G6086" s="538">
        <v>3</v>
      </c>
    </row>
    <row r="6087" spans="1:7" x14ac:dyDescent="0.2">
      <c r="A6087" s="538">
        <v>4</v>
      </c>
      <c r="B6087" s="538" t="s">
        <v>6593</v>
      </c>
      <c r="C6087" s="538" t="s">
        <v>393</v>
      </c>
      <c r="D6087" s="538" t="s">
        <v>393</v>
      </c>
      <c r="E6087" s="538" t="s">
        <v>401</v>
      </c>
      <c r="F6087" s="538">
        <v>101952</v>
      </c>
      <c r="G6087" s="538">
        <v>9</v>
      </c>
    </row>
    <row r="6088" spans="1:7" x14ac:dyDescent="0.2">
      <c r="A6088" s="538">
        <v>11</v>
      </c>
      <c r="B6088" s="538" t="s">
        <v>6612</v>
      </c>
      <c r="C6088" s="538" t="s">
        <v>740</v>
      </c>
      <c r="D6088" s="538" t="s">
        <v>740</v>
      </c>
      <c r="E6088" s="538" t="s">
        <v>210</v>
      </c>
      <c r="F6088" s="538">
        <v>227622</v>
      </c>
      <c r="G6088" s="538">
        <v>9</v>
      </c>
    </row>
    <row r="6089" spans="1:7" x14ac:dyDescent="0.2">
      <c r="A6089" s="538">
        <v>3</v>
      </c>
      <c r="B6089" s="538" t="s">
        <v>6605</v>
      </c>
      <c r="C6089" s="538" t="s">
        <v>393</v>
      </c>
      <c r="D6089" s="538" t="s">
        <v>393</v>
      </c>
      <c r="E6089" s="538" t="s">
        <v>419</v>
      </c>
      <c r="F6089" s="538">
        <v>11328</v>
      </c>
      <c r="G6089" s="538">
        <v>1</v>
      </c>
    </row>
    <row r="6090" spans="1:7" x14ac:dyDescent="0.2">
      <c r="A6090" s="538">
        <v>2</v>
      </c>
      <c r="B6090" s="538" t="s">
        <v>6573</v>
      </c>
      <c r="C6090" s="538" t="s">
        <v>740</v>
      </c>
      <c r="D6090" s="538" t="s">
        <v>393</v>
      </c>
      <c r="E6090" s="538" t="s">
        <v>438</v>
      </c>
      <c r="F6090" s="538">
        <v>1493297</v>
      </c>
      <c r="G6090" s="538">
        <v>24</v>
      </c>
    </row>
    <row r="6091" spans="1:7" x14ac:dyDescent="0.2">
      <c r="A6091" s="538">
        <v>2</v>
      </c>
      <c r="B6091" s="538" t="s">
        <v>6656</v>
      </c>
      <c r="C6091" s="538" t="s">
        <v>393</v>
      </c>
      <c r="D6091" s="538" t="s">
        <v>393</v>
      </c>
      <c r="E6091" s="538" t="s">
        <v>860</v>
      </c>
      <c r="F6091" s="538">
        <v>939339</v>
      </c>
      <c r="G6091" s="538">
        <v>38</v>
      </c>
    </row>
    <row r="6092" spans="1:7" x14ac:dyDescent="0.2">
      <c r="A6092" s="538">
        <v>1</v>
      </c>
      <c r="B6092" s="538" t="s">
        <v>6646</v>
      </c>
      <c r="C6092" s="538" t="s">
        <v>393</v>
      </c>
      <c r="D6092" s="538" t="s">
        <v>393</v>
      </c>
      <c r="E6092" s="538" t="s">
        <v>313</v>
      </c>
      <c r="F6092" s="538">
        <v>570596</v>
      </c>
      <c r="G6092" s="538">
        <v>2</v>
      </c>
    </row>
    <row r="6093" spans="1:7" x14ac:dyDescent="0.2">
      <c r="A6093" s="538">
        <v>4</v>
      </c>
      <c r="B6093" s="538" t="s">
        <v>6559</v>
      </c>
      <c r="C6093" s="538" t="s">
        <v>740</v>
      </c>
      <c r="D6093" s="538" t="s">
        <v>393</v>
      </c>
      <c r="E6093" s="538" t="s">
        <v>860</v>
      </c>
      <c r="F6093" s="538">
        <v>735789</v>
      </c>
      <c r="G6093" s="538">
        <v>38</v>
      </c>
    </row>
    <row r="6094" spans="1:7" x14ac:dyDescent="0.2">
      <c r="A6094" s="538">
        <v>9</v>
      </c>
      <c r="B6094" s="538" t="s">
        <v>6645</v>
      </c>
      <c r="C6094" s="538" t="s">
        <v>740</v>
      </c>
      <c r="D6094" s="538" t="s">
        <v>393</v>
      </c>
      <c r="E6094" s="538" t="s">
        <v>401</v>
      </c>
      <c r="F6094" s="538">
        <v>33984</v>
      </c>
      <c r="G6094" s="538">
        <v>3</v>
      </c>
    </row>
    <row r="6095" spans="1:7" x14ac:dyDescent="0.2">
      <c r="A6095" s="538">
        <v>7</v>
      </c>
      <c r="B6095" s="538" t="s">
        <v>6579</v>
      </c>
      <c r="C6095" s="538" t="s">
        <v>393</v>
      </c>
      <c r="D6095" s="538" t="s">
        <v>740</v>
      </c>
      <c r="E6095" s="538" t="s">
        <v>860</v>
      </c>
      <c r="F6095" s="538">
        <v>106908</v>
      </c>
      <c r="G6095" s="538">
        <v>6</v>
      </c>
    </row>
    <row r="6096" spans="1:7" x14ac:dyDescent="0.2">
      <c r="A6096" s="538">
        <v>8</v>
      </c>
      <c r="B6096" s="538" t="s">
        <v>6577</v>
      </c>
      <c r="C6096" s="538" t="s">
        <v>740</v>
      </c>
      <c r="D6096" s="538" t="s">
        <v>740</v>
      </c>
      <c r="E6096" s="538" t="s">
        <v>313</v>
      </c>
      <c r="F6096" s="538">
        <v>644759</v>
      </c>
      <c r="G6096" s="538">
        <v>3</v>
      </c>
    </row>
    <row r="6097" spans="1:7" x14ac:dyDescent="0.2">
      <c r="A6097" s="538">
        <v>5</v>
      </c>
      <c r="B6097" s="538" t="s">
        <v>6589</v>
      </c>
      <c r="C6097" s="538" t="s">
        <v>393</v>
      </c>
      <c r="D6097" s="538" t="s">
        <v>393</v>
      </c>
      <c r="E6097" s="538" t="s">
        <v>401</v>
      </c>
      <c r="F6097" s="538">
        <v>187443</v>
      </c>
      <c r="G6097" s="538">
        <v>11</v>
      </c>
    </row>
    <row r="6098" spans="1:7" x14ac:dyDescent="0.2">
      <c r="A6098" s="538">
        <v>3</v>
      </c>
      <c r="B6098" s="538" t="s">
        <v>1390</v>
      </c>
      <c r="C6098" s="538" t="s">
        <v>393</v>
      </c>
      <c r="D6098" s="538" t="s">
        <v>393</v>
      </c>
      <c r="E6098" s="538" t="s">
        <v>416</v>
      </c>
      <c r="F6098" s="538">
        <v>76836037</v>
      </c>
      <c r="G6098" s="538">
        <v>1489</v>
      </c>
    </row>
    <row r="6099" spans="1:7" x14ac:dyDescent="0.2">
      <c r="A6099" s="538">
        <v>2</v>
      </c>
      <c r="B6099" s="538" t="s">
        <v>6585</v>
      </c>
      <c r="C6099" s="538" t="s">
        <v>740</v>
      </c>
      <c r="D6099" s="538" t="s">
        <v>393</v>
      </c>
      <c r="E6099" s="538" t="s">
        <v>416</v>
      </c>
      <c r="F6099" s="538">
        <v>8975889</v>
      </c>
      <c r="G6099" s="538">
        <v>258</v>
      </c>
    </row>
    <row r="6100" spans="1:7" x14ac:dyDescent="0.2">
      <c r="A6100" s="538">
        <v>8</v>
      </c>
      <c r="B6100" s="538" t="s">
        <v>6570</v>
      </c>
      <c r="C6100" s="538" t="s">
        <v>740</v>
      </c>
      <c r="D6100" s="538" t="s">
        <v>740</v>
      </c>
      <c r="E6100" s="538" t="s">
        <v>402</v>
      </c>
      <c r="F6100" s="538">
        <v>2604097</v>
      </c>
      <c r="G6100" s="538">
        <v>89</v>
      </c>
    </row>
    <row r="6101" spans="1:7" x14ac:dyDescent="0.2">
      <c r="A6101" s="538">
        <v>7</v>
      </c>
      <c r="B6101" s="538" t="s">
        <v>6588</v>
      </c>
      <c r="C6101" s="538" t="s">
        <v>740</v>
      </c>
      <c r="D6101" s="538" t="s">
        <v>740</v>
      </c>
      <c r="E6101" s="538" t="s">
        <v>212</v>
      </c>
      <c r="F6101" s="538">
        <v>33984</v>
      </c>
      <c r="G6101" s="538">
        <v>3</v>
      </c>
    </row>
    <row r="6102" spans="1:7" x14ac:dyDescent="0.2">
      <c r="A6102" s="538">
        <v>2</v>
      </c>
      <c r="B6102" s="538" t="s">
        <v>6656</v>
      </c>
      <c r="C6102" s="538" t="s">
        <v>740</v>
      </c>
      <c r="D6102" s="538" t="s">
        <v>393</v>
      </c>
      <c r="E6102" s="538" t="s">
        <v>206</v>
      </c>
      <c r="F6102" s="538">
        <v>496433</v>
      </c>
      <c r="G6102" s="538">
        <v>1</v>
      </c>
    </row>
    <row r="6103" spans="1:7" x14ac:dyDescent="0.2">
      <c r="A6103" s="538">
        <v>2</v>
      </c>
      <c r="B6103" s="538" t="s">
        <v>6656</v>
      </c>
      <c r="C6103" s="538" t="s">
        <v>740</v>
      </c>
      <c r="D6103" s="538" t="s">
        <v>393</v>
      </c>
      <c r="E6103" s="538" t="s">
        <v>438</v>
      </c>
      <c r="F6103" s="538">
        <v>727772</v>
      </c>
      <c r="G6103" s="538">
        <v>9</v>
      </c>
    </row>
    <row r="6104" spans="1:7" x14ac:dyDescent="0.2">
      <c r="A6104" s="538">
        <v>5</v>
      </c>
      <c r="B6104" s="538" t="s">
        <v>6568</v>
      </c>
      <c r="C6104" s="538" t="s">
        <v>740</v>
      </c>
      <c r="D6104" s="538" t="s">
        <v>393</v>
      </c>
      <c r="E6104" s="538" t="s">
        <v>313</v>
      </c>
      <c r="F6104" s="538">
        <v>10479515</v>
      </c>
      <c r="G6104" s="538">
        <v>55</v>
      </c>
    </row>
    <row r="6105" spans="1:7" x14ac:dyDescent="0.2">
      <c r="A6105" s="538">
        <v>2</v>
      </c>
      <c r="B6105" s="538" t="s">
        <v>6654</v>
      </c>
      <c r="C6105" s="538" t="s">
        <v>740</v>
      </c>
      <c r="D6105" s="538" t="s">
        <v>393</v>
      </c>
      <c r="E6105" s="538" t="s">
        <v>449</v>
      </c>
      <c r="F6105" s="538">
        <v>22656</v>
      </c>
      <c r="G6105" s="538">
        <v>2</v>
      </c>
    </row>
    <row r="6106" spans="1:7" x14ac:dyDescent="0.2">
      <c r="A6106" s="538">
        <v>3</v>
      </c>
      <c r="B6106" s="538" t="s">
        <v>6647</v>
      </c>
      <c r="C6106" s="538" t="s">
        <v>740</v>
      </c>
      <c r="D6106" s="538" t="s">
        <v>393</v>
      </c>
      <c r="E6106" s="538" t="s">
        <v>209</v>
      </c>
      <c r="F6106" s="538">
        <v>296652</v>
      </c>
      <c r="G6106" s="538">
        <v>4</v>
      </c>
    </row>
    <row r="6107" spans="1:7" x14ac:dyDescent="0.2">
      <c r="A6107" s="538">
        <v>4</v>
      </c>
      <c r="B6107" s="538" t="s">
        <v>6572</v>
      </c>
      <c r="C6107" s="538" t="s">
        <v>393</v>
      </c>
      <c r="D6107" s="538" t="s">
        <v>740</v>
      </c>
      <c r="E6107" s="538" t="s">
        <v>416</v>
      </c>
      <c r="F6107" s="538">
        <v>16474161</v>
      </c>
      <c r="G6107" s="538">
        <v>522</v>
      </c>
    </row>
    <row r="6108" spans="1:7" x14ac:dyDescent="0.2">
      <c r="A6108" s="538">
        <v>4</v>
      </c>
      <c r="B6108" s="538" t="s">
        <v>6572</v>
      </c>
      <c r="C6108" s="538" t="s">
        <v>740</v>
      </c>
      <c r="D6108" s="538" t="s">
        <v>393</v>
      </c>
      <c r="E6108" s="538" t="s">
        <v>230</v>
      </c>
      <c r="F6108" s="538">
        <v>66831611</v>
      </c>
      <c r="G6108" s="538">
        <v>1442</v>
      </c>
    </row>
    <row r="6109" spans="1:7" x14ac:dyDescent="0.2">
      <c r="A6109" s="538">
        <v>1</v>
      </c>
      <c r="B6109" s="538" t="s">
        <v>6646</v>
      </c>
      <c r="C6109" s="538" t="s">
        <v>393</v>
      </c>
      <c r="D6109" s="538" t="s">
        <v>393</v>
      </c>
      <c r="E6109" s="538" t="s">
        <v>202</v>
      </c>
      <c r="F6109" s="538">
        <v>3627355</v>
      </c>
      <c r="G6109" s="538">
        <v>30</v>
      </c>
    </row>
    <row r="6110" spans="1:7" x14ac:dyDescent="0.2">
      <c r="A6110" s="538">
        <v>6</v>
      </c>
      <c r="B6110" s="538" t="s">
        <v>6433</v>
      </c>
      <c r="C6110" s="538" t="s">
        <v>740</v>
      </c>
      <c r="D6110" s="538" t="s">
        <v>393</v>
      </c>
      <c r="E6110" s="538" t="s">
        <v>202</v>
      </c>
      <c r="F6110" s="538">
        <v>11328</v>
      </c>
      <c r="G6110" s="538">
        <v>1</v>
      </c>
    </row>
    <row r="6111" spans="1:7" x14ac:dyDescent="0.2">
      <c r="A6111" s="538">
        <v>5</v>
      </c>
      <c r="B6111" s="538" t="s">
        <v>6599</v>
      </c>
      <c r="C6111" s="538" t="s">
        <v>393</v>
      </c>
      <c r="D6111" s="538" t="s">
        <v>740</v>
      </c>
      <c r="E6111" s="538" t="s">
        <v>402</v>
      </c>
      <c r="F6111" s="538">
        <v>4248979</v>
      </c>
      <c r="G6111" s="538">
        <v>73</v>
      </c>
    </row>
    <row r="6112" spans="1:7" x14ac:dyDescent="0.2">
      <c r="A6112" s="538">
        <v>9</v>
      </c>
      <c r="B6112" s="538" t="s">
        <v>6606</v>
      </c>
      <c r="C6112" s="538" t="s">
        <v>740</v>
      </c>
      <c r="D6112" s="538" t="s">
        <v>393</v>
      </c>
      <c r="E6112" s="538" t="s">
        <v>207</v>
      </c>
      <c r="F6112" s="538">
        <v>1259355</v>
      </c>
      <c r="G6112" s="538">
        <v>80</v>
      </c>
    </row>
    <row r="6113" spans="1:7" x14ac:dyDescent="0.2">
      <c r="A6113" s="538">
        <v>3</v>
      </c>
      <c r="B6113" s="538" t="s">
        <v>6586</v>
      </c>
      <c r="C6113" s="538" t="s">
        <v>740</v>
      </c>
      <c r="D6113" s="538" t="s">
        <v>393</v>
      </c>
      <c r="E6113" s="538" t="s">
        <v>402</v>
      </c>
      <c r="F6113" s="538">
        <v>30998042</v>
      </c>
      <c r="G6113" s="538">
        <v>1389</v>
      </c>
    </row>
    <row r="6114" spans="1:7" x14ac:dyDescent="0.2">
      <c r="A6114" s="538">
        <v>6</v>
      </c>
      <c r="B6114" s="538" t="s">
        <v>6565</v>
      </c>
      <c r="C6114" s="538" t="s">
        <v>740</v>
      </c>
      <c r="D6114" s="538" t="s">
        <v>393</v>
      </c>
      <c r="E6114" s="538" t="s">
        <v>209</v>
      </c>
      <c r="F6114" s="538">
        <v>2605409</v>
      </c>
      <c r="G6114" s="538">
        <v>13</v>
      </c>
    </row>
    <row r="6115" spans="1:7" x14ac:dyDescent="0.2">
      <c r="A6115" s="538">
        <v>8</v>
      </c>
      <c r="B6115" s="538" t="s">
        <v>6648</v>
      </c>
      <c r="C6115" s="538" t="s">
        <v>740</v>
      </c>
      <c r="D6115" s="538" t="s">
        <v>393</v>
      </c>
      <c r="E6115" s="538" t="s">
        <v>390</v>
      </c>
      <c r="F6115" s="538">
        <v>106908</v>
      </c>
      <c r="G6115" s="538">
        <v>6</v>
      </c>
    </row>
    <row r="6116" spans="1:7" x14ac:dyDescent="0.2">
      <c r="A6116" s="538">
        <v>11</v>
      </c>
      <c r="B6116" s="538" t="s">
        <v>6610</v>
      </c>
      <c r="C6116" s="538" t="s">
        <v>740</v>
      </c>
      <c r="D6116" s="538" t="s">
        <v>393</v>
      </c>
      <c r="E6116" s="538" t="s">
        <v>409</v>
      </c>
      <c r="F6116" s="538">
        <v>1831846</v>
      </c>
      <c r="G6116" s="538">
        <v>47</v>
      </c>
    </row>
    <row r="6117" spans="1:7" x14ac:dyDescent="0.2">
      <c r="A6117" s="538">
        <v>10</v>
      </c>
      <c r="B6117" s="538" t="s">
        <v>6587</v>
      </c>
      <c r="C6117" s="538" t="s">
        <v>740</v>
      </c>
      <c r="D6117" s="538" t="s">
        <v>740</v>
      </c>
      <c r="E6117" s="538" t="s">
        <v>401</v>
      </c>
      <c r="F6117" s="538">
        <v>33984</v>
      </c>
      <c r="G6117" s="538">
        <v>3</v>
      </c>
    </row>
    <row r="6118" spans="1:7" x14ac:dyDescent="0.2">
      <c r="A6118" s="538">
        <v>3</v>
      </c>
      <c r="B6118" s="538" t="s">
        <v>6586</v>
      </c>
      <c r="C6118" s="538" t="s">
        <v>393</v>
      </c>
      <c r="D6118" s="538" t="s">
        <v>393</v>
      </c>
      <c r="E6118" s="538" t="s">
        <v>438</v>
      </c>
      <c r="F6118" s="538">
        <v>13457353</v>
      </c>
      <c r="G6118" s="538">
        <v>86</v>
      </c>
    </row>
    <row r="6119" spans="1:7" x14ac:dyDescent="0.2">
      <c r="A6119" s="538">
        <v>8</v>
      </c>
      <c r="B6119" s="538" t="s">
        <v>6577</v>
      </c>
      <c r="C6119" s="538" t="s">
        <v>740</v>
      </c>
      <c r="D6119" s="538" t="s">
        <v>393</v>
      </c>
      <c r="E6119" s="538" t="s">
        <v>207</v>
      </c>
      <c r="F6119" s="538">
        <v>803351</v>
      </c>
      <c r="G6119" s="538">
        <v>17</v>
      </c>
    </row>
    <row r="6120" spans="1:7" x14ac:dyDescent="0.2">
      <c r="A6120" s="538">
        <v>11</v>
      </c>
      <c r="B6120" s="538" t="s">
        <v>6659</v>
      </c>
      <c r="C6120" s="538" t="s">
        <v>393</v>
      </c>
      <c r="D6120" s="538" t="s">
        <v>393</v>
      </c>
      <c r="E6120" s="538" t="s">
        <v>210</v>
      </c>
      <c r="F6120" s="538">
        <v>1669537</v>
      </c>
      <c r="G6120" s="538">
        <v>34</v>
      </c>
    </row>
    <row r="6121" spans="1:7" x14ac:dyDescent="0.2">
      <c r="A6121" s="538">
        <v>10</v>
      </c>
      <c r="B6121" s="538" t="s">
        <v>6587</v>
      </c>
      <c r="C6121" s="538" t="s">
        <v>740</v>
      </c>
      <c r="D6121" s="538" t="s">
        <v>393</v>
      </c>
      <c r="E6121" s="538" t="s">
        <v>860</v>
      </c>
      <c r="F6121" s="538">
        <v>72924</v>
      </c>
      <c r="G6121" s="538">
        <v>3</v>
      </c>
    </row>
    <row r="6122" spans="1:7" x14ac:dyDescent="0.2">
      <c r="A6122" s="538">
        <v>7</v>
      </c>
      <c r="B6122" s="538" t="s">
        <v>6571</v>
      </c>
      <c r="C6122" s="538" t="s">
        <v>393</v>
      </c>
      <c r="D6122" s="538" t="s">
        <v>393</v>
      </c>
      <c r="E6122" s="538" t="s">
        <v>416</v>
      </c>
      <c r="F6122" s="538">
        <v>52932551</v>
      </c>
      <c r="G6122" s="538">
        <v>1037</v>
      </c>
    </row>
    <row r="6123" spans="1:7" x14ac:dyDescent="0.2">
      <c r="A6123" s="538">
        <v>3</v>
      </c>
      <c r="B6123" s="538" t="s">
        <v>1390</v>
      </c>
      <c r="C6123" s="538" t="s">
        <v>740</v>
      </c>
      <c r="D6123" s="538" t="s">
        <v>740</v>
      </c>
      <c r="E6123" s="538" t="s">
        <v>449</v>
      </c>
      <c r="F6123" s="538">
        <v>142131</v>
      </c>
      <c r="G6123" s="538">
        <v>7</v>
      </c>
    </row>
    <row r="6124" spans="1:7" x14ac:dyDescent="0.2">
      <c r="A6124" s="538">
        <v>6</v>
      </c>
      <c r="B6124" s="538" t="s">
        <v>1668</v>
      </c>
      <c r="C6124" s="538" t="s">
        <v>393</v>
      </c>
      <c r="D6124" s="538" t="s">
        <v>740</v>
      </c>
      <c r="E6124" s="538" t="s">
        <v>438</v>
      </c>
      <c r="F6124" s="538">
        <v>74163</v>
      </c>
      <c r="G6124" s="538">
        <v>1</v>
      </c>
    </row>
    <row r="6125" spans="1:7" x14ac:dyDescent="0.2">
      <c r="A6125" s="538">
        <v>10</v>
      </c>
      <c r="B6125" s="538" t="s">
        <v>6597</v>
      </c>
      <c r="C6125" s="538" t="s">
        <v>740</v>
      </c>
      <c r="D6125" s="538" t="s">
        <v>740</v>
      </c>
      <c r="E6125" s="538" t="s">
        <v>409</v>
      </c>
      <c r="F6125" s="538">
        <v>45312</v>
      </c>
      <c r="G6125" s="538">
        <v>4</v>
      </c>
    </row>
    <row r="6126" spans="1:7" x14ac:dyDescent="0.2">
      <c r="A6126" s="538">
        <v>10</v>
      </c>
      <c r="B6126" s="538" t="s">
        <v>6582</v>
      </c>
      <c r="C6126" s="538" t="s">
        <v>740</v>
      </c>
      <c r="D6126" s="538" t="s">
        <v>393</v>
      </c>
      <c r="E6126" s="538" t="s">
        <v>210</v>
      </c>
      <c r="F6126" s="538">
        <v>61596</v>
      </c>
      <c r="G6126" s="538">
        <v>2</v>
      </c>
    </row>
    <row r="6127" spans="1:7" x14ac:dyDescent="0.2">
      <c r="A6127" s="538">
        <v>10</v>
      </c>
      <c r="B6127" s="538" t="s">
        <v>6664</v>
      </c>
      <c r="C6127" s="538" t="s">
        <v>393</v>
      </c>
      <c r="D6127" s="538" t="s">
        <v>393</v>
      </c>
      <c r="E6127" s="538" t="s">
        <v>860</v>
      </c>
      <c r="F6127" s="538">
        <v>130803</v>
      </c>
      <c r="G6127" s="538">
        <v>6</v>
      </c>
    </row>
    <row r="6128" spans="1:7" x14ac:dyDescent="0.2">
      <c r="A6128" s="538">
        <v>1</v>
      </c>
      <c r="B6128" s="538" t="s">
        <v>6581</v>
      </c>
      <c r="C6128" s="538" t="s">
        <v>740</v>
      </c>
      <c r="D6128" s="538" t="s">
        <v>393</v>
      </c>
      <c r="E6128" s="538" t="s">
        <v>230</v>
      </c>
      <c r="F6128" s="538">
        <v>145848</v>
      </c>
      <c r="G6128" s="538">
        <v>6</v>
      </c>
    </row>
    <row r="6129" spans="1:7" x14ac:dyDescent="0.2">
      <c r="A6129" s="538">
        <v>4</v>
      </c>
      <c r="B6129" s="538" t="s">
        <v>6562</v>
      </c>
      <c r="C6129" s="538" t="s">
        <v>740</v>
      </c>
      <c r="D6129" s="538" t="s">
        <v>740</v>
      </c>
      <c r="E6129" s="538" t="s">
        <v>438</v>
      </c>
      <c r="F6129" s="538">
        <v>33984</v>
      </c>
      <c r="G6129" s="538">
        <v>3</v>
      </c>
    </row>
    <row r="6130" spans="1:7" x14ac:dyDescent="0.2">
      <c r="A6130" s="538">
        <v>4</v>
      </c>
      <c r="B6130" s="538" t="s">
        <v>6559</v>
      </c>
      <c r="C6130" s="538" t="s">
        <v>740</v>
      </c>
      <c r="D6130" s="538" t="s">
        <v>393</v>
      </c>
      <c r="E6130" s="538" t="s">
        <v>211</v>
      </c>
      <c r="F6130" s="538">
        <v>325257742</v>
      </c>
      <c r="G6130" s="538">
        <v>8544</v>
      </c>
    </row>
    <row r="6131" spans="1:7" x14ac:dyDescent="0.2">
      <c r="A6131" s="538">
        <v>5</v>
      </c>
      <c r="B6131" s="538" t="s">
        <v>6599</v>
      </c>
      <c r="C6131" s="538" t="s">
        <v>740</v>
      </c>
      <c r="D6131" s="538" t="s">
        <v>393</v>
      </c>
      <c r="E6131" s="538" t="s">
        <v>390</v>
      </c>
      <c r="F6131" s="538">
        <v>869070</v>
      </c>
      <c r="G6131" s="538">
        <v>45</v>
      </c>
    </row>
    <row r="6132" spans="1:7" x14ac:dyDescent="0.2">
      <c r="A6132" s="538">
        <v>12</v>
      </c>
      <c r="B6132" s="538" t="s">
        <v>6569</v>
      </c>
      <c r="C6132" s="538" t="s">
        <v>740</v>
      </c>
      <c r="D6132" s="538" t="s">
        <v>740</v>
      </c>
      <c r="E6132" s="538" t="s">
        <v>402</v>
      </c>
      <c r="F6132" s="538">
        <v>26137664</v>
      </c>
      <c r="G6132" s="538">
        <v>873</v>
      </c>
    </row>
    <row r="6133" spans="1:7" x14ac:dyDescent="0.2">
      <c r="A6133" s="538">
        <v>4</v>
      </c>
      <c r="B6133" s="538" t="s">
        <v>6572</v>
      </c>
      <c r="C6133" s="538" t="s">
        <v>740</v>
      </c>
      <c r="D6133" s="538" t="s">
        <v>393</v>
      </c>
      <c r="E6133" s="538" t="s">
        <v>211</v>
      </c>
      <c r="F6133" s="538">
        <v>881231</v>
      </c>
      <c r="G6133" s="538">
        <v>17</v>
      </c>
    </row>
    <row r="6134" spans="1:7" x14ac:dyDescent="0.2">
      <c r="A6134" s="538">
        <v>10</v>
      </c>
      <c r="B6134" s="538" t="s">
        <v>6582</v>
      </c>
      <c r="C6134" s="538" t="s">
        <v>740</v>
      </c>
      <c r="D6134" s="538" t="s">
        <v>740</v>
      </c>
      <c r="E6134" s="538" t="s">
        <v>207</v>
      </c>
      <c r="F6134" s="538">
        <v>1833845</v>
      </c>
      <c r="G6134" s="538">
        <v>90</v>
      </c>
    </row>
    <row r="6135" spans="1:7" x14ac:dyDescent="0.2">
      <c r="A6135" s="538">
        <v>3</v>
      </c>
      <c r="B6135" s="538" t="s">
        <v>6603</v>
      </c>
      <c r="C6135" s="538" t="s">
        <v>740</v>
      </c>
      <c r="D6135" s="538" t="s">
        <v>393</v>
      </c>
      <c r="E6135" s="538" t="s">
        <v>390</v>
      </c>
      <c r="F6135" s="538">
        <v>10589577</v>
      </c>
      <c r="G6135" s="538">
        <v>429</v>
      </c>
    </row>
    <row r="6136" spans="1:7" x14ac:dyDescent="0.2">
      <c r="A6136" s="538">
        <v>7</v>
      </c>
      <c r="B6136" s="538" t="s">
        <v>6604</v>
      </c>
      <c r="C6136" s="538" t="s">
        <v>393</v>
      </c>
      <c r="D6136" s="538" t="s">
        <v>393</v>
      </c>
      <c r="E6136" s="538" t="s">
        <v>313</v>
      </c>
      <c r="F6136" s="538">
        <v>74163</v>
      </c>
      <c r="G6136" s="538">
        <v>1</v>
      </c>
    </row>
    <row r="6137" spans="1:7" x14ac:dyDescent="0.2">
      <c r="A6137" s="538">
        <v>11</v>
      </c>
      <c r="B6137" s="538" t="s">
        <v>6610</v>
      </c>
      <c r="C6137" s="538" t="s">
        <v>740</v>
      </c>
      <c r="D6137" s="538" t="s">
        <v>393</v>
      </c>
      <c r="E6137" s="538" t="s">
        <v>209</v>
      </c>
      <c r="F6137" s="538">
        <v>74163</v>
      </c>
      <c r="G6137" s="538">
        <v>1</v>
      </c>
    </row>
    <row r="6138" spans="1:7" x14ac:dyDescent="0.2">
      <c r="A6138" s="538">
        <v>10</v>
      </c>
      <c r="B6138" s="538" t="s">
        <v>6600</v>
      </c>
      <c r="C6138" s="538" t="s">
        <v>393</v>
      </c>
      <c r="D6138" s="538" t="s">
        <v>393</v>
      </c>
      <c r="E6138" s="538" t="s">
        <v>402</v>
      </c>
      <c r="F6138" s="538">
        <v>1724938</v>
      </c>
      <c r="G6138" s="538">
        <v>41</v>
      </c>
    </row>
    <row r="6139" spans="1:7" x14ac:dyDescent="0.2">
      <c r="A6139" s="538">
        <v>5</v>
      </c>
      <c r="B6139" s="538" t="s">
        <v>6650</v>
      </c>
      <c r="C6139" s="538" t="s">
        <v>740</v>
      </c>
      <c r="D6139" s="538" t="s">
        <v>393</v>
      </c>
      <c r="E6139" s="538" t="s">
        <v>416</v>
      </c>
      <c r="F6139" s="538">
        <v>72924</v>
      </c>
      <c r="G6139" s="538">
        <v>3</v>
      </c>
    </row>
    <row r="6140" spans="1:7" x14ac:dyDescent="0.2">
      <c r="A6140" s="538">
        <v>11</v>
      </c>
      <c r="B6140" s="538" t="s">
        <v>6584</v>
      </c>
      <c r="C6140" s="538" t="s">
        <v>740</v>
      </c>
      <c r="D6140" s="538" t="s">
        <v>393</v>
      </c>
      <c r="E6140" s="538" t="s">
        <v>390</v>
      </c>
      <c r="F6140" s="538">
        <v>5388713</v>
      </c>
      <c r="G6140" s="538">
        <v>231</v>
      </c>
    </row>
    <row r="6141" spans="1:7" x14ac:dyDescent="0.2">
      <c r="A6141" s="538">
        <v>7</v>
      </c>
      <c r="B6141" s="538" t="s">
        <v>6564</v>
      </c>
      <c r="C6141" s="538" t="s">
        <v>393</v>
      </c>
      <c r="D6141" s="538" t="s">
        <v>740</v>
      </c>
      <c r="E6141" s="538" t="s">
        <v>409</v>
      </c>
      <c r="F6141" s="538">
        <v>11328</v>
      </c>
      <c r="G6141" s="538">
        <v>1</v>
      </c>
    </row>
    <row r="6142" spans="1:7" x14ac:dyDescent="0.2">
      <c r="A6142" s="538">
        <v>5</v>
      </c>
      <c r="B6142" s="538" t="s">
        <v>6568</v>
      </c>
      <c r="C6142" s="538" t="s">
        <v>740</v>
      </c>
      <c r="D6142" s="538" t="s">
        <v>393</v>
      </c>
      <c r="E6142" s="538" t="s">
        <v>230</v>
      </c>
      <c r="F6142" s="538">
        <v>10269582</v>
      </c>
      <c r="G6142" s="538">
        <v>234</v>
      </c>
    </row>
    <row r="6143" spans="1:7" x14ac:dyDescent="0.2">
      <c r="A6143" s="538">
        <v>4</v>
      </c>
      <c r="B6143" s="538" t="s">
        <v>6574</v>
      </c>
      <c r="C6143" s="538" t="s">
        <v>393</v>
      </c>
      <c r="D6143" s="538" t="s">
        <v>393</v>
      </c>
      <c r="E6143" s="538" t="s">
        <v>207</v>
      </c>
      <c r="F6143" s="538">
        <v>17356027</v>
      </c>
      <c r="G6143" s="538">
        <v>984</v>
      </c>
    </row>
    <row r="6144" spans="1:7" x14ac:dyDescent="0.2">
      <c r="A6144" s="538">
        <v>3</v>
      </c>
      <c r="B6144" s="538" t="s">
        <v>6578</v>
      </c>
      <c r="C6144" s="538" t="s">
        <v>393</v>
      </c>
      <c r="D6144" s="538" t="s">
        <v>393</v>
      </c>
      <c r="E6144" s="538" t="s">
        <v>401</v>
      </c>
      <c r="F6144" s="538">
        <v>329574</v>
      </c>
      <c r="G6144" s="538">
        <v>18</v>
      </c>
    </row>
    <row r="6145" spans="1:7" x14ac:dyDescent="0.2">
      <c r="A6145" s="538">
        <v>8</v>
      </c>
      <c r="B6145" s="538" t="s">
        <v>6570</v>
      </c>
      <c r="C6145" s="538" t="s">
        <v>740</v>
      </c>
      <c r="D6145" s="538" t="s">
        <v>393</v>
      </c>
      <c r="E6145" s="538" t="s">
        <v>409</v>
      </c>
      <c r="F6145" s="538">
        <v>4560447</v>
      </c>
      <c r="G6145" s="538">
        <v>64</v>
      </c>
    </row>
    <row r="6146" spans="1:7" x14ac:dyDescent="0.2">
      <c r="A6146" s="538">
        <v>3</v>
      </c>
      <c r="B6146" s="538" t="s">
        <v>6561</v>
      </c>
      <c r="C6146" s="538" t="s">
        <v>740</v>
      </c>
      <c r="D6146" s="538" t="s">
        <v>393</v>
      </c>
      <c r="E6146" s="538" t="s">
        <v>209</v>
      </c>
      <c r="F6146" s="538">
        <v>1154998</v>
      </c>
      <c r="G6146" s="538">
        <v>6</v>
      </c>
    </row>
    <row r="6147" spans="1:7" x14ac:dyDescent="0.2">
      <c r="A6147" s="538">
        <v>10</v>
      </c>
      <c r="B6147" s="538" t="s">
        <v>6652</v>
      </c>
      <c r="C6147" s="538" t="s">
        <v>393</v>
      </c>
      <c r="D6147" s="538" t="s">
        <v>740</v>
      </c>
      <c r="E6147" s="538" t="s">
        <v>449</v>
      </c>
      <c r="F6147" s="538">
        <v>79296</v>
      </c>
      <c r="G6147" s="538">
        <v>7</v>
      </c>
    </row>
    <row r="6148" spans="1:7" x14ac:dyDescent="0.2">
      <c r="A6148" s="538">
        <v>9</v>
      </c>
      <c r="B6148" s="538" t="s">
        <v>6613</v>
      </c>
      <c r="C6148" s="538" t="s">
        <v>740</v>
      </c>
      <c r="D6148" s="538" t="s">
        <v>393</v>
      </c>
      <c r="E6148" s="538" t="s">
        <v>409</v>
      </c>
      <c r="F6148" s="538">
        <v>11328</v>
      </c>
      <c r="G6148" s="538">
        <v>1</v>
      </c>
    </row>
    <row r="6149" spans="1:7" x14ac:dyDescent="0.2">
      <c r="A6149" s="538">
        <v>7</v>
      </c>
      <c r="B6149" s="538" t="s">
        <v>6571</v>
      </c>
      <c r="C6149" s="538" t="s">
        <v>740</v>
      </c>
      <c r="D6149" s="538" t="s">
        <v>740</v>
      </c>
      <c r="E6149" s="538" t="s">
        <v>449</v>
      </c>
      <c r="F6149" s="538">
        <v>45312</v>
      </c>
      <c r="G6149" s="538">
        <v>4</v>
      </c>
    </row>
    <row r="6150" spans="1:7" x14ac:dyDescent="0.2">
      <c r="A6150" s="538">
        <v>4</v>
      </c>
      <c r="B6150" s="538" t="s">
        <v>6562</v>
      </c>
      <c r="C6150" s="538" t="s">
        <v>740</v>
      </c>
      <c r="D6150" s="538" t="s">
        <v>393</v>
      </c>
      <c r="E6150" s="538" t="s">
        <v>212</v>
      </c>
      <c r="F6150" s="538">
        <v>11328</v>
      </c>
      <c r="G6150" s="538">
        <v>1</v>
      </c>
    </row>
    <row r="6151" spans="1:7" x14ac:dyDescent="0.2">
      <c r="A6151" s="538">
        <v>6</v>
      </c>
      <c r="B6151" s="538" t="s">
        <v>6429</v>
      </c>
      <c r="C6151" s="538" t="s">
        <v>740</v>
      </c>
      <c r="D6151" s="538" t="s">
        <v>393</v>
      </c>
      <c r="E6151" s="538" t="s">
        <v>230</v>
      </c>
      <c r="F6151" s="538">
        <v>3954961</v>
      </c>
      <c r="G6151" s="538">
        <v>87</v>
      </c>
    </row>
    <row r="6152" spans="1:7" x14ac:dyDescent="0.2">
      <c r="A6152" s="538">
        <v>3</v>
      </c>
      <c r="B6152" s="538" t="s">
        <v>6586</v>
      </c>
      <c r="C6152" s="538" t="s">
        <v>740</v>
      </c>
      <c r="D6152" s="538" t="s">
        <v>740</v>
      </c>
      <c r="E6152" s="538" t="s">
        <v>209</v>
      </c>
      <c r="F6152" s="538">
        <v>222489</v>
      </c>
      <c r="G6152" s="538">
        <v>3</v>
      </c>
    </row>
    <row r="6153" spans="1:7" x14ac:dyDescent="0.2">
      <c r="A6153" s="538">
        <v>8</v>
      </c>
      <c r="B6153" s="538" t="s">
        <v>6570</v>
      </c>
      <c r="C6153" s="538" t="s">
        <v>740</v>
      </c>
      <c r="D6153" s="538" t="s">
        <v>740</v>
      </c>
      <c r="E6153" s="538" t="s">
        <v>210</v>
      </c>
      <c r="F6153" s="538">
        <v>227622</v>
      </c>
      <c r="G6153" s="538">
        <v>9</v>
      </c>
    </row>
    <row r="6154" spans="1:7" x14ac:dyDescent="0.2">
      <c r="A6154" s="538">
        <v>3</v>
      </c>
      <c r="B6154" s="538" t="s">
        <v>6591</v>
      </c>
      <c r="C6154" s="538" t="s">
        <v>740</v>
      </c>
      <c r="D6154" s="538" t="s">
        <v>740</v>
      </c>
      <c r="E6154" s="538" t="s">
        <v>409</v>
      </c>
      <c r="F6154" s="538">
        <v>181071</v>
      </c>
      <c r="G6154" s="538">
        <v>7</v>
      </c>
    </row>
    <row r="6155" spans="1:7" x14ac:dyDescent="0.2">
      <c r="A6155" s="538">
        <v>3</v>
      </c>
      <c r="B6155" s="538" t="s">
        <v>6586</v>
      </c>
      <c r="C6155" s="538" t="s">
        <v>740</v>
      </c>
      <c r="D6155" s="538" t="s">
        <v>393</v>
      </c>
      <c r="E6155" s="538" t="s">
        <v>209</v>
      </c>
      <c r="F6155" s="538">
        <v>32976363</v>
      </c>
      <c r="G6155" s="538">
        <v>156</v>
      </c>
    </row>
    <row r="6156" spans="1:7" x14ac:dyDescent="0.2">
      <c r="A6156" s="538">
        <v>7</v>
      </c>
      <c r="B6156" s="538" t="s">
        <v>6571</v>
      </c>
      <c r="C6156" s="538" t="s">
        <v>740</v>
      </c>
      <c r="D6156" s="538" t="s">
        <v>393</v>
      </c>
      <c r="E6156" s="538" t="s">
        <v>211</v>
      </c>
      <c r="F6156" s="538">
        <v>181071</v>
      </c>
      <c r="G6156" s="538">
        <v>7</v>
      </c>
    </row>
    <row r="6157" spans="1:7" x14ac:dyDescent="0.2">
      <c r="A6157" s="538">
        <v>5</v>
      </c>
      <c r="B6157" s="538" t="s">
        <v>6598</v>
      </c>
      <c r="C6157" s="538" t="s">
        <v>740</v>
      </c>
      <c r="D6157" s="538" t="s">
        <v>393</v>
      </c>
      <c r="E6157" s="538" t="s">
        <v>212</v>
      </c>
      <c r="F6157" s="538">
        <v>4686023</v>
      </c>
      <c r="G6157" s="538">
        <v>346</v>
      </c>
    </row>
    <row r="6158" spans="1:7" x14ac:dyDescent="0.2">
      <c r="A6158" s="538">
        <v>2</v>
      </c>
      <c r="B6158" s="538" t="s">
        <v>6585</v>
      </c>
      <c r="C6158" s="538" t="s">
        <v>740</v>
      </c>
      <c r="D6158" s="538" t="s">
        <v>393</v>
      </c>
      <c r="E6158" s="538" t="s">
        <v>211</v>
      </c>
      <c r="F6158" s="538">
        <v>266562</v>
      </c>
      <c r="G6158" s="538">
        <v>9</v>
      </c>
    </row>
    <row r="6159" spans="1:7" x14ac:dyDescent="0.2">
      <c r="A6159" s="538">
        <v>5</v>
      </c>
      <c r="B6159" s="538" t="s">
        <v>6650</v>
      </c>
      <c r="C6159" s="538" t="s">
        <v>393</v>
      </c>
      <c r="D6159" s="538" t="s">
        <v>740</v>
      </c>
      <c r="E6159" s="538" t="s">
        <v>209</v>
      </c>
      <c r="F6159" s="538">
        <v>570596</v>
      </c>
      <c r="G6159" s="538">
        <v>2</v>
      </c>
    </row>
    <row r="6160" spans="1:7" x14ac:dyDescent="0.2">
      <c r="A6160" s="538">
        <v>9</v>
      </c>
      <c r="B6160" s="538" t="s">
        <v>6615</v>
      </c>
      <c r="C6160" s="538" t="s">
        <v>740</v>
      </c>
      <c r="D6160" s="538" t="s">
        <v>740</v>
      </c>
      <c r="E6160" s="538" t="s">
        <v>202</v>
      </c>
      <c r="F6160" s="538">
        <v>1126199</v>
      </c>
      <c r="G6160" s="538">
        <v>13</v>
      </c>
    </row>
    <row r="6161" spans="1:7" x14ac:dyDescent="0.2">
      <c r="A6161" s="538">
        <v>11</v>
      </c>
      <c r="B6161" s="538" t="s">
        <v>6584</v>
      </c>
      <c r="C6161" s="538" t="s">
        <v>393</v>
      </c>
      <c r="D6161" s="538" t="s">
        <v>393</v>
      </c>
      <c r="E6161" s="538" t="s">
        <v>449</v>
      </c>
      <c r="F6161" s="538">
        <v>386037</v>
      </c>
      <c r="G6161" s="538">
        <v>14</v>
      </c>
    </row>
    <row r="6162" spans="1:7" x14ac:dyDescent="0.2">
      <c r="A6162" s="538">
        <v>8</v>
      </c>
      <c r="B6162" s="538" t="s">
        <v>6560</v>
      </c>
      <c r="C6162" s="538" t="s">
        <v>740</v>
      </c>
      <c r="D6162" s="538" t="s">
        <v>393</v>
      </c>
      <c r="E6162" s="538" t="s">
        <v>207</v>
      </c>
      <c r="F6162" s="538">
        <v>7701697</v>
      </c>
      <c r="G6162" s="538">
        <v>474</v>
      </c>
    </row>
    <row r="6163" spans="1:7" x14ac:dyDescent="0.2">
      <c r="A6163" s="538">
        <v>4</v>
      </c>
      <c r="B6163" s="538" t="s">
        <v>6572</v>
      </c>
      <c r="C6163" s="538" t="s">
        <v>393</v>
      </c>
      <c r="D6163" s="538" t="s">
        <v>740</v>
      </c>
      <c r="E6163" s="538" t="s">
        <v>210</v>
      </c>
      <c r="F6163" s="538">
        <v>441615</v>
      </c>
      <c r="G6163" s="538">
        <v>30</v>
      </c>
    </row>
    <row r="6164" spans="1:7" x14ac:dyDescent="0.2">
      <c r="A6164" s="538">
        <v>4</v>
      </c>
      <c r="B6164" s="538" t="s">
        <v>6572</v>
      </c>
      <c r="C6164" s="538" t="s">
        <v>740</v>
      </c>
      <c r="D6164" s="538" t="s">
        <v>393</v>
      </c>
      <c r="E6164" s="538" t="s">
        <v>210</v>
      </c>
      <c r="F6164" s="538">
        <v>174876</v>
      </c>
      <c r="G6164" s="538">
        <v>12</v>
      </c>
    </row>
    <row r="6165" spans="1:7" x14ac:dyDescent="0.2">
      <c r="A6165" s="538">
        <v>10</v>
      </c>
      <c r="B6165" s="538" t="s">
        <v>6597</v>
      </c>
      <c r="C6165" s="538" t="s">
        <v>740</v>
      </c>
      <c r="D6165" s="538" t="s">
        <v>393</v>
      </c>
      <c r="E6165" s="538" t="s">
        <v>230</v>
      </c>
      <c r="F6165" s="538">
        <v>22656</v>
      </c>
      <c r="G6165" s="538">
        <v>2</v>
      </c>
    </row>
    <row r="6166" spans="1:7" x14ac:dyDescent="0.2">
      <c r="A6166" s="538">
        <v>10</v>
      </c>
      <c r="B6166" s="538" t="s">
        <v>6653</v>
      </c>
      <c r="C6166" s="538" t="s">
        <v>393</v>
      </c>
      <c r="D6166" s="538" t="s">
        <v>740</v>
      </c>
      <c r="E6166" s="538" t="s">
        <v>202</v>
      </c>
      <c r="F6166" s="538">
        <v>61596</v>
      </c>
      <c r="G6166" s="538">
        <v>2</v>
      </c>
    </row>
    <row r="6167" spans="1:7" x14ac:dyDescent="0.2">
      <c r="A6167" s="538">
        <v>3</v>
      </c>
      <c r="B6167" s="538" t="s">
        <v>6591</v>
      </c>
      <c r="C6167" s="538" t="s">
        <v>740</v>
      </c>
      <c r="D6167" s="538" t="s">
        <v>393</v>
      </c>
      <c r="E6167" s="538" t="s">
        <v>449</v>
      </c>
      <c r="F6167" s="538">
        <v>22656</v>
      </c>
      <c r="G6167" s="538">
        <v>2</v>
      </c>
    </row>
    <row r="6168" spans="1:7" x14ac:dyDescent="0.2">
      <c r="A6168" s="538">
        <v>10</v>
      </c>
      <c r="B6168" s="538" t="s">
        <v>6597</v>
      </c>
      <c r="C6168" s="538" t="s">
        <v>393</v>
      </c>
      <c r="D6168" s="538" t="s">
        <v>393</v>
      </c>
      <c r="E6168" s="538" t="s">
        <v>211</v>
      </c>
      <c r="F6168" s="538">
        <v>8413633</v>
      </c>
      <c r="G6168" s="538">
        <v>151</v>
      </c>
    </row>
    <row r="6169" spans="1:7" x14ac:dyDescent="0.2">
      <c r="A6169" s="538">
        <v>7</v>
      </c>
      <c r="B6169" s="538" t="s">
        <v>6564</v>
      </c>
      <c r="C6169" s="538" t="s">
        <v>740</v>
      </c>
      <c r="D6169" s="538" t="s">
        <v>393</v>
      </c>
      <c r="E6169" s="538" t="s">
        <v>419</v>
      </c>
      <c r="F6169" s="538">
        <v>11328</v>
      </c>
      <c r="G6169" s="538">
        <v>1</v>
      </c>
    </row>
    <row r="6170" spans="1:7" x14ac:dyDescent="0.2">
      <c r="A6170" s="538">
        <v>3</v>
      </c>
      <c r="B6170" s="538" t="s">
        <v>6591</v>
      </c>
      <c r="C6170" s="538" t="s">
        <v>740</v>
      </c>
      <c r="D6170" s="538" t="s">
        <v>393</v>
      </c>
      <c r="E6170" s="538" t="s">
        <v>438</v>
      </c>
      <c r="F6170" s="538">
        <v>7938815</v>
      </c>
      <c r="G6170" s="538">
        <v>85</v>
      </c>
    </row>
    <row r="6171" spans="1:7" x14ac:dyDescent="0.2">
      <c r="A6171" s="538">
        <v>3</v>
      </c>
      <c r="B6171" s="538" t="s">
        <v>6591</v>
      </c>
      <c r="C6171" s="538" t="s">
        <v>740</v>
      </c>
      <c r="D6171" s="538" t="s">
        <v>393</v>
      </c>
      <c r="E6171" s="538" t="s">
        <v>206</v>
      </c>
      <c r="F6171" s="538">
        <v>507761</v>
      </c>
      <c r="G6171" s="538">
        <v>2</v>
      </c>
    </row>
    <row r="6172" spans="1:7" x14ac:dyDescent="0.2">
      <c r="A6172" s="538">
        <v>8</v>
      </c>
      <c r="B6172" s="538" t="s">
        <v>6570</v>
      </c>
      <c r="C6172" s="538" t="s">
        <v>393</v>
      </c>
      <c r="D6172" s="538" t="s">
        <v>393</v>
      </c>
      <c r="E6172" s="538" t="s">
        <v>210</v>
      </c>
      <c r="F6172" s="538">
        <v>1354175</v>
      </c>
      <c r="G6172" s="538">
        <v>40</v>
      </c>
    </row>
    <row r="6173" spans="1:7" x14ac:dyDescent="0.2">
      <c r="A6173" s="538">
        <v>3</v>
      </c>
      <c r="B6173" s="538" t="s">
        <v>6561</v>
      </c>
      <c r="C6173" s="538" t="s">
        <v>740</v>
      </c>
      <c r="D6173" s="538" t="s">
        <v>740</v>
      </c>
      <c r="E6173" s="538" t="s">
        <v>409</v>
      </c>
      <c r="F6173" s="538">
        <v>45312</v>
      </c>
      <c r="G6173" s="538">
        <v>4</v>
      </c>
    </row>
    <row r="6174" spans="1:7" x14ac:dyDescent="0.2">
      <c r="A6174" s="538">
        <v>3</v>
      </c>
      <c r="B6174" s="538" t="s">
        <v>6647</v>
      </c>
      <c r="C6174" s="538" t="s">
        <v>393</v>
      </c>
      <c r="D6174" s="538" t="s">
        <v>393</v>
      </c>
      <c r="E6174" s="538" t="s">
        <v>211</v>
      </c>
      <c r="F6174" s="538">
        <v>8971079</v>
      </c>
      <c r="G6174" s="538">
        <v>113</v>
      </c>
    </row>
    <row r="6175" spans="1:7" x14ac:dyDescent="0.2">
      <c r="A6175" s="538">
        <v>5</v>
      </c>
      <c r="B6175" s="538" t="s">
        <v>6650</v>
      </c>
      <c r="C6175" s="538" t="s">
        <v>740</v>
      </c>
      <c r="D6175" s="538" t="s">
        <v>393</v>
      </c>
      <c r="E6175" s="538" t="s">
        <v>390</v>
      </c>
      <c r="F6175" s="538">
        <v>45312</v>
      </c>
      <c r="G6175" s="538">
        <v>4</v>
      </c>
    </row>
    <row r="6176" spans="1:7" x14ac:dyDescent="0.2">
      <c r="A6176" s="538">
        <v>2</v>
      </c>
      <c r="B6176" s="538" t="s">
        <v>6055</v>
      </c>
      <c r="C6176" s="538" t="s">
        <v>740</v>
      </c>
      <c r="D6176" s="538" t="s">
        <v>393</v>
      </c>
      <c r="E6176" s="538" t="s">
        <v>207</v>
      </c>
      <c r="F6176" s="538">
        <v>13861474</v>
      </c>
      <c r="G6176" s="538">
        <v>938</v>
      </c>
    </row>
    <row r="6177" spans="1:7" x14ac:dyDescent="0.2">
      <c r="A6177" s="538">
        <v>4</v>
      </c>
      <c r="B6177" s="538" t="s">
        <v>6559</v>
      </c>
      <c r="C6177" s="538" t="s">
        <v>393</v>
      </c>
      <c r="D6177" s="538" t="s">
        <v>393</v>
      </c>
      <c r="E6177" s="538" t="s">
        <v>212</v>
      </c>
      <c r="F6177" s="538">
        <v>215232</v>
      </c>
      <c r="G6177" s="538">
        <v>19</v>
      </c>
    </row>
    <row r="6178" spans="1:7" x14ac:dyDescent="0.2">
      <c r="A6178" s="538">
        <v>10</v>
      </c>
      <c r="B6178" s="538" t="s">
        <v>6664</v>
      </c>
      <c r="C6178" s="538" t="s">
        <v>740</v>
      </c>
      <c r="D6178" s="538" t="s">
        <v>393</v>
      </c>
      <c r="E6178" s="538" t="s">
        <v>207</v>
      </c>
      <c r="F6178" s="538">
        <v>67968</v>
      </c>
      <c r="G6178" s="538">
        <v>6</v>
      </c>
    </row>
    <row r="6179" spans="1:7" x14ac:dyDescent="0.2">
      <c r="A6179" s="538">
        <v>7</v>
      </c>
      <c r="B6179" s="538" t="s">
        <v>6579</v>
      </c>
      <c r="C6179" s="538" t="s">
        <v>740</v>
      </c>
      <c r="D6179" s="538" t="s">
        <v>393</v>
      </c>
      <c r="E6179" s="538" t="s">
        <v>860</v>
      </c>
      <c r="F6179" s="538">
        <v>33984</v>
      </c>
      <c r="G6179" s="538">
        <v>3</v>
      </c>
    </row>
    <row r="6180" spans="1:7" x14ac:dyDescent="0.2">
      <c r="A6180" s="538">
        <v>12</v>
      </c>
      <c r="B6180" s="538" t="s">
        <v>6616</v>
      </c>
      <c r="C6180" s="538" t="s">
        <v>740</v>
      </c>
      <c r="D6180" s="538" t="s">
        <v>393</v>
      </c>
      <c r="E6180" s="538" t="s">
        <v>409</v>
      </c>
      <c r="F6180" s="538">
        <v>22656</v>
      </c>
      <c r="G6180" s="538">
        <v>2</v>
      </c>
    </row>
    <row r="6181" spans="1:7" x14ac:dyDescent="0.2">
      <c r="A6181" s="538">
        <v>4</v>
      </c>
      <c r="B6181" s="538" t="s">
        <v>6572</v>
      </c>
      <c r="C6181" s="538" t="s">
        <v>393</v>
      </c>
      <c r="D6181" s="538" t="s">
        <v>740</v>
      </c>
      <c r="E6181" s="538" t="s">
        <v>390</v>
      </c>
      <c r="F6181" s="538">
        <v>9513740</v>
      </c>
      <c r="G6181" s="538">
        <v>195</v>
      </c>
    </row>
    <row r="6182" spans="1:7" x14ac:dyDescent="0.2">
      <c r="A6182" s="538">
        <v>3</v>
      </c>
      <c r="B6182" s="538" t="s">
        <v>1390</v>
      </c>
      <c r="C6182" s="538" t="s">
        <v>740</v>
      </c>
      <c r="D6182" s="538" t="s">
        <v>393</v>
      </c>
      <c r="E6182" s="538" t="s">
        <v>438</v>
      </c>
      <c r="F6182" s="538">
        <v>2508767</v>
      </c>
      <c r="G6182" s="538">
        <v>19</v>
      </c>
    </row>
    <row r="6183" spans="1:7" x14ac:dyDescent="0.2">
      <c r="A6183" s="538">
        <v>7</v>
      </c>
      <c r="B6183" s="538" t="s">
        <v>6580</v>
      </c>
      <c r="C6183" s="538" t="s">
        <v>393</v>
      </c>
      <c r="D6183" s="538" t="s">
        <v>740</v>
      </c>
      <c r="E6183" s="538" t="s">
        <v>211</v>
      </c>
      <c r="F6183" s="538">
        <v>11328</v>
      </c>
      <c r="G6183" s="538">
        <v>1</v>
      </c>
    </row>
    <row r="6184" spans="1:7" x14ac:dyDescent="0.2">
      <c r="A6184" s="538">
        <v>1</v>
      </c>
      <c r="B6184" s="538" t="s">
        <v>6609</v>
      </c>
      <c r="C6184" s="538" t="s">
        <v>740</v>
      </c>
      <c r="D6184" s="538" t="s">
        <v>393</v>
      </c>
      <c r="E6184" s="538" t="s">
        <v>409</v>
      </c>
      <c r="F6184" s="538">
        <v>759507</v>
      </c>
      <c r="G6184" s="538">
        <v>29</v>
      </c>
    </row>
    <row r="6185" spans="1:7" x14ac:dyDescent="0.2">
      <c r="A6185" s="538">
        <v>11</v>
      </c>
      <c r="B6185" s="538" t="s">
        <v>6584</v>
      </c>
      <c r="C6185" s="538" t="s">
        <v>740</v>
      </c>
      <c r="D6185" s="538" t="s">
        <v>740</v>
      </c>
      <c r="E6185" s="538" t="s">
        <v>438</v>
      </c>
      <c r="F6185" s="538">
        <v>632192</v>
      </c>
      <c r="G6185" s="538">
        <v>4</v>
      </c>
    </row>
    <row r="6186" spans="1:7" x14ac:dyDescent="0.2">
      <c r="A6186" s="538">
        <v>7</v>
      </c>
      <c r="B6186" s="538" t="s">
        <v>6588</v>
      </c>
      <c r="C6186" s="538" t="s">
        <v>740</v>
      </c>
      <c r="D6186" s="538" t="s">
        <v>393</v>
      </c>
      <c r="E6186" s="538" t="s">
        <v>230</v>
      </c>
      <c r="F6186" s="538">
        <v>1536308</v>
      </c>
      <c r="G6186" s="538">
        <v>41</v>
      </c>
    </row>
    <row r="6187" spans="1:7" x14ac:dyDescent="0.2">
      <c r="A6187" s="538">
        <v>1</v>
      </c>
      <c r="B6187" s="538" t="s">
        <v>6609</v>
      </c>
      <c r="C6187" s="538" t="s">
        <v>393</v>
      </c>
      <c r="D6187" s="538" t="s">
        <v>393</v>
      </c>
      <c r="E6187" s="538" t="s">
        <v>210</v>
      </c>
      <c r="F6187" s="538">
        <v>973094</v>
      </c>
      <c r="G6187" s="538">
        <v>23</v>
      </c>
    </row>
    <row r="6188" spans="1:7" x14ac:dyDescent="0.2">
      <c r="A6188" s="538">
        <v>6</v>
      </c>
      <c r="B6188" s="538" t="s">
        <v>6565</v>
      </c>
      <c r="C6188" s="538" t="s">
        <v>740</v>
      </c>
      <c r="D6188" s="538" t="s">
        <v>740</v>
      </c>
      <c r="E6188" s="538" t="s">
        <v>202</v>
      </c>
      <c r="F6188" s="538">
        <v>11328</v>
      </c>
      <c r="G6188" s="538">
        <v>1</v>
      </c>
    </row>
    <row r="6189" spans="1:7" x14ac:dyDescent="0.2">
      <c r="A6189" s="538">
        <v>9</v>
      </c>
      <c r="B6189" s="538" t="s">
        <v>6644</v>
      </c>
      <c r="C6189" s="538" t="s">
        <v>393</v>
      </c>
      <c r="D6189" s="538" t="s">
        <v>393</v>
      </c>
      <c r="E6189" s="538" t="s">
        <v>313</v>
      </c>
      <c r="F6189" s="538">
        <v>1067029</v>
      </c>
      <c r="G6189" s="538">
        <v>3</v>
      </c>
    </row>
    <row r="6190" spans="1:7" x14ac:dyDescent="0.2">
      <c r="A6190" s="538">
        <v>6</v>
      </c>
      <c r="B6190" s="538" t="s">
        <v>6433</v>
      </c>
      <c r="C6190" s="538" t="s">
        <v>740</v>
      </c>
      <c r="D6190" s="538" t="s">
        <v>393</v>
      </c>
      <c r="E6190" s="538" t="s">
        <v>212</v>
      </c>
      <c r="F6190" s="538">
        <v>11328</v>
      </c>
      <c r="G6190" s="538">
        <v>1</v>
      </c>
    </row>
    <row r="6191" spans="1:7" x14ac:dyDescent="0.2">
      <c r="A6191" s="538">
        <v>7</v>
      </c>
      <c r="B6191" s="538" t="s">
        <v>6594</v>
      </c>
      <c r="C6191" s="538" t="s">
        <v>740</v>
      </c>
      <c r="D6191" s="538" t="s">
        <v>393</v>
      </c>
      <c r="E6191" s="538" t="s">
        <v>449</v>
      </c>
      <c r="F6191" s="538">
        <v>186204</v>
      </c>
      <c r="G6191" s="538">
        <v>13</v>
      </c>
    </row>
    <row r="6192" spans="1:7" x14ac:dyDescent="0.2">
      <c r="A6192" s="538">
        <v>4</v>
      </c>
      <c r="B6192" s="538" t="s">
        <v>6559</v>
      </c>
      <c r="C6192" s="538" t="s">
        <v>740</v>
      </c>
      <c r="D6192" s="538" t="s">
        <v>393</v>
      </c>
      <c r="E6192" s="538" t="s">
        <v>402</v>
      </c>
      <c r="F6192" s="538">
        <v>9715093</v>
      </c>
      <c r="G6192" s="538">
        <v>486</v>
      </c>
    </row>
    <row r="6193" spans="1:7" x14ac:dyDescent="0.2">
      <c r="A6193" s="538">
        <v>6</v>
      </c>
      <c r="B6193" s="538" t="s">
        <v>6596</v>
      </c>
      <c r="C6193" s="538" t="s">
        <v>393</v>
      </c>
      <c r="D6193" s="538" t="s">
        <v>740</v>
      </c>
      <c r="E6193" s="538" t="s">
        <v>207</v>
      </c>
      <c r="F6193" s="538">
        <v>169920</v>
      </c>
      <c r="G6193" s="538">
        <v>15</v>
      </c>
    </row>
    <row r="6194" spans="1:7" x14ac:dyDescent="0.2">
      <c r="A6194" s="538">
        <v>3</v>
      </c>
      <c r="B6194" s="538" t="s">
        <v>1390</v>
      </c>
      <c r="C6194" s="538" t="s">
        <v>740</v>
      </c>
      <c r="D6194" s="538" t="s">
        <v>740</v>
      </c>
      <c r="E6194" s="538" t="s">
        <v>212</v>
      </c>
      <c r="F6194" s="538">
        <v>11328</v>
      </c>
      <c r="G6194" s="538">
        <v>1</v>
      </c>
    </row>
    <row r="6195" spans="1:7" x14ac:dyDescent="0.2">
      <c r="A6195" s="538">
        <v>6</v>
      </c>
      <c r="B6195" s="538" t="s">
        <v>1668</v>
      </c>
      <c r="C6195" s="538" t="s">
        <v>393</v>
      </c>
      <c r="D6195" s="538" t="s">
        <v>393</v>
      </c>
      <c r="E6195" s="538" t="s">
        <v>209</v>
      </c>
      <c r="F6195" s="538">
        <v>2234594</v>
      </c>
      <c r="G6195" s="538">
        <v>8</v>
      </c>
    </row>
    <row r="6196" spans="1:7" x14ac:dyDescent="0.2">
      <c r="A6196" s="538">
        <v>9</v>
      </c>
      <c r="B6196" s="538" t="s">
        <v>6615</v>
      </c>
      <c r="C6196" s="538" t="s">
        <v>740</v>
      </c>
      <c r="D6196" s="538" t="s">
        <v>393</v>
      </c>
      <c r="E6196" s="538" t="s">
        <v>419</v>
      </c>
      <c r="F6196" s="538">
        <v>11328</v>
      </c>
      <c r="G6196" s="538">
        <v>1</v>
      </c>
    </row>
    <row r="6197" spans="1:7" x14ac:dyDescent="0.2">
      <c r="A6197" s="538">
        <v>8</v>
      </c>
      <c r="B6197" s="538" t="s">
        <v>6570</v>
      </c>
      <c r="C6197" s="538" t="s">
        <v>740</v>
      </c>
      <c r="D6197" s="538" t="s">
        <v>393</v>
      </c>
      <c r="E6197" s="538" t="s">
        <v>401</v>
      </c>
      <c r="F6197" s="538">
        <v>33984</v>
      </c>
      <c r="G6197" s="538">
        <v>3</v>
      </c>
    </row>
    <row r="6198" spans="1:7" x14ac:dyDescent="0.2">
      <c r="A6198" s="538">
        <v>7</v>
      </c>
      <c r="B6198" s="538" t="s">
        <v>6580</v>
      </c>
      <c r="C6198" s="538" t="s">
        <v>740</v>
      </c>
      <c r="D6198" s="538" t="s">
        <v>393</v>
      </c>
      <c r="E6198" s="538" t="s">
        <v>416</v>
      </c>
      <c r="F6198" s="538">
        <v>6159288</v>
      </c>
      <c r="G6198" s="538">
        <v>161</v>
      </c>
    </row>
    <row r="6199" spans="1:7" x14ac:dyDescent="0.2">
      <c r="A6199" s="538">
        <v>9</v>
      </c>
      <c r="B6199" s="538" t="s">
        <v>6645</v>
      </c>
      <c r="C6199" s="538" t="s">
        <v>393</v>
      </c>
      <c r="D6199" s="538" t="s">
        <v>393</v>
      </c>
      <c r="E6199" s="538" t="s">
        <v>210</v>
      </c>
      <c r="F6199" s="538">
        <v>2108091</v>
      </c>
      <c r="G6199" s="538">
        <v>32</v>
      </c>
    </row>
    <row r="6200" spans="1:7" x14ac:dyDescent="0.2">
      <c r="A6200" s="538">
        <v>4</v>
      </c>
      <c r="B6200" s="538" t="s">
        <v>6574</v>
      </c>
      <c r="C6200" s="538" t="s">
        <v>740</v>
      </c>
      <c r="D6200" s="538" t="s">
        <v>393</v>
      </c>
      <c r="E6200" s="538" t="s">
        <v>449</v>
      </c>
      <c r="F6200" s="538">
        <v>22656</v>
      </c>
      <c r="G6200" s="538">
        <v>2</v>
      </c>
    </row>
    <row r="6201" spans="1:7" x14ac:dyDescent="0.2">
      <c r="A6201" s="538">
        <v>8</v>
      </c>
      <c r="B6201" s="538" t="s">
        <v>6658</v>
      </c>
      <c r="C6201" s="538" t="s">
        <v>740</v>
      </c>
      <c r="D6201" s="538" t="s">
        <v>393</v>
      </c>
      <c r="E6201" s="538" t="s">
        <v>211</v>
      </c>
      <c r="F6201" s="538">
        <v>6137017</v>
      </c>
      <c r="G6201" s="538">
        <v>199</v>
      </c>
    </row>
    <row r="6202" spans="1:7" x14ac:dyDescent="0.2">
      <c r="A6202" s="538">
        <v>5</v>
      </c>
      <c r="B6202" s="538" t="s">
        <v>6599</v>
      </c>
      <c r="C6202" s="538" t="s">
        <v>740</v>
      </c>
      <c r="D6202" s="538" t="s">
        <v>393</v>
      </c>
      <c r="E6202" s="538" t="s">
        <v>419</v>
      </c>
      <c r="F6202" s="538">
        <v>496433</v>
      </c>
      <c r="G6202" s="538">
        <v>1</v>
      </c>
    </row>
    <row r="6203" spans="1:7" x14ac:dyDescent="0.2">
      <c r="A6203" s="538">
        <v>2</v>
      </c>
      <c r="B6203" s="538" t="s">
        <v>6662</v>
      </c>
      <c r="C6203" s="538" t="s">
        <v>740</v>
      </c>
      <c r="D6203" s="538" t="s">
        <v>393</v>
      </c>
      <c r="E6203" s="538" t="s">
        <v>390</v>
      </c>
      <c r="F6203" s="538">
        <v>3782667</v>
      </c>
      <c r="G6203" s="538">
        <v>164</v>
      </c>
    </row>
    <row r="6204" spans="1:7" x14ac:dyDescent="0.2">
      <c r="A6204" s="538">
        <v>11</v>
      </c>
      <c r="B6204" s="538" t="s">
        <v>6612</v>
      </c>
      <c r="C6204" s="538" t="s">
        <v>740</v>
      </c>
      <c r="D6204" s="538" t="s">
        <v>393</v>
      </c>
      <c r="E6204" s="538" t="s">
        <v>313</v>
      </c>
      <c r="F6204" s="538">
        <v>11328</v>
      </c>
      <c r="G6204" s="538">
        <v>1</v>
      </c>
    </row>
    <row r="6205" spans="1:7" x14ac:dyDescent="0.2">
      <c r="A6205" s="538">
        <v>4</v>
      </c>
      <c r="B6205" s="538" t="s">
        <v>6574</v>
      </c>
      <c r="C6205" s="538" t="s">
        <v>393</v>
      </c>
      <c r="D6205" s="538" t="s">
        <v>393</v>
      </c>
      <c r="E6205" s="538" t="s">
        <v>230</v>
      </c>
      <c r="F6205" s="538">
        <v>12182640</v>
      </c>
      <c r="G6205" s="538">
        <v>225</v>
      </c>
    </row>
    <row r="6206" spans="1:7" x14ac:dyDescent="0.2">
      <c r="A6206" s="538">
        <v>7</v>
      </c>
      <c r="B6206" s="538" t="s">
        <v>6588</v>
      </c>
      <c r="C6206" s="538" t="s">
        <v>393</v>
      </c>
      <c r="D6206" s="538" t="s">
        <v>393</v>
      </c>
      <c r="E6206" s="538" t="s">
        <v>230</v>
      </c>
      <c r="F6206" s="538">
        <v>3542447</v>
      </c>
      <c r="G6206" s="538">
        <v>59</v>
      </c>
    </row>
    <row r="6207" spans="1:7" x14ac:dyDescent="0.2">
      <c r="A6207" s="538">
        <v>10</v>
      </c>
      <c r="B6207" s="538" t="s">
        <v>6652</v>
      </c>
      <c r="C6207" s="538" t="s">
        <v>393</v>
      </c>
      <c r="D6207" s="538" t="s">
        <v>740</v>
      </c>
      <c r="E6207" s="538" t="s">
        <v>401</v>
      </c>
      <c r="F6207" s="538">
        <v>90624</v>
      </c>
      <c r="G6207" s="538">
        <v>8</v>
      </c>
    </row>
    <row r="6208" spans="1:7" x14ac:dyDescent="0.2">
      <c r="A6208" s="538">
        <v>3</v>
      </c>
      <c r="B6208" s="538" t="s">
        <v>6586</v>
      </c>
      <c r="C6208" s="538" t="s">
        <v>740</v>
      </c>
      <c r="D6208" s="538" t="s">
        <v>393</v>
      </c>
      <c r="E6208" s="538" t="s">
        <v>212</v>
      </c>
      <c r="F6208" s="538">
        <v>537372</v>
      </c>
      <c r="G6208" s="538">
        <v>44</v>
      </c>
    </row>
    <row r="6209" spans="1:7" x14ac:dyDescent="0.2">
      <c r="A6209" s="538">
        <v>2</v>
      </c>
      <c r="B6209" s="538" t="s">
        <v>6585</v>
      </c>
      <c r="C6209" s="538" t="s">
        <v>740</v>
      </c>
      <c r="D6209" s="538" t="s">
        <v>393</v>
      </c>
      <c r="E6209" s="538" t="s">
        <v>207</v>
      </c>
      <c r="F6209" s="538">
        <v>22656</v>
      </c>
      <c r="G6209" s="538">
        <v>2</v>
      </c>
    </row>
    <row r="6210" spans="1:7" x14ac:dyDescent="0.2">
      <c r="A6210" s="538">
        <v>5</v>
      </c>
      <c r="B6210" s="538" t="s">
        <v>6599</v>
      </c>
      <c r="C6210" s="538" t="s">
        <v>740</v>
      </c>
      <c r="D6210" s="538" t="s">
        <v>393</v>
      </c>
      <c r="E6210" s="538" t="s">
        <v>210</v>
      </c>
      <c r="F6210" s="538">
        <v>2902342</v>
      </c>
      <c r="G6210" s="538">
        <v>104</v>
      </c>
    </row>
    <row r="6211" spans="1:7" x14ac:dyDescent="0.2">
      <c r="A6211" s="538">
        <v>11</v>
      </c>
      <c r="B6211" s="538" t="s">
        <v>6612</v>
      </c>
      <c r="C6211" s="538" t="s">
        <v>740</v>
      </c>
      <c r="D6211" s="538" t="s">
        <v>393</v>
      </c>
      <c r="E6211" s="538" t="s">
        <v>209</v>
      </c>
      <c r="F6211" s="538">
        <v>2405576</v>
      </c>
      <c r="G6211" s="538">
        <v>12</v>
      </c>
    </row>
    <row r="6212" spans="1:7" x14ac:dyDescent="0.2">
      <c r="A6212" s="538">
        <v>11</v>
      </c>
      <c r="B6212" s="538" t="s">
        <v>6612</v>
      </c>
      <c r="C6212" s="538" t="s">
        <v>740</v>
      </c>
      <c r="D6212" s="538" t="s">
        <v>740</v>
      </c>
      <c r="E6212" s="538" t="s">
        <v>860</v>
      </c>
      <c r="F6212" s="538">
        <v>11328</v>
      </c>
      <c r="G6212" s="538">
        <v>1</v>
      </c>
    </row>
    <row r="6213" spans="1:7" x14ac:dyDescent="0.2">
      <c r="A6213" s="538">
        <v>6</v>
      </c>
      <c r="B6213" s="538" t="s">
        <v>6565</v>
      </c>
      <c r="C6213" s="538" t="s">
        <v>740</v>
      </c>
      <c r="D6213" s="538" t="s">
        <v>393</v>
      </c>
      <c r="E6213" s="538" t="s">
        <v>438</v>
      </c>
      <c r="F6213" s="538">
        <v>2497668</v>
      </c>
      <c r="G6213" s="538">
        <v>36</v>
      </c>
    </row>
    <row r="6214" spans="1:7" x14ac:dyDescent="0.2">
      <c r="A6214" s="538">
        <v>9</v>
      </c>
      <c r="B6214" s="538" t="s">
        <v>6615</v>
      </c>
      <c r="C6214" s="538" t="s">
        <v>740</v>
      </c>
      <c r="D6214" s="538" t="s">
        <v>740</v>
      </c>
      <c r="E6214" s="538" t="s">
        <v>212</v>
      </c>
      <c r="F6214" s="538">
        <v>11328</v>
      </c>
      <c r="G6214" s="538">
        <v>1</v>
      </c>
    </row>
    <row r="6215" spans="1:7" x14ac:dyDescent="0.2">
      <c r="A6215" s="538">
        <v>8</v>
      </c>
      <c r="B6215" s="538" t="s">
        <v>6658</v>
      </c>
      <c r="C6215" s="538" t="s">
        <v>740</v>
      </c>
      <c r="D6215" s="538" t="s">
        <v>393</v>
      </c>
      <c r="E6215" s="538" t="s">
        <v>860</v>
      </c>
      <c r="F6215" s="538">
        <v>384975</v>
      </c>
      <c r="G6215" s="538">
        <v>25</v>
      </c>
    </row>
    <row r="6216" spans="1:7" x14ac:dyDescent="0.2">
      <c r="A6216" s="538">
        <v>11</v>
      </c>
      <c r="B6216" s="538" t="s">
        <v>6592</v>
      </c>
      <c r="C6216" s="538" t="s">
        <v>393</v>
      </c>
      <c r="D6216" s="538" t="s">
        <v>393</v>
      </c>
      <c r="E6216" s="538" t="s">
        <v>202</v>
      </c>
      <c r="F6216" s="538">
        <v>6984608</v>
      </c>
      <c r="G6216" s="538">
        <v>56</v>
      </c>
    </row>
    <row r="6217" spans="1:7" x14ac:dyDescent="0.2">
      <c r="A6217" s="538">
        <v>8</v>
      </c>
      <c r="B6217" s="538" t="s">
        <v>6560</v>
      </c>
      <c r="C6217" s="538" t="s">
        <v>740</v>
      </c>
      <c r="D6217" s="538" t="s">
        <v>393</v>
      </c>
      <c r="E6217" s="538" t="s">
        <v>230</v>
      </c>
      <c r="F6217" s="538">
        <v>1754018</v>
      </c>
      <c r="G6217" s="538">
        <v>56</v>
      </c>
    </row>
    <row r="6218" spans="1:7" x14ac:dyDescent="0.2">
      <c r="A6218" s="538">
        <v>2</v>
      </c>
      <c r="B6218" s="538" t="s">
        <v>6576</v>
      </c>
      <c r="C6218" s="538" t="s">
        <v>740</v>
      </c>
      <c r="D6218" s="538" t="s">
        <v>393</v>
      </c>
      <c r="E6218" s="538" t="s">
        <v>402</v>
      </c>
      <c r="F6218" s="538">
        <v>1397769</v>
      </c>
      <c r="G6218" s="538">
        <v>93</v>
      </c>
    </row>
    <row r="6219" spans="1:7" x14ac:dyDescent="0.2">
      <c r="A6219" s="538">
        <v>4</v>
      </c>
      <c r="B6219" s="538" t="s">
        <v>6562</v>
      </c>
      <c r="C6219" s="538" t="s">
        <v>740</v>
      </c>
      <c r="D6219" s="538" t="s">
        <v>393</v>
      </c>
      <c r="E6219" s="538" t="s">
        <v>409</v>
      </c>
      <c r="F6219" s="538">
        <v>3959105</v>
      </c>
      <c r="G6219" s="538">
        <v>100</v>
      </c>
    </row>
    <row r="6220" spans="1:7" x14ac:dyDescent="0.2">
      <c r="A6220" s="538">
        <v>6</v>
      </c>
      <c r="B6220" s="538" t="s">
        <v>6433</v>
      </c>
      <c r="C6220" s="538" t="s">
        <v>740</v>
      </c>
      <c r="D6220" s="538" t="s">
        <v>393</v>
      </c>
      <c r="E6220" s="538" t="s">
        <v>401</v>
      </c>
      <c r="F6220" s="538">
        <v>11328</v>
      </c>
      <c r="G6220" s="538">
        <v>1</v>
      </c>
    </row>
    <row r="6221" spans="1:7" x14ac:dyDescent="0.2">
      <c r="A6221" s="538">
        <v>4</v>
      </c>
      <c r="B6221" s="538" t="s">
        <v>6593</v>
      </c>
      <c r="C6221" s="538" t="s">
        <v>740</v>
      </c>
      <c r="D6221" s="538" t="s">
        <v>393</v>
      </c>
      <c r="E6221" s="538" t="s">
        <v>860</v>
      </c>
      <c r="F6221" s="538">
        <v>96819</v>
      </c>
      <c r="G6221" s="538">
        <v>3</v>
      </c>
    </row>
    <row r="6222" spans="1:7" x14ac:dyDescent="0.2">
      <c r="A6222" s="538">
        <v>8</v>
      </c>
      <c r="B6222" s="538" t="s">
        <v>6567</v>
      </c>
      <c r="C6222" s="538" t="s">
        <v>740</v>
      </c>
      <c r="D6222" s="538" t="s">
        <v>393</v>
      </c>
      <c r="E6222" s="538" t="s">
        <v>212</v>
      </c>
      <c r="F6222" s="538">
        <v>6084198</v>
      </c>
      <c r="G6222" s="538">
        <v>466</v>
      </c>
    </row>
    <row r="6223" spans="1:7" x14ac:dyDescent="0.2">
      <c r="A6223" s="538">
        <v>8</v>
      </c>
      <c r="B6223" s="538" t="s">
        <v>6577</v>
      </c>
      <c r="C6223" s="538" t="s">
        <v>740</v>
      </c>
      <c r="D6223" s="538" t="s">
        <v>393</v>
      </c>
      <c r="E6223" s="538" t="s">
        <v>402</v>
      </c>
      <c r="F6223" s="538">
        <v>380127059</v>
      </c>
      <c r="G6223" s="538">
        <v>20088</v>
      </c>
    </row>
    <row r="6224" spans="1:7" x14ac:dyDescent="0.2">
      <c r="A6224" s="538">
        <v>2</v>
      </c>
      <c r="B6224" s="538" t="s">
        <v>6608</v>
      </c>
      <c r="C6224" s="538" t="s">
        <v>740</v>
      </c>
      <c r="D6224" s="538" t="s">
        <v>393</v>
      </c>
      <c r="E6224" s="538" t="s">
        <v>390</v>
      </c>
      <c r="F6224" s="538">
        <v>61596</v>
      </c>
      <c r="G6224" s="538">
        <v>2</v>
      </c>
    </row>
    <row r="6225" spans="1:7" x14ac:dyDescent="0.2">
      <c r="A6225" s="538">
        <v>3</v>
      </c>
      <c r="B6225" s="538" t="s">
        <v>1390</v>
      </c>
      <c r="C6225" s="538" t="s">
        <v>740</v>
      </c>
      <c r="D6225" s="538" t="s">
        <v>393</v>
      </c>
      <c r="E6225" s="538" t="s">
        <v>207</v>
      </c>
      <c r="F6225" s="538">
        <v>1920273</v>
      </c>
      <c r="G6225" s="538">
        <v>146</v>
      </c>
    </row>
    <row r="6226" spans="1:7" x14ac:dyDescent="0.2">
      <c r="A6226" s="538">
        <v>8</v>
      </c>
      <c r="B6226" s="538" t="s">
        <v>6577</v>
      </c>
      <c r="C6226" s="538" t="s">
        <v>740</v>
      </c>
      <c r="D6226" s="538" t="s">
        <v>740</v>
      </c>
      <c r="E6226" s="538" t="s">
        <v>211</v>
      </c>
      <c r="F6226" s="538">
        <v>12280167</v>
      </c>
      <c r="G6226" s="538">
        <v>214</v>
      </c>
    </row>
    <row r="6227" spans="1:7" x14ac:dyDescent="0.2">
      <c r="A6227" s="538">
        <v>2</v>
      </c>
      <c r="B6227" s="538" t="s">
        <v>6608</v>
      </c>
      <c r="C6227" s="538" t="s">
        <v>740</v>
      </c>
      <c r="D6227" s="538" t="s">
        <v>393</v>
      </c>
      <c r="E6227" s="538" t="s">
        <v>202</v>
      </c>
      <c r="F6227" s="538">
        <v>1299607</v>
      </c>
      <c r="G6227" s="538">
        <v>9</v>
      </c>
    </row>
    <row r="6228" spans="1:7" x14ac:dyDescent="0.2">
      <c r="A6228" s="538">
        <v>4</v>
      </c>
      <c r="B6228" s="538" t="s">
        <v>6572</v>
      </c>
      <c r="C6228" s="538" t="s">
        <v>740</v>
      </c>
      <c r="D6228" s="538" t="s">
        <v>393</v>
      </c>
      <c r="E6228" s="538" t="s">
        <v>390</v>
      </c>
      <c r="F6228" s="538">
        <v>275412</v>
      </c>
      <c r="G6228" s="538">
        <v>14</v>
      </c>
    </row>
    <row r="6229" spans="1:7" x14ac:dyDescent="0.2">
      <c r="A6229" s="538">
        <v>3</v>
      </c>
      <c r="B6229" s="538" t="s">
        <v>1390</v>
      </c>
      <c r="C6229" s="538" t="s">
        <v>740</v>
      </c>
      <c r="D6229" s="538" t="s">
        <v>393</v>
      </c>
      <c r="E6229" s="538" t="s">
        <v>438</v>
      </c>
      <c r="F6229" s="538">
        <v>519089</v>
      </c>
      <c r="G6229" s="538">
        <v>3</v>
      </c>
    </row>
    <row r="6230" spans="1:7" x14ac:dyDescent="0.2">
      <c r="A6230" s="538">
        <v>7</v>
      </c>
      <c r="B6230" s="538" t="s">
        <v>6564</v>
      </c>
      <c r="C6230" s="538" t="s">
        <v>740</v>
      </c>
      <c r="D6230" s="538" t="s">
        <v>740</v>
      </c>
      <c r="E6230" s="538" t="s">
        <v>449</v>
      </c>
      <c r="F6230" s="538">
        <v>758976</v>
      </c>
      <c r="G6230" s="538">
        <v>67</v>
      </c>
    </row>
    <row r="6231" spans="1:7" x14ac:dyDescent="0.2">
      <c r="A6231" s="538">
        <v>11</v>
      </c>
      <c r="B6231" s="538" t="s">
        <v>6610</v>
      </c>
      <c r="C6231" s="538" t="s">
        <v>740</v>
      </c>
      <c r="D6231" s="538" t="s">
        <v>740</v>
      </c>
      <c r="E6231" s="538" t="s">
        <v>402</v>
      </c>
      <c r="F6231" s="538">
        <v>5058077</v>
      </c>
      <c r="G6231" s="538">
        <v>214</v>
      </c>
    </row>
    <row r="6232" spans="1:7" x14ac:dyDescent="0.2">
      <c r="A6232" s="538">
        <v>5</v>
      </c>
      <c r="B6232" s="538" t="s">
        <v>6599</v>
      </c>
      <c r="C6232" s="538" t="s">
        <v>740</v>
      </c>
      <c r="D6232" s="538" t="s">
        <v>740</v>
      </c>
      <c r="E6232" s="538" t="s">
        <v>230</v>
      </c>
      <c r="F6232" s="538">
        <v>96819</v>
      </c>
      <c r="G6232" s="538">
        <v>3</v>
      </c>
    </row>
    <row r="6233" spans="1:7" x14ac:dyDescent="0.2">
      <c r="A6233" s="538">
        <v>3</v>
      </c>
      <c r="B6233" s="538" t="s">
        <v>6578</v>
      </c>
      <c r="C6233" s="538" t="s">
        <v>740</v>
      </c>
      <c r="D6233" s="538" t="s">
        <v>740</v>
      </c>
      <c r="E6233" s="538" t="s">
        <v>212</v>
      </c>
      <c r="F6233" s="538">
        <v>226383</v>
      </c>
      <c r="G6233" s="538">
        <v>11</v>
      </c>
    </row>
    <row r="6234" spans="1:7" x14ac:dyDescent="0.2">
      <c r="A6234" s="538">
        <v>5</v>
      </c>
      <c r="B6234" s="538" t="s">
        <v>6568</v>
      </c>
      <c r="C6234" s="538" t="s">
        <v>740</v>
      </c>
      <c r="D6234" s="538" t="s">
        <v>393</v>
      </c>
      <c r="E6234" s="538" t="s">
        <v>211</v>
      </c>
      <c r="F6234" s="538">
        <v>32815073</v>
      </c>
      <c r="G6234" s="538">
        <v>571</v>
      </c>
    </row>
    <row r="6235" spans="1:7" x14ac:dyDescent="0.2">
      <c r="A6235" s="538">
        <v>2</v>
      </c>
      <c r="B6235" s="538" t="s">
        <v>6573</v>
      </c>
      <c r="C6235" s="538" t="s">
        <v>740</v>
      </c>
      <c r="D6235" s="538" t="s">
        <v>393</v>
      </c>
      <c r="E6235" s="538" t="s">
        <v>416</v>
      </c>
      <c r="F6235" s="538">
        <v>6601715</v>
      </c>
      <c r="G6235" s="538">
        <v>245</v>
      </c>
    </row>
    <row r="6236" spans="1:7" x14ac:dyDescent="0.2">
      <c r="A6236" s="538">
        <v>8</v>
      </c>
      <c r="B6236" s="538" t="s">
        <v>6648</v>
      </c>
      <c r="C6236" s="538" t="s">
        <v>393</v>
      </c>
      <c r="D6236" s="538" t="s">
        <v>740</v>
      </c>
      <c r="E6236" s="538" t="s">
        <v>202</v>
      </c>
      <c r="F6236" s="538">
        <v>1744533</v>
      </c>
      <c r="G6236" s="538">
        <v>11</v>
      </c>
    </row>
    <row r="6237" spans="1:7" x14ac:dyDescent="0.2">
      <c r="A6237" s="538">
        <v>5</v>
      </c>
      <c r="B6237" s="538" t="s">
        <v>6589</v>
      </c>
      <c r="C6237" s="538" t="s">
        <v>393</v>
      </c>
      <c r="D6237" s="538" t="s">
        <v>393</v>
      </c>
      <c r="E6237" s="538" t="s">
        <v>211</v>
      </c>
      <c r="F6237" s="538">
        <v>22559162</v>
      </c>
      <c r="G6237" s="538">
        <v>274</v>
      </c>
    </row>
    <row r="6238" spans="1:7" x14ac:dyDescent="0.2">
      <c r="A6238" s="538">
        <v>10</v>
      </c>
      <c r="B6238" s="538" t="s">
        <v>6664</v>
      </c>
      <c r="C6238" s="538" t="s">
        <v>740</v>
      </c>
      <c r="D6238" s="538" t="s">
        <v>393</v>
      </c>
      <c r="E6238" s="538" t="s">
        <v>402</v>
      </c>
      <c r="F6238" s="538">
        <v>85491</v>
      </c>
      <c r="G6238" s="538">
        <v>2</v>
      </c>
    </row>
    <row r="6239" spans="1:7" x14ac:dyDescent="0.2">
      <c r="A6239" s="538">
        <v>2</v>
      </c>
      <c r="B6239" s="538" t="s">
        <v>6662</v>
      </c>
      <c r="C6239" s="538" t="s">
        <v>393</v>
      </c>
      <c r="D6239" s="538" t="s">
        <v>393</v>
      </c>
      <c r="E6239" s="538" t="s">
        <v>419</v>
      </c>
      <c r="F6239" s="538">
        <v>11328</v>
      </c>
      <c r="G6239" s="538">
        <v>1</v>
      </c>
    </row>
    <row r="6240" spans="1:7" x14ac:dyDescent="0.2">
      <c r="A6240" s="538">
        <v>3</v>
      </c>
      <c r="B6240" s="538" t="s">
        <v>6605</v>
      </c>
      <c r="C6240" s="538" t="s">
        <v>393</v>
      </c>
      <c r="D6240" s="538" t="s">
        <v>393</v>
      </c>
      <c r="E6240" s="538" t="s">
        <v>202</v>
      </c>
      <c r="F6240" s="538">
        <v>13242350</v>
      </c>
      <c r="G6240" s="538">
        <v>80</v>
      </c>
    </row>
    <row r="6241" spans="1:7" x14ac:dyDescent="0.2">
      <c r="A6241" s="538">
        <v>10</v>
      </c>
      <c r="B6241" s="538" t="s">
        <v>6582</v>
      </c>
      <c r="C6241" s="538" t="s">
        <v>393</v>
      </c>
      <c r="D6241" s="538" t="s">
        <v>393</v>
      </c>
      <c r="E6241" s="538" t="s">
        <v>210</v>
      </c>
      <c r="F6241" s="538">
        <v>1029734</v>
      </c>
      <c r="G6241" s="538">
        <v>28</v>
      </c>
    </row>
    <row r="6242" spans="1:7" x14ac:dyDescent="0.2">
      <c r="A6242" s="538">
        <v>6</v>
      </c>
      <c r="B6242" s="538" t="s">
        <v>6617</v>
      </c>
      <c r="C6242" s="538" t="s">
        <v>393</v>
      </c>
      <c r="D6242" s="538" t="s">
        <v>393</v>
      </c>
      <c r="E6242" s="538" t="s">
        <v>416</v>
      </c>
      <c r="F6242" s="538">
        <v>48650556</v>
      </c>
      <c r="G6242" s="538">
        <v>852</v>
      </c>
    </row>
    <row r="6243" spans="1:7" x14ac:dyDescent="0.2">
      <c r="A6243" s="538">
        <v>12</v>
      </c>
      <c r="B6243" s="538" t="s">
        <v>6563</v>
      </c>
      <c r="C6243" s="538" t="s">
        <v>393</v>
      </c>
      <c r="D6243" s="538" t="s">
        <v>393</v>
      </c>
      <c r="E6243" s="538" t="s">
        <v>207</v>
      </c>
      <c r="F6243" s="538">
        <v>304440</v>
      </c>
      <c r="G6243" s="538">
        <v>20</v>
      </c>
    </row>
    <row r="6244" spans="1:7" x14ac:dyDescent="0.2">
      <c r="A6244" s="538">
        <v>9</v>
      </c>
      <c r="B6244" s="538" t="s">
        <v>6614</v>
      </c>
      <c r="C6244" s="538" t="s">
        <v>740</v>
      </c>
      <c r="D6244" s="538" t="s">
        <v>393</v>
      </c>
      <c r="E6244" s="538" t="s">
        <v>313</v>
      </c>
      <c r="F6244" s="538">
        <v>85491</v>
      </c>
      <c r="G6244" s="538">
        <v>2</v>
      </c>
    </row>
    <row r="6245" spans="1:7" x14ac:dyDescent="0.2">
      <c r="A6245" s="538">
        <v>5</v>
      </c>
      <c r="B6245" s="538" t="s">
        <v>6650</v>
      </c>
      <c r="C6245" s="538" t="s">
        <v>393</v>
      </c>
      <c r="D6245" s="538" t="s">
        <v>393</v>
      </c>
      <c r="E6245" s="538" t="s">
        <v>409</v>
      </c>
      <c r="F6245" s="538">
        <v>1537495</v>
      </c>
      <c r="G6245" s="538">
        <v>30</v>
      </c>
    </row>
    <row r="6246" spans="1:7" x14ac:dyDescent="0.2">
      <c r="A6246" s="538">
        <v>8</v>
      </c>
      <c r="B6246" s="538" t="s">
        <v>6658</v>
      </c>
      <c r="C6246" s="538" t="s">
        <v>393</v>
      </c>
      <c r="D6246" s="538" t="s">
        <v>740</v>
      </c>
      <c r="E6246" s="538" t="s">
        <v>390</v>
      </c>
      <c r="F6246" s="538">
        <v>8204492</v>
      </c>
      <c r="G6246" s="538">
        <v>124</v>
      </c>
    </row>
    <row r="6247" spans="1:7" x14ac:dyDescent="0.2">
      <c r="A6247" s="538">
        <v>3</v>
      </c>
      <c r="B6247" s="538" t="s">
        <v>6578</v>
      </c>
      <c r="C6247" s="538" t="s">
        <v>393</v>
      </c>
      <c r="D6247" s="538" t="s">
        <v>393</v>
      </c>
      <c r="E6247" s="538" t="s">
        <v>202</v>
      </c>
      <c r="F6247" s="538">
        <v>9739811</v>
      </c>
      <c r="G6247" s="538">
        <v>87</v>
      </c>
    </row>
    <row r="6248" spans="1:7" x14ac:dyDescent="0.2">
      <c r="A6248" s="538">
        <v>7</v>
      </c>
      <c r="B6248" s="538" t="s">
        <v>6579</v>
      </c>
      <c r="C6248" s="538" t="s">
        <v>740</v>
      </c>
      <c r="D6248" s="538" t="s">
        <v>393</v>
      </c>
      <c r="E6248" s="538" t="s">
        <v>230</v>
      </c>
      <c r="F6248" s="538">
        <v>170982</v>
      </c>
      <c r="G6248" s="538">
        <v>4</v>
      </c>
    </row>
    <row r="6249" spans="1:7" x14ac:dyDescent="0.2">
      <c r="A6249" s="538">
        <v>7</v>
      </c>
      <c r="B6249" s="538" t="s">
        <v>6579</v>
      </c>
      <c r="C6249" s="538" t="s">
        <v>740</v>
      </c>
      <c r="D6249" s="538" t="s">
        <v>393</v>
      </c>
      <c r="E6249" s="538" t="s">
        <v>210</v>
      </c>
      <c r="F6249" s="538">
        <v>42576081</v>
      </c>
      <c r="G6249" s="538">
        <v>1672</v>
      </c>
    </row>
    <row r="6250" spans="1:7" x14ac:dyDescent="0.2">
      <c r="A6250" s="538">
        <v>4</v>
      </c>
      <c r="B6250" s="538" t="s">
        <v>6559</v>
      </c>
      <c r="C6250" s="538" t="s">
        <v>740</v>
      </c>
      <c r="D6250" s="538" t="s">
        <v>393</v>
      </c>
      <c r="E6250" s="538" t="s">
        <v>212</v>
      </c>
      <c r="F6250" s="538">
        <v>67968</v>
      </c>
      <c r="G6250" s="538">
        <v>6</v>
      </c>
    </row>
    <row r="6251" spans="1:7" x14ac:dyDescent="0.2">
      <c r="A6251" s="538">
        <v>1</v>
      </c>
      <c r="B6251" s="538" t="s">
        <v>6581</v>
      </c>
      <c r="C6251" s="538" t="s">
        <v>740</v>
      </c>
      <c r="D6251" s="538" t="s">
        <v>393</v>
      </c>
      <c r="E6251" s="538" t="s">
        <v>210</v>
      </c>
      <c r="F6251" s="538">
        <v>19174702</v>
      </c>
      <c r="G6251" s="538">
        <v>884</v>
      </c>
    </row>
    <row r="6252" spans="1:7" x14ac:dyDescent="0.2">
      <c r="A6252" s="538">
        <v>8</v>
      </c>
      <c r="B6252" s="538" t="s">
        <v>6567</v>
      </c>
      <c r="C6252" s="538" t="s">
        <v>740</v>
      </c>
      <c r="D6252" s="538" t="s">
        <v>393</v>
      </c>
      <c r="E6252" s="538" t="s">
        <v>401</v>
      </c>
      <c r="F6252" s="538">
        <v>430287</v>
      </c>
      <c r="G6252" s="538">
        <v>29</v>
      </c>
    </row>
    <row r="6253" spans="1:7" x14ac:dyDescent="0.2">
      <c r="A6253" s="538">
        <v>5</v>
      </c>
      <c r="B6253" s="538" t="s">
        <v>6566</v>
      </c>
      <c r="C6253" s="538" t="s">
        <v>393</v>
      </c>
      <c r="D6253" s="538" t="s">
        <v>393</v>
      </c>
      <c r="E6253" s="538" t="s">
        <v>860</v>
      </c>
      <c r="F6253" s="538">
        <v>1848130</v>
      </c>
      <c r="G6253" s="538">
        <v>45</v>
      </c>
    </row>
    <row r="6254" spans="1:7" x14ac:dyDescent="0.2">
      <c r="A6254" s="538">
        <v>2</v>
      </c>
      <c r="B6254" s="538" t="s">
        <v>6656</v>
      </c>
      <c r="C6254" s="538" t="s">
        <v>393</v>
      </c>
      <c r="D6254" s="538" t="s">
        <v>740</v>
      </c>
      <c r="E6254" s="538" t="s">
        <v>438</v>
      </c>
      <c r="F6254" s="538">
        <v>108147</v>
      </c>
      <c r="G6254" s="538">
        <v>4</v>
      </c>
    </row>
    <row r="6255" spans="1:7" x14ac:dyDescent="0.2">
      <c r="A6255" s="538">
        <v>8</v>
      </c>
      <c r="B6255" s="538" t="s">
        <v>6648</v>
      </c>
      <c r="C6255" s="538" t="s">
        <v>393</v>
      </c>
      <c r="D6255" s="538" t="s">
        <v>393</v>
      </c>
      <c r="E6255" s="538" t="s">
        <v>860</v>
      </c>
      <c r="F6255" s="538">
        <v>2032741</v>
      </c>
      <c r="G6255" s="538">
        <v>37</v>
      </c>
    </row>
    <row r="6256" spans="1:7" x14ac:dyDescent="0.2">
      <c r="A6256" s="538">
        <v>3</v>
      </c>
      <c r="B6256" s="538" t="s">
        <v>6603</v>
      </c>
      <c r="C6256" s="538" t="s">
        <v>393</v>
      </c>
      <c r="D6256" s="538" t="s">
        <v>393</v>
      </c>
      <c r="E6256" s="538" t="s">
        <v>207</v>
      </c>
      <c r="F6256" s="538">
        <v>18879320</v>
      </c>
      <c r="G6256" s="538">
        <v>1355</v>
      </c>
    </row>
    <row r="6257" spans="1:7" x14ac:dyDescent="0.2">
      <c r="A6257" s="538">
        <v>5</v>
      </c>
      <c r="B6257" s="538" t="s">
        <v>6599</v>
      </c>
      <c r="C6257" s="538" t="s">
        <v>393</v>
      </c>
      <c r="D6257" s="538" t="s">
        <v>740</v>
      </c>
      <c r="E6257" s="538" t="s">
        <v>202</v>
      </c>
      <c r="F6257" s="538">
        <v>927605</v>
      </c>
      <c r="G6257" s="538">
        <v>10</v>
      </c>
    </row>
    <row r="6258" spans="1:7" x14ac:dyDescent="0.2">
      <c r="A6258" s="538">
        <v>9</v>
      </c>
      <c r="B6258" s="538" t="s">
        <v>6644</v>
      </c>
      <c r="C6258" s="538" t="s">
        <v>393</v>
      </c>
      <c r="D6258" s="538" t="s">
        <v>393</v>
      </c>
      <c r="E6258" s="538" t="s">
        <v>409</v>
      </c>
      <c r="F6258" s="538">
        <v>403737</v>
      </c>
      <c r="G6258" s="538">
        <v>19</v>
      </c>
    </row>
    <row r="6259" spans="1:7" x14ac:dyDescent="0.2">
      <c r="A6259" s="538">
        <v>4</v>
      </c>
      <c r="B6259" s="538" t="s">
        <v>6593</v>
      </c>
      <c r="C6259" s="538" t="s">
        <v>393</v>
      </c>
      <c r="D6259" s="538" t="s">
        <v>740</v>
      </c>
      <c r="E6259" s="538" t="s">
        <v>210</v>
      </c>
      <c r="F6259" s="538">
        <v>148326</v>
      </c>
      <c r="G6259" s="538">
        <v>2</v>
      </c>
    </row>
    <row r="6260" spans="1:7" x14ac:dyDescent="0.2">
      <c r="A6260" s="538">
        <v>9</v>
      </c>
      <c r="B6260" s="538" t="s">
        <v>6657</v>
      </c>
      <c r="C6260" s="538" t="s">
        <v>740</v>
      </c>
      <c r="D6260" s="538" t="s">
        <v>740</v>
      </c>
      <c r="E6260" s="538" t="s">
        <v>230</v>
      </c>
      <c r="F6260" s="538">
        <v>45312</v>
      </c>
      <c r="G6260" s="538">
        <v>4</v>
      </c>
    </row>
    <row r="6261" spans="1:7" x14ac:dyDescent="0.2">
      <c r="A6261" s="538">
        <v>11</v>
      </c>
      <c r="B6261" s="538" t="s">
        <v>6612</v>
      </c>
      <c r="C6261" s="538" t="s">
        <v>740</v>
      </c>
      <c r="D6261" s="538" t="s">
        <v>393</v>
      </c>
      <c r="E6261" s="538" t="s">
        <v>416</v>
      </c>
      <c r="F6261" s="538">
        <v>17207639</v>
      </c>
      <c r="G6261" s="538">
        <v>358</v>
      </c>
    </row>
    <row r="6262" spans="1:7" x14ac:dyDescent="0.2">
      <c r="A6262" s="538">
        <v>12</v>
      </c>
      <c r="B6262" s="538" t="s">
        <v>6616</v>
      </c>
      <c r="C6262" s="538" t="s">
        <v>740</v>
      </c>
      <c r="D6262" s="538" t="s">
        <v>393</v>
      </c>
      <c r="E6262" s="538" t="s">
        <v>390</v>
      </c>
      <c r="F6262" s="538">
        <v>17916992</v>
      </c>
      <c r="G6262" s="538">
        <v>589</v>
      </c>
    </row>
    <row r="6263" spans="1:7" x14ac:dyDescent="0.2">
      <c r="A6263" s="538">
        <v>3</v>
      </c>
      <c r="B6263" s="538" t="s">
        <v>6561</v>
      </c>
      <c r="C6263" s="538" t="s">
        <v>393</v>
      </c>
      <c r="D6263" s="538" t="s">
        <v>393</v>
      </c>
      <c r="E6263" s="538" t="s">
        <v>207</v>
      </c>
      <c r="F6263" s="538">
        <v>18185241</v>
      </c>
      <c r="G6263" s="538">
        <v>902</v>
      </c>
    </row>
    <row r="6264" spans="1:7" x14ac:dyDescent="0.2">
      <c r="A6264" s="538">
        <v>10</v>
      </c>
      <c r="B6264" s="538" t="s">
        <v>6582</v>
      </c>
      <c r="C6264" s="538" t="s">
        <v>740</v>
      </c>
      <c r="D6264" s="538" t="s">
        <v>393</v>
      </c>
      <c r="E6264" s="538" t="s">
        <v>416</v>
      </c>
      <c r="F6264" s="538">
        <v>11328</v>
      </c>
      <c r="G6264" s="538">
        <v>1</v>
      </c>
    </row>
    <row r="6265" spans="1:7" x14ac:dyDescent="0.2">
      <c r="A6265" s="538">
        <v>7</v>
      </c>
      <c r="B6265" s="538" t="s">
        <v>6571</v>
      </c>
      <c r="C6265" s="538" t="s">
        <v>740</v>
      </c>
      <c r="D6265" s="538" t="s">
        <v>393</v>
      </c>
      <c r="E6265" s="538" t="s">
        <v>416</v>
      </c>
      <c r="F6265" s="538">
        <v>61596</v>
      </c>
      <c r="G6265" s="538">
        <v>2</v>
      </c>
    </row>
    <row r="6266" spans="1:7" x14ac:dyDescent="0.2">
      <c r="A6266" s="538">
        <v>6</v>
      </c>
      <c r="B6266" s="538" t="s">
        <v>1668</v>
      </c>
      <c r="C6266" s="538" t="s">
        <v>740</v>
      </c>
      <c r="D6266" s="538" t="s">
        <v>740</v>
      </c>
      <c r="E6266" s="538" t="s">
        <v>438</v>
      </c>
      <c r="F6266" s="538">
        <v>11328</v>
      </c>
      <c r="G6266" s="538">
        <v>1</v>
      </c>
    </row>
    <row r="6267" spans="1:7" x14ac:dyDescent="0.2">
      <c r="A6267" s="538">
        <v>2</v>
      </c>
      <c r="B6267" s="538" t="s">
        <v>6585</v>
      </c>
      <c r="C6267" s="538" t="s">
        <v>393</v>
      </c>
      <c r="D6267" s="538" t="s">
        <v>393</v>
      </c>
      <c r="E6267" s="538" t="s">
        <v>416</v>
      </c>
      <c r="F6267" s="538">
        <v>35060256</v>
      </c>
      <c r="G6267" s="538">
        <v>622</v>
      </c>
    </row>
    <row r="6268" spans="1:7" x14ac:dyDescent="0.2">
      <c r="A6268" s="538">
        <v>7</v>
      </c>
      <c r="B6268" s="538" t="s">
        <v>6604</v>
      </c>
      <c r="C6268" s="538" t="s">
        <v>740</v>
      </c>
      <c r="D6268" s="538" t="s">
        <v>393</v>
      </c>
      <c r="E6268" s="538" t="s">
        <v>230</v>
      </c>
      <c r="F6268" s="538">
        <v>2347041</v>
      </c>
      <c r="G6268" s="538">
        <v>42</v>
      </c>
    </row>
    <row r="6269" spans="1:7" x14ac:dyDescent="0.2">
      <c r="A6269" s="538">
        <v>10</v>
      </c>
      <c r="B6269" s="538" t="s">
        <v>6611</v>
      </c>
      <c r="C6269" s="538" t="s">
        <v>393</v>
      </c>
      <c r="D6269" s="538" t="s">
        <v>393</v>
      </c>
      <c r="E6269" s="538" t="s">
        <v>211</v>
      </c>
      <c r="F6269" s="538">
        <v>3792496</v>
      </c>
      <c r="G6269" s="538">
        <v>57</v>
      </c>
    </row>
    <row r="6270" spans="1:7" x14ac:dyDescent="0.2">
      <c r="A6270" s="538">
        <v>3</v>
      </c>
      <c r="B6270" s="538" t="s">
        <v>6561</v>
      </c>
      <c r="C6270" s="538" t="s">
        <v>393</v>
      </c>
      <c r="D6270" s="538" t="s">
        <v>393</v>
      </c>
      <c r="E6270" s="538" t="s">
        <v>401</v>
      </c>
      <c r="F6270" s="538">
        <v>1441915</v>
      </c>
      <c r="G6270" s="538">
        <v>25</v>
      </c>
    </row>
    <row r="6271" spans="1:7" x14ac:dyDescent="0.2">
      <c r="A6271" s="538">
        <v>7</v>
      </c>
      <c r="B6271" s="538" t="s">
        <v>6661</v>
      </c>
      <c r="C6271" s="538" t="s">
        <v>740</v>
      </c>
      <c r="D6271" s="538" t="s">
        <v>393</v>
      </c>
      <c r="E6271" s="538" t="s">
        <v>210</v>
      </c>
      <c r="F6271" s="538">
        <v>2430991</v>
      </c>
      <c r="G6271" s="538">
        <v>102</v>
      </c>
    </row>
    <row r="6272" spans="1:7" x14ac:dyDescent="0.2">
      <c r="A6272" s="538">
        <v>7</v>
      </c>
      <c r="B6272" s="538" t="s">
        <v>6580</v>
      </c>
      <c r="C6272" s="538" t="s">
        <v>740</v>
      </c>
      <c r="D6272" s="538" t="s">
        <v>393</v>
      </c>
      <c r="E6272" s="538" t="s">
        <v>202</v>
      </c>
      <c r="F6272" s="538">
        <v>1065790</v>
      </c>
      <c r="G6272" s="538">
        <v>5</v>
      </c>
    </row>
    <row r="6273" spans="1:7" x14ac:dyDescent="0.2">
      <c r="A6273" s="538">
        <v>3</v>
      </c>
      <c r="B6273" s="538" t="s">
        <v>1390</v>
      </c>
      <c r="C6273" s="538" t="s">
        <v>740</v>
      </c>
      <c r="D6273" s="538" t="s">
        <v>393</v>
      </c>
      <c r="E6273" s="538" t="s">
        <v>449</v>
      </c>
      <c r="F6273" s="538">
        <v>22656</v>
      </c>
      <c r="G6273" s="538">
        <v>2</v>
      </c>
    </row>
    <row r="6274" spans="1:7" x14ac:dyDescent="0.2">
      <c r="A6274" s="538">
        <v>8</v>
      </c>
      <c r="B6274" s="538" t="s">
        <v>6658</v>
      </c>
      <c r="C6274" s="538" t="s">
        <v>393</v>
      </c>
      <c r="D6274" s="538" t="s">
        <v>740</v>
      </c>
      <c r="E6274" s="538" t="s">
        <v>416</v>
      </c>
      <c r="F6274" s="538">
        <v>3810654</v>
      </c>
      <c r="G6274" s="538">
        <v>98</v>
      </c>
    </row>
    <row r="6275" spans="1:7" x14ac:dyDescent="0.2">
      <c r="A6275" s="538">
        <v>4</v>
      </c>
      <c r="B6275" s="538" t="s">
        <v>6559</v>
      </c>
      <c r="C6275" s="538" t="s">
        <v>740</v>
      </c>
      <c r="D6275" s="538" t="s">
        <v>393</v>
      </c>
      <c r="E6275" s="538" t="s">
        <v>207</v>
      </c>
      <c r="F6275" s="538">
        <v>17614426</v>
      </c>
      <c r="G6275" s="538">
        <v>1107</v>
      </c>
    </row>
    <row r="6276" spans="1:7" x14ac:dyDescent="0.2">
      <c r="A6276" s="538">
        <v>7</v>
      </c>
      <c r="B6276" s="538" t="s">
        <v>6661</v>
      </c>
      <c r="C6276" s="538" t="s">
        <v>393</v>
      </c>
      <c r="D6276" s="538" t="s">
        <v>740</v>
      </c>
      <c r="E6276" s="538" t="s">
        <v>210</v>
      </c>
      <c r="F6276" s="538">
        <v>22656</v>
      </c>
      <c r="G6276" s="538">
        <v>2</v>
      </c>
    </row>
    <row r="6277" spans="1:7" x14ac:dyDescent="0.2">
      <c r="A6277" s="538">
        <v>6</v>
      </c>
      <c r="B6277" s="538" t="s">
        <v>6429</v>
      </c>
      <c r="C6277" s="538" t="s">
        <v>740</v>
      </c>
      <c r="D6277" s="538" t="s">
        <v>393</v>
      </c>
      <c r="E6277" s="538" t="s">
        <v>438</v>
      </c>
      <c r="F6277" s="538">
        <v>224807778</v>
      </c>
      <c r="G6277" s="538">
        <v>2466</v>
      </c>
    </row>
    <row r="6278" spans="1:7" x14ac:dyDescent="0.2">
      <c r="A6278" s="538">
        <v>6</v>
      </c>
      <c r="B6278" s="538" t="s">
        <v>6429</v>
      </c>
      <c r="C6278" s="538" t="s">
        <v>740</v>
      </c>
      <c r="D6278" s="538" t="s">
        <v>393</v>
      </c>
      <c r="E6278" s="538" t="s">
        <v>206</v>
      </c>
      <c r="F6278" s="538">
        <v>716444</v>
      </c>
      <c r="G6278" s="538">
        <v>8</v>
      </c>
    </row>
    <row r="6279" spans="1:7" x14ac:dyDescent="0.2">
      <c r="A6279" s="538">
        <v>6</v>
      </c>
      <c r="B6279" s="538" t="s">
        <v>6429</v>
      </c>
      <c r="C6279" s="538" t="s">
        <v>393</v>
      </c>
      <c r="D6279" s="538" t="s">
        <v>740</v>
      </c>
      <c r="E6279" s="538" t="s">
        <v>402</v>
      </c>
      <c r="F6279" s="538">
        <v>2304384</v>
      </c>
      <c r="G6279" s="538">
        <v>48</v>
      </c>
    </row>
    <row r="6280" spans="1:7" x14ac:dyDescent="0.2">
      <c r="A6280" s="538">
        <v>7</v>
      </c>
      <c r="B6280" s="538" t="s">
        <v>6604</v>
      </c>
      <c r="C6280" s="538" t="s">
        <v>393</v>
      </c>
      <c r="D6280" s="538" t="s">
        <v>740</v>
      </c>
      <c r="E6280" s="538" t="s">
        <v>210</v>
      </c>
      <c r="F6280" s="538">
        <v>1004194</v>
      </c>
      <c r="G6280" s="538">
        <v>3</v>
      </c>
    </row>
    <row r="6281" spans="1:7" x14ac:dyDescent="0.2">
      <c r="A6281" s="538">
        <v>10</v>
      </c>
      <c r="B6281" s="538" t="s">
        <v>6597</v>
      </c>
      <c r="C6281" s="538" t="s">
        <v>740</v>
      </c>
      <c r="D6281" s="538" t="s">
        <v>393</v>
      </c>
      <c r="E6281" s="538" t="s">
        <v>419</v>
      </c>
      <c r="F6281" s="538">
        <v>50268</v>
      </c>
      <c r="G6281" s="538">
        <v>1</v>
      </c>
    </row>
    <row r="6282" spans="1:7" x14ac:dyDescent="0.2">
      <c r="A6282" s="538">
        <v>12</v>
      </c>
      <c r="B6282" s="538" t="s">
        <v>6616</v>
      </c>
      <c r="C6282" s="538" t="s">
        <v>740</v>
      </c>
      <c r="D6282" s="538" t="s">
        <v>393</v>
      </c>
      <c r="E6282" s="538" t="s">
        <v>860</v>
      </c>
      <c r="F6282" s="538">
        <v>1424621</v>
      </c>
      <c r="G6282" s="538">
        <v>47</v>
      </c>
    </row>
    <row r="6283" spans="1:7" x14ac:dyDescent="0.2">
      <c r="A6283" s="538">
        <v>1</v>
      </c>
      <c r="B6283" s="538" t="s">
        <v>6602</v>
      </c>
      <c r="C6283" s="538" t="s">
        <v>740</v>
      </c>
      <c r="D6283" s="538" t="s">
        <v>393</v>
      </c>
      <c r="E6283" s="538" t="s">
        <v>313</v>
      </c>
      <c r="F6283" s="538">
        <v>7467058</v>
      </c>
      <c r="G6283" s="538">
        <v>51</v>
      </c>
    </row>
    <row r="6284" spans="1:7" x14ac:dyDescent="0.2">
      <c r="A6284" s="538">
        <v>12</v>
      </c>
      <c r="B6284" s="538" t="s">
        <v>6569</v>
      </c>
      <c r="C6284" s="538" t="s">
        <v>740</v>
      </c>
      <c r="D6284" s="538" t="s">
        <v>740</v>
      </c>
      <c r="E6284" s="538" t="s">
        <v>202</v>
      </c>
      <c r="F6284" s="538">
        <v>3260257</v>
      </c>
      <c r="G6284" s="538">
        <v>24</v>
      </c>
    </row>
    <row r="6285" spans="1:7" x14ac:dyDescent="0.2">
      <c r="A6285" s="538">
        <v>4</v>
      </c>
      <c r="B6285" s="538" t="s">
        <v>6572</v>
      </c>
      <c r="C6285" s="538" t="s">
        <v>740</v>
      </c>
      <c r="D6285" s="538" t="s">
        <v>393</v>
      </c>
      <c r="E6285" s="538" t="s">
        <v>416</v>
      </c>
      <c r="F6285" s="538">
        <v>106908</v>
      </c>
      <c r="G6285" s="538">
        <v>6</v>
      </c>
    </row>
    <row r="6286" spans="1:7" x14ac:dyDescent="0.2">
      <c r="A6286" s="538">
        <v>7</v>
      </c>
      <c r="B6286" s="538" t="s">
        <v>6604</v>
      </c>
      <c r="C6286" s="538" t="s">
        <v>740</v>
      </c>
      <c r="D6286" s="538" t="s">
        <v>393</v>
      </c>
      <c r="E6286" s="538" t="s">
        <v>390</v>
      </c>
      <c r="F6286" s="538">
        <v>3229490</v>
      </c>
      <c r="G6286" s="538">
        <v>145</v>
      </c>
    </row>
    <row r="6287" spans="1:7" x14ac:dyDescent="0.2">
      <c r="A6287" s="538">
        <v>7</v>
      </c>
      <c r="B6287" s="538" t="s">
        <v>6604</v>
      </c>
      <c r="C6287" s="538" t="s">
        <v>740</v>
      </c>
      <c r="D6287" s="538" t="s">
        <v>740</v>
      </c>
      <c r="E6287" s="538" t="s">
        <v>402</v>
      </c>
      <c r="F6287" s="538">
        <v>129564</v>
      </c>
      <c r="G6287" s="538">
        <v>8</v>
      </c>
    </row>
    <row r="6288" spans="1:7" x14ac:dyDescent="0.2">
      <c r="A6288" s="538">
        <v>4</v>
      </c>
      <c r="B6288" s="538" t="s">
        <v>6559</v>
      </c>
      <c r="C6288" s="538" t="s">
        <v>393</v>
      </c>
      <c r="D6288" s="538" t="s">
        <v>393</v>
      </c>
      <c r="E6288" s="538" t="s">
        <v>202</v>
      </c>
      <c r="F6288" s="538">
        <v>2800234</v>
      </c>
      <c r="G6288" s="538">
        <v>13</v>
      </c>
    </row>
    <row r="6289" spans="1:7" x14ac:dyDescent="0.2">
      <c r="A6289" s="538">
        <v>5</v>
      </c>
      <c r="B6289" s="538" t="s">
        <v>6651</v>
      </c>
      <c r="C6289" s="538" t="s">
        <v>740</v>
      </c>
      <c r="D6289" s="538" t="s">
        <v>393</v>
      </c>
      <c r="E6289" s="538" t="s">
        <v>449</v>
      </c>
      <c r="F6289" s="538">
        <v>119475</v>
      </c>
      <c r="G6289" s="538">
        <v>5</v>
      </c>
    </row>
    <row r="6290" spans="1:7" x14ac:dyDescent="0.2">
      <c r="A6290" s="538">
        <v>8</v>
      </c>
      <c r="B6290" s="538" t="s">
        <v>6570</v>
      </c>
      <c r="C6290" s="538" t="s">
        <v>740</v>
      </c>
      <c r="D6290" s="538" t="s">
        <v>393</v>
      </c>
      <c r="E6290" s="538" t="s">
        <v>202</v>
      </c>
      <c r="F6290" s="538">
        <v>6182496</v>
      </c>
      <c r="G6290" s="538">
        <v>37</v>
      </c>
    </row>
    <row r="6291" spans="1:7" x14ac:dyDescent="0.2">
      <c r="A6291" s="538">
        <v>7</v>
      </c>
      <c r="B6291" s="538" t="s">
        <v>6564</v>
      </c>
      <c r="C6291" s="538" t="s">
        <v>740</v>
      </c>
      <c r="D6291" s="538" t="s">
        <v>393</v>
      </c>
      <c r="E6291" s="538" t="s">
        <v>449</v>
      </c>
      <c r="F6291" s="538">
        <v>140892</v>
      </c>
      <c r="G6291" s="538">
        <v>9</v>
      </c>
    </row>
    <row r="6292" spans="1:7" x14ac:dyDescent="0.2">
      <c r="A6292" s="538">
        <v>8</v>
      </c>
      <c r="B6292" s="538" t="s">
        <v>6648</v>
      </c>
      <c r="C6292" s="538" t="s">
        <v>393</v>
      </c>
      <c r="D6292" s="538" t="s">
        <v>393</v>
      </c>
      <c r="E6292" s="538" t="s">
        <v>202</v>
      </c>
      <c r="F6292" s="538">
        <v>3408864</v>
      </c>
      <c r="G6292" s="538">
        <v>38</v>
      </c>
    </row>
    <row r="6293" spans="1:7" x14ac:dyDescent="0.2">
      <c r="A6293" s="538">
        <v>4</v>
      </c>
      <c r="B6293" s="538" t="s">
        <v>6593</v>
      </c>
      <c r="C6293" s="538" t="s">
        <v>740</v>
      </c>
      <c r="D6293" s="538" t="s">
        <v>740</v>
      </c>
      <c r="E6293" s="538" t="s">
        <v>438</v>
      </c>
      <c r="F6293" s="538">
        <v>882470</v>
      </c>
      <c r="G6293" s="538">
        <v>15</v>
      </c>
    </row>
    <row r="6294" spans="1:7" x14ac:dyDescent="0.2">
      <c r="A6294" s="538">
        <v>5</v>
      </c>
      <c r="B6294" s="538" t="s">
        <v>6568</v>
      </c>
      <c r="C6294" s="538" t="s">
        <v>740</v>
      </c>
      <c r="D6294" s="538" t="s">
        <v>740</v>
      </c>
      <c r="E6294" s="538" t="s">
        <v>402</v>
      </c>
      <c r="F6294" s="538">
        <v>6977257</v>
      </c>
      <c r="G6294" s="538">
        <v>224</v>
      </c>
    </row>
    <row r="6295" spans="1:7" x14ac:dyDescent="0.2">
      <c r="A6295" s="538">
        <v>10</v>
      </c>
      <c r="B6295" s="538" t="s">
        <v>6611</v>
      </c>
      <c r="C6295" s="538" t="s">
        <v>393</v>
      </c>
      <c r="D6295" s="538" t="s">
        <v>393</v>
      </c>
      <c r="E6295" s="538" t="s">
        <v>449</v>
      </c>
      <c r="F6295" s="538">
        <v>56640</v>
      </c>
      <c r="G6295" s="538">
        <v>5</v>
      </c>
    </row>
    <row r="6296" spans="1:7" x14ac:dyDescent="0.2">
      <c r="A6296" s="538">
        <v>8</v>
      </c>
      <c r="B6296" s="538" t="s">
        <v>6560</v>
      </c>
      <c r="C6296" s="538" t="s">
        <v>393</v>
      </c>
      <c r="D6296" s="538" t="s">
        <v>393</v>
      </c>
      <c r="E6296" s="538" t="s">
        <v>211</v>
      </c>
      <c r="F6296" s="538">
        <v>28404358</v>
      </c>
      <c r="G6296" s="538">
        <v>401</v>
      </c>
    </row>
    <row r="6297" spans="1:7" x14ac:dyDescent="0.2">
      <c r="A6297" s="538">
        <v>1</v>
      </c>
      <c r="B6297" s="538" t="s">
        <v>1288</v>
      </c>
      <c r="C6297" s="538" t="s">
        <v>393</v>
      </c>
      <c r="D6297" s="538" t="s">
        <v>393</v>
      </c>
      <c r="E6297" s="538" t="s">
        <v>313</v>
      </c>
      <c r="F6297" s="538">
        <v>1067029</v>
      </c>
      <c r="G6297" s="538">
        <v>3</v>
      </c>
    </row>
    <row r="6298" spans="1:7" x14ac:dyDescent="0.2">
      <c r="A6298" s="538">
        <v>1</v>
      </c>
      <c r="B6298" s="538" t="s">
        <v>6602</v>
      </c>
      <c r="C6298" s="538" t="s">
        <v>393</v>
      </c>
      <c r="D6298" s="538" t="s">
        <v>393</v>
      </c>
      <c r="E6298" s="538" t="s">
        <v>211</v>
      </c>
      <c r="F6298" s="538">
        <v>26423676</v>
      </c>
      <c r="G6298" s="538">
        <v>312</v>
      </c>
    </row>
    <row r="6299" spans="1:7" x14ac:dyDescent="0.2">
      <c r="A6299" s="538">
        <v>2</v>
      </c>
      <c r="B6299" s="538" t="s">
        <v>6656</v>
      </c>
      <c r="C6299" s="538" t="s">
        <v>740</v>
      </c>
      <c r="D6299" s="538" t="s">
        <v>393</v>
      </c>
      <c r="E6299" s="538" t="s">
        <v>449</v>
      </c>
      <c r="F6299" s="538">
        <v>22656</v>
      </c>
      <c r="G6299" s="538">
        <v>2</v>
      </c>
    </row>
    <row r="6300" spans="1:7" x14ac:dyDescent="0.2">
      <c r="A6300" s="538">
        <v>7</v>
      </c>
      <c r="B6300" s="538" t="s">
        <v>6661</v>
      </c>
      <c r="C6300" s="538" t="s">
        <v>740</v>
      </c>
      <c r="D6300" s="538" t="s">
        <v>393</v>
      </c>
      <c r="E6300" s="538" t="s">
        <v>211</v>
      </c>
      <c r="F6300" s="538">
        <v>61596</v>
      </c>
      <c r="G6300" s="538">
        <v>2</v>
      </c>
    </row>
    <row r="6301" spans="1:7" x14ac:dyDescent="0.2">
      <c r="A6301" s="538">
        <v>2</v>
      </c>
      <c r="B6301" s="538" t="s">
        <v>6055</v>
      </c>
      <c r="C6301" s="538" t="s">
        <v>740</v>
      </c>
      <c r="D6301" s="538" t="s">
        <v>393</v>
      </c>
      <c r="E6301" s="538" t="s">
        <v>202</v>
      </c>
      <c r="F6301" s="538">
        <v>85491</v>
      </c>
      <c r="G6301" s="538">
        <v>2</v>
      </c>
    </row>
    <row r="6302" spans="1:7" x14ac:dyDescent="0.2">
      <c r="A6302" s="538">
        <v>7</v>
      </c>
      <c r="B6302" s="538" t="s">
        <v>6564</v>
      </c>
      <c r="C6302" s="538" t="s">
        <v>740</v>
      </c>
      <c r="D6302" s="538" t="s">
        <v>740</v>
      </c>
      <c r="E6302" s="538" t="s">
        <v>207</v>
      </c>
      <c r="F6302" s="538">
        <v>1587867</v>
      </c>
      <c r="G6302" s="538">
        <v>109</v>
      </c>
    </row>
    <row r="6303" spans="1:7" x14ac:dyDescent="0.2">
      <c r="A6303" s="538">
        <v>6</v>
      </c>
      <c r="B6303" s="538" t="s">
        <v>6575</v>
      </c>
      <c r="C6303" s="538" t="s">
        <v>393</v>
      </c>
      <c r="D6303" s="538" t="s">
        <v>393</v>
      </c>
      <c r="E6303" s="538" t="s">
        <v>390</v>
      </c>
      <c r="F6303" s="538">
        <v>20158083</v>
      </c>
      <c r="G6303" s="538">
        <v>546</v>
      </c>
    </row>
    <row r="6304" spans="1:7" x14ac:dyDescent="0.2">
      <c r="A6304" s="538">
        <v>2</v>
      </c>
      <c r="B6304" s="538" t="s">
        <v>6585</v>
      </c>
      <c r="C6304" s="538" t="s">
        <v>740</v>
      </c>
      <c r="D6304" s="538" t="s">
        <v>393</v>
      </c>
      <c r="E6304" s="538" t="s">
        <v>416</v>
      </c>
      <c r="F6304" s="538">
        <v>3470585</v>
      </c>
      <c r="G6304" s="538">
        <v>50</v>
      </c>
    </row>
    <row r="6305" spans="1:7" x14ac:dyDescent="0.2">
      <c r="A6305" s="538">
        <v>11</v>
      </c>
      <c r="B6305" s="538" t="s">
        <v>6610</v>
      </c>
      <c r="C6305" s="538" t="s">
        <v>740</v>
      </c>
      <c r="D6305" s="538" t="s">
        <v>393</v>
      </c>
      <c r="E6305" s="538" t="s">
        <v>212</v>
      </c>
      <c r="F6305" s="538">
        <v>294528</v>
      </c>
      <c r="G6305" s="538">
        <v>26</v>
      </c>
    </row>
    <row r="6306" spans="1:7" x14ac:dyDescent="0.2">
      <c r="A6306" s="538">
        <v>2</v>
      </c>
      <c r="B6306" s="538" t="s">
        <v>6662</v>
      </c>
      <c r="C6306" s="538" t="s">
        <v>393</v>
      </c>
      <c r="D6306" s="538" t="s">
        <v>393</v>
      </c>
      <c r="E6306" s="538" t="s">
        <v>390</v>
      </c>
      <c r="F6306" s="538">
        <v>11383110</v>
      </c>
      <c r="G6306" s="538">
        <v>220</v>
      </c>
    </row>
    <row r="6307" spans="1:7" x14ac:dyDescent="0.2">
      <c r="A6307" s="538">
        <v>7</v>
      </c>
      <c r="B6307" s="538" t="s">
        <v>6580</v>
      </c>
      <c r="C6307" s="538" t="s">
        <v>740</v>
      </c>
      <c r="D6307" s="538" t="s">
        <v>393</v>
      </c>
      <c r="E6307" s="538" t="s">
        <v>390</v>
      </c>
      <c r="F6307" s="538">
        <v>5697630</v>
      </c>
      <c r="G6307" s="538">
        <v>300</v>
      </c>
    </row>
    <row r="6308" spans="1:7" x14ac:dyDescent="0.2">
      <c r="A6308" s="538">
        <v>6</v>
      </c>
      <c r="B6308" s="538" t="s">
        <v>6565</v>
      </c>
      <c r="C6308" s="538" t="s">
        <v>393</v>
      </c>
      <c r="D6308" s="538" t="s">
        <v>393</v>
      </c>
      <c r="E6308" s="538" t="s">
        <v>416</v>
      </c>
      <c r="F6308" s="538">
        <v>38226380</v>
      </c>
      <c r="G6308" s="538">
        <v>745</v>
      </c>
    </row>
    <row r="6309" spans="1:7" x14ac:dyDescent="0.2">
      <c r="A6309" s="538">
        <v>1</v>
      </c>
      <c r="B6309" s="538" t="s">
        <v>6581</v>
      </c>
      <c r="C6309" s="538" t="s">
        <v>393</v>
      </c>
      <c r="D6309" s="538" t="s">
        <v>393</v>
      </c>
      <c r="E6309" s="538" t="s">
        <v>860</v>
      </c>
      <c r="F6309" s="538">
        <v>1621799</v>
      </c>
      <c r="G6309" s="538">
        <v>43</v>
      </c>
    </row>
    <row r="6310" spans="1:7" x14ac:dyDescent="0.2">
      <c r="A6310" s="538">
        <v>8</v>
      </c>
      <c r="B6310" s="538" t="s">
        <v>6577</v>
      </c>
      <c r="C6310" s="538" t="s">
        <v>393</v>
      </c>
      <c r="D6310" s="538" t="s">
        <v>393</v>
      </c>
      <c r="E6310" s="538" t="s">
        <v>211</v>
      </c>
      <c r="F6310" s="538">
        <v>7209731</v>
      </c>
      <c r="G6310" s="538">
        <v>152</v>
      </c>
    </row>
    <row r="6311" spans="1:7" x14ac:dyDescent="0.2">
      <c r="A6311" s="538">
        <v>4</v>
      </c>
      <c r="B6311" s="538" t="s">
        <v>6590</v>
      </c>
      <c r="C6311" s="538" t="s">
        <v>740</v>
      </c>
      <c r="D6311" s="538" t="s">
        <v>740</v>
      </c>
      <c r="E6311" s="538" t="s">
        <v>211</v>
      </c>
      <c r="F6311" s="538">
        <v>11328</v>
      </c>
      <c r="G6311" s="538">
        <v>1</v>
      </c>
    </row>
    <row r="6312" spans="1:7" x14ac:dyDescent="0.2">
      <c r="A6312" s="538">
        <v>4</v>
      </c>
      <c r="B6312" s="538" t="s">
        <v>6562</v>
      </c>
      <c r="C6312" s="538" t="s">
        <v>740</v>
      </c>
      <c r="D6312" s="538" t="s">
        <v>740</v>
      </c>
      <c r="E6312" s="538" t="s">
        <v>449</v>
      </c>
      <c r="F6312" s="538">
        <v>101952</v>
      </c>
      <c r="G6312" s="538">
        <v>9</v>
      </c>
    </row>
    <row r="6313" spans="1:7" x14ac:dyDescent="0.2">
      <c r="A6313" s="538">
        <v>11</v>
      </c>
      <c r="B6313" s="538" t="s">
        <v>6660</v>
      </c>
      <c r="C6313" s="538" t="s">
        <v>740</v>
      </c>
      <c r="D6313" s="538" t="s">
        <v>393</v>
      </c>
      <c r="E6313" s="538" t="s">
        <v>416</v>
      </c>
      <c r="F6313" s="538">
        <v>74163</v>
      </c>
      <c r="G6313" s="538">
        <v>1</v>
      </c>
    </row>
    <row r="6314" spans="1:7" x14ac:dyDescent="0.2">
      <c r="A6314" s="538">
        <v>5</v>
      </c>
      <c r="B6314" s="538" t="s">
        <v>6568</v>
      </c>
      <c r="C6314" s="538" t="s">
        <v>393</v>
      </c>
      <c r="D6314" s="538" t="s">
        <v>740</v>
      </c>
      <c r="E6314" s="538" t="s">
        <v>860</v>
      </c>
      <c r="F6314" s="538">
        <v>496433</v>
      </c>
      <c r="G6314" s="538">
        <v>1</v>
      </c>
    </row>
    <row r="6315" spans="1:7" x14ac:dyDescent="0.2">
      <c r="A6315" s="538">
        <v>4</v>
      </c>
      <c r="B6315" s="538" t="s">
        <v>6590</v>
      </c>
      <c r="C6315" s="538" t="s">
        <v>393</v>
      </c>
      <c r="D6315" s="538" t="s">
        <v>393</v>
      </c>
      <c r="E6315" s="538" t="s">
        <v>207</v>
      </c>
      <c r="F6315" s="538">
        <v>19606478</v>
      </c>
      <c r="G6315" s="538">
        <v>971</v>
      </c>
    </row>
    <row r="6316" spans="1:7" x14ac:dyDescent="0.2">
      <c r="A6316" s="538">
        <v>7</v>
      </c>
      <c r="B6316" s="538" t="s">
        <v>6661</v>
      </c>
      <c r="C6316" s="538" t="s">
        <v>740</v>
      </c>
      <c r="D6316" s="538" t="s">
        <v>393</v>
      </c>
      <c r="E6316" s="538" t="s">
        <v>230</v>
      </c>
      <c r="F6316" s="538">
        <v>2677073</v>
      </c>
      <c r="G6316" s="538">
        <v>96</v>
      </c>
    </row>
    <row r="6317" spans="1:7" x14ac:dyDescent="0.2">
      <c r="A6317" s="538">
        <v>10</v>
      </c>
      <c r="B6317" s="538" t="s">
        <v>6587</v>
      </c>
      <c r="C6317" s="538" t="s">
        <v>740</v>
      </c>
      <c r="D6317" s="538" t="s">
        <v>393</v>
      </c>
      <c r="E6317" s="538" t="s">
        <v>402</v>
      </c>
      <c r="F6317" s="538">
        <v>436305</v>
      </c>
      <c r="G6317" s="538">
        <v>15</v>
      </c>
    </row>
    <row r="6318" spans="1:7" x14ac:dyDescent="0.2">
      <c r="A6318" s="538">
        <v>12</v>
      </c>
      <c r="B6318" s="538" t="s">
        <v>6569</v>
      </c>
      <c r="C6318" s="538" t="s">
        <v>393</v>
      </c>
      <c r="D6318" s="538" t="s">
        <v>740</v>
      </c>
      <c r="E6318" s="538" t="s">
        <v>409</v>
      </c>
      <c r="F6318" s="538">
        <v>441438</v>
      </c>
      <c r="G6318" s="538">
        <v>21</v>
      </c>
    </row>
    <row r="6319" spans="1:7" x14ac:dyDescent="0.2">
      <c r="A6319" s="538">
        <v>3</v>
      </c>
      <c r="B6319" s="538" t="s">
        <v>6591</v>
      </c>
      <c r="C6319" s="538" t="s">
        <v>740</v>
      </c>
      <c r="D6319" s="538" t="s">
        <v>740</v>
      </c>
      <c r="E6319" s="538" t="s">
        <v>416</v>
      </c>
      <c r="F6319" s="538">
        <v>1527229</v>
      </c>
      <c r="G6319" s="538">
        <v>18</v>
      </c>
    </row>
    <row r="6320" spans="1:7" x14ac:dyDescent="0.2">
      <c r="A6320" s="538">
        <v>10</v>
      </c>
      <c r="B6320" s="538" t="s">
        <v>6600</v>
      </c>
      <c r="C6320" s="538" t="s">
        <v>393</v>
      </c>
      <c r="D6320" s="538" t="s">
        <v>393</v>
      </c>
      <c r="E6320" s="538" t="s">
        <v>860</v>
      </c>
      <c r="F6320" s="538">
        <v>671309</v>
      </c>
      <c r="G6320" s="538">
        <v>13</v>
      </c>
    </row>
    <row r="6321" spans="1:7" x14ac:dyDescent="0.2">
      <c r="A6321" s="538">
        <v>3</v>
      </c>
      <c r="B6321" s="538" t="s">
        <v>6603</v>
      </c>
      <c r="C6321" s="538" t="s">
        <v>740</v>
      </c>
      <c r="D6321" s="538" t="s">
        <v>393</v>
      </c>
      <c r="E6321" s="538" t="s">
        <v>313</v>
      </c>
      <c r="F6321" s="538">
        <v>182310</v>
      </c>
      <c r="G6321" s="538">
        <v>5</v>
      </c>
    </row>
    <row r="6322" spans="1:7" x14ac:dyDescent="0.2">
      <c r="A6322" s="538">
        <v>3</v>
      </c>
      <c r="B6322" s="538" t="s">
        <v>6586</v>
      </c>
      <c r="C6322" s="538" t="s">
        <v>740</v>
      </c>
      <c r="D6322" s="538" t="s">
        <v>393</v>
      </c>
      <c r="E6322" s="538" t="s">
        <v>313</v>
      </c>
      <c r="F6322" s="538">
        <v>11848537</v>
      </c>
      <c r="G6322" s="538">
        <v>104</v>
      </c>
    </row>
    <row r="6323" spans="1:7" x14ac:dyDescent="0.2">
      <c r="A6323" s="538">
        <v>1</v>
      </c>
      <c r="B6323" s="538" t="s">
        <v>6602</v>
      </c>
      <c r="C6323" s="538" t="s">
        <v>393</v>
      </c>
      <c r="D6323" s="538" t="s">
        <v>393</v>
      </c>
      <c r="E6323" s="538" t="s">
        <v>449</v>
      </c>
      <c r="F6323" s="538">
        <v>158592</v>
      </c>
      <c r="G6323" s="538">
        <v>14</v>
      </c>
    </row>
    <row r="6324" spans="1:7" x14ac:dyDescent="0.2">
      <c r="A6324" s="538">
        <v>1</v>
      </c>
      <c r="B6324" s="538" t="s">
        <v>6646</v>
      </c>
      <c r="C6324" s="538" t="s">
        <v>740</v>
      </c>
      <c r="D6324" s="538" t="s">
        <v>393</v>
      </c>
      <c r="E6324" s="538" t="s">
        <v>860</v>
      </c>
      <c r="F6324" s="538">
        <v>1772499</v>
      </c>
      <c r="G6324" s="538">
        <v>28</v>
      </c>
    </row>
    <row r="6325" spans="1:7" x14ac:dyDescent="0.2">
      <c r="A6325" s="538">
        <v>4</v>
      </c>
      <c r="B6325" s="538" t="s">
        <v>6562</v>
      </c>
      <c r="C6325" s="538" t="s">
        <v>393</v>
      </c>
      <c r="D6325" s="538" t="s">
        <v>393</v>
      </c>
      <c r="E6325" s="538" t="s">
        <v>401</v>
      </c>
      <c r="F6325" s="538">
        <v>557196</v>
      </c>
      <c r="G6325" s="538">
        <v>27</v>
      </c>
    </row>
    <row r="6326" spans="1:7" x14ac:dyDescent="0.2">
      <c r="A6326" s="538">
        <v>3</v>
      </c>
      <c r="B6326" s="538" t="s">
        <v>6578</v>
      </c>
      <c r="C6326" s="538" t="s">
        <v>740</v>
      </c>
      <c r="D6326" s="538" t="s">
        <v>393</v>
      </c>
      <c r="E6326" s="538" t="s">
        <v>210</v>
      </c>
      <c r="F6326" s="538">
        <v>33984</v>
      </c>
      <c r="G6326" s="538">
        <v>3</v>
      </c>
    </row>
    <row r="6327" spans="1:7" x14ac:dyDescent="0.2">
      <c r="A6327" s="538">
        <v>9</v>
      </c>
      <c r="B6327" s="538" t="s">
        <v>6657</v>
      </c>
      <c r="C6327" s="538" t="s">
        <v>740</v>
      </c>
      <c r="D6327" s="538" t="s">
        <v>393</v>
      </c>
      <c r="E6327" s="538" t="s">
        <v>210</v>
      </c>
      <c r="F6327" s="538">
        <v>2211032</v>
      </c>
      <c r="G6327" s="538">
        <v>99</v>
      </c>
    </row>
    <row r="6328" spans="1:7" x14ac:dyDescent="0.2">
      <c r="A6328" s="538">
        <v>3</v>
      </c>
      <c r="B6328" s="538" t="s">
        <v>6578</v>
      </c>
      <c r="C6328" s="538" t="s">
        <v>740</v>
      </c>
      <c r="D6328" s="538" t="s">
        <v>393</v>
      </c>
      <c r="E6328" s="538" t="s">
        <v>230</v>
      </c>
      <c r="F6328" s="538">
        <v>84252</v>
      </c>
      <c r="G6328" s="538">
        <v>4</v>
      </c>
    </row>
    <row r="6329" spans="1:7" x14ac:dyDescent="0.2">
      <c r="A6329" s="538">
        <v>10</v>
      </c>
      <c r="B6329" s="538" t="s">
        <v>6582</v>
      </c>
      <c r="C6329" s="538" t="s">
        <v>740</v>
      </c>
      <c r="D6329" s="538" t="s">
        <v>740</v>
      </c>
      <c r="E6329" s="538" t="s">
        <v>409</v>
      </c>
      <c r="F6329" s="538">
        <v>67968</v>
      </c>
      <c r="G6329" s="538">
        <v>6</v>
      </c>
    </row>
    <row r="6330" spans="1:7" x14ac:dyDescent="0.2">
      <c r="A6330" s="538">
        <v>1</v>
      </c>
      <c r="B6330" s="538" t="s">
        <v>6609</v>
      </c>
      <c r="C6330" s="538" t="s">
        <v>740</v>
      </c>
      <c r="D6330" s="538" t="s">
        <v>393</v>
      </c>
      <c r="E6330" s="538" t="s">
        <v>402</v>
      </c>
      <c r="F6330" s="538">
        <v>5999134</v>
      </c>
      <c r="G6330" s="538">
        <v>343</v>
      </c>
    </row>
    <row r="6331" spans="1:7" x14ac:dyDescent="0.2">
      <c r="A6331" s="538">
        <v>7</v>
      </c>
      <c r="B6331" s="538" t="s">
        <v>6661</v>
      </c>
      <c r="C6331" s="538" t="s">
        <v>393</v>
      </c>
      <c r="D6331" s="538" t="s">
        <v>740</v>
      </c>
      <c r="E6331" s="538" t="s">
        <v>416</v>
      </c>
      <c r="F6331" s="538">
        <v>2929829</v>
      </c>
      <c r="G6331" s="538">
        <v>103</v>
      </c>
    </row>
    <row r="6332" spans="1:7" x14ac:dyDescent="0.2">
      <c r="A6332" s="538">
        <v>4</v>
      </c>
      <c r="B6332" s="538" t="s">
        <v>6590</v>
      </c>
      <c r="C6332" s="538" t="s">
        <v>740</v>
      </c>
      <c r="D6332" s="538" t="s">
        <v>740</v>
      </c>
      <c r="E6332" s="538" t="s">
        <v>202</v>
      </c>
      <c r="F6332" s="538">
        <v>284085</v>
      </c>
      <c r="G6332" s="538">
        <v>5</v>
      </c>
    </row>
    <row r="6333" spans="1:7" x14ac:dyDescent="0.2">
      <c r="A6333" s="538">
        <v>4</v>
      </c>
      <c r="B6333" s="538" t="s">
        <v>6562</v>
      </c>
      <c r="C6333" s="538" t="s">
        <v>740</v>
      </c>
      <c r="D6333" s="538" t="s">
        <v>740</v>
      </c>
      <c r="E6333" s="538" t="s">
        <v>409</v>
      </c>
      <c r="F6333" s="538">
        <v>50268</v>
      </c>
      <c r="G6333" s="538">
        <v>1</v>
      </c>
    </row>
    <row r="6334" spans="1:7" x14ac:dyDescent="0.2">
      <c r="A6334" s="538">
        <v>1</v>
      </c>
      <c r="B6334" s="538" t="s">
        <v>6646</v>
      </c>
      <c r="C6334" s="538" t="s">
        <v>740</v>
      </c>
      <c r="D6334" s="538" t="s">
        <v>393</v>
      </c>
      <c r="E6334" s="538" t="s">
        <v>212</v>
      </c>
      <c r="F6334" s="538">
        <v>990492</v>
      </c>
      <c r="G6334" s="538">
        <v>84</v>
      </c>
    </row>
    <row r="6335" spans="1:7" x14ac:dyDescent="0.2">
      <c r="A6335" s="538">
        <v>6</v>
      </c>
      <c r="B6335" s="538" t="s">
        <v>1668</v>
      </c>
      <c r="C6335" s="538" t="s">
        <v>740</v>
      </c>
      <c r="D6335" s="538" t="s">
        <v>393</v>
      </c>
      <c r="E6335" s="538" t="s">
        <v>209</v>
      </c>
      <c r="F6335" s="538">
        <v>869726</v>
      </c>
      <c r="G6335" s="538">
        <v>7</v>
      </c>
    </row>
    <row r="6336" spans="1:7" x14ac:dyDescent="0.2">
      <c r="A6336" s="538">
        <v>9</v>
      </c>
      <c r="B6336" s="538" t="s">
        <v>6615</v>
      </c>
      <c r="C6336" s="538" t="s">
        <v>740</v>
      </c>
      <c r="D6336" s="538" t="s">
        <v>393</v>
      </c>
      <c r="E6336" s="538" t="s">
        <v>230</v>
      </c>
      <c r="F6336" s="538">
        <v>33984</v>
      </c>
      <c r="G6336" s="538">
        <v>3</v>
      </c>
    </row>
    <row r="6337" spans="1:7" x14ac:dyDescent="0.2">
      <c r="A6337" s="538">
        <v>4</v>
      </c>
      <c r="B6337" s="538" t="s">
        <v>6572</v>
      </c>
      <c r="C6337" s="538" t="s">
        <v>740</v>
      </c>
      <c r="D6337" s="538" t="s">
        <v>393</v>
      </c>
      <c r="E6337" s="538" t="s">
        <v>438</v>
      </c>
      <c r="F6337" s="538">
        <v>26677140</v>
      </c>
      <c r="G6337" s="538">
        <v>350</v>
      </c>
    </row>
    <row r="6338" spans="1:7" x14ac:dyDescent="0.2">
      <c r="A6338" s="538">
        <v>4</v>
      </c>
      <c r="B6338" s="538" t="s">
        <v>6572</v>
      </c>
      <c r="C6338" s="538" t="s">
        <v>740</v>
      </c>
      <c r="D6338" s="538" t="s">
        <v>393</v>
      </c>
      <c r="E6338" s="538" t="s">
        <v>206</v>
      </c>
      <c r="F6338" s="538">
        <v>170982</v>
      </c>
      <c r="G6338" s="538">
        <v>4</v>
      </c>
    </row>
    <row r="6339" spans="1:7" x14ac:dyDescent="0.2">
      <c r="A6339" s="538">
        <v>6</v>
      </c>
      <c r="B6339" s="538" t="s">
        <v>6433</v>
      </c>
      <c r="C6339" s="538" t="s">
        <v>393</v>
      </c>
      <c r="D6339" s="538" t="s">
        <v>393</v>
      </c>
      <c r="E6339" s="538" t="s">
        <v>207</v>
      </c>
      <c r="F6339" s="538">
        <v>7515514</v>
      </c>
      <c r="G6339" s="538">
        <v>318</v>
      </c>
    </row>
    <row r="6340" spans="1:7" x14ac:dyDescent="0.2">
      <c r="A6340" s="538">
        <v>8</v>
      </c>
      <c r="B6340" s="538" t="s">
        <v>6648</v>
      </c>
      <c r="C6340" s="538" t="s">
        <v>740</v>
      </c>
      <c r="D6340" s="538" t="s">
        <v>393</v>
      </c>
      <c r="E6340" s="538" t="s">
        <v>230</v>
      </c>
      <c r="F6340" s="538">
        <v>3296292</v>
      </c>
      <c r="G6340" s="538">
        <v>74</v>
      </c>
    </row>
    <row r="6341" spans="1:7" x14ac:dyDescent="0.2">
      <c r="A6341" s="538">
        <v>6</v>
      </c>
      <c r="B6341" s="538" t="s">
        <v>6575</v>
      </c>
      <c r="C6341" s="538" t="s">
        <v>393</v>
      </c>
      <c r="D6341" s="538" t="s">
        <v>393</v>
      </c>
      <c r="E6341" s="538" t="s">
        <v>230</v>
      </c>
      <c r="F6341" s="538">
        <v>13496584</v>
      </c>
      <c r="G6341" s="538">
        <v>208</v>
      </c>
    </row>
    <row r="6342" spans="1:7" x14ac:dyDescent="0.2">
      <c r="A6342" s="538">
        <v>11</v>
      </c>
      <c r="B6342" s="538" t="s">
        <v>6612</v>
      </c>
      <c r="C6342" s="538" t="s">
        <v>393</v>
      </c>
      <c r="D6342" s="538" t="s">
        <v>393</v>
      </c>
      <c r="E6342" s="538" t="s">
        <v>409</v>
      </c>
      <c r="F6342" s="538">
        <v>1660864</v>
      </c>
      <c r="G6342" s="538">
        <v>43</v>
      </c>
    </row>
    <row r="6343" spans="1:7" x14ac:dyDescent="0.2">
      <c r="A6343" s="538">
        <v>4</v>
      </c>
      <c r="B6343" s="538" t="s">
        <v>6590</v>
      </c>
      <c r="C6343" s="538" t="s">
        <v>740</v>
      </c>
      <c r="D6343" s="538" t="s">
        <v>393</v>
      </c>
      <c r="E6343" s="538" t="s">
        <v>207</v>
      </c>
      <c r="F6343" s="538">
        <v>720921</v>
      </c>
      <c r="G6343" s="538">
        <v>47</v>
      </c>
    </row>
    <row r="6344" spans="1:7" x14ac:dyDescent="0.2">
      <c r="A6344" s="538">
        <v>2</v>
      </c>
      <c r="B6344" s="538" t="s">
        <v>6608</v>
      </c>
      <c r="C6344" s="538" t="s">
        <v>740</v>
      </c>
      <c r="D6344" s="538" t="s">
        <v>393</v>
      </c>
      <c r="E6344" s="538" t="s">
        <v>416</v>
      </c>
      <c r="F6344" s="538">
        <v>519089</v>
      </c>
      <c r="G6344" s="538">
        <v>3</v>
      </c>
    </row>
    <row r="6345" spans="1:7" x14ac:dyDescent="0.2">
      <c r="A6345" s="538">
        <v>6</v>
      </c>
      <c r="B6345" s="538" t="s">
        <v>6433</v>
      </c>
      <c r="C6345" s="538" t="s">
        <v>740</v>
      </c>
      <c r="D6345" s="538" t="s">
        <v>393</v>
      </c>
      <c r="E6345" s="538" t="s">
        <v>438</v>
      </c>
      <c r="F6345" s="538">
        <v>1722106</v>
      </c>
      <c r="G6345" s="538">
        <v>27</v>
      </c>
    </row>
    <row r="6346" spans="1:7" x14ac:dyDescent="0.2">
      <c r="A6346" s="538">
        <v>9</v>
      </c>
      <c r="B6346" s="538" t="s">
        <v>6615</v>
      </c>
      <c r="C6346" s="538" t="s">
        <v>740</v>
      </c>
      <c r="D6346" s="538" t="s">
        <v>393</v>
      </c>
      <c r="E6346" s="538" t="s">
        <v>449</v>
      </c>
      <c r="F6346" s="538">
        <v>683876</v>
      </c>
      <c r="G6346" s="538">
        <v>12</v>
      </c>
    </row>
    <row r="6347" spans="1:7" x14ac:dyDescent="0.2">
      <c r="A6347" s="538">
        <v>8</v>
      </c>
      <c r="B6347" s="538" t="s">
        <v>6583</v>
      </c>
      <c r="C6347" s="538" t="s">
        <v>393</v>
      </c>
      <c r="D6347" s="538" t="s">
        <v>393</v>
      </c>
      <c r="E6347" s="538" t="s">
        <v>207</v>
      </c>
      <c r="F6347" s="538">
        <v>14150411</v>
      </c>
      <c r="G6347" s="538">
        <v>787</v>
      </c>
    </row>
    <row r="6348" spans="1:7" x14ac:dyDescent="0.2">
      <c r="A6348" s="538">
        <v>1</v>
      </c>
      <c r="B6348" s="538" t="s">
        <v>6595</v>
      </c>
      <c r="C6348" s="538" t="s">
        <v>393</v>
      </c>
      <c r="D6348" s="538" t="s">
        <v>740</v>
      </c>
      <c r="E6348" s="538" t="s">
        <v>401</v>
      </c>
      <c r="F6348" s="538">
        <v>11328</v>
      </c>
      <c r="G6348" s="538">
        <v>1</v>
      </c>
    </row>
    <row r="6349" spans="1:7" x14ac:dyDescent="0.2">
      <c r="A6349" s="538">
        <v>7</v>
      </c>
      <c r="B6349" s="538" t="s">
        <v>6604</v>
      </c>
      <c r="C6349" s="538" t="s">
        <v>740</v>
      </c>
      <c r="D6349" s="538" t="s">
        <v>393</v>
      </c>
      <c r="E6349" s="538" t="s">
        <v>449</v>
      </c>
      <c r="F6349" s="538">
        <v>11328</v>
      </c>
      <c r="G6349" s="538">
        <v>1</v>
      </c>
    </row>
    <row r="6350" spans="1:7" x14ac:dyDescent="0.2">
      <c r="A6350" s="538">
        <v>5</v>
      </c>
      <c r="B6350" s="538" t="s">
        <v>6568</v>
      </c>
      <c r="C6350" s="538" t="s">
        <v>393</v>
      </c>
      <c r="D6350" s="538" t="s">
        <v>393</v>
      </c>
      <c r="E6350" s="538" t="s">
        <v>409</v>
      </c>
      <c r="F6350" s="538">
        <v>3263901</v>
      </c>
      <c r="G6350" s="538">
        <v>87</v>
      </c>
    </row>
    <row r="6351" spans="1:7" x14ac:dyDescent="0.2">
      <c r="A6351" s="538">
        <v>6</v>
      </c>
      <c r="B6351" s="538" t="s">
        <v>6565</v>
      </c>
      <c r="C6351" s="538" t="s">
        <v>393</v>
      </c>
      <c r="D6351" s="538" t="s">
        <v>393</v>
      </c>
      <c r="E6351" s="538" t="s">
        <v>390</v>
      </c>
      <c r="F6351" s="538">
        <v>14412215</v>
      </c>
      <c r="G6351" s="538">
        <v>370</v>
      </c>
    </row>
    <row r="6352" spans="1:7" x14ac:dyDescent="0.2">
      <c r="A6352" s="538">
        <v>10</v>
      </c>
      <c r="B6352" s="538" t="s">
        <v>6582</v>
      </c>
      <c r="C6352" s="538" t="s">
        <v>740</v>
      </c>
      <c r="D6352" s="538" t="s">
        <v>740</v>
      </c>
      <c r="E6352" s="538" t="s">
        <v>390</v>
      </c>
      <c r="F6352" s="538">
        <v>61596</v>
      </c>
      <c r="G6352" s="538">
        <v>2</v>
      </c>
    </row>
    <row r="6353" spans="1:7" x14ac:dyDescent="0.2">
      <c r="A6353" s="538">
        <v>6</v>
      </c>
      <c r="B6353" s="538" t="s">
        <v>6607</v>
      </c>
      <c r="C6353" s="538" t="s">
        <v>740</v>
      </c>
      <c r="D6353" s="538" t="s">
        <v>393</v>
      </c>
      <c r="E6353" s="538" t="s">
        <v>438</v>
      </c>
      <c r="F6353" s="538">
        <v>11328</v>
      </c>
      <c r="G6353" s="538">
        <v>1</v>
      </c>
    </row>
    <row r="6354" spans="1:7" x14ac:dyDescent="0.2">
      <c r="A6354" s="538">
        <v>9</v>
      </c>
      <c r="B6354" s="538" t="s">
        <v>6657</v>
      </c>
      <c r="C6354" s="538" t="s">
        <v>740</v>
      </c>
      <c r="D6354" s="538" t="s">
        <v>393</v>
      </c>
      <c r="E6354" s="538" t="s">
        <v>390</v>
      </c>
      <c r="F6354" s="538">
        <v>9404843</v>
      </c>
      <c r="G6354" s="538">
        <v>371</v>
      </c>
    </row>
    <row r="6355" spans="1:7" x14ac:dyDescent="0.2">
      <c r="A6355" s="538">
        <v>7</v>
      </c>
      <c r="B6355" s="538" t="s">
        <v>6661</v>
      </c>
      <c r="C6355" s="538" t="s">
        <v>740</v>
      </c>
      <c r="D6355" s="538" t="s">
        <v>393</v>
      </c>
      <c r="E6355" s="538" t="s">
        <v>401</v>
      </c>
      <c r="F6355" s="538">
        <v>553073</v>
      </c>
      <c r="G6355" s="538">
        <v>6</v>
      </c>
    </row>
    <row r="6356" spans="1:7" x14ac:dyDescent="0.2">
      <c r="A6356" s="538">
        <v>3</v>
      </c>
      <c r="B6356" s="538" t="s">
        <v>6578</v>
      </c>
      <c r="C6356" s="538" t="s">
        <v>740</v>
      </c>
      <c r="D6356" s="538" t="s">
        <v>740</v>
      </c>
      <c r="E6356" s="538" t="s">
        <v>390</v>
      </c>
      <c r="F6356" s="538">
        <v>11328</v>
      </c>
      <c r="G6356" s="538">
        <v>1</v>
      </c>
    </row>
    <row r="6357" spans="1:7" x14ac:dyDescent="0.2">
      <c r="A6357" s="538">
        <v>12</v>
      </c>
      <c r="B6357" s="538" t="s">
        <v>6616</v>
      </c>
      <c r="C6357" s="538" t="s">
        <v>393</v>
      </c>
      <c r="D6357" s="538" t="s">
        <v>740</v>
      </c>
      <c r="E6357" s="538" t="s">
        <v>401</v>
      </c>
      <c r="F6357" s="538">
        <v>22656</v>
      </c>
      <c r="G6357" s="538">
        <v>2</v>
      </c>
    </row>
    <row r="6358" spans="1:7" x14ac:dyDescent="0.2">
      <c r="A6358" s="538">
        <v>7</v>
      </c>
      <c r="B6358" s="538" t="s">
        <v>6579</v>
      </c>
      <c r="C6358" s="538" t="s">
        <v>740</v>
      </c>
      <c r="D6358" s="538" t="s">
        <v>393</v>
      </c>
      <c r="E6358" s="538" t="s">
        <v>438</v>
      </c>
      <c r="F6358" s="538">
        <v>940349</v>
      </c>
      <c r="G6358" s="538">
        <v>18</v>
      </c>
    </row>
    <row r="6359" spans="1:7" x14ac:dyDescent="0.2">
      <c r="A6359" s="538">
        <v>2</v>
      </c>
      <c r="B6359" s="538" t="s">
        <v>6585</v>
      </c>
      <c r="C6359" s="538" t="s">
        <v>393</v>
      </c>
      <c r="D6359" s="538" t="s">
        <v>393</v>
      </c>
      <c r="E6359" s="538" t="s">
        <v>390</v>
      </c>
      <c r="F6359" s="538">
        <v>11539932</v>
      </c>
      <c r="G6359" s="538">
        <v>209</v>
      </c>
    </row>
    <row r="6360" spans="1:7" x14ac:dyDescent="0.2">
      <c r="A6360" s="538">
        <v>4</v>
      </c>
      <c r="B6360" s="538" t="s">
        <v>6572</v>
      </c>
      <c r="C6360" s="538" t="s">
        <v>740</v>
      </c>
      <c r="D6360" s="538" t="s">
        <v>393</v>
      </c>
      <c r="E6360" s="538" t="s">
        <v>449</v>
      </c>
      <c r="F6360" s="538">
        <v>11328</v>
      </c>
      <c r="G6360" s="538">
        <v>1</v>
      </c>
    </row>
    <row r="6361" spans="1:7" x14ac:dyDescent="0.2">
      <c r="A6361" s="538">
        <v>3</v>
      </c>
      <c r="B6361" s="538" t="s">
        <v>6561</v>
      </c>
      <c r="C6361" s="538" t="s">
        <v>740</v>
      </c>
      <c r="D6361" s="538" t="s">
        <v>740</v>
      </c>
      <c r="E6361" s="538" t="s">
        <v>401</v>
      </c>
      <c r="F6361" s="538">
        <v>11328</v>
      </c>
      <c r="G6361" s="538">
        <v>1</v>
      </c>
    </row>
    <row r="6362" spans="1:7" x14ac:dyDescent="0.2">
      <c r="A6362" s="538">
        <v>2</v>
      </c>
      <c r="B6362" s="538" t="s">
        <v>6656</v>
      </c>
      <c r="C6362" s="538" t="s">
        <v>740</v>
      </c>
      <c r="D6362" s="538" t="s">
        <v>393</v>
      </c>
      <c r="E6362" s="538" t="s">
        <v>390</v>
      </c>
      <c r="F6362" s="538">
        <v>4934406</v>
      </c>
      <c r="G6362" s="538">
        <v>212</v>
      </c>
    </row>
    <row r="6363" spans="1:7" x14ac:dyDescent="0.2">
      <c r="A6363" s="538">
        <v>1</v>
      </c>
      <c r="B6363" s="538" t="s">
        <v>6609</v>
      </c>
      <c r="C6363" s="538" t="s">
        <v>393</v>
      </c>
      <c r="D6363" s="538" t="s">
        <v>740</v>
      </c>
      <c r="E6363" s="538" t="s">
        <v>416</v>
      </c>
      <c r="F6363" s="538">
        <v>164787</v>
      </c>
      <c r="G6363" s="538">
        <v>9</v>
      </c>
    </row>
    <row r="6364" spans="1:7" x14ac:dyDescent="0.2">
      <c r="A6364" s="538">
        <v>8</v>
      </c>
      <c r="B6364" s="538" t="s">
        <v>6648</v>
      </c>
      <c r="C6364" s="538" t="s">
        <v>393</v>
      </c>
      <c r="D6364" s="538" t="s">
        <v>393</v>
      </c>
      <c r="E6364" s="538" t="s">
        <v>210</v>
      </c>
      <c r="F6364" s="538">
        <v>2748300</v>
      </c>
      <c r="G6364" s="538">
        <v>65</v>
      </c>
    </row>
    <row r="6365" spans="1:7" x14ac:dyDescent="0.2">
      <c r="A6365" s="538">
        <v>2</v>
      </c>
      <c r="B6365" s="538" t="s">
        <v>6055</v>
      </c>
      <c r="C6365" s="538" t="s">
        <v>740</v>
      </c>
      <c r="D6365" s="538" t="s">
        <v>393</v>
      </c>
      <c r="E6365" s="538" t="s">
        <v>401</v>
      </c>
      <c r="F6365" s="538">
        <v>17363357</v>
      </c>
      <c r="G6365" s="538">
        <v>559</v>
      </c>
    </row>
    <row r="6366" spans="1:7" x14ac:dyDescent="0.2">
      <c r="A6366" s="538">
        <v>5</v>
      </c>
      <c r="B6366" s="538" t="s">
        <v>6598</v>
      </c>
      <c r="C6366" s="538" t="s">
        <v>740</v>
      </c>
      <c r="D6366" s="538" t="s">
        <v>393</v>
      </c>
      <c r="E6366" s="538" t="s">
        <v>207</v>
      </c>
      <c r="F6366" s="538">
        <v>4710626</v>
      </c>
      <c r="G6366" s="538">
        <v>317</v>
      </c>
    </row>
    <row r="6367" spans="1:7" x14ac:dyDescent="0.2">
      <c r="A6367" s="538">
        <v>3</v>
      </c>
      <c r="B6367" s="538" t="s">
        <v>6561</v>
      </c>
      <c r="C6367" s="538" t="s">
        <v>740</v>
      </c>
      <c r="D6367" s="538" t="s">
        <v>740</v>
      </c>
      <c r="E6367" s="538" t="s">
        <v>402</v>
      </c>
      <c r="F6367" s="538">
        <v>2869014</v>
      </c>
      <c r="G6367" s="538">
        <v>73</v>
      </c>
    </row>
    <row r="6368" spans="1:7" x14ac:dyDescent="0.2">
      <c r="A6368" s="538">
        <v>8</v>
      </c>
      <c r="B6368" s="538" t="s">
        <v>6577</v>
      </c>
      <c r="C6368" s="538" t="s">
        <v>393</v>
      </c>
      <c r="D6368" s="538" t="s">
        <v>393</v>
      </c>
      <c r="E6368" s="538" t="s">
        <v>860</v>
      </c>
      <c r="F6368" s="538">
        <v>1067612</v>
      </c>
      <c r="G6368" s="538">
        <v>39</v>
      </c>
    </row>
    <row r="6369" spans="1:7" x14ac:dyDescent="0.2">
      <c r="A6369" s="538">
        <v>7</v>
      </c>
      <c r="B6369" s="538" t="s">
        <v>6588</v>
      </c>
      <c r="C6369" s="538" t="s">
        <v>740</v>
      </c>
      <c r="D6369" s="538" t="s">
        <v>393</v>
      </c>
      <c r="E6369" s="538" t="s">
        <v>401</v>
      </c>
      <c r="F6369" s="538">
        <v>106908</v>
      </c>
      <c r="G6369" s="538">
        <v>6</v>
      </c>
    </row>
    <row r="6370" spans="1:7" x14ac:dyDescent="0.2">
      <c r="A6370" s="538">
        <v>9</v>
      </c>
      <c r="B6370" s="538" t="s">
        <v>6613</v>
      </c>
      <c r="C6370" s="538" t="s">
        <v>740</v>
      </c>
      <c r="D6370" s="538" t="s">
        <v>393</v>
      </c>
      <c r="E6370" s="538" t="s">
        <v>212</v>
      </c>
      <c r="F6370" s="538">
        <v>11328</v>
      </c>
      <c r="G6370" s="538">
        <v>1</v>
      </c>
    </row>
    <row r="6371" spans="1:7" x14ac:dyDescent="0.2">
      <c r="A6371" s="538">
        <v>6</v>
      </c>
      <c r="B6371" s="538" t="s">
        <v>6607</v>
      </c>
      <c r="C6371" s="538" t="s">
        <v>393</v>
      </c>
      <c r="D6371" s="538" t="s">
        <v>393</v>
      </c>
      <c r="E6371" s="538" t="s">
        <v>438</v>
      </c>
      <c r="F6371" s="538">
        <v>3952983</v>
      </c>
      <c r="G6371" s="538">
        <v>31</v>
      </c>
    </row>
    <row r="6372" spans="1:7" x14ac:dyDescent="0.2">
      <c r="A6372" s="538">
        <v>6</v>
      </c>
      <c r="B6372" s="538" t="s">
        <v>6607</v>
      </c>
      <c r="C6372" s="538" t="s">
        <v>393</v>
      </c>
      <c r="D6372" s="538" t="s">
        <v>393</v>
      </c>
      <c r="E6372" s="538" t="s">
        <v>206</v>
      </c>
      <c r="F6372" s="538">
        <v>159654</v>
      </c>
      <c r="G6372" s="538">
        <v>3</v>
      </c>
    </row>
    <row r="6373" spans="1:7" x14ac:dyDescent="0.2">
      <c r="A6373" s="538">
        <v>7</v>
      </c>
      <c r="B6373" s="538" t="s">
        <v>6580</v>
      </c>
      <c r="C6373" s="538" t="s">
        <v>740</v>
      </c>
      <c r="D6373" s="538" t="s">
        <v>393</v>
      </c>
      <c r="E6373" s="538" t="s">
        <v>210</v>
      </c>
      <c r="F6373" s="538">
        <v>4715655</v>
      </c>
      <c r="G6373" s="538">
        <v>175</v>
      </c>
    </row>
    <row r="6374" spans="1:7" x14ac:dyDescent="0.2">
      <c r="A6374" s="538">
        <v>3</v>
      </c>
      <c r="B6374" s="538" t="s">
        <v>1390</v>
      </c>
      <c r="C6374" s="538" t="s">
        <v>740</v>
      </c>
      <c r="D6374" s="538" t="s">
        <v>393</v>
      </c>
      <c r="E6374" s="538" t="s">
        <v>207</v>
      </c>
      <c r="F6374" s="538">
        <v>147264</v>
      </c>
      <c r="G6374" s="538">
        <v>13</v>
      </c>
    </row>
    <row r="6375" spans="1:7" x14ac:dyDescent="0.2">
      <c r="A6375" s="538">
        <v>2</v>
      </c>
      <c r="B6375" s="538" t="s">
        <v>6662</v>
      </c>
      <c r="C6375" s="538" t="s">
        <v>740</v>
      </c>
      <c r="D6375" s="538" t="s">
        <v>393</v>
      </c>
      <c r="E6375" s="538" t="s">
        <v>210</v>
      </c>
      <c r="F6375" s="538">
        <v>714372</v>
      </c>
      <c r="G6375" s="538">
        <v>34</v>
      </c>
    </row>
    <row r="6376" spans="1:7" x14ac:dyDescent="0.2">
      <c r="A6376" s="538">
        <v>10</v>
      </c>
      <c r="B6376" s="538" t="s">
        <v>6597</v>
      </c>
      <c r="C6376" s="538" t="s">
        <v>740</v>
      </c>
      <c r="D6376" s="538" t="s">
        <v>393</v>
      </c>
      <c r="E6376" s="538" t="s">
        <v>390</v>
      </c>
      <c r="F6376" s="538">
        <v>7252773</v>
      </c>
      <c r="G6376" s="538">
        <v>201</v>
      </c>
    </row>
    <row r="6377" spans="1:7" x14ac:dyDescent="0.2">
      <c r="A6377" s="538">
        <v>11</v>
      </c>
      <c r="B6377" s="538" t="s">
        <v>6612</v>
      </c>
      <c r="C6377" s="538" t="s">
        <v>740</v>
      </c>
      <c r="D6377" s="538" t="s">
        <v>740</v>
      </c>
      <c r="E6377" s="538" t="s">
        <v>230</v>
      </c>
      <c r="F6377" s="538">
        <v>277890</v>
      </c>
      <c r="G6377" s="538">
        <v>10</v>
      </c>
    </row>
    <row r="6378" spans="1:7" x14ac:dyDescent="0.2">
      <c r="A6378" s="538">
        <v>7</v>
      </c>
      <c r="B6378" s="538" t="s">
        <v>6564</v>
      </c>
      <c r="C6378" s="538" t="s">
        <v>740</v>
      </c>
      <c r="D6378" s="538" t="s">
        <v>393</v>
      </c>
      <c r="E6378" s="538" t="s">
        <v>207</v>
      </c>
      <c r="F6378" s="538">
        <v>2444495</v>
      </c>
      <c r="G6378" s="538">
        <v>155</v>
      </c>
    </row>
    <row r="6379" spans="1:7" x14ac:dyDescent="0.2">
      <c r="A6379" s="538">
        <v>3</v>
      </c>
      <c r="B6379" s="538" t="s">
        <v>1390</v>
      </c>
      <c r="C6379" s="538" t="s">
        <v>740</v>
      </c>
      <c r="D6379" s="538" t="s">
        <v>740</v>
      </c>
      <c r="E6379" s="538" t="s">
        <v>207</v>
      </c>
      <c r="F6379" s="538">
        <v>45312</v>
      </c>
      <c r="G6379" s="538">
        <v>4</v>
      </c>
    </row>
    <row r="6380" spans="1:7" x14ac:dyDescent="0.2">
      <c r="A6380" s="538">
        <v>11</v>
      </c>
      <c r="B6380" s="538" t="s">
        <v>6612</v>
      </c>
      <c r="C6380" s="538" t="s">
        <v>740</v>
      </c>
      <c r="D6380" s="538" t="s">
        <v>740</v>
      </c>
      <c r="E6380" s="538" t="s">
        <v>390</v>
      </c>
      <c r="F6380" s="538">
        <v>10184216</v>
      </c>
      <c r="G6380" s="538">
        <v>242</v>
      </c>
    </row>
    <row r="6381" spans="1:7" x14ac:dyDescent="0.2">
      <c r="A6381" s="538">
        <v>3</v>
      </c>
      <c r="B6381" s="538" t="s">
        <v>6591</v>
      </c>
      <c r="C6381" s="538" t="s">
        <v>740</v>
      </c>
      <c r="D6381" s="538" t="s">
        <v>740</v>
      </c>
      <c r="E6381" s="538" t="s">
        <v>401</v>
      </c>
      <c r="F6381" s="538">
        <v>192576</v>
      </c>
      <c r="G6381" s="538">
        <v>17</v>
      </c>
    </row>
    <row r="6382" spans="1:7" x14ac:dyDescent="0.2">
      <c r="A6382" s="538">
        <v>3</v>
      </c>
      <c r="B6382" s="538" t="s">
        <v>6591</v>
      </c>
      <c r="C6382" s="538" t="s">
        <v>740</v>
      </c>
      <c r="D6382" s="538" t="s">
        <v>393</v>
      </c>
      <c r="E6382" s="538" t="s">
        <v>419</v>
      </c>
      <c r="F6382" s="538">
        <v>11328</v>
      </c>
      <c r="G6382" s="538">
        <v>1</v>
      </c>
    </row>
    <row r="6383" spans="1:7" x14ac:dyDescent="0.2">
      <c r="A6383" s="538">
        <v>1</v>
      </c>
      <c r="B6383" s="538" t="s">
        <v>6602</v>
      </c>
      <c r="C6383" s="538" t="s">
        <v>393</v>
      </c>
      <c r="D6383" s="538" t="s">
        <v>740</v>
      </c>
      <c r="E6383" s="538" t="s">
        <v>449</v>
      </c>
      <c r="F6383" s="538">
        <v>90624</v>
      </c>
      <c r="G6383" s="538">
        <v>8</v>
      </c>
    </row>
    <row r="6384" spans="1:7" x14ac:dyDescent="0.2">
      <c r="A6384" s="538">
        <v>3</v>
      </c>
      <c r="B6384" s="538" t="s">
        <v>6586</v>
      </c>
      <c r="C6384" s="538" t="s">
        <v>740</v>
      </c>
      <c r="D6384" s="538" t="s">
        <v>740</v>
      </c>
      <c r="E6384" s="538" t="s">
        <v>416</v>
      </c>
      <c r="F6384" s="538">
        <v>27267268</v>
      </c>
      <c r="G6384" s="538">
        <v>571</v>
      </c>
    </row>
    <row r="6385" spans="1:7" x14ac:dyDescent="0.2">
      <c r="A6385" s="538">
        <v>4</v>
      </c>
      <c r="B6385" s="538" t="s">
        <v>6593</v>
      </c>
      <c r="C6385" s="538" t="s">
        <v>393</v>
      </c>
      <c r="D6385" s="538" t="s">
        <v>740</v>
      </c>
      <c r="E6385" s="538" t="s">
        <v>209</v>
      </c>
      <c r="F6385" s="538">
        <v>148326</v>
      </c>
      <c r="G6385" s="538">
        <v>2</v>
      </c>
    </row>
    <row r="6386" spans="1:7" x14ac:dyDescent="0.2">
      <c r="A6386" s="538">
        <v>11</v>
      </c>
      <c r="B6386" s="538" t="s">
        <v>6612</v>
      </c>
      <c r="C6386" s="538" t="s">
        <v>740</v>
      </c>
      <c r="D6386" s="538" t="s">
        <v>740</v>
      </c>
      <c r="E6386" s="538" t="s">
        <v>416</v>
      </c>
      <c r="F6386" s="538">
        <v>12036115</v>
      </c>
      <c r="G6386" s="538">
        <v>345</v>
      </c>
    </row>
    <row r="6387" spans="1:7" x14ac:dyDescent="0.2">
      <c r="A6387" s="538">
        <v>12</v>
      </c>
      <c r="B6387" s="538" t="s">
        <v>6616</v>
      </c>
      <c r="C6387" s="538" t="s">
        <v>393</v>
      </c>
      <c r="D6387" s="538" t="s">
        <v>393</v>
      </c>
      <c r="E6387" s="538" t="s">
        <v>211</v>
      </c>
      <c r="F6387" s="538">
        <v>50221473</v>
      </c>
      <c r="G6387" s="538">
        <v>736</v>
      </c>
    </row>
    <row r="6388" spans="1:7" x14ac:dyDescent="0.2">
      <c r="A6388" s="538">
        <v>3</v>
      </c>
      <c r="B6388" s="538" t="s">
        <v>6586</v>
      </c>
      <c r="C6388" s="538" t="s">
        <v>393</v>
      </c>
      <c r="D6388" s="538" t="s">
        <v>393</v>
      </c>
      <c r="E6388" s="538" t="s">
        <v>390</v>
      </c>
      <c r="F6388" s="538">
        <v>25453850</v>
      </c>
      <c r="G6388" s="538">
        <v>660</v>
      </c>
    </row>
    <row r="6389" spans="1:7" x14ac:dyDescent="0.2">
      <c r="A6389" s="538">
        <v>6</v>
      </c>
      <c r="B6389" s="538" t="s">
        <v>6429</v>
      </c>
      <c r="C6389" s="538" t="s">
        <v>740</v>
      </c>
      <c r="D6389" s="538" t="s">
        <v>393</v>
      </c>
      <c r="E6389" s="538" t="s">
        <v>419</v>
      </c>
      <c r="F6389" s="538">
        <v>879159</v>
      </c>
      <c r="G6389" s="538">
        <v>43</v>
      </c>
    </row>
    <row r="6390" spans="1:7" x14ac:dyDescent="0.2">
      <c r="A6390" s="538">
        <v>6</v>
      </c>
      <c r="B6390" s="538" t="s">
        <v>6433</v>
      </c>
      <c r="C6390" s="538" t="s">
        <v>393</v>
      </c>
      <c r="D6390" s="538" t="s">
        <v>740</v>
      </c>
      <c r="E6390" s="538" t="s">
        <v>401</v>
      </c>
      <c r="F6390" s="538">
        <v>621624</v>
      </c>
      <c r="G6390" s="538">
        <v>48</v>
      </c>
    </row>
    <row r="6391" spans="1:7" x14ac:dyDescent="0.2">
      <c r="A6391" s="538">
        <v>10</v>
      </c>
      <c r="B6391" s="538" t="s">
        <v>6611</v>
      </c>
      <c r="C6391" s="538" t="s">
        <v>740</v>
      </c>
      <c r="D6391" s="538" t="s">
        <v>393</v>
      </c>
      <c r="E6391" s="538" t="s">
        <v>390</v>
      </c>
      <c r="F6391" s="538">
        <v>688832</v>
      </c>
      <c r="G6391" s="538">
        <v>9</v>
      </c>
    </row>
    <row r="6392" spans="1:7" x14ac:dyDescent="0.2">
      <c r="A6392" s="538">
        <v>3</v>
      </c>
      <c r="B6392" s="538" t="s">
        <v>6591</v>
      </c>
      <c r="C6392" s="538" t="s">
        <v>740</v>
      </c>
      <c r="D6392" s="538" t="s">
        <v>740</v>
      </c>
      <c r="E6392" s="538" t="s">
        <v>210</v>
      </c>
      <c r="F6392" s="538">
        <v>85491</v>
      </c>
      <c r="G6392" s="538">
        <v>2</v>
      </c>
    </row>
    <row r="6393" spans="1:7" x14ac:dyDescent="0.2">
      <c r="A6393" s="538">
        <v>8</v>
      </c>
      <c r="B6393" s="538" t="s">
        <v>6570</v>
      </c>
      <c r="C6393" s="538" t="s">
        <v>393</v>
      </c>
      <c r="D6393" s="538" t="s">
        <v>393</v>
      </c>
      <c r="E6393" s="538" t="s">
        <v>416</v>
      </c>
      <c r="F6393" s="538">
        <v>64447651</v>
      </c>
      <c r="G6393" s="538">
        <v>1122</v>
      </c>
    </row>
    <row r="6394" spans="1:7" x14ac:dyDescent="0.2">
      <c r="A6394" s="538">
        <v>12</v>
      </c>
      <c r="B6394" s="538" t="s">
        <v>6616</v>
      </c>
      <c r="C6394" s="538" t="s">
        <v>740</v>
      </c>
      <c r="D6394" s="538" t="s">
        <v>740</v>
      </c>
      <c r="E6394" s="538" t="s">
        <v>438</v>
      </c>
      <c r="F6394" s="538">
        <v>11328</v>
      </c>
      <c r="G6394" s="538">
        <v>1</v>
      </c>
    </row>
    <row r="6395" spans="1:7" x14ac:dyDescent="0.2">
      <c r="A6395" s="538">
        <v>5</v>
      </c>
      <c r="B6395" s="538" t="s">
        <v>6599</v>
      </c>
      <c r="C6395" s="538" t="s">
        <v>740</v>
      </c>
      <c r="D6395" s="538" t="s">
        <v>393</v>
      </c>
      <c r="E6395" s="538" t="s">
        <v>207</v>
      </c>
      <c r="F6395" s="538">
        <v>11328</v>
      </c>
      <c r="G6395" s="538">
        <v>1</v>
      </c>
    </row>
    <row r="6396" spans="1:7" x14ac:dyDescent="0.2">
      <c r="A6396" s="538">
        <v>9</v>
      </c>
      <c r="B6396" s="538" t="s">
        <v>6606</v>
      </c>
      <c r="C6396" s="538" t="s">
        <v>393</v>
      </c>
      <c r="D6396" s="538" t="s">
        <v>393</v>
      </c>
      <c r="E6396" s="538" t="s">
        <v>419</v>
      </c>
      <c r="F6396" s="538">
        <v>145848</v>
      </c>
      <c r="G6396" s="538">
        <v>6</v>
      </c>
    </row>
    <row r="6397" spans="1:7" x14ac:dyDescent="0.2">
      <c r="A6397" s="538">
        <v>1</v>
      </c>
      <c r="B6397" s="538" t="s">
        <v>1288</v>
      </c>
      <c r="C6397" s="538" t="s">
        <v>393</v>
      </c>
      <c r="D6397" s="538" t="s">
        <v>393</v>
      </c>
      <c r="E6397" s="538" t="s">
        <v>212</v>
      </c>
      <c r="F6397" s="538">
        <v>508344</v>
      </c>
      <c r="G6397" s="538">
        <v>38</v>
      </c>
    </row>
    <row r="6398" spans="1:7" x14ac:dyDescent="0.2">
      <c r="A6398" s="538">
        <v>4</v>
      </c>
      <c r="B6398" s="538" t="s">
        <v>6562</v>
      </c>
      <c r="C6398" s="538" t="s">
        <v>740</v>
      </c>
      <c r="D6398" s="538" t="s">
        <v>393</v>
      </c>
      <c r="E6398" s="538" t="s">
        <v>416</v>
      </c>
      <c r="F6398" s="538">
        <v>705116</v>
      </c>
      <c r="G6398" s="538">
        <v>7</v>
      </c>
    </row>
    <row r="6399" spans="1:7" x14ac:dyDescent="0.2">
      <c r="A6399" s="538">
        <v>12</v>
      </c>
      <c r="B6399" s="538" t="s">
        <v>6569</v>
      </c>
      <c r="C6399" s="538" t="s">
        <v>393</v>
      </c>
      <c r="D6399" s="538" t="s">
        <v>393</v>
      </c>
      <c r="E6399" s="538" t="s">
        <v>313</v>
      </c>
      <c r="F6399" s="538">
        <v>198594</v>
      </c>
      <c r="G6399" s="538">
        <v>3</v>
      </c>
    </row>
    <row r="6400" spans="1:7" x14ac:dyDescent="0.2">
      <c r="A6400" s="538">
        <v>10</v>
      </c>
      <c r="B6400" s="538" t="s">
        <v>6601</v>
      </c>
      <c r="C6400" s="538" t="s">
        <v>393</v>
      </c>
      <c r="D6400" s="538" t="s">
        <v>393</v>
      </c>
      <c r="E6400" s="538" t="s">
        <v>210</v>
      </c>
      <c r="F6400" s="538">
        <v>1068674</v>
      </c>
      <c r="G6400" s="538">
        <v>28</v>
      </c>
    </row>
    <row r="6401" spans="1:7" x14ac:dyDescent="0.2">
      <c r="A6401" s="538">
        <v>5</v>
      </c>
      <c r="B6401" s="538" t="s">
        <v>6598</v>
      </c>
      <c r="C6401" s="538" t="s">
        <v>393</v>
      </c>
      <c r="D6401" s="538" t="s">
        <v>393</v>
      </c>
      <c r="E6401" s="538" t="s">
        <v>211</v>
      </c>
      <c r="F6401" s="538">
        <v>10247655</v>
      </c>
      <c r="G6401" s="538">
        <v>180</v>
      </c>
    </row>
    <row r="6402" spans="1:7" x14ac:dyDescent="0.2">
      <c r="A6402" s="538">
        <v>7</v>
      </c>
      <c r="B6402" s="538" t="s">
        <v>6604</v>
      </c>
      <c r="C6402" s="538" t="s">
        <v>740</v>
      </c>
      <c r="D6402" s="538" t="s">
        <v>393</v>
      </c>
      <c r="E6402" s="538" t="s">
        <v>209</v>
      </c>
      <c r="F6402" s="538">
        <v>272757</v>
      </c>
      <c r="G6402" s="538">
        <v>4</v>
      </c>
    </row>
    <row r="6403" spans="1:7" x14ac:dyDescent="0.2">
      <c r="A6403" s="538">
        <v>9</v>
      </c>
      <c r="B6403" s="538" t="s">
        <v>6657</v>
      </c>
      <c r="C6403" s="538" t="s">
        <v>740</v>
      </c>
      <c r="D6403" s="538" t="s">
        <v>393</v>
      </c>
      <c r="E6403" s="538" t="s">
        <v>209</v>
      </c>
      <c r="F6403" s="538">
        <v>893621</v>
      </c>
      <c r="G6403" s="538">
        <v>7</v>
      </c>
    </row>
    <row r="6404" spans="1:7" x14ac:dyDescent="0.2">
      <c r="A6404" s="538">
        <v>8</v>
      </c>
      <c r="B6404" s="538" t="s">
        <v>6570</v>
      </c>
      <c r="C6404" s="538" t="s">
        <v>740</v>
      </c>
      <c r="D6404" s="538" t="s">
        <v>393</v>
      </c>
      <c r="E6404" s="538" t="s">
        <v>209</v>
      </c>
      <c r="F6404" s="538">
        <v>1862592</v>
      </c>
      <c r="G6404" s="538">
        <v>9</v>
      </c>
    </row>
    <row r="6405" spans="1:7" x14ac:dyDescent="0.2">
      <c r="A6405" s="538">
        <v>7</v>
      </c>
      <c r="B6405" s="538" t="s">
        <v>6564</v>
      </c>
      <c r="C6405" s="538" t="s">
        <v>740</v>
      </c>
      <c r="D6405" s="538" t="s">
        <v>393</v>
      </c>
      <c r="E6405" s="538" t="s">
        <v>438</v>
      </c>
      <c r="F6405" s="538">
        <v>6958412</v>
      </c>
      <c r="G6405" s="538">
        <v>79</v>
      </c>
    </row>
    <row r="6406" spans="1:7" x14ac:dyDescent="0.2">
      <c r="A6406" s="538">
        <v>7</v>
      </c>
      <c r="B6406" s="538" t="s">
        <v>6564</v>
      </c>
      <c r="C6406" s="538" t="s">
        <v>740</v>
      </c>
      <c r="D6406" s="538" t="s">
        <v>393</v>
      </c>
      <c r="E6406" s="538" t="s">
        <v>206</v>
      </c>
      <c r="F6406" s="538">
        <v>11328</v>
      </c>
      <c r="G6406" s="538">
        <v>1</v>
      </c>
    </row>
    <row r="6407" spans="1:7" x14ac:dyDescent="0.2">
      <c r="A6407" s="538">
        <v>10</v>
      </c>
      <c r="B6407" s="538" t="s">
        <v>6597</v>
      </c>
      <c r="C6407" s="538" t="s">
        <v>393</v>
      </c>
      <c r="D6407" s="538" t="s">
        <v>393</v>
      </c>
      <c r="E6407" s="538" t="s">
        <v>438</v>
      </c>
      <c r="F6407" s="538">
        <v>8007689</v>
      </c>
      <c r="G6407" s="538">
        <v>58</v>
      </c>
    </row>
    <row r="6408" spans="1:7" x14ac:dyDescent="0.2">
      <c r="A6408" s="538">
        <v>10</v>
      </c>
      <c r="B6408" s="538" t="s">
        <v>6597</v>
      </c>
      <c r="C6408" s="538" t="s">
        <v>393</v>
      </c>
      <c r="D6408" s="538" t="s">
        <v>393</v>
      </c>
      <c r="E6408" s="538" t="s">
        <v>206</v>
      </c>
      <c r="F6408" s="538">
        <v>148326</v>
      </c>
      <c r="G6408" s="538">
        <v>2</v>
      </c>
    </row>
    <row r="6409" spans="1:7" x14ac:dyDescent="0.2">
      <c r="A6409" s="538">
        <v>2</v>
      </c>
      <c r="B6409" s="538" t="s">
        <v>6055</v>
      </c>
      <c r="C6409" s="538" t="s">
        <v>740</v>
      </c>
      <c r="D6409" s="538" t="s">
        <v>393</v>
      </c>
      <c r="E6409" s="538" t="s">
        <v>416</v>
      </c>
      <c r="F6409" s="538">
        <v>3456300</v>
      </c>
      <c r="G6409" s="538">
        <v>95</v>
      </c>
    </row>
    <row r="6410" spans="1:7" x14ac:dyDescent="0.2">
      <c r="A6410" s="538">
        <v>2</v>
      </c>
      <c r="B6410" s="538" t="s">
        <v>6576</v>
      </c>
      <c r="C6410" s="538" t="s">
        <v>740</v>
      </c>
      <c r="D6410" s="538" t="s">
        <v>740</v>
      </c>
      <c r="E6410" s="538" t="s">
        <v>409</v>
      </c>
      <c r="F6410" s="538">
        <v>67968</v>
      </c>
      <c r="G6410" s="538">
        <v>6</v>
      </c>
    </row>
    <row r="6411" spans="1:7" x14ac:dyDescent="0.2">
      <c r="A6411" s="538">
        <v>6</v>
      </c>
      <c r="B6411" s="538" t="s">
        <v>6596</v>
      </c>
      <c r="C6411" s="538" t="s">
        <v>393</v>
      </c>
      <c r="D6411" s="538" t="s">
        <v>393</v>
      </c>
      <c r="E6411" s="538" t="s">
        <v>211</v>
      </c>
      <c r="F6411" s="538">
        <v>29134806</v>
      </c>
      <c r="G6411" s="538">
        <v>327</v>
      </c>
    </row>
    <row r="6412" spans="1:7" x14ac:dyDescent="0.2">
      <c r="A6412" s="538">
        <v>4</v>
      </c>
      <c r="B6412" s="538" t="s">
        <v>6559</v>
      </c>
      <c r="C6412" s="538" t="s">
        <v>740</v>
      </c>
      <c r="D6412" s="538" t="s">
        <v>740</v>
      </c>
      <c r="E6412" s="538" t="s">
        <v>860</v>
      </c>
      <c r="F6412" s="538">
        <v>33984</v>
      </c>
      <c r="G6412" s="538">
        <v>3</v>
      </c>
    </row>
    <row r="6413" spans="1:7" x14ac:dyDescent="0.2">
      <c r="A6413" s="538">
        <v>5</v>
      </c>
      <c r="B6413" s="538" t="s">
        <v>6599</v>
      </c>
      <c r="C6413" s="538" t="s">
        <v>740</v>
      </c>
      <c r="D6413" s="538" t="s">
        <v>393</v>
      </c>
      <c r="E6413" s="538" t="s">
        <v>313</v>
      </c>
      <c r="F6413" s="538">
        <v>11328</v>
      </c>
      <c r="G6413" s="538">
        <v>1</v>
      </c>
    </row>
    <row r="6414" spans="1:7" x14ac:dyDescent="0.2">
      <c r="A6414" s="538">
        <v>2</v>
      </c>
      <c r="B6414" s="538" t="s">
        <v>6656</v>
      </c>
      <c r="C6414" s="538" t="s">
        <v>740</v>
      </c>
      <c r="D6414" s="538" t="s">
        <v>393</v>
      </c>
      <c r="E6414" s="538" t="s">
        <v>416</v>
      </c>
      <c r="F6414" s="538">
        <v>3055874</v>
      </c>
      <c r="G6414" s="538">
        <v>48</v>
      </c>
    </row>
    <row r="6415" spans="1:7" x14ac:dyDescent="0.2">
      <c r="A6415" s="538">
        <v>5</v>
      </c>
      <c r="B6415" s="538" t="s">
        <v>6651</v>
      </c>
      <c r="C6415" s="538" t="s">
        <v>393</v>
      </c>
      <c r="D6415" s="538" t="s">
        <v>393</v>
      </c>
      <c r="E6415" s="538" t="s">
        <v>210</v>
      </c>
      <c r="F6415" s="538">
        <v>1342670</v>
      </c>
      <c r="G6415" s="538">
        <v>30</v>
      </c>
    </row>
    <row r="6416" spans="1:7" x14ac:dyDescent="0.2">
      <c r="A6416" s="538">
        <v>3</v>
      </c>
      <c r="B6416" s="538" t="s">
        <v>1390</v>
      </c>
      <c r="C6416" s="538" t="s">
        <v>393</v>
      </c>
      <c r="D6416" s="538" t="s">
        <v>393</v>
      </c>
      <c r="E6416" s="538" t="s">
        <v>313</v>
      </c>
      <c r="F6416" s="538">
        <v>2440799</v>
      </c>
      <c r="G6416" s="538">
        <v>13</v>
      </c>
    </row>
    <row r="6417" spans="1:7" x14ac:dyDescent="0.2">
      <c r="A6417" s="538">
        <v>8</v>
      </c>
      <c r="B6417" s="538" t="s">
        <v>6648</v>
      </c>
      <c r="C6417" s="538" t="s">
        <v>393</v>
      </c>
      <c r="D6417" s="538" t="s">
        <v>740</v>
      </c>
      <c r="E6417" s="538" t="s">
        <v>390</v>
      </c>
      <c r="F6417" s="538">
        <v>5199646</v>
      </c>
      <c r="G6417" s="538">
        <v>112</v>
      </c>
    </row>
    <row r="6418" spans="1:7" x14ac:dyDescent="0.2">
      <c r="A6418" s="538">
        <v>6</v>
      </c>
      <c r="B6418" s="538" t="s">
        <v>6596</v>
      </c>
      <c r="C6418" s="538" t="s">
        <v>740</v>
      </c>
      <c r="D6418" s="538" t="s">
        <v>393</v>
      </c>
      <c r="E6418" s="538" t="s">
        <v>449</v>
      </c>
      <c r="F6418" s="538">
        <v>33984</v>
      </c>
      <c r="G6418" s="538">
        <v>3</v>
      </c>
    </row>
    <row r="6419" spans="1:7" x14ac:dyDescent="0.2">
      <c r="A6419" s="538">
        <v>5</v>
      </c>
      <c r="B6419" s="538" t="s">
        <v>6589</v>
      </c>
      <c r="C6419" s="538" t="s">
        <v>740</v>
      </c>
      <c r="D6419" s="538" t="s">
        <v>393</v>
      </c>
      <c r="E6419" s="538" t="s">
        <v>416</v>
      </c>
      <c r="F6419" s="538">
        <v>9545798</v>
      </c>
      <c r="G6419" s="538">
        <v>216</v>
      </c>
    </row>
    <row r="6420" spans="1:7" x14ac:dyDescent="0.2">
      <c r="A6420" s="538">
        <v>3</v>
      </c>
      <c r="B6420" s="538" t="s">
        <v>6605</v>
      </c>
      <c r="C6420" s="538" t="s">
        <v>740</v>
      </c>
      <c r="D6420" s="538" t="s">
        <v>393</v>
      </c>
      <c r="E6420" s="538" t="s">
        <v>409</v>
      </c>
      <c r="F6420" s="538">
        <v>1842997</v>
      </c>
      <c r="G6420" s="538">
        <v>39</v>
      </c>
    </row>
    <row r="6421" spans="1:7" x14ac:dyDescent="0.2">
      <c r="A6421" s="538">
        <v>11</v>
      </c>
      <c r="B6421" s="538" t="s">
        <v>6558</v>
      </c>
      <c r="C6421" s="538" t="s">
        <v>393</v>
      </c>
      <c r="D6421" s="538" t="s">
        <v>393</v>
      </c>
      <c r="E6421" s="538" t="s">
        <v>211</v>
      </c>
      <c r="F6421" s="538">
        <v>11132905</v>
      </c>
      <c r="G6421" s="538">
        <v>205</v>
      </c>
    </row>
    <row r="6422" spans="1:7" x14ac:dyDescent="0.2">
      <c r="A6422" s="538">
        <v>2</v>
      </c>
      <c r="B6422" s="538" t="s">
        <v>6585</v>
      </c>
      <c r="C6422" s="538" t="s">
        <v>393</v>
      </c>
      <c r="D6422" s="538" t="s">
        <v>740</v>
      </c>
      <c r="E6422" s="538" t="s">
        <v>438</v>
      </c>
      <c r="F6422" s="538">
        <v>519089</v>
      </c>
      <c r="G6422" s="538">
        <v>3</v>
      </c>
    </row>
    <row r="6423" spans="1:7" x14ac:dyDescent="0.2">
      <c r="A6423" s="538">
        <v>7</v>
      </c>
      <c r="B6423" s="538" t="s">
        <v>6571</v>
      </c>
      <c r="C6423" s="538" t="s">
        <v>740</v>
      </c>
      <c r="D6423" s="538" t="s">
        <v>740</v>
      </c>
      <c r="E6423" s="538" t="s">
        <v>211</v>
      </c>
      <c r="F6423" s="538">
        <v>727772</v>
      </c>
      <c r="G6423" s="538">
        <v>9</v>
      </c>
    </row>
    <row r="6424" spans="1:7" x14ac:dyDescent="0.2">
      <c r="A6424" s="538">
        <v>3</v>
      </c>
      <c r="B6424" s="538" t="s">
        <v>6586</v>
      </c>
      <c r="C6424" s="538" t="s">
        <v>740</v>
      </c>
      <c r="D6424" s="538" t="s">
        <v>393</v>
      </c>
      <c r="E6424" s="538" t="s">
        <v>401</v>
      </c>
      <c r="F6424" s="538">
        <v>84252</v>
      </c>
      <c r="G6424" s="538">
        <v>4</v>
      </c>
    </row>
    <row r="6425" spans="1:7" x14ac:dyDescent="0.2">
      <c r="A6425" s="538">
        <v>12</v>
      </c>
      <c r="B6425" s="538" t="s">
        <v>6569</v>
      </c>
      <c r="C6425" s="538" t="s">
        <v>740</v>
      </c>
      <c r="D6425" s="538" t="s">
        <v>740</v>
      </c>
      <c r="E6425" s="538" t="s">
        <v>416</v>
      </c>
      <c r="F6425" s="538">
        <v>42884416</v>
      </c>
      <c r="G6425" s="538">
        <v>977</v>
      </c>
    </row>
    <row r="6426" spans="1:7" x14ac:dyDescent="0.2">
      <c r="A6426" s="538">
        <v>4</v>
      </c>
      <c r="B6426" s="538" t="s">
        <v>6593</v>
      </c>
      <c r="C6426" s="538" t="s">
        <v>740</v>
      </c>
      <c r="D6426" s="538" t="s">
        <v>393</v>
      </c>
      <c r="E6426" s="538" t="s">
        <v>209</v>
      </c>
      <c r="F6426" s="538">
        <v>25049740</v>
      </c>
      <c r="G6426" s="538">
        <v>115</v>
      </c>
    </row>
    <row r="6427" spans="1:7" x14ac:dyDescent="0.2">
      <c r="A6427" s="538">
        <v>3</v>
      </c>
      <c r="B6427" s="538" t="s">
        <v>6647</v>
      </c>
      <c r="C6427" s="538" t="s">
        <v>393</v>
      </c>
      <c r="D6427" s="538" t="s">
        <v>740</v>
      </c>
      <c r="E6427" s="538" t="s">
        <v>438</v>
      </c>
      <c r="F6427" s="538">
        <v>22656</v>
      </c>
      <c r="G6427" s="538">
        <v>2</v>
      </c>
    </row>
    <row r="6428" spans="1:7" x14ac:dyDescent="0.2">
      <c r="A6428" s="538">
        <v>10</v>
      </c>
      <c r="B6428" s="538" t="s">
        <v>6587</v>
      </c>
      <c r="C6428" s="538" t="s">
        <v>740</v>
      </c>
      <c r="D6428" s="538" t="s">
        <v>393</v>
      </c>
      <c r="E6428" s="538" t="s">
        <v>212</v>
      </c>
      <c r="F6428" s="538">
        <v>996687</v>
      </c>
      <c r="G6428" s="538">
        <v>79</v>
      </c>
    </row>
    <row r="6429" spans="1:7" x14ac:dyDescent="0.2">
      <c r="A6429" s="538">
        <v>10</v>
      </c>
      <c r="B6429" s="538" t="s">
        <v>6582</v>
      </c>
      <c r="C6429" s="538" t="s">
        <v>740</v>
      </c>
      <c r="D6429" s="538" t="s">
        <v>740</v>
      </c>
      <c r="E6429" s="538" t="s">
        <v>416</v>
      </c>
      <c r="F6429" s="538">
        <v>242667</v>
      </c>
      <c r="G6429" s="538">
        <v>9</v>
      </c>
    </row>
    <row r="6430" spans="1:7" x14ac:dyDescent="0.2">
      <c r="A6430" s="538">
        <v>2</v>
      </c>
      <c r="B6430" s="538" t="s">
        <v>6662</v>
      </c>
      <c r="C6430" s="538" t="s">
        <v>740</v>
      </c>
      <c r="D6430" s="538" t="s">
        <v>393</v>
      </c>
      <c r="E6430" s="538" t="s">
        <v>230</v>
      </c>
      <c r="F6430" s="538">
        <v>2096992</v>
      </c>
      <c r="G6430" s="538">
        <v>49</v>
      </c>
    </row>
    <row r="6431" spans="1:7" x14ac:dyDescent="0.2">
      <c r="A6431" s="538">
        <v>10</v>
      </c>
      <c r="B6431" s="538" t="s">
        <v>6652</v>
      </c>
      <c r="C6431" s="538" t="s">
        <v>740</v>
      </c>
      <c r="D6431" s="538" t="s">
        <v>393</v>
      </c>
      <c r="E6431" s="538" t="s">
        <v>202</v>
      </c>
      <c r="F6431" s="538">
        <v>11328</v>
      </c>
      <c r="G6431" s="538">
        <v>1</v>
      </c>
    </row>
    <row r="6432" spans="1:7" x14ac:dyDescent="0.2">
      <c r="A6432" s="538">
        <v>3</v>
      </c>
      <c r="B6432" s="538" t="s">
        <v>1390</v>
      </c>
      <c r="C6432" s="538" t="s">
        <v>740</v>
      </c>
      <c r="D6432" s="538" t="s">
        <v>393</v>
      </c>
      <c r="E6432" s="538" t="s">
        <v>449</v>
      </c>
      <c r="F6432" s="538">
        <v>56640</v>
      </c>
      <c r="G6432" s="538">
        <v>5</v>
      </c>
    </row>
    <row r="6433" spans="1:7" x14ac:dyDescent="0.2">
      <c r="A6433" s="538">
        <v>6</v>
      </c>
      <c r="B6433" s="538" t="s">
        <v>6429</v>
      </c>
      <c r="C6433" s="538" t="s">
        <v>740</v>
      </c>
      <c r="D6433" s="538" t="s">
        <v>740</v>
      </c>
      <c r="E6433" s="538" t="s">
        <v>416</v>
      </c>
      <c r="F6433" s="538">
        <v>67968</v>
      </c>
      <c r="G6433" s="538">
        <v>6</v>
      </c>
    </row>
    <row r="6434" spans="1:7" x14ac:dyDescent="0.2">
      <c r="A6434" s="538">
        <v>4</v>
      </c>
      <c r="B6434" s="538" t="s">
        <v>6593</v>
      </c>
      <c r="C6434" s="538" t="s">
        <v>393</v>
      </c>
      <c r="D6434" s="538" t="s">
        <v>393</v>
      </c>
      <c r="E6434" s="538" t="s">
        <v>860</v>
      </c>
      <c r="F6434" s="538">
        <v>436482</v>
      </c>
      <c r="G6434" s="538">
        <v>24</v>
      </c>
    </row>
    <row r="6435" spans="1:7" x14ac:dyDescent="0.2">
      <c r="A6435" s="538">
        <v>5</v>
      </c>
      <c r="B6435" s="538" t="s">
        <v>6650</v>
      </c>
      <c r="C6435" s="538" t="s">
        <v>740</v>
      </c>
      <c r="D6435" s="538" t="s">
        <v>740</v>
      </c>
      <c r="E6435" s="538" t="s">
        <v>860</v>
      </c>
      <c r="F6435" s="538">
        <v>33984</v>
      </c>
      <c r="G6435" s="538">
        <v>3</v>
      </c>
    </row>
    <row r="6436" spans="1:7" x14ac:dyDescent="0.2">
      <c r="A6436" s="538">
        <v>3</v>
      </c>
      <c r="B6436" s="538" t="s">
        <v>6586</v>
      </c>
      <c r="C6436" s="538" t="s">
        <v>740</v>
      </c>
      <c r="D6436" s="538" t="s">
        <v>740</v>
      </c>
      <c r="E6436" s="538" t="s">
        <v>211</v>
      </c>
      <c r="F6436" s="538">
        <v>1458022</v>
      </c>
      <c r="G6436" s="538">
        <v>14</v>
      </c>
    </row>
    <row r="6437" spans="1:7" x14ac:dyDescent="0.2">
      <c r="A6437" s="538">
        <v>8</v>
      </c>
      <c r="B6437" s="538" t="s">
        <v>6577</v>
      </c>
      <c r="C6437" s="538" t="s">
        <v>740</v>
      </c>
      <c r="D6437" s="538" t="s">
        <v>740</v>
      </c>
      <c r="E6437" s="538" t="s">
        <v>449</v>
      </c>
      <c r="F6437" s="538">
        <v>33984</v>
      </c>
      <c r="G6437" s="538">
        <v>3</v>
      </c>
    </row>
    <row r="6438" spans="1:7" x14ac:dyDescent="0.2">
      <c r="A6438" s="538">
        <v>4</v>
      </c>
      <c r="B6438" s="538" t="s">
        <v>6562</v>
      </c>
      <c r="C6438" s="538" t="s">
        <v>740</v>
      </c>
      <c r="D6438" s="538" t="s">
        <v>393</v>
      </c>
      <c r="E6438" s="538" t="s">
        <v>212</v>
      </c>
      <c r="F6438" s="538">
        <v>67968</v>
      </c>
      <c r="G6438" s="538">
        <v>6</v>
      </c>
    </row>
    <row r="6439" spans="1:7" x14ac:dyDescent="0.2">
      <c r="A6439" s="538">
        <v>4</v>
      </c>
      <c r="B6439" s="538" t="s">
        <v>6593</v>
      </c>
      <c r="C6439" s="538" t="s">
        <v>393</v>
      </c>
      <c r="D6439" s="538" t="s">
        <v>740</v>
      </c>
      <c r="E6439" s="538" t="s">
        <v>202</v>
      </c>
      <c r="F6439" s="538">
        <v>741578</v>
      </c>
      <c r="G6439" s="538">
        <v>6</v>
      </c>
    </row>
    <row r="6440" spans="1:7" x14ac:dyDescent="0.2">
      <c r="A6440" s="538">
        <v>7</v>
      </c>
      <c r="B6440" s="538" t="s">
        <v>6604</v>
      </c>
      <c r="C6440" s="538" t="s">
        <v>740</v>
      </c>
      <c r="D6440" s="538" t="s">
        <v>740</v>
      </c>
      <c r="E6440" s="538" t="s">
        <v>211</v>
      </c>
      <c r="F6440" s="538">
        <v>96819</v>
      </c>
      <c r="G6440" s="538">
        <v>3</v>
      </c>
    </row>
    <row r="6441" spans="1:7" x14ac:dyDescent="0.2">
      <c r="A6441" s="538">
        <v>9</v>
      </c>
      <c r="B6441" s="538" t="s">
        <v>6614</v>
      </c>
      <c r="C6441" s="538" t="s">
        <v>393</v>
      </c>
      <c r="D6441" s="538" t="s">
        <v>393</v>
      </c>
      <c r="E6441" s="538" t="s">
        <v>438</v>
      </c>
      <c r="F6441" s="538">
        <v>4538905</v>
      </c>
      <c r="G6441" s="538">
        <v>50</v>
      </c>
    </row>
    <row r="6442" spans="1:7" x14ac:dyDescent="0.2">
      <c r="A6442" s="538">
        <v>3</v>
      </c>
      <c r="B6442" s="538" t="s">
        <v>1390</v>
      </c>
      <c r="C6442" s="538" t="s">
        <v>393</v>
      </c>
      <c r="D6442" s="538" t="s">
        <v>393</v>
      </c>
      <c r="E6442" s="538" t="s">
        <v>860</v>
      </c>
      <c r="F6442" s="538">
        <v>2361076</v>
      </c>
      <c r="G6442" s="538">
        <v>57</v>
      </c>
    </row>
    <row r="6443" spans="1:7" x14ac:dyDescent="0.2">
      <c r="A6443" s="538">
        <v>11</v>
      </c>
      <c r="B6443" s="538" t="s">
        <v>6610</v>
      </c>
      <c r="C6443" s="538" t="s">
        <v>740</v>
      </c>
      <c r="D6443" s="538" t="s">
        <v>740</v>
      </c>
      <c r="E6443" s="538" t="s">
        <v>860</v>
      </c>
      <c r="F6443" s="538">
        <v>113280</v>
      </c>
      <c r="G6443" s="538">
        <v>10</v>
      </c>
    </row>
    <row r="6444" spans="1:7" x14ac:dyDescent="0.2">
      <c r="A6444" s="538">
        <v>8</v>
      </c>
      <c r="B6444" s="538" t="s">
        <v>6648</v>
      </c>
      <c r="C6444" s="538" t="s">
        <v>393</v>
      </c>
      <c r="D6444" s="538" t="s">
        <v>740</v>
      </c>
      <c r="E6444" s="538" t="s">
        <v>416</v>
      </c>
      <c r="F6444" s="538">
        <v>3862338</v>
      </c>
      <c r="G6444" s="538">
        <v>106</v>
      </c>
    </row>
    <row r="6445" spans="1:7" x14ac:dyDescent="0.2">
      <c r="A6445" s="538">
        <v>11</v>
      </c>
      <c r="B6445" s="538" t="s">
        <v>6584</v>
      </c>
      <c r="C6445" s="538" t="s">
        <v>740</v>
      </c>
      <c r="D6445" s="538" t="s">
        <v>393</v>
      </c>
      <c r="E6445" s="538" t="s">
        <v>401</v>
      </c>
      <c r="F6445" s="538">
        <v>33984</v>
      </c>
      <c r="G6445" s="538">
        <v>3</v>
      </c>
    </row>
    <row r="6446" spans="1:7" x14ac:dyDescent="0.2">
      <c r="A6446" s="538">
        <v>10</v>
      </c>
      <c r="B6446" s="538" t="s">
        <v>6582</v>
      </c>
      <c r="C6446" s="538" t="s">
        <v>740</v>
      </c>
      <c r="D6446" s="538" t="s">
        <v>740</v>
      </c>
      <c r="E6446" s="538" t="s">
        <v>202</v>
      </c>
      <c r="F6446" s="538">
        <v>11328</v>
      </c>
      <c r="G6446" s="538">
        <v>1</v>
      </c>
    </row>
    <row r="6447" spans="1:7" x14ac:dyDescent="0.2">
      <c r="A6447" s="538">
        <v>10</v>
      </c>
      <c r="B6447" s="538" t="s">
        <v>6601</v>
      </c>
      <c r="C6447" s="538" t="s">
        <v>393</v>
      </c>
      <c r="D6447" s="538" t="s">
        <v>393</v>
      </c>
      <c r="E6447" s="538" t="s">
        <v>230</v>
      </c>
      <c r="F6447" s="538">
        <v>2819631</v>
      </c>
      <c r="G6447" s="538">
        <v>47</v>
      </c>
    </row>
    <row r="6448" spans="1:7" x14ac:dyDescent="0.2">
      <c r="A6448" s="538">
        <v>10</v>
      </c>
      <c r="B6448" s="538" t="s">
        <v>6652</v>
      </c>
      <c r="C6448" s="538" t="s">
        <v>740</v>
      </c>
      <c r="D6448" s="538" t="s">
        <v>740</v>
      </c>
      <c r="E6448" s="538" t="s">
        <v>402</v>
      </c>
      <c r="F6448" s="538">
        <v>306918</v>
      </c>
      <c r="G6448" s="538">
        <v>16</v>
      </c>
    </row>
    <row r="6449" spans="1:7" x14ac:dyDescent="0.2">
      <c r="A6449" s="538">
        <v>4</v>
      </c>
      <c r="B6449" s="538" t="s">
        <v>6559</v>
      </c>
      <c r="C6449" s="538" t="s">
        <v>740</v>
      </c>
      <c r="D6449" s="538" t="s">
        <v>740</v>
      </c>
      <c r="E6449" s="538" t="s">
        <v>401</v>
      </c>
      <c r="F6449" s="538">
        <v>1336173</v>
      </c>
      <c r="G6449" s="538">
        <v>91</v>
      </c>
    </row>
    <row r="6450" spans="1:7" x14ac:dyDescent="0.2">
      <c r="A6450" s="538">
        <v>8</v>
      </c>
      <c r="B6450" s="538" t="s">
        <v>6648</v>
      </c>
      <c r="C6450" s="538" t="s">
        <v>740</v>
      </c>
      <c r="D6450" s="538" t="s">
        <v>393</v>
      </c>
      <c r="E6450" s="538" t="s">
        <v>211</v>
      </c>
      <c r="F6450" s="538">
        <v>45312</v>
      </c>
      <c r="G6450" s="538">
        <v>4</v>
      </c>
    </row>
    <row r="6451" spans="1:7" x14ac:dyDescent="0.2">
      <c r="A6451" s="538">
        <v>5</v>
      </c>
      <c r="B6451" s="538" t="s">
        <v>6589</v>
      </c>
      <c r="C6451" s="538" t="s">
        <v>740</v>
      </c>
      <c r="D6451" s="538" t="s">
        <v>393</v>
      </c>
      <c r="E6451" s="538" t="s">
        <v>390</v>
      </c>
      <c r="F6451" s="538">
        <v>13313732</v>
      </c>
      <c r="G6451" s="538">
        <v>519</v>
      </c>
    </row>
    <row r="6452" spans="1:7" x14ac:dyDescent="0.2">
      <c r="A6452" s="538">
        <v>7</v>
      </c>
      <c r="B6452" s="538" t="s">
        <v>6594</v>
      </c>
      <c r="C6452" s="538" t="s">
        <v>393</v>
      </c>
      <c r="D6452" s="538" t="s">
        <v>393</v>
      </c>
      <c r="E6452" s="538" t="s">
        <v>402</v>
      </c>
      <c r="F6452" s="538">
        <v>3786707</v>
      </c>
      <c r="G6452" s="538">
        <v>84</v>
      </c>
    </row>
    <row r="6453" spans="1:7" x14ac:dyDescent="0.2">
      <c r="A6453" s="538">
        <v>10</v>
      </c>
      <c r="B6453" s="538" t="s">
        <v>6653</v>
      </c>
      <c r="C6453" s="538" t="s">
        <v>393</v>
      </c>
      <c r="D6453" s="538" t="s">
        <v>393</v>
      </c>
      <c r="E6453" s="538" t="s">
        <v>207</v>
      </c>
      <c r="F6453" s="538">
        <v>5751407</v>
      </c>
      <c r="G6453" s="538">
        <v>259</v>
      </c>
    </row>
    <row r="6454" spans="1:7" x14ac:dyDescent="0.2">
      <c r="A6454" s="538">
        <v>6</v>
      </c>
      <c r="B6454" s="538" t="s">
        <v>6565</v>
      </c>
      <c r="C6454" s="538" t="s">
        <v>393</v>
      </c>
      <c r="D6454" s="538" t="s">
        <v>393</v>
      </c>
      <c r="E6454" s="538" t="s">
        <v>230</v>
      </c>
      <c r="F6454" s="538">
        <v>8844295</v>
      </c>
      <c r="G6454" s="538">
        <v>125</v>
      </c>
    </row>
    <row r="6455" spans="1:7" x14ac:dyDescent="0.2">
      <c r="A6455" s="538">
        <v>5</v>
      </c>
      <c r="B6455" s="538" t="s">
        <v>6568</v>
      </c>
      <c r="C6455" s="538" t="s">
        <v>740</v>
      </c>
      <c r="D6455" s="538" t="s">
        <v>393</v>
      </c>
      <c r="E6455" s="538" t="s">
        <v>449</v>
      </c>
      <c r="F6455" s="538">
        <v>198771</v>
      </c>
      <c r="G6455" s="538">
        <v>12</v>
      </c>
    </row>
    <row r="6456" spans="1:7" x14ac:dyDescent="0.2">
      <c r="A6456" s="538">
        <v>6</v>
      </c>
      <c r="B6456" s="538" t="s">
        <v>6429</v>
      </c>
      <c r="C6456" s="538" t="s">
        <v>393</v>
      </c>
      <c r="D6456" s="538" t="s">
        <v>393</v>
      </c>
      <c r="E6456" s="538" t="s">
        <v>416</v>
      </c>
      <c r="F6456" s="538">
        <v>11976758</v>
      </c>
      <c r="G6456" s="538">
        <v>166</v>
      </c>
    </row>
    <row r="6457" spans="1:7" x14ac:dyDescent="0.2">
      <c r="A6457" s="538">
        <v>1</v>
      </c>
      <c r="B6457" s="538" t="s">
        <v>6595</v>
      </c>
      <c r="C6457" s="538" t="s">
        <v>393</v>
      </c>
      <c r="D6457" s="538" t="s">
        <v>740</v>
      </c>
      <c r="E6457" s="538" t="s">
        <v>449</v>
      </c>
      <c r="F6457" s="538">
        <v>45312</v>
      </c>
      <c r="G6457" s="538">
        <v>4</v>
      </c>
    </row>
    <row r="6458" spans="1:7" x14ac:dyDescent="0.2">
      <c r="A6458" s="538">
        <v>6</v>
      </c>
      <c r="B6458" s="538" t="s">
        <v>1668</v>
      </c>
      <c r="C6458" s="538" t="s">
        <v>393</v>
      </c>
      <c r="D6458" s="538" t="s">
        <v>740</v>
      </c>
      <c r="E6458" s="538" t="s">
        <v>230</v>
      </c>
      <c r="F6458" s="538">
        <v>147087</v>
      </c>
      <c r="G6458" s="538">
        <v>4</v>
      </c>
    </row>
    <row r="6459" spans="1:7" x14ac:dyDescent="0.2">
      <c r="A6459" s="538">
        <v>4</v>
      </c>
      <c r="B6459" s="538" t="s">
        <v>6593</v>
      </c>
      <c r="C6459" s="538" t="s">
        <v>393</v>
      </c>
      <c r="D6459" s="538" t="s">
        <v>393</v>
      </c>
      <c r="E6459" s="538" t="s">
        <v>212</v>
      </c>
      <c r="F6459" s="538">
        <v>1657782</v>
      </c>
      <c r="G6459" s="538">
        <v>84</v>
      </c>
    </row>
    <row r="6460" spans="1:7" x14ac:dyDescent="0.2">
      <c r="A6460" s="538">
        <v>2</v>
      </c>
      <c r="B6460" s="538" t="s">
        <v>6573</v>
      </c>
      <c r="C6460" s="538" t="s">
        <v>740</v>
      </c>
      <c r="D6460" s="538" t="s">
        <v>740</v>
      </c>
      <c r="E6460" s="538" t="s">
        <v>209</v>
      </c>
      <c r="F6460" s="538">
        <v>570596</v>
      </c>
      <c r="G6460" s="538">
        <v>2</v>
      </c>
    </row>
    <row r="6461" spans="1:7" x14ac:dyDescent="0.2">
      <c r="A6461" s="538">
        <v>4</v>
      </c>
      <c r="B6461" s="538" t="s">
        <v>6574</v>
      </c>
      <c r="C6461" s="538" t="s">
        <v>393</v>
      </c>
      <c r="D6461" s="538" t="s">
        <v>393</v>
      </c>
      <c r="E6461" s="538" t="s">
        <v>209</v>
      </c>
      <c r="F6461" s="538">
        <v>4206572</v>
      </c>
      <c r="G6461" s="538">
        <v>19</v>
      </c>
    </row>
    <row r="6462" spans="1:7" x14ac:dyDescent="0.2">
      <c r="A6462" s="538">
        <v>12</v>
      </c>
      <c r="B6462" s="538" t="s">
        <v>6569</v>
      </c>
      <c r="C6462" s="538" t="s">
        <v>740</v>
      </c>
      <c r="D6462" s="538" t="s">
        <v>393</v>
      </c>
      <c r="E6462" s="538" t="s">
        <v>438</v>
      </c>
      <c r="F6462" s="538">
        <v>375948</v>
      </c>
      <c r="G6462" s="538">
        <v>11</v>
      </c>
    </row>
    <row r="6463" spans="1:7" x14ac:dyDescent="0.2">
      <c r="A6463" s="538">
        <v>7</v>
      </c>
      <c r="B6463" s="538" t="s">
        <v>6604</v>
      </c>
      <c r="C6463" s="538" t="s">
        <v>740</v>
      </c>
      <c r="D6463" s="538" t="s">
        <v>393</v>
      </c>
      <c r="E6463" s="538" t="s">
        <v>449</v>
      </c>
      <c r="F6463" s="538">
        <v>85491</v>
      </c>
      <c r="G6463" s="538">
        <v>2</v>
      </c>
    </row>
    <row r="6464" spans="1:7" x14ac:dyDescent="0.2">
      <c r="A6464" s="538">
        <v>4</v>
      </c>
      <c r="B6464" s="538" t="s">
        <v>6562</v>
      </c>
      <c r="C6464" s="538" t="s">
        <v>740</v>
      </c>
      <c r="D6464" s="538" t="s">
        <v>740</v>
      </c>
      <c r="E6464" s="538" t="s">
        <v>207</v>
      </c>
      <c r="F6464" s="538">
        <v>879336</v>
      </c>
      <c r="G6464" s="538">
        <v>52</v>
      </c>
    </row>
    <row r="6465" spans="1:7" x14ac:dyDescent="0.2">
      <c r="A6465" s="538">
        <v>3</v>
      </c>
      <c r="B6465" s="538" t="s">
        <v>6591</v>
      </c>
      <c r="C6465" s="538" t="s">
        <v>740</v>
      </c>
      <c r="D6465" s="538" t="s">
        <v>393</v>
      </c>
      <c r="E6465" s="538" t="s">
        <v>416</v>
      </c>
      <c r="F6465" s="538">
        <v>11328</v>
      </c>
      <c r="G6465" s="538">
        <v>1</v>
      </c>
    </row>
    <row r="6466" spans="1:7" x14ac:dyDescent="0.2">
      <c r="A6466" s="538">
        <v>9</v>
      </c>
      <c r="B6466" s="538" t="s">
        <v>6645</v>
      </c>
      <c r="C6466" s="538" t="s">
        <v>740</v>
      </c>
      <c r="D6466" s="538" t="s">
        <v>393</v>
      </c>
      <c r="E6466" s="538" t="s">
        <v>210</v>
      </c>
      <c r="F6466" s="538">
        <v>507761</v>
      </c>
      <c r="G6466" s="538">
        <v>2</v>
      </c>
    </row>
    <row r="6467" spans="1:7" x14ac:dyDescent="0.2">
      <c r="A6467" s="538">
        <v>3</v>
      </c>
      <c r="B6467" s="538" t="s">
        <v>6591</v>
      </c>
      <c r="C6467" s="538" t="s">
        <v>740</v>
      </c>
      <c r="D6467" s="538" t="s">
        <v>393</v>
      </c>
      <c r="E6467" s="538" t="s">
        <v>390</v>
      </c>
      <c r="F6467" s="538">
        <v>106908</v>
      </c>
      <c r="G6467" s="538">
        <v>6</v>
      </c>
    </row>
    <row r="6468" spans="1:7" x14ac:dyDescent="0.2">
      <c r="A6468" s="538">
        <v>10</v>
      </c>
      <c r="B6468" s="538" t="s">
        <v>6653</v>
      </c>
      <c r="C6468" s="538" t="s">
        <v>740</v>
      </c>
      <c r="D6468" s="538" t="s">
        <v>740</v>
      </c>
      <c r="E6468" s="538" t="s">
        <v>416</v>
      </c>
      <c r="F6468" s="538">
        <v>1351697</v>
      </c>
      <c r="G6468" s="538">
        <v>44</v>
      </c>
    </row>
    <row r="6469" spans="1:7" x14ac:dyDescent="0.2">
      <c r="A6469" s="538">
        <v>5</v>
      </c>
      <c r="B6469" s="538" t="s">
        <v>6568</v>
      </c>
      <c r="C6469" s="538" t="s">
        <v>740</v>
      </c>
      <c r="D6469" s="538" t="s">
        <v>740</v>
      </c>
      <c r="E6469" s="538" t="s">
        <v>449</v>
      </c>
      <c r="F6469" s="538">
        <v>210099</v>
      </c>
      <c r="G6469" s="538">
        <v>13</v>
      </c>
    </row>
    <row r="6470" spans="1:7" x14ac:dyDescent="0.2">
      <c r="A6470" s="538">
        <v>10</v>
      </c>
      <c r="B6470" s="538" t="s">
        <v>6597</v>
      </c>
      <c r="C6470" s="538" t="s">
        <v>740</v>
      </c>
      <c r="D6470" s="538" t="s">
        <v>393</v>
      </c>
      <c r="E6470" s="538" t="s">
        <v>230</v>
      </c>
      <c r="F6470" s="538">
        <v>3644222</v>
      </c>
      <c r="G6470" s="538">
        <v>59</v>
      </c>
    </row>
    <row r="6471" spans="1:7" x14ac:dyDescent="0.2">
      <c r="A6471" s="538">
        <v>7</v>
      </c>
      <c r="B6471" s="538" t="s">
        <v>6571</v>
      </c>
      <c r="C6471" s="538" t="s">
        <v>740</v>
      </c>
      <c r="D6471" s="538" t="s">
        <v>393</v>
      </c>
      <c r="E6471" s="538" t="s">
        <v>402</v>
      </c>
      <c r="F6471" s="538">
        <v>90624</v>
      </c>
      <c r="G6471" s="538">
        <v>8</v>
      </c>
    </row>
    <row r="6472" spans="1:7" x14ac:dyDescent="0.2">
      <c r="A6472" s="538">
        <v>9</v>
      </c>
      <c r="B6472" s="538" t="s">
        <v>6606</v>
      </c>
      <c r="C6472" s="538" t="s">
        <v>740</v>
      </c>
      <c r="D6472" s="538" t="s">
        <v>740</v>
      </c>
      <c r="E6472" s="538" t="s">
        <v>449</v>
      </c>
      <c r="F6472" s="538">
        <v>153459</v>
      </c>
      <c r="G6472" s="538">
        <v>8</v>
      </c>
    </row>
    <row r="6473" spans="1:7" x14ac:dyDescent="0.2">
      <c r="A6473" s="538">
        <v>4</v>
      </c>
      <c r="B6473" s="538" t="s">
        <v>6572</v>
      </c>
      <c r="C6473" s="538" t="s">
        <v>393</v>
      </c>
      <c r="D6473" s="538" t="s">
        <v>393</v>
      </c>
      <c r="E6473" s="538" t="s">
        <v>230</v>
      </c>
      <c r="F6473" s="538">
        <v>9544736</v>
      </c>
      <c r="G6473" s="538">
        <v>152</v>
      </c>
    </row>
    <row r="6474" spans="1:7" x14ac:dyDescent="0.2">
      <c r="A6474" s="538">
        <v>10</v>
      </c>
      <c r="B6474" s="538" t="s">
        <v>6587</v>
      </c>
      <c r="C6474" s="538" t="s">
        <v>740</v>
      </c>
      <c r="D6474" s="538" t="s">
        <v>393</v>
      </c>
      <c r="E6474" s="538" t="s">
        <v>401</v>
      </c>
      <c r="F6474" s="538">
        <v>519089</v>
      </c>
      <c r="G6474" s="538">
        <v>3</v>
      </c>
    </row>
    <row r="6475" spans="1:7" x14ac:dyDescent="0.2">
      <c r="A6475" s="538">
        <v>5</v>
      </c>
      <c r="B6475" s="538" t="s">
        <v>6651</v>
      </c>
      <c r="C6475" s="538" t="s">
        <v>740</v>
      </c>
      <c r="D6475" s="538" t="s">
        <v>393</v>
      </c>
      <c r="E6475" s="538" t="s">
        <v>401</v>
      </c>
      <c r="F6475" s="538">
        <v>130803</v>
      </c>
      <c r="G6475" s="538">
        <v>6</v>
      </c>
    </row>
    <row r="6476" spans="1:7" x14ac:dyDescent="0.2">
      <c r="A6476" s="538">
        <v>11</v>
      </c>
      <c r="B6476" s="538" t="s">
        <v>6610</v>
      </c>
      <c r="C6476" s="538" t="s">
        <v>740</v>
      </c>
      <c r="D6476" s="538" t="s">
        <v>393</v>
      </c>
      <c r="E6476" s="538" t="s">
        <v>402</v>
      </c>
      <c r="F6476" s="538">
        <v>8312878</v>
      </c>
      <c r="G6476" s="538">
        <v>501</v>
      </c>
    </row>
    <row r="6477" spans="1:7" x14ac:dyDescent="0.2">
      <c r="A6477" s="538">
        <v>8</v>
      </c>
      <c r="B6477" s="538" t="s">
        <v>6570</v>
      </c>
      <c r="C6477" s="538" t="s">
        <v>740</v>
      </c>
      <c r="D6477" s="538" t="s">
        <v>393</v>
      </c>
      <c r="E6477" s="538" t="s">
        <v>210</v>
      </c>
      <c r="F6477" s="538">
        <v>5966566</v>
      </c>
      <c r="G6477" s="538">
        <v>282</v>
      </c>
    </row>
    <row r="6478" spans="1:7" x14ac:dyDescent="0.2">
      <c r="A6478" s="538">
        <v>4</v>
      </c>
      <c r="B6478" s="538" t="s">
        <v>6593</v>
      </c>
      <c r="C6478" s="538" t="s">
        <v>740</v>
      </c>
      <c r="D6478" s="538" t="s">
        <v>393</v>
      </c>
      <c r="E6478" s="538" t="s">
        <v>390</v>
      </c>
      <c r="F6478" s="538">
        <v>95842399</v>
      </c>
      <c r="G6478" s="538">
        <v>3493</v>
      </c>
    </row>
    <row r="6479" spans="1:7" x14ac:dyDescent="0.2">
      <c r="A6479" s="538">
        <v>5</v>
      </c>
      <c r="B6479" s="538" t="s">
        <v>6568</v>
      </c>
      <c r="C6479" s="538" t="s">
        <v>393</v>
      </c>
      <c r="D6479" s="538" t="s">
        <v>740</v>
      </c>
      <c r="E6479" s="538" t="s">
        <v>409</v>
      </c>
      <c r="F6479" s="538">
        <v>560028</v>
      </c>
      <c r="G6479" s="538">
        <v>46</v>
      </c>
    </row>
    <row r="6480" spans="1:7" x14ac:dyDescent="0.2">
      <c r="A6480" s="538">
        <v>4</v>
      </c>
      <c r="B6480" s="538" t="s">
        <v>6562</v>
      </c>
      <c r="C6480" s="538" t="s">
        <v>740</v>
      </c>
      <c r="D6480" s="538" t="s">
        <v>393</v>
      </c>
      <c r="E6480" s="538" t="s">
        <v>860</v>
      </c>
      <c r="F6480" s="538">
        <v>5651860</v>
      </c>
      <c r="G6480" s="538">
        <v>250</v>
      </c>
    </row>
    <row r="6481" spans="1:7" x14ac:dyDescent="0.2">
      <c r="A6481" s="538">
        <v>2</v>
      </c>
      <c r="B6481" s="538" t="s">
        <v>6608</v>
      </c>
      <c r="C6481" s="538" t="s">
        <v>740</v>
      </c>
      <c r="D6481" s="538" t="s">
        <v>393</v>
      </c>
      <c r="E6481" s="538" t="s">
        <v>860</v>
      </c>
      <c r="F6481" s="538">
        <v>672954</v>
      </c>
      <c r="G6481" s="538">
        <v>38</v>
      </c>
    </row>
    <row r="6482" spans="1:7" x14ac:dyDescent="0.2">
      <c r="A6482" s="538">
        <v>3</v>
      </c>
      <c r="B6482" s="538" t="s">
        <v>6591</v>
      </c>
      <c r="C6482" s="538" t="s">
        <v>740</v>
      </c>
      <c r="D6482" s="538" t="s">
        <v>740</v>
      </c>
      <c r="E6482" s="538" t="s">
        <v>207</v>
      </c>
      <c r="F6482" s="538">
        <v>5389775</v>
      </c>
      <c r="G6482" s="538">
        <v>290</v>
      </c>
    </row>
    <row r="6483" spans="1:7" x14ac:dyDescent="0.2">
      <c r="A6483" s="538">
        <v>11</v>
      </c>
      <c r="B6483" s="538" t="s">
        <v>6584</v>
      </c>
      <c r="C6483" s="538" t="s">
        <v>393</v>
      </c>
      <c r="D6483" s="538" t="s">
        <v>740</v>
      </c>
      <c r="E6483" s="538" t="s">
        <v>207</v>
      </c>
      <c r="F6483" s="538">
        <v>2177808</v>
      </c>
      <c r="G6483" s="538">
        <v>141</v>
      </c>
    </row>
    <row r="6484" spans="1:7" x14ac:dyDescent="0.2">
      <c r="A6484" s="538">
        <v>7</v>
      </c>
      <c r="B6484" s="538" t="s">
        <v>6604</v>
      </c>
      <c r="C6484" s="538" t="s">
        <v>393</v>
      </c>
      <c r="D6484" s="538" t="s">
        <v>740</v>
      </c>
      <c r="E6484" s="538" t="s">
        <v>209</v>
      </c>
      <c r="F6484" s="538">
        <v>496433</v>
      </c>
      <c r="G6484" s="538">
        <v>1</v>
      </c>
    </row>
    <row r="6485" spans="1:7" x14ac:dyDescent="0.2">
      <c r="A6485" s="538">
        <v>7</v>
      </c>
      <c r="B6485" s="538" t="s">
        <v>6594</v>
      </c>
      <c r="C6485" s="538" t="s">
        <v>740</v>
      </c>
      <c r="D6485" s="538" t="s">
        <v>393</v>
      </c>
      <c r="E6485" s="538" t="s">
        <v>438</v>
      </c>
      <c r="F6485" s="538">
        <v>11328</v>
      </c>
      <c r="G6485" s="538">
        <v>1</v>
      </c>
    </row>
    <row r="6486" spans="1:7" x14ac:dyDescent="0.2">
      <c r="A6486" s="538">
        <v>8</v>
      </c>
      <c r="B6486" s="538" t="s">
        <v>6560</v>
      </c>
      <c r="C6486" s="538" t="s">
        <v>740</v>
      </c>
      <c r="D6486" s="538" t="s">
        <v>740</v>
      </c>
      <c r="E6486" s="538" t="s">
        <v>211</v>
      </c>
      <c r="F6486" s="538">
        <v>1987252</v>
      </c>
      <c r="G6486" s="538">
        <v>29</v>
      </c>
    </row>
    <row r="6487" spans="1:7" x14ac:dyDescent="0.2">
      <c r="A6487" s="538">
        <v>6</v>
      </c>
      <c r="B6487" s="538" t="s">
        <v>6575</v>
      </c>
      <c r="C6487" s="538" t="s">
        <v>740</v>
      </c>
      <c r="D6487" s="538" t="s">
        <v>393</v>
      </c>
      <c r="E6487" s="538" t="s">
        <v>207</v>
      </c>
      <c r="F6487" s="538">
        <v>198771</v>
      </c>
      <c r="G6487" s="538">
        <v>12</v>
      </c>
    </row>
    <row r="6488" spans="1:7" x14ac:dyDescent="0.2">
      <c r="A6488" s="538">
        <v>10</v>
      </c>
      <c r="B6488" s="538" t="s">
        <v>6601</v>
      </c>
      <c r="C6488" s="538" t="s">
        <v>393</v>
      </c>
      <c r="D6488" s="538" t="s">
        <v>393</v>
      </c>
      <c r="E6488" s="538" t="s">
        <v>416</v>
      </c>
      <c r="F6488" s="538">
        <v>27682802</v>
      </c>
      <c r="G6488" s="538">
        <v>369</v>
      </c>
    </row>
    <row r="6489" spans="1:7" x14ac:dyDescent="0.2">
      <c r="A6489" s="538">
        <v>7</v>
      </c>
      <c r="B6489" s="538" t="s">
        <v>6564</v>
      </c>
      <c r="C6489" s="538" t="s">
        <v>740</v>
      </c>
      <c r="D6489" s="538" t="s">
        <v>740</v>
      </c>
      <c r="E6489" s="538" t="s">
        <v>212</v>
      </c>
      <c r="F6489" s="538">
        <v>67968</v>
      </c>
      <c r="G6489" s="538">
        <v>6</v>
      </c>
    </row>
    <row r="6490" spans="1:7" x14ac:dyDescent="0.2">
      <c r="A6490" s="538">
        <v>1</v>
      </c>
      <c r="B6490" s="538" t="s">
        <v>1288</v>
      </c>
      <c r="C6490" s="538" t="s">
        <v>393</v>
      </c>
      <c r="D6490" s="538" t="s">
        <v>393</v>
      </c>
      <c r="E6490" s="538" t="s">
        <v>409</v>
      </c>
      <c r="F6490" s="538">
        <v>1209743</v>
      </c>
      <c r="G6490" s="538">
        <v>46</v>
      </c>
    </row>
    <row r="6491" spans="1:7" x14ac:dyDescent="0.2">
      <c r="A6491" s="538">
        <v>11</v>
      </c>
      <c r="B6491" s="538" t="s">
        <v>6612</v>
      </c>
      <c r="C6491" s="538" t="s">
        <v>740</v>
      </c>
      <c r="D6491" s="538" t="s">
        <v>393</v>
      </c>
      <c r="E6491" s="538" t="s">
        <v>211</v>
      </c>
      <c r="F6491" s="538">
        <v>9492729</v>
      </c>
      <c r="G6491" s="538">
        <v>278</v>
      </c>
    </row>
    <row r="6492" spans="1:7" x14ac:dyDescent="0.2">
      <c r="A6492" s="538">
        <v>8</v>
      </c>
      <c r="B6492" s="538" t="s">
        <v>6577</v>
      </c>
      <c r="C6492" s="538" t="s">
        <v>740</v>
      </c>
      <c r="D6492" s="538" t="s">
        <v>740</v>
      </c>
      <c r="E6492" s="538" t="s">
        <v>860</v>
      </c>
      <c r="F6492" s="538">
        <v>5134916</v>
      </c>
      <c r="G6492" s="538">
        <v>152</v>
      </c>
    </row>
    <row r="6493" spans="1:7" x14ac:dyDescent="0.2">
      <c r="A6493" s="538">
        <v>7</v>
      </c>
      <c r="B6493" s="538" t="s">
        <v>6579</v>
      </c>
      <c r="C6493" s="538" t="s">
        <v>740</v>
      </c>
      <c r="D6493" s="538" t="s">
        <v>740</v>
      </c>
      <c r="E6493" s="538" t="s">
        <v>438</v>
      </c>
      <c r="F6493" s="538">
        <v>11328</v>
      </c>
      <c r="G6493" s="538">
        <v>1</v>
      </c>
    </row>
    <row r="6494" spans="1:7" x14ac:dyDescent="0.2">
      <c r="A6494" s="538">
        <v>10</v>
      </c>
      <c r="B6494" s="538" t="s">
        <v>6601</v>
      </c>
      <c r="C6494" s="538" t="s">
        <v>393</v>
      </c>
      <c r="D6494" s="538" t="s">
        <v>393</v>
      </c>
      <c r="E6494" s="538" t="s">
        <v>390</v>
      </c>
      <c r="F6494" s="538">
        <v>3421733</v>
      </c>
      <c r="G6494" s="538">
        <v>61</v>
      </c>
    </row>
    <row r="6495" spans="1:7" x14ac:dyDescent="0.2">
      <c r="A6495" s="538">
        <v>7</v>
      </c>
      <c r="B6495" s="538" t="s">
        <v>6564</v>
      </c>
      <c r="C6495" s="538" t="s">
        <v>393</v>
      </c>
      <c r="D6495" s="538" t="s">
        <v>393</v>
      </c>
      <c r="E6495" s="538" t="s">
        <v>409</v>
      </c>
      <c r="F6495" s="538">
        <v>1318952</v>
      </c>
      <c r="G6495" s="538">
        <v>39</v>
      </c>
    </row>
    <row r="6496" spans="1:7" x14ac:dyDescent="0.2">
      <c r="A6496" s="538">
        <v>6</v>
      </c>
      <c r="B6496" s="538" t="s">
        <v>6429</v>
      </c>
      <c r="C6496" s="538" t="s">
        <v>740</v>
      </c>
      <c r="D6496" s="538" t="s">
        <v>740</v>
      </c>
      <c r="E6496" s="538" t="s">
        <v>438</v>
      </c>
      <c r="F6496" s="538">
        <v>18258749</v>
      </c>
      <c r="G6496" s="538">
        <v>128</v>
      </c>
    </row>
    <row r="6497" spans="1:7" x14ac:dyDescent="0.2">
      <c r="A6497" s="538">
        <v>6</v>
      </c>
      <c r="B6497" s="538" t="s">
        <v>6429</v>
      </c>
      <c r="C6497" s="538" t="s">
        <v>740</v>
      </c>
      <c r="D6497" s="538" t="s">
        <v>740</v>
      </c>
      <c r="E6497" s="538" t="s">
        <v>206</v>
      </c>
      <c r="F6497" s="538">
        <v>74163</v>
      </c>
      <c r="G6497" s="538">
        <v>1</v>
      </c>
    </row>
    <row r="6498" spans="1:7" x14ac:dyDescent="0.2">
      <c r="A6498" s="538">
        <v>9</v>
      </c>
      <c r="B6498" s="538" t="s">
        <v>6645</v>
      </c>
      <c r="C6498" s="538" t="s">
        <v>393</v>
      </c>
      <c r="D6498" s="538" t="s">
        <v>393</v>
      </c>
      <c r="E6498" s="538" t="s">
        <v>202</v>
      </c>
      <c r="F6498" s="538">
        <v>8098011</v>
      </c>
      <c r="G6498" s="538">
        <v>57</v>
      </c>
    </row>
    <row r="6499" spans="1:7" x14ac:dyDescent="0.2">
      <c r="A6499" s="538">
        <v>11</v>
      </c>
      <c r="B6499" s="538" t="s">
        <v>6610</v>
      </c>
      <c r="C6499" s="538" t="s">
        <v>740</v>
      </c>
      <c r="D6499" s="538" t="s">
        <v>393</v>
      </c>
      <c r="E6499" s="538" t="s">
        <v>409</v>
      </c>
      <c r="F6499" s="538">
        <v>11328</v>
      </c>
      <c r="G6499" s="538">
        <v>1</v>
      </c>
    </row>
    <row r="6500" spans="1:7" x14ac:dyDescent="0.2">
      <c r="A6500" s="538">
        <v>10</v>
      </c>
      <c r="B6500" s="538" t="s">
        <v>6652</v>
      </c>
      <c r="C6500" s="538" t="s">
        <v>393</v>
      </c>
      <c r="D6500" s="538" t="s">
        <v>393</v>
      </c>
      <c r="E6500" s="538" t="s">
        <v>449</v>
      </c>
      <c r="F6500" s="538">
        <v>22656</v>
      </c>
      <c r="G6500" s="538">
        <v>2</v>
      </c>
    </row>
    <row r="6501" spans="1:7" x14ac:dyDescent="0.2">
      <c r="A6501" s="538">
        <v>6</v>
      </c>
      <c r="B6501" s="538" t="s">
        <v>6617</v>
      </c>
      <c r="C6501" s="538" t="s">
        <v>393</v>
      </c>
      <c r="D6501" s="538" t="s">
        <v>393</v>
      </c>
      <c r="E6501" s="538" t="s">
        <v>230</v>
      </c>
      <c r="F6501" s="538">
        <v>7236791</v>
      </c>
      <c r="G6501" s="538">
        <v>187</v>
      </c>
    </row>
    <row r="6502" spans="1:7" x14ac:dyDescent="0.2">
      <c r="A6502" s="538">
        <v>7</v>
      </c>
      <c r="B6502" s="538" t="s">
        <v>6588</v>
      </c>
      <c r="C6502" s="538" t="s">
        <v>740</v>
      </c>
      <c r="D6502" s="538" t="s">
        <v>393</v>
      </c>
      <c r="E6502" s="538" t="s">
        <v>209</v>
      </c>
      <c r="F6502" s="538">
        <v>11328</v>
      </c>
      <c r="G6502" s="538">
        <v>1</v>
      </c>
    </row>
    <row r="6503" spans="1:7" x14ac:dyDescent="0.2">
      <c r="A6503" s="538">
        <v>2</v>
      </c>
      <c r="B6503" s="538" t="s">
        <v>6585</v>
      </c>
      <c r="C6503" s="538" t="s">
        <v>393</v>
      </c>
      <c r="D6503" s="538" t="s">
        <v>393</v>
      </c>
      <c r="E6503" s="538" t="s">
        <v>419</v>
      </c>
      <c r="F6503" s="538">
        <v>22656</v>
      </c>
      <c r="G6503" s="538">
        <v>2</v>
      </c>
    </row>
    <row r="6504" spans="1:7" x14ac:dyDescent="0.2">
      <c r="A6504" s="538">
        <v>1</v>
      </c>
      <c r="B6504" s="538" t="s">
        <v>6602</v>
      </c>
      <c r="C6504" s="538" t="s">
        <v>740</v>
      </c>
      <c r="D6504" s="538" t="s">
        <v>393</v>
      </c>
      <c r="E6504" s="538" t="s">
        <v>409</v>
      </c>
      <c r="F6504" s="538">
        <v>2881352</v>
      </c>
      <c r="G6504" s="538">
        <v>54</v>
      </c>
    </row>
    <row r="6505" spans="1:7" x14ac:dyDescent="0.2">
      <c r="A6505" s="538">
        <v>2</v>
      </c>
      <c r="B6505" s="538" t="s">
        <v>6654</v>
      </c>
      <c r="C6505" s="538" t="s">
        <v>740</v>
      </c>
      <c r="D6505" s="538" t="s">
        <v>393</v>
      </c>
      <c r="E6505" s="538" t="s">
        <v>211</v>
      </c>
      <c r="F6505" s="538">
        <v>5981455</v>
      </c>
      <c r="G6505" s="538">
        <v>130</v>
      </c>
    </row>
    <row r="6506" spans="1:7" x14ac:dyDescent="0.2">
      <c r="A6506" s="538">
        <v>9</v>
      </c>
      <c r="B6506" s="538" t="s">
        <v>6615</v>
      </c>
      <c r="C6506" s="538" t="s">
        <v>740</v>
      </c>
      <c r="D6506" s="538" t="s">
        <v>393</v>
      </c>
      <c r="E6506" s="538" t="s">
        <v>402</v>
      </c>
      <c r="F6506" s="538">
        <v>153459</v>
      </c>
      <c r="G6506" s="538">
        <v>8</v>
      </c>
    </row>
    <row r="6507" spans="1:7" x14ac:dyDescent="0.2">
      <c r="A6507" s="538">
        <v>7</v>
      </c>
      <c r="B6507" s="538" t="s">
        <v>6604</v>
      </c>
      <c r="C6507" s="538" t="s">
        <v>740</v>
      </c>
      <c r="D6507" s="538" t="s">
        <v>393</v>
      </c>
      <c r="E6507" s="538" t="s">
        <v>207</v>
      </c>
      <c r="F6507" s="538">
        <v>339840</v>
      </c>
      <c r="G6507" s="538">
        <v>30</v>
      </c>
    </row>
    <row r="6508" spans="1:7" x14ac:dyDescent="0.2">
      <c r="A6508" s="538">
        <v>2</v>
      </c>
      <c r="B6508" s="538" t="s">
        <v>6656</v>
      </c>
      <c r="C6508" s="538" t="s">
        <v>740</v>
      </c>
      <c r="D6508" s="538" t="s">
        <v>740</v>
      </c>
      <c r="E6508" s="538" t="s">
        <v>207</v>
      </c>
      <c r="F6508" s="538">
        <v>33984</v>
      </c>
      <c r="G6508" s="538">
        <v>3</v>
      </c>
    </row>
    <row r="6509" spans="1:7" x14ac:dyDescent="0.2">
      <c r="A6509" s="538">
        <v>4</v>
      </c>
      <c r="B6509" s="538" t="s">
        <v>6590</v>
      </c>
      <c r="C6509" s="538" t="s">
        <v>393</v>
      </c>
      <c r="D6509" s="538" t="s">
        <v>740</v>
      </c>
      <c r="E6509" s="538" t="s">
        <v>212</v>
      </c>
      <c r="F6509" s="538">
        <v>45312</v>
      </c>
      <c r="G6509" s="538">
        <v>4</v>
      </c>
    </row>
    <row r="6510" spans="1:7" x14ac:dyDescent="0.2">
      <c r="A6510" s="538">
        <v>3</v>
      </c>
      <c r="B6510" s="538" t="s">
        <v>6647</v>
      </c>
      <c r="C6510" s="538" t="s">
        <v>393</v>
      </c>
      <c r="D6510" s="538" t="s">
        <v>393</v>
      </c>
      <c r="E6510" s="538" t="s">
        <v>419</v>
      </c>
      <c r="F6510" s="538">
        <v>648653</v>
      </c>
      <c r="G6510" s="538">
        <v>11</v>
      </c>
    </row>
    <row r="6511" spans="1:7" x14ac:dyDescent="0.2">
      <c r="A6511" s="538">
        <v>7</v>
      </c>
      <c r="B6511" s="538" t="s">
        <v>6604</v>
      </c>
      <c r="C6511" s="538" t="s">
        <v>393</v>
      </c>
      <c r="D6511" s="538" t="s">
        <v>393</v>
      </c>
      <c r="E6511" s="538" t="s">
        <v>210</v>
      </c>
      <c r="F6511" s="538">
        <v>255411</v>
      </c>
      <c r="G6511" s="538">
        <v>17</v>
      </c>
    </row>
    <row r="6512" spans="1:7" x14ac:dyDescent="0.2">
      <c r="A6512" s="538">
        <v>8</v>
      </c>
      <c r="B6512" s="538" t="s">
        <v>6570</v>
      </c>
      <c r="C6512" s="538" t="s">
        <v>740</v>
      </c>
      <c r="D6512" s="538" t="s">
        <v>740</v>
      </c>
      <c r="E6512" s="538" t="s">
        <v>438</v>
      </c>
      <c r="F6512" s="538">
        <v>666176</v>
      </c>
      <c r="G6512" s="538">
        <v>7</v>
      </c>
    </row>
    <row r="6513" spans="1:7" x14ac:dyDescent="0.2">
      <c r="A6513" s="538">
        <v>9</v>
      </c>
      <c r="B6513" s="538" t="s">
        <v>948</v>
      </c>
      <c r="C6513" s="538" t="s">
        <v>393</v>
      </c>
      <c r="D6513" s="538" t="s">
        <v>393</v>
      </c>
      <c r="E6513" s="538" t="s">
        <v>860</v>
      </c>
      <c r="F6513" s="538">
        <v>1193282</v>
      </c>
      <c r="G6513" s="538">
        <v>39</v>
      </c>
    </row>
    <row r="6514" spans="1:7" x14ac:dyDescent="0.2">
      <c r="A6514" s="538">
        <v>8</v>
      </c>
      <c r="B6514" s="538" t="s">
        <v>6658</v>
      </c>
      <c r="C6514" s="538" t="s">
        <v>393</v>
      </c>
      <c r="D6514" s="538" t="s">
        <v>740</v>
      </c>
      <c r="E6514" s="538" t="s">
        <v>209</v>
      </c>
      <c r="F6514" s="538">
        <v>644759</v>
      </c>
      <c r="G6514" s="538">
        <v>3</v>
      </c>
    </row>
    <row r="6515" spans="1:7" x14ac:dyDescent="0.2">
      <c r="A6515" s="538">
        <v>2</v>
      </c>
      <c r="B6515" s="538" t="s">
        <v>6654</v>
      </c>
      <c r="C6515" s="538" t="s">
        <v>393</v>
      </c>
      <c r="D6515" s="538" t="s">
        <v>393</v>
      </c>
      <c r="E6515" s="538" t="s">
        <v>207</v>
      </c>
      <c r="F6515" s="538">
        <v>14665356</v>
      </c>
      <c r="G6515" s="538">
        <v>1122</v>
      </c>
    </row>
    <row r="6516" spans="1:7" x14ac:dyDescent="0.2">
      <c r="A6516" s="538">
        <v>4</v>
      </c>
      <c r="B6516" s="538" t="s">
        <v>6574</v>
      </c>
      <c r="C6516" s="538" t="s">
        <v>740</v>
      </c>
      <c r="D6516" s="538" t="s">
        <v>393</v>
      </c>
      <c r="E6516" s="538" t="s">
        <v>313</v>
      </c>
      <c r="F6516" s="538">
        <v>85491</v>
      </c>
      <c r="G6516" s="538">
        <v>2</v>
      </c>
    </row>
    <row r="6517" spans="1:7" x14ac:dyDescent="0.2">
      <c r="A6517" s="538">
        <v>2</v>
      </c>
      <c r="B6517" s="538" t="s">
        <v>6576</v>
      </c>
      <c r="C6517" s="538" t="s">
        <v>740</v>
      </c>
      <c r="D6517" s="538" t="s">
        <v>740</v>
      </c>
      <c r="E6517" s="538" t="s">
        <v>211</v>
      </c>
      <c r="F6517" s="538">
        <v>11328</v>
      </c>
      <c r="G6517" s="538">
        <v>1</v>
      </c>
    </row>
    <row r="6518" spans="1:7" x14ac:dyDescent="0.2">
      <c r="A6518" s="538">
        <v>6</v>
      </c>
      <c r="B6518" s="538" t="s">
        <v>6575</v>
      </c>
      <c r="C6518" s="538" t="s">
        <v>740</v>
      </c>
      <c r="D6518" s="538" t="s">
        <v>740</v>
      </c>
      <c r="E6518" s="538" t="s">
        <v>202</v>
      </c>
      <c r="F6518" s="538">
        <v>1310935</v>
      </c>
      <c r="G6518" s="538">
        <v>10</v>
      </c>
    </row>
    <row r="6519" spans="1:7" x14ac:dyDescent="0.2">
      <c r="A6519" s="538">
        <v>11</v>
      </c>
      <c r="B6519" s="538" t="s">
        <v>6584</v>
      </c>
      <c r="C6519" s="538" t="s">
        <v>740</v>
      </c>
      <c r="D6519" s="538" t="s">
        <v>393</v>
      </c>
      <c r="E6519" s="538" t="s">
        <v>419</v>
      </c>
      <c r="F6519" s="538">
        <v>96819</v>
      </c>
      <c r="G6519" s="538">
        <v>3</v>
      </c>
    </row>
    <row r="6520" spans="1:7" x14ac:dyDescent="0.2">
      <c r="A6520" s="538">
        <v>7</v>
      </c>
      <c r="B6520" s="538" t="s">
        <v>6588</v>
      </c>
      <c r="C6520" s="538" t="s">
        <v>740</v>
      </c>
      <c r="D6520" s="538" t="s">
        <v>393</v>
      </c>
      <c r="E6520" s="538" t="s">
        <v>212</v>
      </c>
      <c r="F6520" s="538">
        <v>724638</v>
      </c>
      <c r="G6520" s="538">
        <v>46</v>
      </c>
    </row>
    <row r="6521" spans="1:7" x14ac:dyDescent="0.2">
      <c r="A6521" s="538">
        <v>7</v>
      </c>
      <c r="B6521" s="538" t="s">
        <v>6661</v>
      </c>
      <c r="C6521" s="538" t="s">
        <v>740</v>
      </c>
      <c r="D6521" s="538" t="s">
        <v>393</v>
      </c>
      <c r="E6521" s="538" t="s">
        <v>860</v>
      </c>
      <c r="F6521" s="538">
        <v>22656</v>
      </c>
      <c r="G6521" s="538">
        <v>2</v>
      </c>
    </row>
    <row r="6522" spans="1:7" x14ac:dyDescent="0.2">
      <c r="A6522" s="538">
        <v>6</v>
      </c>
      <c r="B6522" s="538" t="s">
        <v>6607</v>
      </c>
      <c r="C6522" s="538" t="s">
        <v>740</v>
      </c>
      <c r="D6522" s="538" t="s">
        <v>393</v>
      </c>
      <c r="E6522" s="538" t="s">
        <v>202</v>
      </c>
      <c r="F6522" s="538">
        <v>3046618</v>
      </c>
      <c r="G6522" s="538">
        <v>16</v>
      </c>
    </row>
    <row r="6523" spans="1:7" x14ac:dyDescent="0.2">
      <c r="A6523" s="538">
        <v>7</v>
      </c>
      <c r="B6523" s="538" t="s">
        <v>6564</v>
      </c>
      <c r="C6523" s="538" t="s">
        <v>740</v>
      </c>
      <c r="D6523" s="538" t="s">
        <v>740</v>
      </c>
      <c r="E6523" s="538" t="s">
        <v>401</v>
      </c>
      <c r="F6523" s="538">
        <v>147264</v>
      </c>
      <c r="G6523" s="538">
        <v>13</v>
      </c>
    </row>
    <row r="6524" spans="1:7" x14ac:dyDescent="0.2">
      <c r="A6524" s="538">
        <v>1</v>
      </c>
      <c r="B6524" s="538" t="s">
        <v>6649</v>
      </c>
      <c r="C6524" s="538" t="s">
        <v>740</v>
      </c>
      <c r="D6524" s="538" t="s">
        <v>393</v>
      </c>
      <c r="E6524" s="538" t="s">
        <v>211</v>
      </c>
      <c r="F6524" s="538">
        <v>3599087</v>
      </c>
      <c r="G6524" s="538">
        <v>69</v>
      </c>
    </row>
    <row r="6525" spans="1:7" x14ac:dyDescent="0.2">
      <c r="A6525" s="538">
        <v>1</v>
      </c>
      <c r="B6525" s="538" t="s">
        <v>6646</v>
      </c>
      <c r="C6525" s="538" t="s">
        <v>393</v>
      </c>
      <c r="D6525" s="538" t="s">
        <v>393</v>
      </c>
      <c r="E6525" s="538" t="s">
        <v>409</v>
      </c>
      <c r="F6525" s="538">
        <v>3120302</v>
      </c>
      <c r="G6525" s="538">
        <v>64</v>
      </c>
    </row>
    <row r="6526" spans="1:7" x14ac:dyDescent="0.2">
      <c r="A6526" s="538">
        <v>4</v>
      </c>
      <c r="B6526" s="538" t="s">
        <v>6562</v>
      </c>
      <c r="C6526" s="538" t="s">
        <v>740</v>
      </c>
      <c r="D6526" s="538" t="s">
        <v>393</v>
      </c>
      <c r="E6526" s="538" t="s">
        <v>438</v>
      </c>
      <c r="F6526" s="538">
        <v>4683285</v>
      </c>
      <c r="G6526" s="538">
        <v>45</v>
      </c>
    </row>
    <row r="6527" spans="1:7" x14ac:dyDescent="0.2">
      <c r="A6527" s="538">
        <v>4</v>
      </c>
      <c r="B6527" s="538" t="s">
        <v>6562</v>
      </c>
      <c r="C6527" s="538" t="s">
        <v>740</v>
      </c>
      <c r="D6527" s="538" t="s">
        <v>393</v>
      </c>
      <c r="E6527" s="538" t="s">
        <v>206</v>
      </c>
      <c r="F6527" s="538">
        <v>11328</v>
      </c>
      <c r="G6527" s="538">
        <v>1</v>
      </c>
    </row>
    <row r="6528" spans="1:7" x14ac:dyDescent="0.2">
      <c r="A6528" s="538">
        <v>11</v>
      </c>
      <c r="B6528" s="538" t="s">
        <v>6584</v>
      </c>
      <c r="C6528" s="538" t="s">
        <v>740</v>
      </c>
      <c r="D6528" s="538" t="s">
        <v>393</v>
      </c>
      <c r="E6528" s="538" t="s">
        <v>230</v>
      </c>
      <c r="F6528" s="538">
        <v>2635249</v>
      </c>
      <c r="G6528" s="538">
        <v>73</v>
      </c>
    </row>
    <row r="6529" spans="1:7" x14ac:dyDescent="0.2">
      <c r="A6529" s="538">
        <v>1</v>
      </c>
      <c r="B6529" s="538" t="s">
        <v>6581</v>
      </c>
      <c r="C6529" s="538" t="s">
        <v>740</v>
      </c>
      <c r="D6529" s="538" t="s">
        <v>393</v>
      </c>
      <c r="E6529" s="538" t="s">
        <v>202</v>
      </c>
      <c r="F6529" s="538">
        <v>3256821</v>
      </c>
      <c r="G6529" s="538">
        <v>42</v>
      </c>
    </row>
    <row r="6530" spans="1:7" x14ac:dyDescent="0.2">
      <c r="A6530" s="538">
        <v>10</v>
      </c>
      <c r="B6530" s="538" t="s">
        <v>6587</v>
      </c>
      <c r="C6530" s="538" t="s">
        <v>393</v>
      </c>
      <c r="D6530" s="538" t="s">
        <v>393</v>
      </c>
      <c r="E6530" s="538" t="s">
        <v>860</v>
      </c>
      <c r="F6530" s="538">
        <v>515601</v>
      </c>
      <c r="G6530" s="538">
        <v>22</v>
      </c>
    </row>
    <row r="6531" spans="1:7" x14ac:dyDescent="0.2">
      <c r="A6531" s="538">
        <v>7</v>
      </c>
      <c r="B6531" s="538" t="s">
        <v>6588</v>
      </c>
      <c r="C6531" s="538" t="s">
        <v>393</v>
      </c>
      <c r="D6531" s="538" t="s">
        <v>393</v>
      </c>
      <c r="E6531" s="538" t="s">
        <v>438</v>
      </c>
      <c r="F6531" s="538">
        <v>3027908</v>
      </c>
      <c r="G6531" s="538">
        <v>31</v>
      </c>
    </row>
    <row r="6532" spans="1:7" x14ac:dyDescent="0.2">
      <c r="A6532" s="538">
        <v>6</v>
      </c>
      <c r="B6532" s="538" t="s">
        <v>6617</v>
      </c>
      <c r="C6532" s="538" t="s">
        <v>393</v>
      </c>
      <c r="D6532" s="538" t="s">
        <v>740</v>
      </c>
      <c r="E6532" s="538" t="s">
        <v>438</v>
      </c>
      <c r="F6532" s="538">
        <v>1681698</v>
      </c>
      <c r="G6532" s="538">
        <v>11</v>
      </c>
    </row>
    <row r="6533" spans="1:7" x14ac:dyDescent="0.2">
      <c r="A6533" s="538">
        <v>3</v>
      </c>
      <c r="B6533" s="538" t="s">
        <v>6578</v>
      </c>
      <c r="C6533" s="538" t="s">
        <v>740</v>
      </c>
      <c r="D6533" s="538" t="s">
        <v>393</v>
      </c>
      <c r="E6533" s="538" t="s">
        <v>202</v>
      </c>
      <c r="F6533" s="538">
        <v>11328</v>
      </c>
      <c r="G6533" s="538">
        <v>1</v>
      </c>
    </row>
    <row r="6534" spans="1:7" x14ac:dyDescent="0.2">
      <c r="A6534" s="538">
        <v>4</v>
      </c>
      <c r="B6534" s="538" t="s">
        <v>6574</v>
      </c>
      <c r="C6534" s="538" t="s">
        <v>740</v>
      </c>
      <c r="D6534" s="538" t="s">
        <v>393</v>
      </c>
      <c r="E6534" s="538" t="s">
        <v>210</v>
      </c>
      <c r="F6534" s="538">
        <v>2760388</v>
      </c>
      <c r="G6534" s="538">
        <v>111</v>
      </c>
    </row>
    <row r="6535" spans="1:7" x14ac:dyDescent="0.2">
      <c r="A6535" s="538">
        <v>5</v>
      </c>
      <c r="B6535" s="538" t="s">
        <v>6568</v>
      </c>
      <c r="C6535" s="538" t="s">
        <v>740</v>
      </c>
      <c r="D6535" s="538" t="s">
        <v>740</v>
      </c>
      <c r="E6535" s="538" t="s">
        <v>209</v>
      </c>
      <c r="F6535" s="538">
        <v>74163</v>
      </c>
      <c r="G6535" s="538">
        <v>1</v>
      </c>
    </row>
    <row r="6536" spans="1:7" x14ac:dyDescent="0.2">
      <c r="A6536" s="538">
        <v>4</v>
      </c>
      <c r="B6536" s="538" t="s">
        <v>6572</v>
      </c>
      <c r="C6536" s="538" t="s">
        <v>393</v>
      </c>
      <c r="D6536" s="538" t="s">
        <v>393</v>
      </c>
      <c r="E6536" s="538" t="s">
        <v>210</v>
      </c>
      <c r="F6536" s="538">
        <v>1073630</v>
      </c>
      <c r="G6536" s="538">
        <v>25</v>
      </c>
    </row>
    <row r="6537" spans="1:7" x14ac:dyDescent="0.2">
      <c r="A6537" s="538">
        <v>5</v>
      </c>
      <c r="B6537" s="538" t="s">
        <v>6568</v>
      </c>
      <c r="C6537" s="538" t="s">
        <v>740</v>
      </c>
      <c r="D6537" s="538" t="s">
        <v>393</v>
      </c>
      <c r="E6537" s="538" t="s">
        <v>230</v>
      </c>
      <c r="F6537" s="538">
        <v>721577</v>
      </c>
      <c r="G6537" s="538">
        <v>14</v>
      </c>
    </row>
    <row r="6538" spans="1:7" x14ac:dyDescent="0.2">
      <c r="A6538" s="538">
        <v>3</v>
      </c>
      <c r="B6538" s="538" t="s">
        <v>6647</v>
      </c>
      <c r="C6538" s="538" t="s">
        <v>740</v>
      </c>
      <c r="D6538" s="538" t="s">
        <v>740</v>
      </c>
      <c r="E6538" s="538" t="s">
        <v>390</v>
      </c>
      <c r="F6538" s="538">
        <v>1122430</v>
      </c>
      <c r="G6538" s="538">
        <v>10</v>
      </c>
    </row>
    <row r="6539" spans="1:7" x14ac:dyDescent="0.2">
      <c r="A6539" s="538">
        <v>1</v>
      </c>
      <c r="B6539" s="538" t="s">
        <v>1288</v>
      </c>
      <c r="C6539" s="538" t="s">
        <v>740</v>
      </c>
      <c r="D6539" s="538" t="s">
        <v>393</v>
      </c>
      <c r="E6539" s="538" t="s">
        <v>202</v>
      </c>
      <c r="F6539" s="538">
        <v>1288279</v>
      </c>
      <c r="G6539" s="538">
        <v>8</v>
      </c>
    </row>
    <row r="6540" spans="1:7" x14ac:dyDescent="0.2">
      <c r="A6540" s="538">
        <v>10</v>
      </c>
      <c r="B6540" s="538" t="s">
        <v>6597</v>
      </c>
      <c r="C6540" s="538" t="s">
        <v>393</v>
      </c>
      <c r="D6540" s="538" t="s">
        <v>740</v>
      </c>
      <c r="E6540" s="538" t="s">
        <v>207</v>
      </c>
      <c r="F6540" s="538">
        <v>878451</v>
      </c>
      <c r="G6540" s="538">
        <v>72</v>
      </c>
    </row>
    <row r="6541" spans="1:7" x14ac:dyDescent="0.2">
      <c r="A6541" s="538">
        <v>7</v>
      </c>
      <c r="B6541" s="538" t="s">
        <v>6604</v>
      </c>
      <c r="C6541" s="538" t="s">
        <v>740</v>
      </c>
      <c r="D6541" s="538" t="s">
        <v>740</v>
      </c>
      <c r="E6541" s="538" t="s">
        <v>230</v>
      </c>
      <c r="F6541" s="538">
        <v>96819</v>
      </c>
      <c r="G6541" s="538">
        <v>3</v>
      </c>
    </row>
    <row r="6542" spans="1:7" x14ac:dyDescent="0.2">
      <c r="A6542" s="538">
        <v>10</v>
      </c>
      <c r="B6542" s="538" t="s">
        <v>6587</v>
      </c>
      <c r="C6542" s="538" t="s">
        <v>393</v>
      </c>
      <c r="D6542" s="538" t="s">
        <v>393</v>
      </c>
      <c r="E6542" s="538" t="s">
        <v>210</v>
      </c>
      <c r="F6542" s="538">
        <v>1233638</v>
      </c>
      <c r="G6542" s="538">
        <v>46</v>
      </c>
    </row>
    <row r="6543" spans="1:7" x14ac:dyDescent="0.2">
      <c r="A6543" s="538">
        <v>2</v>
      </c>
      <c r="B6543" s="538" t="s">
        <v>6662</v>
      </c>
      <c r="C6543" s="538" t="s">
        <v>393</v>
      </c>
      <c r="D6543" s="538" t="s">
        <v>740</v>
      </c>
      <c r="E6543" s="538" t="s">
        <v>438</v>
      </c>
      <c r="F6543" s="538">
        <v>45312</v>
      </c>
      <c r="G6543" s="538">
        <v>4</v>
      </c>
    </row>
    <row r="6544" spans="1:7" x14ac:dyDescent="0.2">
      <c r="A6544" s="538">
        <v>7</v>
      </c>
      <c r="B6544" s="538" t="s">
        <v>6588</v>
      </c>
      <c r="C6544" s="538" t="s">
        <v>740</v>
      </c>
      <c r="D6544" s="538" t="s">
        <v>740</v>
      </c>
      <c r="E6544" s="538" t="s">
        <v>202</v>
      </c>
      <c r="F6544" s="538">
        <v>10885907</v>
      </c>
      <c r="G6544" s="538">
        <v>84</v>
      </c>
    </row>
    <row r="6545" spans="1:7" x14ac:dyDescent="0.2">
      <c r="A6545" s="538">
        <v>4</v>
      </c>
      <c r="B6545" s="538" t="s">
        <v>6590</v>
      </c>
      <c r="C6545" s="538" t="s">
        <v>740</v>
      </c>
      <c r="D6545" s="538" t="s">
        <v>740</v>
      </c>
      <c r="E6545" s="538" t="s">
        <v>210</v>
      </c>
      <c r="F6545" s="538">
        <v>33984</v>
      </c>
      <c r="G6545" s="538">
        <v>3</v>
      </c>
    </row>
    <row r="6546" spans="1:7" x14ac:dyDescent="0.2">
      <c r="A6546" s="538">
        <v>2</v>
      </c>
      <c r="B6546" s="538" t="s">
        <v>6055</v>
      </c>
      <c r="C6546" s="538" t="s">
        <v>740</v>
      </c>
      <c r="D6546" s="538" t="s">
        <v>393</v>
      </c>
      <c r="E6546" s="538" t="s">
        <v>210</v>
      </c>
      <c r="F6546" s="538">
        <v>884469</v>
      </c>
      <c r="G6546" s="538">
        <v>58</v>
      </c>
    </row>
    <row r="6547" spans="1:7" x14ac:dyDescent="0.2">
      <c r="A6547" s="538">
        <v>7</v>
      </c>
      <c r="B6547" s="538" t="s">
        <v>6661</v>
      </c>
      <c r="C6547" s="538" t="s">
        <v>740</v>
      </c>
      <c r="D6547" s="538" t="s">
        <v>740</v>
      </c>
      <c r="E6547" s="538" t="s">
        <v>438</v>
      </c>
      <c r="F6547" s="538">
        <v>507761</v>
      </c>
      <c r="G6547" s="538">
        <v>2</v>
      </c>
    </row>
    <row r="6548" spans="1:7" x14ac:dyDescent="0.2">
      <c r="A6548" s="538">
        <v>5</v>
      </c>
      <c r="B6548" s="538" t="s">
        <v>6589</v>
      </c>
      <c r="C6548" s="538" t="s">
        <v>740</v>
      </c>
      <c r="D6548" s="538" t="s">
        <v>393</v>
      </c>
      <c r="E6548" s="538" t="s">
        <v>230</v>
      </c>
      <c r="F6548" s="538">
        <v>4795128</v>
      </c>
      <c r="G6548" s="538">
        <v>136</v>
      </c>
    </row>
    <row r="6549" spans="1:7" x14ac:dyDescent="0.2">
      <c r="A6549" s="538">
        <v>7</v>
      </c>
      <c r="B6549" s="538" t="s">
        <v>6579</v>
      </c>
      <c r="C6549" s="538" t="s">
        <v>740</v>
      </c>
      <c r="D6549" s="538" t="s">
        <v>393</v>
      </c>
      <c r="E6549" s="538" t="s">
        <v>209</v>
      </c>
      <c r="F6549" s="538">
        <v>50268</v>
      </c>
      <c r="G6549" s="538">
        <v>1</v>
      </c>
    </row>
    <row r="6550" spans="1:7" x14ac:dyDescent="0.2">
      <c r="A6550" s="538">
        <v>3</v>
      </c>
      <c r="B6550" s="538" t="s">
        <v>6561</v>
      </c>
      <c r="C6550" s="538" t="s">
        <v>393</v>
      </c>
      <c r="D6550" s="538" t="s">
        <v>740</v>
      </c>
      <c r="E6550" s="538" t="s">
        <v>212</v>
      </c>
      <c r="F6550" s="538">
        <v>67968</v>
      </c>
      <c r="G6550" s="538">
        <v>6</v>
      </c>
    </row>
    <row r="6551" spans="1:7" x14ac:dyDescent="0.2">
      <c r="A6551" s="538">
        <v>4</v>
      </c>
      <c r="B6551" s="538" t="s">
        <v>6593</v>
      </c>
      <c r="C6551" s="538" t="s">
        <v>740</v>
      </c>
      <c r="D6551" s="538" t="s">
        <v>393</v>
      </c>
      <c r="E6551" s="538" t="s">
        <v>419</v>
      </c>
      <c r="F6551" s="538">
        <v>33984</v>
      </c>
      <c r="G6551" s="538">
        <v>3</v>
      </c>
    </row>
    <row r="6552" spans="1:7" x14ac:dyDescent="0.2">
      <c r="A6552" s="538">
        <v>2</v>
      </c>
      <c r="B6552" s="538" t="s">
        <v>6662</v>
      </c>
      <c r="C6552" s="538" t="s">
        <v>740</v>
      </c>
      <c r="D6552" s="538" t="s">
        <v>393</v>
      </c>
      <c r="E6552" s="538" t="s">
        <v>416</v>
      </c>
      <c r="F6552" s="538">
        <v>3566748</v>
      </c>
      <c r="G6552" s="538">
        <v>86</v>
      </c>
    </row>
    <row r="6553" spans="1:7" x14ac:dyDescent="0.2">
      <c r="A6553" s="538">
        <v>2</v>
      </c>
      <c r="B6553" s="538" t="s">
        <v>6656</v>
      </c>
      <c r="C6553" s="538" t="s">
        <v>393</v>
      </c>
      <c r="D6553" s="538" t="s">
        <v>393</v>
      </c>
      <c r="E6553" s="538" t="s">
        <v>209</v>
      </c>
      <c r="F6553" s="538">
        <v>2655677</v>
      </c>
      <c r="G6553" s="538">
        <v>14</v>
      </c>
    </row>
    <row r="6554" spans="1:7" x14ac:dyDescent="0.2">
      <c r="A6554" s="538">
        <v>2</v>
      </c>
      <c r="B6554" s="538" t="s">
        <v>6608</v>
      </c>
      <c r="C6554" s="538" t="s">
        <v>740</v>
      </c>
      <c r="D6554" s="538" t="s">
        <v>393</v>
      </c>
      <c r="E6554" s="538" t="s">
        <v>860</v>
      </c>
      <c r="F6554" s="538">
        <v>1218822</v>
      </c>
      <c r="G6554" s="538">
        <v>69</v>
      </c>
    </row>
    <row r="6555" spans="1:7" x14ac:dyDescent="0.2">
      <c r="A6555" s="538">
        <v>9</v>
      </c>
      <c r="B6555" s="538" t="s">
        <v>6645</v>
      </c>
      <c r="C6555" s="538" t="s">
        <v>740</v>
      </c>
      <c r="D6555" s="538" t="s">
        <v>393</v>
      </c>
      <c r="E6555" s="538" t="s">
        <v>207</v>
      </c>
      <c r="F6555" s="538">
        <v>11328</v>
      </c>
      <c r="G6555" s="538">
        <v>1</v>
      </c>
    </row>
    <row r="6556" spans="1:7" x14ac:dyDescent="0.2">
      <c r="A6556" s="538">
        <v>2</v>
      </c>
      <c r="B6556" s="538" t="s">
        <v>6654</v>
      </c>
      <c r="C6556" s="538" t="s">
        <v>740</v>
      </c>
      <c r="D6556" s="538" t="s">
        <v>740</v>
      </c>
      <c r="E6556" s="538" t="s">
        <v>449</v>
      </c>
      <c r="F6556" s="538">
        <v>22656</v>
      </c>
      <c r="G6556" s="538">
        <v>2</v>
      </c>
    </row>
    <row r="6557" spans="1:7" x14ac:dyDescent="0.2">
      <c r="A6557" s="538">
        <v>3</v>
      </c>
      <c r="B6557" s="538" t="s">
        <v>6561</v>
      </c>
      <c r="C6557" s="538" t="s">
        <v>740</v>
      </c>
      <c r="D6557" s="538" t="s">
        <v>393</v>
      </c>
      <c r="E6557" s="538" t="s">
        <v>402</v>
      </c>
      <c r="F6557" s="538">
        <v>113280</v>
      </c>
      <c r="G6557" s="538">
        <v>10</v>
      </c>
    </row>
    <row r="6558" spans="1:7" x14ac:dyDescent="0.2">
      <c r="A6558" s="538">
        <v>3</v>
      </c>
      <c r="B6558" s="538" t="s">
        <v>6603</v>
      </c>
      <c r="C6558" s="538" t="s">
        <v>740</v>
      </c>
      <c r="D6558" s="538" t="s">
        <v>393</v>
      </c>
      <c r="E6558" s="538" t="s">
        <v>419</v>
      </c>
      <c r="F6558" s="538">
        <v>321963</v>
      </c>
      <c r="G6558" s="538">
        <v>16</v>
      </c>
    </row>
    <row r="6559" spans="1:7" x14ac:dyDescent="0.2">
      <c r="A6559" s="538">
        <v>6</v>
      </c>
      <c r="B6559" s="538" t="s">
        <v>1668</v>
      </c>
      <c r="C6559" s="538" t="s">
        <v>393</v>
      </c>
      <c r="D6559" s="538" t="s">
        <v>393</v>
      </c>
      <c r="E6559" s="538" t="s">
        <v>210</v>
      </c>
      <c r="F6559" s="538">
        <v>1587586</v>
      </c>
      <c r="G6559" s="538">
        <v>22</v>
      </c>
    </row>
    <row r="6560" spans="1:7" x14ac:dyDescent="0.2">
      <c r="A6560" s="538">
        <v>3</v>
      </c>
      <c r="B6560" s="538" t="s">
        <v>6561</v>
      </c>
      <c r="C6560" s="538" t="s">
        <v>740</v>
      </c>
      <c r="D6560" s="538" t="s">
        <v>740</v>
      </c>
      <c r="E6560" s="538" t="s">
        <v>211</v>
      </c>
      <c r="F6560" s="538">
        <v>575729</v>
      </c>
      <c r="G6560" s="538">
        <v>8</v>
      </c>
    </row>
    <row r="6561" spans="1:7" x14ac:dyDescent="0.2">
      <c r="A6561" s="538">
        <v>7</v>
      </c>
      <c r="B6561" s="538" t="s">
        <v>6661</v>
      </c>
      <c r="C6561" s="538" t="s">
        <v>740</v>
      </c>
      <c r="D6561" s="538" t="s">
        <v>393</v>
      </c>
      <c r="E6561" s="538" t="s">
        <v>209</v>
      </c>
      <c r="F6561" s="538">
        <v>1811085</v>
      </c>
      <c r="G6561" s="538">
        <v>10</v>
      </c>
    </row>
    <row r="6562" spans="1:7" x14ac:dyDescent="0.2">
      <c r="A6562" s="538">
        <v>8</v>
      </c>
      <c r="B6562" s="538" t="s">
        <v>6567</v>
      </c>
      <c r="C6562" s="538" t="s">
        <v>393</v>
      </c>
      <c r="D6562" s="538" t="s">
        <v>393</v>
      </c>
      <c r="E6562" s="538" t="s">
        <v>209</v>
      </c>
      <c r="F6562" s="538">
        <v>889904</v>
      </c>
      <c r="G6562" s="538">
        <v>8</v>
      </c>
    </row>
    <row r="6563" spans="1:7" x14ac:dyDescent="0.2">
      <c r="A6563" s="538">
        <v>6</v>
      </c>
      <c r="B6563" s="538" t="s">
        <v>1668</v>
      </c>
      <c r="C6563" s="538" t="s">
        <v>740</v>
      </c>
      <c r="D6563" s="538" t="s">
        <v>393</v>
      </c>
      <c r="E6563" s="538" t="s">
        <v>230</v>
      </c>
      <c r="F6563" s="538">
        <v>4525453</v>
      </c>
      <c r="G6563" s="538">
        <v>81</v>
      </c>
    </row>
    <row r="6564" spans="1:7" x14ac:dyDescent="0.2">
      <c r="A6564" s="538">
        <v>7</v>
      </c>
      <c r="B6564" s="538" t="s">
        <v>6604</v>
      </c>
      <c r="C6564" s="538" t="s">
        <v>393</v>
      </c>
      <c r="D6564" s="538" t="s">
        <v>393</v>
      </c>
      <c r="E6564" s="538" t="s">
        <v>860</v>
      </c>
      <c r="F6564" s="538">
        <v>545691</v>
      </c>
      <c r="G6564" s="538">
        <v>17</v>
      </c>
    </row>
    <row r="6565" spans="1:7" x14ac:dyDescent="0.2">
      <c r="A6565" s="538">
        <v>2</v>
      </c>
      <c r="B6565" s="538" t="s">
        <v>6573</v>
      </c>
      <c r="C6565" s="538" t="s">
        <v>740</v>
      </c>
      <c r="D6565" s="538" t="s">
        <v>740</v>
      </c>
      <c r="E6565" s="538" t="s">
        <v>419</v>
      </c>
      <c r="F6565" s="538">
        <v>11328</v>
      </c>
      <c r="G6565" s="538">
        <v>1</v>
      </c>
    </row>
    <row r="6566" spans="1:7" x14ac:dyDescent="0.2">
      <c r="A6566" s="538">
        <v>3</v>
      </c>
      <c r="B6566" s="538" t="s">
        <v>6561</v>
      </c>
      <c r="C6566" s="538" t="s">
        <v>393</v>
      </c>
      <c r="D6566" s="538" t="s">
        <v>740</v>
      </c>
      <c r="E6566" s="538" t="s">
        <v>401</v>
      </c>
      <c r="F6566" s="538">
        <v>237888</v>
      </c>
      <c r="G6566" s="538">
        <v>21</v>
      </c>
    </row>
    <row r="6567" spans="1:7" x14ac:dyDescent="0.2">
      <c r="A6567" s="538">
        <v>4</v>
      </c>
      <c r="B6567" s="538" t="s">
        <v>6590</v>
      </c>
      <c r="C6567" s="538" t="s">
        <v>740</v>
      </c>
      <c r="D6567" s="538" t="s">
        <v>393</v>
      </c>
      <c r="E6567" s="538" t="s">
        <v>202</v>
      </c>
      <c r="F6567" s="538">
        <v>1388815</v>
      </c>
      <c r="G6567" s="538">
        <v>10</v>
      </c>
    </row>
    <row r="6568" spans="1:7" x14ac:dyDescent="0.2">
      <c r="A6568" s="538">
        <v>8</v>
      </c>
      <c r="B6568" s="538" t="s">
        <v>6570</v>
      </c>
      <c r="C6568" s="538" t="s">
        <v>740</v>
      </c>
      <c r="D6568" s="538" t="s">
        <v>393</v>
      </c>
      <c r="E6568" s="538" t="s">
        <v>390</v>
      </c>
      <c r="F6568" s="538">
        <v>1624808</v>
      </c>
      <c r="G6568" s="538">
        <v>66</v>
      </c>
    </row>
    <row r="6569" spans="1:7" x14ac:dyDescent="0.2">
      <c r="A6569" s="538">
        <v>9</v>
      </c>
      <c r="B6569" s="538" t="s">
        <v>6606</v>
      </c>
      <c r="C6569" s="538" t="s">
        <v>740</v>
      </c>
      <c r="D6569" s="538" t="s">
        <v>740</v>
      </c>
      <c r="E6569" s="538" t="s">
        <v>211</v>
      </c>
      <c r="F6569" s="538">
        <v>5535717</v>
      </c>
      <c r="G6569" s="538">
        <v>74</v>
      </c>
    </row>
    <row r="6570" spans="1:7" x14ac:dyDescent="0.2">
      <c r="A6570" s="538">
        <v>4</v>
      </c>
      <c r="B6570" s="538" t="s">
        <v>6574</v>
      </c>
      <c r="C6570" s="538" t="s">
        <v>393</v>
      </c>
      <c r="D6570" s="538" t="s">
        <v>393</v>
      </c>
      <c r="E6570" s="538" t="s">
        <v>419</v>
      </c>
      <c r="F6570" s="538">
        <v>85491</v>
      </c>
      <c r="G6570" s="538">
        <v>2</v>
      </c>
    </row>
    <row r="6571" spans="1:7" x14ac:dyDescent="0.2">
      <c r="A6571" s="538">
        <v>10</v>
      </c>
      <c r="B6571" s="538" t="s">
        <v>6597</v>
      </c>
      <c r="C6571" s="538" t="s">
        <v>740</v>
      </c>
      <c r="D6571" s="538" t="s">
        <v>740</v>
      </c>
      <c r="E6571" s="538" t="s">
        <v>402</v>
      </c>
      <c r="F6571" s="538">
        <v>270456</v>
      </c>
      <c r="G6571" s="538">
        <v>17</v>
      </c>
    </row>
    <row r="6572" spans="1:7" x14ac:dyDescent="0.2">
      <c r="A6572" s="538">
        <v>8</v>
      </c>
      <c r="B6572" s="538" t="s">
        <v>6658</v>
      </c>
      <c r="C6572" s="538" t="s">
        <v>740</v>
      </c>
      <c r="D6572" s="538" t="s">
        <v>393</v>
      </c>
      <c r="E6572" s="538" t="s">
        <v>211</v>
      </c>
      <c r="F6572" s="538">
        <v>11328</v>
      </c>
      <c r="G6572" s="538">
        <v>1</v>
      </c>
    </row>
    <row r="6573" spans="1:7" x14ac:dyDescent="0.2">
      <c r="A6573" s="538">
        <v>7</v>
      </c>
      <c r="B6573" s="538" t="s">
        <v>6579</v>
      </c>
      <c r="C6573" s="538" t="s">
        <v>740</v>
      </c>
      <c r="D6573" s="538" t="s">
        <v>393</v>
      </c>
      <c r="E6573" s="538" t="s">
        <v>202</v>
      </c>
      <c r="F6573" s="538">
        <v>6300732</v>
      </c>
      <c r="G6573" s="538">
        <v>44</v>
      </c>
    </row>
    <row r="6574" spans="1:7" x14ac:dyDescent="0.2">
      <c r="A6574" s="538">
        <v>1</v>
      </c>
      <c r="B6574" s="538" t="s">
        <v>1288</v>
      </c>
      <c r="C6574" s="538" t="s">
        <v>740</v>
      </c>
      <c r="D6574" s="538" t="s">
        <v>393</v>
      </c>
      <c r="E6574" s="538" t="s">
        <v>416</v>
      </c>
      <c r="F6574" s="538">
        <v>3848282</v>
      </c>
      <c r="G6574" s="538">
        <v>169</v>
      </c>
    </row>
    <row r="6575" spans="1:7" x14ac:dyDescent="0.2">
      <c r="A6575" s="538">
        <v>2</v>
      </c>
      <c r="B6575" s="538" t="s">
        <v>6608</v>
      </c>
      <c r="C6575" s="538" t="s">
        <v>740</v>
      </c>
      <c r="D6575" s="538" t="s">
        <v>393</v>
      </c>
      <c r="E6575" s="538" t="s">
        <v>210</v>
      </c>
      <c r="F6575" s="538">
        <v>11328</v>
      </c>
      <c r="G6575" s="538">
        <v>1</v>
      </c>
    </row>
    <row r="6576" spans="1:7" x14ac:dyDescent="0.2">
      <c r="A6576" s="538">
        <v>5</v>
      </c>
      <c r="B6576" s="538" t="s">
        <v>6650</v>
      </c>
      <c r="C6576" s="538" t="s">
        <v>740</v>
      </c>
      <c r="D6576" s="538" t="s">
        <v>393</v>
      </c>
      <c r="E6576" s="538" t="s">
        <v>402</v>
      </c>
      <c r="F6576" s="538">
        <v>5962162</v>
      </c>
      <c r="G6576" s="538">
        <v>239</v>
      </c>
    </row>
    <row r="6577" spans="1:7" x14ac:dyDescent="0.2">
      <c r="A6577" s="538">
        <v>2</v>
      </c>
      <c r="B6577" s="538" t="s">
        <v>6055</v>
      </c>
      <c r="C6577" s="538" t="s">
        <v>740</v>
      </c>
      <c r="D6577" s="538" t="s">
        <v>740</v>
      </c>
      <c r="E6577" s="538" t="s">
        <v>416</v>
      </c>
      <c r="F6577" s="538">
        <v>250278</v>
      </c>
      <c r="G6577" s="538">
        <v>11</v>
      </c>
    </row>
    <row r="6578" spans="1:7" x14ac:dyDescent="0.2">
      <c r="A6578" s="538">
        <v>1</v>
      </c>
      <c r="B6578" s="538" t="s">
        <v>6595</v>
      </c>
      <c r="C6578" s="538" t="s">
        <v>393</v>
      </c>
      <c r="D6578" s="538" t="s">
        <v>393</v>
      </c>
      <c r="E6578" s="538" t="s">
        <v>449</v>
      </c>
      <c r="F6578" s="538">
        <v>147264</v>
      </c>
      <c r="G6578" s="538">
        <v>13</v>
      </c>
    </row>
    <row r="6579" spans="1:7" x14ac:dyDescent="0.2">
      <c r="A6579" s="538">
        <v>2</v>
      </c>
      <c r="B6579" s="538" t="s">
        <v>6585</v>
      </c>
      <c r="C6579" s="538" t="s">
        <v>740</v>
      </c>
      <c r="D6579" s="538" t="s">
        <v>393</v>
      </c>
      <c r="E6579" s="538" t="s">
        <v>202</v>
      </c>
      <c r="F6579" s="538">
        <v>100536</v>
      </c>
      <c r="G6579" s="538">
        <v>2</v>
      </c>
    </row>
    <row r="6580" spans="1:7" x14ac:dyDescent="0.2">
      <c r="A6580" s="538">
        <v>6</v>
      </c>
      <c r="B6580" s="538" t="s">
        <v>6596</v>
      </c>
      <c r="C6580" s="538" t="s">
        <v>393</v>
      </c>
      <c r="D6580" s="538" t="s">
        <v>740</v>
      </c>
      <c r="E6580" s="538" t="s">
        <v>211</v>
      </c>
      <c r="F6580" s="538">
        <v>74163</v>
      </c>
      <c r="G6580" s="538">
        <v>1</v>
      </c>
    </row>
    <row r="6581" spans="1:7" x14ac:dyDescent="0.2">
      <c r="A6581" s="538">
        <v>9</v>
      </c>
      <c r="B6581" s="538" t="s">
        <v>6606</v>
      </c>
      <c r="C6581" s="538" t="s">
        <v>740</v>
      </c>
      <c r="D6581" s="538" t="s">
        <v>393</v>
      </c>
      <c r="E6581" s="538" t="s">
        <v>212</v>
      </c>
      <c r="F6581" s="538">
        <v>11328</v>
      </c>
      <c r="G6581" s="538">
        <v>1</v>
      </c>
    </row>
    <row r="6582" spans="1:7" x14ac:dyDescent="0.2">
      <c r="A6582" s="538">
        <v>6</v>
      </c>
      <c r="B6582" s="538" t="s">
        <v>6565</v>
      </c>
      <c r="C6582" s="538" t="s">
        <v>740</v>
      </c>
      <c r="D6582" s="538" t="s">
        <v>393</v>
      </c>
      <c r="E6582" s="538" t="s">
        <v>449</v>
      </c>
      <c r="F6582" s="538">
        <v>11328</v>
      </c>
      <c r="G6582" s="538">
        <v>1</v>
      </c>
    </row>
    <row r="6583" spans="1:7" x14ac:dyDescent="0.2">
      <c r="A6583" s="538">
        <v>4</v>
      </c>
      <c r="B6583" s="538" t="s">
        <v>6574</v>
      </c>
      <c r="C6583" s="538" t="s">
        <v>740</v>
      </c>
      <c r="D6583" s="538" t="s">
        <v>740</v>
      </c>
      <c r="E6583" s="538" t="s">
        <v>211</v>
      </c>
      <c r="F6583" s="538">
        <v>4148547</v>
      </c>
      <c r="G6583" s="538">
        <v>89</v>
      </c>
    </row>
    <row r="6584" spans="1:7" x14ac:dyDescent="0.2">
      <c r="A6584" s="538">
        <v>4</v>
      </c>
      <c r="B6584" s="538" t="s">
        <v>6590</v>
      </c>
      <c r="C6584" s="538" t="s">
        <v>740</v>
      </c>
      <c r="D6584" s="538" t="s">
        <v>740</v>
      </c>
      <c r="E6584" s="538" t="s">
        <v>212</v>
      </c>
      <c r="F6584" s="538">
        <v>11328</v>
      </c>
      <c r="G6584" s="538">
        <v>1</v>
      </c>
    </row>
    <row r="6585" spans="1:7" x14ac:dyDescent="0.2">
      <c r="A6585" s="538">
        <v>3</v>
      </c>
      <c r="B6585" s="538" t="s">
        <v>6586</v>
      </c>
      <c r="C6585" s="538" t="s">
        <v>393</v>
      </c>
      <c r="D6585" s="538" t="s">
        <v>393</v>
      </c>
      <c r="E6585" s="538" t="s">
        <v>416</v>
      </c>
      <c r="F6585" s="538">
        <v>58361631</v>
      </c>
      <c r="G6585" s="538">
        <v>897</v>
      </c>
    </row>
    <row r="6586" spans="1:7" x14ac:dyDescent="0.2">
      <c r="A6586" s="538">
        <v>2</v>
      </c>
      <c r="B6586" s="538" t="s">
        <v>6585</v>
      </c>
      <c r="C6586" s="538" t="s">
        <v>393</v>
      </c>
      <c r="D6586" s="538" t="s">
        <v>393</v>
      </c>
      <c r="E6586" s="538" t="s">
        <v>209</v>
      </c>
      <c r="F6586" s="538">
        <v>1714266</v>
      </c>
      <c r="G6586" s="538">
        <v>7</v>
      </c>
    </row>
    <row r="6587" spans="1:7" x14ac:dyDescent="0.2">
      <c r="A6587" s="538">
        <v>5</v>
      </c>
      <c r="B6587" s="538" t="s">
        <v>6598</v>
      </c>
      <c r="C6587" s="538" t="s">
        <v>393</v>
      </c>
      <c r="D6587" s="538" t="s">
        <v>740</v>
      </c>
      <c r="E6587" s="538" t="s">
        <v>449</v>
      </c>
      <c r="F6587" s="538">
        <v>299484</v>
      </c>
      <c r="G6587" s="538">
        <v>23</v>
      </c>
    </row>
    <row r="6588" spans="1:7" x14ac:dyDescent="0.2">
      <c r="A6588" s="538">
        <v>8</v>
      </c>
      <c r="B6588" s="538" t="s">
        <v>6658</v>
      </c>
      <c r="C6588" s="538" t="s">
        <v>393</v>
      </c>
      <c r="D6588" s="538" t="s">
        <v>393</v>
      </c>
      <c r="E6588" s="538" t="s">
        <v>860</v>
      </c>
      <c r="F6588" s="538">
        <v>1894504</v>
      </c>
      <c r="G6588" s="538">
        <v>38</v>
      </c>
    </row>
    <row r="6589" spans="1:7" x14ac:dyDescent="0.2">
      <c r="A6589" s="538">
        <v>8</v>
      </c>
      <c r="B6589" s="538" t="s">
        <v>6648</v>
      </c>
      <c r="C6589" s="538" t="s">
        <v>393</v>
      </c>
      <c r="D6589" s="538" t="s">
        <v>740</v>
      </c>
      <c r="E6589" s="538" t="s">
        <v>230</v>
      </c>
      <c r="F6589" s="538">
        <v>581924</v>
      </c>
      <c r="G6589" s="538">
        <v>3</v>
      </c>
    </row>
    <row r="6590" spans="1:7" x14ac:dyDescent="0.2">
      <c r="A6590" s="538">
        <v>7</v>
      </c>
      <c r="B6590" s="538" t="s">
        <v>6655</v>
      </c>
      <c r="C6590" s="538" t="s">
        <v>393</v>
      </c>
      <c r="D6590" s="538" t="s">
        <v>740</v>
      </c>
      <c r="E6590" s="538" t="s">
        <v>449</v>
      </c>
      <c r="F6590" s="538">
        <v>22656</v>
      </c>
      <c r="G6590" s="538">
        <v>2</v>
      </c>
    </row>
    <row r="6591" spans="1:7" x14ac:dyDescent="0.2">
      <c r="A6591" s="538">
        <v>4</v>
      </c>
      <c r="B6591" s="538" t="s">
        <v>6590</v>
      </c>
      <c r="C6591" s="538" t="s">
        <v>393</v>
      </c>
      <c r="D6591" s="538" t="s">
        <v>740</v>
      </c>
      <c r="E6591" s="538" t="s">
        <v>401</v>
      </c>
      <c r="F6591" s="538">
        <v>242844</v>
      </c>
      <c r="G6591" s="538">
        <v>18</v>
      </c>
    </row>
    <row r="6592" spans="1:7" x14ac:dyDescent="0.2">
      <c r="A6592" s="538">
        <v>1</v>
      </c>
      <c r="B6592" s="538" t="s">
        <v>6602</v>
      </c>
      <c r="C6592" s="538" t="s">
        <v>740</v>
      </c>
      <c r="D6592" s="538" t="s">
        <v>393</v>
      </c>
      <c r="E6592" s="538" t="s">
        <v>212</v>
      </c>
      <c r="F6592" s="538">
        <v>242844</v>
      </c>
      <c r="G6592" s="538">
        <v>18</v>
      </c>
    </row>
    <row r="6593" spans="1:7" x14ac:dyDescent="0.2">
      <c r="A6593" s="538">
        <v>12</v>
      </c>
      <c r="B6593" s="538" t="s">
        <v>6563</v>
      </c>
      <c r="C6593" s="538" t="s">
        <v>393</v>
      </c>
      <c r="D6593" s="538" t="s">
        <v>393</v>
      </c>
      <c r="E6593" s="538" t="s">
        <v>211</v>
      </c>
      <c r="F6593" s="538">
        <v>631182</v>
      </c>
      <c r="G6593" s="538">
        <v>19</v>
      </c>
    </row>
    <row r="6594" spans="1:7" x14ac:dyDescent="0.2">
      <c r="A6594" s="538">
        <v>8</v>
      </c>
      <c r="B6594" s="538" t="s">
        <v>6570</v>
      </c>
      <c r="C6594" s="538" t="s">
        <v>740</v>
      </c>
      <c r="D6594" s="538" t="s">
        <v>393</v>
      </c>
      <c r="E6594" s="538" t="s">
        <v>390</v>
      </c>
      <c r="F6594" s="538">
        <v>18168717</v>
      </c>
      <c r="G6594" s="538">
        <v>769</v>
      </c>
    </row>
    <row r="6595" spans="1:7" x14ac:dyDescent="0.2">
      <c r="A6595" s="538">
        <v>5</v>
      </c>
      <c r="B6595" s="538" t="s">
        <v>6598</v>
      </c>
      <c r="C6595" s="538" t="s">
        <v>393</v>
      </c>
      <c r="D6595" s="538" t="s">
        <v>740</v>
      </c>
      <c r="E6595" s="538" t="s">
        <v>211</v>
      </c>
      <c r="F6595" s="538">
        <v>159654</v>
      </c>
      <c r="G6595" s="538">
        <v>3</v>
      </c>
    </row>
    <row r="6596" spans="1:7" x14ac:dyDescent="0.2">
      <c r="A6596" s="538">
        <v>9</v>
      </c>
      <c r="B6596" s="538" t="s">
        <v>6614</v>
      </c>
      <c r="C6596" s="538" t="s">
        <v>740</v>
      </c>
      <c r="D6596" s="538" t="s">
        <v>393</v>
      </c>
      <c r="E6596" s="538" t="s">
        <v>402</v>
      </c>
      <c r="F6596" s="538">
        <v>3513117</v>
      </c>
      <c r="G6596" s="538">
        <v>114</v>
      </c>
    </row>
    <row r="6597" spans="1:7" x14ac:dyDescent="0.2">
      <c r="A6597" s="538">
        <v>4</v>
      </c>
      <c r="B6597" s="538" t="s">
        <v>6562</v>
      </c>
      <c r="C6597" s="538" t="s">
        <v>740</v>
      </c>
      <c r="D6597" s="538" t="s">
        <v>393</v>
      </c>
      <c r="E6597" s="538" t="s">
        <v>202</v>
      </c>
      <c r="F6597" s="538">
        <v>11328</v>
      </c>
      <c r="G6597" s="538">
        <v>1</v>
      </c>
    </row>
    <row r="6598" spans="1:7" x14ac:dyDescent="0.2">
      <c r="A6598" s="538">
        <v>3</v>
      </c>
      <c r="B6598" s="538" t="s">
        <v>6647</v>
      </c>
      <c r="C6598" s="538" t="s">
        <v>740</v>
      </c>
      <c r="D6598" s="538" t="s">
        <v>393</v>
      </c>
      <c r="E6598" s="538" t="s">
        <v>449</v>
      </c>
      <c r="F6598" s="538">
        <v>56640</v>
      </c>
      <c r="G6598" s="538">
        <v>5</v>
      </c>
    </row>
    <row r="6599" spans="1:7" x14ac:dyDescent="0.2">
      <c r="A6599" s="538">
        <v>7</v>
      </c>
      <c r="B6599" s="538" t="s">
        <v>6604</v>
      </c>
      <c r="C6599" s="538" t="s">
        <v>740</v>
      </c>
      <c r="D6599" s="538" t="s">
        <v>393</v>
      </c>
      <c r="E6599" s="538" t="s">
        <v>211</v>
      </c>
      <c r="F6599" s="538">
        <v>3568622</v>
      </c>
      <c r="G6599" s="538">
        <v>129</v>
      </c>
    </row>
    <row r="6600" spans="1:7" x14ac:dyDescent="0.2">
      <c r="A6600" s="538">
        <v>3</v>
      </c>
      <c r="B6600" s="538" t="s">
        <v>6591</v>
      </c>
      <c r="C6600" s="538" t="s">
        <v>740</v>
      </c>
      <c r="D6600" s="538" t="s">
        <v>393</v>
      </c>
      <c r="E6600" s="538" t="s">
        <v>409</v>
      </c>
      <c r="F6600" s="538">
        <v>22656</v>
      </c>
      <c r="G6600" s="538">
        <v>2</v>
      </c>
    </row>
    <row r="6601" spans="1:7" x14ac:dyDescent="0.2">
      <c r="A6601" s="538">
        <v>3</v>
      </c>
      <c r="B6601" s="538" t="s">
        <v>6578</v>
      </c>
      <c r="C6601" s="538" t="s">
        <v>740</v>
      </c>
      <c r="D6601" s="538" t="s">
        <v>393</v>
      </c>
      <c r="E6601" s="538" t="s">
        <v>402</v>
      </c>
      <c r="F6601" s="538">
        <v>20800853</v>
      </c>
      <c r="G6601" s="538">
        <v>976</v>
      </c>
    </row>
    <row r="6602" spans="1:7" x14ac:dyDescent="0.2">
      <c r="A6602" s="538">
        <v>4</v>
      </c>
      <c r="B6602" s="538" t="s">
        <v>6559</v>
      </c>
      <c r="C6602" s="538" t="s">
        <v>740</v>
      </c>
      <c r="D6602" s="538" t="s">
        <v>393</v>
      </c>
      <c r="E6602" s="538" t="s">
        <v>402</v>
      </c>
      <c r="F6602" s="538">
        <v>1134997</v>
      </c>
      <c r="G6602" s="538">
        <v>9</v>
      </c>
    </row>
    <row r="6603" spans="1:7" x14ac:dyDescent="0.2">
      <c r="A6603" s="538">
        <v>8</v>
      </c>
      <c r="B6603" s="538" t="s">
        <v>6648</v>
      </c>
      <c r="C6603" s="538" t="s">
        <v>393</v>
      </c>
      <c r="D6603" s="538" t="s">
        <v>740</v>
      </c>
      <c r="E6603" s="538" t="s">
        <v>210</v>
      </c>
      <c r="F6603" s="538">
        <v>735383</v>
      </c>
      <c r="G6603" s="538">
        <v>11</v>
      </c>
    </row>
    <row r="6604" spans="1:7" x14ac:dyDescent="0.2">
      <c r="A6604" s="538">
        <v>2</v>
      </c>
      <c r="B6604" s="538" t="s">
        <v>6585</v>
      </c>
      <c r="C6604" s="538" t="s">
        <v>740</v>
      </c>
      <c r="D6604" s="538" t="s">
        <v>740</v>
      </c>
      <c r="E6604" s="538" t="s">
        <v>390</v>
      </c>
      <c r="F6604" s="538">
        <v>249039</v>
      </c>
      <c r="G6604" s="538">
        <v>13</v>
      </c>
    </row>
    <row r="6605" spans="1:7" x14ac:dyDescent="0.2">
      <c r="A6605" s="538">
        <v>11</v>
      </c>
      <c r="B6605" s="538" t="s">
        <v>6612</v>
      </c>
      <c r="C6605" s="538" t="s">
        <v>393</v>
      </c>
      <c r="D6605" s="538" t="s">
        <v>393</v>
      </c>
      <c r="E6605" s="538" t="s">
        <v>212</v>
      </c>
      <c r="F6605" s="538">
        <v>2041643</v>
      </c>
      <c r="G6605" s="538">
        <v>116</v>
      </c>
    </row>
    <row r="6606" spans="1:7" x14ac:dyDescent="0.2">
      <c r="A6606" s="538">
        <v>3</v>
      </c>
      <c r="B6606" s="538" t="s">
        <v>6561</v>
      </c>
      <c r="C6606" s="538" t="s">
        <v>393</v>
      </c>
      <c r="D6606" s="538" t="s">
        <v>393</v>
      </c>
      <c r="E6606" s="538" t="s">
        <v>449</v>
      </c>
      <c r="F6606" s="538">
        <v>169920</v>
      </c>
      <c r="G6606" s="538">
        <v>15</v>
      </c>
    </row>
    <row r="6607" spans="1:7" x14ac:dyDescent="0.2">
      <c r="A6607" s="538">
        <v>2</v>
      </c>
      <c r="B6607" s="538" t="s">
        <v>6608</v>
      </c>
      <c r="C6607" s="538" t="s">
        <v>740</v>
      </c>
      <c r="D6607" s="538" t="s">
        <v>393</v>
      </c>
      <c r="E6607" s="538" t="s">
        <v>210</v>
      </c>
      <c r="F6607" s="538">
        <v>3867169</v>
      </c>
      <c r="G6607" s="538">
        <v>163</v>
      </c>
    </row>
    <row r="6608" spans="1:7" x14ac:dyDescent="0.2">
      <c r="A6608" s="538">
        <v>3</v>
      </c>
      <c r="B6608" s="538" t="s">
        <v>6591</v>
      </c>
      <c r="C6608" s="538" t="s">
        <v>740</v>
      </c>
      <c r="D6608" s="538" t="s">
        <v>393</v>
      </c>
      <c r="E6608" s="538" t="s">
        <v>416</v>
      </c>
      <c r="F6608" s="538">
        <v>186027</v>
      </c>
      <c r="G6608" s="538">
        <v>4</v>
      </c>
    </row>
    <row r="6609" spans="1:7" x14ac:dyDescent="0.2">
      <c r="A6609" s="538">
        <v>10</v>
      </c>
      <c r="B6609" s="538" t="s">
        <v>6611</v>
      </c>
      <c r="C6609" s="538" t="s">
        <v>393</v>
      </c>
      <c r="D6609" s="538" t="s">
        <v>393</v>
      </c>
      <c r="E6609" s="538" t="s">
        <v>207</v>
      </c>
      <c r="F6609" s="538">
        <v>829068</v>
      </c>
      <c r="G6609" s="538">
        <v>51</v>
      </c>
    </row>
    <row r="6610" spans="1:7" x14ac:dyDescent="0.2">
      <c r="A6610" s="538">
        <v>8</v>
      </c>
      <c r="B6610" s="538" t="s">
        <v>6567</v>
      </c>
      <c r="C6610" s="538" t="s">
        <v>393</v>
      </c>
      <c r="D6610" s="538" t="s">
        <v>393</v>
      </c>
      <c r="E6610" s="538" t="s">
        <v>390</v>
      </c>
      <c r="F6610" s="538">
        <v>10870018</v>
      </c>
      <c r="G6610" s="538">
        <v>296</v>
      </c>
    </row>
    <row r="6611" spans="1:7" x14ac:dyDescent="0.2">
      <c r="A6611" s="538">
        <v>3</v>
      </c>
      <c r="B6611" s="538" t="s">
        <v>6647</v>
      </c>
      <c r="C6611" s="538" t="s">
        <v>740</v>
      </c>
      <c r="D6611" s="538" t="s">
        <v>393</v>
      </c>
      <c r="E6611" s="538" t="s">
        <v>211</v>
      </c>
      <c r="F6611" s="538">
        <v>8373027</v>
      </c>
      <c r="G6611" s="538">
        <v>204</v>
      </c>
    </row>
    <row r="6612" spans="1:7" x14ac:dyDescent="0.2">
      <c r="A6612" s="538">
        <v>11</v>
      </c>
      <c r="B6612" s="538" t="s">
        <v>6610</v>
      </c>
      <c r="C6612" s="538" t="s">
        <v>740</v>
      </c>
      <c r="D6612" s="538" t="s">
        <v>740</v>
      </c>
      <c r="E6612" s="538" t="s">
        <v>313</v>
      </c>
      <c r="F6612" s="538">
        <v>50268</v>
      </c>
      <c r="G6612" s="538">
        <v>1</v>
      </c>
    </row>
    <row r="6613" spans="1:7" x14ac:dyDescent="0.2">
      <c r="A6613" s="538">
        <v>2</v>
      </c>
      <c r="B6613" s="538" t="s">
        <v>6656</v>
      </c>
      <c r="C6613" s="538" t="s">
        <v>740</v>
      </c>
      <c r="D6613" s="538" t="s">
        <v>393</v>
      </c>
      <c r="E6613" s="538" t="s">
        <v>211</v>
      </c>
      <c r="F6613" s="538">
        <v>1645746</v>
      </c>
      <c r="G6613" s="538">
        <v>52</v>
      </c>
    </row>
    <row r="6614" spans="1:7" x14ac:dyDescent="0.2">
      <c r="A6614" s="538">
        <v>10</v>
      </c>
      <c r="B6614" s="538" t="s">
        <v>6582</v>
      </c>
      <c r="C6614" s="538" t="s">
        <v>393</v>
      </c>
      <c r="D6614" s="538" t="s">
        <v>393</v>
      </c>
      <c r="E6614" s="538" t="s">
        <v>202</v>
      </c>
      <c r="F6614" s="538">
        <v>9915749</v>
      </c>
      <c r="G6614" s="538">
        <v>88</v>
      </c>
    </row>
    <row r="6615" spans="1:7" x14ac:dyDescent="0.2">
      <c r="A6615" s="538">
        <v>5</v>
      </c>
      <c r="B6615" s="538" t="s">
        <v>6568</v>
      </c>
      <c r="C6615" s="538" t="s">
        <v>393</v>
      </c>
      <c r="D6615" s="538" t="s">
        <v>393</v>
      </c>
      <c r="E6615" s="538" t="s">
        <v>313</v>
      </c>
      <c r="F6615" s="538">
        <v>803174</v>
      </c>
      <c r="G6615" s="538">
        <v>8</v>
      </c>
    </row>
    <row r="6616" spans="1:7" x14ac:dyDescent="0.2">
      <c r="A6616" s="538">
        <v>2</v>
      </c>
      <c r="B6616" s="538" t="s">
        <v>6573</v>
      </c>
      <c r="C6616" s="538" t="s">
        <v>740</v>
      </c>
      <c r="D6616" s="538" t="s">
        <v>740</v>
      </c>
      <c r="E6616" s="538" t="s">
        <v>390</v>
      </c>
      <c r="F6616" s="538">
        <v>15430548</v>
      </c>
      <c r="G6616" s="538">
        <v>516</v>
      </c>
    </row>
    <row r="6617" spans="1:7" x14ac:dyDescent="0.2">
      <c r="A6617" s="538">
        <v>10</v>
      </c>
      <c r="B6617" s="538" t="s">
        <v>6611</v>
      </c>
      <c r="C6617" s="538" t="s">
        <v>740</v>
      </c>
      <c r="D6617" s="538" t="s">
        <v>393</v>
      </c>
      <c r="E6617" s="538" t="s">
        <v>230</v>
      </c>
      <c r="F6617" s="538">
        <v>558029</v>
      </c>
      <c r="G6617" s="538">
        <v>3</v>
      </c>
    </row>
    <row r="6618" spans="1:7" x14ac:dyDescent="0.2">
      <c r="A6618" s="538">
        <v>3</v>
      </c>
      <c r="B6618" s="538" t="s">
        <v>6647</v>
      </c>
      <c r="C6618" s="538" t="s">
        <v>740</v>
      </c>
      <c r="D6618" s="538" t="s">
        <v>393</v>
      </c>
      <c r="E6618" s="538" t="s">
        <v>419</v>
      </c>
      <c r="F6618" s="538">
        <v>564401</v>
      </c>
      <c r="G6618" s="538">
        <v>7</v>
      </c>
    </row>
    <row r="6619" spans="1:7" x14ac:dyDescent="0.2">
      <c r="A6619" s="538">
        <v>4</v>
      </c>
      <c r="B6619" s="538" t="s">
        <v>6590</v>
      </c>
      <c r="C6619" s="538" t="s">
        <v>393</v>
      </c>
      <c r="D6619" s="538" t="s">
        <v>393</v>
      </c>
      <c r="E6619" s="538" t="s">
        <v>449</v>
      </c>
      <c r="F6619" s="538">
        <v>181248</v>
      </c>
      <c r="G6619" s="538">
        <v>16</v>
      </c>
    </row>
    <row r="6620" spans="1:7" x14ac:dyDescent="0.2">
      <c r="A6620" s="538">
        <v>5</v>
      </c>
      <c r="B6620" s="538" t="s">
        <v>6568</v>
      </c>
      <c r="C6620" s="538" t="s">
        <v>740</v>
      </c>
      <c r="D6620" s="538" t="s">
        <v>393</v>
      </c>
      <c r="E6620" s="538" t="s">
        <v>438</v>
      </c>
      <c r="F6620" s="538">
        <v>642281</v>
      </c>
      <c r="G6620" s="538">
        <v>7</v>
      </c>
    </row>
    <row r="6621" spans="1:7" x14ac:dyDescent="0.2">
      <c r="A6621" s="538">
        <v>8</v>
      </c>
      <c r="B6621" s="538" t="s">
        <v>6567</v>
      </c>
      <c r="C6621" s="538" t="s">
        <v>393</v>
      </c>
      <c r="D6621" s="538" t="s">
        <v>393</v>
      </c>
      <c r="E6621" s="538" t="s">
        <v>416</v>
      </c>
      <c r="F6621" s="538">
        <v>53860968</v>
      </c>
      <c r="G6621" s="538">
        <v>946</v>
      </c>
    </row>
    <row r="6622" spans="1:7" x14ac:dyDescent="0.2">
      <c r="A6622" s="538">
        <v>1</v>
      </c>
      <c r="B6622" s="538" t="s">
        <v>6609</v>
      </c>
      <c r="C6622" s="538" t="s">
        <v>393</v>
      </c>
      <c r="D6622" s="538" t="s">
        <v>393</v>
      </c>
      <c r="E6622" s="538" t="s">
        <v>202</v>
      </c>
      <c r="F6622" s="538">
        <v>7805128</v>
      </c>
      <c r="G6622" s="538">
        <v>56</v>
      </c>
    </row>
    <row r="6623" spans="1:7" x14ac:dyDescent="0.2">
      <c r="A6623" s="538">
        <v>6</v>
      </c>
      <c r="B6623" s="538" t="s">
        <v>1668</v>
      </c>
      <c r="C6623" s="538" t="s">
        <v>740</v>
      </c>
      <c r="D6623" s="538" t="s">
        <v>393</v>
      </c>
      <c r="E6623" s="538" t="s">
        <v>416</v>
      </c>
      <c r="F6623" s="538">
        <v>6715776</v>
      </c>
      <c r="G6623" s="538">
        <v>147</v>
      </c>
    </row>
    <row r="6624" spans="1:7" x14ac:dyDescent="0.2">
      <c r="A6624" s="538">
        <v>6</v>
      </c>
      <c r="B6624" s="538" t="s">
        <v>6575</v>
      </c>
      <c r="C6624" s="538" t="s">
        <v>393</v>
      </c>
      <c r="D6624" s="538" t="s">
        <v>740</v>
      </c>
      <c r="E6624" s="538" t="s">
        <v>438</v>
      </c>
      <c r="F6624" s="538">
        <v>33984</v>
      </c>
      <c r="G6624" s="538">
        <v>3</v>
      </c>
    </row>
    <row r="6625" spans="1:7" x14ac:dyDescent="0.2">
      <c r="A6625" s="538">
        <v>11</v>
      </c>
      <c r="B6625" s="538" t="s">
        <v>6558</v>
      </c>
      <c r="C6625" s="538" t="s">
        <v>393</v>
      </c>
      <c r="D6625" s="538" t="s">
        <v>393</v>
      </c>
      <c r="E6625" s="538" t="s">
        <v>449</v>
      </c>
      <c r="F6625" s="538">
        <v>181071</v>
      </c>
      <c r="G6625" s="538">
        <v>7</v>
      </c>
    </row>
    <row r="6626" spans="1:7" x14ac:dyDescent="0.2">
      <c r="A6626" s="538">
        <v>7</v>
      </c>
      <c r="B6626" s="538" t="s">
        <v>6594</v>
      </c>
      <c r="C6626" s="538" t="s">
        <v>740</v>
      </c>
      <c r="D6626" s="538" t="s">
        <v>393</v>
      </c>
      <c r="E6626" s="538" t="s">
        <v>401</v>
      </c>
      <c r="F6626" s="538">
        <v>135936</v>
      </c>
      <c r="G6626" s="538">
        <v>12</v>
      </c>
    </row>
    <row r="6627" spans="1:7" x14ac:dyDescent="0.2">
      <c r="A6627" s="538">
        <v>10</v>
      </c>
      <c r="B6627" s="538" t="s">
        <v>6600</v>
      </c>
      <c r="C6627" s="538" t="s">
        <v>393</v>
      </c>
      <c r="D6627" s="538" t="s">
        <v>740</v>
      </c>
      <c r="E6627" s="538" t="s">
        <v>416</v>
      </c>
      <c r="F6627" s="538">
        <v>11328</v>
      </c>
      <c r="G6627" s="538">
        <v>1</v>
      </c>
    </row>
    <row r="6628" spans="1:7" x14ac:dyDescent="0.2">
      <c r="A6628" s="538">
        <v>10</v>
      </c>
      <c r="B6628" s="538" t="s">
        <v>6582</v>
      </c>
      <c r="C6628" s="538" t="s">
        <v>393</v>
      </c>
      <c r="D6628" s="538" t="s">
        <v>740</v>
      </c>
      <c r="E6628" s="538" t="s">
        <v>402</v>
      </c>
      <c r="F6628" s="538">
        <v>2266683</v>
      </c>
      <c r="G6628" s="538">
        <v>46</v>
      </c>
    </row>
    <row r="6629" spans="1:7" x14ac:dyDescent="0.2">
      <c r="A6629" s="538">
        <v>8</v>
      </c>
      <c r="B6629" s="538" t="s">
        <v>6570</v>
      </c>
      <c r="C6629" s="538" t="s">
        <v>740</v>
      </c>
      <c r="D6629" s="538" t="s">
        <v>393</v>
      </c>
      <c r="E6629" s="538" t="s">
        <v>416</v>
      </c>
      <c r="F6629" s="538">
        <v>52041001</v>
      </c>
      <c r="G6629" s="538">
        <v>1312</v>
      </c>
    </row>
    <row r="6630" spans="1:7" x14ac:dyDescent="0.2">
      <c r="A6630" s="538">
        <v>5</v>
      </c>
      <c r="B6630" s="538" t="s">
        <v>6651</v>
      </c>
      <c r="C6630" s="538" t="s">
        <v>740</v>
      </c>
      <c r="D6630" s="538" t="s">
        <v>393</v>
      </c>
      <c r="E6630" s="538" t="s">
        <v>390</v>
      </c>
      <c r="F6630" s="538">
        <v>22656</v>
      </c>
      <c r="G6630" s="538">
        <v>2</v>
      </c>
    </row>
    <row r="6631" spans="1:7" x14ac:dyDescent="0.2">
      <c r="A6631" s="538">
        <v>5</v>
      </c>
      <c r="B6631" s="538" t="s">
        <v>6651</v>
      </c>
      <c r="C6631" s="538" t="s">
        <v>393</v>
      </c>
      <c r="D6631" s="538" t="s">
        <v>393</v>
      </c>
      <c r="E6631" s="538" t="s">
        <v>416</v>
      </c>
      <c r="F6631" s="538">
        <v>40145248</v>
      </c>
      <c r="G6631" s="538">
        <v>646</v>
      </c>
    </row>
    <row r="6632" spans="1:7" x14ac:dyDescent="0.2">
      <c r="A6632" s="538">
        <v>7</v>
      </c>
      <c r="B6632" s="538" t="s">
        <v>6588</v>
      </c>
      <c r="C6632" s="538" t="s">
        <v>393</v>
      </c>
      <c r="D6632" s="538" t="s">
        <v>393</v>
      </c>
      <c r="E6632" s="538" t="s">
        <v>419</v>
      </c>
      <c r="F6632" s="538">
        <v>108147</v>
      </c>
      <c r="G6632" s="538">
        <v>4</v>
      </c>
    </row>
    <row r="6633" spans="1:7" x14ac:dyDescent="0.2">
      <c r="A6633" s="538">
        <v>7</v>
      </c>
      <c r="B6633" s="538" t="s">
        <v>6604</v>
      </c>
      <c r="C6633" s="538" t="s">
        <v>740</v>
      </c>
      <c r="D6633" s="538" t="s">
        <v>393</v>
      </c>
      <c r="E6633" s="538" t="s">
        <v>313</v>
      </c>
      <c r="F6633" s="538">
        <v>50268</v>
      </c>
      <c r="G6633" s="538">
        <v>1</v>
      </c>
    </row>
    <row r="6634" spans="1:7" x14ac:dyDescent="0.2">
      <c r="A6634" s="538">
        <v>10</v>
      </c>
      <c r="B6634" s="538" t="s">
        <v>6653</v>
      </c>
      <c r="C6634" s="538" t="s">
        <v>740</v>
      </c>
      <c r="D6634" s="538" t="s">
        <v>393</v>
      </c>
      <c r="E6634" s="538" t="s">
        <v>416</v>
      </c>
      <c r="F6634" s="538">
        <v>1151510</v>
      </c>
      <c r="G6634" s="538">
        <v>20</v>
      </c>
    </row>
    <row r="6635" spans="1:7" x14ac:dyDescent="0.2">
      <c r="A6635" s="538">
        <v>11</v>
      </c>
      <c r="B6635" s="538" t="s">
        <v>6592</v>
      </c>
      <c r="C6635" s="538" t="s">
        <v>393</v>
      </c>
      <c r="D6635" s="538" t="s">
        <v>740</v>
      </c>
      <c r="E6635" s="538" t="s">
        <v>402</v>
      </c>
      <c r="F6635" s="538">
        <v>311874</v>
      </c>
      <c r="G6635" s="538">
        <v>13</v>
      </c>
    </row>
    <row r="6636" spans="1:7" x14ac:dyDescent="0.2">
      <c r="A6636" s="538">
        <v>3</v>
      </c>
      <c r="B6636" s="538" t="s">
        <v>6605</v>
      </c>
      <c r="C6636" s="538" t="s">
        <v>740</v>
      </c>
      <c r="D6636" s="538" t="s">
        <v>740</v>
      </c>
      <c r="E6636" s="538" t="s">
        <v>409</v>
      </c>
      <c r="F6636" s="538">
        <v>101952</v>
      </c>
      <c r="G6636" s="538">
        <v>9</v>
      </c>
    </row>
    <row r="6637" spans="1:7" x14ac:dyDescent="0.2">
      <c r="A6637" s="538">
        <v>6</v>
      </c>
      <c r="B6637" s="538" t="s">
        <v>6565</v>
      </c>
      <c r="C6637" s="538" t="s">
        <v>393</v>
      </c>
      <c r="D6637" s="538" t="s">
        <v>740</v>
      </c>
      <c r="E6637" s="538" t="s">
        <v>438</v>
      </c>
      <c r="F6637" s="538">
        <v>1511955</v>
      </c>
      <c r="G6637" s="538">
        <v>5</v>
      </c>
    </row>
    <row r="6638" spans="1:7" x14ac:dyDescent="0.2">
      <c r="A6638" s="538">
        <v>6</v>
      </c>
      <c r="B6638" s="538" t="s">
        <v>6429</v>
      </c>
      <c r="C6638" s="538" t="s">
        <v>740</v>
      </c>
      <c r="D6638" s="538" t="s">
        <v>740</v>
      </c>
      <c r="E6638" s="538" t="s">
        <v>390</v>
      </c>
      <c r="F6638" s="538">
        <v>938100</v>
      </c>
      <c r="G6638" s="538">
        <v>35</v>
      </c>
    </row>
    <row r="6639" spans="1:7" x14ac:dyDescent="0.2">
      <c r="A6639" s="538">
        <v>3</v>
      </c>
      <c r="B6639" s="538" t="s">
        <v>6578</v>
      </c>
      <c r="C6639" s="538" t="s">
        <v>740</v>
      </c>
      <c r="D6639" s="538" t="s">
        <v>740</v>
      </c>
      <c r="E6639" s="538" t="s">
        <v>409</v>
      </c>
      <c r="F6639" s="538">
        <v>928542</v>
      </c>
      <c r="G6639" s="538">
        <v>64</v>
      </c>
    </row>
    <row r="6640" spans="1:7" x14ac:dyDescent="0.2">
      <c r="A6640" s="538">
        <v>4</v>
      </c>
      <c r="B6640" s="538" t="s">
        <v>6562</v>
      </c>
      <c r="C6640" s="538" t="s">
        <v>740</v>
      </c>
      <c r="D6640" s="538" t="s">
        <v>393</v>
      </c>
      <c r="E6640" s="538" t="s">
        <v>401</v>
      </c>
      <c r="F6640" s="538">
        <v>11328</v>
      </c>
      <c r="G6640" s="538">
        <v>1</v>
      </c>
    </row>
    <row r="6641" spans="1:7" x14ac:dyDescent="0.2">
      <c r="A6641" s="538">
        <v>2</v>
      </c>
      <c r="B6641" s="538" t="s">
        <v>6656</v>
      </c>
      <c r="C6641" s="538" t="s">
        <v>740</v>
      </c>
      <c r="D6641" s="538" t="s">
        <v>393</v>
      </c>
      <c r="E6641" s="538" t="s">
        <v>210</v>
      </c>
      <c r="F6641" s="538">
        <v>539673</v>
      </c>
      <c r="G6641" s="538">
        <v>31</v>
      </c>
    </row>
    <row r="6642" spans="1:7" x14ac:dyDescent="0.2">
      <c r="A6642" s="538">
        <v>4</v>
      </c>
      <c r="B6642" s="538" t="s">
        <v>6593</v>
      </c>
      <c r="C6642" s="538" t="s">
        <v>393</v>
      </c>
      <c r="D6642" s="538" t="s">
        <v>740</v>
      </c>
      <c r="E6642" s="538" t="s">
        <v>390</v>
      </c>
      <c r="F6642" s="538">
        <v>799686</v>
      </c>
      <c r="G6642" s="538">
        <v>27</v>
      </c>
    </row>
    <row r="6643" spans="1:7" x14ac:dyDescent="0.2">
      <c r="A6643" s="538">
        <v>10</v>
      </c>
      <c r="B6643" s="538" t="s">
        <v>6600</v>
      </c>
      <c r="C6643" s="538" t="s">
        <v>393</v>
      </c>
      <c r="D6643" s="538" t="s">
        <v>393</v>
      </c>
      <c r="E6643" s="538" t="s">
        <v>409</v>
      </c>
      <c r="F6643" s="538">
        <v>734144</v>
      </c>
      <c r="G6643" s="538">
        <v>13</v>
      </c>
    </row>
    <row r="6644" spans="1:7" x14ac:dyDescent="0.2">
      <c r="A6644" s="538">
        <v>1</v>
      </c>
      <c r="B6644" s="538" t="s">
        <v>6581</v>
      </c>
      <c r="C6644" s="538" t="s">
        <v>740</v>
      </c>
      <c r="D6644" s="538" t="s">
        <v>393</v>
      </c>
      <c r="E6644" s="538" t="s">
        <v>401</v>
      </c>
      <c r="F6644" s="538">
        <v>79296</v>
      </c>
      <c r="G6644" s="538">
        <v>7</v>
      </c>
    </row>
    <row r="6645" spans="1:7" x14ac:dyDescent="0.2">
      <c r="A6645" s="538">
        <v>6</v>
      </c>
      <c r="B6645" s="538" t="s">
        <v>6433</v>
      </c>
      <c r="C6645" s="538" t="s">
        <v>740</v>
      </c>
      <c r="D6645" s="538" t="s">
        <v>393</v>
      </c>
      <c r="E6645" s="538" t="s">
        <v>419</v>
      </c>
      <c r="F6645" s="538">
        <v>198771</v>
      </c>
      <c r="G6645" s="538">
        <v>12</v>
      </c>
    </row>
    <row r="6646" spans="1:7" x14ac:dyDescent="0.2">
      <c r="A6646" s="538">
        <v>6</v>
      </c>
      <c r="B6646" s="538" t="s">
        <v>1668</v>
      </c>
      <c r="C6646" s="538" t="s">
        <v>393</v>
      </c>
      <c r="D6646" s="538" t="s">
        <v>740</v>
      </c>
      <c r="E6646" s="538" t="s">
        <v>390</v>
      </c>
      <c r="F6646" s="538">
        <v>7012803</v>
      </c>
      <c r="G6646" s="538">
        <v>101</v>
      </c>
    </row>
    <row r="6647" spans="1:7" x14ac:dyDescent="0.2">
      <c r="A6647" s="538">
        <v>6</v>
      </c>
      <c r="B6647" s="538" t="s">
        <v>1668</v>
      </c>
      <c r="C6647" s="538" t="s">
        <v>740</v>
      </c>
      <c r="D6647" s="538" t="s">
        <v>393</v>
      </c>
      <c r="E6647" s="538" t="s">
        <v>390</v>
      </c>
      <c r="F6647" s="538">
        <v>8008792</v>
      </c>
      <c r="G6647" s="538">
        <v>319</v>
      </c>
    </row>
    <row r="6648" spans="1:7" x14ac:dyDescent="0.2">
      <c r="A6648" s="538">
        <v>6</v>
      </c>
      <c r="B6648" s="538" t="s">
        <v>6596</v>
      </c>
      <c r="C6648" s="538" t="s">
        <v>393</v>
      </c>
      <c r="D6648" s="538" t="s">
        <v>740</v>
      </c>
      <c r="E6648" s="538" t="s">
        <v>449</v>
      </c>
      <c r="F6648" s="538">
        <v>56640</v>
      </c>
      <c r="G6648" s="538">
        <v>5</v>
      </c>
    </row>
    <row r="6649" spans="1:7" x14ac:dyDescent="0.2">
      <c r="A6649" s="538">
        <v>11</v>
      </c>
      <c r="B6649" s="538" t="s">
        <v>6612</v>
      </c>
      <c r="C6649" s="538" t="s">
        <v>740</v>
      </c>
      <c r="D6649" s="538" t="s">
        <v>393</v>
      </c>
      <c r="E6649" s="538" t="s">
        <v>402</v>
      </c>
      <c r="F6649" s="538">
        <v>119475</v>
      </c>
      <c r="G6649" s="538">
        <v>5</v>
      </c>
    </row>
    <row r="6650" spans="1:7" x14ac:dyDescent="0.2">
      <c r="A6650" s="538">
        <v>8</v>
      </c>
      <c r="B6650" s="538" t="s">
        <v>6560</v>
      </c>
      <c r="C6650" s="538" t="s">
        <v>393</v>
      </c>
      <c r="D6650" s="538" t="s">
        <v>393</v>
      </c>
      <c r="E6650" s="538" t="s">
        <v>207</v>
      </c>
      <c r="F6650" s="538">
        <v>8932347</v>
      </c>
      <c r="G6650" s="538">
        <v>414</v>
      </c>
    </row>
    <row r="6651" spans="1:7" x14ac:dyDescent="0.2">
      <c r="A6651" s="538">
        <v>1</v>
      </c>
      <c r="B6651" s="538" t="s">
        <v>6609</v>
      </c>
      <c r="C6651" s="538" t="s">
        <v>740</v>
      </c>
      <c r="D6651" s="538" t="s">
        <v>393</v>
      </c>
      <c r="E6651" s="538" t="s">
        <v>313</v>
      </c>
      <c r="F6651" s="538">
        <v>3482850</v>
      </c>
      <c r="G6651" s="538">
        <v>35</v>
      </c>
    </row>
    <row r="6652" spans="1:7" x14ac:dyDescent="0.2">
      <c r="A6652" s="538">
        <v>4</v>
      </c>
      <c r="B6652" s="538" t="s">
        <v>6572</v>
      </c>
      <c r="C6652" s="538" t="s">
        <v>393</v>
      </c>
      <c r="D6652" s="538" t="s">
        <v>393</v>
      </c>
      <c r="E6652" s="538" t="s">
        <v>416</v>
      </c>
      <c r="F6652" s="538">
        <v>47391430</v>
      </c>
      <c r="G6652" s="538">
        <v>975</v>
      </c>
    </row>
    <row r="6653" spans="1:7" x14ac:dyDescent="0.2">
      <c r="A6653" s="538">
        <v>2</v>
      </c>
      <c r="B6653" s="538" t="s">
        <v>6585</v>
      </c>
      <c r="C6653" s="538" t="s">
        <v>740</v>
      </c>
      <c r="D6653" s="538" t="s">
        <v>740</v>
      </c>
      <c r="E6653" s="538" t="s">
        <v>416</v>
      </c>
      <c r="F6653" s="538">
        <v>2572362</v>
      </c>
      <c r="G6653" s="538">
        <v>64</v>
      </c>
    </row>
    <row r="6654" spans="1:7" x14ac:dyDescent="0.2">
      <c r="A6654" s="538">
        <v>8</v>
      </c>
      <c r="B6654" s="538" t="s">
        <v>6567</v>
      </c>
      <c r="C6654" s="538" t="s">
        <v>393</v>
      </c>
      <c r="D6654" s="538" t="s">
        <v>393</v>
      </c>
      <c r="E6654" s="538" t="s">
        <v>419</v>
      </c>
      <c r="F6654" s="538">
        <v>22656</v>
      </c>
      <c r="G6654" s="538">
        <v>2</v>
      </c>
    </row>
    <row r="6655" spans="1:7" x14ac:dyDescent="0.2">
      <c r="A6655" s="538">
        <v>4</v>
      </c>
      <c r="B6655" s="538" t="s">
        <v>6559</v>
      </c>
      <c r="C6655" s="538" t="s">
        <v>740</v>
      </c>
      <c r="D6655" s="538" t="s">
        <v>740</v>
      </c>
      <c r="E6655" s="538" t="s">
        <v>212</v>
      </c>
      <c r="F6655" s="538">
        <v>499494</v>
      </c>
      <c r="G6655" s="538">
        <v>33</v>
      </c>
    </row>
    <row r="6656" spans="1:7" x14ac:dyDescent="0.2">
      <c r="A6656" s="538">
        <v>4</v>
      </c>
      <c r="B6656" s="538" t="s">
        <v>6590</v>
      </c>
      <c r="C6656" s="538" t="s">
        <v>740</v>
      </c>
      <c r="D6656" s="538" t="s">
        <v>740</v>
      </c>
      <c r="E6656" s="538" t="s">
        <v>409</v>
      </c>
      <c r="F6656" s="538">
        <v>33984</v>
      </c>
      <c r="G6656" s="538">
        <v>3</v>
      </c>
    </row>
    <row r="6657" spans="1:7" x14ac:dyDescent="0.2">
      <c r="A6657" s="538">
        <v>8</v>
      </c>
      <c r="B6657" s="538" t="s">
        <v>6583</v>
      </c>
      <c r="C6657" s="538" t="s">
        <v>740</v>
      </c>
      <c r="D6657" s="538" t="s">
        <v>740</v>
      </c>
      <c r="E6657" s="538" t="s">
        <v>211</v>
      </c>
      <c r="F6657" s="538">
        <v>1722106</v>
      </c>
      <c r="G6657" s="538">
        <v>27</v>
      </c>
    </row>
    <row r="6658" spans="1:7" x14ac:dyDescent="0.2">
      <c r="A6658" s="538">
        <v>11</v>
      </c>
      <c r="B6658" s="538" t="s">
        <v>6612</v>
      </c>
      <c r="C6658" s="538" t="s">
        <v>393</v>
      </c>
      <c r="D6658" s="538" t="s">
        <v>740</v>
      </c>
      <c r="E6658" s="538" t="s">
        <v>416</v>
      </c>
      <c r="F6658" s="538">
        <v>6364535</v>
      </c>
      <c r="G6658" s="538">
        <v>185</v>
      </c>
    </row>
    <row r="6659" spans="1:7" x14ac:dyDescent="0.2">
      <c r="A6659" s="538">
        <v>3</v>
      </c>
      <c r="B6659" s="538" t="s">
        <v>1390</v>
      </c>
      <c r="C6659" s="538" t="s">
        <v>393</v>
      </c>
      <c r="D6659" s="538" t="s">
        <v>740</v>
      </c>
      <c r="E6659" s="538" t="s">
        <v>209</v>
      </c>
      <c r="F6659" s="538">
        <v>496433</v>
      </c>
      <c r="G6659" s="538">
        <v>1</v>
      </c>
    </row>
    <row r="6660" spans="1:7" x14ac:dyDescent="0.2">
      <c r="A6660" s="538">
        <v>3</v>
      </c>
      <c r="B6660" s="538" t="s">
        <v>6586</v>
      </c>
      <c r="C6660" s="538" t="s">
        <v>393</v>
      </c>
      <c r="D6660" s="538" t="s">
        <v>393</v>
      </c>
      <c r="E6660" s="538" t="s">
        <v>230</v>
      </c>
      <c r="F6660" s="538">
        <v>12879895</v>
      </c>
      <c r="G6660" s="538">
        <v>230</v>
      </c>
    </row>
    <row r="6661" spans="1:7" x14ac:dyDescent="0.2">
      <c r="A6661" s="538">
        <v>1</v>
      </c>
      <c r="B6661" s="538" t="s">
        <v>6646</v>
      </c>
      <c r="C6661" s="538" t="s">
        <v>740</v>
      </c>
      <c r="D6661" s="538" t="s">
        <v>393</v>
      </c>
      <c r="E6661" s="538" t="s">
        <v>402</v>
      </c>
      <c r="F6661" s="538">
        <v>265323</v>
      </c>
      <c r="G6661" s="538">
        <v>11</v>
      </c>
    </row>
    <row r="6662" spans="1:7" x14ac:dyDescent="0.2">
      <c r="A6662" s="538">
        <v>3</v>
      </c>
      <c r="B6662" s="538" t="s">
        <v>6561</v>
      </c>
      <c r="C6662" s="538" t="s">
        <v>740</v>
      </c>
      <c r="D6662" s="538" t="s">
        <v>740</v>
      </c>
      <c r="E6662" s="538" t="s">
        <v>402</v>
      </c>
      <c r="F6662" s="538">
        <v>84252</v>
      </c>
      <c r="G6662" s="538">
        <v>4</v>
      </c>
    </row>
    <row r="6663" spans="1:7" x14ac:dyDescent="0.2">
      <c r="A6663" s="538">
        <v>6</v>
      </c>
      <c r="B6663" s="538" t="s">
        <v>6429</v>
      </c>
      <c r="C6663" s="538" t="s">
        <v>740</v>
      </c>
      <c r="D6663" s="538" t="s">
        <v>393</v>
      </c>
      <c r="E6663" s="538" t="s">
        <v>210</v>
      </c>
      <c r="F6663" s="538">
        <v>6446944</v>
      </c>
      <c r="G6663" s="538">
        <v>368</v>
      </c>
    </row>
    <row r="6664" spans="1:7" x14ac:dyDescent="0.2">
      <c r="A6664" s="538">
        <v>3</v>
      </c>
      <c r="B6664" s="538" t="s">
        <v>1390</v>
      </c>
      <c r="C6664" s="538" t="s">
        <v>740</v>
      </c>
      <c r="D6664" s="538" t="s">
        <v>740</v>
      </c>
      <c r="E6664" s="538" t="s">
        <v>409</v>
      </c>
      <c r="F6664" s="538">
        <v>130803</v>
      </c>
      <c r="G6664" s="538">
        <v>6</v>
      </c>
    </row>
    <row r="6665" spans="1:7" x14ac:dyDescent="0.2">
      <c r="A6665" s="538">
        <v>1</v>
      </c>
      <c r="B6665" s="538" t="s">
        <v>6581</v>
      </c>
      <c r="C6665" s="538" t="s">
        <v>740</v>
      </c>
      <c r="D6665" s="538" t="s">
        <v>393</v>
      </c>
      <c r="E6665" s="538" t="s">
        <v>416</v>
      </c>
      <c r="F6665" s="538">
        <v>50069284</v>
      </c>
      <c r="G6665" s="538">
        <v>1098</v>
      </c>
    </row>
    <row r="6666" spans="1:7" x14ac:dyDescent="0.2">
      <c r="A6666" s="538">
        <v>3</v>
      </c>
      <c r="B6666" s="538" t="s">
        <v>6586</v>
      </c>
      <c r="C6666" s="538" t="s">
        <v>740</v>
      </c>
      <c r="D6666" s="538" t="s">
        <v>393</v>
      </c>
      <c r="E6666" s="538" t="s">
        <v>211</v>
      </c>
      <c r="F6666" s="538">
        <v>122413091</v>
      </c>
      <c r="G6666" s="538">
        <v>2667</v>
      </c>
    </row>
    <row r="6667" spans="1:7" x14ac:dyDescent="0.2">
      <c r="A6667" s="538">
        <v>10</v>
      </c>
      <c r="B6667" s="538" t="s">
        <v>6582</v>
      </c>
      <c r="C6667" s="538" t="s">
        <v>740</v>
      </c>
      <c r="D6667" s="538" t="s">
        <v>393</v>
      </c>
      <c r="E6667" s="538" t="s">
        <v>409</v>
      </c>
      <c r="F6667" s="538">
        <v>11328</v>
      </c>
      <c r="G6667" s="538">
        <v>1</v>
      </c>
    </row>
    <row r="6668" spans="1:7" x14ac:dyDescent="0.2">
      <c r="A6668" s="538">
        <v>11</v>
      </c>
      <c r="B6668" s="538" t="s">
        <v>6584</v>
      </c>
      <c r="C6668" s="538" t="s">
        <v>740</v>
      </c>
      <c r="D6668" s="538" t="s">
        <v>393</v>
      </c>
      <c r="E6668" s="538" t="s">
        <v>211</v>
      </c>
      <c r="F6668" s="538">
        <v>14975700</v>
      </c>
      <c r="G6668" s="538">
        <v>355</v>
      </c>
    </row>
    <row r="6669" spans="1:7" x14ac:dyDescent="0.2">
      <c r="A6669" s="538">
        <v>7</v>
      </c>
      <c r="B6669" s="538" t="s">
        <v>6661</v>
      </c>
      <c r="C6669" s="538" t="s">
        <v>740</v>
      </c>
      <c r="D6669" s="538" t="s">
        <v>393</v>
      </c>
      <c r="E6669" s="538" t="s">
        <v>449</v>
      </c>
      <c r="F6669" s="538">
        <v>45312</v>
      </c>
      <c r="G6669" s="538">
        <v>4</v>
      </c>
    </row>
    <row r="6670" spans="1:7" x14ac:dyDescent="0.2">
      <c r="A6670" s="538">
        <v>5</v>
      </c>
      <c r="B6670" s="538" t="s">
        <v>6599</v>
      </c>
      <c r="C6670" s="538" t="s">
        <v>393</v>
      </c>
      <c r="D6670" s="538" t="s">
        <v>740</v>
      </c>
      <c r="E6670" s="538" t="s">
        <v>210</v>
      </c>
      <c r="F6670" s="538">
        <v>507761</v>
      </c>
      <c r="G6670" s="538">
        <v>2</v>
      </c>
    </row>
    <row r="6671" spans="1:7" x14ac:dyDescent="0.2">
      <c r="A6671" s="538">
        <v>7</v>
      </c>
      <c r="B6671" s="538" t="s">
        <v>6564</v>
      </c>
      <c r="C6671" s="538" t="s">
        <v>740</v>
      </c>
      <c r="D6671" s="538" t="s">
        <v>740</v>
      </c>
      <c r="E6671" s="538" t="s">
        <v>211</v>
      </c>
      <c r="F6671" s="538">
        <v>84252</v>
      </c>
      <c r="G6671" s="538">
        <v>4</v>
      </c>
    </row>
    <row r="6672" spans="1:7" x14ac:dyDescent="0.2">
      <c r="A6672" s="538">
        <v>10</v>
      </c>
      <c r="B6672" s="538" t="s">
        <v>6664</v>
      </c>
      <c r="C6672" s="538" t="s">
        <v>393</v>
      </c>
      <c r="D6672" s="538" t="s">
        <v>393</v>
      </c>
      <c r="E6672" s="538" t="s">
        <v>390</v>
      </c>
      <c r="F6672" s="538">
        <v>3913033</v>
      </c>
      <c r="G6672" s="538">
        <v>51</v>
      </c>
    </row>
    <row r="6673" spans="1:7" x14ac:dyDescent="0.2">
      <c r="A6673" s="538">
        <v>4</v>
      </c>
      <c r="B6673" s="538" t="s">
        <v>6572</v>
      </c>
      <c r="C6673" s="538" t="s">
        <v>393</v>
      </c>
      <c r="D6673" s="538" t="s">
        <v>740</v>
      </c>
      <c r="E6673" s="538" t="s">
        <v>230</v>
      </c>
      <c r="F6673" s="538">
        <v>243906</v>
      </c>
      <c r="G6673" s="538">
        <v>7</v>
      </c>
    </row>
    <row r="6674" spans="1:7" x14ac:dyDescent="0.2">
      <c r="A6674" s="538">
        <v>4</v>
      </c>
      <c r="B6674" s="538" t="s">
        <v>6590</v>
      </c>
      <c r="C6674" s="538" t="s">
        <v>740</v>
      </c>
      <c r="D6674" s="538" t="s">
        <v>393</v>
      </c>
      <c r="E6674" s="538" t="s">
        <v>449</v>
      </c>
      <c r="F6674" s="538">
        <v>11328</v>
      </c>
      <c r="G6674" s="538">
        <v>1</v>
      </c>
    </row>
    <row r="6675" spans="1:7" x14ac:dyDescent="0.2">
      <c r="A6675" s="538">
        <v>7</v>
      </c>
      <c r="B6675" s="538" t="s">
        <v>6580</v>
      </c>
      <c r="C6675" s="538" t="s">
        <v>393</v>
      </c>
      <c r="D6675" s="538" t="s">
        <v>393</v>
      </c>
      <c r="E6675" s="538" t="s">
        <v>409</v>
      </c>
      <c r="F6675" s="538">
        <v>3124248</v>
      </c>
      <c r="G6675" s="538">
        <v>76</v>
      </c>
    </row>
    <row r="6676" spans="1:7" x14ac:dyDescent="0.2">
      <c r="A6676" s="538">
        <v>8</v>
      </c>
      <c r="B6676" s="538" t="s">
        <v>6583</v>
      </c>
      <c r="C6676" s="538" t="s">
        <v>393</v>
      </c>
      <c r="D6676" s="538" t="s">
        <v>393</v>
      </c>
      <c r="E6676" s="538" t="s">
        <v>449</v>
      </c>
      <c r="F6676" s="538">
        <v>244083</v>
      </c>
      <c r="G6676" s="538">
        <v>16</v>
      </c>
    </row>
    <row r="6677" spans="1:7" x14ac:dyDescent="0.2">
      <c r="A6677" s="538">
        <v>8</v>
      </c>
      <c r="B6677" s="538" t="s">
        <v>6570</v>
      </c>
      <c r="C6677" s="538" t="s">
        <v>740</v>
      </c>
      <c r="D6677" s="538" t="s">
        <v>740</v>
      </c>
      <c r="E6677" s="538" t="s">
        <v>416</v>
      </c>
      <c r="F6677" s="538">
        <v>11128584</v>
      </c>
      <c r="G6677" s="538">
        <v>333</v>
      </c>
    </row>
    <row r="6678" spans="1:7" x14ac:dyDescent="0.2">
      <c r="A6678" s="538">
        <v>10</v>
      </c>
      <c r="B6678" s="538" t="s">
        <v>6587</v>
      </c>
      <c r="C6678" s="538" t="s">
        <v>393</v>
      </c>
      <c r="D6678" s="538" t="s">
        <v>740</v>
      </c>
      <c r="E6678" s="538" t="s">
        <v>416</v>
      </c>
      <c r="F6678" s="538">
        <v>624987</v>
      </c>
      <c r="G6678" s="538">
        <v>24</v>
      </c>
    </row>
    <row r="6679" spans="1:7" x14ac:dyDescent="0.2">
      <c r="A6679" s="538">
        <v>12</v>
      </c>
      <c r="B6679" s="538" t="s">
        <v>6563</v>
      </c>
      <c r="C6679" s="538" t="s">
        <v>740</v>
      </c>
      <c r="D6679" s="538" t="s">
        <v>740</v>
      </c>
      <c r="E6679" s="538" t="s">
        <v>402</v>
      </c>
      <c r="F6679" s="538">
        <v>818802</v>
      </c>
      <c r="G6679" s="538">
        <v>44</v>
      </c>
    </row>
    <row r="6680" spans="1:7" x14ac:dyDescent="0.2">
      <c r="A6680" s="538">
        <v>7</v>
      </c>
      <c r="B6680" s="538" t="s">
        <v>6661</v>
      </c>
      <c r="C6680" s="538" t="s">
        <v>393</v>
      </c>
      <c r="D6680" s="538" t="s">
        <v>740</v>
      </c>
      <c r="E6680" s="538" t="s">
        <v>202</v>
      </c>
      <c r="F6680" s="538">
        <v>233817</v>
      </c>
      <c r="G6680" s="538">
        <v>4</v>
      </c>
    </row>
    <row r="6681" spans="1:7" x14ac:dyDescent="0.2">
      <c r="A6681" s="538">
        <v>4</v>
      </c>
      <c r="B6681" s="538" t="s">
        <v>6574</v>
      </c>
      <c r="C6681" s="538" t="s">
        <v>740</v>
      </c>
      <c r="D6681" s="538" t="s">
        <v>740</v>
      </c>
      <c r="E6681" s="538" t="s">
        <v>416</v>
      </c>
      <c r="F6681" s="538">
        <v>877514</v>
      </c>
      <c r="G6681" s="538">
        <v>18</v>
      </c>
    </row>
    <row r="6682" spans="1:7" x14ac:dyDescent="0.2">
      <c r="A6682" s="538">
        <v>5</v>
      </c>
      <c r="B6682" s="538" t="s">
        <v>6599</v>
      </c>
      <c r="C6682" s="538" t="s">
        <v>740</v>
      </c>
      <c r="D6682" s="538" t="s">
        <v>393</v>
      </c>
      <c r="E6682" s="538" t="s">
        <v>209</v>
      </c>
      <c r="F6682" s="538">
        <v>4652737</v>
      </c>
      <c r="G6682" s="538">
        <v>19</v>
      </c>
    </row>
    <row r="6683" spans="1:7" x14ac:dyDescent="0.2">
      <c r="A6683" s="538">
        <v>9</v>
      </c>
      <c r="B6683" s="538" t="s">
        <v>6657</v>
      </c>
      <c r="C6683" s="538" t="s">
        <v>393</v>
      </c>
      <c r="D6683" s="538" t="s">
        <v>740</v>
      </c>
      <c r="E6683" s="538" t="s">
        <v>402</v>
      </c>
      <c r="F6683" s="538">
        <v>79296</v>
      </c>
      <c r="G6683" s="538">
        <v>7</v>
      </c>
    </row>
    <row r="6684" spans="1:7" x14ac:dyDescent="0.2">
      <c r="A6684" s="538">
        <v>7</v>
      </c>
      <c r="B6684" s="538" t="s">
        <v>6594</v>
      </c>
      <c r="C6684" s="538" t="s">
        <v>393</v>
      </c>
      <c r="D6684" s="538" t="s">
        <v>740</v>
      </c>
      <c r="E6684" s="538" t="s">
        <v>211</v>
      </c>
      <c r="F6684" s="538">
        <v>496433</v>
      </c>
      <c r="G6684" s="538">
        <v>1</v>
      </c>
    </row>
    <row r="6685" spans="1:7" x14ac:dyDescent="0.2">
      <c r="A6685" s="538">
        <v>3</v>
      </c>
      <c r="B6685" s="538" t="s">
        <v>6647</v>
      </c>
      <c r="C6685" s="538" t="s">
        <v>740</v>
      </c>
      <c r="D6685" s="538" t="s">
        <v>740</v>
      </c>
      <c r="E6685" s="538" t="s">
        <v>438</v>
      </c>
      <c r="F6685" s="538">
        <v>496433</v>
      </c>
      <c r="G6685" s="538">
        <v>1</v>
      </c>
    </row>
    <row r="6686" spans="1:7" x14ac:dyDescent="0.2">
      <c r="A6686" s="538">
        <v>6</v>
      </c>
      <c r="B6686" s="538" t="s">
        <v>6596</v>
      </c>
      <c r="C6686" s="538" t="s">
        <v>740</v>
      </c>
      <c r="D6686" s="538" t="s">
        <v>393</v>
      </c>
      <c r="E6686" s="538" t="s">
        <v>402</v>
      </c>
      <c r="F6686" s="538">
        <v>1163848</v>
      </c>
      <c r="G6686" s="538">
        <v>6</v>
      </c>
    </row>
    <row r="6687" spans="1:7" x14ac:dyDescent="0.2">
      <c r="A6687" s="538">
        <v>5</v>
      </c>
      <c r="B6687" s="538" t="s">
        <v>6650</v>
      </c>
      <c r="C6687" s="538" t="s">
        <v>393</v>
      </c>
      <c r="D6687" s="538" t="s">
        <v>393</v>
      </c>
      <c r="E6687" s="538" t="s">
        <v>313</v>
      </c>
      <c r="F6687" s="538">
        <v>496433</v>
      </c>
      <c r="G6687" s="538">
        <v>1</v>
      </c>
    </row>
    <row r="6688" spans="1:7" x14ac:dyDescent="0.2">
      <c r="A6688" s="538">
        <v>5</v>
      </c>
      <c r="B6688" s="538" t="s">
        <v>6599</v>
      </c>
      <c r="C6688" s="538" t="s">
        <v>740</v>
      </c>
      <c r="D6688" s="538" t="s">
        <v>740</v>
      </c>
      <c r="E6688" s="538" t="s">
        <v>438</v>
      </c>
      <c r="F6688" s="538">
        <v>50268</v>
      </c>
      <c r="G6688" s="538">
        <v>1</v>
      </c>
    </row>
    <row r="6689" spans="1:7" x14ac:dyDescent="0.2">
      <c r="A6689" s="538">
        <v>12</v>
      </c>
      <c r="B6689" s="538" t="s">
        <v>6616</v>
      </c>
      <c r="C6689" s="538" t="s">
        <v>393</v>
      </c>
      <c r="D6689" s="538" t="s">
        <v>393</v>
      </c>
      <c r="E6689" s="538" t="s">
        <v>449</v>
      </c>
      <c r="F6689" s="538">
        <v>181248</v>
      </c>
      <c r="G6689" s="538">
        <v>16</v>
      </c>
    </row>
    <row r="6690" spans="1:7" x14ac:dyDescent="0.2">
      <c r="A6690" s="538">
        <v>7</v>
      </c>
      <c r="B6690" s="538" t="s">
        <v>6604</v>
      </c>
      <c r="C6690" s="538" t="s">
        <v>393</v>
      </c>
      <c r="D6690" s="538" t="s">
        <v>740</v>
      </c>
      <c r="E6690" s="538" t="s">
        <v>390</v>
      </c>
      <c r="F6690" s="538">
        <v>1790126</v>
      </c>
      <c r="G6690" s="538">
        <v>37</v>
      </c>
    </row>
    <row r="6691" spans="1:7" x14ac:dyDescent="0.2">
      <c r="A6691" s="538">
        <v>4</v>
      </c>
      <c r="B6691" s="538" t="s">
        <v>6574</v>
      </c>
      <c r="C6691" s="538" t="s">
        <v>740</v>
      </c>
      <c r="D6691" s="538" t="s">
        <v>393</v>
      </c>
      <c r="E6691" s="538" t="s">
        <v>211</v>
      </c>
      <c r="F6691" s="538">
        <v>216401811</v>
      </c>
      <c r="G6691" s="538">
        <v>5752</v>
      </c>
    </row>
    <row r="6692" spans="1:7" x14ac:dyDescent="0.2">
      <c r="A6692" s="538">
        <v>1</v>
      </c>
      <c r="B6692" s="538" t="s">
        <v>6595</v>
      </c>
      <c r="C6692" s="538" t="s">
        <v>740</v>
      </c>
      <c r="D6692" s="538" t="s">
        <v>393</v>
      </c>
      <c r="E6692" s="538" t="s">
        <v>390</v>
      </c>
      <c r="F6692" s="538">
        <v>4741976</v>
      </c>
      <c r="G6692" s="538">
        <v>107</v>
      </c>
    </row>
    <row r="6693" spans="1:7" x14ac:dyDescent="0.2">
      <c r="A6693" s="538">
        <v>1</v>
      </c>
      <c r="B6693" s="538" t="s">
        <v>6646</v>
      </c>
      <c r="C6693" s="538" t="s">
        <v>740</v>
      </c>
      <c r="D6693" s="538" t="s">
        <v>393</v>
      </c>
      <c r="E6693" s="538" t="s">
        <v>409</v>
      </c>
      <c r="F6693" s="538">
        <v>318246</v>
      </c>
      <c r="G6693" s="538">
        <v>17</v>
      </c>
    </row>
    <row r="6694" spans="1:7" x14ac:dyDescent="0.2">
      <c r="A6694" s="538">
        <v>4</v>
      </c>
      <c r="B6694" s="538" t="s">
        <v>6559</v>
      </c>
      <c r="C6694" s="538" t="s">
        <v>740</v>
      </c>
      <c r="D6694" s="538" t="s">
        <v>393</v>
      </c>
      <c r="E6694" s="538" t="s">
        <v>449</v>
      </c>
      <c r="F6694" s="538">
        <v>3267722</v>
      </c>
      <c r="G6694" s="538">
        <v>164</v>
      </c>
    </row>
    <row r="6695" spans="1:7" x14ac:dyDescent="0.2">
      <c r="A6695" s="538">
        <v>4</v>
      </c>
      <c r="B6695" s="538" t="s">
        <v>6574</v>
      </c>
      <c r="C6695" s="538" t="s">
        <v>393</v>
      </c>
      <c r="D6695" s="538" t="s">
        <v>393</v>
      </c>
      <c r="E6695" s="538" t="s">
        <v>390</v>
      </c>
      <c r="F6695" s="538">
        <v>17557786</v>
      </c>
      <c r="G6695" s="538">
        <v>532</v>
      </c>
    </row>
    <row r="6696" spans="1:7" x14ac:dyDescent="0.2">
      <c r="A6696" s="538">
        <v>1</v>
      </c>
      <c r="B6696" s="538" t="s">
        <v>6602</v>
      </c>
      <c r="C6696" s="538" t="s">
        <v>740</v>
      </c>
      <c r="D6696" s="538" t="s">
        <v>740</v>
      </c>
      <c r="E6696" s="538" t="s">
        <v>210</v>
      </c>
      <c r="F6696" s="538">
        <v>67968</v>
      </c>
      <c r="G6696" s="538">
        <v>6</v>
      </c>
    </row>
    <row r="6697" spans="1:7" x14ac:dyDescent="0.2">
      <c r="A6697" s="538">
        <v>4</v>
      </c>
      <c r="B6697" s="538" t="s">
        <v>6559</v>
      </c>
      <c r="C6697" s="538" t="s">
        <v>740</v>
      </c>
      <c r="D6697" s="538" t="s">
        <v>740</v>
      </c>
      <c r="E6697" s="538" t="s">
        <v>409</v>
      </c>
      <c r="F6697" s="538">
        <v>1418655</v>
      </c>
      <c r="G6697" s="538">
        <v>70</v>
      </c>
    </row>
    <row r="6698" spans="1:7" x14ac:dyDescent="0.2">
      <c r="A6698" s="538">
        <v>8</v>
      </c>
      <c r="B6698" s="538" t="s">
        <v>6583</v>
      </c>
      <c r="C6698" s="538" t="s">
        <v>393</v>
      </c>
      <c r="D6698" s="538" t="s">
        <v>393</v>
      </c>
      <c r="E6698" s="538" t="s">
        <v>211</v>
      </c>
      <c r="F6698" s="538">
        <v>34138440</v>
      </c>
      <c r="G6698" s="538">
        <v>455</v>
      </c>
    </row>
    <row r="6699" spans="1:7" x14ac:dyDescent="0.2">
      <c r="A6699" s="538">
        <v>12</v>
      </c>
      <c r="B6699" s="538" t="s">
        <v>6569</v>
      </c>
      <c r="C6699" s="538" t="s">
        <v>393</v>
      </c>
      <c r="D6699" s="538" t="s">
        <v>740</v>
      </c>
      <c r="E6699" s="538" t="s">
        <v>860</v>
      </c>
      <c r="F6699" s="538">
        <v>11328</v>
      </c>
      <c r="G6699" s="538">
        <v>1</v>
      </c>
    </row>
    <row r="6700" spans="1:7" x14ac:dyDescent="0.2">
      <c r="A6700" s="538">
        <v>5</v>
      </c>
      <c r="B6700" s="538" t="s">
        <v>6599</v>
      </c>
      <c r="C6700" s="538" t="s">
        <v>740</v>
      </c>
      <c r="D6700" s="538" t="s">
        <v>393</v>
      </c>
      <c r="E6700" s="538" t="s">
        <v>438</v>
      </c>
      <c r="F6700" s="538">
        <v>7909360</v>
      </c>
      <c r="G6700" s="538">
        <v>130</v>
      </c>
    </row>
    <row r="6701" spans="1:7" x14ac:dyDescent="0.2">
      <c r="A6701" s="538">
        <v>10</v>
      </c>
      <c r="B6701" s="538" t="s">
        <v>6664</v>
      </c>
      <c r="C6701" s="538" t="s">
        <v>393</v>
      </c>
      <c r="D6701" s="538" t="s">
        <v>393</v>
      </c>
      <c r="E6701" s="538" t="s">
        <v>230</v>
      </c>
      <c r="F6701" s="538">
        <v>1283781</v>
      </c>
      <c r="G6701" s="538">
        <v>42</v>
      </c>
    </row>
    <row r="6702" spans="1:7" x14ac:dyDescent="0.2">
      <c r="A6702" s="538">
        <v>3</v>
      </c>
      <c r="B6702" s="538" t="s">
        <v>6647</v>
      </c>
      <c r="C6702" s="538" t="s">
        <v>740</v>
      </c>
      <c r="D6702" s="538" t="s">
        <v>393</v>
      </c>
      <c r="E6702" s="538" t="s">
        <v>212</v>
      </c>
      <c r="F6702" s="538">
        <v>22656</v>
      </c>
      <c r="G6702" s="538">
        <v>2</v>
      </c>
    </row>
    <row r="6703" spans="1:7" x14ac:dyDescent="0.2">
      <c r="A6703" s="538">
        <v>11</v>
      </c>
      <c r="B6703" s="538" t="s">
        <v>6592</v>
      </c>
      <c r="C6703" s="538" t="s">
        <v>740</v>
      </c>
      <c r="D6703" s="538" t="s">
        <v>393</v>
      </c>
      <c r="E6703" s="538" t="s">
        <v>438</v>
      </c>
      <c r="F6703" s="538">
        <v>61596</v>
      </c>
      <c r="G6703" s="538">
        <v>2</v>
      </c>
    </row>
    <row r="6704" spans="1:7" x14ac:dyDescent="0.2">
      <c r="A6704" s="538">
        <v>5</v>
      </c>
      <c r="B6704" s="538" t="s">
        <v>6566</v>
      </c>
      <c r="C6704" s="538" t="s">
        <v>740</v>
      </c>
      <c r="D6704" s="538" t="s">
        <v>393</v>
      </c>
      <c r="E6704" s="538" t="s">
        <v>211</v>
      </c>
      <c r="F6704" s="538">
        <v>11328</v>
      </c>
      <c r="G6704" s="538">
        <v>1</v>
      </c>
    </row>
    <row r="6705" spans="1:7" x14ac:dyDescent="0.2">
      <c r="A6705" s="538">
        <v>4</v>
      </c>
      <c r="B6705" s="538" t="s">
        <v>6574</v>
      </c>
      <c r="C6705" s="538" t="s">
        <v>740</v>
      </c>
      <c r="D6705" s="538" t="s">
        <v>740</v>
      </c>
      <c r="E6705" s="538" t="s">
        <v>390</v>
      </c>
      <c r="F6705" s="538">
        <v>682637</v>
      </c>
      <c r="G6705" s="538">
        <v>14</v>
      </c>
    </row>
    <row r="6706" spans="1:7" x14ac:dyDescent="0.2">
      <c r="A6706" s="538">
        <v>1</v>
      </c>
      <c r="B6706" s="538" t="s">
        <v>6595</v>
      </c>
      <c r="C6706" s="538" t="s">
        <v>740</v>
      </c>
      <c r="D6706" s="538" t="s">
        <v>393</v>
      </c>
      <c r="E6706" s="538" t="s">
        <v>230</v>
      </c>
      <c r="F6706" s="538">
        <v>1436834</v>
      </c>
      <c r="G6706" s="538">
        <v>28</v>
      </c>
    </row>
    <row r="6707" spans="1:7" x14ac:dyDescent="0.2">
      <c r="A6707" s="538">
        <v>10</v>
      </c>
      <c r="B6707" s="538" t="s">
        <v>6653</v>
      </c>
      <c r="C6707" s="538" t="s">
        <v>740</v>
      </c>
      <c r="D6707" s="538" t="s">
        <v>740</v>
      </c>
      <c r="E6707" s="538" t="s">
        <v>202</v>
      </c>
      <c r="F6707" s="538">
        <v>838397</v>
      </c>
      <c r="G6707" s="538">
        <v>9</v>
      </c>
    </row>
    <row r="6708" spans="1:7" x14ac:dyDescent="0.2">
      <c r="A6708" s="538">
        <v>6</v>
      </c>
      <c r="B6708" s="538" t="s">
        <v>1668</v>
      </c>
      <c r="C6708" s="538" t="s">
        <v>740</v>
      </c>
      <c r="D6708" s="538" t="s">
        <v>393</v>
      </c>
      <c r="E6708" s="538" t="s">
        <v>211</v>
      </c>
      <c r="F6708" s="538">
        <v>22656</v>
      </c>
      <c r="G6708" s="538">
        <v>2</v>
      </c>
    </row>
    <row r="6709" spans="1:7" x14ac:dyDescent="0.2">
      <c r="A6709" s="538">
        <v>6</v>
      </c>
      <c r="B6709" s="538" t="s">
        <v>6596</v>
      </c>
      <c r="C6709" s="538" t="s">
        <v>740</v>
      </c>
      <c r="D6709" s="538" t="s">
        <v>393</v>
      </c>
      <c r="E6709" s="538" t="s">
        <v>409</v>
      </c>
      <c r="F6709" s="538">
        <v>2103135</v>
      </c>
      <c r="G6709" s="538">
        <v>35</v>
      </c>
    </row>
    <row r="6710" spans="1:7" x14ac:dyDescent="0.2">
      <c r="A6710" s="538">
        <v>6</v>
      </c>
      <c r="B6710" s="538" t="s">
        <v>6575</v>
      </c>
      <c r="C6710" s="538" t="s">
        <v>740</v>
      </c>
      <c r="D6710" s="538" t="s">
        <v>393</v>
      </c>
      <c r="E6710" s="538" t="s">
        <v>212</v>
      </c>
      <c r="F6710" s="538">
        <v>5393367</v>
      </c>
      <c r="G6710" s="538">
        <v>414</v>
      </c>
    </row>
    <row r="6711" spans="1:7" x14ac:dyDescent="0.2">
      <c r="A6711" s="538">
        <v>2</v>
      </c>
      <c r="B6711" s="538" t="s">
        <v>6573</v>
      </c>
      <c r="C6711" s="538" t="s">
        <v>393</v>
      </c>
      <c r="D6711" s="538" t="s">
        <v>393</v>
      </c>
      <c r="E6711" s="538" t="s">
        <v>438</v>
      </c>
      <c r="F6711" s="538">
        <v>5217367</v>
      </c>
      <c r="G6711" s="538">
        <v>44</v>
      </c>
    </row>
    <row r="6712" spans="1:7" x14ac:dyDescent="0.2">
      <c r="A6712" s="538">
        <v>2</v>
      </c>
      <c r="B6712" s="538" t="s">
        <v>6573</v>
      </c>
      <c r="C6712" s="538" t="s">
        <v>393</v>
      </c>
      <c r="D6712" s="538" t="s">
        <v>393</v>
      </c>
      <c r="E6712" s="538" t="s">
        <v>206</v>
      </c>
      <c r="F6712" s="538">
        <v>147087</v>
      </c>
      <c r="G6712" s="538">
        <v>4</v>
      </c>
    </row>
    <row r="6713" spans="1:7" x14ac:dyDescent="0.2">
      <c r="A6713" s="538">
        <v>4</v>
      </c>
      <c r="B6713" s="538" t="s">
        <v>6574</v>
      </c>
      <c r="C6713" s="538" t="s">
        <v>740</v>
      </c>
      <c r="D6713" s="538" t="s">
        <v>393</v>
      </c>
      <c r="E6713" s="538" t="s">
        <v>207</v>
      </c>
      <c r="F6713" s="538">
        <v>101952</v>
      </c>
      <c r="G6713" s="538">
        <v>9</v>
      </c>
    </row>
    <row r="6714" spans="1:7" x14ac:dyDescent="0.2">
      <c r="A6714" s="538">
        <v>7</v>
      </c>
      <c r="B6714" s="538" t="s">
        <v>6588</v>
      </c>
      <c r="C6714" s="538" t="s">
        <v>740</v>
      </c>
      <c r="D6714" s="538" t="s">
        <v>740</v>
      </c>
      <c r="E6714" s="538" t="s">
        <v>210</v>
      </c>
      <c r="F6714" s="538">
        <v>3098989</v>
      </c>
      <c r="G6714" s="538">
        <v>73</v>
      </c>
    </row>
    <row r="6715" spans="1:7" x14ac:dyDescent="0.2">
      <c r="A6715" s="538">
        <v>6</v>
      </c>
      <c r="B6715" s="538" t="s">
        <v>1668</v>
      </c>
      <c r="C6715" s="538" t="s">
        <v>393</v>
      </c>
      <c r="D6715" s="538" t="s">
        <v>740</v>
      </c>
      <c r="E6715" s="538" t="s">
        <v>416</v>
      </c>
      <c r="F6715" s="538">
        <v>5709333</v>
      </c>
      <c r="G6715" s="538">
        <v>171</v>
      </c>
    </row>
    <row r="6716" spans="1:7" x14ac:dyDescent="0.2">
      <c r="A6716" s="538">
        <v>1</v>
      </c>
      <c r="B6716" s="538" t="s">
        <v>1288</v>
      </c>
      <c r="C6716" s="538" t="s">
        <v>740</v>
      </c>
      <c r="D6716" s="538" t="s">
        <v>393</v>
      </c>
      <c r="E6716" s="538" t="s">
        <v>210</v>
      </c>
      <c r="F6716" s="538">
        <v>1894202</v>
      </c>
      <c r="G6716" s="538">
        <v>94</v>
      </c>
    </row>
    <row r="6717" spans="1:7" x14ac:dyDescent="0.2">
      <c r="A6717" s="538">
        <v>7</v>
      </c>
      <c r="B6717" s="538" t="s">
        <v>6594</v>
      </c>
      <c r="C6717" s="538" t="s">
        <v>740</v>
      </c>
      <c r="D6717" s="538" t="s">
        <v>393</v>
      </c>
      <c r="E6717" s="538" t="s">
        <v>207</v>
      </c>
      <c r="F6717" s="538">
        <v>3201399</v>
      </c>
      <c r="G6717" s="538">
        <v>248</v>
      </c>
    </row>
    <row r="6718" spans="1:7" x14ac:dyDescent="0.2">
      <c r="A6718" s="538">
        <v>5</v>
      </c>
      <c r="B6718" s="538" t="s">
        <v>6566</v>
      </c>
      <c r="C6718" s="538" t="s">
        <v>393</v>
      </c>
      <c r="D6718" s="538" t="s">
        <v>393</v>
      </c>
      <c r="E6718" s="538" t="s">
        <v>211</v>
      </c>
      <c r="F6718" s="538">
        <v>13480654</v>
      </c>
      <c r="G6718" s="538">
        <v>218</v>
      </c>
    </row>
    <row r="6719" spans="1:7" x14ac:dyDescent="0.2">
      <c r="A6719" s="538">
        <v>7</v>
      </c>
      <c r="B6719" s="538" t="s">
        <v>6588</v>
      </c>
      <c r="C6719" s="538" t="s">
        <v>740</v>
      </c>
      <c r="D6719" s="538" t="s">
        <v>393</v>
      </c>
      <c r="E6719" s="538" t="s">
        <v>212</v>
      </c>
      <c r="F6719" s="538">
        <v>22430856</v>
      </c>
      <c r="G6719" s="538">
        <v>1667</v>
      </c>
    </row>
    <row r="6720" spans="1:7" x14ac:dyDescent="0.2">
      <c r="A6720" s="538">
        <v>8</v>
      </c>
      <c r="B6720" s="538" t="s">
        <v>6570</v>
      </c>
      <c r="C6720" s="538" t="s">
        <v>740</v>
      </c>
      <c r="D6720" s="538" t="s">
        <v>393</v>
      </c>
      <c r="E6720" s="538" t="s">
        <v>230</v>
      </c>
      <c r="F6720" s="538">
        <v>544452</v>
      </c>
      <c r="G6720" s="538">
        <v>19</v>
      </c>
    </row>
    <row r="6721" spans="1:7" x14ac:dyDescent="0.2">
      <c r="A6721" s="538">
        <v>4</v>
      </c>
      <c r="B6721" s="538" t="s">
        <v>6574</v>
      </c>
      <c r="C6721" s="538" t="s">
        <v>740</v>
      </c>
      <c r="D6721" s="538" t="s">
        <v>740</v>
      </c>
      <c r="E6721" s="538" t="s">
        <v>230</v>
      </c>
      <c r="F6721" s="538">
        <v>74163</v>
      </c>
      <c r="G6721" s="538">
        <v>1</v>
      </c>
    </row>
    <row r="6722" spans="1:7" x14ac:dyDescent="0.2">
      <c r="A6722" s="538">
        <v>2</v>
      </c>
      <c r="B6722" s="538" t="s">
        <v>6656</v>
      </c>
      <c r="C6722" s="538" t="s">
        <v>393</v>
      </c>
      <c r="D6722" s="538" t="s">
        <v>393</v>
      </c>
      <c r="E6722" s="538" t="s">
        <v>390</v>
      </c>
      <c r="F6722" s="538">
        <v>14730961</v>
      </c>
      <c r="G6722" s="538">
        <v>312</v>
      </c>
    </row>
    <row r="6723" spans="1:7" x14ac:dyDescent="0.2">
      <c r="A6723" s="538">
        <v>4</v>
      </c>
      <c r="B6723" s="538" t="s">
        <v>6559</v>
      </c>
      <c r="C6723" s="538" t="s">
        <v>393</v>
      </c>
      <c r="D6723" s="538" t="s">
        <v>393</v>
      </c>
      <c r="E6723" s="538" t="s">
        <v>416</v>
      </c>
      <c r="F6723" s="538">
        <v>12825296</v>
      </c>
      <c r="G6723" s="538">
        <v>187</v>
      </c>
    </row>
    <row r="6724" spans="1:7" x14ac:dyDescent="0.2">
      <c r="A6724" s="538">
        <v>7</v>
      </c>
      <c r="B6724" s="538" t="s">
        <v>6588</v>
      </c>
      <c r="C6724" s="538" t="s">
        <v>740</v>
      </c>
      <c r="D6724" s="538" t="s">
        <v>393</v>
      </c>
      <c r="E6724" s="538" t="s">
        <v>390</v>
      </c>
      <c r="F6724" s="538">
        <v>1670349</v>
      </c>
      <c r="G6724" s="538">
        <v>88</v>
      </c>
    </row>
    <row r="6725" spans="1:7" x14ac:dyDescent="0.2">
      <c r="A6725" s="538">
        <v>4</v>
      </c>
      <c r="B6725" s="538" t="s">
        <v>6572</v>
      </c>
      <c r="C6725" s="538" t="s">
        <v>740</v>
      </c>
      <c r="D6725" s="538" t="s">
        <v>393</v>
      </c>
      <c r="E6725" s="538" t="s">
        <v>207</v>
      </c>
      <c r="F6725" s="538">
        <v>45312</v>
      </c>
      <c r="G6725" s="538">
        <v>4</v>
      </c>
    </row>
    <row r="6726" spans="1:7" x14ac:dyDescent="0.2">
      <c r="A6726" s="538">
        <v>12</v>
      </c>
      <c r="B6726" s="538" t="s">
        <v>6563</v>
      </c>
      <c r="C6726" s="538" t="s">
        <v>740</v>
      </c>
      <c r="D6726" s="538" t="s">
        <v>740</v>
      </c>
      <c r="E6726" s="538" t="s">
        <v>438</v>
      </c>
      <c r="F6726" s="538">
        <v>16736122</v>
      </c>
      <c r="G6726" s="538">
        <v>169</v>
      </c>
    </row>
    <row r="6727" spans="1:7" x14ac:dyDescent="0.2">
      <c r="A6727" s="538">
        <v>2</v>
      </c>
      <c r="B6727" s="538" t="s">
        <v>6573</v>
      </c>
      <c r="C6727" s="538" t="s">
        <v>740</v>
      </c>
      <c r="D6727" s="538" t="s">
        <v>740</v>
      </c>
      <c r="E6727" s="538" t="s">
        <v>230</v>
      </c>
      <c r="F6727" s="538">
        <v>90624</v>
      </c>
      <c r="G6727" s="538">
        <v>8</v>
      </c>
    </row>
    <row r="6728" spans="1:7" x14ac:dyDescent="0.2">
      <c r="A6728" s="538">
        <v>10</v>
      </c>
      <c r="B6728" s="538" t="s">
        <v>6611</v>
      </c>
      <c r="C6728" s="538" t="s">
        <v>740</v>
      </c>
      <c r="D6728" s="538" t="s">
        <v>393</v>
      </c>
      <c r="E6728" s="538" t="s">
        <v>416</v>
      </c>
      <c r="F6728" s="538">
        <v>299307</v>
      </c>
      <c r="G6728" s="538">
        <v>14</v>
      </c>
    </row>
    <row r="6729" spans="1:7" x14ac:dyDescent="0.2">
      <c r="A6729" s="538">
        <v>10</v>
      </c>
      <c r="B6729" s="538" t="s">
        <v>6664</v>
      </c>
      <c r="C6729" s="538" t="s">
        <v>393</v>
      </c>
      <c r="D6729" s="538" t="s">
        <v>393</v>
      </c>
      <c r="E6729" s="538" t="s">
        <v>416</v>
      </c>
      <c r="F6729" s="538">
        <v>28093827</v>
      </c>
      <c r="G6729" s="538">
        <v>429</v>
      </c>
    </row>
    <row r="6730" spans="1:7" x14ac:dyDescent="0.2">
      <c r="A6730" s="538">
        <v>7</v>
      </c>
      <c r="B6730" s="538" t="s">
        <v>6604</v>
      </c>
      <c r="C6730" s="538" t="s">
        <v>740</v>
      </c>
      <c r="D6730" s="538" t="s">
        <v>740</v>
      </c>
      <c r="E6730" s="538" t="s">
        <v>449</v>
      </c>
      <c r="F6730" s="538">
        <v>45312</v>
      </c>
      <c r="G6730" s="538">
        <v>4</v>
      </c>
    </row>
    <row r="6731" spans="1:7" x14ac:dyDescent="0.2">
      <c r="A6731" s="538">
        <v>10</v>
      </c>
      <c r="B6731" s="538" t="s">
        <v>6582</v>
      </c>
      <c r="C6731" s="538" t="s">
        <v>740</v>
      </c>
      <c r="D6731" s="538" t="s">
        <v>393</v>
      </c>
      <c r="E6731" s="538" t="s">
        <v>212</v>
      </c>
      <c r="F6731" s="538">
        <v>1247621</v>
      </c>
      <c r="G6731" s="538">
        <v>57</v>
      </c>
    </row>
    <row r="6732" spans="1:7" x14ac:dyDescent="0.2">
      <c r="A6732" s="538">
        <v>3</v>
      </c>
      <c r="B6732" s="538" t="s">
        <v>6605</v>
      </c>
      <c r="C6732" s="538" t="s">
        <v>393</v>
      </c>
      <c r="D6732" s="538" t="s">
        <v>740</v>
      </c>
      <c r="E6732" s="538" t="s">
        <v>402</v>
      </c>
      <c r="F6732" s="538">
        <v>5634004</v>
      </c>
      <c r="G6732" s="538">
        <v>153</v>
      </c>
    </row>
    <row r="6733" spans="1:7" x14ac:dyDescent="0.2">
      <c r="A6733" s="538">
        <v>7</v>
      </c>
      <c r="B6733" s="538" t="s">
        <v>6564</v>
      </c>
      <c r="C6733" s="538" t="s">
        <v>393</v>
      </c>
      <c r="D6733" s="538" t="s">
        <v>393</v>
      </c>
      <c r="E6733" s="538" t="s">
        <v>402</v>
      </c>
      <c r="F6733" s="538">
        <v>2241351</v>
      </c>
      <c r="G6733" s="538">
        <v>117</v>
      </c>
    </row>
    <row r="6734" spans="1:7" x14ac:dyDescent="0.2">
      <c r="A6734" s="538">
        <v>2</v>
      </c>
      <c r="B6734" s="538" t="s">
        <v>6573</v>
      </c>
      <c r="C6734" s="538" t="s">
        <v>740</v>
      </c>
      <c r="D6734" s="538" t="s">
        <v>740</v>
      </c>
      <c r="E6734" s="538" t="s">
        <v>416</v>
      </c>
      <c r="F6734" s="538">
        <v>17941762</v>
      </c>
      <c r="G6734" s="538">
        <v>464</v>
      </c>
    </row>
    <row r="6735" spans="1:7" x14ac:dyDescent="0.2">
      <c r="A6735" s="538">
        <v>4</v>
      </c>
      <c r="B6735" s="538" t="s">
        <v>6593</v>
      </c>
      <c r="C6735" s="538" t="s">
        <v>393</v>
      </c>
      <c r="D6735" s="538" t="s">
        <v>740</v>
      </c>
      <c r="E6735" s="538" t="s">
        <v>416</v>
      </c>
      <c r="F6735" s="538">
        <v>4181698</v>
      </c>
      <c r="G6735" s="538">
        <v>116</v>
      </c>
    </row>
    <row r="6736" spans="1:7" x14ac:dyDescent="0.2">
      <c r="A6736" s="538">
        <v>9</v>
      </c>
      <c r="B6736" s="538" t="s">
        <v>6615</v>
      </c>
      <c r="C6736" s="538" t="s">
        <v>740</v>
      </c>
      <c r="D6736" s="538" t="s">
        <v>393</v>
      </c>
      <c r="E6736" s="538" t="s">
        <v>207</v>
      </c>
      <c r="F6736" s="538">
        <v>3153911</v>
      </c>
      <c r="G6736" s="538">
        <v>192</v>
      </c>
    </row>
    <row r="6737" spans="1:7" x14ac:dyDescent="0.2">
      <c r="A6737" s="538">
        <v>3</v>
      </c>
      <c r="B6737" s="538" t="s">
        <v>6605</v>
      </c>
      <c r="C6737" s="538" t="s">
        <v>740</v>
      </c>
      <c r="D6737" s="538" t="s">
        <v>393</v>
      </c>
      <c r="E6737" s="538" t="s">
        <v>210</v>
      </c>
      <c r="F6737" s="538">
        <v>22656</v>
      </c>
      <c r="G6737" s="538">
        <v>2</v>
      </c>
    </row>
    <row r="6738" spans="1:7" x14ac:dyDescent="0.2">
      <c r="A6738" s="538">
        <v>6</v>
      </c>
      <c r="B6738" s="538" t="s">
        <v>6575</v>
      </c>
      <c r="C6738" s="538" t="s">
        <v>393</v>
      </c>
      <c r="D6738" s="538" t="s">
        <v>393</v>
      </c>
      <c r="E6738" s="538" t="s">
        <v>419</v>
      </c>
      <c r="F6738" s="538">
        <v>130803</v>
      </c>
      <c r="G6738" s="538">
        <v>6</v>
      </c>
    </row>
    <row r="6739" spans="1:7" x14ac:dyDescent="0.2">
      <c r="A6739" s="538">
        <v>4</v>
      </c>
      <c r="B6739" s="538" t="s">
        <v>6572</v>
      </c>
      <c r="C6739" s="538" t="s">
        <v>393</v>
      </c>
      <c r="D6739" s="538" t="s">
        <v>740</v>
      </c>
      <c r="E6739" s="538" t="s">
        <v>438</v>
      </c>
      <c r="F6739" s="538">
        <v>1527229</v>
      </c>
      <c r="G6739" s="538">
        <v>18</v>
      </c>
    </row>
    <row r="6740" spans="1:7" x14ac:dyDescent="0.2">
      <c r="A6740" s="538">
        <v>5</v>
      </c>
      <c r="B6740" s="538" t="s">
        <v>6599</v>
      </c>
      <c r="C6740" s="538" t="s">
        <v>740</v>
      </c>
      <c r="D6740" s="538" t="s">
        <v>393</v>
      </c>
      <c r="E6740" s="538" t="s">
        <v>860</v>
      </c>
      <c r="F6740" s="538">
        <v>210099</v>
      </c>
      <c r="G6740" s="538">
        <v>13</v>
      </c>
    </row>
    <row r="6741" spans="1:7" x14ac:dyDescent="0.2">
      <c r="A6741" s="538">
        <v>10</v>
      </c>
      <c r="B6741" s="538" t="s">
        <v>6582</v>
      </c>
      <c r="C6741" s="538" t="s">
        <v>740</v>
      </c>
      <c r="D6741" s="538" t="s">
        <v>393</v>
      </c>
      <c r="E6741" s="538" t="s">
        <v>209</v>
      </c>
      <c r="F6741" s="538">
        <v>50268</v>
      </c>
      <c r="G6741" s="538">
        <v>1</v>
      </c>
    </row>
    <row r="6742" spans="1:7" x14ac:dyDescent="0.2">
      <c r="A6742" s="538">
        <v>4</v>
      </c>
      <c r="B6742" s="538" t="s">
        <v>6559</v>
      </c>
      <c r="C6742" s="538" t="s">
        <v>393</v>
      </c>
      <c r="D6742" s="538" t="s">
        <v>393</v>
      </c>
      <c r="E6742" s="538" t="s">
        <v>210</v>
      </c>
      <c r="F6742" s="538">
        <v>593252</v>
      </c>
      <c r="G6742" s="538">
        <v>4</v>
      </c>
    </row>
    <row r="6743" spans="1:7" x14ac:dyDescent="0.2">
      <c r="A6743" s="538">
        <v>7</v>
      </c>
      <c r="B6743" s="538" t="s">
        <v>6604</v>
      </c>
      <c r="C6743" s="538" t="s">
        <v>740</v>
      </c>
      <c r="D6743" s="538" t="s">
        <v>740</v>
      </c>
      <c r="E6743" s="538" t="s">
        <v>860</v>
      </c>
      <c r="F6743" s="538">
        <v>50268</v>
      </c>
      <c r="G6743" s="538">
        <v>1</v>
      </c>
    </row>
    <row r="6744" spans="1:7" x14ac:dyDescent="0.2">
      <c r="A6744" s="538">
        <v>3</v>
      </c>
      <c r="B6744" s="538" t="s">
        <v>6591</v>
      </c>
      <c r="C6744" s="538" t="s">
        <v>393</v>
      </c>
      <c r="D6744" s="538" t="s">
        <v>740</v>
      </c>
      <c r="E6744" s="538" t="s">
        <v>402</v>
      </c>
      <c r="F6744" s="538">
        <v>9972753</v>
      </c>
      <c r="G6744" s="538">
        <v>346</v>
      </c>
    </row>
    <row r="6745" spans="1:7" x14ac:dyDescent="0.2">
      <c r="A6745" s="538">
        <v>11</v>
      </c>
      <c r="B6745" s="538" t="s">
        <v>6592</v>
      </c>
      <c r="C6745" s="538" t="s">
        <v>740</v>
      </c>
      <c r="D6745" s="538" t="s">
        <v>393</v>
      </c>
      <c r="E6745" s="538" t="s">
        <v>202</v>
      </c>
      <c r="F6745" s="538">
        <v>85491</v>
      </c>
      <c r="G6745" s="538">
        <v>2</v>
      </c>
    </row>
    <row r="6746" spans="1:7" x14ac:dyDescent="0.2">
      <c r="A6746" s="538">
        <v>6</v>
      </c>
      <c r="B6746" s="538" t="s">
        <v>6429</v>
      </c>
      <c r="C6746" s="538" t="s">
        <v>393</v>
      </c>
      <c r="D6746" s="538" t="s">
        <v>393</v>
      </c>
      <c r="E6746" s="538" t="s">
        <v>210</v>
      </c>
      <c r="F6746" s="538">
        <v>236472</v>
      </c>
      <c r="G6746" s="538">
        <v>14</v>
      </c>
    </row>
    <row r="6747" spans="1:7" x14ac:dyDescent="0.2">
      <c r="A6747" s="538">
        <v>2</v>
      </c>
      <c r="B6747" s="538" t="s">
        <v>6576</v>
      </c>
      <c r="C6747" s="538" t="s">
        <v>740</v>
      </c>
      <c r="D6747" s="538" t="s">
        <v>393</v>
      </c>
      <c r="E6747" s="538" t="s">
        <v>313</v>
      </c>
      <c r="F6747" s="538">
        <v>793085</v>
      </c>
      <c r="G6747" s="538">
        <v>5</v>
      </c>
    </row>
    <row r="6748" spans="1:7" x14ac:dyDescent="0.2">
      <c r="A6748" s="538">
        <v>5</v>
      </c>
      <c r="B6748" s="538" t="s">
        <v>6651</v>
      </c>
      <c r="C6748" s="538" t="s">
        <v>740</v>
      </c>
      <c r="D6748" s="538" t="s">
        <v>393</v>
      </c>
      <c r="E6748" s="538" t="s">
        <v>207</v>
      </c>
      <c r="F6748" s="538">
        <v>1116339</v>
      </c>
      <c r="G6748" s="538">
        <v>93</v>
      </c>
    </row>
    <row r="6749" spans="1:7" x14ac:dyDescent="0.2">
      <c r="A6749" s="538">
        <v>4</v>
      </c>
      <c r="B6749" s="538" t="s">
        <v>6562</v>
      </c>
      <c r="C6749" s="538" t="s">
        <v>740</v>
      </c>
      <c r="D6749" s="538" t="s">
        <v>740</v>
      </c>
      <c r="E6749" s="538" t="s">
        <v>210</v>
      </c>
      <c r="F6749" s="538">
        <v>123192</v>
      </c>
      <c r="G6749" s="538">
        <v>4</v>
      </c>
    </row>
    <row r="6750" spans="1:7" x14ac:dyDescent="0.2">
      <c r="A6750" s="538">
        <v>11</v>
      </c>
      <c r="B6750" s="538" t="s">
        <v>6592</v>
      </c>
      <c r="C6750" s="538" t="s">
        <v>740</v>
      </c>
      <c r="D6750" s="538" t="s">
        <v>740</v>
      </c>
      <c r="E6750" s="538" t="s">
        <v>449</v>
      </c>
      <c r="F6750" s="538">
        <v>350991</v>
      </c>
      <c r="G6750" s="538">
        <v>22</v>
      </c>
    </row>
    <row r="6751" spans="1:7" x14ac:dyDescent="0.2">
      <c r="A6751" s="538">
        <v>10</v>
      </c>
      <c r="B6751" s="538" t="s">
        <v>6582</v>
      </c>
      <c r="C6751" s="538" t="s">
        <v>740</v>
      </c>
      <c r="D6751" s="538" t="s">
        <v>393</v>
      </c>
      <c r="E6751" s="538" t="s">
        <v>401</v>
      </c>
      <c r="F6751" s="538">
        <v>33984</v>
      </c>
      <c r="G6751" s="538">
        <v>3</v>
      </c>
    </row>
    <row r="6752" spans="1:7" x14ac:dyDescent="0.2">
      <c r="A6752" s="538">
        <v>11</v>
      </c>
      <c r="B6752" s="538" t="s">
        <v>6612</v>
      </c>
      <c r="C6752" s="538" t="s">
        <v>393</v>
      </c>
      <c r="D6752" s="538" t="s">
        <v>740</v>
      </c>
      <c r="E6752" s="538" t="s">
        <v>202</v>
      </c>
      <c r="F6752" s="538">
        <v>998051</v>
      </c>
      <c r="G6752" s="538">
        <v>12</v>
      </c>
    </row>
    <row r="6753" spans="1:7" x14ac:dyDescent="0.2">
      <c r="A6753" s="538">
        <v>9</v>
      </c>
      <c r="B6753" s="538" t="s">
        <v>6645</v>
      </c>
      <c r="C6753" s="538" t="s">
        <v>740</v>
      </c>
      <c r="D6753" s="538" t="s">
        <v>393</v>
      </c>
      <c r="E6753" s="538" t="s">
        <v>402</v>
      </c>
      <c r="F6753" s="538">
        <v>1215282</v>
      </c>
      <c r="G6753" s="538">
        <v>79</v>
      </c>
    </row>
    <row r="6754" spans="1:7" x14ac:dyDescent="0.2">
      <c r="A6754" s="538">
        <v>10</v>
      </c>
      <c r="B6754" s="538" t="s">
        <v>6587</v>
      </c>
      <c r="C6754" s="538" t="s">
        <v>393</v>
      </c>
      <c r="D6754" s="538" t="s">
        <v>740</v>
      </c>
      <c r="E6754" s="538" t="s">
        <v>390</v>
      </c>
      <c r="F6754" s="538">
        <v>367098</v>
      </c>
      <c r="G6754" s="538">
        <v>11</v>
      </c>
    </row>
    <row r="6755" spans="1:7" x14ac:dyDescent="0.2">
      <c r="A6755" s="538">
        <v>3</v>
      </c>
      <c r="B6755" s="538" t="s">
        <v>6561</v>
      </c>
      <c r="C6755" s="538" t="s">
        <v>393</v>
      </c>
      <c r="D6755" s="538" t="s">
        <v>740</v>
      </c>
      <c r="E6755" s="538" t="s">
        <v>409</v>
      </c>
      <c r="F6755" s="538">
        <v>1129385</v>
      </c>
      <c r="G6755" s="538">
        <v>50</v>
      </c>
    </row>
    <row r="6756" spans="1:7" x14ac:dyDescent="0.2">
      <c r="A6756" s="538">
        <v>7</v>
      </c>
      <c r="B6756" s="538" t="s">
        <v>6579</v>
      </c>
      <c r="C6756" s="538" t="s">
        <v>393</v>
      </c>
      <c r="D6756" s="538" t="s">
        <v>393</v>
      </c>
      <c r="E6756" s="538" t="s">
        <v>416</v>
      </c>
      <c r="F6756" s="538">
        <v>37020906</v>
      </c>
      <c r="G6756" s="538">
        <v>627</v>
      </c>
    </row>
    <row r="6757" spans="1:7" x14ac:dyDescent="0.2">
      <c r="A6757" s="538">
        <v>3</v>
      </c>
      <c r="B6757" s="538" t="s">
        <v>1390</v>
      </c>
      <c r="C6757" s="538" t="s">
        <v>740</v>
      </c>
      <c r="D6757" s="538" t="s">
        <v>393</v>
      </c>
      <c r="E6757" s="538" t="s">
        <v>402</v>
      </c>
      <c r="F6757" s="538">
        <v>11328</v>
      </c>
      <c r="G6757" s="538">
        <v>1</v>
      </c>
    </row>
    <row r="6758" spans="1:7" x14ac:dyDescent="0.2">
      <c r="A6758" s="538">
        <v>1</v>
      </c>
      <c r="B6758" s="538" t="s">
        <v>6602</v>
      </c>
      <c r="C6758" s="538" t="s">
        <v>393</v>
      </c>
      <c r="D6758" s="538" t="s">
        <v>393</v>
      </c>
      <c r="E6758" s="538" t="s">
        <v>207</v>
      </c>
      <c r="F6758" s="538">
        <v>24794660</v>
      </c>
      <c r="G6758" s="538">
        <v>1795</v>
      </c>
    </row>
    <row r="6759" spans="1:7" x14ac:dyDescent="0.2">
      <c r="A6759" s="538">
        <v>12</v>
      </c>
      <c r="B6759" s="538" t="s">
        <v>6569</v>
      </c>
      <c r="C6759" s="538" t="s">
        <v>740</v>
      </c>
      <c r="D6759" s="538" t="s">
        <v>740</v>
      </c>
      <c r="E6759" s="538" t="s">
        <v>210</v>
      </c>
      <c r="F6759" s="538">
        <v>3456550</v>
      </c>
      <c r="G6759" s="538">
        <v>35</v>
      </c>
    </row>
    <row r="6760" spans="1:7" x14ac:dyDescent="0.2">
      <c r="A6760" s="538">
        <v>2</v>
      </c>
      <c r="B6760" s="538" t="s">
        <v>6654</v>
      </c>
      <c r="C6760" s="538" t="s">
        <v>393</v>
      </c>
      <c r="D6760" s="538" t="s">
        <v>740</v>
      </c>
      <c r="E6760" s="538" t="s">
        <v>390</v>
      </c>
      <c r="F6760" s="538">
        <v>545691</v>
      </c>
      <c r="G6760" s="538">
        <v>17</v>
      </c>
    </row>
    <row r="6761" spans="1:7" x14ac:dyDescent="0.2">
      <c r="A6761" s="538">
        <v>5</v>
      </c>
      <c r="B6761" s="538" t="s">
        <v>6650</v>
      </c>
      <c r="C6761" s="538" t="s">
        <v>393</v>
      </c>
      <c r="D6761" s="538" t="s">
        <v>393</v>
      </c>
      <c r="E6761" s="538" t="s">
        <v>860</v>
      </c>
      <c r="F6761" s="538">
        <v>289218</v>
      </c>
      <c r="G6761" s="538">
        <v>11</v>
      </c>
    </row>
    <row r="6762" spans="1:7" x14ac:dyDescent="0.2">
      <c r="A6762" s="538">
        <v>8</v>
      </c>
      <c r="B6762" s="538" t="s">
        <v>6583</v>
      </c>
      <c r="C6762" s="538" t="s">
        <v>740</v>
      </c>
      <c r="D6762" s="538" t="s">
        <v>740</v>
      </c>
      <c r="E6762" s="538" t="s">
        <v>449</v>
      </c>
      <c r="F6762" s="538">
        <v>458076</v>
      </c>
      <c r="G6762" s="538">
        <v>37</v>
      </c>
    </row>
    <row r="6763" spans="1:7" x14ac:dyDescent="0.2">
      <c r="A6763" s="538">
        <v>8</v>
      </c>
      <c r="B6763" s="538" t="s">
        <v>6560</v>
      </c>
      <c r="C6763" s="538" t="s">
        <v>740</v>
      </c>
      <c r="D6763" s="538" t="s">
        <v>740</v>
      </c>
      <c r="E6763" s="538" t="s">
        <v>449</v>
      </c>
      <c r="F6763" s="538">
        <v>2058510</v>
      </c>
      <c r="G6763" s="538">
        <v>145</v>
      </c>
    </row>
    <row r="6764" spans="1:7" x14ac:dyDescent="0.2">
      <c r="A6764" s="538">
        <v>4</v>
      </c>
      <c r="B6764" s="538" t="s">
        <v>6590</v>
      </c>
      <c r="C6764" s="538" t="s">
        <v>393</v>
      </c>
      <c r="D6764" s="538" t="s">
        <v>393</v>
      </c>
      <c r="E6764" s="538" t="s">
        <v>211</v>
      </c>
      <c r="F6764" s="538">
        <v>33944979</v>
      </c>
      <c r="G6764" s="538">
        <v>438</v>
      </c>
    </row>
    <row r="6765" spans="1:7" x14ac:dyDescent="0.2">
      <c r="A6765" s="538">
        <v>4</v>
      </c>
      <c r="B6765" s="538" t="s">
        <v>6559</v>
      </c>
      <c r="C6765" s="538" t="s">
        <v>740</v>
      </c>
      <c r="D6765" s="538" t="s">
        <v>393</v>
      </c>
      <c r="E6765" s="538" t="s">
        <v>409</v>
      </c>
      <c r="F6765" s="538">
        <v>33984</v>
      </c>
      <c r="G6765" s="538">
        <v>3</v>
      </c>
    </row>
    <row r="6766" spans="1:7" x14ac:dyDescent="0.2">
      <c r="A6766" s="538">
        <v>2</v>
      </c>
      <c r="B6766" s="538" t="s">
        <v>6656</v>
      </c>
      <c r="C6766" s="538" t="s">
        <v>740</v>
      </c>
      <c r="D6766" s="538" t="s">
        <v>393</v>
      </c>
      <c r="E6766" s="538" t="s">
        <v>207</v>
      </c>
      <c r="F6766" s="538">
        <v>33984</v>
      </c>
      <c r="G6766" s="538">
        <v>3</v>
      </c>
    </row>
    <row r="6767" spans="1:7" x14ac:dyDescent="0.2">
      <c r="A6767" s="538">
        <v>6</v>
      </c>
      <c r="B6767" s="538" t="s">
        <v>6575</v>
      </c>
      <c r="C6767" s="538" t="s">
        <v>393</v>
      </c>
      <c r="D6767" s="538" t="s">
        <v>393</v>
      </c>
      <c r="E6767" s="538" t="s">
        <v>209</v>
      </c>
      <c r="F6767" s="538">
        <v>1413949</v>
      </c>
      <c r="G6767" s="538">
        <v>8</v>
      </c>
    </row>
  </sheetData>
  <autoFilter ref="A2:G72310" xr:uid="{0C2A03A4-8C55-4649-AB9D-C3BBB63A2B94}"/>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tabColor indexed="21"/>
    <pageSetUpPr fitToPage="1"/>
  </sheetPr>
  <dimension ref="A1:AM123"/>
  <sheetViews>
    <sheetView zoomScale="85" zoomScaleNormal="85" workbookViewId="0"/>
  </sheetViews>
  <sheetFormatPr baseColWidth="10" defaultColWidth="9.1640625" defaultRowHeight="16" x14ac:dyDescent="0.2"/>
  <cols>
    <col min="1" max="1" width="9.1640625" style="210" bestFit="1" customWidth="1"/>
    <col min="2" max="2" width="32.1640625" style="210" customWidth="1"/>
    <col min="3" max="3" width="40.1640625" style="211" bestFit="1" customWidth="1"/>
    <col min="4" max="4" width="129.1640625" style="211" bestFit="1" customWidth="1"/>
    <col min="5" max="9" width="18.6640625" style="212" customWidth="1"/>
    <col min="10" max="10" width="13.83203125" style="212" bestFit="1" customWidth="1"/>
    <col min="11" max="11" width="14.33203125" style="212" bestFit="1" customWidth="1"/>
    <col min="12" max="13" width="10.6640625" style="212" customWidth="1"/>
    <col min="14" max="14" width="9.83203125" style="212" bestFit="1" customWidth="1"/>
    <col min="15" max="24" width="9.1640625" style="213"/>
    <col min="25" max="25" width="13.83203125" style="213" bestFit="1" customWidth="1"/>
    <col min="26" max="26" width="9.1640625" style="213"/>
    <col min="27" max="27" width="68.1640625" style="213" hidden="1" customWidth="1"/>
    <col min="28" max="37" width="9.1640625" style="213"/>
    <col min="38" max="38" width="13.83203125" style="213" bestFit="1" customWidth="1"/>
    <col min="39" max="39" width="9.1640625" style="213"/>
    <col min="40" max="16384" width="9.1640625" style="210"/>
  </cols>
  <sheetData>
    <row r="1" spans="1:39" ht="21" thickBot="1" x14ac:dyDescent="0.25">
      <c r="A1" s="209" t="s">
        <v>228</v>
      </c>
    </row>
    <row r="2" spans="1:39" x14ac:dyDescent="0.2">
      <c r="O2" s="699" t="s">
        <v>721</v>
      </c>
      <c r="P2" s="700"/>
      <c r="Q2" s="700"/>
      <c r="R2" s="700"/>
      <c r="S2" s="700"/>
      <c r="T2" s="700"/>
      <c r="U2" s="700"/>
      <c r="V2" s="700"/>
      <c r="W2" s="700"/>
      <c r="X2" s="700"/>
      <c r="Y2" s="700"/>
      <c r="Z2" s="701"/>
      <c r="AB2" s="699" t="s">
        <v>722</v>
      </c>
      <c r="AC2" s="700"/>
      <c r="AD2" s="700"/>
      <c r="AE2" s="700"/>
      <c r="AF2" s="700"/>
      <c r="AG2" s="700"/>
      <c r="AH2" s="700"/>
      <c r="AI2" s="700"/>
      <c r="AJ2" s="700"/>
      <c r="AK2" s="700"/>
      <c r="AL2" s="700"/>
      <c r="AM2" s="701"/>
    </row>
    <row r="3" spans="1:39" x14ac:dyDescent="0.2">
      <c r="O3" s="702"/>
      <c r="P3" s="703"/>
      <c r="Q3" s="703"/>
      <c r="R3" s="703"/>
      <c r="S3" s="703"/>
      <c r="T3" s="703"/>
      <c r="U3" s="703"/>
      <c r="V3" s="703"/>
      <c r="W3" s="703"/>
      <c r="X3" s="703"/>
      <c r="Y3" s="703"/>
      <c r="Z3" s="704"/>
      <c r="AA3" s="214"/>
      <c r="AB3" s="702"/>
      <c r="AC3" s="703"/>
      <c r="AD3" s="703"/>
      <c r="AE3" s="703"/>
      <c r="AF3" s="703"/>
      <c r="AG3" s="703"/>
      <c r="AH3" s="703"/>
      <c r="AI3" s="703"/>
      <c r="AJ3" s="703"/>
      <c r="AK3" s="703"/>
      <c r="AL3" s="703"/>
      <c r="AM3" s="704"/>
    </row>
    <row r="4" spans="1:39" ht="17" thickBot="1" x14ac:dyDescent="0.25">
      <c r="O4" s="705"/>
      <c r="P4" s="706"/>
      <c r="Q4" s="706"/>
      <c r="R4" s="706"/>
      <c r="S4" s="706"/>
      <c r="T4" s="706"/>
      <c r="U4" s="706"/>
      <c r="V4" s="706"/>
      <c r="W4" s="706"/>
      <c r="X4" s="706"/>
      <c r="Y4" s="706"/>
      <c r="Z4" s="707"/>
      <c r="AA4" s="214"/>
      <c r="AB4" s="705"/>
      <c r="AC4" s="706"/>
      <c r="AD4" s="706"/>
      <c r="AE4" s="706"/>
      <c r="AF4" s="706"/>
      <c r="AG4" s="706"/>
      <c r="AH4" s="706"/>
      <c r="AI4" s="706"/>
      <c r="AJ4" s="706"/>
      <c r="AK4" s="706"/>
      <c r="AL4" s="706"/>
      <c r="AM4" s="707"/>
    </row>
    <row r="5" spans="1:39" ht="34" x14ac:dyDescent="0.2">
      <c r="A5" s="215" t="s">
        <v>723</v>
      </c>
      <c r="B5" s="215" t="s">
        <v>724</v>
      </c>
      <c r="C5" s="216" t="s">
        <v>725</v>
      </c>
      <c r="D5" s="216" t="s">
        <v>726</v>
      </c>
      <c r="E5" s="217" t="s">
        <v>727</v>
      </c>
      <c r="F5" s="217" t="s">
        <v>728</v>
      </c>
      <c r="G5" s="217" t="s">
        <v>729</v>
      </c>
      <c r="H5" s="217" t="s">
        <v>730</v>
      </c>
      <c r="I5" s="217" t="s">
        <v>731</v>
      </c>
      <c r="J5" s="217" t="s">
        <v>732</v>
      </c>
      <c r="K5" s="217" t="s">
        <v>733</v>
      </c>
      <c r="L5" s="217" t="s">
        <v>227</v>
      </c>
      <c r="M5" s="217" t="s">
        <v>71</v>
      </c>
      <c r="N5" s="218" t="s">
        <v>69</v>
      </c>
      <c r="O5" s="219" t="s">
        <v>226</v>
      </c>
      <c r="P5" s="219" t="s">
        <v>7</v>
      </c>
      <c r="Q5" s="219" t="s">
        <v>16</v>
      </c>
      <c r="R5" s="219" t="s">
        <v>10</v>
      </c>
      <c r="S5" s="219" t="s">
        <v>11</v>
      </c>
      <c r="T5" s="219" t="s">
        <v>12</v>
      </c>
      <c r="U5" s="219" t="s">
        <v>9</v>
      </c>
      <c r="V5" s="219" t="s">
        <v>13</v>
      </c>
      <c r="W5" s="219" t="s">
        <v>14</v>
      </c>
      <c r="X5" s="219" t="s">
        <v>15</v>
      </c>
      <c r="Y5" s="219" t="s">
        <v>17</v>
      </c>
      <c r="Z5" s="219" t="s">
        <v>18</v>
      </c>
      <c r="AA5" s="219" t="str">
        <f t="shared" ref="AA5:AA36" si="0">D5</f>
        <v>Countermeasure</v>
      </c>
      <c r="AB5" s="219" t="s">
        <v>226</v>
      </c>
      <c r="AC5" s="219" t="s">
        <v>7</v>
      </c>
      <c r="AD5" s="219" t="s">
        <v>16</v>
      </c>
      <c r="AE5" s="219" t="s">
        <v>10</v>
      </c>
      <c r="AF5" s="219" t="s">
        <v>11</v>
      </c>
      <c r="AG5" s="219" t="s">
        <v>12</v>
      </c>
      <c r="AH5" s="219" t="s">
        <v>9</v>
      </c>
      <c r="AI5" s="219" t="s">
        <v>13</v>
      </c>
      <c r="AJ5" s="219" t="s">
        <v>14</v>
      </c>
      <c r="AK5" s="219" t="s">
        <v>15</v>
      </c>
      <c r="AL5" s="219" t="s">
        <v>17</v>
      </c>
      <c r="AM5" s="219" t="s">
        <v>18</v>
      </c>
    </row>
    <row r="6" spans="1:39" x14ac:dyDescent="0.2">
      <c r="A6" s="220">
        <v>87</v>
      </c>
      <c r="B6" s="220" t="s">
        <v>734</v>
      </c>
      <c r="C6" s="221" t="s">
        <v>826</v>
      </c>
      <c r="D6" s="221" t="s">
        <v>827</v>
      </c>
      <c r="E6" s="218">
        <v>5</v>
      </c>
      <c r="F6" s="218" t="s">
        <v>393</v>
      </c>
      <c r="G6" s="218"/>
      <c r="H6" s="218"/>
      <c r="I6" s="218"/>
      <c r="J6" s="218">
        <v>2004</v>
      </c>
      <c r="K6" s="218">
        <v>3</v>
      </c>
      <c r="L6" s="218"/>
      <c r="M6" s="218">
        <v>-0.01</v>
      </c>
      <c r="N6" s="218">
        <v>0.01</v>
      </c>
      <c r="O6" s="222"/>
      <c r="P6" s="222"/>
      <c r="Q6" s="222"/>
      <c r="R6" s="222">
        <f t="shared" ref="R6:Z6" si="1">$M6</f>
        <v>-0.01</v>
      </c>
      <c r="S6" s="222">
        <f t="shared" si="1"/>
        <v>-0.01</v>
      </c>
      <c r="T6" s="222">
        <f t="shared" si="1"/>
        <v>-0.01</v>
      </c>
      <c r="U6" s="222">
        <f t="shared" si="1"/>
        <v>-0.01</v>
      </c>
      <c r="V6" s="222">
        <f t="shared" si="1"/>
        <v>-0.01</v>
      </c>
      <c r="W6" s="222">
        <f t="shared" si="1"/>
        <v>-0.01</v>
      </c>
      <c r="X6" s="222">
        <f t="shared" si="1"/>
        <v>-0.01</v>
      </c>
      <c r="Y6" s="222">
        <f t="shared" si="1"/>
        <v>-0.01</v>
      </c>
      <c r="Z6" s="222">
        <f t="shared" si="1"/>
        <v>-0.01</v>
      </c>
      <c r="AA6" s="223" t="str">
        <f t="shared" si="0"/>
        <v>Add centerlines on roadway segments (2 lane roadway)</v>
      </c>
      <c r="AB6" s="222"/>
      <c r="AC6" s="222"/>
      <c r="AD6" s="222"/>
      <c r="AE6" s="222">
        <f t="shared" ref="AE6:AM8" si="2">$N6</f>
        <v>0.01</v>
      </c>
      <c r="AF6" s="222">
        <f t="shared" si="2"/>
        <v>0.01</v>
      </c>
      <c r="AG6" s="222">
        <f t="shared" si="2"/>
        <v>0.01</v>
      </c>
      <c r="AH6" s="222">
        <f t="shared" si="2"/>
        <v>0.01</v>
      </c>
      <c r="AI6" s="222">
        <f t="shared" si="2"/>
        <v>0.01</v>
      </c>
      <c r="AJ6" s="222">
        <f t="shared" si="2"/>
        <v>0.01</v>
      </c>
      <c r="AK6" s="222">
        <f t="shared" si="2"/>
        <v>0.01</v>
      </c>
      <c r="AL6" s="222">
        <f t="shared" si="2"/>
        <v>0.01</v>
      </c>
      <c r="AM6" s="222">
        <f t="shared" si="2"/>
        <v>0.01</v>
      </c>
    </row>
    <row r="7" spans="1:39" x14ac:dyDescent="0.2">
      <c r="A7" s="220">
        <v>272</v>
      </c>
      <c r="B7" s="220" t="s">
        <v>758</v>
      </c>
      <c r="C7" s="221" t="s">
        <v>759</v>
      </c>
      <c r="D7" s="221" t="s">
        <v>763</v>
      </c>
      <c r="E7" s="218">
        <v>20</v>
      </c>
      <c r="F7" s="218" t="s">
        <v>740</v>
      </c>
      <c r="G7" s="218"/>
      <c r="H7" s="218"/>
      <c r="I7" s="218"/>
      <c r="J7" s="218">
        <v>2002</v>
      </c>
      <c r="K7" s="218">
        <v>5</v>
      </c>
      <c r="L7" s="218"/>
      <c r="M7" s="218"/>
      <c r="N7" s="218">
        <v>0.57999999999999996</v>
      </c>
      <c r="O7" s="222"/>
      <c r="P7" s="222"/>
      <c r="Q7" s="222"/>
      <c r="R7" s="222">
        <f t="shared" ref="R7:Z8" si="3">$L7</f>
        <v>0</v>
      </c>
      <c r="S7" s="222">
        <f t="shared" si="3"/>
        <v>0</v>
      </c>
      <c r="T7" s="222">
        <f t="shared" si="3"/>
        <v>0</v>
      </c>
      <c r="U7" s="222">
        <f t="shared" si="3"/>
        <v>0</v>
      </c>
      <c r="V7" s="222">
        <f t="shared" si="3"/>
        <v>0</v>
      </c>
      <c r="W7" s="222">
        <f t="shared" si="3"/>
        <v>0</v>
      </c>
      <c r="X7" s="222">
        <f t="shared" si="3"/>
        <v>0</v>
      </c>
      <c r="Y7" s="222">
        <f t="shared" si="3"/>
        <v>0</v>
      </c>
      <c r="Z7" s="222">
        <f t="shared" si="3"/>
        <v>0</v>
      </c>
      <c r="AA7" s="223" t="str">
        <f t="shared" si="0"/>
        <v>Add left-turn lanes to major road approaches at intersections - Rural</v>
      </c>
      <c r="AB7" s="222"/>
      <c r="AC7" s="222"/>
      <c r="AD7" s="222"/>
      <c r="AE7" s="222">
        <f t="shared" si="2"/>
        <v>0.57999999999999996</v>
      </c>
      <c r="AF7" s="222">
        <f t="shared" si="2"/>
        <v>0.57999999999999996</v>
      </c>
      <c r="AG7" s="222">
        <f t="shared" si="2"/>
        <v>0.57999999999999996</v>
      </c>
      <c r="AH7" s="222">
        <f t="shared" si="2"/>
        <v>0.57999999999999996</v>
      </c>
      <c r="AI7" s="222">
        <f t="shared" si="2"/>
        <v>0.57999999999999996</v>
      </c>
      <c r="AJ7" s="222">
        <f t="shared" si="2"/>
        <v>0.57999999999999996</v>
      </c>
      <c r="AK7" s="222">
        <f t="shared" si="2"/>
        <v>0.57999999999999996</v>
      </c>
      <c r="AL7" s="222">
        <f t="shared" si="2"/>
        <v>0.57999999999999996</v>
      </c>
      <c r="AM7" s="222">
        <f t="shared" si="2"/>
        <v>0.57999999999999996</v>
      </c>
    </row>
    <row r="8" spans="1:39" x14ac:dyDescent="0.2">
      <c r="A8" s="220">
        <v>269</v>
      </c>
      <c r="B8" s="220" t="s">
        <v>758</v>
      </c>
      <c r="C8" s="221" t="s">
        <v>759</v>
      </c>
      <c r="D8" s="221" t="s">
        <v>762</v>
      </c>
      <c r="E8" s="218">
        <v>20</v>
      </c>
      <c r="F8" s="218" t="s">
        <v>740</v>
      </c>
      <c r="G8" s="218"/>
      <c r="H8" s="218"/>
      <c r="I8" s="218"/>
      <c r="J8" s="218">
        <v>2002</v>
      </c>
      <c r="K8" s="218">
        <v>5</v>
      </c>
      <c r="L8" s="218">
        <v>0.47</v>
      </c>
      <c r="M8" s="218"/>
      <c r="N8" s="218">
        <v>0.17</v>
      </c>
      <c r="O8" s="222"/>
      <c r="P8" s="222"/>
      <c r="Q8" s="222"/>
      <c r="R8" s="222">
        <f t="shared" si="3"/>
        <v>0.47</v>
      </c>
      <c r="S8" s="222">
        <f t="shared" si="3"/>
        <v>0.47</v>
      </c>
      <c r="T8" s="222">
        <f t="shared" si="3"/>
        <v>0.47</v>
      </c>
      <c r="U8" s="222">
        <f t="shared" si="3"/>
        <v>0.47</v>
      </c>
      <c r="V8" s="222">
        <f t="shared" si="3"/>
        <v>0.47</v>
      </c>
      <c r="W8" s="222">
        <f t="shared" si="3"/>
        <v>0.47</v>
      </c>
      <c r="X8" s="222">
        <f t="shared" si="3"/>
        <v>0.47</v>
      </c>
      <c r="Y8" s="222">
        <f t="shared" si="3"/>
        <v>0.47</v>
      </c>
      <c r="Z8" s="222">
        <f t="shared" si="3"/>
        <v>0.47</v>
      </c>
      <c r="AA8" s="223" t="str">
        <f t="shared" si="0"/>
        <v>Add left-turn lanes to major road approaches at intersections - Urban</v>
      </c>
      <c r="AB8" s="222"/>
      <c r="AC8" s="222"/>
      <c r="AD8" s="222"/>
      <c r="AE8" s="222">
        <f t="shared" si="2"/>
        <v>0.17</v>
      </c>
      <c r="AF8" s="222">
        <f t="shared" si="2"/>
        <v>0.17</v>
      </c>
      <c r="AG8" s="222">
        <f t="shared" si="2"/>
        <v>0.17</v>
      </c>
      <c r="AH8" s="222">
        <f t="shared" si="2"/>
        <v>0.17</v>
      </c>
      <c r="AI8" s="222">
        <f t="shared" si="2"/>
        <v>0.17</v>
      </c>
      <c r="AJ8" s="222">
        <f t="shared" si="2"/>
        <v>0.17</v>
      </c>
      <c r="AK8" s="222">
        <f t="shared" si="2"/>
        <v>0.17</v>
      </c>
      <c r="AL8" s="222">
        <f t="shared" si="2"/>
        <v>0.17</v>
      </c>
      <c r="AM8" s="222">
        <f t="shared" si="2"/>
        <v>0.17</v>
      </c>
    </row>
    <row r="9" spans="1:39" x14ac:dyDescent="0.2">
      <c r="A9" s="220">
        <v>40</v>
      </c>
      <c r="B9" s="220" t="s">
        <v>734</v>
      </c>
      <c r="C9" s="221" t="s">
        <v>803</v>
      </c>
      <c r="D9" s="221" t="s">
        <v>805</v>
      </c>
      <c r="E9" s="218">
        <v>20</v>
      </c>
      <c r="F9" s="218" t="s">
        <v>393</v>
      </c>
      <c r="G9" s="218"/>
      <c r="H9" s="218"/>
      <c r="I9" s="218" t="s">
        <v>740</v>
      </c>
      <c r="J9" s="218">
        <v>2004</v>
      </c>
      <c r="K9" s="218">
        <v>3</v>
      </c>
      <c r="L9" s="218"/>
      <c r="M9" s="218"/>
      <c r="N9" s="218"/>
      <c r="O9" s="222"/>
      <c r="P9" s="222"/>
      <c r="Q9" s="222"/>
      <c r="R9" s="222"/>
      <c r="S9" s="222"/>
      <c r="T9" s="222"/>
      <c r="U9" s="222"/>
      <c r="V9" s="222"/>
      <c r="W9" s="222"/>
      <c r="X9" s="222"/>
      <c r="Y9" s="222"/>
      <c r="Z9" s="222"/>
      <c r="AA9" s="223" t="str">
        <f t="shared" si="0"/>
        <v>Change barrier along embankment to less rigid type</v>
      </c>
      <c r="AB9" s="222"/>
      <c r="AC9" s="222"/>
      <c r="AD9" s="222">
        <v>0.32</v>
      </c>
      <c r="AE9" s="222"/>
      <c r="AF9" s="222"/>
      <c r="AG9" s="222"/>
      <c r="AH9" s="222"/>
      <c r="AI9" s="222"/>
      <c r="AJ9" s="222"/>
      <c r="AK9" s="222">
        <v>0.32</v>
      </c>
      <c r="AL9" s="222"/>
      <c r="AM9" s="222"/>
    </row>
    <row r="10" spans="1:39" x14ac:dyDescent="0.2">
      <c r="A10" s="220">
        <v>333</v>
      </c>
      <c r="B10" s="220" t="s">
        <v>782</v>
      </c>
      <c r="C10" s="221" t="s">
        <v>770</v>
      </c>
      <c r="D10" s="221" t="s">
        <v>784</v>
      </c>
      <c r="E10" s="218">
        <v>5</v>
      </c>
      <c r="F10" s="218" t="s">
        <v>740</v>
      </c>
      <c r="G10" s="218"/>
      <c r="H10" s="218"/>
      <c r="I10" s="218" t="s">
        <v>740</v>
      </c>
      <c r="J10" s="218">
        <v>2008</v>
      </c>
      <c r="K10" s="218">
        <v>5</v>
      </c>
      <c r="L10" s="218">
        <v>0.01</v>
      </c>
      <c r="M10" s="218"/>
      <c r="N10" s="218"/>
      <c r="O10" s="222"/>
      <c r="P10" s="222"/>
      <c r="Q10" s="222">
        <f>$L10</f>
        <v>0.01</v>
      </c>
      <c r="R10" s="222">
        <f>$L10</f>
        <v>0.01</v>
      </c>
      <c r="S10" s="222">
        <f>$L10</f>
        <v>0.01</v>
      </c>
      <c r="T10" s="224">
        <v>0.99</v>
      </c>
      <c r="U10" s="222">
        <f t="shared" ref="U10:Z12" si="4">$L10</f>
        <v>0.01</v>
      </c>
      <c r="V10" s="222">
        <f t="shared" si="4"/>
        <v>0.01</v>
      </c>
      <c r="W10" s="222">
        <f t="shared" si="4"/>
        <v>0.01</v>
      </c>
      <c r="X10" s="222">
        <f t="shared" si="4"/>
        <v>0.01</v>
      </c>
      <c r="Y10" s="222">
        <f t="shared" si="4"/>
        <v>0.01</v>
      </c>
      <c r="Z10" s="222">
        <f t="shared" si="4"/>
        <v>0.01</v>
      </c>
      <c r="AA10" s="223" t="str">
        <f t="shared" si="0"/>
        <v>Change from permitted or permitted-protected to protected - Urban</v>
      </c>
      <c r="AB10" s="224"/>
      <c r="AC10" s="224"/>
      <c r="AD10" s="224"/>
      <c r="AE10" s="222">
        <f>$L10</f>
        <v>0.01</v>
      </c>
      <c r="AF10" s="222">
        <f>$L10</f>
        <v>0.01</v>
      </c>
      <c r="AG10" s="224">
        <v>0.99</v>
      </c>
      <c r="AH10" s="222">
        <f t="shared" ref="AH10:AM10" si="5">$L10</f>
        <v>0.01</v>
      </c>
      <c r="AI10" s="222">
        <f t="shared" si="5"/>
        <v>0.01</v>
      </c>
      <c r="AJ10" s="222">
        <f t="shared" si="5"/>
        <v>0.01</v>
      </c>
      <c r="AK10" s="222">
        <f t="shared" si="5"/>
        <v>0.01</v>
      </c>
      <c r="AL10" s="222">
        <f t="shared" si="5"/>
        <v>0.01</v>
      </c>
      <c r="AM10" s="222">
        <f t="shared" si="5"/>
        <v>0.01</v>
      </c>
    </row>
    <row r="11" spans="1:39" x14ac:dyDescent="0.2">
      <c r="A11" s="220">
        <v>209</v>
      </c>
      <c r="B11" s="220" t="s">
        <v>777</v>
      </c>
      <c r="C11" s="221" t="s">
        <v>770</v>
      </c>
      <c r="D11" s="221" t="s">
        <v>779</v>
      </c>
      <c r="E11" s="218">
        <v>20</v>
      </c>
      <c r="F11" s="218" t="s">
        <v>740</v>
      </c>
      <c r="G11" s="218"/>
      <c r="H11" s="218"/>
      <c r="I11" s="218"/>
      <c r="J11" s="218">
        <v>2001</v>
      </c>
      <c r="K11" s="218">
        <v>3</v>
      </c>
      <c r="L11" s="218">
        <v>0.35</v>
      </c>
      <c r="M11" s="218"/>
      <c r="N11" s="218">
        <v>0.74</v>
      </c>
      <c r="O11" s="222"/>
      <c r="P11" s="222"/>
      <c r="Q11" s="222"/>
      <c r="R11" s="222">
        <f t="shared" ref="R11:T12" si="6">$L11</f>
        <v>0.35</v>
      </c>
      <c r="S11" s="222">
        <f t="shared" si="6"/>
        <v>0.35</v>
      </c>
      <c r="T11" s="222">
        <f t="shared" si="6"/>
        <v>0.35</v>
      </c>
      <c r="U11" s="222">
        <f t="shared" si="4"/>
        <v>0.35</v>
      </c>
      <c r="V11" s="222">
        <f t="shared" si="4"/>
        <v>0.35</v>
      </c>
      <c r="W11" s="222">
        <f t="shared" si="4"/>
        <v>0.35</v>
      </c>
      <c r="X11" s="222">
        <f t="shared" si="4"/>
        <v>0.35</v>
      </c>
      <c r="Y11" s="222">
        <f t="shared" si="4"/>
        <v>0.35</v>
      </c>
      <c r="Z11" s="222">
        <f t="shared" si="4"/>
        <v>0.35</v>
      </c>
      <c r="AA11" s="223" t="str">
        <f t="shared" si="0"/>
        <v>Conversion of signalized intersection into single- or multi-lane roundabout - Urban</v>
      </c>
      <c r="AB11" s="222"/>
      <c r="AC11" s="222"/>
      <c r="AD11" s="222"/>
      <c r="AE11" s="222">
        <f t="shared" ref="AE11:AM11" si="7">$N11</f>
        <v>0.74</v>
      </c>
      <c r="AF11" s="222">
        <f t="shared" si="7"/>
        <v>0.74</v>
      </c>
      <c r="AG11" s="222">
        <f t="shared" si="7"/>
        <v>0.74</v>
      </c>
      <c r="AH11" s="222">
        <f t="shared" si="7"/>
        <v>0.74</v>
      </c>
      <c r="AI11" s="222">
        <f t="shared" si="7"/>
        <v>0.74</v>
      </c>
      <c r="AJ11" s="222">
        <f t="shared" si="7"/>
        <v>0.74</v>
      </c>
      <c r="AK11" s="222">
        <f t="shared" si="7"/>
        <v>0.74</v>
      </c>
      <c r="AL11" s="222">
        <f t="shared" si="7"/>
        <v>0.74</v>
      </c>
      <c r="AM11" s="222">
        <f t="shared" si="7"/>
        <v>0.74</v>
      </c>
    </row>
    <row r="12" spans="1:39" x14ac:dyDescent="0.2">
      <c r="A12" s="220">
        <v>208</v>
      </c>
      <c r="B12" s="220" t="s">
        <v>777</v>
      </c>
      <c r="C12" s="221" t="s">
        <v>770</v>
      </c>
      <c r="D12" s="221" t="s">
        <v>778</v>
      </c>
      <c r="E12" s="218">
        <v>20</v>
      </c>
      <c r="F12" s="218" t="s">
        <v>740</v>
      </c>
      <c r="G12" s="218"/>
      <c r="H12" s="218"/>
      <c r="I12" s="218"/>
      <c r="J12" s="218">
        <v>2001</v>
      </c>
      <c r="K12" s="218">
        <v>3</v>
      </c>
      <c r="L12" s="218">
        <v>0.05</v>
      </c>
      <c r="M12" s="218"/>
      <c r="N12" s="218"/>
      <c r="O12" s="222"/>
      <c r="P12" s="222"/>
      <c r="Q12" s="222"/>
      <c r="R12" s="222">
        <f t="shared" si="6"/>
        <v>0.05</v>
      </c>
      <c r="S12" s="222">
        <f t="shared" si="6"/>
        <v>0.05</v>
      </c>
      <c r="T12" s="222">
        <f t="shared" si="6"/>
        <v>0.05</v>
      </c>
      <c r="U12" s="222">
        <f t="shared" si="4"/>
        <v>0.05</v>
      </c>
      <c r="V12" s="222">
        <f t="shared" si="4"/>
        <v>0.05</v>
      </c>
      <c r="W12" s="222">
        <f t="shared" si="4"/>
        <v>0.05</v>
      </c>
      <c r="X12" s="222">
        <f t="shared" si="4"/>
        <v>0.05</v>
      </c>
      <c r="Y12" s="222">
        <f t="shared" si="4"/>
        <v>0.05</v>
      </c>
      <c r="Z12" s="222">
        <f t="shared" si="4"/>
        <v>0.05</v>
      </c>
      <c r="AA12" s="223" t="str">
        <f t="shared" si="0"/>
        <v>Conversion of stop-controlled intersection into multi-lane roundabout - Urban</v>
      </c>
      <c r="AB12" s="222"/>
      <c r="AC12" s="222"/>
      <c r="AD12" s="222"/>
      <c r="AE12" s="222">
        <f t="shared" ref="AE12:AM12" si="8">$L12</f>
        <v>0.05</v>
      </c>
      <c r="AF12" s="222">
        <f t="shared" si="8"/>
        <v>0.05</v>
      </c>
      <c r="AG12" s="222">
        <f t="shared" si="8"/>
        <v>0.05</v>
      </c>
      <c r="AH12" s="222">
        <f t="shared" si="8"/>
        <v>0.05</v>
      </c>
      <c r="AI12" s="222">
        <f t="shared" si="8"/>
        <v>0.05</v>
      </c>
      <c r="AJ12" s="222">
        <f t="shared" si="8"/>
        <v>0.05</v>
      </c>
      <c r="AK12" s="222">
        <f t="shared" si="8"/>
        <v>0.05</v>
      </c>
      <c r="AL12" s="222">
        <f t="shared" si="8"/>
        <v>0.05</v>
      </c>
      <c r="AM12" s="222">
        <f t="shared" si="8"/>
        <v>0.05</v>
      </c>
    </row>
    <row r="13" spans="1:39" x14ac:dyDescent="0.2">
      <c r="A13" s="220">
        <v>459</v>
      </c>
      <c r="B13" s="220" t="s">
        <v>751</v>
      </c>
      <c r="C13" s="221" t="s">
        <v>752</v>
      </c>
      <c r="D13" s="221" t="s">
        <v>753</v>
      </c>
      <c r="E13" s="218">
        <v>30</v>
      </c>
      <c r="F13" s="218" t="s">
        <v>740</v>
      </c>
      <c r="G13" s="218"/>
      <c r="H13" s="218"/>
      <c r="I13" s="218"/>
      <c r="J13" s="218">
        <v>2007</v>
      </c>
      <c r="K13" s="218">
        <v>4</v>
      </c>
      <c r="L13" s="218">
        <v>0.42</v>
      </c>
      <c r="M13" s="218">
        <v>0.36</v>
      </c>
      <c r="N13" s="218">
        <v>0.56999999999999995</v>
      </c>
      <c r="O13" s="222"/>
      <c r="P13" s="222"/>
      <c r="Q13" s="222"/>
      <c r="R13" s="222">
        <f t="shared" ref="R13:Z13" si="9">$M13</f>
        <v>0.36</v>
      </c>
      <c r="S13" s="222">
        <f t="shared" si="9"/>
        <v>0.36</v>
      </c>
      <c r="T13" s="222">
        <f t="shared" si="9"/>
        <v>0.36</v>
      </c>
      <c r="U13" s="222">
        <f t="shared" si="9"/>
        <v>0.36</v>
      </c>
      <c r="V13" s="222">
        <f t="shared" si="9"/>
        <v>0.36</v>
      </c>
      <c r="W13" s="222">
        <f t="shared" si="9"/>
        <v>0.36</v>
      </c>
      <c r="X13" s="222">
        <f t="shared" si="9"/>
        <v>0.36</v>
      </c>
      <c r="Y13" s="222">
        <f t="shared" si="9"/>
        <v>0.36</v>
      </c>
      <c r="Z13" s="222">
        <f t="shared" si="9"/>
        <v>0.36</v>
      </c>
      <c r="AA13" s="223" t="str">
        <f t="shared" si="0"/>
        <v>Convert at-grade intersection to grade-separated interchange</v>
      </c>
      <c r="AB13" s="222"/>
      <c r="AC13" s="222"/>
      <c r="AD13" s="222"/>
      <c r="AE13" s="222">
        <f t="shared" ref="AE13:AM13" si="10">$N13</f>
        <v>0.56999999999999995</v>
      </c>
      <c r="AF13" s="222">
        <f t="shared" si="10"/>
        <v>0.56999999999999995</v>
      </c>
      <c r="AG13" s="222">
        <f t="shared" si="10"/>
        <v>0.56999999999999995</v>
      </c>
      <c r="AH13" s="222">
        <f t="shared" si="10"/>
        <v>0.56999999999999995</v>
      </c>
      <c r="AI13" s="222">
        <f t="shared" si="10"/>
        <v>0.56999999999999995</v>
      </c>
      <c r="AJ13" s="222">
        <f t="shared" si="10"/>
        <v>0.56999999999999995</v>
      </c>
      <c r="AK13" s="222">
        <f t="shared" si="10"/>
        <v>0.56999999999999995</v>
      </c>
      <c r="AL13" s="222">
        <f t="shared" si="10"/>
        <v>0.56999999999999995</v>
      </c>
      <c r="AM13" s="222">
        <f t="shared" si="10"/>
        <v>0.56999999999999995</v>
      </c>
    </row>
    <row r="14" spans="1:39" x14ac:dyDescent="0.2">
      <c r="A14" s="220">
        <v>325</v>
      </c>
      <c r="B14" s="220" t="s">
        <v>782</v>
      </c>
      <c r="C14" s="221" t="s">
        <v>770</v>
      </c>
      <c r="D14" s="221" t="s">
        <v>783</v>
      </c>
      <c r="E14" s="218">
        <v>10</v>
      </c>
      <c r="F14" s="218" t="s">
        <v>740</v>
      </c>
      <c r="G14" s="218"/>
      <c r="H14" s="218"/>
      <c r="I14" s="218" t="s">
        <v>740</v>
      </c>
      <c r="J14" s="218">
        <v>2008</v>
      </c>
      <c r="K14" s="218">
        <v>5</v>
      </c>
      <c r="L14" s="218">
        <v>0.44</v>
      </c>
      <c r="M14" s="218"/>
      <c r="N14" s="218"/>
      <c r="O14" s="222"/>
      <c r="P14" s="222"/>
      <c r="Q14" s="222">
        <f>$L14</f>
        <v>0.44</v>
      </c>
      <c r="R14" s="222">
        <f>$L14</f>
        <v>0.44</v>
      </c>
      <c r="S14" s="222">
        <f>$L14</f>
        <v>0.44</v>
      </c>
      <c r="T14" s="222">
        <v>0.77</v>
      </c>
      <c r="U14" s="222">
        <v>-0.57999999999999996</v>
      </c>
      <c r="V14" s="222">
        <f t="shared" ref="V14:X23" si="11">$L14</f>
        <v>0.44</v>
      </c>
      <c r="W14" s="222">
        <f t="shared" si="11"/>
        <v>0.44</v>
      </c>
      <c r="X14" s="222">
        <f t="shared" si="11"/>
        <v>0.44</v>
      </c>
      <c r="Y14" s="222">
        <v>0.44</v>
      </c>
      <c r="Z14" s="222">
        <f t="shared" ref="Z14:Z23" si="12">$L14</f>
        <v>0.44</v>
      </c>
      <c r="AA14" s="223" t="str">
        <f t="shared" si="0"/>
        <v>Convert stop-control to signal</v>
      </c>
      <c r="AB14" s="222"/>
      <c r="AC14" s="222"/>
      <c r="AD14" s="222"/>
      <c r="AE14" s="222">
        <f>$L14</f>
        <v>0.44</v>
      </c>
      <c r="AF14" s="222">
        <f>$L14</f>
        <v>0.44</v>
      </c>
      <c r="AG14" s="222">
        <v>0.77</v>
      </c>
      <c r="AH14" s="222">
        <v>-0.57999999999999996</v>
      </c>
      <c r="AI14" s="222">
        <f>$L14</f>
        <v>0.44</v>
      </c>
      <c r="AJ14" s="222">
        <f>$L14</f>
        <v>0.44</v>
      </c>
      <c r="AK14" s="222">
        <f>$L14</f>
        <v>0.44</v>
      </c>
      <c r="AL14" s="222">
        <f>$L14</f>
        <v>0.44</v>
      </c>
      <c r="AM14" s="222">
        <f>$L14</f>
        <v>0.44</v>
      </c>
    </row>
    <row r="15" spans="1:39" x14ac:dyDescent="0.2">
      <c r="A15" s="220">
        <v>227</v>
      </c>
      <c r="B15" s="220" t="s">
        <v>774</v>
      </c>
      <c r="C15" s="221" t="s">
        <v>770</v>
      </c>
      <c r="D15" s="221" t="s">
        <v>775</v>
      </c>
      <c r="E15" s="218">
        <v>20</v>
      </c>
      <c r="F15" s="218" t="s">
        <v>740</v>
      </c>
      <c r="G15" s="218"/>
      <c r="H15" s="218"/>
      <c r="I15" s="218"/>
      <c r="J15" s="218">
        <v>2007</v>
      </c>
      <c r="K15" s="218">
        <v>5</v>
      </c>
      <c r="L15" s="218">
        <v>0.44</v>
      </c>
      <c r="M15" s="218"/>
      <c r="N15" s="218">
        <v>0.82</v>
      </c>
      <c r="O15" s="222"/>
      <c r="P15" s="222"/>
      <c r="Q15" s="222"/>
      <c r="R15" s="222">
        <f t="shared" ref="R15:U16" si="13">$L15</f>
        <v>0.44</v>
      </c>
      <c r="S15" s="222">
        <f t="shared" si="13"/>
        <v>0.44</v>
      </c>
      <c r="T15" s="222">
        <f t="shared" si="13"/>
        <v>0.44</v>
      </c>
      <c r="U15" s="222">
        <f t="shared" si="13"/>
        <v>0.44</v>
      </c>
      <c r="V15" s="222">
        <f t="shared" si="11"/>
        <v>0.44</v>
      </c>
      <c r="W15" s="222">
        <f t="shared" si="11"/>
        <v>0.44</v>
      </c>
      <c r="X15" s="222">
        <f t="shared" si="11"/>
        <v>0.44</v>
      </c>
      <c r="Y15" s="222">
        <f>$L15</f>
        <v>0.44</v>
      </c>
      <c r="Z15" s="222">
        <f t="shared" si="12"/>
        <v>0.44</v>
      </c>
      <c r="AA15" s="223" t="str">
        <f t="shared" si="0"/>
        <v>Convert two-way stop-controlled intersection to roundabout</v>
      </c>
      <c r="AB15" s="222"/>
      <c r="AC15" s="222"/>
      <c r="AD15" s="222"/>
      <c r="AE15" s="222">
        <f t="shared" ref="AE15:AM16" si="14">$N15</f>
        <v>0.82</v>
      </c>
      <c r="AF15" s="222">
        <f t="shared" si="14"/>
        <v>0.82</v>
      </c>
      <c r="AG15" s="222">
        <f t="shared" si="14"/>
        <v>0.82</v>
      </c>
      <c r="AH15" s="222">
        <f t="shared" si="14"/>
        <v>0.82</v>
      </c>
      <c r="AI15" s="222">
        <f t="shared" si="14"/>
        <v>0.82</v>
      </c>
      <c r="AJ15" s="222">
        <f t="shared" si="14"/>
        <v>0.82</v>
      </c>
      <c r="AK15" s="222">
        <f t="shared" si="14"/>
        <v>0.82</v>
      </c>
      <c r="AL15" s="222">
        <f t="shared" si="14"/>
        <v>0.82</v>
      </c>
      <c r="AM15" s="222">
        <f t="shared" si="14"/>
        <v>0.82</v>
      </c>
    </row>
    <row r="16" spans="1:39" x14ac:dyDescent="0.2">
      <c r="A16" s="220">
        <v>229</v>
      </c>
      <c r="B16" s="220" t="s">
        <v>774</v>
      </c>
      <c r="C16" s="221" t="s">
        <v>770</v>
      </c>
      <c r="D16" s="221" t="s">
        <v>776</v>
      </c>
      <c r="E16" s="218">
        <v>20</v>
      </c>
      <c r="F16" s="218" t="s">
        <v>740</v>
      </c>
      <c r="G16" s="218"/>
      <c r="H16" s="218"/>
      <c r="I16" s="218"/>
      <c r="J16" s="218">
        <v>2007</v>
      </c>
      <c r="K16" s="218">
        <v>5</v>
      </c>
      <c r="L16" s="218">
        <v>0.71</v>
      </c>
      <c r="M16" s="218"/>
      <c r="N16" s="218">
        <v>0.87</v>
      </c>
      <c r="O16" s="222"/>
      <c r="P16" s="222"/>
      <c r="Q16" s="222"/>
      <c r="R16" s="222">
        <f t="shared" si="13"/>
        <v>0.71</v>
      </c>
      <c r="S16" s="222">
        <f t="shared" si="13"/>
        <v>0.71</v>
      </c>
      <c r="T16" s="222">
        <f t="shared" si="13"/>
        <v>0.71</v>
      </c>
      <c r="U16" s="222">
        <f t="shared" si="13"/>
        <v>0.71</v>
      </c>
      <c r="V16" s="222">
        <f t="shared" si="11"/>
        <v>0.71</v>
      </c>
      <c r="W16" s="222">
        <f t="shared" si="11"/>
        <v>0.71</v>
      </c>
      <c r="X16" s="222">
        <f t="shared" si="11"/>
        <v>0.71</v>
      </c>
      <c r="Y16" s="222">
        <f>$L16</f>
        <v>0.71</v>
      </c>
      <c r="Z16" s="222">
        <f t="shared" si="12"/>
        <v>0.71</v>
      </c>
      <c r="AA16" s="223" t="str">
        <f t="shared" si="0"/>
        <v>Convert two-way stop-controlled intersection to roundabout - Rural</v>
      </c>
      <c r="AB16" s="222"/>
      <c r="AC16" s="222"/>
      <c r="AD16" s="222"/>
      <c r="AE16" s="222">
        <f t="shared" si="14"/>
        <v>0.87</v>
      </c>
      <c r="AF16" s="222">
        <f t="shared" si="14"/>
        <v>0.87</v>
      </c>
      <c r="AG16" s="222">
        <f t="shared" si="14"/>
        <v>0.87</v>
      </c>
      <c r="AH16" s="222">
        <f t="shared" si="14"/>
        <v>0.87</v>
      </c>
      <c r="AI16" s="222">
        <f t="shared" si="14"/>
        <v>0.87</v>
      </c>
      <c r="AJ16" s="222">
        <f t="shared" si="14"/>
        <v>0.87</v>
      </c>
      <c r="AK16" s="222">
        <f t="shared" si="14"/>
        <v>0.87</v>
      </c>
      <c r="AL16" s="222">
        <f t="shared" si="14"/>
        <v>0.87</v>
      </c>
      <c r="AM16" s="222">
        <f t="shared" si="14"/>
        <v>0.87</v>
      </c>
    </row>
    <row r="17" spans="1:39" x14ac:dyDescent="0.2">
      <c r="A17" s="220">
        <v>315</v>
      </c>
      <c r="B17" s="220" t="s">
        <v>780</v>
      </c>
      <c r="C17" s="221" t="s">
        <v>770</v>
      </c>
      <c r="D17" s="221" t="s">
        <v>781</v>
      </c>
      <c r="E17" s="218">
        <v>10</v>
      </c>
      <c r="F17" s="218" t="s">
        <v>740</v>
      </c>
      <c r="G17" s="218"/>
      <c r="H17" s="218"/>
      <c r="I17" s="218" t="s">
        <v>740</v>
      </c>
      <c r="J17" s="218">
        <v>1986</v>
      </c>
      <c r="K17" s="218">
        <v>5</v>
      </c>
      <c r="L17" s="218">
        <v>0.48</v>
      </c>
      <c r="M17" s="218"/>
      <c r="N17" s="218">
        <v>0.77</v>
      </c>
      <c r="O17" s="222"/>
      <c r="P17" s="222"/>
      <c r="Q17" s="222">
        <f>$L17</f>
        <v>0.48</v>
      </c>
      <c r="R17" s="222">
        <f>$L17</f>
        <v>0.48</v>
      </c>
      <c r="S17" s="222">
        <f>$L17</f>
        <v>0.48</v>
      </c>
      <c r="T17" s="222">
        <v>0.75</v>
      </c>
      <c r="U17" s="222">
        <v>0.18</v>
      </c>
      <c r="V17" s="222">
        <f t="shared" si="11"/>
        <v>0.48</v>
      </c>
      <c r="W17" s="222">
        <f t="shared" si="11"/>
        <v>0.48</v>
      </c>
      <c r="X17" s="222">
        <f t="shared" si="11"/>
        <v>0.48</v>
      </c>
      <c r="Y17" s="222">
        <v>0.43</v>
      </c>
      <c r="Z17" s="222">
        <f t="shared" si="12"/>
        <v>0.48</v>
      </c>
      <c r="AA17" s="223" t="str">
        <f t="shared" si="0"/>
        <v>Convert two-way to all-way stop control</v>
      </c>
      <c r="AB17" s="222"/>
      <c r="AC17" s="222"/>
      <c r="AD17" s="222"/>
      <c r="AE17" s="222">
        <f>$N17</f>
        <v>0.77</v>
      </c>
      <c r="AF17" s="222">
        <f>$N17</f>
        <v>0.77</v>
      </c>
      <c r="AG17" s="222">
        <v>0.75</v>
      </c>
      <c r="AH17" s="222">
        <v>0.18</v>
      </c>
      <c r="AI17" s="222">
        <f>$N17</f>
        <v>0.77</v>
      </c>
      <c r="AJ17" s="222">
        <f>$N17</f>
        <v>0.77</v>
      </c>
      <c r="AK17" s="222">
        <f>$N17</f>
        <v>0.77</v>
      </c>
      <c r="AL17" s="222">
        <v>0.43</v>
      </c>
      <c r="AM17" s="222">
        <f>$N17</f>
        <v>0.77</v>
      </c>
    </row>
    <row r="18" spans="1:39" x14ac:dyDescent="0.2">
      <c r="A18" s="220">
        <v>2841</v>
      </c>
      <c r="B18" s="220" t="s">
        <v>818</v>
      </c>
      <c r="C18" s="221" t="s">
        <v>812</v>
      </c>
      <c r="D18" s="221" t="s">
        <v>819</v>
      </c>
      <c r="E18" s="218">
        <v>5</v>
      </c>
      <c r="F18" s="218"/>
      <c r="G18" s="218"/>
      <c r="H18" s="218"/>
      <c r="I18" s="218"/>
      <c r="J18" s="218">
        <v>2010</v>
      </c>
      <c r="K18" s="218">
        <v>4</v>
      </c>
      <c r="L18" s="218">
        <v>0.53</v>
      </c>
      <c r="M18" s="218"/>
      <c r="N18" s="218"/>
      <c r="O18" s="222"/>
      <c r="P18" s="222"/>
      <c r="Q18" s="222"/>
      <c r="R18" s="222">
        <f t="shared" ref="R18:U21" si="15">$L18</f>
        <v>0.53</v>
      </c>
      <c r="S18" s="222">
        <f t="shared" si="15"/>
        <v>0.53</v>
      </c>
      <c r="T18" s="222">
        <f t="shared" si="15"/>
        <v>0.53</v>
      </c>
      <c r="U18" s="222">
        <f t="shared" si="15"/>
        <v>0.53</v>
      </c>
      <c r="V18" s="222">
        <f t="shared" si="11"/>
        <v>0.53</v>
      </c>
      <c r="W18" s="222">
        <f t="shared" si="11"/>
        <v>0.53</v>
      </c>
      <c r="X18" s="222">
        <f t="shared" si="11"/>
        <v>0.53</v>
      </c>
      <c r="Y18" s="222">
        <f t="shared" ref="Y18:Y23" si="16">$L18</f>
        <v>0.53</v>
      </c>
      <c r="Z18" s="222">
        <f t="shared" si="12"/>
        <v>0.53</v>
      </c>
      <c r="AA18" s="223" t="str">
        <f t="shared" si="0"/>
        <v>Converting four-lane roadways to three-lane roadways with center turn lane (road diet) - Suburban</v>
      </c>
      <c r="AB18" s="222"/>
      <c r="AC18" s="222"/>
      <c r="AD18" s="222"/>
      <c r="AE18" s="222">
        <f t="shared" ref="AE18:AM21" si="17">$L18</f>
        <v>0.53</v>
      </c>
      <c r="AF18" s="222">
        <f t="shared" si="17"/>
        <v>0.53</v>
      </c>
      <c r="AG18" s="222">
        <f t="shared" si="17"/>
        <v>0.53</v>
      </c>
      <c r="AH18" s="222">
        <f t="shared" si="17"/>
        <v>0.53</v>
      </c>
      <c r="AI18" s="222">
        <f t="shared" si="17"/>
        <v>0.53</v>
      </c>
      <c r="AJ18" s="222">
        <f t="shared" si="17"/>
        <v>0.53</v>
      </c>
      <c r="AK18" s="222">
        <f t="shared" si="17"/>
        <v>0.53</v>
      </c>
      <c r="AL18" s="222">
        <f t="shared" si="17"/>
        <v>0.53</v>
      </c>
      <c r="AM18" s="222">
        <f t="shared" si="17"/>
        <v>0.53</v>
      </c>
    </row>
    <row r="19" spans="1:39" x14ac:dyDescent="0.2">
      <c r="A19" s="220">
        <v>473</v>
      </c>
      <c r="B19" s="220" t="s">
        <v>751</v>
      </c>
      <c r="C19" s="221" t="s">
        <v>752</v>
      </c>
      <c r="D19" s="221" t="s">
        <v>754</v>
      </c>
      <c r="E19" s="218">
        <v>30</v>
      </c>
      <c r="F19" s="218" t="s">
        <v>740</v>
      </c>
      <c r="G19" s="218"/>
      <c r="H19" s="218"/>
      <c r="I19" s="218"/>
      <c r="J19" s="218">
        <v>2007</v>
      </c>
      <c r="K19" s="218">
        <v>3</v>
      </c>
      <c r="L19" s="218">
        <v>0.04</v>
      </c>
      <c r="M19" s="218"/>
      <c r="N19" s="218"/>
      <c r="O19" s="222"/>
      <c r="P19" s="222"/>
      <c r="Q19" s="222"/>
      <c r="R19" s="222">
        <f t="shared" si="15"/>
        <v>0.04</v>
      </c>
      <c r="S19" s="222">
        <f t="shared" si="15"/>
        <v>0.04</v>
      </c>
      <c r="T19" s="222">
        <f t="shared" si="15"/>
        <v>0.04</v>
      </c>
      <c r="U19" s="222">
        <f t="shared" si="15"/>
        <v>0.04</v>
      </c>
      <c r="V19" s="222">
        <f t="shared" si="11"/>
        <v>0.04</v>
      </c>
      <c r="W19" s="222">
        <f t="shared" si="11"/>
        <v>0.04</v>
      </c>
      <c r="X19" s="222">
        <f t="shared" si="11"/>
        <v>0.04</v>
      </c>
      <c r="Y19" s="222">
        <f t="shared" si="16"/>
        <v>0.04</v>
      </c>
      <c r="Z19" s="222">
        <f t="shared" si="12"/>
        <v>0.04</v>
      </c>
      <c r="AA19" s="223" t="str">
        <f t="shared" si="0"/>
        <v>Design diamond, trumpet or cloverleaf interchange with crossroad above freeway</v>
      </c>
      <c r="AB19" s="222"/>
      <c r="AC19" s="222"/>
      <c r="AD19" s="222"/>
      <c r="AE19" s="222">
        <f t="shared" si="17"/>
        <v>0.04</v>
      </c>
      <c r="AF19" s="222">
        <f t="shared" si="17"/>
        <v>0.04</v>
      </c>
      <c r="AG19" s="222">
        <f t="shared" si="17"/>
        <v>0.04</v>
      </c>
      <c r="AH19" s="222">
        <f t="shared" si="17"/>
        <v>0.04</v>
      </c>
      <c r="AI19" s="222">
        <f t="shared" si="17"/>
        <v>0.04</v>
      </c>
      <c r="AJ19" s="222">
        <f t="shared" si="17"/>
        <v>0.04</v>
      </c>
      <c r="AK19" s="222">
        <f t="shared" si="17"/>
        <v>0.04</v>
      </c>
      <c r="AL19" s="222">
        <f t="shared" si="17"/>
        <v>0.04</v>
      </c>
      <c r="AM19" s="222">
        <f t="shared" si="17"/>
        <v>0.04</v>
      </c>
    </row>
    <row r="20" spans="1:39" x14ac:dyDescent="0.2">
      <c r="A20" s="220">
        <v>474</v>
      </c>
      <c r="B20" s="220" t="s">
        <v>734</v>
      </c>
      <c r="C20" s="221" t="s">
        <v>752</v>
      </c>
      <c r="D20" s="221" t="s">
        <v>755</v>
      </c>
      <c r="E20" s="218">
        <v>20</v>
      </c>
      <c r="F20" s="218"/>
      <c r="G20" s="218"/>
      <c r="H20" s="218"/>
      <c r="I20" s="218"/>
      <c r="J20" s="218">
        <v>2004</v>
      </c>
      <c r="K20" s="218">
        <v>5</v>
      </c>
      <c r="L20" s="218">
        <v>0.11</v>
      </c>
      <c r="M20" s="218"/>
      <c r="N20" s="218"/>
      <c r="O20" s="222"/>
      <c r="P20" s="222"/>
      <c r="Q20" s="222"/>
      <c r="R20" s="222">
        <f t="shared" si="15"/>
        <v>0.11</v>
      </c>
      <c r="S20" s="222">
        <f t="shared" si="15"/>
        <v>0.11</v>
      </c>
      <c r="T20" s="222">
        <f t="shared" si="15"/>
        <v>0.11</v>
      </c>
      <c r="U20" s="222">
        <f t="shared" si="15"/>
        <v>0.11</v>
      </c>
      <c r="V20" s="222">
        <f t="shared" si="11"/>
        <v>0.11</v>
      </c>
      <c r="W20" s="222">
        <f t="shared" si="11"/>
        <v>0.11</v>
      </c>
      <c r="X20" s="222">
        <f t="shared" si="11"/>
        <v>0.11</v>
      </c>
      <c r="Y20" s="222">
        <f t="shared" si="16"/>
        <v>0.11</v>
      </c>
      <c r="Z20" s="222">
        <f t="shared" si="12"/>
        <v>0.11</v>
      </c>
      <c r="AA20" s="223" t="str">
        <f t="shared" si="0"/>
        <v>Extend acceleration lane by approx. 98 ft (30 m)</v>
      </c>
      <c r="AB20" s="222"/>
      <c r="AC20" s="222"/>
      <c r="AD20" s="222"/>
      <c r="AE20" s="222">
        <f t="shared" si="17"/>
        <v>0.11</v>
      </c>
      <c r="AF20" s="222">
        <f t="shared" si="17"/>
        <v>0.11</v>
      </c>
      <c r="AG20" s="222">
        <f t="shared" si="17"/>
        <v>0.11</v>
      </c>
      <c r="AH20" s="222">
        <f t="shared" si="17"/>
        <v>0.11</v>
      </c>
      <c r="AI20" s="222">
        <f t="shared" si="17"/>
        <v>0.11</v>
      </c>
      <c r="AJ20" s="222">
        <f t="shared" si="17"/>
        <v>0.11</v>
      </c>
      <c r="AK20" s="222">
        <f t="shared" si="17"/>
        <v>0.11</v>
      </c>
      <c r="AL20" s="222">
        <f t="shared" si="17"/>
        <v>0.11</v>
      </c>
      <c r="AM20" s="222">
        <f t="shared" si="17"/>
        <v>0.11</v>
      </c>
    </row>
    <row r="21" spans="1:39" x14ac:dyDescent="0.2">
      <c r="A21" s="220">
        <v>475</v>
      </c>
      <c r="B21" s="220" t="s">
        <v>734</v>
      </c>
      <c r="C21" s="221" t="s">
        <v>752</v>
      </c>
      <c r="D21" s="221" t="s">
        <v>756</v>
      </c>
      <c r="E21" s="218">
        <v>20</v>
      </c>
      <c r="F21" s="218"/>
      <c r="G21" s="218"/>
      <c r="H21" s="218"/>
      <c r="I21" s="218"/>
      <c r="J21" s="218">
        <v>2004</v>
      </c>
      <c r="K21" s="218">
        <v>3</v>
      </c>
      <c r="L21" s="218">
        <v>7.0000000000000007E-2</v>
      </c>
      <c r="M21" s="218"/>
      <c r="N21" s="218"/>
      <c r="O21" s="222"/>
      <c r="P21" s="222"/>
      <c r="Q21" s="222"/>
      <c r="R21" s="222">
        <f t="shared" si="15"/>
        <v>7.0000000000000007E-2</v>
      </c>
      <c r="S21" s="222">
        <f t="shared" si="15"/>
        <v>7.0000000000000007E-2</v>
      </c>
      <c r="T21" s="222">
        <f t="shared" si="15"/>
        <v>7.0000000000000007E-2</v>
      </c>
      <c r="U21" s="222">
        <f t="shared" si="15"/>
        <v>7.0000000000000007E-2</v>
      </c>
      <c r="V21" s="222">
        <f t="shared" si="11"/>
        <v>7.0000000000000007E-2</v>
      </c>
      <c r="W21" s="222">
        <f t="shared" si="11"/>
        <v>7.0000000000000007E-2</v>
      </c>
      <c r="X21" s="222">
        <f t="shared" si="11"/>
        <v>7.0000000000000007E-2</v>
      </c>
      <c r="Y21" s="222">
        <f t="shared" si="16"/>
        <v>7.0000000000000007E-2</v>
      </c>
      <c r="Z21" s="222">
        <f t="shared" si="12"/>
        <v>7.0000000000000007E-2</v>
      </c>
      <c r="AA21" s="223" t="str">
        <f t="shared" si="0"/>
        <v>Extend deceleration lane by approx. 98 ft (30 m)</v>
      </c>
      <c r="AB21" s="222"/>
      <c r="AC21" s="222"/>
      <c r="AD21" s="222"/>
      <c r="AE21" s="222">
        <f t="shared" si="17"/>
        <v>7.0000000000000007E-2</v>
      </c>
      <c r="AF21" s="222">
        <f t="shared" si="17"/>
        <v>7.0000000000000007E-2</v>
      </c>
      <c r="AG21" s="222">
        <f t="shared" si="17"/>
        <v>7.0000000000000007E-2</v>
      </c>
      <c r="AH21" s="222">
        <f t="shared" si="17"/>
        <v>7.0000000000000007E-2</v>
      </c>
      <c r="AI21" s="222">
        <f t="shared" si="17"/>
        <v>7.0000000000000007E-2</v>
      </c>
      <c r="AJ21" s="222">
        <f t="shared" si="17"/>
        <v>7.0000000000000007E-2</v>
      </c>
      <c r="AK21" s="222">
        <f t="shared" si="17"/>
        <v>7.0000000000000007E-2</v>
      </c>
      <c r="AL21" s="222">
        <f t="shared" si="17"/>
        <v>7.0000000000000007E-2</v>
      </c>
      <c r="AM21" s="222">
        <f t="shared" si="17"/>
        <v>7.0000000000000007E-2</v>
      </c>
    </row>
    <row r="22" spans="1:39" x14ac:dyDescent="0.2">
      <c r="A22" s="220">
        <v>446</v>
      </c>
      <c r="B22" s="220" t="s">
        <v>789</v>
      </c>
      <c r="C22" s="221" t="s">
        <v>770</v>
      </c>
      <c r="D22" s="221" t="s">
        <v>790</v>
      </c>
      <c r="E22" s="218">
        <v>10</v>
      </c>
      <c r="F22" s="218" t="s">
        <v>740</v>
      </c>
      <c r="G22" s="218"/>
      <c r="H22" s="218"/>
      <c r="I22" s="218"/>
      <c r="J22" s="218">
        <v>2008</v>
      </c>
      <c r="K22" s="218">
        <v>3</v>
      </c>
      <c r="L22" s="218">
        <v>0.05</v>
      </c>
      <c r="M22" s="218"/>
      <c r="N22" s="218">
        <v>0.1</v>
      </c>
      <c r="O22" s="222"/>
      <c r="P22" s="222"/>
      <c r="Q22" s="222"/>
      <c r="R22" s="222">
        <f>$L22</f>
        <v>0.05</v>
      </c>
      <c r="S22" s="222">
        <f>$L22</f>
        <v>0.05</v>
      </c>
      <c r="T22" s="222">
        <v>0.57999999999999996</v>
      </c>
      <c r="U22" s="222">
        <v>0.08</v>
      </c>
      <c r="V22" s="222">
        <f t="shared" si="11"/>
        <v>0.05</v>
      </c>
      <c r="W22" s="222">
        <f t="shared" si="11"/>
        <v>0.05</v>
      </c>
      <c r="X22" s="222">
        <f t="shared" si="11"/>
        <v>0.05</v>
      </c>
      <c r="Y22" s="222">
        <f t="shared" si="16"/>
        <v>0.05</v>
      </c>
      <c r="Z22" s="222">
        <f t="shared" si="12"/>
        <v>0.05</v>
      </c>
      <c r="AA22" s="223" t="str">
        <f t="shared" si="0"/>
        <v>Flashing beacons at four leg stop controlled intersections on two lane roads; Standard and actuated beacons</v>
      </c>
      <c r="AB22" s="222"/>
      <c r="AC22" s="222"/>
      <c r="AD22" s="222"/>
      <c r="AE22" s="222">
        <f>$L22</f>
        <v>0.05</v>
      </c>
      <c r="AF22" s="222">
        <f>$L22</f>
        <v>0.05</v>
      </c>
      <c r="AG22" s="222">
        <v>0.13</v>
      </c>
      <c r="AH22" s="222">
        <v>0.08</v>
      </c>
      <c r="AI22" s="222">
        <f>$L22</f>
        <v>0.05</v>
      </c>
      <c r="AJ22" s="222">
        <f>$L22</f>
        <v>0.05</v>
      </c>
      <c r="AK22" s="222">
        <f>$L22</f>
        <v>0.05</v>
      </c>
      <c r="AL22" s="222">
        <f>$L22</f>
        <v>0.05</v>
      </c>
      <c r="AM22" s="222">
        <f>$L22</f>
        <v>0.05</v>
      </c>
    </row>
    <row r="23" spans="1:39" x14ac:dyDescent="0.2">
      <c r="A23" s="220">
        <v>721</v>
      </c>
      <c r="B23" s="220" t="s">
        <v>745</v>
      </c>
      <c r="C23" s="221" t="s">
        <v>746</v>
      </c>
      <c r="D23" s="221" t="s">
        <v>747</v>
      </c>
      <c r="E23" s="218">
        <v>30</v>
      </c>
      <c r="F23" s="218"/>
      <c r="G23" s="218"/>
      <c r="H23" s="218"/>
      <c r="I23" s="218"/>
      <c r="J23" s="218">
        <v>2005</v>
      </c>
      <c r="K23" s="218">
        <v>3</v>
      </c>
      <c r="L23" s="218">
        <v>0.2</v>
      </c>
      <c r="M23" s="218"/>
      <c r="N23" s="218">
        <v>0.51</v>
      </c>
      <c r="O23" s="222"/>
      <c r="P23" s="222"/>
      <c r="Q23" s="222"/>
      <c r="R23" s="222">
        <f>$L23</f>
        <v>0.2</v>
      </c>
      <c r="S23" s="222">
        <f>$L23</f>
        <v>0.2</v>
      </c>
      <c r="T23" s="222">
        <f>$L23</f>
        <v>0.2</v>
      </c>
      <c r="U23" s="222">
        <f>$L23</f>
        <v>0.2</v>
      </c>
      <c r="V23" s="222">
        <f t="shared" si="11"/>
        <v>0.2</v>
      </c>
      <c r="W23" s="222">
        <f t="shared" si="11"/>
        <v>0.2</v>
      </c>
      <c r="X23" s="222">
        <f t="shared" si="11"/>
        <v>0.2</v>
      </c>
      <c r="Y23" s="222">
        <f t="shared" si="16"/>
        <v>0.2</v>
      </c>
      <c r="Z23" s="222">
        <f t="shared" si="12"/>
        <v>0.2</v>
      </c>
      <c r="AA23" s="223" t="str">
        <f t="shared" si="0"/>
        <v>Flatten crest vertical curve</v>
      </c>
      <c r="AB23" s="222"/>
      <c r="AC23" s="222"/>
      <c r="AD23" s="222"/>
      <c r="AE23" s="222">
        <f t="shared" ref="AE23:AM24" si="18">$N23</f>
        <v>0.51</v>
      </c>
      <c r="AF23" s="222">
        <f t="shared" si="18"/>
        <v>0.51</v>
      </c>
      <c r="AG23" s="222">
        <f t="shared" si="18"/>
        <v>0.51</v>
      </c>
      <c r="AH23" s="222">
        <f t="shared" si="18"/>
        <v>0.51</v>
      </c>
      <c r="AI23" s="222">
        <f t="shared" si="18"/>
        <v>0.51</v>
      </c>
      <c r="AJ23" s="222">
        <f t="shared" si="18"/>
        <v>0.51</v>
      </c>
      <c r="AK23" s="222">
        <f t="shared" si="18"/>
        <v>0.51</v>
      </c>
      <c r="AL23" s="222">
        <f t="shared" si="18"/>
        <v>0.51</v>
      </c>
      <c r="AM23" s="222">
        <f t="shared" si="18"/>
        <v>0.51</v>
      </c>
    </row>
    <row r="24" spans="1:39" x14ac:dyDescent="0.2">
      <c r="A24" s="220">
        <v>307</v>
      </c>
      <c r="B24" s="220" t="s">
        <v>734</v>
      </c>
      <c r="C24" s="221" t="s">
        <v>759</v>
      </c>
      <c r="D24" s="221" t="s">
        <v>768</v>
      </c>
      <c r="E24" s="218">
        <v>10</v>
      </c>
      <c r="F24" s="218" t="s">
        <v>740</v>
      </c>
      <c r="G24" s="218"/>
      <c r="H24" s="218"/>
      <c r="I24" s="218"/>
      <c r="J24" s="218">
        <v>2004</v>
      </c>
      <c r="K24" s="218">
        <v>3</v>
      </c>
      <c r="L24" s="218"/>
      <c r="M24" s="218">
        <v>0.11</v>
      </c>
      <c r="N24" s="218">
        <v>0.48</v>
      </c>
      <c r="O24" s="222"/>
      <c r="P24" s="222"/>
      <c r="Q24" s="222"/>
      <c r="R24" s="222">
        <f t="shared" ref="R24:Z24" si="19">$M24</f>
        <v>0.11</v>
      </c>
      <c r="S24" s="222">
        <f t="shared" si="19"/>
        <v>0.11</v>
      </c>
      <c r="T24" s="222">
        <f t="shared" si="19"/>
        <v>0.11</v>
      </c>
      <c r="U24" s="222">
        <f t="shared" si="19"/>
        <v>0.11</v>
      </c>
      <c r="V24" s="222">
        <f t="shared" si="19"/>
        <v>0.11</v>
      </c>
      <c r="W24" s="222">
        <f t="shared" si="19"/>
        <v>0.11</v>
      </c>
      <c r="X24" s="222">
        <f t="shared" si="19"/>
        <v>0.11</v>
      </c>
      <c r="Y24" s="222">
        <f t="shared" si="19"/>
        <v>0.11</v>
      </c>
      <c r="Z24" s="222">
        <f t="shared" si="19"/>
        <v>0.11</v>
      </c>
      <c r="AA24" s="223" t="str">
        <f t="shared" si="0"/>
        <v>Increase triangle sight distance</v>
      </c>
      <c r="AB24" s="222"/>
      <c r="AC24" s="222"/>
      <c r="AD24" s="222"/>
      <c r="AE24" s="222">
        <f t="shared" si="18"/>
        <v>0.48</v>
      </c>
      <c r="AF24" s="222">
        <f t="shared" si="18"/>
        <v>0.48</v>
      </c>
      <c r="AG24" s="222">
        <f t="shared" si="18"/>
        <v>0.48</v>
      </c>
      <c r="AH24" s="222">
        <f t="shared" si="18"/>
        <v>0.48</v>
      </c>
      <c r="AI24" s="222">
        <f t="shared" si="18"/>
        <v>0.48</v>
      </c>
      <c r="AJ24" s="222">
        <f t="shared" si="18"/>
        <v>0.48</v>
      </c>
      <c r="AK24" s="222">
        <f t="shared" si="18"/>
        <v>0.48</v>
      </c>
      <c r="AL24" s="222">
        <f t="shared" si="18"/>
        <v>0.48</v>
      </c>
      <c r="AM24" s="222">
        <f t="shared" si="18"/>
        <v>0.48</v>
      </c>
    </row>
    <row r="25" spans="1:39" x14ac:dyDescent="0.2">
      <c r="A25" s="220">
        <v>194</v>
      </c>
      <c r="B25" s="220" t="s">
        <v>811</v>
      </c>
      <c r="C25" s="221" t="s">
        <v>812</v>
      </c>
      <c r="D25" s="221" t="s">
        <v>813</v>
      </c>
      <c r="E25" s="218">
        <v>10</v>
      </c>
      <c r="F25" s="218"/>
      <c r="G25" s="218" t="s">
        <v>740</v>
      </c>
      <c r="H25" s="218"/>
      <c r="I25" s="218"/>
      <c r="J25" s="218">
        <v>2008</v>
      </c>
      <c r="K25" s="218">
        <v>5</v>
      </c>
      <c r="L25" s="218">
        <v>0.24</v>
      </c>
      <c r="M25" s="218"/>
      <c r="N25" s="218"/>
      <c r="O25" s="222"/>
      <c r="P25" s="222">
        <v>0.56999999999999995</v>
      </c>
      <c r="Q25" s="222"/>
      <c r="R25" s="222">
        <f>$L25</f>
        <v>0.24</v>
      </c>
      <c r="S25" s="222">
        <f>$L25</f>
        <v>0.24</v>
      </c>
      <c r="T25" s="222">
        <f>$L25</f>
        <v>0.24</v>
      </c>
      <c r="U25" s="222">
        <v>0.17</v>
      </c>
      <c r="V25" s="222">
        <f>$L25</f>
        <v>0.24</v>
      </c>
      <c r="W25" s="222">
        <f>$L25</f>
        <v>0.24</v>
      </c>
      <c r="X25" s="222">
        <f>$L25</f>
        <v>0.24</v>
      </c>
      <c r="Y25" s="222">
        <f>$L25</f>
        <v>0.24</v>
      </c>
      <c r="Z25" s="222">
        <f>$L25</f>
        <v>0.24</v>
      </c>
      <c r="AA25" s="223" t="str">
        <f t="shared" si="0"/>
        <v>Increased pavement friction</v>
      </c>
      <c r="AB25" s="222"/>
      <c r="AC25" s="222">
        <v>0.56999999999999995</v>
      </c>
      <c r="AD25" s="222"/>
      <c r="AE25" s="222">
        <f>$L25</f>
        <v>0.24</v>
      </c>
      <c r="AF25" s="222">
        <f>$L25</f>
        <v>0.24</v>
      </c>
      <c r="AG25" s="222">
        <f>$L25</f>
        <v>0.24</v>
      </c>
      <c r="AH25" s="222">
        <v>0.17</v>
      </c>
      <c r="AI25" s="222">
        <f>$L25</f>
        <v>0.24</v>
      </c>
      <c r="AJ25" s="222">
        <f>$L25</f>
        <v>0.24</v>
      </c>
      <c r="AK25" s="222">
        <f>$L25</f>
        <v>0.24</v>
      </c>
      <c r="AL25" s="222">
        <f>$L25</f>
        <v>0.24</v>
      </c>
      <c r="AM25" s="222">
        <f>$L25</f>
        <v>0.24</v>
      </c>
    </row>
    <row r="26" spans="1:39" x14ac:dyDescent="0.2">
      <c r="A26" s="220">
        <v>102</v>
      </c>
      <c r="B26" s="220" t="s">
        <v>734</v>
      </c>
      <c r="C26" s="221" t="s">
        <v>826</v>
      </c>
      <c r="D26" s="221" t="s">
        <v>828</v>
      </c>
      <c r="E26" s="218">
        <v>5</v>
      </c>
      <c r="F26" s="218" t="s">
        <v>393</v>
      </c>
      <c r="G26" s="218"/>
      <c r="H26" s="218"/>
      <c r="I26" s="218"/>
      <c r="J26" s="218">
        <v>2004</v>
      </c>
      <c r="K26" s="218">
        <v>4</v>
      </c>
      <c r="L26" s="218"/>
      <c r="M26" s="218"/>
      <c r="N26" s="218">
        <v>0.45</v>
      </c>
      <c r="O26" s="222"/>
      <c r="P26" s="222"/>
      <c r="Q26" s="222"/>
      <c r="R26" s="222"/>
      <c r="S26" s="222"/>
      <c r="T26" s="222"/>
      <c r="U26" s="222"/>
      <c r="V26" s="222"/>
      <c r="W26" s="222"/>
      <c r="X26" s="222"/>
      <c r="Y26" s="222"/>
      <c r="Z26" s="222"/>
      <c r="AA26" s="223" t="str">
        <f t="shared" si="0"/>
        <v>Install a combination of edgelines, centerlines and delineators on roadway segments</v>
      </c>
      <c r="AB26" s="222"/>
      <c r="AC26" s="222"/>
      <c r="AD26" s="222"/>
      <c r="AE26" s="222">
        <f t="shared" ref="AE26:AM26" si="20">$N26</f>
        <v>0.45</v>
      </c>
      <c r="AF26" s="222">
        <f t="shared" si="20"/>
        <v>0.45</v>
      </c>
      <c r="AG26" s="222">
        <f t="shared" si="20"/>
        <v>0.45</v>
      </c>
      <c r="AH26" s="222">
        <f t="shared" si="20"/>
        <v>0.45</v>
      </c>
      <c r="AI26" s="222">
        <f t="shared" si="20"/>
        <v>0.45</v>
      </c>
      <c r="AJ26" s="222">
        <f t="shared" si="20"/>
        <v>0.45</v>
      </c>
      <c r="AK26" s="222">
        <f t="shared" si="20"/>
        <v>0.45</v>
      </c>
      <c r="AL26" s="222">
        <f t="shared" si="20"/>
        <v>0.45</v>
      </c>
      <c r="AM26" s="222">
        <f t="shared" si="20"/>
        <v>0.45</v>
      </c>
    </row>
    <row r="27" spans="1:39" x14ac:dyDescent="0.2">
      <c r="A27" s="220">
        <v>1965</v>
      </c>
      <c r="B27" s="220" t="s">
        <v>829</v>
      </c>
      <c r="C27" s="221" t="s">
        <v>826</v>
      </c>
      <c r="D27" s="221" t="s">
        <v>830</v>
      </c>
      <c r="E27" s="218">
        <v>20</v>
      </c>
      <c r="F27" s="218" t="s">
        <v>393</v>
      </c>
      <c r="G27" s="218"/>
      <c r="H27" s="218"/>
      <c r="I27" s="218" t="s">
        <v>740</v>
      </c>
      <c r="J27" s="218">
        <v>2009</v>
      </c>
      <c r="K27" s="218">
        <v>5</v>
      </c>
      <c r="L27" s="218"/>
      <c r="M27" s="218"/>
      <c r="N27" s="218"/>
      <c r="O27" s="222"/>
      <c r="P27" s="222"/>
      <c r="Q27" s="222">
        <v>0.25</v>
      </c>
      <c r="R27" s="222"/>
      <c r="S27" s="222"/>
      <c r="T27" s="222"/>
      <c r="U27" s="222">
        <v>0.14000000000000001</v>
      </c>
      <c r="V27" s="222">
        <v>0.94</v>
      </c>
      <c r="W27" s="222">
        <v>0.14000000000000001</v>
      </c>
      <c r="X27" s="222"/>
      <c r="Y27" s="222"/>
      <c r="Z27" s="222"/>
      <c r="AA27" s="223" t="str">
        <f t="shared" si="0"/>
        <v>Install cable median barrier (low or high tension) - Rural</v>
      </c>
      <c r="AB27" s="222"/>
      <c r="AC27" s="222"/>
      <c r="AD27" s="222"/>
      <c r="AE27" s="222"/>
      <c r="AF27" s="222"/>
      <c r="AG27" s="222"/>
      <c r="AH27" s="222">
        <v>0.14000000000000001</v>
      </c>
      <c r="AI27" s="222">
        <v>0.94</v>
      </c>
      <c r="AJ27" s="222">
        <v>0.14000000000000001</v>
      </c>
      <c r="AK27" s="222">
        <v>0.25</v>
      </c>
      <c r="AL27" s="222"/>
      <c r="AM27" s="222">
        <v>0.25</v>
      </c>
    </row>
    <row r="28" spans="1:39" x14ac:dyDescent="0.2">
      <c r="A28" s="220">
        <v>3341</v>
      </c>
      <c r="B28" s="220" t="s">
        <v>822</v>
      </c>
      <c r="C28" s="221" t="s">
        <v>812</v>
      </c>
      <c r="D28" s="221" t="s">
        <v>824</v>
      </c>
      <c r="E28" s="218">
        <v>20</v>
      </c>
      <c r="F28" s="218" t="s">
        <v>393</v>
      </c>
      <c r="G28" s="218"/>
      <c r="H28" s="218"/>
      <c r="I28" s="218"/>
      <c r="J28" s="218">
        <v>2009</v>
      </c>
      <c r="K28" s="218">
        <v>5</v>
      </c>
      <c r="L28" s="218">
        <v>0.11</v>
      </c>
      <c r="M28" s="218"/>
      <c r="N28" s="218">
        <v>0.09</v>
      </c>
      <c r="O28" s="222"/>
      <c r="P28" s="222"/>
      <c r="Q28" s="222"/>
      <c r="R28" s="222">
        <f t="shared" ref="R28:U31" si="21">$L28</f>
        <v>0.11</v>
      </c>
      <c r="S28" s="222">
        <f t="shared" si="21"/>
        <v>0.11</v>
      </c>
      <c r="T28" s="222">
        <f t="shared" si="21"/>
        <v>0.11</v>
      </c>
      <c r="U28" s="222">
        <f t="shared" si="21"/>
        <v>0.11</v>
      </c>
      <c r="V28" s="222">
        <v>0.49</v>
      </c>
      <c r="W28" s="222">
        <v>0.49</v>
      </c>
      <c r="X28" s="222">
        <f t="shared" ref="X28:Z30" si="22">$L28</f>
        <v>0.11</v>
      </c>
      <c r="Y28" s="222">
        <f t="shared" si="22"/>
        <v>0.11</v>
      </c>
      <c r="Z28" s="222">
        <f t="shared" si="22"/>
        <v>0.11</v>
      </c>
      <c r="AA28" s="223" t="str">
        <f t="shared" si="0"/>
        <v>Install centerline rumble strips - Rural</v>
      </c>
      <c r="AB28" s="222"/>
      <c r="AC28" s="222"/>
      <c r="AD28" s="222"/>
      <c r="AE28" s="222">
        <f t="shared" ref="AE28:AH29" si="23">$N28</f>
        <v>0.09</v>
      </c>
      <c r="AF28" s="222">
        <f t="shared" si="23"/>
        <v>0.09</v>
      </c>
      <c r="AG28" s="222">
        <f t="shared" si="23"/>
        <v>0.09</v>
      </c>
      <c r="AH28" s="222">
        <f t="shared" si="23"/>
        <v>0.09</v>
      </c>
      <c r="AI28" s="222">
        <v>0.49</v>
      </c>
      <c r="AJ28" s="222">
        <v>0.49</v>
      </c>
      <c r="AK28" s="222">
        <f t="shared" ref="AK28:AM29" si="24">$N28</f>
        <v>0.09</v>
      </c>
      <c r="AL28" s="222">
        <f t="shared" si="24"/>
        <v>0.09</v>
      </c>
      <c r="AM28" s="222">
        <f t="shared" si="24"/>
        <v>0.09</v>
      </c>
    </row>
    <row r="29" spans="1:39" x14ac:dyDescent="0.2">
      <c r="A29" s="220">
        <v>3341</v>
      </c>
      <c r="B29" s="220" t="s">
        <v>822</v>
      </c>
      <c r="C29" s="221" t="s">
        <v>812</v>
      </c>
      <c r="D29" s="221" t="s">
        <v>823</v>
      </c>
      <c r="E29" s="218">
        <v>20</v>
      </c>
      <c r="F29" s="218" t="s">
        <v>393</v>
      </c>
      <c r="G29" s="218"/>
      <c r="H29" s="218"/>
      <c r="I29" s="218"/>
      <c r="J29" s="218">
        <v>2009</v>
      </c>
      <c r="K29" s="218">
        <v>5</v>
      </c>
      <c r="L29" s="218">
        <v>-0.02</v>
      </c>
      <c r="M29" s="218"/>
      <c r="N29" s="218">
        <v>0.09</v>
      </c>
      <c r="O29" s="222"/>
      <c r="P29" s="222"/>
      <c r="Q29" s="222"/>
      <c r="R29" s="222">
        <f t="shared" si="21"/>
        <v>-0.02</v>
      </c>
      <c r="S29" s="222">
        <f t="shared" si="21"/>
        <v>-0.02</v>
      </c>
      <c r="T29" s="222">
        <f t="shared" si="21"/>
        <v>-0.02</v>
      </c>
      <c r="U29" s="222">
        <f t="shared" si="21"/>
        <v>-0.02</v>
      </c>
      <c r="V29" s="222">
        <v>0.4</v>
      </c>
      <c r="W29" s="222">
        <v>0.4</v>
      </c>
      <c r="X29" s="222">
        <f t="shared" si="22"/>
        <v>-0.02</v>
      </c>
      <c r="Y29" s="222">
        <f t="shared" si="22"/>
        <v>-0.02</v>
      </c>
      <c r="Z29" s="222">
        <f t="shared" si="22"/>
        <v>-0.02</v>
      </c>
      <c r="AA29" s="223" t="str">
        <f t="shared" si="0"/>
        <v>Install centerline rumble strips - Urban</v>
      </c>
      <c r="AB29" s="222"/>
      <c r="AC29" s="222"/>
      <c r="AD29" s="222"/>
      <c r="AE29" s="222">
        <f t="shared" si="23"/>
        <v>0.09</v>
      </c>
      <c r="AF29" s="222">
        <f t="shared" si="23"/>
        <v>0.09</v>
      </c>
      <c r="AG29" s="222">
        <f t="shared" si="23"/>
        <v>0.09</v>
      </c>
      <c r="AH29" s="222">
        <f t="shared" si="23"/>
        <v>0.09</v>
      </c>
      <c r="AI29" s="222">
        <v>0.4</v>
      </c>
      <c r="AJ29" s="222">
        <v>0.4</v>
      </c>
      <c r="AK29" s="222">
        <f t="shared" si="24"/>
        <v>0.09</v>
      </c>
      <c r="AL29" s="222">
        <f t="shared" si="24"/>
        <v>0.09</v>
      </c>
      <c r="AM29" s="222">
        <f t="shared" si="24"/>
        <v>0.09</v>
      </c>
    </row>
    <row r="30" spans="1:39" x14ac:dyDescent="0.2">
      <c r="A30" s="220">
        <v>78</v>
      </c>
      <c r="B30" s="220" t="s">
        <v>734</v>
      </c>
      <c r="C30" s="221" t="s">
        <v>743</v>
      </c>
      <c r="D30" s="221" t="s">
        <v>744</v>
      </c>
      <c r="E30" s="218">
        <v>5</v>
      </c>
      <c r="F30" s="218" t="s">
        <v>740</v>
      </c>
      <c r="G30" s="218"/>
      <c r="H30" s="218"/>
      <c r="I30" s="218"/>
      <c r="J30" s="218">
        <v>2004</v>
      </c>
      <c r="K30" s="218">
        <v>4</v>
      </c>
      <c r="L30" s="218">
        <v>0.46</v>
      </c>
      <c r="M30" s="218"/>
      <c r="N30" s="218"/>
      <c r="O30" s="222"/>
      <c r="P30" s="222"/>
      <c r="Q30" s="222"/>
      <c r="R30" s="222">
        <f t="shared" si="21"/>
        <v>0.46</v>
      </c>
      <c r="S30" s="222">
        <f t="shared" si="21"/>
        <v>0.46</v>
      </c>
      <c r="T30" s="222">
        <f t="shared" si="21"/>
        <v>0.46</v>
      </c>
      <c r="U30" s="222">
        <f t="shared" si="21"/>
        <v>0.46</v>
      </c>
      <c r="V30" s="222">
        <f>$L30</f>
        <v>0.46</v>
      </c>
      <c r="W30" s="222">
        <f>$L30</f>
        <v>0.46</v>
      </c>
      <c r="X30" s="222">
        <f t="shared" si="22"/>
        <v>0.46</v>
      </c>
      <c r="Y30" s="222">
        <f t="shared" si="22"/>
        <v>0.46</v>
      </c>
      <c r="Z30" s="222">
        <f t="shared" si="22"/>
        <v>0.46</v>
      </c>
      <c r="AA30" s="223" t="str">
        <f t="shared" si="0"/>
        <v>Install changeable speed warning signs for individual drivers</v>
      </c>
      <c r="AB30" s="222"/>
      <c r="AC30" s="222"/>
      <c r="AD30" s="222"/>
      <c r="AE30" s="222">
        <f t="shared" ref="AE30:AM30" si="25">$L30</f>
        <v>0.46</v>
      </c>
      <c r="AF30" s="222">
        <f t="shared" si="25"/>
        <v>0.46</v>
      </c>
      <c r="AG30" s="222">
        <f t="shared" si="25"/>
        <v>0.46</v>
      </c>
      <c r="AH30" s="222">
        <f t="shared" si="25"/>
        <v>0.46</v>
      </c>
      <c r="AI30" s="222">
        <f t="shared" si="25"/>
        <v>0.46</v>
      </c>
      <c r="AJ30" s="222">
        <f t="shared" si="25"/>
        <v>0.46</v>
      </c>
      <c r="AK30" s="222">
        <f t="shared" si="25"/>
        <v>0.46</v>
      </c>
      <c r="AL30" s="222">
        <f t="shared" si="25"/>
        <v>0.46</v>
      </c>
      <c r="AM30" s="222">
        <f t="shared" si="25"/>
        <v>0.46</v>
      </c>
    </row>
    <row r="31" spans="1:39" x14ac:dyDescent="0.2">
      <c r="A31" s="220">
        <v>2436</v>
      </c>
      <c r="B31" s="220" t="s">
        <v>833</v>
      </c>
      <c r="C31" s="221" t="s">
        <v>831</v>
      </c>
      <c r="D31" s="221" t="s">
        <v>835</v>
      </c>
      <c r="E31" s="218">
        <v>5</v>
      </c>
      <c r="F31" s="218" t="s">
        <v>393</v>
      </c>
      <c r="G31" s="218"/>
      <c r="H31" s="218" t="s">
        <v>740</v>
      </c>
      <c r="I31" s="218" t="s">
        <v>740</v>
      </c>
      <c r="J31" s="218">
        <v>2009</v>
      </c>
      <c r="K31" s="218">
        <v>4</v>
      </c>
      <c r="L31" s="218">
        <v>0.04</v>
      </c>
      <c r="M31" s="218"/>
      <c r="N31" s="218">
        <v>0.16</v>
      </c>
      <c r="O31" s="222">
        <v>0.25</v>
      </c>
      <c r="P31" s="222"/>
      <c r="Q31" s="222">
        <v>0.06</v>
      </c>
      <c r="R31" s="222">
        <f t="shared" si="21"/>
        <v>0.04</v>
      </c>
      <c r="S31" s="222">
        <f t="shared" si="21"/>
        <v>0.04</v>
      </c>
      <c r="T31" s="222">
        <f t="shared" si="21"/>
        <v>0.04</v>
      </c>
      <c r="U31" s="222">
        <f t="shared" si="21"/>
        <v>0.04</v>
      </c>
      <c r="V31" s="222">
        <v>0.06</v>
      </c>
      <c r="W31" s="222">
        <v>0.06</v>
      </c>
      <c r="X31" s="222">
        <v>0.06</v>
      </c>
      <c r="Y31" s="222">
        <f>$L31</f>
        <v>0.04</v>
      </c>
      <c r="Z31" s="222">
        <f>$L31</f>
        <v>0.04</v>
      </c>
      <c r="AA31" s="223" t="str">
        <f t="shared" si="0"/>
        <v>Install chevron signs on horizontal curves - Rural</v>
      </c>
      <c r="AB31" s="222">
        <v>0.25</v>
      </c>
      <c r="AC31" s="222"/>
      <c r="AD31" s="222"/>
      <c r="AE31" s="222">
        <f>$N31</f>
        <v>0.16</v>
      </c>
      <c r="AF31" s="222">
        <f>$N31</f>
        <v>0.16</v>
      </c>
      <c r="AG31" s="222">
        <f>$N31</f>
        <v>0.16</v>
      </c>
      <c r="AH31" s="222">
        <f>$N31</f>
        <v>0.16</v>
      </c>
      <c r="AI31" s="222">
        <v>0.06</v>
      </c>
      <c r="AJ31" s="222">
        <v>0.06</v>
      </c>
      <c r="AK31" s="222">
        <v>0.06</v>
      </c>
      <c r="AL31" s="222">
        <f>$N31</f>
        <v>0.16</v>
      </c>
      <c r="AM31" s="222">
        <v>0.06</v>
      </c>
    </row>
    <row r="32" spans="1:39" x14ac:dyDescent="0.2">
      <c r="A32" s="220">
        <v>55</v>
      </c>
      <c r="B32" s="220" t="s">
        <v>734</v>
      </c>
      <c r="C32" s="221" t="s">
        <v>803</v>
      </c>
      <c r="D32" s="221" t="s">
        <v>807</v>
      </c>
      <c r="E32" s="218">
        <v>20</v>
      </c>
      <c r="F32" s="218" t="s">
        <v>393</v>
      </c>
      <c r="G32" s="218"/>
      <c r="H32" s="218"/>
      <c r="I32" s="218"/>
      <c r="J32" s="218">
        <v>2004</v>
      </c>
      <c r="K32" s="218">
        <v>3</v>
      </c>
      <c r="L32" s="218"/>
      <c r="M32" s="218"/>
      <c r="N32" s="218"/>
      <c r="O32" s="222"/>
      <c r="P32" s="222"/>
      <c r="Q32" s="222"/>
      <c r="R32" s="222"/>
      <c r="S32" s="222"/>
      <c r="T32" s="222"/>
      <c r="U32" s="222"/>
      <c r="V32" s="222"/>
      <c r="W32" s="222"/>
      <c r="X32" s="222">
        <v>0.46</v>
      </c>
      <c r="Y32" s="222"/>
      <c r="Z32" s="222"/>
      <c r="AA32" s="223" t="str">
        <f t="shared" si="0"/>
        <v>Install crash cushions at permanent objects</v>
      </c>
      <c r="AB32" s="222"/>
      <c r="AC32" s="222"/>
      <c r="AD32" s="222"/>
      <c r="AE32" s="222"/>
      <c r="AF32" s="222"/>
      <c r="AG32" s="222"/>
      <c r="AH32" s="222"/>
      <c r="AI32" s="222"/>
      <c r="AJ32" s="222"/>
      <c r="AK32" s="222">
        <v>0.69</v>
      </c>
      <c r="AL32" s="222"/>
      <c r="AM32" s="222"/>
    </row>
    <row r="33" spans="1:39" x14ac:dyDescent="0.2">
      <c r="A33" s="220">
        <v>3388</v>
      </c>
      <c r="B33" s="220" t="s">
        <v>822</v>
      </c>
      <c r="C33" s="221" t="s">
        <v>812</v>
      </c>
      <c r="D33" s="221" t="s">
        <v>825</v>
      </c>
      <c r="E33" s="218">
        <v>20</v>
      </c>
      <c r="F33" s="218" t="s">
        <v>393</v>
      </c>
      <c r="G33" s="218"/>
      <c r="H33" s="218"/>
      <c r="I33" s="218"/>
      <c r="J33" s="218">
        <v>2009</v>
      </c>
      <c r="K33" s="218">
        <v>4</v>
      </c>
      <c r="L33" s="218"/>
      <c r="M33" s="218"/>
      <c r="N33" s="218">
        <v>0.25</v>
      </c>
      <c r="O33" s="222"/>
      <c r="P33" s="222"/>
      <c r="Q33" s="222"/>
      <c r="R33" s="222"/>
      <c r="S33" s="222"/>
      <c r="T33" s="222"/>
      <c r="U33" s="222"/>
      <c r="V33" s="222"/>
      <c r="W33" s="222"/>
      <c r="X33" s="222"/>
      <c r="Y33" s="222"/>
      <c r="Z33" s="222"/>
      <c r="AA33" s="223" t="str">
        <f t="shared" si="0"/>
        <v>Install edgeline rumble strips - Undivided</v>
      </c>
      <c r="AB33" s="222"/>
      <c r="AC33" s="222"/>
      <c r="AD33" s="222"/>
      <c r="AE33" s="222">
        <f t="shared" ref="AE33:AM35" si="26">$N33</f>
        <v>0.25</v>
      </c>
      <c r="AF33" s="222">
        <f t="shared" si="26"/>
        <v>0.25</v>
      </c>
      <c r="AG33" s="222">
        <f t="shared" si="26"/>
        <v>0.25</v>
      </c>
      <c r="AH33" s="222">
        <f t="shared" si="26"/>
        <v>0.25</v>
      </c>
      <c r="AI33" s="222">
        <f t="shared" si="26"/>
        <v>0.25</v>
      </c>
      <c r="AJ33" s="222">
        <f t="shared" si="26"/>
        <v>0.25</v>
      </c>
      <c r="AK33" s="222">
        <f t="shared" si="26"/>
        <v>0.25</v>
      </c>
      <c r="AL33" s="222">
        <f t="shared" si="26"/>
        <v>0.25</v>
      </c>
      <c r="AM33" s="222">
        <f t="shared" si="26"/>
        <v>0.25</v>
      </c>
    </row>
    <row r="34" spans="1:39" x14ac:dyDescent="0.2">
      <c r="A34" s="220">
        <v>974</v>
      </c>
      <c r="B34" s="220" t="s">
        <v>745</v>
      </c>
      <c r="C34" s="221" t="s">
        <v>803</v>
      </c>
      <c r="D34" s="221" t="s">
        <v>808</v>
      </c>
      <c r="E34" s="218">
        <v>20</v>
      </c>
      <c r="F34" s="218" t="s">
        <v>393</v>
      </c>
      <c r="G34" s="218"/>
      <c r="H34" s="218"/>
      <c r="I34" s="218"/>
      <c r="J34" s="218">
        <v>2005</v>
      </c>
      <c r="K34" s="218">
        <v>3</v>
      </c>
      <c r="L34" s="218">
        <v>0.86</v>
      </c>
      <c r="M34" s="218"/>
      <c r="N34" s="218">
        <v>0.88</v>
      </c>
      <c r="O34" s="222"/>
      <c r="P34" s="222"/>
      <c r="Q34" s="222"/>
      <c r="R34" s="222">
        <f t="shared" ref="R34:Z34" si="27">$L34</f>
        <v>0.86</v>
      </c>
      <c r="S34" s="222">
        <f t="shared" si="27"/>
        <v>0.86</v>
      </c>
      <c r="T34" s="222">
        <f t="shared" si="27"/>
        <v>0.86</v>
      </c>
      <c r="U34" s="222">
        <f t="shared" si="27"/>
        <v>0.86</v>
      </c>
      <c r="V34" s="222">
        <f t="shared" si="27"/>
        <v>0.86</v>
      </c>
      <c r="W34" s="222">
        <f t="shared" si="27"/>
        <v>0.86</v>
      </c>
      <c r="X34" s="222">
        <f t="shared" si="27"/>
        <v>0.86</v>
      </c>
      <c r="Y34" s="222">
        <f t="shared" si="27"/>
        <v>0.86</v>
      </c>
      <c r="Z34" s="222">
        <f t="shared" si="27"/>
        <v>0.86</v>
      </c>
      <c r="AA34" s="223" t="str">
        <f t="shared" si="0"/>
        <v>Install median barrier</v>
      </c>
      <c r="AB34" s="222"/>
      <c r="AC34" s="222"/>
      <c r="AD34" s="222"/>
      <c r="AE34" s="222">
        <f t="shared" si="26"/>
        <v>0.88</v>
      </c>
      <c r="AF34" s="222">
        <f t="shared" si="26"/>
        <v>0.88</v>
      </c>
      <c r="AG34" s="222">
        <f t="shared" si="26"/>
        <v>0.88</v>
      </c>
      <c r="AH34" s="222">
        <f t="shared" si="26"/>
        <v>0.88</v>
      </c>
      <c r="AI34" s="222">
        <f t="shared" si="26"/>
        <v>0.88</v>
      </c>
      <c r="AJ34" s="222">
        <f t="shared" si="26"/>
        <v>0.88</v>
      </c>
      <c r="AK34" s="222">
        <f t="shared" si="26"/>
        <v>0.88</v>
      </c>
      <c r="AL34" s="222">
        <f t="shared" si="26"/>
        <v>0.88</v>
      </c>
      <c r="AM34" s="222">
        <f t="shared" si="26"/>
        <v>0.88</v>
      </c>
    </row>
    <row r="35" spans="1:39" x14ac:dyDescent="0.2">
      <c r="A35" s="220">
        <v>42</v>
      </c>
      <c r="B35" s="220" t="s">
        <v>734</v>
      </c>
      <c r="C35" s="221" t="s">
        <v>803</v>
      </c>
      <c r="D35" s="221" t="s">
        <v>806</v>
      </c>
      <c r="E35" s="218">
        <v>20</v>
      </c>
      <c r="F35" s="218" t="s">
        <v>393</v>
      </c>
      <c r="G35" s="218"/>
      <c r="H35" s="218"/>
      <c r="I35" s="218"/>
      <c r="J35" s="218">
        <v>2004</v>
      </c>
      <c r="K35" s="218">
        <v>4</v>
      </c>
      <c r="L35" s="218"/>
      <c r="M35" s="218">
        <v>-0.24</v>
      </c>
      <c r="N35" s="218">
        <v>0.3</v>
      </c>
      <c r="O35" s="222"/>
      <c r="P35" s="222"/>
      <c r="Q35" s="222"/>
      <c r="R35" s="222">
        <f t="shared" ref="R35:Z35" si="28">$M35</f>
        <v>-0.24</v>
      </c>
      <c r="S35" s="222">
        <f t="shared" si="28"/>
        <v>-0.24</v>
      </c>
      <c r="T35" s="222">
        <f t="shared" si="28"/>
        <v>-0.24</v>
      </c>
      <c r="U35" s="222">
        <f t="shared" si="28"/>
        <v>-0.24</v>
      </c>
      <c r="V35" s="222">
        <f t="shared" si="28"/>
        <v>-0.24</v>
      </c>
      <c r="W35" s="222">
        <f t="shared" si="28"/>
        <v>-0.24</v>
      </c>
      <c r="X35" s="222">
        <f t="shared" si="28"/>
        <v>-0.24</v>
      </c>
      <c r="Y35" s="222">
        <f t="shared" si="28"/>
        <v>-0.24</v>
      </c>
      <c r="Z35" s="222">
        <f t="shared" si="28"/>
        <v>-0.24</v>
      </c>
      <c r="AA35" s="223" t="str">
        <f t="shared" si="0"/>
        <v>Install median guardrails on divided highways</v>
      </c>
      <c r="AB35" s="222"/>
      <c r="AC35" s="222"/>
      <c r="AD35" s="222"/>
      <c r="AE35" s="222">
        <f t="shared" si="26"/>
        <v>0.3</v>
      </c>
      <c r="AF35" s="222">
        <f t="shared" si="26"/>
        <v>0.3</v>
      </c>
      <c r="AG35" s="222">
        <f t="shared" si="26"/>
        <v>0.3</v>
      </c>
      <c r="AH35" s="222">
        <f t="shared" si="26"/>
        <v>0.3</v>
      </c>
      <c r="AI35" s="222">
        <f t="shared" si="26"/>
        <v>0.3</v>
      </c>
      <c r="AJ35" s="222">
        <f t="shared" si="26"/>
        <v>0.3</v>
      </c>
      <c r="AK35" s="222">
        <f t="shared" si="26"/>
        <v>0.3</v>
      </c>
      <c r="AL35" s="222">
        <f t="shared" si="26"/>
        <v>0.3</v>
      </c>
      <c r="AM35" s="222">
        <f t="shared" si="26"/>
        <v>0.3</v>
      </c>
    </row>
    <row r="36" spans="1:39" x14ac:dyDescent="0.2">
      <c r="A36" s="220">
        <v>2431</v>
      </c>
      <c r="B36" s="220" t="s">
        <v>833</v>
      </c>
      <c r="C36" s="221" t="s">
        <v>831</v>
      </c>
      <c r="D36" s="221" t="s">
        <v>834</v>
      </c>
      <c r="E36" s="218">
        <v>5</v>
      </c>
      <c r="F36" s="218" t="s">
        <v>393</v>
      </c>
      <c r="G36" s="218"/>
      <c r="H36" s="218" t="s">
        <v>740</v>
      </c>
      <c r="I36" s="218" t="s">
        <v>740</v>
      </c>
      <c r="J36" s="218">
        <v>2009</v>
      </c>
      <c r="K36" s="218">
        <v>4</v>
      </c>
      <c r="L36" s="218">
        <v>0.18</v>
      </c>
      <c r="M36" s="218"/>
      <c r="N36" s="218">
        <v>0.25</v>
      </c>
      <c r="O36" s="222">
        <v>0.35</v>
      </c>
      <c r="P36" s="222"/>
      <c r="Q36" s="222">
        <v>0.34</v>
      </c>
      <c r="R36" s="222">
        <f t="shared" ref="R36:U37" si="29">$L36</f>
        <v>0.18</v>
      </c>
      <c r="S36" s="222">
        <f t="shared" si="29"/>
        <v>0.18</v>
      </c>
      <c r="T36" s="222">
        <f t="shared" si="29"/>
        <v>0.18</v>
      </c>
      <c r="U36" s="222">
        <f t="shared" si="29"/>
        <v>0.18</v>
      </c>
      <c r="V36" s="222">
        <v>0.34</v>
      </c>
      <c r="W36" s="222">
        <v>0.34</v>
      </c>
      <c r="X36" s="222">
        <v>0.34</v>
      </c>
      <c r="Y36" s="222">
        <f t="shared" ref="Y36:Z40" si="30">$L36</f>
        <v>0.18</v>
      </c>
      <c r="Z36" s="222">
        <f t="shared" si="30"/>
        <v>0.18</v>
      </c>
      <c r="AA36" s="223" t="str">
        <f t="shared" si="0"/>
        <v>Install new fluorescent curve signs or upgrade existing curve signs to fluorescent sheeting - Rural</v>
      </c>
      <c r="AB36" s="222">
        <v>0.35</v>
      </c>
      <c r="AC36" s="222"/>
      <c r="AD36" s="222"/>
      <c r="AE36" s="222">
        <f t="shared" ref="AE36:AH37" si="31">$N36</f>
        <v>0.25</v>
      </c>
      <c r="AF36" s="222">
        <f t="shared" si="31"/>
        <v>0.25</v>
      </c>
      <c r="AG36" s="222">
        <f t="shared" si="31"/>
        <v>0.25</v>
      </c>
      <c r="AH36" s="222">
        <f t="shared" si="31"/>
        <v>0.25</v>
      </c>
      <c r="AI36" s="222">
        <v>0.34</v>
      </c>
      <c r="AJ36" s="222">
        <v>0.34</v>
      </c>
      <c r="AK36" s="222">
        <v>0.34</v>
      </c>
      <c r="AL36" s="222">
        <f>$N36</f>
        <v>0.25</v>
      </c>
      <c r="AM36" s="222">
        <v>0.34</v>
      </c>
    </row>
    <row r="37" spans="1:39" x14ac:dyDescent="0.2">
      <c r="A37" s="220">
        <v>3034</v>
      </c>
      <c r="B37" s="220" t="s">
        <v>741</v>
      </c>
      <c r="C37" s="221" t="s">
        <v>735</v>
      </c>
      <c r="D37" s="221" t="s">
        <v>742</v>
      </c>
      <c r="E37" s="218">
        <v>20</v>
      </c>
      <c r="F37" s="218"/>
      <c r="G37" s="218"/>
      <c r="H37" s="218"/>
      <c r="I37" s="218"/>
      <c r="J37" s="218">
        <v>2011</v>
      </c>
      <c r="K37" s="218">
        <v>4</v>
      </c>
      <c r="L37" s="218">
        <v>0.39</v>
      </c>
      <c r="M37" s="218"/>
      <c r="N37" s="218">
        <v>0.44</v>
      </c>
      <c r="O37" s="222"/>
      <c r="P37" s="222"/>
      <c r="Q37" s="222"/>
      <c r="R37" s="222">
        <f t="shared" si="29"/>
        <v>0.39</v>
      </c>
      <c r="S37" s="222">
        <f t="shared" si="29"/>
        <v>0.39</v>
      </c>
      <c r="T37" s="222">
        <f t="shared" si="29"/>
        <v>0.39</v>
      </c>
      <c r="U37" s="222">
        <f t="shared" si="29"/>
        <v>0.39</v>
      </c>
      <c r="V37" s="222">
        <f t="shared" ref="V37:X40" si="32">$L37</f>
        <v>0.39</v>
      </c>
      <c r="W37" s="222">
        <f t="shared" si="32"/>
        <v>0.39</v>
      </c>
      <c r="X37" s="222">
        <f t="shared" si="32"/>
        <v>0.39</v>
      </c>
      <c r="Y37" s="222">
        <f t="shared" si="30"/>
        <v>0.39</v>
      </c>
      <c r="Z37" s="222">
        <f t="shared" si="30"/>
        <v>0.39</v>
      </c>
      <c r="AA37" s="223" t="str">
        <f t="shared" ref="AA37:AA60" si="33">D37</f>
        <v>Install raised median</v>
      </c>
      <c r="AB37" s="222"/>
      <c r="AC37" s="222"/>
      <c r="AD37" s="222"/>
      <c r="AE37" s="222">
        <f t="shared" si="31"/>
        <v>0.44</v>
      </c>
      <c r="AF37" s="222">
        <f t="shared" si="31"/>
        <v>0.44</v>
      </c>
      <c r="AG37" s="222">
        <f t="shared" si="31"/>
        <v>0.44</v>
      </c>
      <c r="AH37" s="222">
        <f t="shared" si="31"/>
        <v>0.44</v>
      </c>
      <c r="AI37" s="222">
        <f t="shared" ref="AI37:AK39" si="34">$N37</f>
        <v>0.44</v>
      </c>
      <c r="AJ37" s="222">
        <f t="shared" si="34"/>
        <v>0.44</v>
      </c>
      <c r="AK37" s="222">
        <f t="shared" si="34"/>
        <v>0.44</v>
      </c>
      <c r="AL37" s="222">
        <f>$N37</f>
        <v>0.44</v>
      </c>
      <c r="AM37" s="222">
        <f>$N37</f>
        <v>0.44</v>
      </c>
    </row>
    <row r="38" spans="1:39" x14ac:dyDescent="0.2">
      <c r="A38" s="220">
        <v>2341</v>
      </c>
      <c r="B38" s="220" t="s">
        <v>814</v>
      </c>
      <c r="C38" s="221" t="s">
        <v>812</v>
      </c>
      <c r="D38" s="221" t="s">
        <v>815</v>
      </c>
      <c r="E38" s="218">
        <v>20</v>
      </c>
      <c r="F38" s="218"/>
      <c r="G38" s="218"/>
      <c r="H38" s="218"/>
      <c r="I38" s="218"/>
      <c r="J38" s="218">
        <v>2008</v>
      </c>
      <c r="K38" s="218">
        <v>5</v>
      </c>
      <c r="L38" s="218">
        <v>0.20300000000000001</v>
      </c>
      <c r="M38" s="218"/>
      <c r="N38" s="218">
        <v>0.26100000000000001</v>
      </c>
      <c r="O38" s="222"/>
      <c r="P38" s="222"/>
      <c r="Q38" s="222"/>
      <c r="R38" s="222">
        <f t="shared" ref="R38:T40" si="35">$L38</f>
        <v>0.20300000000000001</v>
      </c>
      <c r="S38" s="222">
        <f t="shared" si="35"/>
        <v>0.20300000000000001</v>
      </c>
      <c r="T38" s="222">
        <f t="shared" si="35"/>
        <v>0.20300000000000001</v>
      </c>
      <c r="U38" s="222">
        <v>0.38700000000000001</v>
      </c>
      <c r="V38" s="222">
        <f t="shared" si="32"/>
        <v>0.20300000000000001</v>
      </c>
      <c r="W38" s="222">
        <f t="shared" si="32"/>
        <v>0.20300000000000001</v>
      </c>
      <c r="X38" s="222">
        <f t="shared" si="32"/>
        <v>0.20300000000000001</v>
      </c>
      <c r="Y38" s="222">
        <f t="shared" si="30"/>
        <v>0.20300000000000001</v>
      </c>
      <c r="Z38" s="222">
        <f t="shared" si="30"/>
        <v>0.20300000000000001</v>
      </c>
      <c r="AA38" s="223" t="str">
        <f t="shared" si="33"/>
        <v>Install TWLTL (two-way left turn lane) on two lane road</v>
      </c>
      <c r="AB38" s="222"/>
      <c r="AC38" s="222"/>
      <c r="AD38" s="222"/>
      <c r="AE38" s="222">
        <f t="shared" ref="AE38:AG39" si="36">$N38</f>
        <v>0.26100000000000001</v>
      </c>
      <c r="AF38" s="222">
        <f t="shared" si="36"/>
        <v>0.26100000000000001</v>
      </c>
      <c r="AG38" s="222">
        <f t="shared" si="36"/>
        <v>0.26100000000000001</v>
      </c>
      <c r="AH38" s="222">
        <v>0.38700000000000001</v>
      </c>
      <c r="AI38" s="222">
        <f t="shared" si="34"/>
        <v>0.26100000000000001</v>
      </c>
      <c r="AJ38" s="222">
        <f t="shared" si="34"/>
        <v>0.26100000000000001</v>
      </c>
      <c r="AK38" s="222">
        <f t="shared" si="34"/>
        <v>0.26100000000000001</v>
      </c>
      <c r="AL38" s="222">
        <f>$N38</f>
        <v>0.26100000000000001</v>
      </c>
      <c r="AM38" s="222">
        <f>$N38</f>
        <v>0.26100000000000001</v>
      </c>
    </row>
    <row r="39" spans="1:39" x14ac:dyDescent="0.2">
      <c r="A39" s="220">
        <v>2341</v>
      </c>
      <c r="B39" s="220" t="s">
        <v>814</v>
      </c>
      <c r="C39" s="221" t="s">
        <v>812</v>
      </c>
      <c r="D39" s="221" t="s">
        <v>815</v>
      </c>
      <c r="E39" s="218">
        <v>20</v>
      </c>
      <c r="F39" s="218"/>
      <c r="G39" s="218"/>
      <c r="H39" s="218"/>
      <c r="I39" s="218"/>
      <c r="J39" s="218">
        <v>2008</v>
      </c>
      <c r="K39" s="218">
        <v>5</v>
      </c>
      <c r="L39" s="218">
        <v>0.20300000000000001</v>
      </c>
      <c r="M39" s="218"/>
      <c r="N39" s="218">
        <v>0.26100000000000001</v>
      </c>
      <c r="O39" s="222"/>
      <c r="P39" s="222"/>
      <c r="Q39" s="222"/>
      <c r="R39" s="222">
        <f t="shared" si="35"/>
        <v>0.20300000000000001</v>
      </c>
      <c r="S39" s="222">
        <f t="shared" si="35"/>
        <v>0.20300000000000001</v>
      </c>
      <c r="T39" s="222">
        <f t="shared" si="35"/>
        <v>0.20300000000000001</v>
      </c>
      <c r="U39" s="222">
        <v>0.49399999999999999</v>
      </c>
      <c r="V39" s="222">
        <f t="shared" si="32"/>
        <v>0.20300000000000001</v>
      </c>
      <c r="W39" s="222">
        <f t="shared" si="32"/>
        <v>0.20300000000000001</v>
      </c>
      <c r="X39" s="222">
        <f t="shared" si="32"/>
        <v>0.20300000000000001</v>
      </c>
      <c r="Y39" s="222">
        <f t="shared" si="30"/>
        <v>0.20300000000000001</v>
      </c>
      <c r="Z39" s="222">
        <f t="shared" si="30"/>
        <v>0.20300000000000001</v>
      </c>
      <c r="AA39" s="223" t="str">
        <f t="shared" si="33"/>
        <v>Install TWLTL (two-way left turn lane) on two lane road</v>
      </c>
      <c r="AB39" s="222"/>
      <c r="AC39" s="222"/>
      <c r="AD39" s="222"/>
      <c r="AE39" s="222">
        <f t="shared" si="36"/>
        <v>0.26100000000000001</v>
      </c>
      <c r="AF39" s="222">
        <f t="shared" si="36"/>
        <v>0.26100000000000001</v>
      </c>
      <c r="AG39" s="222">
        <f t="shared" si="36"/>
        <v>0.26100000000000001</v>
      </c>
      <c r="AH39" s="222">
        <v>0.49399999999999999</v>
      </c>
      <c r="AI39" s="222">
        <f t="shared" si="34"/>
        <v>0.26100000000000001</v>
      </c>
      <c r="AJ39" s="222">
        <f t="shared" si="34"/>
        <v>0.26100000000000001</v>
      </c>
      <c r="AK39" s="222">
        <f t="shared" si="34"/>
        <v>0.26100000000000001</v>
      </c>
      <c r="AL39" s="222">
        <f>$N39</f>
        <v>0.26100000000000001</v>
      </c>
      <c r="AM39" s="222">
        <f>$N39</f>
        <v>0.26100000000000001</v>
      </c>
    </row>
    <row r="40" spans="1:39" x14ac:dyDescent="0.2">
      <c r="A40" s="220">
        <v>2911</v>
      </c>
      <c r="B40" s="220" t="s">
        <v>794</v>
      </c>
      <c r="C40" s="221" t="s">
        <v>795</v>
      </c>
      <c r="D40" s="221" t="s">
        <v>796</v>
      </c>
      <c r="E40" s="218">
        <v>10</v>
      </c>
      <c r="F40" s="218"/>
      <c r="G40" s="218"/>
      <c r="H40" s="218"/>
      <c r="I40" s="218"/>
      <c r="J40" s="218">
        <v>2010</v>
      </c>
      <c r="K40" s="218">
        <v>4</v>
      </c>
      <c r="L40" s="218">
        <v>0.28999999999999998</v>
      </c>
      <c r="M40" s="218"/>
      <c r="N40" s="218"/>
      <c r="O40" s="222"/>
      <c r="P40" s="222"/>
      <c r="Q40" s="222"/>
      <c r="R40" s="222">
        <f t="shared" si="35"/>
        <v>0.28999999999999998</v>
      </c>
      <c r="S40" s="222">
        <f t="shared" si="35"/>
        <v>0.28999999999999998</v>
      </c>
      <c r="T40" s="222">
        <f t="shared" si="35"/>
        <v>0.28999999999999998</v>
      </c>
      <c r="U40" s="222">
        <f>$L40</f>
        <v>0.28999999999999998</v>
      </c>
      <c r="V40" s="222">
        <f t="shared" si="32"/>
        <v>0.28999999999999998</v>
      </c>
      <c r="W40" s="222">
        <f t="shared" si="32"/>
        <v>0.28999999999999998</v>
      </c>
      <c r="X40" s="222">
        <f t="shared" si="32"/>
        <v>0.28999999999999998</v>
      </c>
      <c r="Y40" s="222">
        <f t="shared" si="30"/>
        <v>0.28999999999999998</v>
      </c>
      <c r="Z40" s="222">
        <f t="shared" si="30"/>
        <v>0.28999999999999998</v>
      </c>
      <c r="AA40" s="223" t="str">
        <f t="shared" si="33"/>
        <v>Installation of a High intensity Activated crossWalK (HAWK) pedestrian-activated beacon at an intersection - Urban</v>
      </c>
      <c r="AB40" s="222"/>
      <c r="AC40" s="222"/>
      <c r="AD40" s="222"/>
      <c r="AE40" s="222">
        <f t="shared" ref="AE40:AM40" si="37">$L40</f>
        <v>0.28999999999999998</v>
      </c>
      <c r="AF40" s="222">
        <f t="shared" si="37"/>
        <v>0.28999999999999998</v>
      </c>
      <c r="AG40" s="222">
        <f t="shared" si="37"/>
        <v>0.28999999999999998</v>
      </c>
      <c r="AH40" s="222">
        <f t="shared" si="37"/>
        <v>0.28999999999999998</v>
      </c>
      <c r="AI40" s="222">
        <f t="shared" si="37"/>
        <v>0.28999999999999998</v>
      </c>
      <c r="AJ40" s="222">
        <f t="shared" si="37"/>
        <v>0.28999999999999998</v>
      </c>
      <c r="AK40" s="222">
        <f t="shared" si="37"/>
        <v>0.28999999999999998</v>
      </c>
      <c r="AL40" s="222">
        <f t="shared" si="37"/>
        <v>0.28999999999999998</v>
      </c>
      <c r="AM40" s="222">
        <f t="shared" si="37"/>
        <v>0.28999999999999998</v>
      </c>
    </row>
    <row r="41" spans="1:39" x14ac:dyDescent="0.2">
      <c r="A41" s="220">
        <v>3172</v>
      </c>
      <c r="B41" s="220" t="s">
        <v>809</v>
      </c>
      <c r="C41" s="221" t="s">
        <v>803</v>
      </c>
      <c r="D41" s="221" t="s">
        <v>810</v>
      </c>
      <c r="E41" s="218">
        <v>20</v>
      </c>
      <c r="F41" s="218" t="s">
        <v>393</v>
      </c>
      <c r="G41" s="218"/>
      <c r="H41" s="218"/>
      <c r="I41" s="218"/>
      <c r="J41" s="218">
        <v>2011</v>
      </c>
      <c r="K41" s="218">
        <v>3</v>
      </c>
      <c r="L41" s="218"/>
      <c r="M41" s="218"/>
      <c r="N41" s="218">
        <v>0.44</v>
      </c>
      <c r="O41" s="222"/>
      <c r="P41" s="222"/>
      <c r="Q41" s="222"/>
      <c r="R41" s="222"/>
      <c r="S41" s="222"/>
      <c r="T41" s="222"/>
      <c r="U41" s="222"/>
      <c r="V41" s="222"/>
      <c r="W41" s="222"/>
      <c r="X41" s="222"/>
      <c r="Y41" s="222"/>
      <c r="Z41" s="222"/>
      <c r="AA41" s="223" t="str">
        <f t="shared" si="33"/>
        <v>Installation of cable barriers in freeway medians</v>
      </c>
      <c r="AB41" s="222"/>
      <c r="AC41" s="222"/>
      <c r="AD41" s="222"/>
      <c r="AE41" s="222">
        <f t="shared" ref="AE41:AM43" si="38">$N41</f>
        <v>0.44</v>
      </c>
      <c r="AF41" s="222">
        <f t="shared" si="38"/>
        <v>0.44</v>
      </c>
      <c r="AG41" s="222">
        <f t="shared" si="38"/>
        <v>0.44</v>
      </c>
      <c r="AH41" s="222">
        <f t="shared" si="38"/>
        <v>0.44</v>
      </c>
      <c r="AI41" s="222">
        <f t="shared" si="38"/>
        <v>0.44</v>
      </c>
      <c r="AJ41" s="222">
        <f t="shared" si="38"/>
        <v>0.44</v>
      </c>
      <c r="AK41" s="222">
        <f t="shared" si="38"/>
        <v>0.44</v>
      </c>
      <c r="AL41" s="222">
        <f t="shared" si="38"/>
        <v>0.44</v>
      </c>
      <c r="AM41" s="222">
        <f t="shared" si="38"/>
        <v>0.44</v>
      </c>
    </row>
    <row r="42" spans="1:39" x14ac:dyDescent="0.2">
      <c r="A42" s="220">
        <v>265</v>
      </c>
      <c r="B42" s="220" t="s">
        <v>758</v>
      </c>
      <c r="C42" s="221" t="s">
        <v>759</v>
      </c>
      <c r="D42" s="221" t="s">
        <v>761</v>
      </c>
      <c r="E42" s="218">
        <v>20</v>
      </c>
      <c r="F42" s="218" t="s">
        <v>740</v>
      </c>
      <c r="G42" s="218"/>
      <c r="H42" s="218"/>
      <c r="I42" s="218"/>
      <c r="J42" s="218">
        <v>2002</v>
      </c>
      <c r="K42" s="218">
        <v>5</v>
      </c>
      <c r="L42" s="218">
        <v>0.28000000000000003</v>
      </c>
      <c r="M42" s="218"/>
      <c r="N42" s="218">
        <v>0.35</v>
      </c>
      <c r="O42" s="222"/>
      <c r="P42" s="222"/>
      <c r="Q42" s="222"/>
      <c r="R42" s="222">
        <f t="shared" ref="R42:Z47" si="39">$L42</f>
        <v>0.28000000000000003</v>
      </c>
      <c r="S42" s="222">
        <f t="shared" si="39"/>
        <v>0.28000000000000003</v>
      </c>
      <c r="T42" s="222">
        <f t="shared" si="39"/>
        <v>0.28000000000000003</v>
      </c>
      <c r="U42" s="222">
        <f t="shared" si="39"/>
        <v>0.28000000000000003</v>
      </c>
      <c r="V42" s="222">
        <f t="shared" si="39"/>
        <v>0.28000000000000003</v>
      </c>
      <c r="W42" s="222">
        <f t="shared" si="39"/>
        <v>0.28000000000000003</v>
      </c>
      <c r="X42" s="222">
        <f t="shared" si="39"/>
        <v>0.28000000000000003</v>
      </c>
      <c r="Y42" s="222">
        <f t="shared" si="39"/>
        <v>0.28000000000000003</v>
      </c>
      <c r="Z42" s="222">
        <f t="shared" si="39"/>
        <v>0.28000000000000003</v>
      </c>
      <c r="AA42" s="223" t="str">
        <f t="shared" si="33"/>
        <v>Installation of left-turn lane on single major road approach - Rural</v>
      </c>
      <c r="AB42" s="222"/>
      <c r="AC42" s="222"/>
      <c r="AD42" s="222"/>
      <c r="AE42" s="222">
        <f t="shared" si="38"/>
        <v>0.35</v>
      </c>
      <c r="AF42" s="222">
        <f t="shared" si="38"/>
        <v>0.35</v>
      </c>
      <c r="AG42" s="222">
        <f t="shared" si="38"/>
        <v>0.35</v>
      </c>
      <c r="AH42" s="222">
        <f t="shared" si="38"/>
        <v>0.35</v>
      </c>
      <c r="AI42" s="222">
        <f t="shared" si="38"/>
        <v>0.35</v>
      </c>
      <c r="AJ42" s="222">
        <f t="shared" si="38"/>
        <v>0.35</v>
      </c>
      <c r="AK42" s="222">
        <f t="shared" si="38"/>
        <v>0.35</v>
      </c>
      <c r="AL42" s="222">
        <f t="shared" si="38"/>
        <v>0.35</v>
      </c>
      <c r="AM42" s="222">
        <f t="shared" si="38"/>
        <v>0.35</v>
      </c>
    </row>
    <row r="43" spans="1:39" x14ac:dyDescent="0.2">
      <c r="A43" s="220">
        <v>255</v>
      </c>
      <c r="B43" s="220" t="s">
        <v>758</v>
      </c>
      <c r="C43" s="221" t="s">
        <v>759</v>
      </c>
      <c r="D43" s="221" t="s">
        <v>760</v>
      </c>
      <c r="E43" s="218">
        <v>20</v>
      </c>
      <c r="F43" s="218" t="s">
        <v>740</v>
      </c>
      <c r="G43" s="218"/>
      <c r="H43" s="218"/>
      <c r="I43" s="218"/>
      <c r="J43" s="218">
        <v>2002</v>
      </c>
      <c r="K43" s="218">
        <v>5</v>
      </c>
      <c r="L43" s="218">
        <v>0.27</v>
      </c>
      <c r="M43" s="218"/>
      <c r="N43" s="218">
        <v>0.28999999999999998</v>
      </c>
      <c r="O43" s="222"/>
      <c r="P43" s="222"/>
      <c r="Q43" s="222"/>
      <c r="R43" s="222">
        <f t="shared" si="39"/>
        <v>0.27</v>
      </c>
      <c r="S43" s="222">
        <f t="shared" si="39"/>
        <v>0.27</v>
      </c>
      <c r="T43" s="222">
        <f t="shared" si="39"/>
        <v>0.27</v>
      </c>
      <c r="U43" s="222">
        <f t="shared" si="39"/>
        <v>0.27</v>
      </c>
      <c r="V43" s="222">
        <f t="shared" si="39"/>
        <v>0.27</v>
      </c>
      <c r="W43" s="222">
        <f t="shared" si="39"/>
        <v>0.27</v>
      </c>
      <c r="X43" s="222">
        <f t="shared" si="39"/>
        <v>0.27</v>
      </c>
      <c r="Y43" s="222">
        <f t="shared" si="39"/>
        <v>0.27</v>
      </c>
      <c r="Z43" s="222">
        <f t="shared" si="39"/>
        <v>0.27</v>
      </c>
      <c r="AA43" s="223" t="str">
        <f t="shared" si="33"/>
        <v>Installation of left-turn lane on single major road approach - Urban</v>
      </c>
      <c r="AB43" s="222"/>
      <c r="AC43" s="222"/>
      <c r="AD43" s="222"/>
      <c r="AE43" s="222">
        <f t="shared" si="38"/>
        <v>0.28999999999999998</v>
      </c>
      <c r="AF43" s="222">
        <f t="shared" si="38"/>
        <v>0.28999999999999998</v>
      </c>
      <c r="AG43" s="222">
        <f t="shared" si="38"/>
        <v>0.28999999999999998</v>
      </c>
      <c r="AH43" s="222">
        <f t="shared" si="38"/>
        <v>0.28999999999999998</v>
      </c>
      <c r="AI43" s="222">
        <f t="shared" si="38"/>
        <v>0.28999999999999998</v>
      </c>
      <c r="AJ43" s="222">
        <f t="shared" si="38"/>
        <v>0.28999999999999998</v>
      </c>
      <c r="AK43" s="222">
        <f t="shared" si="38"/>
        <v>0.28999999999999998</v>
      </c>
      <c r="AL43" s="222">
        <f t="shared" si="38"/>
        <v>0.28999999999999998</v>
      </c>
      <c r="AM43" s="222">
        <f t="shared" si="38"/>
        <v>0.28999999999999998</v>
      </c>
    </row>
    <row r="44" spans="1:39" x14ac:dyDescent="0.2">
      <c r="A44" s="220">
        <v>290</v>
      </c>
      <c r="B44" s="220" t="s">
        <v>758</v>
      </c>
      <c r="C44" s="221" t="s">
        <v>759</v>
      </c>
      <c r="D44" s="221" t="s">
        <v>767</v>
      </c>
      <c r="E44" s="218">
        <v>20</v>
      </c>
      <c r="F44" s="218" t="s">
        <v>740</v>
      </c>
      <c r="G44" s="218"/>
      <c r="H44" s="218"/>
      <c r="I44" s="218"/>
      <c r="J44" s="218">
        <v>2002</v>
      </c>
      <c r="K44" s="218">
        <v>5</v>
      </c>
      <c r="L44" s="218">
        <v>0.08</v>
      </c>
      <c r="M44" s="218"/>
      <c r="N44" s="218"/>
      <c r="O44" s="222"/>
      <c r="P44" s="222"/>
      <c r="Q44" s="222"/>
      <c r="R44" s="222">
        <f t="shared" si="39"/>
        <v>0.08</v>
      </c>
      <c r="S44" s="222">
        <f t="shared" si="39"/>
        <v>0.08</v>
      </c>
      <c r="T44" s="222">
        <f t="shared" si="39"/>
        <v>0.08</v>
      </c>
      <c r="U44" s="222">
        <f t="shared" si="39"/>
        <v>0.08</v>
      </c>
      <c r="V44" s="222">
        <f t="shared" si="39"/>
        <v>0.08</v>
      </c>
      <c r="W44" s="222">
        <f t="shared" si="39"/>
        <v>0.08</v>
      </c>
      <c r="X44" s="222">
        <f t="shared" si="39"/>
        <v>0.08</v>
      </c>
      <c r="Y44" s="222">
        <f t="shared" si="39"/>
        <v>0.08</v>
      </c>
      <c r="Z44" s="222">
        <f t="shared" si="39"/>
        <v>0.08</v>
      </c>
      <c r="AA44" s="223" t="str">
        <f t="shared" si="33"/>
        <v>Installation of right-turn lane on both major road approaches - Signalized</v>
      </c>
      <c r="AB44" s="222"/>
      <c r="AC44" s="222"/>
      <c r="AD44" s="222"/>
      <c r="AE44" s="222">
        <f t="shared" ref="AE44:AM44" si="40">$L44</f>
        <v>0.08</v>
      </c>
      <c r="AF44" s="222">
        <f t="shared" si="40"/>
        <v>0.08</v>
      </c>
      <c r="AG44" s="222">
        <f t="shared" si="40"/>
        <v>0.08</v>
      </c>
      <c r="AH44" s="222">
        <f t="shared" si="40"/>
        <v>0.08</v>
      </c>
      <c r="AI44" s="222">
        <f t="shared" si="40"/>
        <v>0.08</v>
      </c>
      <c r="AJ44" s="222">
        <f t="shared" si="40"/>
        <v>0.08</v>
      </c>
      <c r="AK44" s="222">
        <f t="shared" si="40"/>
        <v>0.08</v>
      </c>
      <c r="AL44" s="222">
        <f t="shared" si="40"/>
        <v>0.08</v>
      </c>
      <c r="AM44" s="222">
        <f t="shared" si="40"/>
        <v>0.08</v>
      </c>
    </row>
    <row r="45" spans="1:39" x14ac:dyDescent="0.2">
      <c r="A45" s="220">
        <v>285</v>
      </c>
      <c r="B45" s="220" t="s">
        <v>758</v>
      </c>
      <c r="C45" s="221" t="s">
        <v>759</v>
      </c>
      <c r="D45" s="221" t="s">
        <v>766</v>
      </c>
      <c r="E45" s="218">
        <v>20</v>
      </c>
      <c r="F45" s="218" t="s">
        <v>740</v>
      </c>
      <c r="G45" s="218"/>
      <c r="H45" s="218"/>
      <c r="I45" s="218"/>
      <c r="J45" s="218">
        <v>2002</v>
      </c>
      <c r="K45" s="218">
        <v>4</v>
      </c>
      <c r="L45" s="218">
        <v>0.14000000000000001</v>
      </c>
      <c r="M45" s="218"/>
      <c r="N45" s="218">
        <v>0.23</v>
      </c>
      <c r="O45" s="222"/>
      <c r="P45" s="222"/>
      <c r="Q45" s="222"/>
      <c r="R45" s="222">
        <f t="shared" si="39"/>
        <v>0.14000000000000001</v>
      </c>
      <c r="S45" s="222">
        <f t="shared" si="39"/>
        <v>0.14000000000000001</v>
      </c>
      <c r="T45" s="222">
        <f t="shared" si="39"/>
        <v>0.14000000000000001</v>
      </c>
      <c r="U45" s="222">
        <f t="shared" si="39"/>
        <v>0.14000000000000001</v>
      </c>
      <c r="V45" s="222">
        <f t="shared" si="39"/>
        <v>0.14000000000000001</v>
      </c>
      <c r="W45" s="222">
        <f t="shared" si="39"/>
        <v>0.14000000000000001</v>
      </c>
      <c r="X45" s="222">
        <f t="shared" si="39"/>
        <v>0.14000000000000001</v>
      </c>
      <c r="Y45" s="222">
        <f t="shared" si="39"/>
        <v>0.14000000000000001</v>
      </c>
      <c r="Z45" s="222">
        <f t="shared" si="39"/>
        <v>0.14000000000000001</v>
      </c>
      <c r="AA45" s="223" t="str">
        <f t="shared" si="33"/>
        <v>Installation of right-turn lane on single major road approach - Stop Controlled</v>
      </c>
      <c r="AB45" s="222"/>
      <c r="AC45" s="222"/>
      <c r="AD45" s="222"/>
      <c r="AE45" s="222">
        <f t="shared" ref="AE45:AM45" si="41">$N45</f>
        <v>0.23</v>
      </c>
      <c r="AF45" s="222">
        <f t="shared" si="41"/>
        <v>0.23</v>
      </c>
      <c r="AG45" s="222">
        <f t="shared" si="41"/>
        <v>0.23</v>
      </c>
      <c r="AH45" s="222">
        <f t="shared" si="41"/>
        <v>0.23</v>
      </c>
      <c r="AI45" s="222">
        <f t="shared" si="41"/>
        <v>0.23</v>
      </c>
      <c r="AJ45" s="222">
        <f t="shared" si="41"/>
        <v>0.23</v>
      </c>
      <c r="AK45" s="222">
        <f t="shared" si="41"/>
        <v>0.23</v>
      </c>
      <c r="AL45" s="222">
        <f t="shared" si="41"/>
        <v>0.23</v>
      </c>
      <c r="AM45" s="222">
        <f t="shared" si="41"/>
        <v>0.23</v>
      </c>
    </row>
    <row r="46" spans="1:39" x14ac:dyDescent="0.2">
      <c r="A46" s="220">
        <v>494</v>
      </c>
      <c r="B46" s="220" t="s">
        <v>734</v>
      </c>
      <c r="C46" s="221" t="s">
        <v>797</v>
      </c>
      <c r="D46" s="221" t="s">
        <v>802</v>
      </c>
      <c r="E46" s="218">
        <v>20</v>
      </c>
      <c r="F46" s="218"/>
      <c r="G46" s="218"/>
      <c r="H46" s="218"/>
      <c r="I46" s="218"/>
      <c r="J46" s="218">
        <v>2004</v>
      </c>
      <c r="K46" s="218">
        <v>4</v>
      </c>
      <c r="L46" s="218">
        <v>0.45</v>
      </c>
      <c r="M46" s="218"/>
      <c r="N46" s="218"/>
      <c r="O46" s="222"/>
      <c r="P46" s="222"/>
      <c r="Q46" s="222"/>
      <c r="R46" s="222">
        <f t="shared" si="39"/>
        <v>0.45</v>
      </c>
      <c r="S46" s="222">
        <f t="shared" si="39"/>
        <v>0.45</v>
      </c>
      <c r="T46" s="222">
        <f t="shared" si="39"/>
        <v>0.45</v>
      </c>
      <c r="U46" s="222">
        <f t="shared" si="39"/>
        <v>0.45</v>
      </c>
      <c r="V46" s="222">
        <f t="shared" si="39"/>
        <v>0.45</v>
      </c>
      <c r="W46" s="222">
        <f t="shared" si="39"/>
        <v>0.45</v>
      </c>
      <c r="X46" s="222">
        <f t="shared" si="39"/>
        <v>0.45</v>
      </c>
      <c r="Y46" s="222">
        <f t="shared" si="39"/>
        <v>0.45</v>
      </c>
      <c r="Z46" s="222">
        <f t="shared" si="39"/>
        <v>0.45</v>
      </c>
      <c r="AA46" s="223" t="str">
        <f t="shared" si="33"/>
        <v>Installing gates at crossings with flashing lights and sound signals</v>
      </c>
      <c r="AB46" s="222"/>
      <c r="AC46" s="222"/>
      <c r="AD46" s="222"/>
      <c r="AE46" s="222">
        <f t="shared" ref="AE46:AM47" si="42">$L46</f>
        <v>0.45</v>
      </c>
      <c r="AF46" s="222">
        <f t="shared" si="42"/>
        <v>0.45</v>
      </c>
      <c r="AG46" s="222">
        <f t="shared" si="42"/>
        <v>0.45</v>
      </c>
      <c r="AH46" s="222">
        <f t="shared" si="42"/>
        <v>0.45</v>
      </c>
      <c r="AI46" s="222">
        <f t="shared" si="42"/>
        <v>0.45</v>
      </c>
      <c r="AJ46" s="222">
        <f t="shared" si="42"/>
        <v>0.45</v>
      </c>
      <c r="AK46" s="222">
        <f t="shared" si="42"/>
        <v>0.45</v>
      </c>
      <c r="AL46" s="222">
        <f t="shared" si="42"/>
        <v>0.45</v>
      </c>
      <c r="AM46" s="222">
        <f t="shared" si="42"/>
        <v>0.45</v>
      </c>
    </row>
    <row r="47" spans="1:39" x14ac:dyDescent="0.2">
      <c r="A47" s="220">
        <v>493</v>
      </c>
      <c r="B47" s="220" t="s">
        <v>799</v>
      </c>
      <c r="C47" s="221" t="s">
        <v>797</v>
      </c>
      <c r="D47" s="221" t="s">
        <v>801</v>
      </c>
      <c r="E47" s="218">
        <v>20</v>
      </c>
      <c r="F47" s="218"/>
      <c r="G47" s="218"/>
      <c r="H47" s="218"/>
      <c r="I47" s="218"/>
      <c r="J47" s="218">
        <v>2005</v>
      </c>
      <c r="K47" s="218">
        <v>5</v>
      </c>
      <c r="L47" s="218">
        <v>0.93</v>
      </c>
      <c r="M47" s="218"/>
      <c r="N47" s="218"/>
      <c r="O47" s="222"/>
      <c r="P47" s="222"/>
      <c r="Q47" s="222"/>
      <c r="R47" s="222">
        <f t="shared" si="39"/>
        <v>0.93</v>
      </c>
      <c r="S47" s="222">
        <f t="shared" si="39"/>
        <v>0.93</v>
      </c>
      <c r="T47" s="222">
        <f t="shared" si="39"/>
        <v>0.93</v>
      </c>
      <c r="U47" s="222">
        <f t="shared" si="39"/>
        <v>0.93</v>
      </c>
      <c r="V47" s="222">
        <f t="shared" si="39"/>
        <v>0.93</v>
      </c>
      <c r="W47" s="222">
        <f t="shared" si="39"/>
        <v>0.93</v>
      </c>
      <c r="X47" s="222">
        <f t="shared" si="39"/>
        <v>0.93</v>
      </c>
      <c r="Y47" s="222">
        <f t="shared" si="39"/>
        <v>0.93</v>
      </c>
      <c r="Z47" s="222">
        <f t="shared" si="39"/>
        <v>0.93</v>
      </c>
      <c r="AA47" s="223" t="str">
        <f t="shared" si="33"/>
        <v>Installing gates at crossings with signs</v>
      </c>
      <c r="AB47" s="222"/>
      <c r="AC47" s="222"/>
      <c r="AD47" s="222"/>
      <c r="AE47" s="222">
        <f t="shared" si="42"/>
        <v>0.93</v>
      </c>
      <c r="AF47" s="222">
        <f t="shared" si="42"/>
        <v>0.93</v>
      </c>
      <c r="AG47" s="222">
        <f t="shared" si="42"/>
        <v>0.93</v>
      </c>
      <c r="AH47" s="222">
        <f t="shared" si="42"/>
        <v>0.93</v>
      </c>
      <c r="AI47" s="222">
        <f t="shared" si="42"/>
        <v>0.93</v>
      </c>
      <c r="AJ47" s="222">
        <f t="shared" si="42"/>
        <v>0.93</v>
      </c>
      <c r="AK47" s="222">
        <f t="shared" si="42"/>
        <v>0.93</v>
      </c>
      <c r="AL47" s="222">
        <f t="shared" si="42"/>
        <v>0.93</v>
      </c>
      <c r="AM47" s="222">
        <f t="shared" si="42"/>
        <v>0.93</v>
      </c>
    </row>
    <row r="48" spans="1:39" x14ac:dyDescent="0.2">
      <c r="A48" s="220">
        <v>583</v>
      </c>
      <c r="B48" s="220" t="s">
        <v>814</v>
      </c>
      <c r="C48" s="221" t="s">
        <v>812</v>
      </c>
      <c r="D48" s="221" t="s">
        <v>816</v>
      </c>
      <c r="E48" s="218">
        <v>20</v>
      </c>
      <c r="F48" s="218"/>
      <c r="G48" s="218"/>
      <c r="H48" s="218"/>
      <c r="I48" s="218"/>
      <c r="J48" s="218">
        <v>2008</v>
      </c>
      <c r="K48" s="218">
        <v>5</v>
      </c>
      <c r="L48" s="218">
        <v>0.36</v>
      </c>
      <c r="M48" s="218"/>
      <c r="N48" s="218">
        <v>0.35</v>
      </c>
      <c r="O48" s="222"/>
      <c r="P48" s="222"/>
      <c r="Q48" s="222"/>
      <c r="R48" s="222">
        <f>$L48</f>
        <v>0.36</v>
      </c>
      <c r="S48" s="222">
        <f>$L48</f>
        <v>0.36</v>
      </c>
      <c r="T48" s="222">
        <f>$L48</f>
        <v>0.36</v>
      </c>
      <c r="U48" s="222">
        <v>0.47</v>
      </c>
      <c r="V48" s="222">
        <f>$L48</f>
        <v>0.36</v>
      </c>
      <c r="W48" s="222">
        <f>$L48</f>
        <v>0.36</v>
      </c>
      <c r="X48" s="222">
        <f>$L48</f>
        <v>0.36</v>
      </c>
      <c r="Y48" s="222">
        <f>$L48</f>
        <v>0.36</v>
      </c>
      <c r="Z48" s="222">
        <f>$L48</f>
        <v>0.36</v>
      </c>
      <c r="AA48" s="223" t="str">
        <f t="shared" si="33"/>
        <v>Introduce TWLTL (two-way left turn lanes) on rural two lane roads</v>
      </c>
      <c r="AB48" s="222"/>
      <c r="AC48" s="222"/>
      <c r="AD48" s="222"/>
      <c r="AE48" s="222">
        <f>$N48</f>
        <v>0.35</v>
      </c>
      <c r="AF48" s="222">
        <f>$N48</f>
        <v>0.35</v>
      </c>
      <c r="AG48" s="222">
        <f>$N48</f>
        <v>0.35</v>
      </c>
      <c r="AH48" s="222">
        <v>0.47</v>
      </c>
      <c r="AI48" s="222">
        <f>$N48</f>
        <v>0.35</v>
      </c>
      <c r="AJ48" s="222">
        <f>$N48</f>
        <v>0.35</v>
      </c>
      <c r="AK48" s="222">
        <f>$N48</f>
        <v>0.35</v>
      </c>
      <c r="AL48" s="222">
        <f>$N48</f>
        <v>0.35</v>
      </c>
      <c r="AM48" s="222">
        <f>$N48</f>
        <v>0.35</v>
      </c>
    </row>
    <row r="49" spans="1:39" x14ac:dyDescent="0.2">
      <c r="A49" s="220">
        <v>276</v>
      </c>
      <c r="B49" s="220" t="s">
        <v>764</v>
      </c>
      <c r="C49" s="221" t="s">
        <v>759</v>
      </c>
      <c r="D49" s="221" t="s">
        <v>765</v>
      </c>
      <c r="E49" s="218">
        <v>20</v>
      </c>
      <c r="F49" s="218" t="s">
        <v>740</v>
      </c>
      <c r="G49" s="218"/>
      <c r="H49" s="218"/>
      <c r="I49" s="218"/>
      <c r="J49" s="218">
        <v>2007</v>
      </c>
      <c r="K49" s="218">
        <v>3</v>
      </c>
      <c r="L49" s="218"/>
      <c r="M49" s="218"/>
      <c r="N49" s="218"/>
      <c r="O49" s="222"/>
      <c r="P49" s="222"/>
      <c r="Q49" s="222"/>
      <c r="R49" s="222">
        <v>0.2</v>
      </c>
      <c r="S49" s="222"/>
      <c r="T49" s="222">
        <v>0.26</v>
      </c>
      <c r="U49" s="222"/>
      <c r="V49" s="222"/>
      <c r="W49" s="222"/>
      <c r="X49" s="222"/>
      <c r="Y49" s="222"/>
      <c r="Z49" s="222"/>
      <c r="AA49" s="223" t="str">
        <f t="shared" si="33"/>
        <v>Introducing zero or positive offset left-turn lane on crossing roadway</v>
      </c>
      <c r="AB49" s="222"/>
      <c r="AC49" s="222"/>
      <c r="AD49" s="222"/>
      <c r="AE49" s="222">
        <v>0.2</v>
      </c>
      <c r="AF49" s="222"/>
      <c r="AG49" s="222">
        <v>0.26</v>
      </c>
      <c r="AH49" s="222"/>
      <c r="AI49" s="222"/>
      <c r="AJ49" s="222"/>
      <c r="AK49" s="222"/>
      <c r="AL49" s="222"/>
      <c r="AM49" s="222"/>
    </row>
    <row r="50" spans="1:39" x14ac:dyDescent="0.2">
      <c r="A50" s="220">
        <v>433</v>
      </c>
      <c r="B50" s="220" t="s">
        <v>734</v>
      </c>
      <c r="C50" s="221" t="s">
        <v>748</v>
      </c>
      <c r="D50" s="221" t="s">
        <v>750</v>
      </c>
      <c r="E50" s="218">
        <v>10</v>
      </c>
      <c r="F50" s="218" t="s">
        <v>740</v>
      </c>
      <c r="G50" s="218"/>
      <c r="H50" s="218"/>
      <c r="I50" s="218"/>
      <c r="J50" s="218">
        <v>2004</v>
      </c>
      <c r="K50" s="218">
        <v>4</v>
      </c>
      <c r="L50" s="218"/>
      <c r="M50" s="218">
        <v>0.31</v>
      </c>
      <c r="N50" s="218">
        <v>0.38</v>
      </c>
      <c r="O50" s="222"/>
      <c r="P50" s="222"/>
      <c r="Q50" s="222"/>
      <c r="R50" s="222">
        <f t="shared" ref="R50:Z50" si="43">$M50</f>
        <v>0.31</v>
      </c>
      <c r="S50" s="222">
        <f t="shared" si="43"/>
        <v>0.31</v>
      </c>
      <c r="T50" s="222">
        <f t="shared" si="43"/>
        <v>0.31</v>
      </c>
      <c r="U50" s="222">
        <f t="shared" si="43"/>
        <v>0.31</v>
      </c>
      <c r="V50" s="222">
        <f t="shared" si="43"/>
        <v>0.31</v>
      </c>
      <c r="W50" s="222">
        <f t="shared" si="43"/>
        <v>0.31</v>
      </c>
      <c r="X50" s="222">
        <f t="shared" si="43"/>
        <v>0.31</v>
      </c>
      <c r="Y50" s="222">
        <f t="shared" si="43"/>
        <v>0.31</v>
      </c>
      <c r="Z50" s="222">
        <f t="shared" si="43"/>
        <v>0.31</v>
      </c>
      <c r="AA50" s="223" t="str">
        <f t="shared" si="33"/>
        <v>Lighting in intersections</v>
      </c>
      <c r="AB50" s="222"/>
      <c r="AC50" s="222"/>
      <c r="AD50" s="222"/>
      <c r="AE50" s="222">
        <f t="shared" ref="AE50:AK50" si="44">$N50</f>
        <v>0.38</v>
      </c>
      <c r="AF50" s="222">
        <f t="shared" si="44"/>
        <v>0.38</v>
      </c>
      <c r="AG50" s="222">
        <f t="shared" si="44"/>
        <v>0.38</v>
      </c>
      <c r="AH50" s="222">
        <f t="shared" si="44"/>
        <v>0.38</v>
      </c>
      <c r="AI50" s="222">
        <f t="shared" si="44"/>
        <v>0.38</v>
      </c>
      <c r="AJ50" s="222">
        <f t="shared" si="44"/>
        <v>0.38</v>
      </c>
      <c r="AK50" s="222">
        <f t="shared" si="44"/>
        <v>0.38</v>
      </c>
      <c r="AL50" s="222">
        <v>0.42</v>
      </c>
      <c r="AM50" s="222">
        <f>$N50</f>
        <v>0.38</v>
      </c>
    </row>
    <row r="51" spans="1:39" x14ac:dyDescent="0.2">
      <c r="A51" s="220">
        <v>476</v>
      </c>
      <c r="B51" s="220" t="s">
        <v>751</v>
      </c>
      <c r="C51" s="221" t="s">
        <v>752</v>
      </c>
      <c r="D51" s="221" t="s">
        <v>757</v>
      </c>
      <c r="E51" s="218">
        <v>20</v>
      </c>
      <c r="F51" s="218"/>
      <c r="G51" s="218"/>
      <c r="H51" s="218"/>
      <c r="I51" s="218"/>
      <c r="J51" s="218">
        <v>2007</v>
      </c>
      <c r="K51" s="218">
        <v>5</v>
      </c>
      <c r="L51" s="218">
        <v>0.32</v>
      </c>
      <c r="M51" s="218"/>
      <c r="N51" s="218"/>
      <c r="O51" s="222"/>
      <c r="P51" s="222"/>
      <c r="Q51" s="222"/>
      <c r="R51" s="222">
        <f t="shared" ref="R51:Z51" si="45">$L51</f>
        <v>0.32</v>
      </c>
      <c r="S51" s="222">
        <f t="shared" si="45"/>
        <v>0.32</v>
      </c>
      <c r="T51" s="222">
        <f t="shared" si="45"/>
        <v>0.32</v>
      </c>
      <c r="U51" s="222">
        <f t="shared" si="45"/>
        <v>0.32</v>
      </c>
      <c r="V51" s="222">
        <f t="shared" si="45"/>
        <v>0.32</v>
      </c>
      <c r="W51" s="222">
        <f t="shared" si="45"/>
        <v>0.32</v>
      </c>
      <c r="X51" s="222">
        <f t="shared" si="45"/>
        <v>0.32</v>
      </c>
      <c r="Y51" s="222">
        <f t="shared" si="45"/>
        <v>0.32</v>
      </c>
      <c r="Z51" s="222">
        <f t="shared" si="45"/>
        <v>0.32</v>
      </c>
      <c r="AA51" s="223" t="str">
        <f t="shared" si="33"/>
        <v>Modify two-lane to one-lane merge/ diverge area</v>
      </c>
      <c r="AB51" s="222"/>
      <c r="AC51" s="222"/>
      <c r="AD51" s="222"/>
      <c r="AE51" s="222">
        <f t="shared" ref="AE51:AM51" si="46">$L51</f>
        <v>0.32</v>
      </c>
      <c r="AF51" s="222">
        <f t="shared" si="46"/>
        <v>0.32</v>
      </c>
      <c r="AG51" s="222">
        <f t="shared" si="46"/>
        <v>0.32</v>
      </c>
      <c r="AH51" s="222">
        <f t="shared" si="46"/>
        <v>0.32</v>
      </c>
      <c r="AI51" s="222">
        <f t="shared" si="46"/>
        <v>0.32</v>
      </c>
      <c r="AJ51" s="222">
        <f t="shared" si="46"/>
        <v>0.32</v>
      </c>
      <c r="AK51" s="222">
        <f t="shared" si="46"/>
        <v>0.32</v>
      </c>
      <c r="AL51" s="222">
        <f t="shared" si="46"/>
        <v>0.32</v>
      </c>
      <c r="AM51" s="222">
        <f t="shared" si="46"/>
        <v>0.32</v>
      </c>
    </row>
    <row r="52" spans="1:39" x14ac:dyDescent="0.2">
      <c r="A52" s="220">
        <v>38</v>
      </c>
      <c r="B52" s="220" t="s">
        <v>734</v>
      </c>
      <c r="C52" s="221" t="s">
        <v>803</v>
      </c>
      <c r="D52" s="221" t="s">
        <v>804</v>
      </c>
      <c r="E52" s="218">
        <v>20</v>
      </c>
      <c r="F52" s="218" t="s">
        <v>393</v>
      </c>
      <c r="G52" s="218"/>
      <c r="H52" s="218"/>
      <c r="I52" s="218" t="s">
        <v>740</v>
      </c>
      <c r="J52" s="218">
        <v>2004</v>
      </c>
      <c r="K52" s="218">
        <v>5</v>
      </c>
      <c r="L52" s="218"/>
      <c r="M52" s="218"/>
      <c r="N52" s="218"/>
      <c r="O52" s="222"/>
      <c r="P52" s="222"/>
      <c r="Q52" s="222">
        <v>7.0000000000000007E-2</v>
      </c>
      <c r="R52" s="222"/>
      <c r="S52" s="222"/>
      <c r="T52" s="222"/>
      <c r="U52" s="222"/>
      <c r="V52" s="222"/>
      <c r="W52" s="222"/>
      <c r="X52" s="222"/>
      <c r="Y52" s="222"/>
      <c r="Z52" s="222"/>
      <c r="AA52" s="223" t="str">
        <f t="shared" si="33"/>
        <v>New guardrail along embankment</v>
      </c>
      <c r="AB52" s="222"/>
      <c r="AC52" s="222"/>
      <c r="AD52" s="222">
        <v>0.47</v>
      </c>
      <c r="AE52" s="222"/>
      <c r="AF52" s="222"/>
      <c r="AG52" s="222"/>
      <c r="AH52" s="222"/>
      <c r="AI52" s="222"/>
      <c r="AJ52" s="222"/>
      <c r="AK52" s="222">
        <v>0.47</v>
      </c>
      <c r="AL52" s="222"/>
      <c r="AM52" s="222"/>
    </row>
    <row r="53" spans="1:39" x14ac:dyDescent="0.2">
      <c r="A53" s="220">
        <v>16</v>
      </c>
      <c r="B53" s="220" t="s">
        <v>843</v>
      </c>
      <c r="C53" s="221" t="s">
        <v>837</v>
      </c>
      <c r="D53" s="221" t="s">
        <v>844</v>
      </c>
      <c r="E53" s="218">
        <v>20</v>
      </c>
      <c r="F53" s="218"/>
      <c r="G53" s="218"/>
      <c r="H53" s="218"/>
      <c r="I53" s="218"/>
      <c r="J53" s="218">
        <v>2009</v>
      </c>
      <c r="K53" s="218">
        <v>3</v>
      </c>
      <c r="L53" s="218">
        <v>0.19</v>
      </c>
      <c r="M53" s="218">
        <v>0.22</v>
      </c>
      <c r="N53" s="218">
        <v>0.14000000000000001</v>
      </c>
      <c r="O53" s="222"/>
      <c r="P53" s="222"/>
      <c r="Q53" s="222"/>
      <c r="R53" s="222">
        <f t="shared" ref="R53:Z53" si="47">$M53</f>
        <v>0.22</v>
      </c>
      <c r="S53" s="222">
        <f t="shared" si="47"/>
        <v>0.22</v>
      </c>
      <c r="T53" s="222">
        <f t="shared" si="47"/>
        <v>0.22</v>
      </c>
      <c r="U53" s="222">
        <f t="shared" si="47"/>
        <v>0.22</v>
      </c>
      <c r="V53" s="222">
        <f t="shared" si="47"/>
        <v>0.22</v>
      </c>
      <c r="W53" s="222">
        <f t="shared" si="47"/>
        <v>0.22</v>
      </c>
      <c r="X53" s="222">
        <f t="shared" si="47"/>
        <v>0.22</v>
      </c>
      <c r="Y53" s="222">
        <f t="shared" si="47"/>
        <v>0.22</v>
      </c>
      <c r="Z53" s="222">
        <f t="shared" si="47"/>
        <v>0.22</v>
      </c>
      <c r="AA53" s="223" t="str">
        <f t="shared" si="33"/>
        <v>Pave a 3 to 4 ft sod shoulder</v>
      </c>
      <c r="AB53" s="222"/>
      <c r="AC53" s="222"/>
      <c r="AD53" s="222"/>
      <c r="AE53" s="222">
        <f t="shared" ref="AE53:AM53" si="48">$N53</f>
        <v>0.14000000000000001</v>
      </c>
      <c r="AF53" s="222">
        <f t="shared" si="48"/>
        <v>0.14000000000000001</v>
      </c>
      <c r="AG53" s="222">
        <f t="shared" si="48"/>
        <v>0.14000000000000001</v>
      </c>
      <c r="AH53" s="222">
        <f t="shared" si="48"/>
        <v>0.14000000000000001</v>
      </c>
      <c r="AI53" s="222">
        <f t="shared" si="48"/>
        <v>0.14000000000000001</v>
      </c>
      <c r="AJ53" s="222">
        <f t="shared" si="48"/>
        <v>0.14000000000000001</v>
      </c>
      <c r="AK53" s="222">
        <f t="shared" si="48"/>
        <v>0.14000000000000001</v>
      </c>
      <c r="AL53" s="222">
        <f t="shared" si="48"/>
        <v>0.14000000000000001</v>
      </c>
      <c r="AM53" s="222">
        <f t="shared" si="48"/>
        <v>0.14000000000000001</v>
      </c>
    </row>
    <row r="54" spans="1:39" x14ac:dyDescent="0.2">
      <c r="A54" s="220">
        <v>377</v>
      </c>
      <c r="B54" s="220" t="s">
        <v>734</v>
      </c>
      <c r="C54" s="221" t="s">
        <v>770</v>
      </c>
      <c r="D54" s="221" t="s">
        <v>785</v>
      </c>
      <c r="E54" s="218">
        <v>5</v>
      </c>
      <c r="F54" s="218" t="s">
        <v>740</v>
      </c>
      <c r="G54" s="218"/>
      <c r="H54" s="218"/>
      <c r="I54" s="218" t="s">
        <v>740</v>
      </c>
      <c r="J54" s="218">
        <v>2004</v>
      </c>
      <c r="K54" s="218">
        <v>5</v>
      </c>
      <c r="L54" s="218">
        <v>-0.05</v>
      </c>
      <c r="M54" s="218"/>
      <c r="N54" s="218"/>
      <c r="O54" s="222"/>
      <c r="P54" s="222"/>
      <c r="Q54" s="222">
        <f>$L54</f>
        <v>-0.05</v>
      </c>
      <c r="R54" s="222">
        <f>$L54</f>
        <v>-0.05</v>
      </c>
      <c r="S54" s="222">
        <f>$L54</f>
        <v>-0.05</v>
      </c>
      <c r="T54" s="222">
        <v>-0.1</v>
      </c>
      <c r="U54" s="222">
        <f t="shared" ref="U54:Z54" si="49">$L54</f>
        <v>-0.05</v>
      </c>
      <c r="V54" s="222">
        <f t="shared" si="49"/>
        <v>-0.05</v>
      </c>
      <c r="W54" s="222">
        <f t="shared" si="49"/>
        <v>-0.05</v>
      </c>
      <c r="X54" s="222">
        <f t="shared" si="49"/>
        <v>-0.05</v>
      </c>
      <c r="Y54" s="222">
        <f t="shared" si="49"/>
        <v>-0.05</v>
      </c>
      <c r="Z54" s="222">
        <f t="shared" si="49"/>
        <v>-0.05</v>
      </c>
      <c r="AA54" s="223" t="str">
        <f t="shared" si="33"/>
        <v>Permit Right-Turn-On-Red</v>
      </c>
      <c r="AB54" s="222"/>
      <c r="AC54" s="222"/>
      <c r="AD54" s="222"/>
      <c r="AE54" s="222">
        <f>$L54</f>
        <v>-0.05</v>
      </c>
      <c r="AF54" s="222">
        <f>$L54</f>
        <v>-0.05</v>
      </c>
      <c r="AG54" s="222">
        <v>-0.1</v>
      </c>
      <c r="AH54" s="222">
        <f t="shared" ref="AH54:AM54" si="50">$L54</f>
        <v>-0.05</v>
      </c>
      <c r="AI54" s="222">
        <f t="shared" si="50"/>
        <v>-0.05</v>
      </c>
      <c r="AJ54" s="222">
        <f t="shared" si="50"/>
        <v>-0.05</v>
      </c>
      <c r="AK54" s="222">
        <f t="shared" si="50"/>
        <v>-0.05</v>
      </c>
      <c r="AL54" s="222">
        <f t="shared" si="50"/>
        <v>-0.05</v>
      </c>
      <c r="AM54" s="222">
        <f t="shared" si="50"/>
        <v>-0.05</v>
      </c>
    </row>
    <row r="55" spans="1:39" x14ac:dyDescent="0.2">
      <c r="A55" s="220">
        <v>153</v>
      </c>
      <c r="B55" s="220" t="s">
        <v>734</v>
      </c>
      <c r="C55" s="221" t="s">
        <v>791</v>
      </c>
      <c r="D55" s="221" t="s">
        <v>792</v>
      </c>
      <c r="E55" s="218">
        <v>10</v>
      </c>
      <c r="F55" s="218" t="s">
        <v>393</v>
      </c>
      <c r="G55" s="218"/>
      <c r="H55" s="218"/>
      <c r="I55" s="218"/>
      <c r="J55" s="218">
        <v>2004</v>
      </c>
      <c r="K55" s="218">
        <v>5</v>
      </c>
      <c r="L55" s="218"/>
      <c r="M55" s="218">
        <v>0.27</v>
      </c>
      <c r="N55" s="218">
        <v>0.2</v>
      </c>
      <c r="O55" s="222"/>
      <c r="P55" s="222"/>
      <c r="Q55" s="222"/>
      <c r="R55" s="222">
        <f t="shared" ref="R55:Z60" si="51">$M55</f>
        <v>0.27</v>
      </c>
      <c r="S55" s="222">
        <f t="shared" si="51"/>
        <v>0.27</v>
      </c>
      <c r="T55" s="222">
        <f t="shared" si="51"/>
        <v>0.27</v>
      </c>
      <c r="U55" s="222">
        <f t="shared" si="51"/>
        <v>0.27</v>
      </c>
      <c r="V55" s="222">
        <f t="shared" si="51"/>
        <v>0.27</v>
      </c>
      <c r="W55" s="222">
        <f t="shared" si="51"/>
        <v>0.27</v>
      </c>
      <c r="X55" s="222">
        <f t="shared" si="51"/>
        <v>0.27</v>
      </c>
      <c r="Y55" s="222">
        <f t="shared" si="51"/>
        <v>0.27</v>
      </c>
      <c r="Z55" s="222">
        <f t="shared" si="51"/>
        <v>0.27</v>
      </c>
      <c r="AA55" s="223" t="str">
        <f t="shared" si="33"/>
        <v>Prohibit on-street parking - Minor Arterial</v>
      </c>
      <c r="AB55" s="222"/>
      <c r="AC55" s="222"/>
      <c r="AD55" s="222"/>
      <c r="AE55" s="222">
        <f t="shared" ref="AE55:AM60" si="52">$N55</f>
        <v>0.2</v>
      </c>
      <c r="AF55" s="222">
        <f t="shared" si="52"/>
        <v>0.2</v>
      </c>
      <c r="AG55" s="222">
        <f t="shared" si="52"/>
        <v>0.2</v>
      </c>
      <c r="AH55" s="222">
        <f t="shared" si="52"/>
        <v>0.2</v>
      </c>
      <c r="AI55" s="222">
        <f t="shared" si="52"/>
        <v>0.2</v>
      </c>
      <c r="AJ55" s="222">
        <f t="shared" si="52"/>
        <v>0.2</v>
      </c>
      <c r="AK55" s="222">
        <f t="shared" si="52"/>
        <v>0.2</v>
      </c>
      <c r="AL55" s="222">
        <f t="shared" si="52"/>
        <v>0.2</v>
      </c>
      <c r="AM55" s="222">
        <f t="shared" si="52"/>
        <v>0.2</v>
      </c>
    </row>
    <row r="56" spans="1:39" x14ac:dyDescent="0.2">
      <c r="A56" s="220">
        <v>153</v>
      </c>
      <c r="B56" s="220" t="s">
        <v>734</v>
      </c>
      <c r="C56" s="221" t="s">
        <v>791</v>
      </c>
      <c r="D56" s="221" t="s">
        <v>793</v>
      </c>
      <c r="E56" s="218">
        <v>10</v>
      </c>
      <c r="F56" s="218" t="s">
        <v>393</v>
      </c>
      <c r="G56" s="218"/>
      <c r="H56" s="218"/>
      <c r="I56" s="218"/>
      <c r="J56" s="218">
        <v>2004</v>
      </c>
      <c r="K56" s="218">
        <v>4</v>
      </c>
      <c r="L56" s="218">
        <v>0.42</v>
      </c>
      <c r="M56" s="218">
        <v>0.48</v>
      </c>
      <c r="N56" s="218">
        <v>0.35</v>
      </c>
      <c r="O56" s="222"/>
      <c r="P56" s="222"/>
      <c r="Q56" s="222"/>
      <c r="R56" s="222">
        <f t="shared" si="51"/>
        <v>0.48</v>
      </c>
      <c r="S56" s="222">
        <f t="shared" si="51"/>
        <v>0.48</v>
      </c>
      <c r="T56" s="222">
        <f t="shared" si="51"/>
        <v>0.48</v>
      </c>
      <c r="U56" s="222">
        <f t="shared" si="51"/>
        <v>0.48</v>
      </c>
      <c r="V56" s="222">
        <f t="shared" si="51"/>
        <v>0.48</v>
      </c>
      <c r="W56" s="222">
        <f t="shared" si="51"/>
        <v>0.48</v>
      </c>
      <c r="X56" s="222">
        <f t="shared" si="51"/>
        <v>0.48</v>
      </c>
      <c r="Y56" s="222">
        <f t="shared" si="51"/>
        <v>0.48</v>
      </c>
      <c r="Z56" s="222">
        <f t="shared" si="51"/>
        <v>0.48</v>
      </c>
      <c r="AA56" s="223" t="str">
        <f t="shared" si="33"/>
        <v>Prohibit on-street parking - Principal Arterial</v>
      </c>
      <c r="AB56" s="222"/>
      <c r="AC56" s="222"/>
      <c r="AD56" s="222"/>
      <c r="AE56" s="222">
        <f t="shared" si="52"/>
        <v>0.35</v>
      </c>
      <c r="AF56" s="222">
        <f t="shared" si="52"/>
        <v>0.35</v>
      </c>
      <c r="AG56" s="222">
        <f t="shared" si="52"/>
        <v>0.35</v>
      </c>
      <c r="AH56" s="222">
        <f t="shared" si="52"/>
        <v>0.35</v>
      </c>
      <c r="AI56" s="222">
        <f t="shared" si="52"/>
        <v>0.35</v>
      </c>
      <c r="AJ56" s="222">
        <f t="shared" si="52"/>
        <v>0.35</v>
      </c>
      <c r="AK56" s="222">
        <f t="shared" si="52"/>
        <v>0.35</v>
      </c>
      <c r="AL56" s="222">
        <f t="shared" si="52"/>
        <v>0.35</v>
      </c>
      <c r="AM56" s="222">
        <f t="shared" si="52"/>
        <v>0.35</v>
      </c>
    </row>
    <row r="57" spans="1:39" x14ac:dyDescent="0.2">
      <c r="A57" s="220">
        <v>24</v>
      </c>
      <c r="B57" s="220" t="s">
        <v>734</v>
      </c>
      <c r="C57" s="221" t="s">
        <v>735</v>
      </c>
      <c r="D57" s="221" t="s">
        <v>737</v>
      </c>
      <c r="E57" s="218">
        <v>20</v>
      </c>
      <c r="F57" s="218"/>
      <c r="G57" s="218"/>
      <c r="H57" s="218"/>
      <c r="I57" s="218"/>
      <c r="J57" s="218">
        <v>2004</v>
      </c>
      <c r="K57" s="218">
        <v>4</v>
      </c>
      <c r="L57" s="218"/>
      <c r="M57" s="218">
        <v>0.18</v>
      </c>
      <c r="N57" s="218">
        <v>0.12</v>
      </c>
      <c r="O57" s="222"/>
      <c r="P57" s="222"/>
      <c r="Q57" s="222"/>
      <c r="R57" s="222">
        <f t="shared" si="51"/>
        <v>0.18</v>
      </c>
      <c r="S57" s="222">
        <f t="shared" si="51"/>
        <v>0.18</v>
      </c>
      <c r="T57" s="222">
        <f t="shared" si="51"/>
        <v>0.18</v>
      </c>
      <c r="U57" s="222">
        <f t="shared" si="51"/>
        <v>0.18</v>
      </c>
      <c r="V57" s="222">
        <f t="shared" si="51"/>
        <v>0.18</v>
      </c>
      <c r="W57" s="222">
        <f t="shared" si="51"/>
        <v>0.18</v>
      </c>
      <c r="X57" s="222">
        <f t="shared" si="51"/>
        <v>0.18</v>
      </c>
      <c r="Y57" s="222">
        <f t="shared" si="51"/>
        <v>0.18</v>
      </c>
      <c r="Z57" s="222">
        <f t="shared" si="51"/>
        <v>0.18</v>
      </c>
      <c r="AA57" s="223" t="str">
        <f t="shared" si="33"/>
        <v>Provide a median - Rural</v>
      </c>
      <c r="AB57" s="222"/>
      <c r="AC57" s="222"/>
      <c r="AD57" s="222"/>
      <c r="AE57" s="222">
        <f t="shared" si="52"/>
        <v>0.12</v>
      </c>
      <c r="AF57" s="222">
        <f t="shared" si="52"/>
        <v>0.12</v>
      </c>
      <c r="AG57" s="222">
        <f t="shared" si="52"/>
        <v>0.12</v>
      </c>
      <c r="AH57" s="222">
        <f t="shared" si="52"/>
        <v>0.12</v>
      </c>
      <c r="AI57" s="222">
        <f t="shared" si="52"/>
        <v>0.12</v>
      </c>
      <c r="AJ57" s="222">
        <f t="shared" si="52"/>
        <v>0.12</v>
      </c>
      <c r="AK57" s="222">
        <f t="shared" si="52"/>
        <v>0.12</v>
      </c>
      <c r="AL57" s="222">
        <f t="shared" si="52"/>
        <v>0.12</v>
      </c>
      <c r="AM57" s="222">
        <f t="shared" si="52"/>
        <v>0.12</v>
      </c>
    </row>
    <row r="58" spans="1:39" x14ac:dyDescent="0.2">
      <c r="A58" s="220">
        <v>22</v>
      </c>
      <c r="B58" s="220" t="s">
        <v>734</v>
      </c>
      <c r="C58" s="221" t="s">
        <v>735</v>
      </c>
      <c r="D58" s="221" t="s">
        <v>736</v>
      </c>
      <c r="E58" s="218">
        <v>20</v>
      </c>
      <c r="F58" s="218"/>
      <c r="G58" s="218"/>
      <c r="H58" s="218"/>
      <c r="I58" s="218"/>
      <c r="J58" s="218">
        <v>2004</v>
      </c>
      <c r="K58" s="218">
        <v>4</v>
      </c>
      <c r="L58" s="218"/>
      <c r="M58" s="218">
        <v>-0.09</v>
      </c>
      <c r="N58" s="218">
        <v>0.39</v>
      </c>
      <c r="O58" s="222"/>
      <c r="P58" s="222"/>
      <c r="Q58" s="222"/>
      <c r="R58" s="222">
        <f t="shared" si="51"/>
        <v>-0.09</v>
      </c>
      <c r="S58" s="222">
        <f t="shared" si="51"/>
        <v>-0.09</v>
      </c>
      <c r="T58" s="222">
        <f t="shared" si="51"/>
        <v>-0.09</v>
      </c>
      <c r="U58" s="222">
        <f t="shared" si="51"/>
        <v>-0.09</v>
      </c>
      <c r="V58" s="222">
        <f t="shared" si="51"/>
        <v>-0.09</v>
      </c>
      <c r="W58" s="222">
        <f t="shared" si="51"/>
        <v>-0.09</v>
      </c>
      <c r="X58" s="222">
        <f t="shared" si="51"/>
        <v>-0.09</v>
      </c>
      <c r="Y58" s="222">
        <f t="shared" si="51"/>
        <v>-0.09</v>
      </c>
      <c r="Z58" s="222">
        <f t="shared" si="51"/>
        <v>-0.09</v>
      </c>
      <c r="AA58" s="223" t="str">
        <f t="shared" si="33"/>
        <v>Provide a median - Urban</v>
      </c>
      <c r="AB58" s="222"/>
      <c r="AC58" s="222"/>
      <c r="AD58" s="222"/>
      <c r="AE58" s="222">
        <f t="shared" si="52"/>
        <v>0.39</v>
      </c>
      <c r="AF58" s="222">
        <f t="shared" si="52"/>
        <v>0.39</v>
      </c>
      <c r="AG58" s="222">
        <f t="shared" si="52"/>
        <v>0.39</v>
      </c>
      <c r="AH58" s="222">
        <f t="shared" si="52"/>
        <v>0.39</v>
      </c>
      <c r="AI58" s="222">
        <f t="shared" si="52"/>
        <v>0.39</v>
      </c>
      <c r="AJ58" s="222">
        <f t="shared" si="52"/>
        <v>0.39</v>
      </c>
      <c r="AK58" s="222">
        <f t="shared" si="52"/>
        <v>0.39</v>
      </c>
      <c r="AL58" s="222">
        <f t="shared" si="52"/>
        <v>0.39</v>
      </c>
      <c r="AM58" s="222">
        <f t="shared" si="52"/>
        <v>0.39</v>
      </c>
    </row>
    <row r="59" spans="1:39" x14ac:dyDescent="0.2">
      <c r="A59" s="220">
        <v>192</v>
      </c>
      <c r="B59" s="220" t="s">
        <v>734</v>
      </c>
      <c r="C59" s="221" t="s">
        <v>748</v>
      </c>
      <c r="D59" s="221" t="s">
        <v>749</v>
      </c>
      <c r="E59" s="218">
        <v>10</v>
      </c>
      <c r="F59" s="218"/>
      <c r="G59" s="218"/>
      <c r="H59" s="218"/>
      <c r="I59" s="218"/>
      <c r="J59" s="218">
        <v>2004</v>
      </c>
      <c r="K59" s="218">
        <v>4</v>
      </c>
      <c r="L59" s="218"/>
      <c r="M59" s="218">
        <v>0.18</v>
      </c>
      <c r="N59" s="218">
        <v>0.28000000000000003</v>
      </c>
      <c r="O59" s="222"/>
      <c r="P59" s="222"/>
      <c r="Q59" s="222"/>
      <c r="R59" s="222">
        <f t="shared" si="51"/>
        <v>0.18</v>
      </c>
      <c r="S59" s="222">
        <f t="shared" si="51"/>
        <v>0.18</v>
      </c>
      <c r="T59" s="222">
        <f t="shared" si="51"/>
        <v>0.18</v>
      </c>
      <c r="U59" s="222">
        <f t="shared" si="51"/>
        <v>0.18</v>
      </c>
      <c r="V59" s="222">
        <f t="shared" si="51"/>
        <v>0.18</v>
      </c>
      <c r="W59" s="222">
        <f t="shared" si="51"/>
        <v>0.18</v>
      </c>
      <c r="X59" s="222">
        <f t="shared" si="51"/>
        <v>0.18</v>
      </c>
      <c r="Y59" s="222">
        <f t="shared" si="51"/>
        <v>0.18</v>
      </c>
      <c r="Z59" s="222">
        <f t="shared" si="51"/>
        <v>0.18</v>
      </c>
      <c r="AA59" s="223" t="str">
        <f t="shared" si="33"/>
        <v>Provide highway lighting</v>
      </c>
      <c r="AB59" s="222"/>
      <c r="AC59" s="222"/>
      <c r="AD59" s="222"/>
      <c r="AE59" s="222">
        <f t="shared" si="52"/>
        <v>0.28000000000000003</v>
      </c>
      <c r="AF59" s="222">
        <f t="shared" si="52"/>
        <v>0.28000000000000003</v>
      </c>
      <c r="AG59" s="222">
        <f t="shared" si="52"/>
        <v>0.28000000000000003</v>
      </c>
      <c r="AH59" s="222">
        <f t="shared" si="52"/>
        <v>0.28000000000000003</v>
      </c>
      <c r="AI59" s="222">
        <f t="shared" si="52"/>
        <v>0.28000000000000003</v>
      </c>
      <c r="AJ59" s="222">
        <f t="shared" si="52"/>
        <v>0.28000000000000003</v>
      </c>
      <c r="AK59" s="222">
        <f t="shared" si="52"/>
        <v>0.28000000000000003</v>
      </c>
      <c r="AL59" s="222">
        <f t="shared" si="52"/>
        <v>0.28000000000000003</v>
      </c>
      <c r="AM59" s="222">
        <f t="shared" si="52"/>
        <v>0.28000000000000003</v>
      </c>
    </row>
    <row r="60" spans="1:39" x14ac:dyDescent="0.2">
      <c r="A60" s="220">
        <v>73</v>
      </c>
      <c r="B60" s="220" t="s">
        <v>734</v>
      </c>
      <c r="C60" s="221" t="s">
        <v>831</v>
      </c>
      <c r="D60" s="221" t="s">
        <v>832</v>
      </c>
      <c r="E60" s="218">
        <v>5</v>
      </c>
      <c r="F60" s="218" t="s">
        <v>393</v>
      </c>
      <c r="G60" s="218"/>
      <c r="H60" s="218"/>
      <c r="I60" s="218"/>
      <c r="J60" s="218">
        <v>2004</v>
      </c>
      <c r="K60" s="218">
        <v>3</v>
      </c>
      <c r="L60" s="218"/>
      <c r="M60" s="218">
        <v>0.28999999999999998</v>
      </c>
      <c r="N60" s="218">
        <v>0.13</v>
      </c>
      <c r="O60" s="222"/>
      <c r="P60" s="222"/>
      <c r="Q60" s="222"/>
      <c r="R60" s="222">
        <f t="shared" si="51"/>
        <v>0.28999999999999998</v>
      </c>
      <c r="S60" s="222">
        <f t="shared" si="51"/>
        <v>0.28999999999999998</v>
      </c>
      <c r="T60" s="222">
        <f t="shared" si="51"/>
        <v>0.28999999999999998</v>
      </c>
      <c r="U60" s="222">
        <f t="shared" si="51"/>
        <v>0.28999999999999998</v>
      </c>
      <c r="V60" s="222">
        <f t="shared" si="51"/>
        <v>0.28999999999999998</v>
      </c>
      <c r="W60" s="222">
        <f t="shared" si="51"/>
        <v>0.28999999999999998</v>
      </c>
      <c r="X60" s="222">
        <f t="shared" si="51"/>
        <v>0.28999999999999998</v>
      </c>
      <c r="Y60" s="222">
        <f t="shared" si="51"/>
        <v>0.28999999999999998</v>
      </c>
      <c r="Z60" s="222">
        <f t="shared" si="51"/>
        <v>0.28999999999999998</v>
      </c>
      <c r="AA60" s="223" t="str">
        <f t="shared" si="33"/>
        <v>Provide static combination horizontal alignment / advisory speed signs</v>
      </c>
      <c r="AB60" s="222"/>
      <c r="AC60" s="222"/>
      <c r="AD60" s="222"/>
      <c r="AE60" s="222">
        <f t="shared" si="52"/>
        <v>0.13</v>
      </c>
      <c r="AF60" s="222">
        <f t="shared" si="52"/>
        <v>0.13</v>
      </c>
      <c r="AG60" s="222">
        <f t="shared" si="52"/>
        <v>0.13</v>
      </c>
      <c r="AH60" s="222">
        <f t="shared" si="52"/>
        <v>0.13</v>
      </c>
      <c r="AI60" s="222">
        <f t="shared" si="52"/>
        <v>0.13</v>
      </c>
      <c r="AJ60" s="222">
        <f t="shared" si="52"/>
        <v>0.13</v>
      </c>
      <c r="AK60" s="222">
        <f t="shared" si="52"/>
        <v>0.13</v>
      </c>
      <c r="AL60" s="222">
        <f t="shared" si="52"/>
        <v>0.13</v>
      </c>
      <c r="AM60" s="222">
        <f t="shared" si="52"/>
        <v>0.13</v>
      </c>
    </row>
    <row r="61" spans="1:39" x14ac:dyDescent="0.2">
      <c r="A61" s="220">
        <v>329</v>
      </c>
      <c r="B61" s="220" t="s">
        <v>769</v>
      </c>
      <c r="C61" s="221" t="s">
        <v>770</v>
      </c>
      <c r="D61" s="221" t="s">
        <v>771</v>
      </c>
      <c r="E61" s="218">
        <v>5</v>
      </c>
      <c r="F61" s="218" t="s">
        <v>740</v>
      </c>
      <c r="G61" s="218"/>
      <c r="H61" s="218"/>
      <c r="I61" s="218"/>
      <c r="J61" s="218">
        <v>1997</v>
      </c>
      <c r="K61" s="218">
        <v>4</v>
      </c>
      <c r="L61" s="218">
        <v>0.24</v>
      </c>
      <c r="M61" s="218"/>
      <c r="N61" s="218"/>
      <c r="O61" s="222"/>
      <c r="P61" s="222"/>
      <c r="Q61" s="222"/>
      <c r="R61" s="222">
        <f>$L61</f>
        <v>0.24</v>
      </c>
      <c r="S61" s="222">
        <f>$L61</f>
        <v>0.24</v>
      </c>
      <c r="T61" s="222">
        <f>$L61</f>
        <v>0.24</v>
      </c>
      <c r="U61" s="222">
        <v>0.28999999999999998</v>
      </c>
      <c r="V61" s="222">
        <f t="shared" ref="V61:X63" si="53">$L61</f>
        <v>0.24</v>
      </c>
      <c r="W61" s="222">
        <f t="shared" si="53"/>
        <v>0.24</v>
      </c>
      <c r="X61" s="222">
        <f t="shared" si="53"/>
        <v>0.24</v>
      </c>
      <c r="Y61" s="222">
        <v>0.18</v>
      </c>
      <c r="Z61" s="222">
        <f>$L61</f>
        <v>0.24</v>
      </c>
      <c r="AA61" s="223" t="s">
        <v>771</v>
      </c>
      <c r="AB61" s="222"/>
      <c r="AC61" s="222"/>
      <c r="AD61" s="222"/>
      <c r="AE61" s="222">
        <f>$L61</f>
        <v>0.24</v>
      </c>
      <c r="AF61" s="222">
        <f>$L61</f>
        <v>0.24</v>
      </c>
      <c r="AG61" s="222">
        <f>$L61</f>
        <v>0.24</v>
      </c>
      <c r="AH61" s="222">
        <v>0.28999999999999998</v>
      </c>
      <c r="AI61" s="222">
        <f t="shared" ref="AI61:AK62" si="54">$L61</f>
        <v>0.24</v>
      </c>
      <c r="AJ61" s="222">
        <f t="shared" si="54"/>
        <v>0.24</v>
      </c>
      <c r="AK61" s="222">
        <f t="shared" si="54"/>
        <v>0.24</v>
      </c>
      <c r="AL61" s="222">
        <v>0.18</v>
      </c>
      <c r="AM61" s="222">
        <f>$L61</f>
        <v>0.24</v>
      </c>
    </row>
    <row r="62" spans="1:39" x14ac:dyDescent="0.2">
      <c r="A62" s="220">
        <v>2333</v>
      </c>
      <c r="B62" s="220" t="s">
        <v>787</v>
      </c>
      <c r="C62" s="221" t="s">
        <v>770</v>
      </c>
      <c r="D62" s="221" t="s">
        <v>788</v>
      </c>
      <c r="E62" s="218">
        <v>10</v>
      </c>
      <c r="F62" s="218" t="s">
        <v>740</v>
      </c>
      <c r="G62" s="218"/>
      <c r="H62" s="218"/>
      <c r="I62" s="218"/>
      <c r="J62" s="218">
        <v>2008</v>
      </c>
      <c r="K62" s="218">
        <v>4</v>
      </c>
      <c r="L62" s="218">
        <v>0.03</v>
      </c>
      <c r="M62" s="218"/>
      <c r="N62" s="218"/>
      <c r="O62" s="222"/>
      <c r="P62" s="222"/>
      <c r="Q62" s="222"/>
      <c r="R62" s="222">
        <f>$L62</f>
        <v>0.03</v>
      </c>
      <c r="S62" s="222">
        <f>$L62</f>
        <v>0.03</v>
      </c>
      <c r="T62" s="222">
        <v>0.42</v>
      </c>
      <c r="U62" s="222">
        <f>$L62</f>
        <v>0.03</v>
      </c>
      <c r="V62" s="222">
        <f t="shared" si="53"/>
        <v>0.03</v>
      </c>
      <c r="W62" s="222">
        <f t="shared" si="53"/>
        <v>0.03</v>
      </c>
      <c r="X62" s="222">
        <f t="shared" si="53"/>
        <v>0.03</v>
      </c>
      <c r="Y62" s="222">
        <f>$L62</f>
        <v>0.03</v>
      </c>
      <c r="Z62" s="222">
        <f>$L62</f>
        <v>0.03</v>
      </c>
      <c r="AA62" s="223" t="str">
        <f>D62</f>
        <v>Replace 8-inch red signal heads with 12-inch</v>
      </c>
      <c r="AB62" s="222"/>
      <c r="AC62" s="222"/>
      <c r="AD62" s="222"/>
      <c r="AE62" s="222">
        <f>$L62</f>
        <v>0.03</v>
      </c>
      <c r="AF62" s="222">
        <f>$L62</f>
        <v>0.03</v>
      </c>
      <c r="AG62" s="222">
        <v>0.42</v>
      </c>
      <c r="AH62" s="222">
        <f>$L62</f>
        <v>0.03</v>
      </c>
      <c r="AI62" s="222">
        <f t="shared" si="54"/>
        <v>0.03</v>
      </c>
      <c r="AJ62" s="222">
        <f t="shared" si="54"/>
        <v>0.03</v>
      </c>
      <c r="AK62" s="222">
        <f t="shared" si="54"/>
        <v>0.03</v>
      </c>
      <c r="AL62" s="222">
        <f>$L62</f>
        <v>0.03</v>
      </c>
      <c r="AM62" s="222">
        <f>$L62</f>
        <v>0.03</v>
      </c>
    </row>
    <row r="63" spans="1:39" x14ac:dyDescent="0.2">
      <c r="A63" s="220">
        <v>388</v>
      </c>
      <c r="B63" s="220" t="s">
        <v>782</v>
      </c>
      <c r="C63" s="221" t="s">
        <v>770</v>
      </c>
      <c r="D63" s="221" t="s">
        <v>786</v>
      </c>
      <c r="E63" s="218">
        <v>5</v>
      </c>
      <c r="F63" s="218" t="s">
        <v>740</v>
      </c>
      <c r="G63" s="218"/>
      <c r="H63" s="218" t="s">
        <v>740</v>
      </c>
      <c r="I63" s="218"/>
      <c r="J63" s="218">
        <v>2008</v>
      </c>
      <c r="K63" s="218">
        <v>3</v>
      </c>
      <c r="L63" s="218">
        <v>0.27</v>
      </c>
      <c r="M63" s="218"/>
      <c r="N63" s="218">
        <v>0.23</v>
      </c>
      <c r="O63" s="222">
        <v>0.35</v>
      </c>
      <c r="P63" s="222"/>
      <c r="Q63" s="222"/>
      <c r="R63" s="222">
        <f>$L63</f>
        <v>0.27</v>
      </c>
      <c r="S63" s="222">
        <f>$L63</f>
        <v>0.27</v>
      </c>
      <c r="T63" s="222">
        <f>$L63</f>
        <v>0.27</v>
      </c>
      <c r="U63" s="222">
        <f>$L63</f>
        <v>0.27</v>
      </c>
      <c r="V63" s="222">
        <f t="shared" si="53"/>
        <v>0.27</v>
      </c>
      <c r="W63" s="222">
        <f t="shared" si="53"/>
        <v>0.27</v>
      </c>
      <c r="X63" s="222">
        <f t="shared" si="53"/>
        <v>0.27</v>
      </c>
      <c r="Y63" s="222">
        <f>$L63</f>
        <v>0.27</v>
      </c>
      <c r="Z63" s="222">
        <f>$L63</f>
        <v>0.27</v>
      </c>
      <c r="AA63" s="223" t="str">
        <f>D63</f>
        <v>Replace Night-Time Flash with Steady Operation</v>
      </c>
      <c r="AB63" s="222">
        <v>0.35</v>
      </c>
      <c r="AC63" s="222"/>
      <c r="AD63" s="222"/>
      <c r="AE63" s="222">
        <f t="shared" ref="AE63:AM63" si="55">$N63</f>
        <v>0.23</v>
      </c>
      <c r="AF63" s="222">
        <f t="shared" si="55"/>
        <v>0.23</v>
      </c>
      <c r="AG63" s="222">
        <f t="shared" si="55"/>
        <v>0.23</v>
      </c>
      <c r="AH63" s="222">
        <f t="shared" si="55"/>
        <v>0.23</v>
      </c>
      <c r="AI63" s="222">
        <f t="shared" si="55"/>
        <v>0.23</v>
      </c>
      <c r="AJ63" s="222">
        <f t="shared" si="55"/>
        <v>0.23</v>
      </c>
      <c r="AK63" s="222">
        <f t="shared" si="55"/>
        <v>0.23</v>
      </c>
      <c r="AL63" s="222">
        <f t="shared" si="55"/>
        <v>0.23</v>
      </c>
      <c r="AM63" s="222">
        <f t="shared" si="55"/>
        <v>0.23</v>
      </c>
    </row>
    <row r="64" spans="1:39" x14ac:dyDescent="0.2">
      <c r="A64" s="220">
        <v>2514</v>
      </c>
      <c r="B64" s="220" t="s">
        <v>738</v>
      </c>
      <c r="C64" s="221" t="s">
        <v>735</v>
      </c>
      <c r="D64" s="221" t="s">
        <v>739</v>
      </c>
      <c r="E64" s="218">
        <v>20</v>
      </c>
      <c r="F64" s="218"/>
      <c r="G64" s="218"/>
      <c r="H64" s="218"/>
      <c r="I64" s="218" t="s">
        <v>740</v>
      </c>
      <c r="J64" s="218">
        <v>2010</v>
      </c>
      <c r="K64" s="218">
        <v>3</v>
      </c>
      <c r="L64" s="218"/>
      <c r="M64" s="218"/>
      <c r="N64" s="218"/>
      <c r="O64" s="222"/>
      <c r="P64" s="222"/>
      <c r="Q64" s="222">
        <v>0.33</v>
      </c>
      <c r="R64" s="222">
        <v>0.36</v>
      </c>
      <c r="S64" s="222"/>
      <c r="T64" s="222">
        <v>0.36</v>
      </c>
      <c r="U64" s="222">
        <v>0.19</v>
      </c>
      <c r="V64" s="222">
        <v>0.47</v>
      </c>
      <c r="W64" s="222">
        <v>0.21</v>
      </c>
      <c r="X64" s="222">
        <v>0.33</v>
      </c>
      <c r="Y64" s="222"/>
      <c r="Z64" s="222"/>
      <c r="AA64" s="223" t="str">
        <f>D64</f>
        <v>Replace TWLTL with raised median - Urban Only</v>
      </c>
      <c r="AB64" s="222"/>
      <c r="AC64" s="222"/>
      <c r="AD64" s="222">
        <v>0.33</v>
      </c>
      <c r="AE64" s="222">
        <v>0.36</v>
      </c>
      <c r="AF64" s="222"/>
      <c r="AG64" s="222">
        <v>0.36</v>
      </c>
      <c r="AH64" s="222">
        <v>0.19</v>
      </c>
      <c r="AI64" s="222">
        <v>0.47</v>
      </c>
      <c r="AJ64" s="222">
        <v>0.21</v>
      </c>
      <c r="AK64" s="222">
        <v>0.21</v>
      </c>
      <c r="AL64" s="222"/>
      <c r="AM64" s="222"/>
    </row>
    <row r="65" spans="1:39" x14ac:dyDescent="0.2">
      <c r="A65" s="220">
        <v>2975</v>
      </c>
      <c r="B65" s="220" t="s">
        <v>820</v>
      </c>
      <c r="C65" s="221" t="s">
        <v>812</v>
      </c>
      <c r="D65" s="221" t="s">
        <v>821</v>
      </c>
      <c r="E65" s="218">
        <v>20</v>
      </c>
      <c r="F65" s="218" t="s">
        <v>393</v>
      </c>
      <c r="G65" s="218"/>
      <c r="H65" s="218"/>
      <c r="I65" s="218"/>
      <c r="J65" s="218">
        <v>2009</v>
      </c>
      <c r="K65" s="218">
        <v>4</v>
      </c>
      <c r="L65" s="218">
        <v>-0.01</v>
      </c>
      <c r="M65" s="218"/>
      <c r="N65" s="218">
        <v>0.05</v>
      </c>
      <c r="O65" s="222"/>
      <c r="P65" s="222"/>
      <c r="Q65" s="222"/>
      <c r="R65" s="222">
        <f>$L65</f>
        <v>-0.01</v>
      </c>
      <c r="S65" s="222">
        <f>$L65</f>
        <v>-0.01</v>
      </c>
      <c r="T65" s="222">
        <f>$L65</f>
        <v>-0.01</v>
      </c>
      <c r="U65" s="222">
        <v>0.01</v>
      </c>
      <c r="V65" s="222">
        <f>$L65</f>
        <v>-0.01</v>
      </c>
      <c r="W65" s="222">
        <f>$L65</f>
        <v>-0.01</v>
      </c>
      <c r="X65" s="222">
        <f>$L65</f>
        <v>-0.01</v>
      </c>
      <c r="Y65" s="222">
        <f>$L65</f>
        <v>-0.01</v>
      </c>
      <c r="Z65" s="222">
        <f>$L65</f>
        <v>-0.01</v>
      </c>
      <c r="AA65" s="223" t="str">
        <f>D65</f>
        <v>Resurface pavement</v>
      </c>
      <c r="AB65" s="222"/>
      <c r="AC65" s="222"/>
      <c r="AD65" s="222"/>
      <c r="AE65" s="222">
        <f>$N65</f>
        <v>0.05</v>
      </c>
      <c r="AF65" s="222">
        <f>$N65</f>
        <v>0.05</v>
      </c>
      <c r="AG65" s="222">
        <f>$N65</f>
        <v>0.05</v>
      </c>
      <c r="AH65" s="222">
        <v>0.01</v>
      </c>
      <c r="AI65" s="222">
        <f>$N65</f>
        <v>0.05</v>
      </c>
      <c r="AJ65" s="222">
        <f>$N65</f>
        <v>0.05</v>
      </c>
      <c r="AK65" s="222">
        <f>$N65</f>
        <v>0.05</v>
      </c>
      <c r="AL65" s="222">
        <f>$N65</f>
        <v>0.05</v>
      </c>
      <c r="AM65" s="222">
        <f>$N65</f>
        <v>0.05</v>
      </c>
    </row>
    <row r="66" spans="1:39" x14ac:dyDescent="0.2">
      <c r="A66" s="220">
        <v>380</v>
      </c>
      <c r="B66" s="220" t="s">
        <v>772</v>
      </c>
      <c r="C66" s="221" t="s">
        <v>770</v>
      </c>
      <c r="D66" s="221" t="s">
        <v>773</v>
      </c>
      <c r="E66" s="218">
        <v>5</v>
      </c>
      <c r="F66" s="218" t="s">
        <v>740</v>
      </c>
      <c r="G66" s="218"/>
      <c r="H66" s="218"/>
      <c r="I66" s="218"/>
      <c r="J66" s="218">
        <v>2002</v>
      </c>
      <c r="K66" s="218">
        <v>3</v>
      </c>
      <c r="L66" s="218">
        <v>0.08</v>
      </c>
      <c r="M66" s="218"/>
      <c r="N66" s="218">
        <v>0.12</v>
      </c>
      <c r="O66" s="222"/>
      <c r="P66" s="222"/>
      <c r="Q66" s="222"/>
      <c r="R66" s="222">
        <f t="shared" ref="R66:S74" si="56">$L66</f>
        <v>0.08</v>
      </c>
      <c r="S66" s="222">
        <f t="shared" si="56"/>
        <v>0.08</v>
      </c>
      <c r="T66" s="222">
        <v>0.04</v>
      </c>
      <c r="U66" s="222">
        <v>-0.12</v>
      </c>
      <c r="V66" s="222">
        <f t="shared" ref="V66:X74" si="57">$L66</f>
        <v>0.08</v>
      </c>
      <c r="W66" s="222">
        <f t="shared" si="57"/>
        <v>0.08</v>
      </c>
      <c r="X66" s="222">
        <f t="shared" si="57"/>
        <v>0.08</v>
      </c>
      <c r="Y66" s="222">
        <v>0.39</v>
      </c>
      <c r="Z66" s="222">
        <f t="shared" ref="Z66:Z74" si="58">$L66</f>
        <v>0.08</v>
      </c>
      <c r="AA66" s="223" t="s">
        <v>773</v>
      </c>
      <c r="AB66" s="222"/>
      <c r="AC66" s="222"/>
      <c r="AD66" s="222"/>
      <c r="AE66" s="222">
        <f>$N66</f>
        <v>0.12</v>
      </c>
      <c r="AF66" s="222">
        <f>$N66</f>
        <v>0.12</v>
      </c>
      <c r="AG66" s="222">
        <v>0.04</v>
      </c>
      <c r="AH66" s="222">
        <v>-0.08</v>
      </c>
      <c r="AI66" s="222">
        <f>$N66</f>
        <v>0.12</v>
      </c>
      <c r="AJ66" s="222">
        <f>$N66</f>
        <v>0.12</v>
      </c>
      <c r="AK66" s="222">
        <f>$N66</f>
        <v>0.12</v>
      </c>
      <c r="AL66" s="222">
        <v>0.37</v>
      </c>
      <c r="AM66" s="222">
        <f>$N66</f>
        <v>0.12</v>
      </c>
    </row>
    <row r="67" spans="1:39" x14ac:dyDescent="0.2">
      <c r="A67" s="220">
        <v>199</v>
      </c>
      <c r="B67" s="220" t="s">
        <v>811</v>
      </c>
      <c r="C67" s="221" t="s">
        <v>812</v>
      </c>
      <c r="D67" s="221" t="s">
        <v>817</v>
      </c>
      <c r="E67" s="218">
        <v>5</v>
      </c>
      <c r="F67" s="218"/>
      <c r="G67" s="218"/>
      <c r="H67" s="218"/>
      <c r="I67" s="218"/>
      <c r="J67" s="218">
        <v>2008</v>
      </c>
      <c r="K67" s="218">
        <v>5</v>
      </c>
      <c r="L67" s="218">
        <v>0.28999999999999998</v>
      </c>
      <c r="M67" s="218"/>
      <c r="N67" s="218"/>
      <c r="O67" s="222"/>
      <c r="P67" s="222"/>
      <c r="Q67" s="222"/>
      <c r="R67" s="222">
        <f t="shared" si="56"/>
        <v>0.28999999999999998</v>
      </c>
      <c r="S67" s="222">
        <f t="shared" si="56"/>
        <v>0.28999999999999998</v>
      </c>
      <c r="T67" s="222">
        <f t="shared" ref="T67:U74" si="59">$L67</f>
        <v>0.28999999999999998</v>
      </c>
      <c r="U67" s="222">
        <f t="shared" si="59"/>
        <v>0.28999999999999998</v>
      </c>
      <c r="V67" s="222">
        <f t="shared" si="57"/>
        <v>0.28999999999999998</v>
      </c>
      <c r="W67" s="222">
        <f t="shared" si="57"/>
        <v>0.28999999999999998</v>
      </c>
      <c r="X67" s="222">
        <f t="shared" si="57"/>
        <v>0.28999999999999998</v>
      </c>
      <c r="Y67" s="222">
        <f t="shared" ref="Y67:Y74" si="60">$L67</f>
        <v>0.28999999999999998</v>
      </c>
      <c r="Z67" s="222">
        <f t="shared" si="58"/>
        <v>0.28999999999999998</v>
      </c>
      <c r="AA67" s="223" t="str">
        <f t="shared" ref="AA67:AA98" si="61">D67</f>
        <v>Road diet (Convert 4-lane undivided road to 2-lanes plus turning lane) - Minor Arterial</v>
      </c>
      <c r="AB67" s="222"/>
      <c r="AC67" s="222"/>
      <c r="AD67" s="222"/>
      <c r="AE67" s="222">
        <f t="shared" ref="AE67:AM74" si="62">$L67</f>
        <v>0.28999999999999998</v>
      </c>
      <c r="AF67" s="222">
        <f t="shared" si="62"/>
        <v>0.28999999999999998</v>
      </c>
      <c r="AG67" s="222">
        <f t="shared" si="62"/>
        <v>0.28999999999999998</v>
      </c>
      <c r="AH67" s="222">
        <f t="shared" si="62"/>
        <v>0.28999999999999998</v>
      </c>
      <c r="AI67" s="222">
        <f t="shared" si="62"/>
        <v>0.28999999999999998</v>
      </c>
      <c r="AJ67" s="222">
        <f t="shared" si="62"/>
        <v>0.28999999999999998</v>
      </c>
      <c r="AK67" s="222">
        <f t="shared" si="62"/>
        <v>0.28999999999999998</v>
      </c>
      <c r="AL67" s="222">
        <f t="shared" si="62"/>
        <v>0.28999999999999998</v>
      </c>
      <c r="AM67" s="222">
        <f t="shared" si="62"/>
        <v>0.28999999999999998</v>
      </c>
    </row>
    <row r="68" spans="1:39" x14ac:dyDescent="0.2">
      <c r="A68" s="220">
        <v>487</v>
      </c>
      <c r="B68" s="220" t="s">
        <v>799</v>
      </c>
      <c r="C68" s="221" t="s">
        <v>797</v>
      </c>
      <c r="D68" s="221" t="s">
        <v>800</v>
      </c>
      <c r="E68" s="218">
        <v>5</v>
      </c>
      <c r="F68" s="218"/>
      <c r="G68" s="218"/>
      <c r="H68" s="218"/>
      <c r="I68" s="218"/>
      <c r="J68" s="218">
        <v>2005</v>
      </c>
      <c r="K68" s="218">
        <v>5</v>
      </c>
      <c r="L68" s="218">
        <v>0.77</v>
      </c>
      <c r="M68" s="218"/>
      <c r="N68" s="218"/>
      <c r="O68" s="222"/>
      <c r="P68" s="222"/>
      <c r="Q68" s="222"/>
      <c r="R68" s="222">
        <f t="shared" si="56"/>
        <v>0.77</v>
      </c>
      <c r="S68" s="222">
        <f t="shared" si="56"/>
        <v>0.77</v>
      </c>
      <c r="T68" s="222">
        <f t="shared" si="59"/>
        <v>0.77</v>
      </c>
      <c r="U68" s="222">
        <f t="shared" si="59"/>
        <v>0.77</v>
      </c>
      <c r="V68" s="222">
        <f t="shared" si="57"/>
        <v>0.77</v>
      </c>
      <c r="W68" s="222">
        <f t="shared" si="57"/>
        <v>0.77</v>
      </c>
      <c r="X68" s="222">
        <f t="shared" si="57"/>
        <v>0.77</v>
      </c>
      <c r="Y68" s="222">
        <f t="shared" si="60"/>
        <v>0.77</v>
      </c>
      <c r="Z68" s="222">
        <f t="shared" si="58"/>
        <v>0.77</v>
      </c>
      <c r="AA68" s="223" t="str">
        <f t="shared" si="61"/>
        <v>Upgrade signs to flashing lights</v>
      </c>
      <c r="AB68" s="222"/>
      <c r="AC68" s="222"/>
      <c r="AD68" s="222"/>
      <c r="AE68" s="222">
        <f t="shared" si="62"/>
        <v>0.77</v>
      </c>
      <c r="AF68" s="222">
        <f t="shared" si="62"/>
        <v>0.77</v>
      </c>
      <c r="AG68" s="222">
        <f t="shared" si="62"/>
        <v>0.77</v>
      </c>
      <c r="AH68" s="222">
        <f t="shared" si="62"/>
        <v>0.77</v>
      </c>
      <c r="AI68" s="222">
        <f t="shared" si="62"/>
        <v>0.77</v>
      </c>
      <c r="AJ68" s="222">
        <f t="shared" si="62"/>
        <v>0.77</v>
      </c>
      <c r="AK68" s="222">
        <f t="shared" si="62"/>
        <v>0.77</v>
      </c>
      <c r="AL68" s="222">
        <f t="shared" si="62"/>
        <v>0.77</v>
      </c>
      <c r="AM68" s="222">
        <f t="shared" si="62"/>
        <v>0.77</v>
      </c>
    </row>
    <row r="69" spans="1:39" x14ac:dyDescent="0.2">
      <c r="A69" s="220">
        <v>482</v>
      </c>
      <c r="B69" s="220" t="s">
        <v>734</v>
      </c>
      <c r="C69" s="221" t="s">
        <v>797</v>
      </c>
      <c r="D69" s="221" t="s">
        <v>798</v>
      </c>
      <c r="E69" s="218">
        <v>5</v>
      </c>
      <c r="F69" s="218"/>
      <c r="G69" s="218"/>
      <c r="H69" s="218"/>
      <c r="I69" s="218"/>
      <c r="J69" s="218">
        <v>2004</v>
      </c>
      <c r="K69" s="218">
        <v>5</v>
      </c>
      <c r="L69" s="218">
        <v>0.5</v>
      </c>
      <c r="M69" s="218"/>
      <c r="N69" s="218"/>
      <c r="O69" s="222"/>
      <c r="P69" s="222"/>
      <c r="Q69" s="222"/>
      <c r="R69" s="222">
        <f t="shared" si="56"/>
        <v>0.5</v>
      </c>
      <c r="S69" s="222">
        <f t="shared" si="56"/>
        <v>0.5</v>
      </c>
      <c r="T69" s="222">
        <f t="shared" si="59"/>
        <v>0.5</v>
      </c>
      <c r="U69" s="222">
        <f t="shared" si="59"/>
        <v>0.5</v>
      </c>
      <c r="V69" s="222">
        <f t="shared" si="57"/>
        <v>0.5</v>
      </c>
      <c r="W69" s="222">
        <f t="shared" si="57"/>
        <v>0.5</v>
      </c>
      <c r="X69" s="222">
        <f t="shared" si="57"/>
        <v>0.5</v>
      </c>
      <c r="Y69" s="222">
        <f t="shared" si="60"/>
        <v>0.5</v>
      </c>
      <c r="Z69" s="222">
        <f t="shared" si="58"/>
        <v>0.5</v>
      </c>
      <c r="AA69" s="223" t="str">
        <f t="shared" si="61"/>
        <v>Upgrading signs to flashing lights and sound signals</v>
      </c>
      <c r="AB69" s="222"/>
      <c r="AC69" s="222"/>
      <c r="AD69" s="222"/>
      <c r="AE69" s="222">
        <f t="shared" si="62"/>
        <v>0.5</v>
      </c>
      <c r="AF69" s="222">
        <f t="shared" si="62"/>
        <v>0.5</v>
      </c>
      <c r="AG69" s="222">
        <f t="shared" si="62"/>
        <v>0.5</v>
      </c>
      <c r="AH69" s="222">
        <f t="shared" si="62"/>
        <v>0.5</v>
      </c>
      <c r="AI69" s="222">
        <f t="shared" si="62"/>
        <v>0.5</v>
      </c>
      <c r="AJ69" s="222">
        <f t="shared" si="62"/>
        <v>0.5</v>
      </c>
      <c r="AK69" s="222">
        <f t="shared" si="62"/>
        <v>0.5</v>
      </c>
      <c r="AL69" s="222">
        <f t="shared" si="62"/>
        <v>0.5</v>
      </c>
      <c r="AM69" s="222">
        <f t="shared" si="62"/>
        <v>0.5</v>
      </c>
    </row>
    <row r="70" spans="1:39" x14ac:dyDescent="0.2">
      <c r="A70" s="220">
        <v>10</v>
      </c>
      <c r="B70" s="220" t="s">
        <v>836</v>
      </c>
      <c r="C70" s="221" t="s">
        <v>837</v>
      </c>
      <c r="D70" s="221" t="s">
        <v>838</v>
      </c>
      <c r="E70" s="218">
        <v>20</v>
      </c>
      <c r="F70" s="218"/>
      <c r="G70" s="218"/>
      <c r="H70" s="218"/>
      <c r="I70" s="218"/>
      <c r="J70" s="218">
        <v>2009</v>
      </c>
      <c r="K70" s="218">
        <v>3</v>
      </c>
      <c r="L70" s="218">
        <v>0.03</v>
      </c>
      <c r="M70" s="218"/>
      <c r="N70" s="218"/>
      <c r="O70" s="222"/>
      <c r="P70" s="222"/>
      <c r="Q70" s="222"/>
      <c r="R70" s="222">
        <f t="shared" si="56"/>
        <v>0.03</v>
      </c>
      <c r="S70" s="222">
        <f t="shared" si="56"/>
        <v>0.03</v>
      </c>
      <c r="T70" s="222">
        <f t="shared" si="59"/>
        <v>0.03</v>
      </c>
      <c r="U70" s="222">
        <f t="shared" si="59"/>
        <v>0.03</v>
      </c>
      <c r="V70" s="222">
        <f t="shared" si="57"/>
        <v>0.03</v>
      </c>
      <c r="W70" s="222">
        <f t="shared" si="57"/>
        <v>0.03</v>
      </c>
      <c r="X70" s="222">
        <f t="shared" si="57"/>
        <v>0.03</v>
      </c>
      <c r="Y70" s="222">
        <f t="shared" si="60"/>
        <v>0.03</v>
      </c>
      <c r="Z70" s="222">
        <f t="shared" si="58"/>
        <v>0.03</v>
      </c>
      <c r="AA70" s="223" t="str">
        <f t="shared" si="61"/>
        <v>Widen paved shoulder from 3 ft to 4 ft</v>
      </c>
      <c r="AB70" s="222"/>
      <c r="AC70" s="222"/>
      <c r="AD70" s="222"/>
      <c r="AE70" s="222">
        <f t="shared" si="62"/>
        <v>0.03</v>
      </c>
      <c r="AF70" s="222">
        <f t="shared" si="62"/>
        <v>0.03</v>
      </c>
      <c r="AG70" s="222">
        <f t="shared" si="62"/>
        <v>0.03</v>
      </c>
      <c r="AH70" s="222">
        <f t="shared" si="62"/>
        <v>0.03</v>
      </c>
      <c r="AI70" s="222">
        <f t="shared" si="62"/>
        <v>0.03</v>
      </c>
      <c r="AJ70" s="222">
        <f t="shared" si="62"/>
        <v>0.03</v>
      </c>
      <c r="AK70" s="222">
        <f t="shared" si="62"/>
        <v>0.03</v>
      </c>
      <c r="AL70" s="222">
        <f t="shared" si="62"/>
        <v>0.03</v>
      </c>
      <c r="AM70" s="222">
        <f t="shared" si="62"/>
        <v>0.03</v>
      </c>
    </row>
    <row r="71" spans="1:39" x14ac:dyDescent="0.2">
      <c r="A71" s="220">
        <v>11</v>
      </c>
      <c r="B71" s="220" t="s">
        <v>836</v>
      </c>
      <c r="C71" s="221" t="s">
        <v>837</v>
      </c>
      <c r="D71" s="221" t="s">
        <v>839</v>
      </c>
      <c r="E71" s="218">
        <v>20</v>
      </c>
      <c r="F71" s="218"/>
      <c r="G71" s="218"/>
      <c r="H71" s="218"/>
      <c r="I71" s="218"/>
      <c r="J71" s="218">
        <v>2009</v>
      </c>
      <c r="K71" s="218">
        <v>3</v>
      </c>
      <c r="L71" s="218">
        <v>0.05</v>
      </c>
      <c r="M71" s="218"/>
      <c r="N71" s="218"/>
      <c r="O71" s="222"/>
      <c r="P71" s="222"/>
      <c r="Q71" s="222"/>
      <c r="R71" s="222">
        <f t="shared" si="56"/>
        <v>0.05</v>
      </c>
      <c r="S71" s="222">
        <f t="shared" si="56"/>
        <v>0.05</v>
      </c>
      <c r="T71" s="222">
        <f t="shared" si="59"/>
        <v>0.05</v>
      </c>
      <c r="U71" s="222">
        <f t="shared" si="59"/>
        <v>0.05</v>
      </c>
      <c r="V71" s="222">
        <f t="shared" si="57"/>
        <v>0.05</v>
      </c>
      <c r="W71" s="222">
        <f t="shared" si="57"/>
        <v>0.05</v>
      </c>
      <c r="X71" s="222">
        <f t="shared" si="57"/>
        <v>0.05</v>
      </c>
      <c r="Y71" s="222">
        <f t="shared" si="60"/>
        <v>0.05</v>
      </c>
      <c r="Z71" s="222">
        <f t="shared" si="58"/>
        <v>0.05</v>
      </c>
      <c r="AA71" s="223" t="str">
        <f t="shared" si="61"/>
        <v>Widen paved shoulder from 3 ft to 5 ft</v>
      </c>
      <c r="AB71" s="222"/>
      <c r="AC71" s="222"/>
      <c r="AD71" s="222"/>
      <c r="AE71" s="222">
        <f t="shared" si="62"/>
        <v>0.05</v>
      </c>
      <c r="AF71" s="222">
        <f t="shared" si="62"/>
        <v>0.05</v>
      </c>
      <c r="AG71" s="222">
        <f t="shared" si="62"/>
        <v>0.05</v>
      </c>
      <c r="AH71" s="222">
        <f t="shared" si="62"/>
        <v>0.05</v>
      </c>
      <c r="AI71" s="222">
        <f t="shared" si="62"/>
        <v>0.05</v>
      </c>
      <c r="AJ71" s="222">
        <f t="shared" si="62"/>
        <v>0.05</v>
      </c>
      <c r="AK71" s="222">
        <f t="shared" si="62"/>
        <v>0.05</v>
      </c>
      <c r="AL71" s="222">
        <f t="shared" si="62"/>
        <v>0.05</v>
      </c>
      <c r="AM71" s="222">
        <f t="shared" si="62"/>
        <v>0.05</v>
      </c>
    </row>
    <row r="72" spans="1:39" x14ac:dyDescent="0.2">
      <c r="A72" s="220">
        <v>12</v>
      </c>
      <c r="B72" s="220" t="s">
        <v>836</v>
      </c>
      <c r="C72" s="221" t="s">
        <v>837</v>
      </c>
      <c r="D72" s="221" t="s">
        <v>840</v>
      </c>
      <c r="E72" s="218">
        <v>20</v>
      </c>
      <c r="F72" s="218"/>
      <c r="G72" s="218"/>
      <c r="H72" s="218"/>
      <c r="I72" s="218"/>
      <c r="J72" s="218">
        <v>2009</v>
      </c>
      <c r="K72" s="218">
        <v>3</v>
      </c>
      <c r="L72" s="218">
        <v>7.0000000000000007E-2</v>
      </c>
      <c r="M72" s="218"/>
      <c r="N72" s="218"/>
      <c r="O72" s="222"/>
      <c r="P72" s="222"/>
      <c r="Q72" s="222"/>
      <c r="R72" s="222">
        <f t="shared" si="56"/>
        <v>7.0000000000000007E-2</v>
      </c>
      <c r="S72" s="222">
        <f t="shared" si="56"/>
        <v>7.0000000000000007E-2</v>
      </c>
      <c r="T72" s="222">
        <f t="shared" si="59"/>
        <v>7.0000000000000007E-2</v>
      </c>
      <c r="U72" s="222">
        <f t="shared" si="59"/>
        <v>7.0000000000000007E-2</v>
      </c>
      <c r="V72" s="222">
        <f t="shared" si="57"/>
        <v>7.0000000000000007E-2</v>
      </c>
      <c r="W72" s="222">
        <f t="shared" si="57"/>
        <v>7.0000000000000007E-2</v>
      </c>
      <c r="X72" s="222">
        <f t="shared" si="57"/>
        <v>7.0000000000000007E-2</v>
      </c>
      <c r="Y72" s="222">
        <f t="shared" si="60"/>
        <v>7.0000000000000007E-2</v>
      </c>
      <c r="Z72" s="222">
        <f t="shared" si="58"/>
        <v>7.0000000000000007E-2</v>
      </c>
      <c r="AA72" s="223" t="str">
        <f t="shared" si="61"/>
        <v>Widen paved shoulder from 3 ft to 6 ft</v>
      </c>
      <c r="AB72" s="222"/>
      <c r="AC72" s="222"/>
      <c r="AD72" s="222"/>
      <c r="AE72" s="222">
        <f t="shared" si="62"/>
        <v>7.0000000000000007E-2</v>
      </c>
      <c r="AF72" s="222">
        <f t="shared" si="62"/>
        <v>7.0000000000000007E-2</v>
      </c>
      <c r="AG72" s="222">
        <f t="shared" si="62"/>
        <v>7.0000000000000007E-2</v>
      </c>
      <c r="AH72" s="222">
        <f t="shared" si="62"/>
        <v>7.0000000000000007E-2</v>
      </c>
      <c r="AI72" s="222">
        <f t="shared" si="62"/>
        <v>7.0000000000000007E-2</v>
      </c>
      <c r="AJ72" s="222">
        <f t="shared" si="62"/>
        <v>7.0000000000000007E-2</v>
      </c>
      <c r="AK72" s="222">
        <f t="shared" si="62"/>
        <v>7.0000000000000007E-2</v>
      </c>
      <c r="AL72" s="222">
        <f t="shared" si="62"/>
        <v>7.0000000000000007E-2</v>
      </c>
      <c r="AM72" s="222">
        <f t="shared" si="62"/>
        <v>7.0000000000000007E-2</v>
      </c>
    </row>
    <row r="73" spans="1:39" x14ac:dyDescent="0.2">
      <c r="A73" s="220">
        <v>13</v>
      </c>
      <c r="B73" s="220" t="s">
        <v>836</v>
      </c>
      <c r="C73" s="221" t="s">
        <v>837</v>
      </c>
      <c r="D73" s="221" t="s">
        <v>841</v>
      </c>
      <c r="E73" s="218">
        <v>20</v>
      </c>
      <c r="F73" s="218"/>
      <c r="G73" s="218"/>
      <c r="H73" s="218"/>
      <c r="I73" s="218"/>
      <c r="J73" s="218">
        <v>2009</v>
      </c>
      <c r="K73" s="218">
        <v>3</v>
      </c>
      <c r="L73" s="218">
        <v>0.1</v>
      </c>
      <c r="M73" s="218"/>
      <c r="N73" s="218"/>
      <c r="O73" s="222"/>
      <c r="P73" s="222"/>
      <c r="Q73" s="222"/>
      <c r="R73" s="222">
        <f t="shared" si="56"/>
        <v>0.1</v>
      </c>
      <c r="S73" s="222">
        <f t="shared" si="56"/>
        <v>0.1</v>
      </c>
      <c r="T73" s="222">
        <f t="shared" si="59"/>
        <v>0.1</v>
      </c>
      <c r="U73" s="222">
        <f t="shared" si="59"/>
        <v>0.1</v>
      </c>
      <c r="V73" s="222">
        <f t="shared" si="57"/>
        <v>0.1</v>
      </c>
      <c r="W73" s="222">
        <f t="shared" si="57"/>
        <v>0.1</v>
      </c>
      <c r="X73" s="222">
        <f t="shared" si="57"/>
        <v>0.1</v>
      </c>
      <c r="Y73" s="222">
        <f t="shared" si="60"/>
        <v>0.1</v>
      </c>
      <c r="Z73" s="222">
        <f t="shared" si="58"/>
        <v>0.1</v>
      </c>
      <c r="AA73" s="223" t="str">
        <f t="shared" si="61"/>
        <v>Widen paved shoulder from 3 ft to 7 ft</v>
      </c>
      <c r="AB73" s="222"/>
      <c r="AC73" s="222"/>
      <c r="AD73" s="222"/>
      <c r="AE73" s="222">
        <f t="shared" si="62"/>
        <v>0.1</v>
      </c>
      <c r="AF73" s="222">
        <f t="shared" si="62"/>
        <v>0.1</v>
      </c>
      <c r="AG73" s="222">
        <f t="shared" si="62"/>
        <v>0.1</v>
      </c>
      <c r="AH73" s="222">
        <f t="shared" si="62"/>
        <v>0.1</v>
      </c>
      <c r="AI73" s="222">
        <f t="shared" si="62"/>
        <v>0.1</v>
      </c>
      <c r="AJ73" s="222">
        <f t="shared" si="62"/>
        <v>0.1</v>
      </c>
      <c r="AK73" s="222">
        <f t="shared" si="62"/>
        <v>0.1</v>
      </c>
      <c r="AL73" s="222">
        <f t="shared" si="62"/>
        <v>0.1</v>
      </c>
      <c r="AM73" s="222">
        <f t="shared" si="62"/>
        <v>0.1</v>
      </c>
    </row>
    <row r="74" spans="1:39" x14ac:dyDescent="0.2">
      <c r="A74" s="220">
        <v>14</v>
      </c>
      <c r="B74" s="220" t="s">
        <v>836</v>
      </c>
      <c r="C74" s="221" t="s">
        <v>837</v>
      </c>
      <c r="D74" s="221" t="s">
        <v>842</v>
      </c>
      <c r="E74" s="218">
        <v>20</v>
      </c>
      <c r="F74" s="218"/>
      <c r="G74" s="218"/>
      <c r="H74" s="218"/>
      <c r="I74" s="218"/>
      <c r="J74" s="218">
        <v>2009</v>
      </c>
      <c r="K74" s="218">
        <v>3</v>
      </c>
      <c r="L74" s="218">
        <v>0.12</v>
      </c>
      <c r="M74" s="218"/>
      <c r="N74" s="218"/>
      <c r="O74" s="222"/>
      <c r="P74" s="222"/>
      <c r="Q74" s="222"/>
      <c r="R74" s="222">
        <f t="shared" si="56"/>
        <v>0.12</v>
      </c>
      <c r="S74" s="222">
        <f t="shared" si="56"/>
        <v>0.12</v>
      </c>
      <c r="T74" s="222">
        <f t="shared" si="59"/>
        <v>0.12</v>
      </c>
      <c r="U74" s="222">
        <f t="shared" si="59"/>
        <v>0.12</v>
      </c>
      <c r="V74" s="222">
        <f t="shared" si="57"/>
        <v>0.12</v>
      </c>
      <c r="W74" s="222">
        <f t="shared" si="57"/>
        <v>0.12</v>
      </c>
      <c r="X74" s="222">
        <f t="shared" si="57"/>
        <v>0.12</v>
      </c>
      <c r="Y74" s="222">
        <f t="shared" si="60"/>
        <v>0.12</v>
      </c>
      <c r="Z74" s="222">
        <f t="shared" si="58"/>
        <v>0.12</v>
      </c>
      <c r="AA74" s="223" t="str">
        <f t="shared" si="61"/>
        <v>Widen paved shoulder from 3 ft to 8 ft</v>
      </c>
      <c r="AB74" s="222"/>
      <c r="AC74" s="222"/>
      <c r="AD74" s="222"/>
      <c r="AE74" s="222">
        <f t="shared" si="62"/>
        <v>0.12</v>
      </c>
      <c r="AF74" s="222">
        <f t="shared" si="62"/>
        <v>0.12</v>
      </c>
      <c r="AG74" s="222">
        <f t="shared" si="62"/>
        <v>0.12</v>
      </c>
      <c r="AH74" s="222">
        <f t="shared" si="62"/>
        <v>0.12</v>
      </c>
      <c r="AI74" s="222">
        <f t="shared" si="62"/>
        <v>0.12</v>
      </c>
      <c r="AJ74" s="222">
        <f t="shared" si="62"/>
        <v>0.12</v>
      </c>
      <c r="AK74" s="222">
        <f t="shared" si="62"/>
        <v>0.12</v>
      </c>
      <c r="AL74" s="222">
        <f t="shared" si="62"/>
        <v>0.12</v>
      </c>
      <c r="AM74" s="222">
        <f t="shared" si="62"/>
        <v>0.12</v>
      </c>
    </row>
    <row r="75" spans="1:39" x14ac:dyDescent="0.2">
      <c r="A75" s="220"/>
      <c r="B75" s="220"/>
      <c r="C75" s="221"/>
      <c r="D75" s="221"/>
      <c r="E75" s="218"/>
      <c r="F75" s="218"/>
      <c r="G75" s="218"/>
      <c r="H75" s="218"/>
      <c r="I75" s="218"/>
      <c r="J75" s="218"/>
      <c r="K75" s="218"/>
      <c r="L75" s="218"/>
      <c r="M75" s="218"/>
      <c r="N75" s="218"/>
      <c r="O75" s="222"/>
      <c r="P75" s="222"/>
      <c r="Q75" s="222"/>
      <c r="R75" s="222"/>
      <c r="S75" s="222"/>
      <c r="T75" s="222"/>
      <c r="U75" s="222"/>
      <c r="V75" s="222"/>
      <c r="W75" s="222"/>
      <c r="X75" s="222"/>
      <c r="Y75" s="222"/>
      <c r="Z75" s="222"/>
      <c r="AA75" s="223">
        <f t="shared" si="61"/>
        <v>0</v>
      </c>
      <c r="AB75" s="222"/>
      <c r="AC75" s="222"/>
      <c r="AD75" s="222"/>
      <c r="AE75" s="222"/>
      <c r="AF75" s="222"/>
      <c r="AG75" s="222"/>
      <c r="AH75" s="222"/>
      <c r="AI75" s="222"/>
      <c r="AJ75" s="222"/>
      <c r="AK75" s="222"/>
      <c r="AL75" s="222"/>
      <c r="AM75" s="222"/>
    </row>
    <row r="76" spans="1:39" x14ac:dyDescent="0.2">
      <c r="A76" s="220"/>
      <c r="B76" s="220"/>
      <c r="C76" s="221"/>
      <c r="D76" s="221"/>
      <c r="E76" s="218"/>
      <c r="F76" s="218"/>
      <c r="G76" s="218"/>
      <c r="H76" s="218"/>
      <c r="I76" s="218"/>
      <c r="J76" s="218"/>
      <c r="K76" s="218"/>
      <c r="L76" s="218"/>
      <c r="M76" s="218"/>
      <c r="N76" s="218"/>
      <c r="O76" s="222"/>
      <c r="P76" s="222"/>
      <c r="Q76" s="222"/>
      <c r="R76" s="222"/>
      <c r="S76" s="222"/>
      <c r="T76" s="222"/>
      <c r="U76" s="222"/>
      <c r="V76" s="222"/>
      <c r="W76" s="222"/>
      <c r="X76" s="222"/>
      <c r="Y76" s="222"/>
      <c r="Z76" s="222"/>
      <c r="AA76" s="223">
        <f t="shared" si="61"/>
        <v>0</v>
      </c>
      <c r="AB76" s="222"/>
      <c r="AC76" s="222"/>
      <c r="AD76" s="222"/>
      <c r="AE76" s="222"/>
      <c r="AF76" s="222"/>
      <c r="AG76" s="222"/>
      <c r="AH76" s="222"/>
      <c r="AI76" s="222"/>
      <c r="AJ76" s="222"/>
      <c r="AK76" s="222"/>
      <c r="AL76" s="222"/>
      <c r="AM76" s="222"/>
    </row>
    <row r="77" spans="1:39" x14ac:dyDescent="0.2">
      <c r="A77" s="220"/>
      <c r="B77" s="220"/>
      <c r="C77" s="221"/>
      <c r="D77" s="221"/>
      <c r="E77" s="218"/>
      <c r="F77" s="218"/>
      <c r="G77" s="218"/>
      <c r="H77" s="218"/>
      <c r="I77" s="218"/>
      <c r="J77" s="218"/>
      <c r="K77" s="218"/>
      <c r="L77" s="218"/>
      <c r="M77" s="218"/>
      <c r="N77" s="218"/>
      <c r="O77" s="222"/>
      <c r="P77" s="222"/>
      <c r="Q77" s="222"/>
      <c r="R77" s="222"/>
      <c r="S77" s="222"/>
      <c r="T77" s="222"/>
      <c r="U77" s="222"/>
      <c r="V77" s="222"/>
      <c r="W77" s="222"/>
      <c r="X77" s="222"/>
      <c r="Y77" s="222"/>
      <c r="Z77" s="222"/>
      <c r="AA77" s="223">
        <f t="shared" si="61"/>
        <v>0</v>
      </c>
      <c r="AB77" s="222"/>
      <c r="AC77" s="222"/>
      <c r="AD77" s="222"/>
      <c r="AE77" s="222"/>
      <c r="AF77" s="222"/>
      <c r="AG77" s="222"/>
      <c r="AH77" s="222"/>
      <c r="AI77" s="222"/>
      <c r="AJ77" s="222"/>
      <c r="AK77" s="222"/>
      <c r="AL77" s="222"/>
      <c r="AM77" s="222"/>
    </row>
    <row r="78" spans="1:39" x14ac:dyDescent="0.2">
      <c r="A78" s="220"/>
      <c r="B78" s="220"/>
      <c r="C78" s="221"/>
      <c r="D78" s="221"/>
      <c r="E78" s="218"/>
      <c r="F78" s="218"/>
      <c r="G78" s="218"/>
      <c r="H78" s="218"/>
      <c r="I78" s="218"/>
      <c r="J78" s="218"/>
      <c r="K78" s="218"/>
      <c r="L78" s="218"/>
      <c r="M78" s="218"/>
      <c r="N78" s="218"/>
      <c r="O78" s="222"/>
      <c r="P78" s="222"/>
      <c r="Q78" s="222"/>
      <c r="R78" s="222"/>
      <c r="S78" s="222"/>
      <c r="T78" s="222"/>
      <c r="U78" s="222"/>
      <c r="V78" s="222"/>
      <c r="W78" s="222"/>
      <c r="X78" s="222"/>
      <c r="Y78" s="222"/>
      <c r="Z78" s="222"/>
      <c r="AA78" s="223">
        <f t="shared" si="61"/>
        <v>0</v>
      </c>
      <c r="AB78" s="222"/>
      <c r="AC78" s="222"/>
      <c r="AD78" s="222"/>
      <c r="AE78" s="222"/>
      <c r="AF78" s="222"/>
      <c r="AG78" s="222"/>
      <c r="AH78" s="222"/>
      <c r="AI78" s="222"/>
      <c r="AJ78" s="222"/>
      <c r="AK78" s="222"/>
      <c r="AL78" s="222"/>
      <c r="AM78" s="222"/>
    </row>
    <row r="79" spans="1:39" x14ac:dyDescent="0.2">
      <c r="A79" s="220"/>
      <c r="B79" s="220"/>
      <c r="C79" s="221"/>
      <c r="D79" s="221"/>
      <c r="E79" s="218"/>
      <c r="F79" s="218"/>
      <c r="G79" s="218"/>
      <c r="H79" s="218"/>
      <c r="I79" s="218"/>
      <c r="J79" s="218"/>
      <c r="K79" s="218"/>
      <c r="L79" s="218"/>
      <c r="M79" s="218"/>
      <c r="N79" s="218"/>
      <c r="O79" s="222"/>
      <c r="P79" s="222"/>
      <c r="Q79" s="222"/>
      <c r="R79" s="222"/>
      <c r="S79" s="222"/>
      <c r="T79" s="222"/>
      <c r="U79" s="222"/>
      <c r="V79" s="222"/>
      <c r="W79" s="222"/>
      <c r="X79" s="222"/>
      <c r="Y79" s="222"/>
      <c r="Z79" s="222"/>
      <c r="AA79" s="223">
        <f t="shared" si="61"/>
        <v>0</v>
      </c>
      <c r="AB79" s="222"/>
      <c r="AC79" s="222"/>
      <c r="AD79" s="222"/>
      <c r="AE79" s="222"/>
      <c r="AF79" s="222"/>
      <c r="AG79" s="222"/>
      <c r="AH79" s="222"/>
      <c r="AI79" s="222"/>
      <c r="AJ79" s="222"/>
      <c r="AK79" s="222"/>
      <c r="AL79" s="222"/>
      <c r="AM79" s="222"/>
    </row>
    <row r="80" spans="1:39" x14ac:dyDescent="0.2">
      <c r="A80" s="220"/>
      <c r="B80" s="220"/>
      <c r="C80" s="221"/>
      <c r="D80" s="221"/>
      <c r="E80" s="218"/>
      <c r="F80" s="218"/>
      <c r="G80" s="218"/>
      <c r="H80" s="218"/>
      <c r="I80" s="218"/>
      <c r="J80" s="218"/>
      <c r="K80" s="218"/>
      <c r="L80" s="218"/>
      <c r="M80" s="218"/>
      <c r="N80" s="218"/>
      <c r="O80" s="222"/>
      <c r="P80" s="222"/>
      <c r="Q80" s="222"/>
      <c r="R80" s="222"/>
      <c r="S80" s="222"/>
      <c r="T80" s="222"/>
      <c r="U80" s="222"/>
      <c r="V80" s="222"/>
      <c r="W80" s="222"/>
      <c r="X80" s="222"/>
      <c r="Y80" s="222"/>
      <c r="Z80" s="222"/>
      <c r="AA80" s="223">
        <f t="shared" si="61"/>
        <v>0</v>
      </c>
      <c r="AB80" s="222"/>
      <c r="AC80" s="222"/>
      <c r="AD80" s="222"/>
      <c r="AE80" s="222"/>
      <c r="AF80" s="222"/>
      <c r="AG80" s="222"/>
      <c r="AH80" s="222"/>
      <c r="AI80" s="222"/>
      <c r="AJ80" s="222"/>
      <c r="AK80" s="222"/>
      <c r="AL80" s="222"/>
      <c r="AM80" s="222"/>
    </row>
    <row r="81" spans="1:39" x14ac:dyDescent="0.2">
      <c r="A81" s="220"/>
      <c r="B81" s="220"/>
      <c r="C81" s="221"/>
      <c r="D81" s="221"/>
      <c r="E81" s="218"/>
      <c r="F81" s="218"/>
      <c r="G81" s="218"/>
      <c r="H81" s="218"/>
      <c r="I81" s="218"/>
      <c r="J81" s="218"/>
      <c r="K81" s="218"/>
      <c r="L81" s="218"/>
      <c r="M81" s="218"/>
      <c r="N81" s="218"/>
      <c r="O81" s="222"/>
      <c r="P81" s="222"/>
      <c r="Q81" s="222"/>
      <c r="R81" s="222"/>
      <c r="S81" s="222"/>
      <c r="T81" s="222"/>
      <c r="U81" s="222"/>
      <c r="V81" s="222"/>
      <c r="W81" s="222"/>
      <c r="X81" s="222"/>
      <c r="Y81" s="222"/>
      <c r="Z81" s="222"/>
      <c r="AA81" s="223">
        <f t="shared" si="61"/>
        <v>0</v>
      </c>
      <c r="AB81" s="222"/>
      <c r="AC81" s="222"/>
      <c r="AD81" s="222"/>
      <c r="AE81" s="222"/>
      <c r="AF81" s="222"/>
      <c r="AG81" s="222"/>
      <c r="AH81" s="222"/>
      <c r="AI81" s="222"/>
      <c r="AJ81" s="222"/>
      <c r="AK81" s="222"/>
      <c r="AL81" s="222"/>
      <c r="AM81" s="222"/>
    </row>
    <row r="82" spans="1:39" x14ac:dyDescent="0.2">
      <c r="A82" s="220"/>
      <c r="B82" s="220"/>
      <c r="C82" s="221"/>
      <c r="D82" s="221"/>
      <c r="E82" s="218"/>
      <c r="F82" s="218"/>
      <c r="G82" s="218"/>
      <c r="H82" s="218"/>
      <c r="I82" s="218"/>
      <c r="J82" s="218"/>
      <c r="K82" s="218"/>
      <c r="L82" s="218"/>
      <c r="M82" s="218"/>
      <c r="N82" s="218"/>
      <c r="O82" s="222"/>
      <c r="P82" s="222"/>
      <c r="Q82" s="222"/>
      <c r="R82" s="222"/>
      <c r="S82" s="222"/>
      <c r="T82" s="222"/>
      <c r="U82" s="222"/>
      <c r="V82" s="222"/>
      <c r="W82" s="222"/>
      <c r="X82" s="222"/>
      <c r="Y82" s="222"/>
      <c r="Z82" s="222"/>
      <c r="AA82" s="223">
        <f t="shared" si="61"/>
        <v>0</v>
      </c>
      <c r="AB82" s="222"/>
      <c r="AC82" s="222"/>
      <c r="AD82" s="222"/>
      <c r="AE82" s="222"/>
      <c r="AF82" s="222"/>
      <c r="AG82" s="222"/>
      <c r="AH82" s="222"/>
      <c r="AI82" s="222"/>
      <c r="AJ82" s="222"/>
      <c r="AK82" s="222"/>
      <c r="AL82" s="222"/>
      <c r="AM82" s="222"/>
    </row>
    <row r="83" spans="1:39" x14ac:dyDescent="0.2">
      <c r="A83" s="220"/>
      <c r="B83" s="220"/>
      <c r="C83" s="221"/>
      <c r="D83" s="221"/>
      <c r="E83" s="218"/>
      <c r="F83" s="218"/>
      <c r="G83" s="218"/>
      <c r="H83" s="218"/>
      <c r="I83" s="218"/>
      <c r="J83" s="218"/>
      <c r="K83" s="218"/>
      <c r="L83" s="218"/>
      <c r="M83" s="218"/>
      <c r="N83" s="218"/>
      <c r="O83" s="222"/>
      <c r="P83" s="222"/>
      <c r="Q83" s="222"/>
      <c r="R83" s="222"/>
      <c r="S83" s="222"/>
      <c r="T83" s="222"/>
      <c r="U83" s="222"/>
      <c r="V83" s="222"/>
      <c r="W83" s="222"/>
      <c r="X83" s="222"/>
      <c r="Y83" s="222"/>
      <c r="Z83" s="222"/>
      <c r="AA83" s="223">
        <f t="shared" si="61"/>
        <v>0</v>
      </c>
      <c r="AB83" s="222"/>
      <c r="AC83" s="222"/>
      <c r="AD83" s="222"/>
      <c r="AE83" s="222"/>
      <c r="AF83" s="222"/>
      <c r="AG83" s="222"/>
      <c r="AH83" s="222"/>
      <c r="AI83" s="222"/>
      <c r="AJ83" s="222"/>
      <c r="AK83" s="222"/>
      <c r="AL83" s="222"/>
      <c r="AM83" s="222"/>
    </row>
    <row r="84" spans="1:39" x14ac:dyDescent="0.2">
      <c r="A84" s="220"/>
      <c r="B84" s="220"/>
      <c r="C84" s="221"/>
      <c r="D84" s="221"/>
      <c r="E84" s="218"/>
      <c r="F84" s="218"/>
      <c r="G84" s="218"/>
      <c r="H84" s="218"/>
      <c r="I84" s="218"/>
      <c r="J84" s="218"/>
      <c r="K84" s="218"/>
      <c r="L84" s="218"/>
      <c r="M84" s="218"/>
      <c r="N84" s="218"/>
      <c r="O84" s="222"/>
      <c r="P84" s="222"/>
      <c r="Q84" s="222"/>
      <c r="R84" s="222"/>
      <c r="S84" s="222"/>
      <c r="T84" s="222"/>
      <c r="U84" s="222"/>
      <c r="V84" s="222"/>
      <c r="W84" s="222"/>
      <c r="X84" s="222"/>
      <c r="Y84" s="222"/>
      <c r="Z84" s="222"/>
      <c r="AA84" s="223">
        <f t="shared" si="61"/>
        <v>0</v>
      </c>
      <c r="AB84" s="222"/>
      <c r="AC84" s="222"/>
      <c r="AD84" s="222"/>
      <c r="AE84" s="222"/>
      <c r="AF84" s="222"/>
      <c r="AG84" s="222"/>
      <c r="AH84" s="222"/>
      <c r="AI84" s="222"/>
      <c r="AJ84" s="222"/>
      <c r="AK84" s="222"/>
      <c r="AL84" s="222"/>
      <c r="AM84" s="222"/>
    </row>
    <row r="85" spans="1:39" x14ac:dyDescent="0.2">
      <c r="A85" s="220"/>
      <c r="B85" s="220"/>
      <c r="C85" s="221"/>
      <c r="D85" s="221"/>
      <c r="E85" s="218"/>
      <c r="F85" s="218"/>
      <c r="G85" s="218"/>
      <c r="H85" s="218"/>
      <c r="I85" s="218"/>
      <c r="J85" s="218"/>
      <c r="K85" s="218"/>
      <c r="L85" s="218"/>
      <c r="M85" s="218"/>
      <c r="N85" s="218"/>
      <c r="O85" s="222"/>
      <c r="P85" s="222"/>
      <c r="Q85" s="222"/>
      <c r="R85" s="222"/>
      <c r="S85" s="222"/>
      <c r="T85" s="222"/>
      <c r="U85" s="222"/>
      <c r="V85" s="222"/>
      <c r="W85" s="222"/>
      <c r="X85" s="222"/>
      <c r="Y85" s="222"/>
      <c r="Z85" s="222"/>
      <c r="AA85" s="223">
        <f t="shared" si="61"/>
        <v>0</v>
      </c>
      <c r="AB85" s="222"/>
      <c r="AC85" s="222"/>
      <c r="AD85" s="222"/>
      <c r="AE85" s="222"/>
      <c r="AF85" s="222"/>
      <c r="AG85" s="222"/>
      <c r="AH85" s="222"/>
      <c r="AI85" s="222"/>
      <c r="AJ85" s="222"/>
      <c r="AK85" s="222"/>
      <c r="AL85" s="222"/>
      <c r="AM85" s="222"/>
    </row>
    <row r="86" spans="1:39" x14ac:dyDescent="0.2">
      <c r="A86" s="220"/>
      <c r="B86" s="220"/>
      <c r="C86" s="221"/>
      <c r="D86" s="221"/>
      <c r="E86" s="218"/>
      <c r="F86" s="218"/>
      <c r="G86" s="218"/>
      <c r="H86" s="218"/>
      <c r="I86" s="218"/>
      <c r="J86" s="218"/>
      <c r="K86" s="218"/>
      <c r="L86" s="218"/>
      <c r="M86" s="218"/>
      <c r="N86" s="218"/>
      <c r="O86" s="222"/>
      <c r="P86" s="222"/>
      <c r="Q86" s="222"/>
      <c r="R86" s="222"/>
      <c r="S86" s="222"/>
      <c r="T86" s="222"/>
      <c r="U86" s="222"/>
      <c r="V86" s="222"/>
      <c r="W86" s="222"/>
      <c r="X86" s="222"/>
      <c r="Y86" s="222"/>
      <c r="Z86" s="222"/>
      <c r="AA86" s="223">
        <f t="shared" si="61"/>
        <v>0</v>
      </c>
      <c r="AB86" s="222"/>
      <c r="AC86" s="222"/>
      <c r="AD86" s="222"/>
      <c r="AE86" s="222"/>
      <c r="AF86" s="222"/>
      <c r="AG86" s="222"/>
      <c r="AH86" s="222"/>
      <c r="AI86" s="222"/>
      <c r="AJ86" s="222"/>
      <c r="AK86" s="222"/>
      <c r="AL86" s="222"/>
      <c r="AM86" s="222"/>
    </row>
    <row r="87" spans="1:39" x14ac:dyDescent="0.2">
      <c r="A87" s="220"/>
      <c r="B87" s="220"/>
      <c r="C87" s="221"/>
      <c r="D87" s="221"/>
      <c r="E87" s="218"/>
      <c r="F87" s="218"/>
      <c r="G87" s="218"/>
      <c r="H87" s="218"/>
      <c r="I87" s="218"/>
      <c r="J87" s="218"/>
      <c r="K87" s="218"/>
      <c r="L87" s="218"/>
      <c r="M87" s="218"/>
      <c r="N87" s="218"/>
      <c r="O87" s="222"/>
      <c r="P87" s="222"/>
      <c r="Q87" s="222"/>
      <c r="R87" s="222"/>
      <c r="S87" s="222"/>
      <c r="T87" s="222"/>
      <c r="U87" s="222"/>
      <c r="V87" s="222"/>
      <c r="W87" s="222"/>
      <c r="X87" s="222"/>
      <c r="Y87" s="222"/>
      <c r="Z87" s="222"/>
      <c r="AA87" s="223">
        <f t="shared" si="61"/>
        <v>0</v>
      </c>
      <c r="AB87" s="222"/>
      <c r="AC87" s="222"/>
      <c r="AD87" s="222"/>
      <c r="AE87" s="222"/>
      <c r="AF87" s="222"/>
      <c r="AG87" s="222"/>
      <c r="AH87" s="222"/>
      <c r="AI87" s="222"/>
      <c r="AJ87" s="222"/>
      <c r="AK87" s="222"/>
      <c r="AL87" s="222"/>
      <c r="AM87" s="222"/>
    </row>
    <row r="88" spans="1:39" x14ac:dyDescent="0.2">
      <c r="A88" s="220"/>
      <c r="B88" s="220"/>
      <c r="C88" s="221"/>
      <c r="D88" s="221"/>
      <c r="E88" s="218"/>
      <c r="F88" s="218"/>
      <c r="G88" s="218"/>
      <c r="H88" s="218"/>
      <c r="I88" s="218"/>
      <c r="J88" s="218"/>
      <c r="K88" s="218"/>
      <c r="L88" s="218"/>
      <c r="M88" s="218"/>
      <c r="N88" s="218"/>
      <c r="O88" s="222"/>
      <c r="P88" s="222"/>
      <c r="Q88" s="222"/>
      <c r="R88" s="222"/>
      <c r="S88" s="222"/>
      <c r="T88" s="222"/>
      <c r="U88" s="222"/>
      <c r="V88" s="222"/>
      <c r="W88" s="222"/>
      <c r="X88" s="222"/>
      <c r="Y88" s="222"/>
      <c r="Z88" s="222"/>
      <c r="AA88" s="223">
        <f t="shared" si="61"/>
        <v>0</v>
      </c>
      <c r="AB88" s="222"/>
      <c r="AC88" s="222"/>
      <c r="AD88" s="222"/>
      <c r="AE88" s="222"/>
      <c r="AF88" s="222"/>
      <c r="AG88" s="222"/>
      <c r="AH88" s="222"/>
      <c r="AI88" s="222"/>
      <c r="AJ88" s="222"/>
      <c r="AK88" s="222"/>
      <c r="AL88" s="222"/>
      <c r="AM88" s="222"/>
    </row>
    <row r="89" spans="1:39" x14ac:dyDescent="0.2">
      <c r="A89" s="220"/>
      <c r="B89" s="220"/>
      <c r="C89" s="221"/>
      <c r="D89" s="221"/>
      <c r="E89" s="218"/>
      <c r="F89" s="218"/>
      <c r="G89" s="218"/>
      <c r="H89" s="218"/>
      <c r="I89" s="218"/>
      <c r="J89" s="218"/>
      <c r="K89" s="218"/>
      <c r="L89" s="218"/>
      <c r="M89" s="218"/>
      <c r="N89" s="218"/>
      <c r="O89" s="222"/>
      <c r="P89" s="222"/>
      <c r="Q89" s="222"/>
      <c r="R89" s="222"/>
      <c r="S89" s="222"/>
      <c r="T89" s="222"/>
      <c r="U89" s="222"/>
      <c r="V89" s="222"/>
      <c r="W89" s="222"/>
      <c r="X89" s="222"/>
      <c r="Y89" s="222"/>
      <c r="Z89" s="222"/>
      <c r="AA89" s="223">
        <f t="shared" si="61"/>
        <v>0</v>
      </c>
      <c r="AB89" s="222"/>
      <c r="AC89" s="222"/>
      <c r="AD89" s="222"/>
      <c r="AE89" s="222"/>
      <c r="AF89" s="222"/>
      <c r="AG89" s="222"/>
      <c r="AH89" s="222"/>
      <c r="AI89" s="222"/>
      <c r="AJ89" s="222"/>
      <c r="AK89" s="222"/>
      <c r="AL89" s="222"/>
      <c r="AM89" s="222"/>
    </row>
    <row r="90" spans="1:39" x14ac:dyDescent="0.2">
      <c r="A90" s="220"/>
      <c r="B90" s="220"/>
      <c r="C90" s="221"/>
      <c r="D90" s="221"/>
      <c r="E90" s="218"/>
      <c r="F90" s="218"/>
      <c r="G90" s="218"/>
      <c r="H90" s="218"/>
      <c r="I90" s="218"/>
      <c r="J90" s="218"/>
      <c r="K90" s="218"/>
      <c r="L90" s="218"/>
      <c r="M90" s="218"/>
      <c r="N90" s="218"/>
      <c r="O90" s="222"/>
      <c r="P90" s="222"/>
      <c r="Q90" s="222"/>
      <c r="R90" s="222"/>
      <c r="S90" s="222"/>
      <c r="T90" s="222"/>
      <c r="U90" s="222"/>
      <c r="V90" s="222"/>
      <c r="W90" s="222"/>
      <c r="X90" s="222"/>
      <c r="Y90" s="222"/>
      <c r="Z90" s="222"/>
      <c r="AA90" s="223">
        <f t="shared" si="61"/>
        <v>0</v>
      </c>
      <c r="AB90" s="222"/>
      <c r="AC90" s="222"/>
      <c r="AD90" s="222"/>
      <c r="AE90" s="222"/>
      <c r="AF90" s="222"/>
      <c r="AG90" s="222"/>
      <c r="AH90" s="222"/>
      <c r="AI90" s="222"/>
      <c r="AJ90" s="222"/>
      <c r="AK90" s="222"/>
      <c r="AL90" s="222"/>
      <c r="AM90" s="222"/>
    </row>
    <row r="91" spans="1:39" x14ac:dyDescent="0.2">
      <c r="A91" s="220"/>
      <c r="B91" s="220"/>
      <c r="C91" s="221"/>
      <c r="D91" s="221"/>
      <c r="E91" s="218"/>
      <c r="F91" s="218"/>
      <c r="G91" s="218"/>
      <c r="H91" s="218"/>
      <c r="I91" s="218"/>
      <c r="J91" s="218"/>
      <c r="K91" s="218"/>
      <c r="L91" s="218"/>
      <c r="M91" s="218"/>
      <c r="N91" s="218"/>
      <c r="O91" s="222"/>
      <c r="P91" s="222"/>
      <c r="Q91" s="222"/>
      <c r="R91" s="222"/>
      <c r="S91" s="222"/>
      <c r="T91" s="222"/>
      <c r="U91" s="222"/>
      <c r="V91" s="222"/>
      <c r="W91" s="222"/>
      <c r="X91" s="222"/>
      <c r="Y91" s="222"/>
      <c r="Z91" s="222"/>
      <c r="AA91" s="223">
        <f t="shared" si="61"/>
        <v>0</v>
      </c>
      <c r="AB91" s="222"/>
      <c r="AC91" s="222"/>
      <c r="AD91" s="222"/>
      <c r="AE91" s="222"/>
      <c r="AF91" s="222"/>
      <c r="AG91" s="222"/>
      <c r="AH91" s="222"/>
      <c r="AI91" s="222"/>
      <c r="AJ91" s="222"/>
      <c r="AK91" s="222"/>
      <c r="AL91" s="222"/>
      <c r="AM91" s="222"/>
    </row>
    <row r="92" spans="1:39" x14ac:dyDescent="0.2">
      <c r="A92" s="220"/>
      <c r="B92" s="220"/>
      <c r="C92" s="221"/>
      <c r="D92" s="221"/>
      <c r="E92" s="218"/>
      <c r="F92" s="218"/>
      <c r="G92" s="218"/>
      <c r="H92" s="218"/>
      <c r="I92" s="218"/>
      <c r="J92" s="218"/>
      <c r="K92" s="218"/>
      <c r="L92" s="218"/>
      <c r="M92" s="218"/>
      <c r="N92" s="218"/>
      <c r="O92" s="222"/>
      <c r="P92" s="222"/>
      <c r="Q92" s="222"/>
      <c r="R92" s="222"/>
      <c r="S92" s="222"/>
      <c r="T92" s="222"/>
      <c r="U92" s="222"/>
      <c r="V92" s="222"/>
      <c r="W92" s="222"/>
      <c r="X92" s="222"/>
      <c r="Y92" s="222"/>
      <c r="Z92" s="222"/>
      <c r="AA92" s="223">
        <f t="shared" si="61"/>
        <v>0</v>
      </c>
      <c r="AB92" s="222"/>
      <c r="AC92" s="222"/>
      <c r="AD92" s="222"/>
      <c r="AE92" s="222"/>
      <c r="AF92" s="222"/>
      <c r="AG92" s="222"/>
      <c r="AH92" s="222"/>
      <c r="AI92" s="222"/>
      <c r="AJ92" s="222"/>
      <c r="AK92" s="222"/>
      <c r="AL92" s="222"/>
      <c r="AM92" s="222"/>
    </row>
    <row r="93" spans="1:39" x14ac:dyDescent="0.2">
      <c r="A93" s="220"/>
      <c r="B93" s="220"/>
      <c r="C93" s="221"/>
      <c r="D93" s="221"/>
      <c r="E93" s="218"/>
      <c r="F93" s="218"/>
      <c r="G93" s="218"/>
      <c r="H93" s="218"/>
      <c r="I93" s="218"/>
      <c r="J93" s="218"/>
      <c r="K93" s="218"/>
      <c r="L93" s="218"/>
      <c r="M93" s="218"/>
      <c r="N93" s="218"/>
      <c r="O93" s="222"/>
      <c r="P93" s="222"/>
      <c r="Q93" s="222"/>
      <c r="R93" s="222"/>
      <c r="S93" s="222"/>
      <c r="T93" s="222"/>
      <c r="U93" s="222"/>
      <c r="V93" s="222"/>
      <c r="W93" s="222"/>
      <c r="X93" s="222"/>
      <c r="Y93" s="222"/>
      <c r="Z93" s="222"/>
      <c r="AA93" s="223">
        <f t="shared" si="61"/>
        <v>0</v>
      </c>
      <c r="AB93" s="222"/>
      <c r="AC93" s="222"/>
      <c r="AD93" s="222"/>
      <c r="AE93" s="222"/>
      <c r="AF93" s="222"/>
      <c r="AG93" s="222"/>
      <c r="AH93" s="222"/>
      <c r="AI93" s="222"/>
      <c r="AJ93" s="222"/>
      <c r="AK93" s="222"/>
      <c r="AL93" s="222"/>
      <c r="AM93" s="222"/>
    </row>
    <row r="94" spans="1:39" x14ac:dyDescent="0.2">
      <c r="A94" s="220"/>
      <c r="B94" s="220"/>
      <c r="C94" s="221"/>
      <c r="D94" s="221"/>
      <c r="E94" s="218"/>
      <c r="F94" s="218"/>
      <c r="G94" s="218"/>
      <c r="H94" s="218"/>
      <c r="I94" s="218"/>
      <c r="J94" s="218"/>
      <c r="K94" s="218"/>
      <c r="L94" s="218"/>
      <c r="M94" s="218"/>
      <c r="N94" s="218"/>
      <c r="O94" s="222"/>
      <c r="P94" s="222"/>
      <c r="Q94" s="222"/>
      <c r="R94" s="222"/>
      <c r="S94" s="222"/>
      <c r="T94" s="222"/>
      <c r="U94" s="222"/>
      <c r="V94" s="222"/>
      <c r="W94" s="222"/>
      <c r="X94" s="222"/>
      <c r="Y94" s="222"/>
      <c r="Z94" s="222"/>
      <c r="AA94" s="223">
        <f t="shared" si="61"/>
        <v>0</v>
      </c>
      <c r="AB94" s="222"/>
      <c r="AC94" s="222"/>
      <c r="AD94" s="222"/>
      <c r="AE94" s="222"/>
      <c r="AF94" s="222"/>
      <c r="AG94" s="222"/>
      <c r="AH94" s="222"/>
      <c r="AI94" s="222"/>
      <c r="AJ94" s="222"/>
      <c r="AK94" s="222"/>
      <c r="AL94" s="222"/>
      <c r="AM94" s="222"/>
    </row>
    <row r="95" spans="1:39" x14ac:dyDescent="0.2">
      <c r="A95" s="220"/>
      <c r="B95" s="220"/>
      <c r="C95" s="221"/>
      <c r="D95" s="221"/>
      <c r="E95" s="218"/>
      <c r="F95" s="218"/>
      <c r="G95" s="218"/>
      <c r="H95" s="218"/>
      <c r="I95" s="218"/>
      <c r="J95" s="218"/>
      <c r="K95" s="218"/>
      <c r="L95" s="218"/>
      <c r="M95" s="218"/>
      <c r="N95" s="218"/>
      <c r="O95" s="222"/>
      <c r="P95" s="222"/>
      <c r="Q95" s="222"/>
      <c r="R95" s="222"/>
      <c r="S95" s="222"/>
      <c r="T95" s="222"/>
      <c r="U95" s="222"/>
      <c r="V95" s="222"/>
      <c r="W95" s="222"/>
      <c r="X95" s="222"/>
      <c r="Y95" s="222"/>
      <c r="Z95" s="222"/>
      <c r="AA95" s="223">
        <f t="shared" si="61"/>
        <v>0</v>
      </c>
      <c r="AB95" s="222"/>
      <c r="AC95" s="222"/>
      <c r="AD95" s="222"/>
      <c r="AE95" s="222"/>
      <c r="AF95" s="222"/>
      <c r="AG95" s="222"/>
      <c r="AH95" s="222"/>
      <c r="AI95" s="222"/>
      <c r="AJ95" s="222"/>
      <c r="AK95" s="222"/>
      <c r="AL95" s="222"/>
      <c r="AM95" s="222"/>
    </row>
    <row r="96" spans="1:39" x14ac:dyDescent="0.2">
      <c r="A96" s="220"/>
      <c r="B96" s="220"/>
      <c r="C96" s="221"/>
      <c r="D96" s="221"/>
      <c r="E96" s="218"/>
      <c r="F96" s="218"/>
      <c r="G96" s="218"/>
      <c r="H96" s="218"/>
      <c r="I96" s="218"/>
      <c r="J96" s="218"/>
      <c r="K96" s="218"/>
      <c r="L96" s="218"/>
      <c r="M96" s="218"/>
      <c r="N96" s="218"/>
      <c r="O96" s="222"/>
      <c r="P96" s="222"/>
      <c r="Q96" s="222"/>
      <c r="R96" s="222"/>
      <c r="S96" s="222"/>
      <c r="T96" s="222"/>
      <c r="U96" s="222"/>
      <c r="V96" s="222"/>
      <c r="W96" s="222"/>
      <c r="X96" s="222"/>
      <c r="Y96" s="222"/>
      <c r="Z96" s="222"/>
      <c r="AA96" s="223">
        <f t="shared" si="61"/>
        <v>0</v>
      </c>
      <c r="AB96" s="222"/>
      <c r="AC96" s="222"/>
      <c r="AD96" s="222"/>
      <c r="AE96" s="222"/>
      <c r="AF96" s="222"/>
      <c r="AG96" s="222"/>
      <c r="AH96" s="222"/>
      <c r="AI96" s="222"/>
      <c r="AJ96" s="222"/>
      <c r="AK96" s="222"/>
      <c r="AL96" s="222"/>
      <c r="AM96" s="222"/>
    </row>
    <row r="97" spans="1:39" x14ac:dyDescent="0.2">
      <c r="A97" s="220"/>
      <c r="B97" s="220"/>
      <c r="C97" s="221"/>
      <c r="D97" s="221"/>
      <c r="E97" s="218"/>
      <c r="F97" s="218"/>
      <c r="G97" s="218"/>
      <c r="H97" s="218"/>
      <c r="I97" s="218"/>
      <c r="J97" s="218"/>
      <c r="K97" s="218"/>
      <c r="L97" s="218"/>
      <c r="M97" s="218"/>
      <c r="N97" s="218"/>
      <c r="O97" s="222"/>
      <c r="P97" s="222"/>
      <c r="Q97" s="222"/>
      <c r="R97" s="222"/>
      <c r="S97" s="222"/>
      <c r="T97" s="222"/>
      <c r="U97" s="222"/>
      <c r="V97" s="222"/>
      <c r="W97" s="222"/>
      <c r="X97" s="222"/>
      <c r="Y97" s="222"/>
      <c r="Z97" s="222"/>
      <c r="AA97" s="223">
        <f t="shared" si="61"/>
        <v>0</v>
      </c>
      <c r="AB97" s="222"/>
      <c r="AC97" s="222"/>
      <c r="AD97" s="222"/>
      <c r="AE97" s="222"/>
      <c r="AF97" s="222"/>
      <c r="AG97" s="222"/>
      <c r="AH97" s="222"/>
      <c r="AI97" s="222"/>
      <c r="AJ97" s="222"/>
      <c r="AK97" s="222"/>
      <c r="AL97" s="222"/>
      <c r="AM97" s="222"/>
    </row>
    <row r="98" spans="1:39" x14ac:dyDescent="0.2">
      <c r="A98" s="220"/>
      <c r="B98" s="220"/>
      <c r="C98" s="221"/>
      <c r="D98" s="221"/>
      <c r="E98" s="218"/>
      <c r="F98" s="218"/>
      <c r="G98" s="218"/>
      <c r="H98" s="218"/>
      <c r="I98" s="218"/>
      <c r="J98" s="218"/>
      <c r="K98" s="218"/>
      <c r="L98" s="218"/>
      <c r="M98" s="218"/>
      <c r="N98" s="218"/>
      <c r="O98" s="222"/>
      <c r="P98" s="222"/>
      <c r="Q98" s="222"/>
      <c r="R98" s="222"/>
      <c r="S98" s="222"/>
      <c r="T98" s="222"/>
      <c r="U98" s="222"/>
      <c r="V98" s="222"/>
      <c r="W98" s="222"/>
      <c r="X98" s="222"/>
      <c r="Y98" s="222"/>
      <c r="Z98" s="222"/>
      <c r="AA98" s="223">
        <f t="shared" si="61"/>
        <v>0</v>
      </c>
      <c r="AB98" s="222"/>
      <c r="AC98" s="222"/>
      <c r="AD98" s="222"/>
      <c r="AE98" s="222"/>
      <c r="AF98" s="222"/>
      <c r="AG98" s="222"/>
      <c r="AH98" s="222"/>
      <c r="AI98" s="222"/>
      <c r="AJ98" s="222"/>
      <c r="AK98" s="222"/>
      <c r="AL98" s="222"/>
      <c r="AM98" s="222"/>
    </row>
    <row r="99" spans="1:39" x14ac:dyDescent="0.2">
      <c r="A99" s="220"/>
      <c r="B99" s="220"/>
      <c r="C99" s="221"/>
      <c r="D99" s="221"/>
      <c r="E99" s="218"/>
      <c r="F99" s="218"/>
      <c r="G99" s="218"/>
      <c r="H99" s="218"/>
      <c r="I99" s="218"/>
      <c r="J99" s="218"/>
      <c r="K99" s="218"/>
      <c r="L99" s="218"/>
      <c r="M99" s="218"/>
      <c r="N99" s="218"/>
      <c r="O99" s="222"/>
      <c r="P99" s="222"/>
      <c r="Q99" s="222"/>
      <c r="R99" s="222"/>
      <c r="S99" s="222"/>
      <c r="T99" s="222"/>
      <c r="U99" s="222"/>
      <c r="V99" s="222"/>
      <c r="W99" s="222"/>
      <c r="X99" s="222"/>
      <c r="Y99" s="222"/>
      <c r="Z99" s="222"/>
      <c r="AA99" s="223">
        <f t="shared" ref="AA99:AA123" si="63">D99</f>
        <v>0</v>
      </c>
      <c r="AB99" s="222"/>
      <c r="AC99" s="222"/>
      <c r="AD99" s="222"/>
      <c r="AE99" s="222"/>
      <c r="AF99" s="222"/>
      <c r="AG99" s="222"/>
      <c r="AH99" s="222"/>
      <c r="AI99" s="222"/>
      <c r="AJ99" s="222"/>
      <c r="AK99" s="222"/>
      <c r="AL99" s="222"/>
      <c r="AM99" s="222"/>
    </row>
    <row r="100" spans="1:39" x14ac:dyDescent="0.2">
      <c r="A100" s="220"/>
      <c r="B100" s="220"/>
      <c r="C100" s="221"/>
      <c r="D100" s="221"/>
      <c r="E100" s="218"/>
      <c r="F100" s="218"/>
      <c r="G100" s="218"/>
      <c r="H100" s="218"/>
      <c r="I100" s="218"/>
      <c r="J100" s="218"/>
      <c r="K100" s="218"/>
      <c r="L100" s="218"/>
      <c r="M100" s="218"/>
      <c r="N100" s="218"/>
      <c r="O100" s="222"/>
      <c r="P100" s="222"/>
      <c r="Q100" s="222"/>
      <c r="R100" s="222"/>
      <c r="S100" s="222"/>
      <c r="T100" s="222"/>
      <c r="U100" s="222"/>
      <c r="V100" s="222"/>
      <c r="W100" s="222"/>
      <c r="X100" s="222"/>
      <c r="Y100" s="222"/>
      <c r="Z100" s="222"/>
      <c r="AA100" s="223">
        <f t="shared" si="63"/>
        <v>0</v>
      </c>
      <c r="AB100" s="222"/>
      <c r="AC100" s="222"/>
      <c r="AD100" s="222"/>
      <c r="AE100" s="222"/>
      <c r="AF100" s="222"/>
      <c r="AG100" s="222"/>
      <c r="AH100" s="222"/>
      <c r="AI100" s="222"/>
      <c r="AJ100" s="222"/>
      <c r="AK100" s="222"/>
      <c r="AL100" s="222"/>
      <c r="AM100" s="222"/>
    </row>
    <row r="101" spans="1:39" x14ac:dyDescent="0.2">
      <c r="A101" s="220"/>
      <c r="B101" s="220"/>
      <c r="C101" s="221"/>
      <c r="D101" s="221"/>
      <c r="E101" s="218"/>
      <c r="F101" s="218"/>
      <c r="G101" s="218"/>
      <c r="H101" s="218"/>
      <c r="I101" s="218"/>
      <c r="J101" s="218"/>
      <c r="K101" s="218"/>
      <c r="L101" s="218"/>
      <c r="M101" s="218"/>
      <c r="N101" s="218"/>
      <c r="O101" s="222"/>
      <c r="P101" s="222"/>
      <c r="Q101" s="222"/>
      <c r="R101" s="222"/>
      <c r="S101" s="222"/>
      <c r="T101" s="222"/>
      <c r="U101" s="222"/>
      <c r="V101" s="222"/>
      <c r="W101" s="222"/>
      <c r="X101" s="222"/>
      <c r="Y101" s="222"/>
      <c r="Z101" s="222"/>
      <c r="AA101" s="223">
        <f t="shared" si="63"/>
        <v>0</v>
      </c>
      <c r="AB101" s="222"/>
      <c r="AC101" s="222"/>
      <c r="AD101" s="222"/>
      <c r="AE101" s="222"/>
      <c r="AF101" s="222"/>
      <c r="AG101" s="222"/>
      <c r="AH101" s="222"/>
      <c r="AI101" s="222"/>
      <c r="AJ101" s="222"/>
      <c r="AK101" s="222"/>
      <c r="AL101" s="222"/>
      <c r="AM101" s="222"/>
    </row>
    <row r="102" spans="1:39" x14ac:dyDescent="0.2">
      <c r="A102" s="220"/>
      <c r="B102" s="220"/>
      <c r="C102" s="221"/>
      <c r="D102" s="221"/>
      <c r="E102" s="218"/>
      <c r="F102" s="218"/>
      <c r="G102" s="218"/>
      <c r="H102" s="218"/>
      <c r="I102" s="218"/>
      <c r="J102" s="218"/>
      <c r="K102" s="218"/>
      <c r="L102" s="218"/>
      <c r="M102" s="218"/>
      <c r="N102" s="218"/>
      <c r="O102" s="222"/>
      <c r="P102" s="222"/>
      <c r="Q102" s="222"/>
      <c r="R102" s="222"/>
      <c r="S102" s="222"/>
      <c r="T102" s="222"/>
      <c r="U102" s="222"/>
      <c r="V102" s="222"/>
      <c r="W102" s="222"/>
      <c r="X102" s="222"/>
      <c r="Y102" s="222"/>
      <c r="Z102" s="222"/>
      <c r="AA102" s="223">
        <f t="shared" si="63"/>
        <v>0</v>
      </c>
      <c r="AB102" s="222"/>
      <c r="AC102" s="222"/>
      <c r="AD102" s="222"/>
      <c r="AE102" s="222"/>
      <c r="AF102" s="222"/>
      <c r="AG102" s="222"/>
      <c r="AH102" s="222"/>
      <c r="AI102" s="222"/>
      <c r="AJ102" s="222"/>
      <c r="AK102" s="222"/>
      <c r="AL102" s="222"/>
      <c r="AM102" s="222"/>
    </row>
    <row r="103" spans="1:39" x14ac:dyDescent="0.2">
      <c r="A103" s="220"/>
      <c r="B103" s="220"/>
      <c r="C103" s="221"/>
      <c r="D103" s="221"/>
      <c r="E103" s="218"/>
      <c r="F103" s="218"/>
      <c r="G103" s="218"/>
      <c r="H103" s="218"/>
      <c r="I103" s="218"/>
      <c r="J103" s="218"/>
      <c r="K103" s="218"/>
      <c r="L103" s="218"/>
      <c r="M103" s="218"/>
      <c r="N103" s="218"/>
      <c r="O103" s="222"/>
      <c r="P103" s="222"/>
      <c r="Q103" s="222"/>
      <c r="R103" s="222"/>
      <c r="S103" s="222"/>
      <c r="T103" s="222"/>
      <c r="U103" s="222"/>
      <c r="V103" s="222"/>
      <c r="W103" s="222"/>
      <c r="X103" s="222"/>
      <c r="Y103" s="222"/>
      <c r="Z103" s="222"/>
      <c r="AA103" s="223">
        <f t="shared" si="63"/>
        <v>0</v>
      </c>
      <c r="AB103" s="222"/>
      <c r="AC103" s="222"/>
      <c r="AD103" s="222"/>
      <c r="AE103" s="222"/>
      <c r="AF103" s="222"/>
      <c r="AG103" s="222"/>
      <c r="AH103" s="222"/>
      <c r="AI103" s="222"/>
      <c r="AJ103" s="222"/>
      <c r="AK103" s="222"/>
      <c r="AL103" s="222"/>
      <c r="AM103" s="222"/>
    </row>
    <row r="104" spans="1:39" x14ac:dyDescent="0.2">
      <c r="A104" s="220"/>
      <c r="B104" s="220"/>
      <c r="C104" s="221"/>
      <c r="D104" s="221"/>
      <c r="E104" s="218"/>
      <c r="F104" s="218"/>
      <c r="G104" s="218"/>
      <c r="H104" s="218"/>
      <c r="I104" s="218"/>
      <c r="J104" s="218"/>
      <c r="K104" s="218"/>
      <c r="L104" s="218"/>
      <c r="M104" s="218"/>
      <c r="N104" s="218"/>
      <c r="O104" s="222"/>
      <c r="P104" s="222"/>
      <c r="Q104" s="222"/>
      <c r="R104" s="222"/>
      <c r="S104" s="222"/>
      <c r="T104" s="222"/>
      <c r="U104" s="222"/>
      <c r="V104" s="222"/>
      <c r="W104" s="222"/>
      <c r="X104" s="222"/>
      <c r="Y104" s="222"/>
      <c r="Z104" s="222"/>
      <c r="AA104" s="223">
        <f t="shared" si="63"/>
        <v>0</v>
      </c>
      <c r="AB104" s="222"/>
      <c r="AC104" s="222"/>
      <c r="AD104" s="222"/>
      <c r="AE104" s="222"/>
      <c r="AF104" s="222"/>
      <c r="AG104" s="222"/>
      <c r="AH104" s="222"/>
      <c r="AI104" s="222"/>
      <c r="AJ104" s="222"/>
      <c r="AK104" s="222"/>
      <c r="AL104" s="222"/>
      <c r="AM104" s="222"/>
    </row>
    <row r="105" spans="1:39" x14ac:dyDescent="0.2">
      <c r="A105" s="220"/>
      <c r="B105" s="220"/>
      <c r="C105" s="221"/>
      <c r="D105" s="221"/>
      <c r="E105" s="218"/>
      <c r="F105" s="218"/>
      <c r="G105" s="218"/>
      <c r="H105" s="218"/>
      <c r="I105" s="218"/>
      <c r="J105" s="218"/>
      <c r="K105" s="218"/>
      <c r="L105" s="218"/>
      <c r="M105" s="218"/>
      <c r="N105" s="218"/>
      <c r="O105" s="222"/>
      <c r="P105" s="222"/>
      <c r="Q105" s="222"/>
      <c r="R105" s="222"/>
      <c r="S105" s="222"/>
      <c r="T105" s="222"/>
      <c r="U105" s="222"/>
      <c r="V105" s="222"/>
      <c r="W105" s="222"/>
      <c r="X105" s="222"/>
      <c r="Y105" s="222"/>
      <c r="Z105" s="222"/>
      <c r="AA105" s="223">
        <f t="shared" si="63"/>
        <v>0</v>
      </c>
      <c r="AB105" s="222"/>
      <c r="AC105" s="222"/>
      <c r="AD105" s="222"/>
      <c r="AE105" s="222"/>
      <c r="AF105" s="222"/>
      <c r="AG105" s="222"/>
      <c r="AH105" s="222"/>
      <c r="AI105" s="222"/>
      <c r="AJ105" s="222"/>
      <c r="AK105" s="222"/>
      <c r="AL105" s="222"/>
      <c r="AM105" s="222"/>
    </row>
    <row r="106" spans="1:39" x14ac:dyDescent="0.2">
      <c r="A106" s="220"/>
      <c r="B106" s="220"/>
      <c r="C106" s="221"/>
      <c r="D106" s="221"/>
      <c r="E106" s="218"/>
      <c r="F106" s="218"/>
      <c r="G106" s="218"/>
      <c r="H106" s="218"/>
      <c r="I106" s="218"/>
      <c r="J106" s="218"/>
      <c r="K106" s="218"/>
      <c r="L106" s="218"/>
      <c r="M106" s="218"/>
      <c r="N106" s="218"/>
      <c r="O106" s="222"/>
      <c r="P106" s="222"/>
      <c r="Q106" s="222"/>
      <c r="R106" s="222"/>
      <c r="S106" s="222"/>
      <c r="T106" s="222"/>
      <c r="U106" s="222"/>
      <c r="V106" s="222"/>
      <c r="W106" s="222"/>
      <c r="X106" s="222"/>
      <c r="Y106" s="222"/>
      <c r="Z106" s="222"/>
      <c r="AA106" s="223">
        <f t="shared" si="63"/>
        <v>0</v>
      </c>
      <c r="AB106" s="222"/>
      <c r="AC106" s="222"/>
      <c r="AD106" s="222"/>
      <c r="AE106" s="222"/>
      <c r="AF106" s="222"/>
      <c r="AG106" s="222"/>
      <c r="AH106" s="222"/>
      <c r="AI106" s="222"/>
      <c r="AJ106" s="222"/>
      <c r="AK106" s="222"/>
      <c r="AL106" s="222"/>
      <c r="AM106" s="222"/>
    </row>
    <row r="107" spans="1:39" x14ac:dyDescent="0.2">
      <c r="A107" s="220"/>
      <c r="B107" s="220"/>
      <c r="C107" s="221"/>
      <c r="D107" s="221"/>
      <c r="E107" s="218"/>
      <c r="F107" s="218"/>
      <c r="G107" s="218"/>
      <c r="H107" s="218"/>
      <c r="I107" s="218"/>
      <c r="J107" s="218"/>
      <c r="K107" s="218"/>
      <c r="L107" s="218"/>
      <c r="M107" s="218"/>
      <c r="N107" s="218"/>
      <c r="O107" s="222"/>
      <c r="P107" s="222"/>
      <c r="Q107" s="222"/>
      <c r="R107" s="222"/>
      <c r="S107" s="222"/>
      <c r="T107" s="222"/>
      <c r="U107" s="222"/>
      <c r="V107" s="222"/>
      <c r="W107" s="222"/>
      <c r="X107" s="222"/>
      <c r="Y107" s="222"/>
      <c r="Z107" s="222"/>
      <c r="AA107" s="223">
        <f t="shared" si="63"/>
        <v>0</v>
      </c>
      <c r="AB107" s="222"/>
      <c r="AC107" s="222"/>
      <c r="AD107" s="222"/>
      <c r="AE107" s="222"/>
      <c r="AF107" s="222"/>
      <c r="AG107" s="222"/>
      <c r="AH107" s="222"/>
      <c r="AI107" s="222"/>
      <c r="AJ107" s="222"/>
      <c r="AK107" s="222"/>
      <c r="AL107" s="222"/>
      <c r="AM107" s="222"/>
    </row>
    <row r="108" spans="1:39" x14ac:dyDescent="0.2">
      <c r="A108" s="220"/>
      <c r="B108" s="220"/>
      <c r="C108" s="221"/>
      <c r="D108" s="221"/>
      <c r="E108" s="218"/>
      <c r="F108" s="218"/>
      <c r="G108" s="218"/>
      <c r="H108" s="218"/>
      <c r="I108" s="218"/>
      <c r="J108" s="218"/>
      <c r="K108" s="218"/>
      <c r="L108" s="218"/>
      <c r="M108" s="218"/>
      <c r="N108" s="218"/>
      <c r="O108" s="222"/>
      <c r="P108" s="222"/>
      <c r="Q108" s="222"/>
      <c r="R108" s="222"/>
      <c r="S108" s="222"/>
      <c r="T108" s="222"/>
      <c r="U108" s="222"/>
      <c r="V108" s="222"/>
      <c r="W108" s="222"/>
      <c r="X108" s="222"/>
      <c r="Y108" s="222"/>
      <c r="Z108" s="222"/>
      <c r="AA108" s="223">
        <f t="shared" si="63"/>
        <v>0</v>
      </c>
      <c r="AB108" s="222"/>
      <c r="AC108" s="222"/>
      <c r="AD108" s="222"/>
      <c r="AE108" s="222"/>
      <c r="AF108" s="222"/>
      <c r="AG108" s="222"/>
      <c r="AH108" s="222"/>
      <c r="AI108" s="222"/>
      <c r="AJ108" s="222"/>
      <c r="AK108" s="222"/>
      <c r="AL108" s="222"/>
      <c r="AM108" s="222"/>
    </row>
    <row r="109" spans="1:39" x14ac:dyDescent="0.2">
      <c r="A109" s="220"/>
      <c r="B109" s="220"/>
      <c r="C109" s="221"/>
      <c r="D109" s="221"/>
      <c r="E109" s="218"/>
      <c r="F109" s="218"/>
      <c r="G109" s="218"/>
      <c r="H109" s="218"/>
      <c r="I109" s="218"/>
      <c r="J109" s="218"/>
      <c r="K109" s="218"/>
      <c r="L109" s="218"/>
      <c r="M109" s="218"/>
      <c r="N109" s="218"/>
      <c r="O109" s="222"/>
      <c r="P109" s="222"/>
      <c r="Q109" s="222"/>
      <c r="R109" s="222"/>
      <c r="S109" s="222"/>
      <c r="T109" s="222"/>
      <c r="U109" s="222"/>
      <c r="V109" s="222"/>
      <c r="W109" s="222"/>
      <c r="X109" s="222"/>
      <c r="Y109" s="222"/>
      <c r="Z109" s="222"/>
      <c r="AA109" s="223">
        <f t="shared" si="63"/>
        <v>0</v>
      </c>
      <c r="AB109" s="222"/>
      <c r="AC109" s="222"/>
      <c r="AD109" s="222"/>
      <c r="AE109" s="222"/>
      <c r="AF109" s="222"/>
      <c r="AG109" s="222"/>
      <c r="AH109" s="222"/>
      <c r="AI109" s="222"/>
      <c r="AJ109" s="222"/>
      <c r="AK109" s="222"/>
      <c r="AL109" s="222"/>
      <c r="AM109" s="222"/>
    </row>
    <row r="110" spans="1:39" x14ac:dyDescent="0.2">
      <c r="A110" s="220"/>
      <c r="B110" s="220"/>
      <c r="C110" s="221"/>
      <c r="D110" s="221"/>
      <c r="E110" s="218"/>
      <c r="F110" s="218"/>
      <c r="G110" s="218"/>
      <c r="H110" s="218"/>
      <c r="I110" s="218"/>
      <c r="J110" s="218"/>
      <c r="K110" s="218"/>
      <c r="L110" s="218"/>
      <c r="M110" s="218"/>
      <c r="N110" s="218"/>
      <c r="O110" s="222"/>
      <c r="P110" s="222"/>
      <c r="Q110" s="222"/>
      <c r="R110" s="222"/>
      <c r="S110" s="222"/>
      <c r="T110" s="222"/>
      <c r="U110" s="222"/>
      <c r="V110" s="222"/>
      <c r="W110" s="222"/>
      <c r="X110" s="222"/>
      <c r="Y110" s="222"/>
      <c r="Z110" s="222"/>
      <c r="AA110" s="223">
        <f t="shared" si="63"/>
        <v>0</v>
      </c>
      <c r="AB110" s="222"/>
      <c r="AC110" s="222"/>
      <c r="AD110" s="222"/>
      <c r="AE110" s="222"/>
      <c r="AF110" s="222"/>
      <c r="AG110" s="222"/>
      <c r="AH110" s="222"/>
      <c r="AI110" s="222"/>
      <c r="AJ110" s="222"/>
      <c r="AK110" s="222"/>
      <c r="AL110" s="222"/>
      <c r="AM110" s="222"/>
    </row>
    <row r="111" spans="1:39" x14ac:dyDescent="0.2">
      <c r="A111" s="220"/>
      <c r="B111" s="220"/>
      <c r="C111" s="221"/>
      <c r="D111" s="221"/>
      <c r="E111" s="218"/>
      <c r="F111" s="218"/>
      <c r="G111" s="218"/>
      <c r="H111" s="218"/>
      <c r="I111" s="218"/>
      <c r="J111" s="218"/>
      <c r="K111" s="218"/>
      <c r="L111" s="218"/>
      <c r="M111" s="218"/>
      <c r="N111" s="218"/>
      <c r="O111" s="222"/>
      <c r="P111" s="222"/>
      <c r="Q111" s="222"/>
      <c r="R111" s="222"/>
      <c r="S111" s="222"/>
      <c r="T111" s="222"/>
      <c r="U111" s="222"/>
      <c r="V111" s="222"/>
      <c r="W111" s="222"/>
      <c r="X111" s="222"/>
      <c r="Y111" s="222"/>
      <c r="Z111" s="222"/>
      <c r="AA111" s="223">
        <f t="shared" si="63"/>
        <v>0</v>
      </c>
      <c r="AB111" s="222"/>
      <c r="AC111" s="222"/>
      <c r="AD111" s="222"/>
      <c r="AE111" s="222"/>
      <c r="AF111" s="222"/>
      <c r="AG111" s="222"/>
      <c r="AH111" s="222"/>
      <c r="AI111" s="222"/>
      <c r="AJ111" s="222"/>
      <c r="AK111" s="222"/>
      <c r="AL111" s="222"/>
      <c r="AM111" s="222"/>
    </row>
    <row r="112" spans="1:39" x14ac:dyDescent="0.2">
      <c r="A112" s="220"/>
      <c r="B112" s="220"/>
      <c r="C112" s="221"/>
      <c r="D112" s="221"/>
      <c r="E112" s="218"/>
      <c r="F112" s="218"/>
      <c r="G112" s="218"/>
      <c r="H112" s="218"/>
      <c r="I112" s="218"/>
      <c r="J112" s="218"/>
      <c r="K112" s="218"/>
      <c r="L112" s="218"/>
      <c r="M112" s="218"/>
      <c r="N112" s="218"/>
      <c r="O112" s="222"/>
      <c r="P112" s="222"/>
      <c r="Q112" s="222"/>
      <c r="R112" s="222"/>
      <c r="S112" s="222"/>
      <c r="T112" s="222"/>
      <c r="U112" s="222"/>
      <c r="V112" s="222"/>
      <c r="W112" s="222"/>
      <c r="X112" s="222"/>
      <c r="Y112" s="222"/>
      <c r="Z112" s="222"/>
      <c r="AA112" s="223">
        <f t="shared" si="63"/>
        <v>0</v>
      </c>
      <c r="AB112" s="222"/>
      <c r="AC112" s="222"/>
      <c r="AD112" s="222"/>
      <c r="AE112" s="222"/>
      <c r="AF112" s="222"/>
      <c r="AG112" s="222"/>
      <c r="AH112" s="222"/>
      <c r="AI112" s="222"/>
      <c r="AJ112" s="222"/>
      <c r="AK112" s="222"/>
      <c r="AL112" s="222"/>
      <c r="AM112" s="222"/>
    </row>
    <row r="113" spans="1:39" x14ac:dyDescent="0.2">
      <c r="A113" s="220"/>
      <c r="B113" s="220"/>
      <c r="C113" s="221"/>
      <c r="D113" s="221"/>
      <c r="E113" s="218"/>
      <c r="F113" s="218"/>
      <c r="G113" s="218"/>
      <c r="H113" s="218"/>
      <c r="I113" s="218"/>
      <c r="J113" s="218"/>
      <c r="K113" s="218"/>
      <c r="L113" s="218"/>
      <c r="M113" s="218"/>
      <c r="N113" s="218"/>
      <c r="O113" s="222"/>
      <c r="P113" s="222"/>
      <c r="Q113" s="222"/>
      <c r="R113" s="222"/>
      <c r="S113" s="222"/>
      <c r="T113" s="222"/>
      <c r="U113" s="222"/>
      <c r="V113" s="222"/>
      <c r="W113" s="222"/>
      <c r="X113" s="222"/>
      <c r="Y113" s="222"/>
      <c r="Z113" s="222"/>
      <c r="AA113" s="223">
        <f t="shared" si="63"/>
        <v>0</v>
      </c>
      <c r="AB113" s="222"/>
      <c r="AC113" s="222"/>
      <c r="AD113" s="222"/>
      <c r="AE113" s="222"/>
      <c r="AF113" s="222"/>
      <c r="AG113" s="222"/>
      <c r="AH113" s="222"/>
      <c r="AI113" s="222"/>
      <c r="AJ113" s="222"/>
      <c r="AK113" s="222"/>
      <c r="AL113" s="222"/>
      <c r="AM113" s="222"/>
    </row>
    <row r="114" spans="1:39" x14ac:dyDescent="0.2">
      <c r="A114" s="220"/>
      <c r="B114" s="220"/>
      <c r="C114" s="221"/>
      <c r="D114" s="221"/>
      <c r="E114" s="218"/>
      <c r="F114" s="218"/>
      <c r="G114" s="218"/>
      <c r="H114" s="218"/>
      <c r="I114" s="218"/>
      <c r="J114" s="218"/>
      <c r="K114" s="218"/>
      <c r="L114" s="218"/>
      <c r="M114" s="218"/>
      <c r="N114" s="218"/>
      <c r="O114" s="222"/>
      <c r="P114" s="222"/>
      <c r="Q114" s="222"/>
      <c r="R114" s="222"/>
      <c r="S114" s="222"/>
      <c r="T114" s="222"/>
      <c r="U114" s="222"/>
      <c r="V114" s="222"/>
      <c r="W114" s="222"/>
      <c r="X114" s="222"/>
      <c r="Y114" s="222"/>
      <c r="Z114" s="222"/>
      <c r="AA114" s="223">
        <f t="shared" si="63"/>
        <v>0</v>
      </c>
      <c r="AB114" s="222"/>
      <c r="AC114" s="222"/>
      <c r="AD114" s="222"/>
      <c r="AE114" s="222"/>
      <c r="AF114" s="222"/>
      <c r="AG114" s="222"/>
      <c r="AH114" s="222"/>
      <c r="AI114" s="222"/>
      <c r="AJ114" s="222"/>
      <c r="AK114" s="222"/>
      <c r="AL114" s="222"/>
      <c r="AM114" s="222"/>
    </row>
    <row r="115" spans="1:39" x14ac:dyDescent="0.2">
      <c r="A115" s="220"/>
      <c r="B115" s="220"/>
      <c r="C115" s="221"/>
      <c r="D115" s="221"/>
      <c r="E115" s="218"/>
      <c r="F115" s="218"/>
      <c r="G115" s="218"/>
      <c r="H115" s="218"/>
      <c r="I115" s="218"/>
      <c r="J115" s="218"/>
      <c r="K115" s="218"/>
      <c r="L115" s="218"/>
      <c r="M115" s="218"/>
      <c r="N115" s="218"/>
      <c r="O115" s="222"/>
      <c r="P115" s="222"/>
      <c r="Q115" s="222"/>
      <c r="R115" s="222"/>
      <c r="S115" s="222"/>
      <c r="T115" s="222"/>
      <c r="U115" s="222"/>
      <c r="V115" s="222"/>
      <c r="W115" s="222"/>
      <c r="X115" s="222"/>
      <c r="Y115" s="222"/>
      <c r="Z115" s="222"/>
      <c r="AA115" s="223">
        <f t="shared" si="63"/>
        <v>0</v>
      </c>
      <c r="AB115" s="222"/>
      <c r="AC115" s="222"/>
      <c r="AD115" s="222"/>
      <c r="AE115" s="222"/>
      <c r="AF115" s="222"/>
      <c r="AG115" s="222"/>
      <c r="AH115" s="222"/>
      <c r="AI115" s="222"/>
      <c r="AJ115" s="222"/>
      <c r="AK115" s="222"/>
      <c r="AL115" s="222"/>
      <c r="AM115" s="222"/>
    </row>
    <row r="116" spans="1:39" x14ac:dyDescent="0.2">
      <c r="A116" s="220"/>
      <c r="B116" s="220"/>
      <c r="C116" s="221"/>
      <c r="D116" s="221"/>
      <c r="E116" s="218"/>
      <c r="F116" s="218"/>
      <c r="G116" s="218"/>
      <c r="H116" s="218"/>
      <c r="I116" s="218"/>
      <c r="J116" s="218"/>
      <c r="K116" s="218"/>
      <c r="L116" s="218"/>
      <c r="M116" s="218"/>
      <c r="N116" s="218"/>
      <c r="O116" s="222"/>
      <c r="P116" s="222"/>
      <c r="Q116" s="222"/>
      <c r="R116" s="222"/>
      <c r="S116" s="222"/>
      <c r="T116" s="222"/>
      <c r="U116" s="222"/>
      <c r="V116" s="222"/>
      <c r="W116" s="222"/>
      <c r="X116" s="222"/>
      <c r="Y116" s="222"/>
      <c r="Z116" s="222"/>
      <c r="AA116" s="223">
        <f t="shared" si="63"/>
        <v>0</v>
      </c>
      <c r="AB116" s="222"/>
      <c r="AC116" s="222"/>
      <c r="AD116" s="222"/>
      <c r="AE116" s="222"/>
      <c r="AF116" s="222"/>
      <c r="AG116" s="222"/>
      <c r="AH116" s="222"/>
      <c r="AI116" s="222"/>
      <c r="AJ116" s="222"/>
      <c r="AK116" s="222"/>
      <c r="AL116" s="222"/>
      <c r="AM116" s="222"/>
    </row>
    <row r="117" spans="1:39" x14ac:dyDescent="0.2">
      <c r="A117" s="220"/>
      <c r="B117" s="220"/>
      <c r="C117" s="221"/>
      <c r="D117" s="221"/>
      <c r="E117" s="218"/>
      <c r="F117" s="218"/>
      <c r="G117" s="218"/>
      <c r="H117" s="218"/>
      <c r="I117" s="218"/>
      <c r="J117" s="218"/>
      <c r="K117" s="218"/>
      <c r="L117" s="218"/>
      <c r="M117" s="218"/>
      <c r="N117" s="218"/>
      <c r="O117" s="222"/>
      <c r="P117" s="222"/>
      <c r="Q117" s="222"/>
      <c r="R117" s="222"/>
      <c r="S117" s="222"/>
      <c r="T117" s="222"/>
      <c r="U117" s="222"/>
      <c r="V117" s="222"/>
      <c r="W117" s="222"/>
      <c r="X117" s="222"/>
      <c r="Y117" s="222"/>
      <c r="Z117" s="222"/>
      <c r="AA117" s="223">
        <f t="shared" si="63"/>
        <v>0</v>
      </c>
      <c r="AB117" s="222"/>
      <c r="AC117" s="222"/>
      <c r="AD117" s="222"/>
      <c r="AE117" s="222"/>
      <c r="AF117" s="222"/>
      <c r="AG117" s="222"/>
      <c r="AH117" s="222"/>
      <c r="AI117" s="222"/>
      <c r="AJ117" s="222"/>
      <c r="AK117" s="222"/>
      <c r="AL117" s="222"/>
      <c r="AM117" s="222"/>
    </row>
    <row r="118" spans="1:39" x14ac:dyDescent="0.2">
      <c r="A118" s="220"/>
      <c r="B118" s="220"/>
      <c r="C118" s="221"/>
      <c r="D118" s="221"/>
      <c r="E118" s="218"/>
      <c r="F118" s="218"/>
      <c r="G118" s="218"/>
      <c r="H118" s="218"/>
      <c r="I118" s="218"/>
      <c r="J118" s="218"/>
      <c r="K118" s="218"/>
      <c r="L118" s="218"/>
      <c r="M118" s="218"/>
      <c r="N118" s="218"/>
      <c r="O118" s="222"/>
      <c r="P118" s="222"/>
      <c r="Q118" s="222"/>
      <c r="R118" s="222"/>
      <c r="S118" s="222"/>
      <c r="T118" s="222"/>
      <c r="U118" s="222"/>
      <c r="V118" s="222"/>
      <c r="W118" s="222"/>
      <c r="X118" s="222"/>
      <c r="Y118" s="222"/>
      <c r="Z118" s="222"/>
      <c r="AA118" s="223">
        <f t="shared" si="63"/>
        <v>0</v>
      </c>
      <c r="AB118" s="222"/>
      <c r="AC118" s="222"/>
      <c r="AD118" s="222"/>
      <c r="AE118" s="222"/>
      <c r="AF118" s="222"/>
      <c r="AG118" s="222"/>
      <c r="AH118" s="222"/>
      <c r="AI118" s="222"/>
      <c r="AJ118" s="222"/>
      <c r="AK118" s="222"/>
      <c r="AL118" s="222"/>
      <c r="AM118" s="222"/>
    </row>
    <row r="119" spans="1:39" x14ac:dyDescent="0.2">
      <c r="A119" s="220"/>
      <c r="B119" s="220"/>
      <c r="C119" s="221"/>
      <c r="D119" s="221"/>
      <c r="E119" s="218"/>
      <c r="F119" s="218"/>
      <c r="G119" s="218"/>
      <c r="H119" s="218"/>
      <c r="I119" s="218"/>
      <c r="J119" s="218"/>
      <c r="K119" s="218"/>
      <c r="L119" s="218"/>
      <c r="M119" s="218"/>
      <c r="N119" s="218"/>
      <c r="O119" s="222"/>
      <c r="P119" s="222"/>
      <c r="Q119" s="222"/>
      <c r="R119" s="222"/>
      <c r="S119" s="222"/>
      <c r="T119" s="222"/>
      <c r="U119" s="222"/>
      <c r="V119" s="222"/>
      <c r="W119" s="222"/>
      <c r="X119" s="222"/>
      <c r="Y119" s="222"/>
      <c r="Z119" s="222"/>
      <c r="AA119" s="223">
        <f t="shared" si="63"/>
        <v>0</v>
      </c>
      <c r="AB119" s="222"/>
      <c r="AC119" s="222"/>
      <c r="AD119" s="222"/>
      <c r="AE119" s="222"/>
      <c r="AF119" s="222"/>
      <c r="AG119" s="222"/>
      <c r="AH119" s="222"/>
      <c r="AI119" s="222"/>
      <c r="AJ119" s="222"/>
      <c r="AK119" s="222"/>
      <c r="AL119" s="222"/>
      <c r="AM119" s="222"/>
    </row>
    <row r="120" spans="1:39" x14ac:dyDescent="0.2">
      <c r="A120" s="220"/>
      <c r="B120" s="220"/>
      <c r="C120" s="221"/>
      <c r="D120" s="221"/>
      <c r="E120" s="218"/>
      <c r="F120" s="218"/>
      <c r="G120" s="218"/>
      <c r="H120" s="218"/>
      <c r="I120" s="218"/>
      <c r="J120" s="218"/>
      <c r="K120" s="218"/>
      <c r="L120" s="218"/>
      <c r="M120" s="218"/>
      <c r="N120" s="218"/>
      <c r="O120" s="222"/>
      <c r="P120" s="222"/>
      <c r="Q120" s="222"/>
      <c r="R120" s="222"/>
      <c r="S120" s="222"/>
      <c r="T120" s="222"/>
      <c r="U120" s="222"/>
      <c r="V120" s="222"/>
      <c r="W120" s="222"/>
      <c r="X120" s="222"/>
      <c r="Y120" s="222"/>
      <c r="Z120" s="222"/>
      <c r="AA120" s="223">
        <f t="shared" si="63"/>
        <v>0</v>
      </c>
      <c r="AB120" s="222"/>
      <c r="AC120" s="222"/>
      <c r="AD120" s="222"/>
      <c r="AE120" s="222"/>
      <c r="AF120" s="222"/>
      <c r="AG120" s="222"/>
      <c r="AH120" s="222"/>
      <c r="AI120" s="222"/>
      <c r="AJ120" s="222"/>
      <c r="AK120" s="222"/>
      <c r="AL120" s="222"/>
      <c r="AM120" s="222"/>
    </row>
    <row r="121" spans="1:39" x14ac:dyDescent="0.2">
      <c r="A121" s="220"/>
      <c r="B121" s="220"/>
      <c r="C121" s="221"/>
      <c r="D121" s="221"/>
      <c r="E121" s="218"/>
      <c r="F121" s="218"/>
      <c r="G121" s="218"/>
      <c r="H121" s="218"/>
      <c r="I121" s="218"/>
      <c r="J121" s="218"/>
      <c r="K121" s="218"/>
      <c r="L121" s="218"/>
      <c r="M121" s="218"/>
      <c r="N121" s="218"/>
      <c r="O121" s="222"/>
      <c r="P121" s="222"/>
      <c r="Q121" s="222"/>
      <c r="R121" s="222"/>
      <c r="S121" s="222"/>
      <c r="T121" s="222"/>
      <c r="U121" s="222"/>
      <c r="V121" s="222"/>
      <c r="W121" s="222"/>
      <c r="X121" s="222"/>
      <c r="Y121" s="222"/>
      <c r="Z121" s="222"/>
      <c r="AA121" s="223">
        <f t="shared" si="63"/>
        <v>0</v>
      </c>
      <c r="AB121" s="222"/>
      <c r="AC121" s="222"/>
      <c r="AD121" s="222"/>
      <c r="AE121" s="222"/>
      <c r="AF121" s="222"/>
      <c r="AG121" s="222"/>
      <c r="AH121" s="222"/>
      <c r="AI121" s="222"/>
      <c r="AJ121" s="222"/>
      <c r="AK121" s="222"/>
      <c r="AL121" s="222"/>
      <c r="AM121" s="222"/>
    </row>
    <row r="122" spans="1:39" x14ac:dyDescent="0.2">
      <c r="A122" s="220"/>
      <c r="B122" s="220"/>
      <c r="C122" s="221"/>
      <c r="D122" s="221"/>
      <c r="E122" s="218"/>
      <c r="F122" s="218"/>
      <c r="G122" s="218"/>
      <c r="H122" s="218"/>
      <c r="I122" s="218"/>
      <c r="J122" s="218"/>
      <c r="K122" s="218"/>
      <c r="L122" s="218"/>
      <c r="M122" s="218"/>
      <c r="N122" s="218"/>
      <c r="O122" s="222"/>
      <c r="P122" s="222"/>
      <c r="Q122" s="222"/>
      <c r="R122" s="222"/>
      <c r="S122" s="222"/>
      <c r="T122" s="222"/>
      <c r="U122" s="222"/>
      <c r="V122" s="222"/>
      <c r="W122" s="222"/>
      <c r="X122" s="222"/>
      <c r="Y122" s="222"/>
      <c r="Z122" s="222"/>
      <c r="AA122" s="223">
        <f t="shared" si="63"/>
        <v>0</v>
      </c>
      <c r="AB122" s="222"/>
      <c r="AC122" s="222"/>
      <c r="AD122" s="222"/>
      <c r="AE122" s="222"/>
      <c r="AF122" s="222"/>
      <c r="AG122" s="222"/>
      <c r="AH122" s="222"/>
      <c r="AI122" s="222"/>
      <c r="AJ122" s="222"/>
      <c r="AK122" s="222"/>
      <c r="AL122" s="222"/>
      <c r="AM122" s="222"/>
    </row>
    <row r="123" spans="1:39" x14ac:dyDescent="0.2">
      <c r="A123" s="220"/>
      <c r="B123" s="220"/>
      <c r="C123" s="221"/>
      <c r="D123" s="221"/>
      <c r="E123" s="218"/>
      <c r="F123" s="218"/>
      <c r="G123" s="218"/>
      <c r="H123" s="218"/>
      <c r="I123" s="218"/>
      <c r="J123" s="218"/>
      <c r="K123" s="218"/>
      <c r="L123" s="218"/>
      <c r="M123" s="218"/>
      <c r="N123" s="218"/>
      <c r="O123" s="222"/>
      <c r="P123" s="222"/>
      <c r="Q123" s="222"/>
      <c r="R123" s="222"/>
      <c r="S123" s="222"/>
      <c r="T123" s="222"/>
      <c r="U123" s="222"/>
      <c r="V123" s="222"/>
      <c r="W123" s="222"/>
      <c r="X123" s="222"/>
      <c r="Y123" s="222"/>
      <c r="Z123" s="222"/>
      <c r="AA123" s="223">
        <f t="shared" si="63"/>
        <v>0</v>
      </c>
      <c r="AB123" s="222"/>
      <c r="AC123" s="222"/>
      <c r="AD123" s="222"/>
      <c r="AE123" s="222"/>
      <c r="AF123" s="222"/>
      <c r="AG123" s="222"/>
      <c r="AH123" s="222"/>
      <c r="AI123" s="222"/>
      <c r="AJ123" s="222"/>
      <c r="AK123" s="222"/>
      <c r="AL123" s="222"/>
      <c r="AM123" s="222"/>
    </row>
  </sheetData>
  <autoFilter ref="A5:AM5" xr:uid="{00000000-0009-0000-0000-00001A000000}">
    <sortState xmlns:xlrd2="http://schemas.microsoft.com/office/spreadsheetml/2017/richdata2" ref="A6:AM123">
      <sortCondition ref="D5"/>
    </sortState>
  </autoFilter>
  <mergeCells count="2">
    <mergeCell ref="O2:Z4"/>
    <mergeCell ref="AB2:AM4"/>
  </mergeCells>
  <pageMargins left="0.25" right="0.25" top="0.25" bottom="0.25" header="0" footer="0"/>
  <pageSetup scale="2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theme="2" tint="-0.499984740745262"/>
  </sheetPr>
  <dimension ref="A1:AP2"/>
  <sheetViews>
    <sheetView workbookViewId="0"/>
  </sheetViews>
  <sheetFormatPr baseColWidth="10" defaultColWidth="9.1640625" defaultRowHeight="15" x14ac:dyDescent="0.2"/>
  <cols>
    <col min="1" max="1" width="18.5" style="409" bestFit="1" customWidth="1"/>
    <col min="2" max="2" width="12.33203125" style="409" bestFit="1" customWidth="1"/>
    <col min="3" max="3" width="15.6640625" style="409" bestFit="1" customWidth="1"/>
    <col min="4" max="4" width="23.1640625" style="409" bestFit="1" customWidth="1"/>
    <col min="5" max="5" width="17" style="409" bestFit="1" customWidth="1"/>
    <col min="6" max="6" width="20.1640625" style="409" bestFit="1" customWidth="1"/>
    <col min="7" max="7" width="22.6640625" style="409" bestFit="1" customWidth="1"/>
    <col min="8" max="8" width="24.6640625" style="409" bestFit="1" customWidth="1"/>
    <col min="9" max="9" width="20.5" style="409" bestFit="1" customWidth="1"/>
    <col min="10" max="10" width="25.5" style="409" bestFit="1" customWidth="1"/>
    <col min="11" max="11" width="20.5" style="409" bestFit="1" customWidth="1"/>
    <col min="12" max="12" width="31.5" style="409" bestFit="1" customWidth="1"/>
    <col min="13" max="13" width="20.33203125" style="409" bestFit="1" customWidth="1"/>
    <col min="14" max="14" width="13" style="409" bestFit="1" customWidth="1"/>
    <col min="15" max="15" width="20.33203125" style="409" bestFit="1" customWidth="1"/>
    <col min="16" max="16" width="20" style="409" bestFit="1" customWidth="1"/>
    <col min="17" max="17" width="33.5" style="409" bestFit="1" customWidth="1"/>
    <col min="18" max="18" width="20" style="409" bestFit="1" customWidth="1"/>
    <col min="19" max="19" width="30.83203125" style="409" bestFit="1" customWidth="1"/>
    <col min="20" max="20" width="19.6640625" style="409" bestFit="1" customWidth="1"/>
    <col min="21" max="21" width="12.5" style="409" bestFit="1" customWidth="1"/>
    <col min="22" max="22" width="19.6640625" style="409" bestFit="1" customWidth="1"/>
    <col min="23" max="23" width="26.5" style="409" bestFit="1" customWidth="1"/>
    <col min="24" max="24" width="25.83203125" style="409" bestFit="1" customWidth="1"/>
    <col min="25" max="25" width="28.6640625" style="409" bestFit="1" customWidth="1"/>
    <col min="26" max="26" width="30.33203125" style="409" bestFit="1" customWidth="1"/>
    <col min="27" max="27" width="26.6640625" style="409" bestFit="1" customWidth="1"/>
    <col min="28" max="28" width="23.33203125" style="409" bestFit="1" customWidth="1"/>
    <col min="29" max="29" width="28.5" style="409" bestFit="1" customWidth="1"/>
    <col min="30" max="30" width="23.33203125" style="409" bestFit="1" customWidth="1"/>
    <col min="31" max="31" width="18.83203125" style="409" bestFit="1" customWidth="1"/>
    <col min="32" max="32" width="16.6640625" style="409" bestFit="1" customWidth="1"/>
    <col min="33" max="33" width="17.83203125" style="409" bestFit="1" customWidth="1"/>
    <col min="34" max="34" width="31.1640625" style="409" bestFit="1" customWidth="1"/>
    <col min="35" max="35" width="31" style="409" bestFit="1" customWidth="1"/>
    <col min="36" max="36" width="29.5" style="409" bestFit="1" customWidth="1"/>
    <col min="37" max="37" width="20.5" style="409" bestFit="1" customWidth="1"/>
    <col min="38" max="38" width="12.6640625" style="409" bestFit="1" customWidth="1"/>
    <col min="39" max="39" width="16" style="409" bestFit="1" customWidth="1"/>
    <col min="40" max="40" width="14.6640625" style="409" bestFit="1" customWidth="1"/>
    <col min="41" max="42" width="18" style="409" bestFit="1" customWidth="1"/>
    <col min="43" max="16384" width="9.1640625" style="409"/>
  </cols>
  <sheetData>
    <row r="1" spans="1:42" customFormat="1" ht="13" x14ac:dyDescent="0.15">
      <c r="B1" t="e">
        <f>LEFT(A1,4)*1</f>
        <v>#VALUE!</v>
      </c>
      <c r="C1" s="254"/>
      <c r="D1" s="254"/>
      <c r="E1" t="e">
        <f>IF(LEN(IFERROR(VLOOKUP($A1,'Full Crash Data'!$B:$Q,10,FALSE),VLOOKUP($A1,'Crash Data'!$B:$E,3,FALSE)))&lt;&gt;14,"ERROR",IFERROR(VLOOKUP($A1,'Full Crash Data'!$B:$Q,10,FALSE),VLOOKUP($A1,'Crash Data'!$B:$E,3,FALSE)))</f>
        <v>#N/A</v>
      </c>
      <c r="F1" t="e">
        <f>IF(IFERROR(VLOOKUP($A1,'Full Crash Data'!$B:$Q,11,FALSE),VLOOKUP($A1,'Crash Data'!$B:$E,4,FALSE))&gt;70,"ERROR",IFERROR(VLOOKUP($A1,'Full Crash Data'!$B:$Q,11,FALSE),VLOOKUP($A1,'Crash Data'!$B:$E,4,FALSE)))*1</f>
        <v>#N/A</v>
      </c>
      <c r="G1" t="e">
        <f>IFERROR(VLOOKUP($A1,'Full Crash Data'!$B:$Q,13,FALSE),VLOOKUP($A1,'Crash Data'!$B:$BC,53,FALSE))*1</f>
        <v>#N/A</v>
      </c>
      <c r="H1" t="e">
        <f>IFERROR(VLOOKUP($A1,'Full Crash Data'!$B:$Q,14,FALSE),VLOOKUP($A1,'Crash Data'!$B:$BC,54,FALSE))*1</f>
        <v>#N/A</v>
      </c>
      <c r="I1" t="e">
        <f>LEFT(IFERROR(VLOOKUP($A1,'Full Crash Data'!$B:$EK,61,FALSE),""),1)*1</f>
        <v>#VALUE!</v>
      </c>
      <c r="J1" t="e">
        <f>LEFT(IFERROR(VLOOKUP($A1,'Full Crash Data'!$B:$EK,62,FALSE),VLOOKUP($A1,'Crash Data'!$B:$H,6,FALSE)),28)</f>
        <v>#N/A</v>
      </c>
      <c r="K1" t="str">
        <f>LEFT(IFERROR(VLOOKUP($A1,'Full Crash Data'!$B:$EK,63,FALSE),""),4)</f>
        <v/>
      </c>
      <c r="L1" t="str">
        <f>LEFT(IFERROR(VLOOKUP($A1,'Full Crash Data'!$B:$EK,64,FALSE),""),2)</f>
        <v/>
      </c>
      <c r="M1" t="e">
        <f>LEFT(IFERROR(VLOOKUP($A1,'Full Crash Data'!$B:$EK,65,FALSE),VLOOKUP($A1,'Crash Data'!$B:$H,6,FALSE)),2)</f>
        <v>#N/A</v>
      </c>
      <c r="N1" t="e">
        <f>LEFT(IFERROR(VLOOKUP($A1,'Full Crash Data'!$B:$EK,66,FALSE),MID(VLOOKUP($A1,'Crash Data'!$B:$H,6,FALSE),3,5)),5)*1</f>
        <v>#N/A</v>
      </c>
      <c r="O1" t="str">
        <f>LEFT(IFERROR(VLOOKUP($A1,'Full Crash Data'!$B:$EK,67,FALSE),""),1)</f>
        <v/>
      </c>
      <c r="P1" t="str">
        <f>LEFT(IFERROR(VLOOKUP($A1,'Full Crash Data'!$B:$EK,68,FALSE),""),1)</f>
        <v/>
      </c>
      <c r="Q1" t="e">
        <f>LEFT(IFERROR(VLOOKUP($A1,'Full Crash Data'!$B:$EK,69,FALSE),VLOOKUP($A1,'Crash Data'!$B:$H,7,FALSE)),28)</f>
        <v>#N/A</v>
      </c>
      <c r="R1" t="str">
        <f>LEFT(IFERROR(VLOOKUP($A1,'Full Crash Data'!$B:$EK,70,FALSE),""),4)</f>
        <v/>
      </c>
      <c r="S1" t="str">
        <f>LEFT(IFERROR(VLOOKUP($A1,'Full Crash Data'!$B:$EK,71,FALSE),""),2)</f>
        <v/>
      </c>
      <c r="T1" t="e">
        <f>LEFT(IFERROR(VLOOKUP($A1,'Full Crash Data'!$B:$EK,72,FALSE),VLOOKUP($A1,'Crash Data'!$B:$H,7,FALSE)),2)</f>
        <v>#N/A</v>
      </c>
      <c r="U1" t="e">
        <f>LEFT(IFERROR(VLOOKUP($A1,'Full Crash Data'!$B:$EK,73,FALSE),MID(VLOOKUP($A1,'Crash Data'!$B:$H,7,FALSE),3,5)),5)*1</f>
        <v>#N/A</v>
      </c>
      <c r="V1" t="str">
        <f>LEFT(IFERROR(VLOOKUP($A1,'Full Crash Data'!$B:$EK,74,FALSE),""),1)</f>
        <v/>
      </c>
      <c r="W1" t="str">
        <f>LEFT(IFERROR(VLOOKUP($A1,'Full Crash Data'!$B:$EK,76,FALSE),""),28)</f>
        <v/>
      </c>
      <c r="X1" t="str">
        <f>LEFT(IFERROR(VLOOKUP($A1,'Full Crash Data'!$B:$EK,75,FALSE),""),28)</f>
        <v/>
      </c>
      <c r="Y1" s="410" t="str">
        <f>IFERROR(VLOOKUP(IFERROR(VLOOKUP($A1,'Full Crash Data'!$B:$EK,77,FALSE),""),RefTables!$D$214:$E$223,2,FALSE),"")</f>
        <v/>
      </c>
      <c r="AC1" t="str">
        <f>LEFT(IFERROR(VLOOKUP($A1,'Full Crash Data'!$B:$EK,141,FALSE),""),80)</f>
        <v/>
      </c>
      <c r="AD1" t="str">
        <f>LEFT(IFERROR(VLOOKUP($A1,'Full Crash Data'!$B:$EK,142,FALSE),""),80)</f>
        <v/>
      </c>
      <c r="AE1" t="str">
        <f>LEFT(IFERROR(VLOOKUP($A1,'Full Crash Data'!$B:$EK,143,FALSE),""),80)</f>
        <v/>
      </c>
      <c r="AF1" t="str">
        <f>TEXT(RIGHT(IFERROR(VLOOKUP($A1,'Full Crash Data'!$B:$EK,15,FALSE),""),5),"00000")</f>
        <v/>
      </c>
      <c r="AG1" s="410" t="str">
        <f>IFERROR(VLOOKUP(IFERROR(VLOOKUP($A1,'Full Crash Data'!$B:$EK,6,FALSE),VLOOKUP($A1,'Crash Data'!B:M,12,FALSE)),RefTables!$D$103:$E$122,2,FALSE),"")</f>
        <v/>
      </c>
      <c r="AH1" t="str">
        <f>IF(IFERROR(VLOOKUP($A1,'Full Crash Data'!$B:$EK,47,FALSE),"")="Yes","Y","N")</f>
        <v>N</v>
      </c>
      <c r="AI1" t="str">
        <f>IF(OR(IFERROR(VLOOKUP($A1,'Full Crash Data'!$B:$EK,48,FALSE),IF(OR(AJ1=1,AJ1=2,),"Yes","No"))="Yes",IF(OR(AJ1=1,AJ1=2,),"Yes","No")="Yes"),"Y","N")</f>
        <v>N</v>
      </c>
      <c r="AJ1" s="410" t="str">
        <f>IFERROR(VLOOKUP(IFERROR(VLOOKUP($A1,'Full Crash Data'!$B:$EK,9,FALSE),VLOOKUP($A1,'Crash Data'!B:R,17,FALSE)),RefTables!$D$179:$E$192,2,FALSE),"")</f>
        <v/>
      </c>
      <c r="AK1" t="str">
        <f>LEFT(IFERROR(VLOOKUP($A1,'Full Crash Data'!$B:$EK,8,FALSE),""),80)</f>
        <v/>
      </c>
      <c r="AN1" t="str">
        <f>LEFT(IFERROR(VLOOKUP($A1,'Full Crash Data'!$B:$EK,144,FALSE),""),80)</f>
        <v/>
      </c>
      <c r="AO1" t="str">
        <f>LEFT(IFERROR(VLOOKUP($A1,'Full Crash Data'!$B:$EK,145,FALSE),""),80)</f>
        <v/>
      </c>
    </row>
    <row r="2" spans="1:42" x14ac:dyDescent="0.2">
      <c r="A2" s="409" t="s">
        <v>316</v>
      </c>
      <c r="B2" s="409" t="s">
        <v>329</v>
      </c>
      <c r="C2" s="409" t="s">
        <v>6097</v>
      </c>
      <c r="D2" s="409" t="s">
        <v>6098</v>
      </c>
      <c r="E2" s="409" t="s">
        <v>275</v>
      </c>
      <c r="F2" s="409" t="s">
        <v>317</v>
      </c>
      <c r="G2" s="409" t="s">
        <v>318</v>
      </c>
      <c r="H2" s="409" t="s">
        <v>319</v>
      </c>
      <c r="I2" s="409" t="s">
        <v>6099</v>
      </c>
      <c r="J2" s="409" t="s">
        <v>6100</v>
      </c>
      <c r="K2" s="409" t="s">
        <v>6101</v>
      </c>
      <c r="L2" s="409" t="s">
        <v>6102</v>
      </c>
      <c r="M2" s="409" t="s">
        <v>6103</v>
      </c>
      <c r="N2" s="409" t="s">
        <v>6104</v>
      </c>
      <c r="O2" s="409" t="s">
        <v>6105</v>
      </c>
      <c r="P2" s="409" t="s">
        <v>6106</v>
      </c>
      <c r="Q2" s="409" t="s">
        <v>6107</v>
      </c>
      <c r="R2" s="409" t="s">
        <v>6108</v>
      </c>
      <c r="S2" s="409" t="s">
        <v>6109</v>
      </c>
      <c r="T2" s="409" t="s">
        <v>6110</v>
      </c>
      <c r="U2" s="409" t="s">
        <v>6111</v>
      </c>
      <c r="V2" s="409" t="s">
        <v>6112</v>
      </c>
      <c r="W2" s="409" t="s">
        <v>6113</v>
      </c>
      <c r="X2" s="409" t="s">
        <v>6114</v>
      </c>
      <c r="Y2" s="409" t="s">
        <v>6115</v>
      </c>
      <c r="Z2" s="409" t="s">
        <v>6116</v>
      </c>
      <c r="AA2" s="409" t="s">
        <v>6117</v>
      </c>
      <c r="AB2" s="409" t="s">
        <v>6118</v>
      </c>
      <c r="AC2" s="409" t="s">
        <v>914</v>
      </c>
      <c r="AD2" s="409" t="s">
        <v>915</v>
      </c>
      <c r="AE2" s="409" t="s">
        <v>916</v>
      </c>
      <c r="AF2" s="409" t="s">
        <v>863</v>
      </c>
      <c r="AG2" s="409" t="s">
        <v>321</v>
      </c>
      <c r="AH2" s="409" t="s">
        <v>868</v>
      </c>
      <c r="AI2" s="409" t="s">
        <v>325</v>
      </c>
      <c r="AJ2" s="409" t="s">
        <v>869</v>
      </c>
      <c r="AK2" s="409" t="s">
        <v>6119</v>
      </c>
      <c r="AL2" s="409" t="s">
        <v>6120</v>
      </c>
      <c r="AM2" s="409" t="s">
        <v>6121</v>
      </c>
      <c r="AN2" s="409" t="s">
        <v>917</v>
      </c>
      <c r="AO2" s="409" t="s">
        <v>918</v>
      </c>
      <c r="AP2" s="409" t="s">
        <v>6122</v>
      </c>
    </row>
  </sheetData>
  <autoFilter ref="A2:AP2" xr:uid="{00000000-0009-0000-0000-00001B000000}"/>
  <dataValidations count="1">
    <dataValidation type="list" allowBlank="1" showInputMessage="1" showErrorMessage="1" sqref="A1" xr:uid="{00000000-0002-0000-1B00-000000000000}">
      <formula1>"Full Crash Data,Crash Data"</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2AFCA-B003-4D7A-8DEE-9AA6E5CABA69}">
  <sheetPr codeName="Sheet37"/>
  <dimension ref="A4:BN134"/>
  <sheetViews>
    <sheetView topLeftCell="A10" workbookViewId="0">
      <selection activeCell="A22" sqref="A22:XFD43"/>
    </sheetView>
  </sheetViews>
  <sheetFormatPr baseColWidth="10" defaultColWidth="9.1640625" defaultRowHeight="15" x14ac:dyDescent="0.2"/>
  <cols>
    <col min="1" max="1" width="15.33203125" style="481" bestFit="1" customWidth="1"/>
    <col min="2" max="2" width="28.5" style="481" bestFit="1" customWidth="1"/>
    <col min="3" max="3" width="26.83203125" style="481" bestFit="1" customWidth="1"/>
    <col min="4" max="4" width="14.5" style="481" bestFit="1" customWidth="1"/>
    <col min="5" max="5" width="22.5" style="481" bestFit="1" customWidth="1"/>
    <col min="6" max="6" width="8.1640625" style="481" bestFit="1" customWidth="1"/>
    <col min="7" max="7" width="12.6640625" style="481" bestFit="1" customWidth="1"/>
    <col min="8" max="8" width="18.83203125" style="481" bestFit="1" customWidth="1"/>
    <col min="9" max="9" width="27.5" style="481" bestFit="1" customWidth="1"/>
    <col min="10" max="10" width="16.5" style="481" bestFit="1" customWidth="1"/>
    <col min="11" max="11" width="18.1640625" style="481" bestFit="1" customWidth="1"/>
    <col min="12" max="12" width="35.6640625" style="481" bestFit="1" customWidth="1"/>
    <col min="13" max="13" width="21.6640625" style="481" bestFit="1" customWidth="1"/>
    <col min="14" max="14" width="28.83203125" style="481" bestFit="1" customWidth="1"/>
    <col min="15" max="15" width="20.83203125" style="481" bestFit="1" customWidth="1"/>
    <col min="16" max="16" width="17.83203125" style="481" bestFit="1" customWidth="1"/>
    <col min="17" max="17" width="20.83203125" style="481" bestFit="1" customWidth="1"/>
    <col min="18" max="18" width="20.5" style="481" bestFit="1" customWidth="1"/>
    <col min="19" max="19" width="29.5" style="481" bestFit="1" customWidth="1"/>
    <col min="20" max="20" width="29.83203125" style="481" bestFit="1" customWidth="1"/>
    <col min="21" max="21" width="12.33203125" style="481" bestFit="1" customWidth="1"/>
    <col min="22" max="22" width="20.5" style="481" bestFit="1" customWidth="1"/>
    <col min="23" max="23" width="23.1640625" style="481" bestFit="1" customWidth="1"/>
    <col min="24" max="24" width="15.1640625" style="481" bestFit="1" customWidth="1"/>
    <col min="25" max="25" width="22.83203125" style="481" bestFit="1" customWidth="1"/>
    <col min="26" max="26" width="15.6640625" style="481" bestFit="1" customWidth="1"/>
    <col min="27" max="27" width="19.5" style="481" bestFit="1" customWidth="1"/>
    <col min="28" max="28" width="22.33203125" style="481" bestFit="1" customWidth="1"/>
    <col min="29" max="29" width="18.5" style="481" bestFit="1" customWidth="1"/>
    <col min="30" max="30" width="23.1640625" style="481" bestFit="1" customWidth="1"/>
    <col min="31" max="31" width="19.5" style="481" bestFit="1" customWidth="1"/>
    <col min="32" max="32" width="19.6640625" style="481" bestFit="1" customWidth="1"/>
    <col min="33" max="33" width="27.83203125" style="481" bestFit="1" customWidth="1"/>
    <col min="34" max="34" width="19.83203125" style="481" bestFit="1" customWidth="1"/>
    <col min="35" max="35" width="18.1640625" style="481" bestFit="1" customWidth="1"/>
    <col min="36" max="36" width="22.5" style="481" bestFit="1" customWidth="1"/>
    <col min="37" max="37" width="20.5" style="481" bestFit="1" customWidth="1"/>
    <col min="38" max="38" width="22.33203125" style="481" bestFit="1" customWidth="1"/>
    <col min="39" max="39" width="17.5" style="481" bestFit="1" customWidth="1"/>
    <col min="40" max="40" width="10.33203125" style="481" bestFit="1" customWidth="1"/>
    <col min="41" max="41" width="14.5" style="481" bestFit="1" customWidth="1"/>
    <col min="42" max="42" width="30.5" style="481" bestFit="1" customWidth="1"/>
    <col min="43" max="43" width="19.5" style="481" bestFit="1" customWidth="1"/>
    <col min="44" max="44" width="14.6640625" style="481" bestFit="1" customWidth="1"/>
    <col min="45" max="45" width="15.1640625" style="481" bestFit="1" customWidth="1"/>
    <col min="46" max="47" width="17.1640625" style="481" bestFit="1" customWidth="1"/>
    <col min="48" max="48" width="22.33203125" style="481" bestFit="1" customWidth="1"/>
    <col min="49" max="49" width="21.5" style="481" bestFit="1" customWidth="1"/>
    <col min="50" max="50" width="16.5" style="481" bestFit="1" customWidth="1"/>
    <col min="51" max="51" width="10.6640625" style="481" bestFit="1" customWidth="1"/>
    <col min="52" max="52" width="13.5" style="481" bestFit="1" customWidth="1"/>
    <col min="53" max="53" width="12.1640625" style="481" bestFit="1" customWidth="1"/>
    <col min="54" max="54" width="22.5" style="481" bestFit="1" customWidth="1"/>
    <col min="55" max="55" width="16" style="481" bestFit="1" customWidth="1"/>
    <col min="56" max="56" width="22.83203125" style="481" bestFit="1" customWidth="1"/>
    <col min="57" max="57" width="21.5" style="481" bestFit="1" customWidth="1"/>
    <col min="58" max="58" width="21.83203125" style="481" bestFit="1" customWidth="1"/>
    <col min="59" max="59" width="10" style="481" bestFit="1" customWidth="1"/>
    <col min="60" max="60" width="26.33203125" style="481" bestFit="1" customWidth="1"/>
    <col min="61" max="61" width="24.6640625" style="481" bestFit="1" customWidth="1"/>
    <col min="62" max="62" width="25.1640625" style="481" bestFit="1" customWidth="1"/>
    <col min="63" max="63" width="24.33203125" style="481" bestFit="1" customWidth="1"/>
    <col min="64" max="64" width="20.1640625" style="481" bestFit="1" customWidth="1"/>
    <col min="65" max="65" width="20.33203125" style="481" bestFit="1" customWidth="1"/>
    <col min="66" max="66" width="20.1640625" style="481" bestFit="1" customWidth="1"/>
    <col min="67" max="75" width="8.33203125" style="481" bestFit="1" customWidth="1"/>
    <col min="76" max="143" width="9.33203125" style="481" bestFit="1" customWidth="1"/>
    <col min="144" max="144" width="20.83203125" style="481" bestFit="1" customWidth="1"/>
    <col min="145" max="145" width="39.6640625" style="481" bestFit="1" customWidth="1"/>
    <col min="146" max="146" width="11.5" style="481" bestFit="1" customWidth="1"/>
    <col min="147" max="147" width="16.6640625" style="481" bestFit="1" customWidth="1"/>
    <col min="148" max="16384" width="9.1640625" style="481"/>
  </cols>
  <sheetData>
    <row r="4" spans="1:5" x14ac:dyDescent="0.2">
      <c r="A4" s="481" t="s">
        <v>6472</v>
      </c>
    </row>
    <row r="5" spans="1:5" x14ac:dyDescent="0.2">
      <c r="A5" s="481" t="s">
        <v>6473</v>
      </c>
      <c r="B5" s="481" t="s">
        <v>6474</v>
      </c>
    </row>
    <row r="6" spans="1:5" x14ac:dyDescent="0.2">
      <c r="A6" s="481" t="s">
        <v>275</v>
      </c>
      <c r="B6" s="482" t="str">
        <f>'Query-CAMTOOL'!B6</f>
        <v>SFRAUS00040**C</v>
      </c>
      <c r="D6" s="481" t="s">
        <v>6475</v>
      </c>
      <c r="E6" s="483" t="s">
        <v>6434</v>
      </c>
    </row>
    <row r="7" spans="1:5" x14ac:dyDescent="0.2">
      <c r="A7" s="481" t="s">
        <v>6476</v>
      </c>
      <c r="B7" s="482">
        <f>'Query-CAMTOOL'!B7</f>
        <v>5</v>
      </c>
      <c r="D7" s="481" t="s">
        <v>6432</v>
      </c>
      <c r="E7" s="481" t="s">
        <v>6477</v>
      </c>
    </row>
    <row r="8" spans="1:5" x14ac:dyDescent="0.2">
      <c r="A8" s="481" t="s">
        <v>6478</v>
      </c>
      <c r="B8" s="482">
        <f>'Query-CAMTOOL'!B8</f>
        <v>10</v>
      </c>
      <c r="D8" s="481" t="s">
        <v>262</v>
      </c>
      <c r="E8" s="481" t="s">
        <v>6479</v>
      </c>
    </row>
    <row r="9" spans="1:5" x14ac:dyDescent="0.2">
      <c r="A9" s="481" t="s">
        <v>6480</v>
      </c>
      <c r="B9" s="482">
        <f>'Query-CAMTOOL'!B9</f>
        <v>2015</v>
      </c>
      <c r="D9" s="481" t="s">
        <v>6434</v>
      </c>
      <c r="E9" s="481" t="str">
        <f>E7 &amp; E8</f>
        <v xml:space="preserve"> AND CRASH_TYPE_CD NOT IN (9)  AND ODPS_WORK_ZONE_IND = 'N' </v>
      </c>
    </row>
    <row r="10" spans="1:5" x14ac:dyDescent="0.2">
      <c r="A10" s="481" t="s">
        <v>6481</v>
      </c>
      <c r="B10" s="482">
        <f>'Query-CAMTOOL'!B10</f>
        <v>2019</v>
      </c>
    </row>
    <row r="11" spans="1:5" x14ac:dyDescent="0.2">
      <c r="A11" s="481" t="s">
        <v>6482</v>
      </c>
      <c r="B11" s="482" t="str">
        <f>'Query-CAMTOOL'!B11</f>
        <v>A</v>
      </c>
    </row>
    <row r="12" spans="1:5" x14ac:dyDescent="0.2">
      <c r="A12" s="481" t="s">
        <v>6483</v>
      </c>
      <c r="B12" s="482" t="str">
        <f>'Query-CAMTOOL'!B12</f>
        <v xml:space="preserve"> AND CRASH_TYPE_CD NOT IN (9) </v>
      </c>
    </row>
    <row r="20" spans="1:66" x14ac:dyDescent="0.2">
      <c r="A20" s="481" t="s">
        <v>254</v>
      </c>
      <c r="B20" s="481" t="s">
        <v>622</v>
      </c>
      <c r="C20" s="481" t="s">
        <v>623</v>
      </c>
      <c r="D20" s="481" t="s">
        <v>638</v>
      </c>
      <c r="E20" s="481" t="s">
        <v>639</v>
      </c>
      <c r="F20" s="481" t="s">
        <v>636</v>
      </c>
      <c r="G20" s="481" t="s">
        <v>65</v>
      </c>
      <c r="H20" s="481" t="s">
        <v>643</v>
      </c>
      <c r="I20" s="481" t="s">
        <v>644</v>
      </c>
      <c r="J20" s="481" t="s">
        <v>645</v>
      </c>
      <c r="K20" s="481" t="s">
        <v>646</v>
      </c>
      <c r="L20" s="481" t="s">
        <v>647</v>
      </c>
      <c r="M20" s="481" t="s">
        <v>648</v>
      </c>
      <c r="N20" s="481" t="s">
        <v>649</v>
      </c>
      <c r="O20" s="481" t="s">
        <v>650</v>
      </c>
      <c r="P20" s="481" t="s">
        <v>651</v>
      </c>
      <c r="Q20" s="481" t="s">
        <v>652</v>
      </c>
      <c r="R20" s="481" t="s">
        <v>653</v>
      </c>
      <c r="S20" s="481" t="s">
        <v>654</v>
      </c>
      <c r="T20" s="481" t="s">
        <v>655</v>
      </c>
      <c r="U20" s="481" t="s">
        <v>656</v>
      </c>
      <c r="V20" s="481" t="s">
        <v>657</v>
      </c>
      <c r="W20" s="481" t="s">
        <v>658</v>
      </c>
      <c r="X20" s="481" t="s">
        <v>659</v>
      </c>
      <c r="Y20" s="481" t="s">
        <v>660</v>
      </c>
      <c r="Z20" s="481" t="s">
        <v>661</v>
      </c>
      <c r="AA20" s="481" t="s">
        <v>662</v>
      </c>
      <c r="AB20" s="481" t="s">
        <v>664</v>
      </c>
      <c r="AC20" s="481" t="s">
        <v>663</v>
      </c>
      <c r="AD20" s="481" t="s">
        <v>666</v>
      </c>
      <c r="AE20" s="481" t="s">
        <v>665</v>
      </c>
      <c r="AF20" s="481" t="s">
        <v>640</v>
      </c>
      <c r="AG20" s="481" t="s">
        <v>6551</v>
      </c>
      <c r="AH20" s="481" t="s">
        <v>642</v>
      </c>
      <c r="AI20" s="481" t="s">
        <v>641</v>
      </c>
      <c r="AJ20" s="481" t="s">
        <v>667</v>
      </c>
      <c r="AK20" s="481" t="s">
        <v>668</v>
      </c>
      <c r="AL20" s="481" t="s">
        <v>669</v>
      </c>
      <c r="AM20" s="481" t="s">
        <v>670</v>
      </c>
      <c r="AN20" s="481" t="s">
        <v>671</v>
      </c>
      <c r="AO20" s="481" t="s">
        <v>672</v>
      </c>
      <c r="AP20" s="481" t="s">
        <v>673</v>
      </c>
      <c r="AQ20" s="481" t="s">
        <v>674</v>
      </c>
      <c r="AR20" s="481" t="s">
        <v>675</v>
      </c>
      <c r="AS20" s="481" t="s">
        <v>676</v>
      </c>
      <c r="AT20" s="481" t="s">
        <v>677</v>
      </c>
      <c r="AU20" s="481" t="s">
        <v>678</v>
      </c>
      <c r="AV20" s="481" t="s">
        <v>679</v>
      </c>
      <c r="AW20" s="481" t="s">
        <v>680</v>
      </c>
      <c r="AX20" s="481" t="s">
        <v>681</v>
      </c>
      <c r="AY20" s="481" t="s">
        <v>682</v>
      </c>
      <c r="AZ20" s="481" t="s">
        <v>683</v>
      </c>
      <c r="BA20" s="481" t="s">
        <v>684</v>
      </c>
      <c r="BB20" s="481" t="s">
        <v>685</v>
      </c>
      <c r="BC20" s="481" t="s">
        <v>686</v>
      </c>
      <c r="BD20" s="481" t="s">
        <v>687</v>
      </c>
      <c r="BE20" s="481" t="s">
        <v>688</v>
      </c>
      <c r="BF20" s="481" t="s">
        <v>689</v>
      </c>
      <c r="BG20" s="481" t="s">
        <v>690</v>
      </c>
      <c r="BH20" s="481" t="s">
        <v>691</v>
      </c>
      <c r="BI20" s="481" t="s">
        <v>692</v>
      </c>
      <c r="BJ20" s="481" t="s">
        <v>693</v>
      </c>
      <c r="BK20" s="481" t="s">
        <v>694</v>
      </c>
      <c r="BL20" s="481" t="s">
        <v>695</v>
      </c>
      <c r="BM20" s="481" t="s">
        <v>696</v>
      </c>
      <c r="BN20" s="481" t="s">
        <v>637</v>
      </c>
    </row>
    <row r="21" spans="1:66" x14ac:dyDescent="0.2">
      <c r="A21" s="481" t="s">
        <v>6435</v>
      </c>
      <c r="B21" s="481">
        <v>0</v>
      </c>
      <c r="C21" s="481">
        <v>7.49</v>
      </c>
      <c r="D21" s="481" t="s">
        <v>6552</v>
      </c>
      <c r="F21" s="481">
        <v>25882</v>
      </c>
      <c r="G21" s="481">
        <v>6</v>
      </c>
      <c r="H21" s="481" t="s">
        <v>6429</v>
      </c>
      <c r="I21" s="481" t="s">
        <v>6553</v>
      </c>
      <c r="J21" s="481" t="s">
        <v>6554</v>
      </c>
      <c r="K21" s="481" t="s">
        <v>6555</v>
      </c>
      <c r="L21" s="481" t="s">
        <v>6556</v>
      </c>
      <c r="O21" s="481" t="s">
        <v>6557</v>
      </c>
      <c r="U21" s="481">
        <v>327295</v>
      </c>
      <c r="Y21" s="481">
        <v>327295</v>
      </c>
      <c r="Z21" s="481" t="s">
        <v>315</v>
      </c>
      <c r="AA21" s="486">
        <v>37910</v>
      </c>
      <c r="AB21" s="486">
        <v>38006</v>
      </c>
      <c r="AC21" s="486">
        <v>38006</v>
      </c>
      <c r="AD21" s="486">
        <v>38170</v>
      </c>
      <c r="AE21" s="486">
        <v>38170</v>
      </c>
      <c r="AF21" s="481">
        <v>39.947366000000002</v>
      </c>
      <c r="AG21" s="481">
        <v>7.49</v>
      </c>
      <c r="AH21" s="481">
        <v>-83.095017999999996</v>
      </c>
      <c r="AI21" s="481">
        <v>39.953949000000001</v>
      </c>
      <c r="AJ21" s="481">
        <v>0</v>
      </c>
      <c r="AK21" s="481">
        <v>1.4</v>
      </c>
      <c r="AL21" s="481">
        <v>30.9</v>
      </c>
      <c r="AM21" s="481">
        <v>32.299999999999997</v>
      </c>
      <c r="AN21" s="481">
        <v>7.49</v>
      </c>
      <c r="BN21" s="481">
        <v>2004</v>
      </c>
    </row>
    <row r="22" spans="1:66" x14ac:dyDescent="0.2">
      <c r="AN22" s="486"/>
    </row>
    <row r="23" spans="1:66" x14ac:dyDescent="0.2">
      <c r="AN23" s="486"/>
    </row>
    <row r="24" spans="1:66" x14ac:dyDescent="0.2">
      <c r="AN24" s="486"/>
    </row>
    <row r="25" spans="1:66" x14ac:dyDescent="0.2">
      <c r="AN25" s="486"/>
    </row>
    <row r="26" spans="1:66" x14ac:dyDescent="0.2">
      <c r="AN26" s="486"/>
    </row>
    <row r="27" spans="1:66" x14ac:dyDescent="0.2">
      <c r="AN27" s="486"/>
    </row>
    <row r="28" spans="1:66" x14ac:dyDescent="0.2">
      <c r="AN28" s="486"/>
    </row>
    <row r="29" spans="1:66" x14ac:dyDescent="0.2">
      <c r="AN29" s="486"/>
    </row>
    <row r="30" spans="1:66" x14ac:dyDescent="0.2">
      <c r="AN30" s="486"/>
    </row>
    <row r="31" spans="1:66" x14ac:dyDescent="0.2">
      <c r="AN31" s="486"/>
    </row>
    <row r="32" spans="1:66" x14ac:dyDescent="0.2">
      <c r="AN32" s="486"/>
    </row>
    <row r="33" spans="40:40" x14ac:dyDescent="0.2">
      <c r="AN33" s="486"/>
    </row>
    <row r="34" spans="40:40" x14ac:dyDescent="0.2">
      <c r="AN34" s="486"/>
    </row>
    <row r="35" spans="40:40" x14ac:dyDescent="0.2">
      <c r="AN35" s="486"/>
    </row>
    <row r="36" spans="40:40" x14ac:dyDescent="0.2">
      <c r="AN36" s="486"/>
    </row>
    <row r="37" spans="40:40" x14ac:dyDescent="0.2">
      <c r="AN37" s="486"/>
    </row>
    <row r="38" spans="40:40" x14ac:dyDescent="0.2">
      <c r="AN38" s="486"/>
    </row>
    <row r="39" spans="40:40" x14ac:dyDescent="0.2">
      <c r="AN39" s="486"/>
    </row>
    <row r="40" spans="40:40" x14ac:dyDescent="0.2">
      <c r="AN40" s="486"/>
    </row>
    <row r="41" spans="40:40" x14ac:dyDescent="0.2">
      <c r="AN41" s="486"/>
    </row>
    <row r="42" spans="40:40" x14ac:dyDescent="0.2">
      <c r="AN42" s="486"/>
    </row>
    <row r="43" spans="40:40" x14ac:dyDescent="0.2">
      <c r="AN43" s="486"/>
    </row>
    <row r="44" spans="40:40" x14ac:dyDescent="0.2">
      <c r="AN44" s="486"/>
    </row>
    <row r="45" spans="40:40" x14ac:dyDescent="0.2">
      <c r="AN45" s="486"/>
    </row>
    <row r="46" spans="40:40" x14ac:dyDescent="0.2">
      <c r="AN46" s="486"/>
    </row>
    <row r="47" spans="40:40" x14ac:dyDescent="0.2">
      <c r="AN47" s="486"/>
    </row>
    <row r="48" spans="40:40" x14ac:dyDescent="0.2">
      <c r="AN48" s="486"/>
    </row>
    <row r="49" spans="40:40" x14ac:dyDescent="0.2">
      <c r="AN49" s="486"/>
    </row>
    <row r="50" spans="40:40" x14ac:dyDescent="0.2">
      <c r="AN50" s="486"/>
    </row>
    <row r="51" spans="40:40" x14ac:dyDescent="0.2">
      <c r="AN51" s="486"/>
    </row>
    <row r="52" spans="40:40" x14ac:dyDescent="0.2">
      <c r="AN52" s="486"/>
    </row>
    <row r="53" spans="40:40" x14ac:dyDescent="0.2">
      <c r="AN53" s="486"/>
    </row>
    <row r="54" spans="40:40" x14ac:dyDescent="0.2">
      <c r="AN54" s="486"/>
    </row>
    <row r="55" spans="40:40" x14ac:dyDescent="0.2">
      <c r="AN55" s="486"/>
    </row>
    <row r="56" spans="40:40" x14ac:dyDescent="0.2">
      <c r="AN56" s="486"/>
    </row>
    <row r="57" spans="40:40" x14ac:dyDescent="0.2">
      <c r="AN57" s="486"/>
    </row>
    <row r="58" spans="40:40" x14ac:dyDescent="0.2">
      <c r="AN58" s="486"/>
    </row>
    <row r="59" spans="40:40" x14ac:dyDescent="0.2">
      <c r="AN59" s="486"/>
    </row>
    <row r="60" spans="40:40" x14ac:dyDescent="0.2">
      <c r="AN60" s="486"/>
    </row>
    <row r="61" spans="40:40" x14ac:dyDescent="0.2">
      <c r="AN61" s="486"/>
    </row>
    <row r="62" spans="40:40" x14ac:dyDescent="0.2">
      <c r="AN62" s="486"/>
    </row>
    <row r="63" spans="40:40" x14ac:dyDescent="0.2">
      <c r="AN63" s="486"/>
    </row>
    <row r="64" spans="40:40" x14ac:dyDescent="0.2">
      <c r="AN64" s="486"/>
    </row>
    <row r="65" spans="40:40" x14ac:dyDescent="0.2">
      <c r="AN65" s="486"/>
    </row>
    <row r="66" spans="40:40" x14ac:dyDescent="0.2">
      <c r="AN66" s="486"/>
    </row>
    <row r="67" spans="40:40" x14ac:dyDescent="0.2">
      <c r="AN67" s="486"/>
    </row>
    <row r="68" spans="40:40" x14ac:dyDescent="0.2">
      <c r="AN68" s="486"/>
    </row>
    <row r="69" spans="40:40" x14ac:dyDescent="0.2">
      <c r="AN69" s="486"/>
    </row>
    <row r="70" spans="40:40" x14ac:dyDescent="0.2">
      <c r="AN70" s="486"/>
    </row>
    <row r="71" spans="40:40" x14ac:dyDescent="0.2">
      <c r="AN71" s="486"/>
    </row>
    <row r="72" spans="40:40" x14ac:dyDescent="0.2">
      <c r="AN72" s="486"/>
    </row>
    <row r="73" spans="40:40" x14ac:dyDescent="0.2">
      <c r="AN73" s="486"/>
    </row>
    <row r="74" spans="40:40" x14ac:dyDescent="0.2">
      <c r="AN74" s="486"/>
    </row>
    <row r="75" spans="40:40" x14ac:dyDescent="0.2">
      <c r="AN75" s="486"/>
    </row>
    <row r="76" spans="40:40" x14ac:dyDescent="0.2">
      <c r="AN76" s="486"/>
    </row>
    <row r="77" spans="40:40" x14ac:dyDescent="0.2">
      <c r="AN77" s="486"/>
    </row>
    <row r="78" spans="40:40" x14ac:dyDescent="0.2">
      <c r="AN78" s="486"/>
    </row>
    <row r="79" spans="40:40" x14ac:dyDescent="0.2">
      <c r="AN79" s="486"/>
    </row>
    <row r="80" spans="40:40" x14ac:dyDescent="0.2">
      <c r="AN80" s="486"/>
    </row>
    <row r="81" spans="40:40" x14ac:dyDescent="0.2">
      <c r="AN81" s="486"/>
    </row>
    <row r="82" spans="40:40" x14ac:dyDescent="0.2">
      <c r="AN82" s="486"/>
    </row>
    <row r="83" spans="40:40" x14ac:dyDescent="0.2">
      <c r="AN83" s="486"/>
    </row>
    <row r="84" spans="40:40" x14ac:dyDescent="0.2">
      <c r="AN84" s="486"/>
    </row>
    <row r="85" spans="40:40" x14ac:dyDescent="0.2">
      <c r="AN85" s="486"/>
    </row>
    <row r="86" spans="40:40" x14ac:dyDescent="0.2">
      <c r="AN86" s="486"/>
    </row>
    <row r="87" spans="40:40" x14ac:dyDescent="0.2">
      <c r="AN87" s="486"/>
    </row>
    <row r="88" spans="40:40" x14ac:dyDescent="0.2">
      <c r="AN88" s="486"/>
    </row>
    <row r="89" spans="40:40" x14ac:dyDescent="0.2">
      <c r="AN89" s="486"/>
    </row>
    <row r="90" spans="40:40" x14ac:dyDescent="0.2">
      <c r="AN90" s="486"/>
    </row>
    <row r="91" spans="40:40" x14ac:dyDescent="0.2">
      <c r="AN91" s="486"/>
    </row>
    <row r="92" spans="40:40" x14ac:dyDescent="0.2">
      <c r="AN92" s="486"/>
    </row>
    <row r="93" spans="40:40" x14ac:dyDescent="0.2">
      <c r="AN93" s="486"/>
    </row>
    <row r="94" spans="40:40" x14ac:dyDescent="0.2">
      <c r="AN94" s="486"/>
    </row>
    <row r="95" spans="40:40" x14ac:dyDescent="0.2">
      <c r="AN95" s="486"/>
    </row>
    <row r="96" spans="40:40" x14ac:dyDescent="0.2">
      <c r="AN96" s="486"/>
    </row>
    <row r="97" spans="40:40" x14ac:dyDescent="0.2">
      <c r="AN97" s="486"/>
    </row>
    <row r="98" spans="40:40" x14ac:dyDescent="0.2">
      <c r="AN98" s="486"/>
    </row>
    <row r="99" spans="40:40" x14ac:dyDescent="0.2">
      <c r="AN99" s="486"/>
    </row>
    <row r="100" spans="40:40" x14ac:dyDescent="0.2">
      <c r="AN100" s="486"/>
    </row>
    <row r="101" spans="40:40" x14ac:dyDescent="0.2">
      <c r="AN101" s="486"/>
    </row>
    <row r="102" spans="40:40" x14ac:dyDescent="0.2">
      <c r="AN102" s="486"/>
    </row>
    <row r="103" spans="40:40" x14ac:dyDescent="0.2">
      <c r="AN103" s="486"/>
    </row>
    <row r="104" spans="40:40" x14ac:dyDescent="0.2">
      <c r="AN104" s="486"/>
    </row>
    <row r="105" spans="40:40" x14ac:dyDescent="0.2">
      <c r="AN105" s="486"/>
    </row>
    <row r="106" spans="40:40" x14ac:dyDescent="0.2">
      <c r="AN106" s="486"/>
    </row>
    <row r="107" spans="40:40" x14ac:dyDescent="0.2">
      <c r="AN107" s="486"/>
    </row>
    <row r="108" spans="40:40" x14ac:dyDescent="0.2">
      <c r="AN108" s="486"/>
    </row>
    <row r="109" spans="40:40" x14ac:dyDescent="0.2">
      <c r="AN109" s="486"/>
    </row>
    <row r="110" spans="40:40" x14ac:dyDescent="0.2">
      <c r="AN110" s="486"/>
    </row>
    <row r="111" spans="40:40" x14ac:dyDescent="0.2">
      <c r="AN111" s="486"/>
    </row>
    <row r="112" spans="40:40" x14ac:dyDescent="0.2">
      <c r="AN112" s="486"/>
    </row>
    <row r="113" spans="40:40" x14ac:dyDescent="0.2">
      <c r="AN113" s="486"/>
    </row>
    <row r="114" spans="40:40" x14ac:dyDescent="0.2">
      <c r="AN114" s="486"/>
    </row>
    <row r="115" spans="40:40" x14ac:dyDescent="0.2">
      <c r="AN115" s="486"/>
    </row>
    <row r="116" spans="40:40" x14ac:dyDescent="0.2">
      <c r="AN116" s="486"/>
    </row>
    <row r="117" spans="40:40" x14ac:dyDescent="0.2">
      <c r="AN117" s="486"/>
    </row>
    <row r="118" spans="40:40" x14ac:dyDescent="0.2">
      <c r="AN118" s="486"/>
    </row>
    <row r="119" spans="40:40" x14ac:dyDescent="0.2">
      <c r="AN119" s="486"/>
    </row>
    <row r="120" spans="40:40" x14ac:dyDescent="0.2">
      <c r="AN120" s="486"/>
    </row>
    <row r="121" spans="40:40" x14ac:dyDescent="0.2">
      <c r="AN121" s="486"/>
    </row>
    <row r="122" spans="40:40" x14ac:dyDescent="0.2">
      <c r="AN122" s="486"/>
    </row>
    <row r="123" spans="40:40" x14ac:dyDescent="0.2">
      <c r="AN123" s="486"/>
    </row>
    <row r="124" spans="40:40" x14ac:dyDescent="0.2">
      <c r="AN124" s="486"/>
    </row>
    <row r="125" spans="40:40" x14ac:dyDescent="0.2">
      <c r="AN125" s="486"/>
    </row>
    <row r="126" spans="40:40" x14ac:dyDescent="0.2">
      <c r="AN126" s="486"/>
    </row>
    <row r="127" spans="40:40" x14ac:dyDescent="0.2">
      <c r="AN127" s="486"/>
    </row>
    <row r="128" spans="40:40" x14ac:dyDescent="0.2">
      <c r="AN128" s="486"/>
    </row>
    <row r="129" spans="40:40" x14ac:dyDescent="0.2">
      <c r="AN129" s="486"/>
    </row>
    <row r="130" spans="40:40" x14ac:dyDescent="0.2">
      <c r="AN130" s="486"/>
    </row>
    <row r="131" spans="40:40" x14ac:dyDescent="0.2">
      <c r="AN131" s="486"/>
    </row>
    <row r="132" spans="40:40" x14ac:dyDescent="0.2">
      <c r="AN132" s="486"/>
    </row>
    <row r="133" spans="40:40" x14ac:dyDescent="0.2">
      <c r="AN133" s="486"/>
    </row>
    <row r="134" spans="40:40" x14ac:dyDescent="0.2">
      <c r="AN134" s="486"/>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1DBC-4733-4D3D-9BA3-565F76B0EDC0}">
  <sheetPr codeName="Sheet40"/>
  <dimension ref="A4:AN75"/>
  <sheetViews>
    <sheetView topLeftCell="A5" workbookViewId="0">
      <selection activeCell="A22" sqref="A22:XFD102"/>
    </sheetView>
  </sheetViews>
  <sheetFormatPr baseColWidth="10" defaultColWidth="9.1640625" defaultRowHeight="15" x14ac:dyDescent="0.2"/>
  <cols>
    <col min="1" max="1" width="15.33203125" style="481" bestFit="1" customWidth="1"/>
    <col min="2" max="2" width="14.5" style="481" bestFit="1" customWidth="1"/>
    <col min="3" max="3" width="12.6640625" style="481" bestFit="1" customWidth="1"/>
    <col min="4" max="4" width="19.1640625" style="481" bestFit="1" customWidth="1"/>
    <col min="5" max="5" width="19.5" style="481" bestFit="1" customWidth="1"/>
    <col min="6" max="6" width="28.5" style="481" bestFit="1" customWidth="1"/>
    <col min="7" max="7" width="21.1640625" style="481" bestFit="1" customWidth="1"/>
    <col min="8" max="8" width="20.33203125" style="481" bestFit="1" customWidth="1"/>
    <col min="9" max="17" width="8.33203125" style="481" bestFit="1" customWidth="1"/>
    <col min="18" max="41" width="9.33203125" style="481" bestFit="1" customWidth="1"/>
    <col min="42" max="50" width="8.33203125" style="481" bestFit="1" customWidth="1"/>
    <col min="51" max="66" width="9.33203125" style="481" bestFit="1" customWidth="1"/>
    <col min="67" max="75" width="8.33203125" style="481" bestFit="1" customWidth="1"/>
    <col min="76" max="143" width="9.33203125" style="481" bestFit="1" customWidth="1"/>
    <col min="144" max="144" width="20.83203125" style="481" bestFit="1" customWidth="1"/>
    <col min="145" max="145" width="39.6640625" style="481" bestFit="1" customWidth="1"/>
    <col min="146" max="146" width="11.5" style="481" bestFit="1" customWidth="1"/>
    <col min="147" max="147" width="16.6640625" style="481" bestFit="1" customWidth="1"/>
    <col min="148" max="16384" width="9.1640625" style="481"/>
  </cols>
  <sheetData>
    <row r="4" spans="1:5" x14ac:dyDescent="0.2">
      <c r="A4" s="481" t="s">
        <v>6472</v>
      </c>
    </row>
    <row r="5" spans="1:5" x14ac:dyDescent="0.2">
      <c r="A5" s="481" t="s">
        <v>6473</v>
      </c>
      <c r="B5" s="481" t="s">
        <v>6474</v>
      </c>
    </row>
    <row r="6" spans="1:5" x14ac:dyDescent="0.2">
      <c r="A6" s="481" t="s">
        <v>275</v>
      </c>
      <c r="B6" s="482" t="str">
        <f>'Query-CAMTOOL'!B6</f>
        <v>SFRAUS00040**C</v>
      </c>
      <c r="D6" s="481" t="s">
        <v>6475</v>
      </c>
      <c r="E6" s="483" t="s">
        <v>6434</v>
      </c>
    </row>
    <row r="7" spans="1:5" x14ac:dyDescent="0.2">
      <c r="A7" s="481" t="s">
        <v>6476</v>
      </c>
      <c r="B7" s="482">
        <f>'Query-CAMTOOL'!B7</f>
        <v>5</v>
      </c>
      <c r="D7" s="481" t="s">
        <v>6432</v>
      </c>
      <c r="E7" s="481" t="s">
        <v>6477</v>
      </c>
    </row>
    <row r="8" spans="1:5" x14ac:dyDescent="0.2">
      <c r="A8" s="481" t="s">
        <v>6478</v>
      </c>
      <c r="B8" s="482">
        <f>'Query-CAMTOOL'!B8</f>
        <v>10</v>
      </c>
      <c r="D8" s="481" t="s">
        <v>262</v>
      </c>
      <c r="E8" s="481" t="s">
        <v>6479</v>
      </c>
    </row>
    <row r="9" spans="1:5" x14ac:dyDescent="0.2">
      <c r="A9" s="481" t="s">
        <v>6480</v>
      </c>
      <c r="B9" s="482">
        <f>'Query-CAMTOOL'!B9</f>
        <v>2015</v>
      </c>
      <c r="D9" s="481" t="s">
        <v>6434</v>
      </c>
      <c r="E9" s="481" t="str">
        <f>E7 &amp; E8</f>
        <v xml:space="preserve"> AND CRASH_TYPE_CD NOT IN (9)  AND ODPS_WORK_ZONE_IND = 'N' </v>
      </c>
    </row>
    <row r="10" spans="1:5" x14ac:dyDescent="0.2">
      <c r="A10" s="481" t="s">
        <v>6481</v>
      </c>
      <c r="B10" s="482">
        <f>'Query-CAMTOOL'!B10</f>
        <v>2019</v>
      </c>
    </row>
    <row r="11" spans="1:5" x14ac:dyDescent="0.2">
      <c r="A11" s="481" t="s">
        <v>6482</v>
      </c>
      <c r="B11" s="482" t="str">
        <f>'Query-CAMTOOL'!B11</f>
        <v>A</v>
      </c>
    </row>
    <row r="12" spans="1:5" x14ac:dyDescent="0.2">
      <c r="A12" s="481" t="s">
        <v>6483</v>
      </c>
      <c r="B12" s="482" t="str">
        <f>'Query-CAMTOOL'!B12</f>
        <v xml:space="preserve"> AND CRASH_TYPE_CD NOT IN (9) </v>
      </c>
    </row>
    <row r="20" spans="1:40" x14ac:dyDescent="0.2">
      <c r="A20" s="481" t="s">
        <v>254</v>
      </c>
      <c r="B20" s="481" t="s">
        <v>6476</v>
      </c>
      <c r="C20" s="481" t="s">
        <v>6478</v>
      </c>
      <c r="D20" s="481" t="s">
        <v>6539</v>
      </c>
      <c r="E20" s="481" t="s">
        <v>6540</v>
      </c>
      <c r="F20" s="481" t="s">
        <v>6541</v>
      </c>
      <c r="G20" s="481" t="s">
        <v>326</v>
      </c>
      <c r="H20" s="481" t="s">
        <v>6542</v>
      </c>
    </row>
    <row r="21" spans="1:40" x14ac:dyDescent="0.2">
      <c r="A21" s="481" t="s">
        <v>6435</v>
      </c>
      <c r="B21" s="481">
        <v>0</v>
      </c>
      <c r="C21" s="481">
        <v>0.46</v>
      </c>
      <c r="D21" s="481">
        <v>9616</v>
      </c>
      <c r="E21" s="481">
        <v>191</v>
      </c>
      <c r="F21" s="481">
        <v>0.13</v>
      </c>
      <c r="G21" s="481" t="s">
        <v>6511</v>
      </c>
      <c r="H21" s="481">
        <v>0.46</v>
      </c>
    </row>
    <row r="22" spans="1:40" x14ac:dyDescent="0.2">
      <c r="AN22" s="486"/>
    </row>
    <row r="23" spans="1:40" x14ac:dyDescent="0.2">
      <c r="AN23" s="486"/>
    </row>
    <row r="24" spans="1:40" x14ac:dyDescent="0.2">
      <c r="AN24" s="486"/>
    </row>
    <row r="25" spans="1:40" x14ac:dyDescent="0.2">
      <c r="AN25" s="486"/>
    </row>
    <row r="26" spans="1:40" x14ac:dyDescent="0.2">
      <c r="AN26" s="486"/>
    </row>
    <row r="27" spans="1:40" x14ac:dyDescent="0.2">
      <c r="AN27" s="486"/>
    </row>
    <row r="28" spans="1:40" x14ac:dyDescent="0.2">
      <c r="AN28" s="486"/>
    </row>
    <row r="29" spans="1:40" x14ac:dyDescent="0.2">
      <c r="AN29" s="486"/>
    </row>
    <row r="30" spans="1:40" x14ac:dyDescent="0.2">
      <c r="AN30" s="486"/>
    </row>
    <row r="31" spans="1:40" x14ac:dyDescent="0.2">
      <c r="AN31" s="486"/>
    </row>
    <row r="32" spans="1:40" x14ac:dyDescent="0.2">
      <c r="AN32" s="486"/>
    </row>
    <row r="33" spans="40:40" x14ac:dyDescent="0.2">
      <c r="AN33" s="486"/>
    </row>
    <row r="34" spans="40:40" x14ac:dyDescent="0.2">
      <c r="AN34" s="486"/>
    </row>
    <row r="35" spans="40:40" x14ac:dyDescent="0.2">
      <c r="AN35" s="486"/>
    </row>
    <row r="36" spans="40:40" x14ac:dyDescent="0.2">
      <c r="AN36" s="486"/>
    </row>
    <row r="37" spans="40:40" x14ac:dyDescent="0.2">
      <c r="AN37" s="486"/>
    </row>
    <row r="38" spans="40:40" x14ac:dyDescent="0.2">
      <c r="AN38" s="486"/>
    </row>
    <row r="39" spans="40:40" x14ac:dyDescent="0.2">
      <c r="AN39" s="486"/>
    </row>
    <row r="40" spans="40:40" x14ac:dyDescent="0.2">
      <c r="AN40" s="486"/>
    </row>
    <row r="41" spans="40:40" x14ac:dyDescent="0.2">
      <c r="AN41" s="486"/>
    </row>
    <row r="42" spans="40:40" x14ac:dyDescent="0.2">
      <c r="AN42" s="486"/>
    </row>
    <row r="43" spans="40:40" x14ac:dyDescent="0.2">
      <c r="AN43" s="486"/>
    </row>
    <row r="44" spans="40:40" x14ac:dyDescent="0.2">
      <c r="AN44" s="486"/>
    </row>
    <row r="45" spans="40:40" x14ac:dyDescent="0.2">
      <c r="AN45" s="486"/>
    </row>
    <row r="46" spans="40:40" x14ac:dyDescent="0.2">
      <c r="AN46" s="486"/>
    </row>
    <row r="47" spans="40:40" x14ac:dyDescent="0.2">
      <c r="AN47" s="486"/>
    </row>
    <row r="48" spans="40:40" x14ac:dyDescent="0.2">
      <c r="AN48" s="486"/>
    </row>
    <row r="49" spans="40:40" x14ac:dyDescent="0.2">
      <c r="AN49" s="486"/>
    </row>
    <row r="50" spans="40:40" x14ac:dyDescent="0.2">
      <c r="AN50" s="486"/>
    </row>
    <row r="51" spans="40:40" x14ac:dyDescent="0.2">
      <c r="AN51" s="486"/>
    </row>
    <row r="52" spans="40:40" x14ac:dyDescent="0.2">
      <c r="AN52" s="486"/>
    </row>
    <row r="53" spans="40:40" x14ac:dyDescent="0.2">
      <c r="AN53" s="486"/>
    </row>
    <row r="54" spans="40:40" x14ac:dyDescent="0.2">
      <c r="AN54" s="486"/>
    </row>
    <row r="55" spans="40:40" x14ac:dyDescent="0.2">
      <c r="AN55" s="486"/>
    </row>
    <row r="56" spans="40:40" x14ac:dyDescent="0.2">
      <c r="AN56" s="486"/>
    </row>
    <row r="57" spans="40:40" x14ac:dyDescent="0.2">
      <c r="AN57" s="486"/>
    </row>
    <row r="58" spans="40:40" x14ac:dyDescent="0.2">
      <c r="AN58" s="486"/>
    </row>
    <row r="59" spans="40:40" x14ac:dyDescent="0.2">
      <c r="AN59" s="486"/>
    </row>
    <row r="60" spans="40:40" x14ac:dyDescent="0.2">
      <c r="AN60" s="486"/>
    </row>
    <row r="61" spans="40:40" x14ac:dyDescent="0.2">
      <c r="AN61" s="486"/>
    </row>
    <row r="62" spans="40:40" x14ac:dyDescent="0.2">
      <c r="AN62" s="486"/>
    </row>
    <row r="63" spans="40:40" x14ac:dyDescent="0.2">
      <c r="AN63" s="486"/>
    </row>
    <row r="64" spans="40:40" x14ac:dyDescent="0.2">
      <c r="AN64" s="486"/>
    </row>
    <row r="65" spans="40:40" x14ac:dyDescent="0.2">
      <c r="AN65" s="486"/>
    </row>
    <row r="66" spans="40:40" x14ac:dyDescent="0.2">
      <c r="AN66" s="486"/>
    </row>
    <row r="67" spans="40:40" x14ac:dyDescent="0.2">
      <c r="AN67" s="486"/>
    </row>
    <row r="68" spans="40:40" x14ac:dyDescent="0.2">
      <c r="AN68" s="486"/>
    </row>
    <row r="69" spans="40:40" x14ac:dyDescent="0.2">
      <c r="AN69" s="486"/>
    </row>
    <row r="70" spans="40:40" x14ac:dyDescent="0.2">
      <c r="AN70" s="486"/>
    </row>
    <row r="71" spans="40:40" x14ac:dyDescent="0.2">
      <c r="AN71" s="486"/>
    </row>
    <row r="72" spans="40:40" x14ac:dyDescent="0.2">
      <c r="AN72" s="486"/>
    </row>
    <row r="73" spans="40:40" x14ac:dyDescent="0.2">
      <c r="AN73" s="486"/>
    </row>
    <row r="74" spans="40:40" x14ac:dyDescent="0.2">
      <c r="AN74" s="486"/>
    </row>
    <row r="75" spans="40:40" x14ac:dyDescent="0.2">
      <c r="AN75" s="486"/>
    </row>
  </sheetData>
  <pageMargins left="0.7" right="0.7" top="0.75" bottom="0.75" header="0.3" footer="0.3"/>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1FA47-81BB-4901-912A-60211A79BE05}">
  <sheetPr codeName="Sheet39"/>
  <dimension ref="A4:AN125"/>
  <sheetViews>
    <sheetView topLeftCell="A19" workbookViewId="0">
      <selection activeCell="A22" sqref="A22:XFD52"/>
    </sheetView>
  </sheetViews>
  <sheetFormatPr baseColWidth="10" defaultColWidth="9.1640625" defaultRowHeight="15" x14ac:dyDescent="0.2"/>
  <cols>
    <col min="1" max="1" width="15.33203125" style="481" bestFit="1" customWidth="1"/>
    <col min="2" max="2" width="28.5" style="481" bestFit="1" customWidth="1"/>
    <col min="3" max="3" width="26.83203125" style="481" bestFit="1" customWidth="1"/>
    <col min="4" max="4" width="21.5" style="481" bestFit="1" customWidth="1"/>
    <col min="5" max="5" width="8.5" style="481" bestFit="1" customWidth="1"/>
    <col min="6" max="6" width="18.6640625" style="481" bestFit="1" customWidth="1"/>
    <col min="7" max="7" width="24.1640625" style="481" bestFit="1" customWidth="1"/>
    <col min="8" max="8" width="22.83203125" style="481" bestFit="1" customWidth="1"/>
    <col min="9" max="9" width="14.1640625" style="481" bestFit="1" customWidth="1"/>
    <col min="10" max="10" width="18.83203125" style="481" bestFit="1" customWidth="1"/>
    <col min="11" max="11" width="19.5" style="481" bestFit="1" customWidth="1"/>
    <col min="12" max="20" width="7.5" style="481" bestFit="1" customWidth="1"/>
    <col min="21" max="28" width="8.5" style="481" bestFit="1" customWidth="1"/>
    <col min="29" max="41" width="9.33203125" style="481" bestFit="1" customWidth="1"/>
    <col min="42" max="50" width="8.33203125" style="481" bestFit="1" customWidth="1"/>
    <col min="51" max="66" width="9.33203125" style="481" bestFit="1" customWidth="1"/>
    <col min="67" max="75" width="8.33203125" style="481" bestFit="1" customWidth="1"/>
    <col min="76" max="143" width="9.33203125" style="481" bestFit="1" customWidth="1"/>
    <col min="144" max="144" width="20.83203125" style="481" bestFit="1" customWidth="1"/>
    <col min="145" max="145" width="39.6640625" style="481" bestFit="1" customWidth="1"/>
    <col min="146" max="146" width="11.5" style="481" bestFit="1" customWidth="1"/>
    <col min="147" max="147" width="16.6640625" style="481" bestFit="1" customWidth="1"/>
    <col min="148" max="16384" width="9.1640625" style="481"/>
  </cols>
  <sheetData>
    <row r="4" spans="1:5" x14ac:dyDescent="0.2">
      <c r="A4" s="481" t="s">
        <v>6472</v>
      </c>
    </row>
    <row r="5" spans="1:5" x14ac:dyDescent="0.2">
      <c r="A5" s="481" t="s">
        <v>6473</v>
      </c>
      <c r="B5" s="481" t="s">
        <v>6474</v>
      </c>
    </row>
    <row r="6" spans="1:5" x14ac:dyDescent="0.2">
      <c r="A6" s="481" t="s">
        <v>275</v>
      </c>
      <c r="B6" s="482" t="str">
        <f>'Query-CAMTOOL'!B6</f>
        <v>SFRAUS00040**C</v>
      </c>
      <c r="D6" s="481" t="s">
        <v>6475</v>
      </c>
      <c r="E6" s="483" t="s">
        <v>6434</v>
      </c>
    </row>
    <row r="7" spans="1:5" x14ac:dyDescent="0.2">
      <c r="A7" s="481" t="s">
        <v>6476</v>
      </c>
      <c r="B7" s="482">
        <f>'Query-CAMTOOL'!B7</f>
        <v>5</v>
      </c>
      <c r="D7" s="481" t="s">
        <v>6432</v>
      </c>
      <c r="E7" s="481" t="s">
        <v>6477</v>
      </c>
    </row>
    <row r="8" spans="1:5" x14ac:dyDescent="0.2">
      <c r="A8" s="481" t="s">
        <v>6478</v>
      </c>
      <c r="B8" s="482">
        <f>'Query-CAMTOOL'!B8</f>
        <v>10</v>
      </c>
      <c r="D8" s="481" t="s">
        <v>262</v>
      </c>
      <c r="E8" s="481" t="s">
        <v>6479</v>
      </c>
    </row>
    <row r="9" spans="1:5" x14ac:dyDescent="0.2">
      <c r="A9" s="481" t="s">
        <v>6480</v>
      </c>
      <c r="B9" s="482">
        <f>'Query-CAMTOOL'!B9</f>
        <v>2015</v>
      </c>
      <c r="D9" s="481" t="s">
        <v>6434</v>
      </c>
      <c r="E9" s="481" t="str">
        <f>E7 &amp; E8</f>
        <v xml:space="preserve"> AND CRASH_TYPE_CD NOT IN (9)  AND ODPS_WORK_ZONE_IND = 'N' </v>
      </c>
    </row>
    <row r="10" spans="1:5" x14ac:dyDescent="0.2">
      <c r="A10" s="481" t="s">
        <v>6481</v>
      </c>
      <c r="B10" s="482">
        <f>'Query-CAMTOOL'!B10</f>
        <v>2019</v>
      </c>
    </row>
    <row r="11" spans="1:5" x14ac:dyDescent="0.2">
      <c r="A11" s="481" t="s">
        <v>6482</v>
      </c>
      <c r="B11" s="482" t="str">
        <f>'Query-CAMTOOL'!B11</f>
        <v>A</v>
      </c>
    </row>
    <row r="12" spans="1:5" x14ac:dyDescent="0.2">
      <c r="A12" s="481" t="s">
        <v>6483</v>
      </c>
      <c r="B12" s="482" t="str">
        <f>'Query-CAMTOOL'!B12</f>
        <v xml:space="preserve"> AND CRASH_TYPE_CD NOT IN (9) </v>
      </c>
    </row>
    <row r="20" spans="1:28" x14ac:dyDescent="0.2">
      <c r="A20" s="481" t="s">
        <v>254</v>
      </c>
      <c r="B20" s="481" t="s">
        <v>622</v>
      </c>
      <c r="C20" s="481" t="s">
        <v>623</v>
      </c>
      <c r="D20" s="481" t="s">
        <v>624</v>
      </c>
      <c r="E20" s="481" t="s">
        <v>697</v>
      </c>
      <c r="F20" s="481" t="s">
        <v>698</v>
      </c>
      <c r="G20" s="481" t="s">
        <v>699</v>
      </c>
      <c r="H20" s="481" t="s">
        <v>700</v>
      </c>
      <c r="I20" s="481" t="s">
        <v>701</v>
      </c>
      <c r="J20" s="481" t="s">
        <v>702</v>
      </c>
      <c r="K20" s="481" t="s">
        <v>703</v>
      </c>
      <c r="L20" s="481" t="s">
        <v>704</v>
      </c>
      <c r="M20" s="481" t="s">
        <v>705</v>
      </c>
      <c r="N20" s="481" t="s">
        <v>706</v>
      </c>
      <c r="O20" s="481" t="s">
        <v>707</v>
      </c>
      <c r="P20" s="481" t="s">
        <v>708</v>
      </c>
      <c r="Q20" s="481" t="s">
        <v>709</v>
      </c>
      <c r="R20" s="481" t="s">
        <v>710</v>
      </c>
      <c r="S20" s="481" t="s">
        <v>711</v>
      </c>
      <c r="T20" s="481" t="s">
        <v>712</v>
      </c>
      <c r="U20" s="481" t="s">
        <v>713</v>
      </c>
      <c r="V20" s="481" t="s">
        <v>714</v>
      </c>
      <c r="W20" s="481" t="s">
        <v>715</v>
      </c>
      <c r="X20" s="481" t="s">
        <v>716</v>
      </c>
      <c r="Y20" s="481" t="s">
        <v>717</v>
      </c>
      <c r="Z20" s="481" t="s">
        <v>718</v>
      </c>
      <c r="AA20" s="481" t="s">
        <v>719</v>
      </c>
      <c r="AB20" s="481" t="s">
        <v>720</v>
      </c>
    </row>
    <row r="21" spans="1:28" x14ac:dyDescent="0.2">
      <c r="A21" s="481" t="s">
        <v>6435</v>
      </c>
      <c r="B21" s="481">
        <v>0</v>
      </c>
      <c r="C21" s="481">
        <v>0.46</v>
      </c>
      <c r="D21" s="481">
        <v>0.46</v>
      </c>
      <c r="E21" s="481">
        <v>77</v>
      </c>
      <c r="F21" s="481">
        <v>22.8</v>
      </c>
      <c r="G21" s="481">
        <v>3.7</v>
      </c>
      <c r="H21" s="481" t="s">
        <v>6543</v>
      </c>
      <c r="I21" s="481" t="s">
        <v>6544</v>
      </c>
      <c r="J21" s="481" t="s">
        <v>548</v>
      </c>
      <c r="K21" s="481" t="s">
        <v>6545</v>
      </c>
      <c r="L21" s="481" t="s">
        <v>6546</v>
      </c>
      <c r="P21" s="481" t="s">
        <v>6547</v>
      </c>
      <c r="U21" s="481" t="s">
        <v>6548</v>
      </c>
      <c r="V21" s="481" t="s">
        <v>6547</v>
      </c>
      <c r="W21" s="481" t="s">
        <v>6548</v>
      </c>
      <c r="X21" s="481" t="s">
        <v>6549</v>
      </c>
      <c r="Y21" s="481" t="s">
        <v>6550</v>
      </c>
    </row>
    <row r="40" spans="40:40" x14ac:dyDescent="0.2">
      <c r="AN40" s="486"/>
    </row>
    <row r="41" spans="40:40" x14ac:dyDescent="0.2">
      <c r="AN41" s="486"/>
    </row>
    <row r="42" spans="40:40" x14ac:dyDescent="0.2">
      <c r="AN42" s="486"/>
    </row>
    <row r="43" spans="40:40" x14ac:dyDescent="0.2">
      <c r="AN43" s="486"/>
    </row>
    <row r="44" spans="40:40" x14ac:dyDescent="0.2">
      <c r="AN44" s="486"/>
    </row>
    <row r="45" spans="40:40" x14ac:dyDescent="0.2">
      <c r="AN45" s="486"/>
    </row>
    <row r="46" spans="40:40" x14ac:dyDescent="0.2">
      <c r="AN46" s="486"/>
    </row>
    <row r="47" spans="40:40" x14ac:dyDescent="0.2">
      <c r="AN47" s="486"/>
    </row>
    <row r="48" spans="40:40" x14ac:dyDescent="0.2">
      <c r="AN48" s="486"/>
    </row>
    <row r="49" spans="40:40" x14ac:dyDescent="0.2">
      <c r="AN49" s="486"/>
    </row>
    <row r="50" spans="40:40" x14ac:dyDescent="0.2">
      <c r="AN50" s="486"/>
    </row>
    <row r="51" spans="40:40" x14ac:dyDescent="0.2">
      <c r="AN51" s="486"/>
    </row>
    <row r="52" spans="40:40" x14ac:dyDescent="0.2">
      <c r="AN52" s="486"/>
    </row>
    <row r="53" spans="40:40" x14ac:dyDescent="0.2">
      <c r="AN53" s="486"/>
    </row>
    <row r="54" spans="40:40" x14ac:dyDescent="0.2">
      <c r="AN54" s="486"/>
    </row>
    <row r="55" spans="40:40" x14ac:dyDescent="0.2">
      <c r="AN55" s="486"/>
    </row>
    <row r="56" spans="40:40" x14ac:dyDescent="0.2">
      <c r="AN56" s="486"/>
    </row>
    <row r="57" spans="40:40" x14ac:dyDescent="0.2">
      <c r="AN57" s="486"/>
    </row>
    <row r="58" spans="40:40" x14ac:dyDescent="0.2">
      <c r="AN58" s="486"/>
    </row>
    <row r="59" spans="40:40" x14ac:dyDescent="0.2">
      <c r="AN59" s="486"/>
    </row>
    <row r="60" spans="40:40" x14ac:dyDescent="0.2">
      <c r="AN60" s="486"/>
    </row>
    <row r="61" spans="40:40" x14ac:dyDescent="0.2">
      <c r="AN61" s="486"/>
    </row>
    <row r="62" spans="40:40" x14ac:dyDescent="0.2">
      <c r="AN62" s="486"/>
    </row>
    <row r="63" spans="40:40" x14ac:dyDescent="0.2">
      <c r="AN63" s="486"/>
    </row>
    <row r="64" spans="40:40" x14ac:dyDescent="0.2">
      <c r="AN64" s="486"/>
    </row>
    <row r="65" spans="40:40" x14ac:dyDescent="0.2">
      <c r="AN65" s="486"/>
    </row>
    <row r="66" spans="40:40" x14ac:dyDescent="0.2">
      <c r="AN66" s="486"/>
    </row>
    <row r="67" spans="40:40" x14ac:dyDescent="0.2">
      <c r="AN67" s="486"/>
    </row>
    <row r="68" spans="40:40" x14ac:dyDescent="0.2">
      <c r="AN68" s="486"/>
    </row>
    <row r="69" spans="40:40" x14ac:dyDescent="0.2">
      <c r="AN69" s="486"/>
    </row>
    <row r="70" spans="40:40" x14ac:dyDescent="0.2">
      <c r="AN70" s="486"/>
    </row>
    <row r="71" spans="40:40" x14ac:dyDescent="0.2">
      <c r="AN71" s="486"/>
    </row>
    <row r="72" spans="40:40" x14ac:dyDescent="0.2">
      <c r="AN72" s="486"/>
    </row>
    <row r="73" spans="40:40" x14ac:dyDescent="0.2">
      <c r="AN73" s="486"/>
    </row>
    <row r="74" spans="40:40" x14ac:dyDescent="0.2">
      <c r="AN74" s="486"/>
    </row>
    <row r="75" spans="40:40" x14ac:dyDescent="0.2">
      <c r="AN75" s="486"/>
    </row>
    <row r="76" spans="40:40" x14ac:dyDescent="0.2">
      <c r="AN76" s="486"/>
    </row>
    <row r="77" spans="40:40" x14ac:dyDescent="0.2">
      <c r="AN77" s="486"/>
    </row>
    <row r="78" spans="40:40" x14ac:dyDescent="0.2">
      <c r="AN78" s="486"/>
    </row>
    <row r="79" spans="40:40" x14ac:dyDescent="0.2">
      <c r="AN79" s="486"/>
    </row>
    <row r="80" spans="40:40" x14ac:dyDescent="0.2">
      <c r="AN80" s="486"/>
    </row>
    <row r="81" spans="40:40" x14ac:dyDescent="0.2">
      <c r="AN81" s="486"/>
    </row>
    <row r="82" spans="40:40" x14ac:dyDescent="0.2">
      <c r="AN82" s="486"/>
    </row>
    <row r="83" spans="40:40" x14ac:dyDescent="0.2">
      <c r="AN83" s="486"/>
    </row>
    <row r="84" spans="40:40" x14ac:dyDescent="0.2">
      <c r="AN84" s="486"/>
    </row>
    <row r="85" spans="40:40" x14ac:dyDescent="0.2">
      <c r="AN85" s="486"/>
    </row>
    <row r="86" spans="40:40" x14ac:dyDescent="0.2">
      <c r="AN86" s="486"/>
    </row>
    <row r="87" spans="40:40" x14ac:dyDescent="0.2">
      <c r="AN87" s="486"/>
    </row>
    <row r="88" spans="40:40" x14ac:dyDescent="0.2">
      <c r="AN88" s="486"/>
    </row>
    <row r="89" spans="40:40" x14ac:dyDescent="0.2">
      <c r="AN89" s="486"/>
    </row>
    <row r="90" spans="40:40" x14ac:dyDescent="0.2">
      <c r="AN90" s="486"/>
    </row>
    <row r="91" spans="40:40" x14ac:dyDescent="0.2">
      <c r="AN91" s="486"/>
    </row>
    <row r="92" spans="40:40" x14ac:dyDescent="0.2">
      <c r="AN92" s="486"/>
    </row>
    <row r="93" spans="40:40" x14ac:dyDescent="0.2">
      <c r="AN93" s="486"/>
    </row>
    <row r="94" spans="40:40" x14ac:dyDescent="0.2">
      <c r="AN94" s="486"/>
    </row>
    <row r="95" spans="40:40" x14ac:dyDescent="0.2">
      <c r="AN95" s="486"/>
    </row>
    <row r="96" spans="40:40" x14ac:dyDescent="0.2">
      <c r="AN96" s="486"/>
    </row>
    <row r="97" spans="40:40" x14ac:dyDescent="0.2">
      <c r="AN97" s="486"/>
    </row>
    <row r="98" spans="40:40" x14ac:dyDescent="0.2">
      <c r="AN98" s="486"/>
    </row>
    <row r="99" spans="40:40" x14ac:dyDescent="0.2">
      <c r="AN99" s="486"/>
    </row>
    <row r="100" spans="40:40" x14ac:dyDescent="0.2">
      <c r="AN100" s="486"/>
    </row>
    <row r="101" spans="40:40" x14ac:dyDescent="0.2">
      <c r="AN101" s="486"/>
    </row>
    <row r="102" spans="40:40" x14ac:dyDescent="0.2">
      <c r="AN102" s="486"/>
    </row>
    <row r="103" spans="40:40" x14ac:dyDescent="0.2">
      <c r="AN103" s="486"/>
    </row>
    <row r="104" spans="40:40" x14ac:dyDescent="0.2">
      <c r="AN104" s="486"/>
    </row>
    <row r="105" spans="40:40" x14ac:dyDescent="0.2">
      <c r="AN105" s="486"/>
    </row>
    <row r="106" spans="40:40" x14ac:dyDescent="0.2">
      <c r="AN106" s="486"/>
    </row>
    <row r="107" spans="40:40" x14ac:dyDescent="0.2">
      <c r="AN107" s="486"/>
    </row>
    <row r="108" spans="40:40" x14ac:dyDescent="0.2">
      <c r="AN108" s="486"/>
    </row>
    <row r="109" spans="40:40" x14ac:dyDescent="0.2">
      <c r="AN109" s="486"/>
    </row>
    <row r="110" spans="40:40" x14ac:dyDescent="0.2">
      <c r="AN110" s="486"/>
    </row>
    <row r="111" spans="40:40" x14ac:dyDescent="0.2">
      <c r="AN111" s="486"/>
    </row>
    <row r="112" spans="40:40" x14ac:dyDescent="0.2">
      <c r="AN112" s="486"/>
    </row>
    <row r="113" spans="40:40" x14ac:dyDescent="0.2">
      <c r="AN113" s="486"/>
    </row>
    <row r="114" spans="40:40" x14ac:dyDescent="0.2">
      <c r="AN114" s="486"/>
    </row>
    <row r="115" spans="40:40" x14ac:dyDescent="0.2">
      <c r="AN115" s="486"/>
    </row>
    <row r="116" spans="40:40" x14ac:dyDescent="0.2">
      <c r="AN116" s="486"/>
    </row>
    <row r="117" spans="40:40" x14ac:dyDescent="0.2">
      <c r="AN117" s="486"/>
    </row>
    <row r="118" spans="40:40" x14ac:dyDescent="0.2">
      <c r="AN118" s="486"/>
    </row>
    <row r="119" spans="40:40" x14ac:dyDescent="0.2">
      <c r="AN119" s="486"/>
    </row>
    <row r="120" spans="40:40" x14ac:dyDescent="0.2">
      <c r="AN120" s="486"/>
    </row>
    <row r="121" spans="40:40" x14ac:dyDescent="0.2">
      <c r="AN121" s="486"/>
    </row>
    <row r="122" spans="40:40" x14ac:dyDescent="0.2">
      <c r="AN122" s="486"/>
    </row>
    <row r="123" spans="40:40" x14ac:dyDescent="0.2">
      <c r="AN123" s="486"/>
    </row>
    <row r="124" spans="40:40" x14ac:dyDescent="0.2">
      <c r="AN124" s="486"/>
    </row>
    <row r="125" spans="40:40" x14ac:dyDescent="0.2">
      <c r="AN125" s="486"/>
    </row>
  </sheetData>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tabColor rgb="FF0F0FE7"/>
  </sheetPr>
  <dimension ref="A1:GS552"/>
  <sheetViews>
    <sheetView zoomScaleNormal="100" workbookViewId="0">
      <selection activeCell="B21" sqref="B21:C27"/>
    </sheetView>
  </sheetViews>
  <sheetFormatPr baseColWidth="10" defaultColWidth="9.1640625" defaultRowHeight="13" x14ac:dyDescent="0.15"/>
  <cols>
    <col min="1" max="1" width="12.5" customWidth="1"/>
    <col min="2" max="3" width="24.5" customWidth="1"/>
    <col min="4" max="4" width="20.6640625" customWidth="1"/>
    <col min="5" max="5" width="19.6640625" customWidth="1"/>
    <col min="6" max="6" width="20.33203125" customWidth="1"/>
    <col min="7" max="7" width="10.6640625" customWidth="1"/>
    <col min="8" max="8" width="10.5" customWidth="1"/>
    <col min="9" max="9" width="22" customWidth="1"/>
    <col min="10" max="10" width="18.6640625" customWidth="1"/>
    <col min="11" max="11" width="19.6640625" customWidth="1"/>
    <col min="12" max="12" width="14.83203125" customWidth="1"/>
    <col min="13" max="13" width="21.5" customWidth="1"/>
    <col min="14" max="14" width="24.5" customWidth="1"/>
    <col min="15" max="15" width="23.1640625" customWidth="1"/>
    <col min="16" max="16" width="32.6640625" customWidth="1"/>
    <col min="17" max="17" width="35.5" customWidth="1"/>
    <col min="18" max="18" width="24" customWidth="1"/>
    <col min="19" max="19" width="27.5" customWidth="1"/>
    <col min="20" max="20" width="38" customWidth="1"/>
    <col min="21" max="21" width="26.33203125" customWidth="1"/>
    <col min="22" max="22" width="26.83203125" customWidth="1"/>
    <col min="23" max="23" width="29.1640625" customWidth="1"/>
    <col min="24" max="24" width="22.5" customWidth="1"/>
    <col min="25" max="25" width="19.5" customWidth="1"/>
    <col min="26" max="26" width="14" customWidth="1"/>
    <col min="27" max="27" width="22.1640625" customWidth="1"/>
    <col min="28" max="28" width="29.83203125" customWidth="1"/>
    <col min="29" max="29" width="30.33203125" customWidth="1"/>
    <col min="30" max="30" width="29.1640625" customWidth="1"/>
    <col min="31" max="31" width="32" customWidth="1"/>
    <col min="32" max="32" width="23.5" customWidth="1"/>
    <col min="33" max="33" width="28.5" customWidth="1"/>
    <col min="34" max="34" width="27.6640625" customWidth="1"/>
    <col min="35" max="35" width="28.33203125" customWidth="1"/>
    <col min="36" max="36" width="14" customWidth="1"/>
    <col min="37" max="37" width="22.1640625" customWidth="1"/>
    <col min="38" max="38" width="22.5" customWidth="1"/>
    <col min="39" max="39" width="19.5" customWidth="1"/>
    <col min="40" max="40" width="30.33203125" customWidth="1"/>
    <col min="41" max="41" width="29.1640625" customWidth="1"/>
    <col min="42" max="42" width="37.1640625" customWidth="1"/>
    <col min="43" max="43" width="22" customWidth="1"/>
    <col min="44" max="44" width="60.5" customWidth="1"/>
    <col min="45" max="45" width="26.1640625" customWidth="1"/>
    <col min="46" max="46" width="17.5" customWidth="1"/>
    <col min="47" max="47" width="28.33203125" customWidth="1"/>
    <col min="48" max="48" width="26" customWidth="1"/>
    <col min="49" max="49" width="22.5" customWidth="1"/>
    <col min="50" max="50" width="26.5" customWidth="1"/>
    <col min="51" max="51" width="14" customWidth="1"/>
    <col min="52" max="52" width="12.1640625" customWidth="1"/>
    <col min="53" max="53" width="17.5" customWidth="1"/>
    <col min="54" max="54" width="19" customWidth="1"/>
    <col min="55" max="55" width="11" customWidth="1"/>
    <col min="56" max="56" width="12.5" customWidth="1"/>
    <col min="57" max="57" width="22.5" customWidth="1"/>
    <col min="58" max="58" width="20.1640625" customWidth="1"/>
    <col min="59" max="59" width="32.83203125" bestFit="1" customWidth="1"/>
    <col min="60" max="60" width="13.83203125" bestFit="1" customWidth="1"/>
    <col min="61" max="61" width="23.5" bestFit="1" customWidth="1"/>
    <col min="62" max="62" width="18.6640625" bestFit="1" customWidth="1"/>
    <col min="63" max="63" width="22" bestFit="1" customWidth="1"/>
    <col min="64" max="64" width="28.5" bestFit="1" customWidth="1"/>
    <col min="65" max="65" width="29.6640625" bestFit="1" customWidth="1"/>
    <col min="66" max="66" width="26.6640625" bestFit="1" customWidth="1"/>
    <col min="67" max="67" width="26" bestFit="1" customWidth="1"/>
    <col min="68" max="68" width="23.83203125" bestFit="1" customWidth="1"/>
    <col min="69" max="69" width="23.33203125" bestFit="1" customWidth="1"/>
    <col min="70" max="70" width="22.33203125" bestFit="1" customWidth="1"/>
    <col min="71" max="71" width="29.1640625" bestFit="1" customWidth="1"/>
    <col min="72" max="72" width="29.1640625" customWidth="1"/>
    <col min="73" max="73" width="27.83203125" bestFit="1" customWidth="1"/>
    <col min="74" max="96" width="8.6640625"/>
    <col min="97" max="97" width="8.6640625" bestFit="1" customWidth="1"/>
    <col min="98" max="98" width="12" bestFit="1" customWidth="1"/>
    <col min="100" max="100" width="9.83203125" bestFit="1" customWidth="1"/>
    <col min="101" max="105" width="4.5" customWidth="1"/>
    <col min="106" max="106" width="3.6640625" customWidth="1"/>
    <col min="107" max="108" width="7.5" bestFit="1" customWidth="1"/>
    <col min="109" max="109" width="8" bestFit="1" customWidth="1"/>
    <col min="110" max="110" width="5.5" bestFit="1" customWidth="1"/>
    <col min="111" max="111" width="5.33203125" bestFit="1" customWidth="1"/>
    <col min="112" max="112" width="4.5" bestFit="1" customWidth="1"/>
    <col min="113" max="113" width="4.83203125" customWidth="1"/>
    <col min="114" max="114" width="5.5" customWidth="1"/>
    <col min="115" max="115" width="4.83203125" bestFit="1" customWidth="1"/>
    <col min="116" max="116" width="8.5" customWidth="1"/>
    <col min="118" max="118" width="7" customWidth="1"/>
    <col min="122" max="122" width="6.33203125" bestFit="1" customWidth="1"/>
    <col min="123" max="123" width="8.1640625" bestFit="1" customWidth="1"/>
    <col min="124" max="124" width="4.83203125" bestFit="1" customWidth="1"/>
    <col min="125" max="125" width="10" bestFit="1" customWidth="1"/>
    <col min="126" max="126" width="5" bestFit="1" customWidth="1"/>
    <col min="127" max="127" width="5.33203125" bestFit="1" customWidth="1"/>
    <col min="133" max="133" width="8" bestFit="1" customWidth="1"/>
    <col min="134" max="134" width="10.5" bestFit="1" customWidth="1"/>
    <col min="135" max="135" width="12.5" bestFit="1" customWidth="1"/>
    <col min="136" max="136" width="6.1640625" bestFit="1" customWidth="1"/>
    <col min="137" max="137" width="10.33203125" customWidth="1"/>
    <col min="138" max="138" width="10" customWidth="1"/>
    <col min="139" max="139" width="15.83203125" customWidth="1"/>
    <col min="169" max="169" width="19.83203125" bestFit="1" customWidth="1"/>
    <col min="174" max="189" width="8" customWidth="1"/>
  </cols>
  <sheetData>
    <row r="1" spans="1:201" x14ac:dyDescent="0.15">
      <c r="H1" s="20"/>
      <c r="I1" s="20"/>
      <c r="J1" s="20"/>
      <c r="K1" s="20"/>
      <c r="L1" s="20"/>
      <c r="M1" s="20"/>
    </row>
    <row r="2" spans="1:201" x14ac:dyDescent="0.15">
      <c r="A2" s="200"/>
      <c r="H2" s="20"/>
      <c r="I2" s="20"/>
      <c r="J2" s="20"/>
      <c r="K2" s="20"/>
      <c r="L2" s="20"/>
      <c r="M2" s="20"/>
    </row>
    <row r="3" spans="1:201" ht="18" x14ac:dyDescent="0.2">
      <c r="A3" s="81" t="str">
        <f>E12&amp;"-"&amp;E13&amp;E14&amp;" - ("&amp;E15&amp;"-"&amp;E16&amp;")  "&amp;"From "&amp;E17&amp;" to "&amp;E18</f>
        <v xml:space="preserve">- - (-)  From  to </v>
      </c>
      <c r="H3" s="7"/>
      <c r="I3" s="7"/>
      <c r="J3" s="7"/>
      <c r="K3" s="16"/>
      <c r="L3" s="16"/>
      <c r="M3" s="17"/>
    </row>
    <row r="4" spans="1:201" ht="16" x14ac:dyDescent="0.2">
      <c r="H4" s="201"/>
      <c r="I4" s="202"/>
      <c r="J4" s="202"/>
      <c r="K4" s="232"/>
      <c r="L4" s="202"/>
      <c r="M4" s="15"/>
    </row>
    <row r="5" spans="1:201" ht="16" x14ac:dyDescent="0.2">
      <c r="H5" s="201"/>
      <c r="I5" s="202"/>
      <c r="J5" s="202"/>
      <c r="K5" s="232"/>
      <c r="L5" s="202"/>
      <c r="M5" s="7"/>
    </row>
    <row r="6" spans="1:201" ht="16" x14ac:dyDescent="0.2">
      <c r="H6" s="232"/>
      <c r="I6" s="202"/>
      <c r="J6" s="202"/>
      <c r="K6" s="232"/>
      <c r="L6" s="202"/>
      <c r="M6" s="7"/>
    </row>
    <row r="7" spans="1:201" ht="16" x14ac:dyDescent="0.2">
      <c r="H7" s="232"/>
      <c r="I7" s="202"/>
      <c r="J7" s="202"/>
      <c r="K7" s="232"/>
      <c r="L7" s="202"/>
      <c r="M7" s="7"/>
    </row>
    <row r="8" spans="1:201" ht="16" x14ac:dyDescent="0.2">
      <c r="H8" s="232"/>
      <c r="I8" s="202"/>
      <c r="J8" s="202"/>
      <c r="K8" s="232"/>
      <c r="L8" s="202"/>
      <c r="M8" s="7"/>
    </row>
    <row r="9" spans="1:201" ht="16" x14ac:dyDescent="0.2">
      <c r="H9" s="232"/>
      <c r="I9" s="202"/>
      <c r="J9" s="202"/>
      <c r="K9" s="232"/>
      <c r="L9" s="202"/>
      <c r="M9" s="7"/>
    </row>
    <row r="10" spans="1:201" ht="16" x14ac:dyDescent="0.2">
      <c r="A10" s="117"/>
      <c r="H10" s="232"/>
      <c r="I10" s="202"/>
      <c r="J10" s="202"/>
      <c r="K10" s="201"/>
      <c r="L10" s="202"/>
      <c r="M10" s="7"/>
    </row>
    <row r="11" spans="1:201" x14ac:dyDescent="0.15">
      <c r="B11" s="12"/>
      <c r="C11" s="12"/>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03"/>
      <c r="CI11" s="203"/>
      <c r="CJ11" s="203"/>
      <c r="CK11" s="203"/>
      <c r="CL11" s="203"/>
      <c r="CM11" s="203"/>
      <c r="CN11" s="203"/>
      <c r="CO11" s="203"/>
      <c r="CP11" s="203"/>
      <c r="CQ11" s="203"/>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row>
    <row r="12" spans="1:201" x14ac:dyDescent="0.15">
      <c r="B12" s="12"/>
      <c r="C12" s="12"/>
      <c r="D12" s="12"/>
      <c r="F12" s="8"/>
      <c r="G12" s="7"/>
      <c r="H12" s="7"/>
      <c r="I12" s="14"/>
      <c r="J12" s="14"/>
      <c r="K12" s="14"/>
      <c r="L12" s="14"/>
      <c r="M12" s="14"/>
      <c r="N12" s="7"/>
      <c r="O12" s="7"/>
      <c r="P12" s="7"/>
      <c r="Q12" s="7"/>
      <c r="R12" s="7"/>
      <c r="S12" s="12"/>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CT12" s="2"/>
      <c r="CU12" s="2"/>
      <c r="CV12" s="3"/>
      <c r="CW12" s="2"/>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row>
    <row r="13" spans="1:201" x14ac:dyDescent="0.15">
      <c r="B13" s="12"/>
      <c r="C13" s="12"/>
      <c r="D13" s="12"/>
      <c r="F13" s="8"/>
      <c r="G13" s="7"/>
      <c r="H13" s="7"/>
      <c r="I13" s="120"/>
      <c r="J13" s="14"/>
      <c r="K13" s="14"/>
      <c r="L13" s="14"/>
      <c r="M13" s="14"/>
      <c r="N13" s="7"/>
      <c r="O13" s="7"/>
      <c r="P13" s="7"/>
      <c r="Q13" s="7"/>
      <c r="R13" s="7"/>
      <c r="S13" s="12"/>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CT13" s="2"/>
      <c r="CU13" s="2"/>
      <c r="CV13" s="3"/>
      <c r="CW13" s="2"/>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1:201" x14ac:dyDescent="0.15">
      <c r="B14" s="12"/>
      <c r="C14" s="12"/>
      <c r="D14" s="12"/>
      <c r="F14" s="8"/>
      <c r="G14" s="7"/>
      <c r="H14" s="7"/>
      <c r="J14" s="7"/>
      <c r="K14" s="7"/>
      <c r="L14" s="7"/>
      <c r="M14" s="7"/>
      <c r="N14" s="7"/>
      <c r="O14" s="7"/>
      <c r="P14" s="7"/>
      <c r="Q14" s="7"/>
      <c r="R14" s="7"/>
      <c r="S14" s="12"/>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CT14" s="2"/>
      <c r="CU14" s="2"/>
      <c r="CV14" s="3"/>
      <c r="CW14" s="2"/>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1:201" x14ac:dyDescent="0.15">
      <c r="B15" s="12"/>
      <c r="C15" s="12"/>
      <c r="D15" s="12"/>
      <c r="E15" s="118"/>
      <c r="F15" s="8"/>
      <c r="G15" s="7"/>
      <c r="H15" s="7"/>
      <c r="I15" s="7"/>
      <c r="J15" s="7"/>
      <c r="K15" s="7"/>
      <c r="L15" s="7"/>
      <c r="M15" s="7"/>
      <c r="N15" s="7"/>
      <c r="O15" s="7"/>
      <c r="P15" s="7"/>
      <c r="Q15" s="7"/>
      <c r="R15" s="7"/>
      <c r="S15" s="12"/>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CT15" s="2"/>
      <c r="CU15" s="2"/>
      <c r="CV15" s="3"/>
      <c r="CW15" s="2"/>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M15" s="4"/>
    </row>
    <row r="16" spans="1:201" x14ac:dyDescent="0.15">
      <c r="B16" s="12"/>
      <c r="C16" s="12"/>
      <c r="D16" s="12"/>
      <c r="E16" s="118"/>
      <c r="F16" s="8"/>
      <c r="G16" s="7"/>
      <c r="H16" s="7"/>
      <c r="I16" s="7"/>
      <c r="J16" s="7"/>
      <c r="K16" s="7"/>
      <c r="L16" s="7"/>
      <c r="M16" s="7"/>
      <c r="N16" s="7"/>
      <c r="O16" s="7"/>
      <c r="P16" s="7"/>
      <c r="Q16" s="7"/>
      <c r="R16" s="7"/>
      <c r="S16" s="12"/>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CT16" s="2"/>
      <c r="CU16" s="2"/>
      <c r="CV16" s="3"/>
      <c r="CW16" s="2"/>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1:169" x14ac:dyDescent="0.15">
      <c r="B17" s="12"/>
      <c r="C17" s="12"/>
      <c r="D17" s="12"/>
      <c r="E17" s="118"/>
      <c r="F17" s="8"/>
      <c r="G17" s="7"/>
      <c r="H17" s="7"/>
      <c r="I17" s="7"/>
      <c r="J17" s="7"/>
      <c r="K17" s="7"/>
      <c r="L17" s="7"/>
      <c r="M17" s="7"/>
      <c r="N17" s="7"/>
      <c r="O17" s="7"/>
      <c r="P17" s="7"/>
      <c r="Q17" s="7"/>
      <c r="R17" s="7"/>
      <c r="S17" s="12"/>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CT17" s="2"/>
      <c r="CU17" s="2"/>
      <c r="CV17" s="3"/>
      <c r="CW17" s="2"/>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M17" s="4"/>
    </row>
    <row r="18" spans="1:169" x14ac:dyDescent="0.15">
      <c r="B18" s="12"/>
      <c r="C18" s="12"/>
      <c r="D18" s="12"/>
      <c r="E18" s="118"/>
      <c r="F18" s="8"/>
      <c r="G18" s="7"/>
      <c r="H18" s="7"/>
      <c r="I18" s="7"/>
      <c r="J18" s="7"/>
      <c r="K18" s="7"/>
      <c r="L18" s="7"/>
      <c r="M18" s="7"/>
      <c r="N18" s="7"/>
      <c r="O18" s="7"/>
      <c r="P18" s="7"/>
      <c r="Q18" s="7"/>
      <c r="R18" s="7"/>
      <c r="S18" s="12"/>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CT18" s="2"/>
      <c r="CU18" s="2"/>
      <c r="CV18" s="3"/>
      <c r="CW18" s="105"/>
      <c r="CX18" s="204"/>
      <c r="CY18" s="204"/>
      <c r="CZ18" s="204"/>
      <c r="DA18" s="204"/>
      <c r="DB18" s="204"/>
      <c r="DC18" s="204"/>
      <c r="DD18" s="204"/>
      <c r="DE18" s="204"/>
      <c r="DF18" s="204"/>
      <c r="DG18" s="204"/>
      <c r="DH18" s="204"/>
      <c r="DI18" s="3"/>
      <c r="DJ18" s="3"/>
      <c r="DK18" s="3"/>
      <c r="DL18" s="3"/>
      <c r="DM18" s="3"/>
      <c r="DN18" s="3"/>
      <c r="DO18" s="3"/>
      <c r="DP18" s="3"/>
      <c r="DQ18" s="3"/>
      <c r="DR18" s="204"/>
      <c r="DS18" s="204"/>
      <c r="DT18" s="204"/>
      <c r="DU18" s="204"/>
      <c r="DV18" s="204"/>
      <c r="DW18" s="204"/>
      <c r="DX18" s="204"/>
      <c r="EC18" s="1"/>
      <c r="EG18" s="618"/>
      <c r="EH18" s="618"/>
      <c r="EI18" s="618"/>
      <c r="EJ18" s="618"/>
      <c r="EK18" s="618"/>
      <c r="EL18" s="618"/>
      <c r="EM18" s="618"/>
      <c r="EN18" s="618"/>
      <c r="EO18" s="618"/>
      <c r="EP18" s="618"/>
      <c r="EQ18" s="618"/>
      <c r="ER18" s="618"/>
      <c r="ES18" s="618"/>
      <c r="ET18" s="618"/>
      <c r="EU18" s="618"/>
      <c r="EV18" s="618"/>
      <c r="EW18" s="618"/>
      <c r="EX18" s="618"/>
      <c r="EY18" s="618"/>
      <c r="EZ18" s="618"/>
      <c r="FA18" s="618"/>
      <c r="FB18" s="618"/>
      <c r="FC18" s="618"/>
      <c r="FD18" s="618"/>
      <c r="FE18" s="618"/>
      <c r="FF18" s="618"/>
      <c r="FG18" s="618"/>
      <c r="FH18" s="618"/>
      <c r="FI18" s="618"/>
      <c r="FJ18" s="618"/>
      <c r="FK18" s="618"/>
      <c r="FL18" s="618"/>
    </row>
    <row r="19" spans="1:169" x14ac:dyDescent="0.15">
      <c r="A19" s="5"/>
      <c r="B19" s="12"/>
      <c r="C19" s="12"/>
      <c r="D19" s="12"/>
      <c r="F19" s="8"/>
      <c r="G19" s="7"/>
      <c r="H19" s="7"/>
      <c r="I19" s="7"/>
      <c r="J19" s="7"/>
      <c r="K19" s="7"/>
      <c r="L19" s="7"/>
      <c r="M19" s="7"/>
      <c r="N19" s="7"/>
      <c r="O19" s="7"/>
      <c r="P19" s="7"/>
      <c r="Q19" s="7"/>
      <c r="R19" s="7"/>
      <c r="S19" s="12"/>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CR19" s="205"/>
      <c r="CS19" s="205"/>
      <c r="CT19" s="205"/>
      <c r="CU19" s="3"/>
      <c r="CV19" s="2"/>
      <c r="CW19" s="3"/>
      <c r="CX19" s="3"/>
      <c r="CY19" s="204"/>
      <c r="CZ19" s="204"/>
      <c r="DA19" s="204"/>
      <c r="DB19" s="3"/>
      <c r="DC19" s="3"/>
      <c r="DD19" s="3"/>
      <c r="DE19" s="3"/>
      <c r="DF19" s="204"/>
      <c r="DG19" s="204"/>
      <c r="DH19" s="204"/>
      <c r="DI19" s="204"/>
      <c r="DJ19" s="3"/>
      <c r="DK19" s="3"/>
      <c r="DL19" s="3"/>
      <c r="DM19" s="3"/>
      <c r="DN19" s="3"/>
      <c r="DO19" s="3"/>
      <c r="DP19" s="3"/>
      <c r="DQ19" s="204"/>
      <c r="DR19" s="204"/>
      <c r="DS19" s="204"/>
      <c r="DT19" s="204"/>
      <c r="DU19" s="204"/>
      <c r="DV19" s="204"/>
      <c r="DW19" s="206"/>
      <c r="EB19" s="1"/>
      <c r="EC19" s="1"/>
      <c r="ED19" s="1"/>
      <c r="EE19" s="1"/>
      <c r="EF19" s="618"/>
      <c r="EG19" s="618"/>
      <c r="EH19" s="618"/>
      <c r="EI19" s="618"/>
      <c r="EJ19" s="618"/>
      <c r="EK19" s="618"/>
      <c r="EL19" s="618"/>
      <c r="EM19" s="618"/>
      <c r="EN19" s="618"/>
      <c r="EO19" s="618"/>
      <c r="EP19" s="618"/>
      <c r="EQ19" s="618"/>
      <c r="ER19" s="618"/>
      <c r="ES19" s="618"/>
      <c r="ET19" s="618"/>
      <c r="EU19" s="618"/>
      <c r="EV19" s="618"/>
      <c r="EW19" s="618"/>
      <c r="EX19" s="618"/>
      <c r="EY19" s="618"/>
      <c r="EZ19" s="618"/>
      <c r="FA19" s="618"/>
      <c r="FB19" s="618"/>
      <c r="FC19" s="618"/>
      <c r="FD19" s="618"/>
      <c r="FE19" s="618"/>
      <c r="FF19" s="618"/>
      <c r="FG19" s="618"/>
      <c r="FH19" s="618"/>
      <c r="FI19" s="618"/>
      <c r="FJ19" s="618"/>
      <c r="FK19" s="618"/>
    </row>
    <row r="20" spans="1:169" x14ac:dyDescent="0.15">
      <c r="A20" s="7" t="s">
        <v>1098</v>
      </c>
      <c r="B20" t="s">
        <v>316</v>
      </c>
      <c r="C20" t="s">
        <v>255</v>
      </c>
      <c r="AA20" s="8"/>
      <c r="AB20" s="8"/>
      <c r="AC20" s="14"/>
      <c r="AD20" s="9"/>
      <c r="AE20" s="8"/>
      <c r="AF20" s="9"/>
      <c r="AG20" s="9"/>
      <c r="AH20" s="9"/>
      <c r="AI20" s="9"/>
      <c r="AJ20" s="207"/>
      <c r="AK20" s="9"/>
      <c r="AL20" s="9"/>
      <c r="AM20" s="9"/>
      <c r="AN20" s="9"/>
      <c r="AO20" s="9"/>
      <c r="AP20" s="9"/>
      <c r="AQ20" s="207"/>
      <c r="AR20" s="207"/>
      <c r="AS20" s="9"/>
      <c r="AT20" s="9"/>
      <c r="AU20" s="9"/>
      <c r="AV20" s="208"/>
      <c r="AW20" s="208"/>
      <c r="AX20" s="208"/>
      <c r="AY20" s="208"/>
      <c r="AZ20" s="208"/>
      <c r="BA20" s="9"/>
      <c r="BB20" s="208"/>
      <c r="BC20" s="208"/>
      <c r="BD20" s="208"/>
      <c r="BE20" s="208"/>
      <c r="BF20" s="208"/>
      <c r="BG20" s="7"/>
      <c r="BH20" s="7"/>
      <c r="BI20" s="7"/>
      <c r="BJ20" s="7"/>
      <c r="BK20" s="11"/>
      <c r="BL20" s="11"/>
      <c r="BM20" s="11"/>
      <c r="BN20" s="11"/>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10"/>
    </row>
    <row r="21" spans="1:169" x14ac:dyDescent="0.15">
      <c r="A21" s="5"/>
      <c r="AA21" s="205"/>
      <c r="AB21" s="205"/>
      <c r="AC21" s="205"/>
      <c r="AD21" s="3"/>
      <c r="AE21" s="105"/>
      <c r="AF21" s="3"/>
      <c r="AG21" s="3"/>
      <c r="AH21" s="204"/>
      <c r="AI21" s="204"/>
      <c r="AJ21" s="204"/>
      <c r="AK21" s="3"/>
      <c r="AL21" s="3"/>
      <c r="AM21" s="3"/>
      <c r="AN21" s="3"/>
      <c r="AO21" s="204"/>
      <c r="AP21" s="204"/>
      <c r="AQ21" s="204"/>
      <c r="AR21" s="204"/>
      <c r="AS21" s="3"/>
      <c r="AT21" s="3"/>
      <c r="AU21" s="3"/>
      <c r="AV21" s="3"/>
      <c r="AW21" s="3"/>
      <c r="AX21" s="3"/>
      <c r="AY21" s="3"/>
      <c r="AZ21" s="204"/>
      <c r="BA21" s="204"/>
      <c r="BB21" s="204"/>
      <c r="BC21" s="204"/>
      <c r="BD21" s="204"/>
      <c r="BE21" s="204"/>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U21" s="4"/>
    </row>
    <row r="172" spans="4:54" x14ac:dyDescent="0.15">
      <c r="D172" s="101"/>
      <c r="E172" s="101"/>
      <c r="L172" s="101"/>
      <c r="BB172" s="101"/>
    </row>
    <row r="173" spans="4:54" x14ac:dyDescent="0.15">
      <c r="D173" s="101"/>
      <c r="E173" s="101"/>
      <c r="L173" s="101"/>
      <c r="BB173" s="101"/>
    </row>
    <row r="174" spans="4:54" x14ac:dyDescent="0.15">
      <c r="D174" s="101"/>
      <c r="E174" s="101"/>
      <c r="L174" s="101"/>
      <c r="BB174" s="101"/>
    </row>
    <row r="175" spans="4:54" x14ac:dyDescent="0.15">
      <c r="D175" s="101"/>
      <c r="E175" s="101"/>
      <c r="L175" s="101"/>
      <c r="BB175" s="101"/>
    </row>
    <row r="176" spans="4:54" x14ac:dyDescent="0.15">
      <c r="D176" s="101"/>
      <c r="E176" s="101"/>
      <c r="L176" s="101"/>
      <c r="BB176" s="101"/>
    </row>
    <row r="177" spans="4:54" x14ac:dyDescent="0.15">
      <c r="D177" s="101"/>
      <c r="E177" s="101"/>
      <c r="L177" s="101"/>
      <c r="BB177" s="101"/>
    </row>
    <row r="178" spans="4:54" x14ac:dyDescent="0.15">
      <c r="D178" s="101"/>
      <c r="E178" s="101"/>
      <c r="L178" s="101"/>
      <c r="BB178" s="101"/>
    </row>
    <row r="179" spans="4:54" x14ac:dyDescent="0.15">
      <c r="D179" s="101"/>
      <c r="E179" s="101"/>
      <c r="L179" s="101"/>
      <c r="BB179" s="101"/>
    </row>
    <row r="180" spans="4:54" x14ac:dyDescent="0.15">
      <c r="D180" s="101"/>
      <c r="E180" s="101"/>
      <c r="L180" s="101"/>
      <c r="BB180" s="101"/>
    </row>
    <row r="181" spans="4:54" x14ac:dyDescent="0.15">
      <c r="D181" s="101"/>
      <c r="E181" s="101"/>
      <c r="L181" s="101"/>
      <c r="BB181" s="101"/>
    </row>
    <row r="182" spans="4:54" x14ac:dyDescent="0.15">
      <c r="D182" s="101"/>
      <c r="E182" s="101"/>
      <c r="L182" s="101"/>
      <c r="BB182" s="101"/>
    </row>
    <row r="183" spans="4:54" x14ac:dyDescent="0.15">
      <c r="D183" s="101"/>
      <c r="E183" s="101"/>
      <c r="L183" s="101"/>
      <c r="BB183" s="101"/>
    </row>
    <row r="184" spans="4:54" x14ac:dyDescent="0.15">
      <c r="D184" s="101"/>
      <c r="E184" s="101"/>
      <c r="L184" s="101"/>
      <c r="BB184" s="101"/>
    </row>
    <row r="185" spans="4:54" x14ac:dyDescent="0.15">
      <c r="D185" s="101"/>
      <c r="E185" s="101"/>
      <c r="L185" s="101"/>
      <c r="BB185" s="101"/>
    </row>
    <row r="186" spans="4:54" x14ac:dyDescent="0.15">
      <c r="D186" s="101"/>
      <c r="E186" s="101"/>
      <c r="L186" s="101"/>
      <c r="BB186" s="101"/>
    </row>
    <row r="187" spans="4:54" x14ac:dyDescent="0.15">
      <c r="D187" s="101"/>
      <c r="E187" s="101"/>
      <c r="L187" s="101"/>
      <c r="BB187" s="101"/>
    </row>
    <row r="188" spans="4:54" x14ac:dyDescent="0.15">
      <c r="D188" s="101"/>
      <c r="E188" s="101"/>
      <c r="L188" s="101"/>
      <c r="BB188" s="101"/>
    </row>
    <row r="189" spans="4:54" x14ac:dyDescent="0.15">
      <c r="D189" s="101"/>
      <c r="E189" s="101"/>
      <c r="L189" s="101"/>
      <c r="BB189" s="101"/>
    </row>
    <row r="190" spans="4:54" x14ac:dyDescent="0.15">
      <c r="D190" s="101"/>
      <c r="E190" s="101"/>
      <c r="L190" s="101"/>
      <c r="BB190" s="101"/>
    </row>
    <row r="191" spans="4:54" x14ac:dyDescent="0.15">
      <c r="D191" s="101"/>
      <c r="E191" s="101"/>
      <c r="L191" s="101"/>
      <c r="BB191" s="101"/>
    </row>
    <row r="192" spans="4:54" x14ac:dyDescent="0.15">
      <c r="D192" s="101"/>
      <c r="E192" s="101"/>
      <c r="L192" s="101"/>
      <c r="BB192" s="101"/>
    </row>
    <row r="193" spans="4:54" x14ac:dyDescent="0.15">
      <c r="D193" s="101"/>
      <c r="E193" s="101"/>
      <c r="L193" s="101"/>
      <c r="BB193" s="101"/>
    </row>
    <row r="194" spans="4:54" x14ac:dyDescent="0.15">
      <c r="D194" s="101"/>
      <c r="E194" s="101"/>
      <c r="L194" s="101"/>
      <c r="BB194" s="101"/>
    </row>
    <row r="195" spans="4:54" x14ac:dyDescent="0.15">
      <c r="D195" s="101"/>
      <c r="E195" s="101"/>
      <c r="L195" s="101"/>
      <c r="BB195" s="101"/>
    </row>
    <row r="196" spans="4:54" x14ac:dyDescent="0.15">
      <c r="D196" s="101"/>
      <c r="E196" s="101"/>
      <c r="L196" s="101"/>
      <c r="BB196" s="101"/>
    </row>
    <row r="197" spans="4:54" x14ac:dyDescent="0.15">
      <c r="D197" s="101"/>
      <c r="E197" s="101"/>
      <c r="L197" s="101"/>
      <c r="BB197" s="101"/>
    </row>
    <row r="198" spans="4:54" x14ac:dyDescent="0.15">
      <c r="D198" s="101"/>
      <c r="E198" s="101"/>
      <c r="L198" s="101"/>
      <c r="BB198" s="101"/>
    </row>
    <row r="199" spans="4:54" x14ac:dyDescent="0.15">
      <c r="D199" s="101"/>
      <c r="E199" s="101"/>
      <c r="L199" s="101"/>
      <c r="BB199" s="101"/>
    </row>
    <row r="200" spans="4:54" x14ac:dyDescent="0.15">
      <c r="D200" s="101"/>
      <c r="E200" s="101"/>
      <c r="L200" s="101"/>
      <c r="BB200" s="101"/>
    </row>
    <row r="201" spans="4:54" x14ac:dyDescent="0.15">
      <c r="D201" s="101"/>
      <c r="E201" s="101"/>
      <c r="L201" s="101"/>
      <c r="BB201" s="101"/>
    </row>
    <row r="202" spans="4:54" x14ac:dyDescent="0.15">
      <c r="D202" s="101"/>
      <c r="E202" s="101"/>
      <c r="L202" s="101"/>
      <c r="BB202" s="101"/>
    </row>
    <row r="203" spans="4:54" x14ac:dyDescent="0.15">
      <c r="D203" s="101"/>
      <c r="E203" s="101"/>
      <c r="L203" s="101"/>
      <c r="BB203" s="101"/>
    </row>
    <row r="204" spans="4:54" x14ac:dyDescent="0.15">
      <c r="D204" s="101"/>
      <c r="E204" s="101"/>
      <c r="L204" s="101"/>
      <c r="BB204" s="101"/>
    </row>
    <row r="205" spans="4:54" x14ac:dyDescent="0.15">
      <c r="D205" s="101"/>
      <c r="E205" s="101"/>
      <c r="L205" s="101"/>
      <c r="BB205" s="101"/>
    </row>
    <row r="206" spans="4:54" x14ac:dyDescent="0.15">
      <c r="D206" s="101"/>
      <c r="E206" s="101"/>
      <c r="L206" s="101"/>
      <c r="BB206" s="101"/>
    </row>
    <row r="207" spans="4:54" x14ac:dyDescent="0.15">
      <c r="D207" s="101"/>
      <c r="E207" s="101"/>
      <c r="L207" s="101"/>
      <c r="BB207" s="101"/>
    </row>
    <row r="208" spans="4:54" x14ac:dyDescent="0.15">
      <c r="D208" s="101"/>
      <c r="E208" s="101"/>
      <c r="L208" s="101"/>
      <c r="BB208" s="101"/>
    </row>
    <row r="209" spans="4:54" x14ac:dyDescent="0.15">
      <c r="D209" s="101"/>
      <c r="E209" s="101"/>
      <c r="L209" s="101"/>
      <c r="BB209" s="101"/>
    </row>
    <row r="210" spans="4:54" x14ac:dyDescent="0.15">
      <c r="D210" s="101"/>
      <c r="E210" s="101"/>
      <c r="L210" s="101"/>
      <c r="BB210" s="101"/>
    </row>
    <row r="211" spans="4:54" x14ac:dyDescent="0.15">
      <c r="D211" s="101"/>
      <c r="E211" s="101"/>
      <c r="L211" s="101"/>
      <c r="BB211" s="101"/>
    </row>
    <row r="212" spans="4:54" x14ac:dyDescent="0.15">
      <c r="D212" s="101"/>
      <c r="E212" s="101"/>
      <c r="L212" s="101"/>
      <c r="BB212" s="101"/>
    </row>
    <row r="213" spans="4:54" x14ac:dyDescent="0.15">
      <c r="D213" s="101"/>
      <c r="E213" s="101"/>
      <c r="L213" s="101"/>
      <c r="BB213" s="101"/>
    </row>
    <row r="214" spans="4:54" x14ac:dyDescent="0.15">
      <c r="D214" s="101"/>
      <c r="E214" s="101"/>
      <c r="L214" s="101"/>
      <c r="BB214" s="101"/>
    </row>
    <row r="215" spans="4:54" x14ac:dyDescent="0.15">
      <c r="D215" s="101"/>
      <c r="E215" s="101"/>
      <c r="L215" s="101"/>
      <c r="BB215" s="101"/>
    </row>
    <row r="216" spans="4:54" x14ac:dyDescent="0.15">
      <c r="D216" s="101"/>
      <c r="E216" s="101"/>
      <c r="L216" s="101"/>
      <c r="BB216" s="101"/>
    </row>
    <row r="217" spans="4:54" x14ac:dyDescent="0.15">
      <c r="D217" s="101"/>
      <c r="E217" s="101"/>
      <c r="L217" s="101"/>
      <c r="BB217" s="101"/>
    </row>
    <row r="218" spans="4:54" x14ac:dyDescent="0.15">
      <c r="D218" s="101"/>
      <c r="E218" s="101"/>
      <c r="L218" s="101"/>
      <c r="BB218" s="101"/>
    </row>
    <row r="219" spans="4:54" x14ac:dyDescent="0.15">
      <c r="D219" s="101"/>
      <c r="E219" s="101"/>
      <c r="L219" s="101"/>
      <c r="BB219" s="101"/>
    </row>
    <row r="220" spans="4:54" x14ac:dyDescent="0.15">
      <c r="D220" s="101"/>
      <c r="E220" s="101"/>
      <c r="L220" s="101"/>
      <c r="BB220" s="101"/>
    </row>
    <row r="221" spans="4:54" x14ac:dyDescent="0.15">
      <c r="D221" s="101"/>
      <c r="E221" s="101"/>
      <c r="L221" s="101"/>
      <c r="BB221" s="101"/>
    </row>
    <row r="222" spans="4:54" x14ac:dyDescent="0.15">
      <c r="D222" s="101"/>
      <c r="E222" s="101"/>
      <c r="L222" s="101"/>
      <c r="BB222" s="101"/>
    </row>
    <row r="223" spans="4:54" x14ac:dyDescent="0.15">
      <c r="D223" s="101"/>
      <c r="E223" s="101"/>
      <c r="L223" s="101"/>
      <c r="BB223" s="101"/>
    </row>
    <row r="224" spans="4:54" x14ac:dyDescent="0.15">
      <c r="D224" s="101"/>
      <c r="E224" s="101"/>
      <c r="L224" s="101"/>
      <c r="BB224" s="101"/>
    </row>
    <row r="225" spans="4:54" x14ac:dyDescent="0.15">
      <c r="D225" s="101"/>
      <c r="E225" s="101"/>
      <c r="L225" s="101"/>
      <c r="BB225" s="101"/>
    </row>
    <row r="226" spans="4:54" x14ac:dyDescent="0.15">
      <c r="D226" s="101"/>
      <c r="E226" s="101"/>
      <c r="L226" s="101"/>
      <c r="BB226" s="101"/>
    </row>
    <row r="227" spans="4:54" x14ac:dyDescent="0.15">
      <c r="D227" s="101"/>
      <c r="E227" s="101"/>
      <c r="L227" s="101"/>
      <c r="BB227" s="101"/>
    </row>
    <row r="228" spans="4:54" x14ac:dyDescent="0.15">
      <c r="D228" s="101"/>
      <c r="E228" s="101"/>
      <c r="L228" s="101"/>
      <c r="BB228" s="101"/>
    </row>
    <row r="229" spans="4:54" x14ac:dyDescent="0.15">
      <c r="D229" s="101"/>
      <c r="E229" s="101"/>
      <c r="L229" s="101"/>
      <c r="BB229" s="101"/>
    </row>
    <row r="230" spans="4:54" x14ac:dyDescent="0.15">
      <c r="D230" s="101"/>
      <c r="E230" s="101"/>
      <c r="L230" s="101"/>
      <c r="BB230" s="101"/>
    </row>
    <row r="231" spans="4:54" x14ac:dyDescent="0.15">
      <c r="D231" s="101"/>
      <c r="E231" s="101"/>
      <c r="L231" s="101"/>
      <c r="BB231" s="101"/>
    </row>
    <row r="232" spans="4:54" x14ac:dyDescent="0.15">
      <c r="D232" s="101"/>
      <c r="E232" s="101"/>
      <c r="L232" s="101"/>
      <c r="BB232" s="101"/>
    </row>
    <row r="233" spans="4:54" x14ac:dyDescent="0.15">
      <c r="D233" s="101"/>
      <c r="E233" s="101"/>
      <c r="L233" s="101"/>
      <c r="BB233" s="101"/>
    </row>
    <row r="234" spans="4:54" x14ac:dyDescent="0.15">
      <c r="D234" s="101"/>
      <c r="E234" s="101"/>
      <c r="L234" s="101"/>
      <c r="BB234" s="101"/>
    </row>
    <row r="235" spans="4:54" x14ac:dyDescent="0.15">
      <c r="D235" s="101"/>
      <c r="E235" s="101"/>
      <c r="L235" s="101"/>
      <c r="BB235" s="101"/>
    </row>
    <row r="236" spans="4:54" x14ac:dyDescent="0.15">
      <c r="D236" s="101"/>
      <c r="E236" s="101"/>
      <c r="L236" s="101"/>
      <c r="BB236" s="101"/>
    </row>
    <row r="237" spans="4:54" x14ac:dyDescent="0.15">
      <c r="D237" s="101"/>
      <c r="E237" s="101"/>
      <c r="L237" s="101"/>
      <c r="BB237" s="101"/>
    </row>
    <row r="238" spans="4:54" x14ac:dyDescent="0.15">
      <c r="D238" s="101"/>
      <c r="E238" s="101"/>
      <c r="L238" s="101"/>
      <c r="BB238" s="101"/>
    </row>
    <row r="239" spans="4:54" x14ac:dyDescent="0.15">
      <c r="D239" s="101"/>
      <c r="E239" s="101"/>
      <c r="L239" s="101"/>
      <c r="BB239" s="101"/>
    </row>
    <row r="240" spans="4:54" x14ac:dyDescent="0.15">
      <c r="D240" s="101"/>
      <c r="E240" s="101"/>
      <c r="L240" s="101"/>
      <c r="BB240" s="101"/>
    </row>
    <row r="241" spans="4:54" x14ac:dyDescent="0.15">
      <c r="D241" s="101"/>
      <c r="E241" s="101"/>
      <c r="L241" s="101"/>
      <c r="BB241" s="101"/>
    </row>
    <row r="242" spans="4:54" x14ac:dyDescent="0.15">
      <c r="D242" s="101"/>
      <c r="E242" s="101"/>
      <c r="L242" s="101"/>
      <c r="BB242" s="101"/>
    </row>
    <row r="243" spans="4:54" x14ac:dyDescent="0.15">
      <c r="D243" s="101"/>
      <c r="E243" s="101"/>
      <c r="L243" s="101"/>
      <c r="BB243" s="101"/>
    </row>
    <row r="244" spans="4:54" x14ac:dyDescent="0.15">
      <c r="D244" s="101"/>
      <c r="E244" s="101"/>
      <c r="L244" s="101"/>
      <c r="BB244" s="101"/>
    </row>
    <row r="245" spans="4:54" x14ac:dyDescent="0.15">
      <c r="D245" s="101"/>
      <c r="E245" s="101"/>
      <c r="L245" s="101"/>
      <c r="BB245" s="101"/>
    </row>
    <row r="246" spans="4:54" x14ac:dyDescent="0.15">
      <c r="D246" s="101"/>
      <c r="E246" s="101"/>
      <c r="L246" s="101"/>
      <c r="BB246" s="101"/>
    </row>
    <row r="247" spans="4:54" x14ac:dyDescent="0.15">
      <c r="D247" s="101"/>
      <c r="E247" s="101"/>
      <c r="L247" s="101"/>
      <c r="BB247" s="101"/>
    </row>
    <row r="248" spans="4:54" x14ac:dyDescent="0.15">
      <c r="D248" s="101"/>
      <c r="E248" s="101"/>
      <c r="L248" s="101"/>
      <c r="BB248" s="101"/>
    </row>
    <row r="249" spans="4:54" x14ac:dyDescent="0.15">
      <c r="D249" s="101"/>
      <c r="E249" s="101"/>
      <c r="L249" s="101"/>
      <c r="BB249" s="101"/>
    </row>
    <row r="250" spans="4:54" x14ac:dyDescent="0.15">
      <c r="D250" s="101"/>
      <c r="E250" s="101"/>
      <c r="L250" s="101"/>
      <c r="BB250" s="101"/>
    </row>
    <row r="251" spans="4:54" x14ac:dyDescent="0.15">
      <c r="D251" s="101"/>
      <c r="E251" s="101"/>
      <c r="L251" s="101"/>
      <c r="BB251" s="101"/>
    </row>
    <row r="252" spans="4:54" x14ac:dyDescent="0.15">
      <c r="D252" s="101"/>
      <c r="E252" s="101"/>
      <c r="L252" s="101"/>
      <c r="BB252" s="101"/>
    </row>
    <row r="253" spans="4:54" x14ac:dyDescent="0.15">
      <c r="D253" s="101"/>
      <c r="E253" s="101"/>
      <c r="L253" s="101"/>
      <c r="BB253" s="101"/>
    </row>
    <row r="254" spans="4:54" x14ac:dyDescent="0.15">
      <c r="D254" s="101"/>
      <c r="E254" s="101"/>
      <c r="L254" s="101"/>
      <c r="BB254" s="101"/>
    </row>
    <row r="255" spans="4:54" x14ac:dyDescent="0.15">
      <c r="D255" s="101"/>
      <c r="E255" s="101"/>
      <c r="L255" s="101"/>
      <c r="BB255" s="101"/>
    </row>
    <row r="256" spans="4:54" x14ac:dyDescent="0.15">
      <c r="D256" s="101"/>
      <c r="E256" s="101"/>
      <c r="L256" s="101"/>
      <c r="BB256" s="101"/>
    </row>
    <row r="257" spans="4:54" x14ac:dyDescent="0.15">
      <c r="D257" s="101"/>
      <c r="E257" s="101"/>
      <c r="L257" s="101"/>
      <c r="BB257" s="101"/>
    </row>
    <row r="258" spans="4:54" x14ac:dyDescent="0.15">
      <c r="D258" s="101"/>
      <c r="E258" s="101"/>
      <c r="L258" s="101"/>
      <c r="BB258" s="101"/>
    </row>
    <row r="259" spans="4:54" x14ac:dyDescent="0.15">
      <c r="D259" s="101"/>
      <c r="E259" s="101"/>
      <c r="L259" s="101"/>
      <c r="BB259" s="101"/>
    </row>
    <row r="260" spans="4:54" x14ac:dyDescent="0.15">
      <c r="D260" s="101"/>
      <c r="E260" s="101"/>
      <c r="L260" s="101"/>
      <c r="BB260" s="101"/>
    </row>
    <row r="261" spans="4:54" x14ac:dyDescent="0.15">
      <c r="D261" s="101"/>
      <c r="E261" s="101"/>
      <c r="L261" s="101"/>
      <c r="BB261" s="101"/>
    </row>
    <row r="262" spans="4:54" x14ac:dyDescent="0.15">
      <c r="D262" s="101"/>
      <c r="E262" s="101"/>
      <c r="L262" s="101"/>
      <c r="BB262" s="101"/>
    </row>
    <row r="263" spans="4:54" x14ac:dyDescent="0.15">
      <c r="D263" s="101"/>
      <c r="E263" s="101"/>
      <c r="L263" s="101"/>
      <c r="BB263" s="101"/>
    </row>
    <row r="264" spans="4:54" x14ac:dyDescent="0.15">
      <c r="D264" s="101"/>
      <c r="E264" s="101"/>
      <c r="L264" s="101"/>
      <c r="BB264" s="101"/>
    </row>
    <row r="265" spans="4:54" x14ac:dyDescent="0.15">
      <c r="D265" s="101"/>
      <c r="E265" s="101"/>
      <c r="L265" s="101"/>
      <c r="BB265" s="101"/>
    </row>
    <row r="266" spans="4:54" x14ac:dyDescent="0.15">
      <c r="D266" s="101"/>
      <c r="E266" s="101"/>
      <c r="L266" s="101"/>
      <c r="BB266" s="101"/>
    </row>
    <row r="267" spans="4:54" x14ac:dyDescent="0.15">
      <c r="D267" s="101"/>
      <c r="E267" s="101"/>
      <c r="L267" s="101"/>
      <c r="BB267" s="101"/>
    </row>
    <row r="268" spans="4:54" x14ac:dyDescent="0.15">
      <c r="D268" s="101"/>
      <c r="E268" s="101"/>
      <c r="L268" s="101"/>
      <c r="BB268" s="101"/>
    </row>
    <row r="269" spans="4:54" x14ac:dyDescent="0.15">
      <c r="D269" s="101"/>
      <c r="E269" s="101"/>
      <c r="L269" s="101"/>
      <c r="BB269" s="101"/>
    </row>
    <row r="270" spans="4:54" x14ac:dyDescent="0.15">
      <c r="D270" s="101"/>
      <c r="E270" s="101"/>
      <c r="L270" s="101"/>
      <c r="BB270" s="101"/>
    </row>
    <row r="271" spans="4:54" x14ac:dyDescent="0.15">
      <c r="D271" s="101"/>
      <c r="E271" s="101"/>
      <c r="L271" s="101"/>
      <c r="BB271" s="101"/>
    </row>
    <row r="272" spans="4:54" x14ac:dyDescent="0.15">
      <c r="D272" s="101"/>
      <c r="E272" s="101"/>
      <c r="L272" s="101"/>
      <c r="BB272" s="101"/>
    </row>
    <row r="273" spans="4:54" x14ac:dyDescent="0.15">
      <c r="D273" s="101"/>
      <c r="E273" s="101"/>
      <c r="L273" s="101"/>
      <c r="BB273" s="101"/>
    </row>
    <row r="274" spans="4:54" x14ac:dyDescent="0.15">
      <c r="D274" s="101"/>
      <c r="E274" s="101"/>
      <c r="L274" s="101"/>
      <c r="BB274" s="101"/>
    </row>
    <row r="275" spans="4:54" x14ac:dyDescent="0.15">
      <c r="D275" s="101"/>
      <c r="E275" s="101"/>
      <c r="L275" s="101"/>
      <c r="BB275" s="101"/>
    </row>
    <row r="276" spans="4:54" x14ac:dyDescent="0.15">
      <c r="D276" s="101"/>
      <c r="E276" s="101"/>
      <c r="L276" s="101"/>
      <c r="BB276" s="101"/>
    </row>
    <row r="277" spans="4:54" x14ac:dyDescent="0.15">
      <c r="D277" s="101"/>
      <c r="E277" s="101"/>
      <c r="L277" s="101"/>
      <c r="BB277" s="101"/>
    </row>
    <row r="278" spans="4:54" x14ac:dyDescent="0.15">
      <c r="D278" s="101"/>
      <c r="E278" s="101"/>
      <c r="L278" s="101"/>
      <c r="BB278" s="101"/>
    </row>
    <row r="279" spans="4:54" x14ac:dyDescent="0.15">
      <c r="D279" s="101"/>
      <c r="E279" s="101"/>
      <c r="L279" s="101"/>
      <c r="BB279" s="101"/>
    </row>
    <row r="280" spans="4:54" x14ac:dyDescent="0.15">
      <c r="D280" s="101"/>
      <c r="E280" s="101"/>
      <c r="L280" s="101"/>
      <c r="BB280" s="101"/>
    </row>
    <row r="281" spans="4:54" x14ac:dyDescent="0.15">
      <c r="D281" s="101"/>
      <c r="E281" s="101"/>
      <c r="L281" s="101"/>
      <c r="BB281" s="101"/>
    </row>
    <row r="282" spans="4:54" x14ac:dyDescent="0.15">
      <c r="D282" s="101"/>
      <c r="E282" s="101"/>
      <c r="L282" s="101"/>
      <c r="BB282" s="101"/>
    </row>
    <row r="283" spans="4:54" x14ac:dyDescent="0.15">
      <c r="D283" s="101"/>
      <c r="E283" s="101"/>
      <c r="L283" s="101"/>
      <c r="BB283" s="101"/>
    </row>
    <row r="284" spans="4:54" x14ac:dyDescent="0.15">
      <c r="D284" s="101"/>
      <c r="E284" s="101"/>
      <c r="L284" s="101"/>
      <c r="BB284" s="101"/>
    </row>
    <row r="285" spans="4:54" x14ac:dyDescent="0.15">
      <c r="D285" s="101"/>
      <c r="E285" s="101"/>
      <c r="L285" s="101"/>
      <c r="BB285" s="101"/>
    </row>
    <row r="286" spans="4:54" x14ac:dyDescent="0.15">
      <c r="D286" s="101"/>
      <c r="E286" s="101"/>
      <c r="L286" s="101"/>
      <c r="BB286" s="101"/>
    </row>
    <row r="287" spans="4:54" x14ac:dyDescent="0.15">
      <c r="D287" s="101"/>
      <c r="E287" s="101"/>
      <c r="L287" s="101"/>
      <c r="BB287" s="101"/>
    </row>
    <row r="288" spans="4:54" x14ac:dyDescent="0.15">
      <c r="D288" s="101"/>
      <c r="E288" s="101"/>
      <c r="L288" s="101"/>
      <c r="BB288" s="101"/>
    </row>
    <row r="289" spans="4:54" x14ac:dyDescent="0.15">
      <c r="D289" s="101"/>
      <c r="E289" s="101"/>
      <c r="L289" s="101"/>
      <c r="BB289" s="101"/>
    </row>
    <row r="290" spans="4:54" x14ac:dyDescent="0.15">
      <c r="D290" s="101"/>
      <c r="E290" s="101"/>
      <c r="L290" s="101"/>
      <c r="BB290" s="101"/>
    </row>
    <row r="291" spans="4:54" x14ac:dyDescent="0.15">
      <c r="D291" s="101"/>
      <c r="E291" s="101"/>
      <c r="L291" s="101"/>
      <c r="BB291" s="101"/>
    </row>
    <row r="292" spans="4:54" x14ac:dyDescent="0.15">
      <c r="D292" s="101"/>
      <c r="E292" s="101"/>
      <c r="L292" s="101"/>
      <c r="BB292" s="101"/>
    </row>
    <row r="293" spans="4:54" x14ac:dyDescent="0.15">
      <c r="D293" s="101"/>
      <c r="E293" s="101"/>
      <c r="L293" s="101"/>
      <c r="BB293" s="101"/>
    </row>
    <row r="294" spans="4:54" x14ac:dyDescent="0.15">
      <c r="D294" s="101"/>
      <c r="E294" s="101"/>
      <c r="L294" s="101"/>
      <c r="BB294" s="101"/>
    </row>
    <row r="295" spans="4:54" x14ac:dyDescent="0.15">
      <c r="D295" s="101"/>
      <c r="E295" s="101"/>
      <c r="L295" s="101"/>
      <c r="BB295" s="101"/>
    </row>
    <row r="296" spans="4:54" x14ac:dyDescent="0.15">
      <c r="D296" s="101"/>
      <c r="E296" s="101"/>
      <c r="L296" s="101"/>
      <c r="BB296" s="101"/>
    </row>
    <row r="297" spans="4:54" x14ac:dyDescent="0.15">
      <c r="D297" s="101"/>
      <c r="E297" s="101"/>
      <c r="L297" s="101"/>
      <c r="BB297" s="101"/>
    </row>
    <row r="298" spans="4:54" x14ac:dyDescent="0.15">
      <c r="D298" s="101"/>
      <c r="E298" s="101"/>
      <c r="L298" s="101"/>
      <c r="BB298" s="101"/>
    </row>
    <row r="299" spans="4:54" x14ac:dyDescent="0.15">
      <c r="D299" s="101"/>
      <c r="E299" s="101"/>
      <c r="L299" s="101"/>
      <c r="BB299" s="101"/>
    </row>
    <row r="300" spans="4:54" x14ac:dyDescent="0.15">
      <c r="D300" s="101"/>
      <c r="E300" s="101"/>
      <c r="L300" s="101"/>
      <c r="BB300" s="101"/>
    </row>
    <row r="301" spans="4:54" x14ac:dyDescent="0.15">
      <c r="D301" s="101"/>
      <c r="E301" s="101"/>
      <c r="L301" s="101"/>
      <c r="BB301" s="101"/>
    </row>
    <row r="302" spans="4:54" x14ac:dyDescent="0.15">
      <c r="D302" s="101"/>
      <c r="E302" s="101"/>
      <c r="L302" s="101"/>
      <c r="BB302" s="101"/>
    </row>
    <row r="303" spans="4:54" x14ac:dyDescent="0.15">
      <c r="D303" s="101"/>
      <c r="E303" s="101"/>
      <c r="L303" s="101"/>
      <c r="BB303" s="101"/>
    </row>
    <row r="304" spans="4:54" x14ac:dyDescent="0.15">
      <c r="D304" s="101"/>
      <c r="E304" s="101"/>
      <c r="L304" s="101"/>
      <c r="BB304" s="101"/>
    </row>
    <row r="305" spans="4:54" x14ac:dyDescent="0.15">
      <c r="D305" s="101"/>
      <c r="E305" s="101"/>
      <c r="L305" s="101"/>
      <c r="BB305" s="101"/>
    </row>
    <row r="306" spans="4:54" x14ac:dyDescent="0.15">
      <c r="D306" s="101"/>
      <c r="E306" s="101"/>
      <c r="L306" s="101"/>
      <c r="BB306" s="101"/>
    </row>
    <row r="307" spans="4:54" x14ac:dyDescent="0.15">
      <c r="D307" s="101"/>
      <c r="E307" s="101"/>
      <c r="L307" s="101"/>
      <c r="BB307" s="101"/>
    </row>
    <row r="308" spans="4:54" x14ac:dyDescent="0.15">
      <c r="D308" s="101"/>
      <c r="E308" s="101"/>
      <c r="L308" s="101"/>
      <c r="BB308" s="101"/>
    </row>
    <row r="309" spans="4:54" x14ac:dyDescent="0.15">
      <c r="D309" s="101"/>
      <c r="E309" s="101"/>
      <c r="L309" s="101"/>
      <c r="BB309" s="101"/>
    </row>
    <row r="310" spans="4:54" x14ac:dyDescent="0.15">
      <c r="D310" s="101"/>
      <c r="E310" s="101"/>
      <c r="L310" s="101"/>
      <c r="BB310" s="101"/>
    </row>
    <row r="311" spans="4:54" x14ac:dyDescent="0.15">
      <c r="D311" s="101"/>
      <c r="E311" s="101"/>
      <c r="L311" s="101"/>
      <c r="BB311" s="101"/>
    </row>
    <row r="312" spans="4:54" x14ac:dyDescent="0.15">
      <c r="D312" s="101"/>
      <c r="E312" s="101"/>
      <c r="L312" s="101"/>
      <c r="BB312" s="101"/>
    </row>
    <row r="313" spans="4:54" x14ac:dyDescent="0.15">
      <c r="D313" s="101"/>
      <c r="E313" s="101"/>
      <c r="L313" s="101"/>
      <c r="BB313" s="101"/>
    </row>
    <row r="314" spans="4:54" x14ac:dyDescent="0.15">
      <c r="D314" s="101"/>
      <c r="E314" s="101"/>
      <c r="L314" s="101"/>
      <c r="BB314" s="101"/>
    </row>
    <row r="315" spans="4:54" x14ac:dyDescent="0.15">
      <c r="D315" s="101"/>
      <c r="E315" s="101"/>
      <c r="L315" s="101"/>
      <c r="BB315" s="101"/>
    </row>
    <row r="316" spans="4:54" x14ac:dyDescent="0.15">
      <c r="D316" s="101"/>
      <c r="E316" s="101"/>
      <c r="L316" s="101"/>
      <c r="BB316" s="101"/>
    </row>
    <row r="317" spans="4:54" x14ac:dyDescent="0.15">
      <c r="D317" s="101"/>
      <c r="E317" s="101"/>
      <c r="L317" s="101"/>
      <c r="BB317" s="101"/>
    </row>
    <row r="318" spans="4:54" x14ac:dyDescent="0.15">
      <c r="D318" s="101"/>
      <c r="E318" s="101"/>
      <c r="L318" s="101"/>
      <c r="BB318" s="101"/>
    </row>
    <row r="319" spans="4:54" x14ac:dyDescent="0.15">
      <c r="D319" s="101"/>
      <c r="E319" s="101"/>
      <c r="L319" s="101"/>
      <c r="BB319" s="101"/>
    </row>
    <row r="320" spans="4:54" x14ac:dyDescent="0.15">
      <c r="D320" s="101"/>
      <c r="E320" s="101"/>
      <c r="L320" s="101"/>
      <c r="BB320" s="101"/>
    </row>
    <row r="321" spans="4:54" x14ac:dyDescent="0.15">
      <c r="D321" s="101"/>
      <c r="E321" s="101"/>
      <c r="L321" s="101"/>
      <c r="BB321" s="101"/>
    </row>
    <row r="322" spans="4:54" x14ac:dyDescent="0.15">
      <c r="D322" s="101"/>
      <c r="E322" s="101"/>
      <c r="L322" s="101"/>
      <c r="BB322" s="101"/>
    </row>
    <row r="323" spans="4:54" x14ac:dyDescent="0.15">
      <c r="D323" s="101"/>
      <c r="E323" s="101"/>
      <c r="L323" s="101"/>
      <c r="BB323" s="101"/>
    </row>
    <row r="324" spans="4:54" x14ac:dyDescent="0.15">
      <c r="D324" s="101"/>
      <c r="E324" s="101"/>
      <c r="L324" s="101"/>
      <c r="BB324" s="101"/>
    </row>
    <row r="325" spans="4:54" x14ac:dyDescent="0.15">
      <c r="D325" s="101"/>
      <c r="E325" s="101"/>
      <c r="L325" s="101"/>
      <c r="BB325" s="101"/>
    </row>
    <row r="326" spans="4:54" x14ac:dyDescent="0.15">
      <c r="D326" s="101"/>
      <c r="E326" s="101"/>
      <c r="L326" s="101"/>
      <c r="BB326" s="101"/>
    </row>
    <row r="327" spans="4:54" x14ac:dyDescent="0.15">
      <c r="D327" s="101"/>
      <c r="E327" s="101"/>
      <c r="L327" s="101"/>
      <c r="BB327" s="101"/>
    </row>
    <row r="328" spans="4:54" x14ac:dyDescent="0.15">
      <c r="D328" s="101"/>
      <c r="E328" s="101"/>
      <c r="L328" s="101"/>
      <c r="BB328" s="101"/>
    </row>
    <row r="329" spans="4:54" x14ac:dyDescent="0.15">
      <c r="D329" s="101"/>
      <c r="E329" s="101"/>
      <c r="L329" s="101"/>
      <c r="BB329" s="101"/>
    </row>
    <row r="330" spans="4:54" x14ac:dyDescent="0.15">
      <c r="D330" s="101"/>
      <c r="E330" s="101"/>
      <c r="L330" s="101"/>
      <c r="BB330" s="101"/>
    </row>
    <row r="331" spans="4:54" x14ac:dyDescent="0.15">
      <c r="D331" s="101"/>
      <c r="E331" s="101"/>
      <c r="L331" s="101"/>
      <c r="BB331" s="101"/>
    </row>
    <row r="332" spans="4:54" x14ac:dyDescent="0.15">
      <c r="D332" s="101"/>
      <c r="E332" s="101"/>
      <c r="L332" s="101"/>
      <c r="BB332" s="101"/>
    </row>
    <row r="333" spans="4:54" x14ac:dyDescent="0.15">
      <c r="D333" s="101"/>
      <c r="E333" s="101"/>
      <c r="L333" s="101"/>
      <c r="BB333" s="101"/>
    </row>
    <row r="334" spans="4:54" x14ac:dyDescent="0.15">
      <c r="D334" s="101"/>
      <c r="E334" s="101"/>
      <c r="L334" s="101"/>
      <c r="BB334" s="101"/>
    </row>
    <row r="335" spans="4:54" x14ac:dyDescent="0.15">
      <c r="D335" s="101"/>
      <c r="E335" s="101"/>
      <c r="L335" s="101"/>
      <c r="BB335" s="101"/>
    </row>
    <row r="336" spans="4:54" x14ac:dyDescent="0.15">
      <c r="D336" s="101"/>
      <c r="E336" s="101"/>
      <c r="L336" s="101"/>
      <c r="BB336" s="101"/>
    </row>
    <row r="337" spans="4:54" x14ac:dyDescent="0.15">
      <c r="D337" s="101"/>
      <c r="E337" s="101"/>
      <c r="L337" s="101"/>
      <c r="BB337" s="101"/>
    </row>
    <row r="338" spans="4:54" x14ac:dyDescent="0.15">
      <c r="D338" s="101"/>
      <c r="E338" s="101"/>
      <c r="L338" s="101"/>
      <c r="BB338" s="101"/>
    </row>
    <row r="339" spans="4:54" x14ac:dyDescent="0.15">
      <c r="D339" s="101"/>
      <c r="E339" s="101"/>
      <c r="L339" s="101"/>
      <c r="BB339" s="101"/>
    </row>
    <row r="340" spans="4:54" x14ac:dyDescent="0.15">
      <c r="D340" s="101"/>
      <c r="E340" s="101"/>
      <c r="L340" s="101"/>
      <c r="BB340" s="101"/>
    </row>
    <row r="341" spans="4:54" x14ac:dyDescent="0.15">
      <c r="D341" s="101"/>
      <c r="E341" s="101"/>
      <c r="L341" s="101"/>
      <c r="BB341" s="101"/>
    </row>
    <row r="342" spans="4:54" x14ac:dyDescent="0.15">
      <c r="D342" s="101"/>
      <c r="E342" s="101"/>
      <c r="L342" s="101"/>
      <c r="BB342" s="101"/>
    </row>
    <row r="343" spans="4:54" x14ac:dyDescent="0.15">
      <c r="D343" s="101"/>
      <c r="E343" s="101"/>
      <c r="L343" s="101"/>
      <c r="BB343" s="101"/>
    </row>
    <row r="344" spans="4:54" x14ac:dyDescent="0.15">
      <c r="D344" s="101"/>
      <c r="E344" s="101"/>
      <c r="L344" s="101"/>
      <c r="BB344" s="101"/>
    </row>
    <row r="345" spans="4:54" x14ac:dyDescent="0.15">
      <c r="D345" s="101"/>
      <c r="E345" s="101"/>
      <c r="L345" s="101"/>
      <c r="BB345" s="101"/>
    </row>
    <row r="346" spans="4:54" x14ac:dyDescent="0.15">
      <c r="D346" s="101"/>
      <c r="E346" s="101"/>
      <c r="L346" s="101"/>
      <c r="BB346" s="101"/>
    </row>
    <row r="347" spans="4:54" x14ac:dyDescent="0.15">
      <c r="D347" s="101"/>
      <c r="E347" s="101"/>
      <c r="L347" s="101"/>
      <c r="BB347" s="101"/>
    </row>
    <row r="348" spans="4:54" x14ac:dyDescent="0.15">
      <c r="D348" s="101"/>
      <c r="E348" s="101"/>
      <c r="L348" s="101"/>
      <c r="BB348" s="101"/>
    </row>
    <row r="349" spans="4:54" x14ac:dyDescent="0.15">
      <c r="D349" s="101"/>
      <c r="E349" s="101"/>
      <c r="L349" s="101"/>
      <c r="BB349" s="101"/>
    </row>
    <row r="350" spans="4:54" x14ac:dyDescent="0.15">
      <c r="D350" s="101"/>
      <c r="E350" s="101"/>
      <c r="L350" s="101"/>
      <c r="BB350" s="101"/>
    </row>
    <row r="351" spans="4:54" x14ac:dyDescent="0.15">
      <c r="D351" s="101"/>
      <c r="E351" s="101"/>
      <c r="L351" s="101"/>
      <c r="BB351" s="101"/>
    </row>
    <row r="352" spans="4:54" x14ac:dyDescent="0.15">
      <c r="D352" s="101"/>
      <c r="E352" s="101"/>
      <c r="L352" s="101"/>
      <c r="BB352" s="101"/>
    </row>
    <row r="353" spans="4:54" x14ac:dyDescent="0.15">
      <c r="D353" s="101"/>
      <c r="E353" s="101"/>
      <c r="L353" s="101"/>
      <c r="BB353" s="101"/>
    </row>
    <row r="354" spans="4:54" x14ac:dyDescent="0.15">
      <c r="D354" s="101"/>
      <c r="E354" s="101"/>
      <c r="L354" s="101"/>
      <c r="BB354" s="101"/>
    </row>
    <row r="355" spans="4:54" x14ac:dyDescent="0.15">
      <c r="D355" s="101"/>
      <c r="E355" s="101"/>
      <c r="L355" s="101"/>
      <c r="BB355" s="101"/>
    </row>
    <row r="356" spans="4:54" x14ac:dyDescent="0.15">
      <c r="D356" s="101"/>
      <c r="E356" s="101"/>
      <c r="L356" s="101"/>
      <c r="BB356" s="101"/>
    </row>
    <row r="357" spans="4:54" x14ac:dyDescent="0.15">
      <c r="D357" s="101"/>
      <c r="E357" s="101"/>
      <c r="L357" s="101"/>
      <c r="BB357" s="101"/>
    </row>
    <row r="358" spans="4:54" x14ac:dyDescent="0.15">
      <c r="D358" s="101"/>
      <c r="E358" s="101"/>
      <c r="L358" s="101"/>
      <c r="BB358" s="101"/>
    </row>
    <row r="359" spans="4:54" x14ac:dyDescent="0.15">
      <c r="D359" s="101"/>
      <c r="E359" s="101"/>
      <c r="L359" s="101"/>
      <c r="BB359" s="101"/>
    </row>
    <row r="360" spans="4:54" x14ac:dyDescent="0.15">
      <c r="D360" s="101"/>
      <c r="E360" s="101"/>
      <c r="L360" s="101"/>
      <c r="BB360" s="101"/>
    </row>
    <row r="361" spans="4:54" x14ac:dyDescent="0.15">
      <c r="D361" s="101"/>
      <c r="E361" s="101"/>
      <c r="L361" s="101"/>
      <c r="BB361" s="101"/>
    </row>
    <row r="362" spans="4:54" x14ac:dyDescent="0.15">
      <c r="D362" s="101"/>
      <c r="E362" s="101"/>
      <c r="L362" s="101"/>
      <c r="BB362" s="101"/>
    </row>
    <row r="363" spans="4:54" x14ac:dyDescent="0.15">
      <c r="D363" s="101"/>
      <c r="E363" s="101"/>
      <c r="L363" s="101"/>
      <c r="BB363" s="101"/>
    </row>
    <row r="364" spans="4:54" x14ac:dyDescent="0.15">
      <c r="D364" s="101"/>
      <c r="E364" s="101"/>
      <c r="L364" s="101"/>
      <c r="BB364" s="101"/>
    </row>
    <row r="365" spans="4:54" x14ac:dyDescent="0.15">
      <c r="D365" s="101"/>
      <c r="E365" s="101"/>
      <c r="L365" s="101"/>
      <c r="BB365" s="101"/>
    </row>
    <row r="366" spans="4:54" x14ac:dyDescent="0.15">
      <c r="D366" s="101"/>
      <c r="E366" s="101"/>
      <c r="L366" s="101"/>
      <c r="BB366" s="101"/>
    </row>
    <row r="367" spans="4:54" x14ac:dyDescent="0.15">
      <c r="D367" s="101"/>
      <c r="E367" s="101"/>
      <c r="L367" s="101"/>
      <c r="BB367" s="101"/>
    </row>
    <row r="368" spans="4:54" x14ac:dyDescent="0.15">
      <c r="D368" s="101"/>
      <c r="E368" s="101"/>
      <c r="L368" s="101"/>
      <c r="BB368" s="101"/>
    </row>
    <row r="369" spans="4:54" x14ac:dyDescent="0.15">
      <c r="D369" s="101"/>
      <c r="E369" s="101"/>
      <c r="L369" s="101"/>
      <c r="BB369" s="101"/>
    </row>
    <row r="370" spans="4:54" x14ac:dyDescent="0.15">
      <c r="D370" s="101"/>
      <c r="E370" s="101"/>
      <c r="L370" s="101"/>
      <c r="BB370" s="101"/>
    </row>
    <row r="371" spans="4:54" x14ac:dyDescent="0.15">
      <c r="D371" s="101"/>
      <c r="E371" s="101"/>
      <c r="L371" s="101"/>
      <c r="BB371" s="101"/>
    </row>
    <row r="372" spans="4:54" x14ac:dyDescent="0.15">
      <c r="D372" s="101"/>
      <c r="E372" s="101"/>
      <c r="L372" s="101"/>
      <c r="BB372" s="101"/>
    </row>
    <row r="373" spans="4:54" x14ac:dyDescent="0.15">
      <c r="D373" s="101"/>
      <c r="E373" s="101"/>
      <c r="L373" s="101"/>
      <c r="BB373" s="101"/>
    </row>
    <row r="374" spans="4:54" x14ac:dyDescent="0.15">
      <c r="D374" s="101"/>
      <c r="E374" s="101"/>
      <c r="L374" s="101"/>
      <c r="BB374" s="101"/>
    </row>
    <row r="375" spans="4:54" x14ac:dyDescent="0.15">
      <c r="D375" s="101"/>
      <c r="E375" s="101"/>
      <c r="L375" s="101"/>
      <c r="BB375" s="101"/>
    </row>
    <row r="376" spans="4:54" x14ac:dyDescent="0.15">
      <c r="D376" s="101"/>
      <c r="E376" s="101"/>
      <c r="L376" s="101"/>
      <c r="BB376" s="101"/>
    </row>
    <row r="377" spans="4:54" x14ac:dyDescent="0.15">
      <c r="D377" s="101"/>
      <c r="E377" s="101"/>
      <c r="L377" s="101"/>
      <c r="BB377" s="101"/>
    </row>
    <row r="378" spans="4:54" x14ac:dyDescent="0.15">
      <c r="D378" s="101"/>
      <c r="E378" s="101"/>
      <c r="L378" s="101"/>
      <c r="BB378" s="101"/>
    </row>
    <row r="379" spans="4:54" x14ac:dyDescent="0.15">
      <c r="D379" s="101"/>
      <c r="E379" s="101"/>
      <c r="L379" s="101"/>
      <c r="BB379" s="101"/>
    </row>
    <row r="380" spans="4:54" x14ac:dyDescent="0.15">
      <c r="D380" s="101"/>
      <c r="E380" s="101"/>
      <c r="L380" s="101"/>
      <c r="BB380" s="101"/>
    </row>
    <row r="381" spans="4:54" x14ac:dyDescent="0.15">
      <c r="D381" s="101"/>
      <c r="E381" s="101"/>
      <c r="L381" s="101"/>
      <c r="BB381" s="101"/>
    </row>
    <row r="382" spans="4:54" x14ac:dyDescent="0.15">
      <c r="D382" s="101"/>
      <c r="E382" s="101"/>
      <c r="L382" s="101"/>
      <c r="BB382" s="101"/>
    </row>
    <row r="383" spans="4:54" x14ac:dyDescent="0.15">
      <c r="D383" s="101"/>
      <c r="E383" s="101"/>
      <c r="L383" s="101"/>
      <c r="BB383" s="101"/>
    </row>
    <row r="384" spans="4:54" x14ac:dyDescent="0.15">
      <c r="D384" s="101"/>
      <c r="E384" s="101"/>
      <c r="L384" s="101"/>
      <c r="BB384" s="101"/>
    </row>
    <row r="385" spans="4:54" x14ac:dyDescent="0.15">
      <c r="D385" s="101"/>
      <c r="E385" s="101"/>
      <c r="L385" s="101"/>
      <c r="BB385" s="101"/>
    </row>
    <row r="386" spans="4:54" x14ac:dyDescent="0.15">
      <c r="D386" s="101"/>
      <c r="E386" s="101"/>
      <c r="L386" s="101"/>
      <c r="BB386" s="101"/>
    </row>
    <row r="387" spans="4:54" x14ac:dyDescent="0.15">
      <c r="D387" s="101"/>
      <c r="E387" s="101"/>
      <c r="L387" s="101"/>
      <c r="BB387" s="101"/>
    </row>
    <row r="388" spans="4:54" x14ac:dyDescent="0.15">
      <c r="D388" s="101"/>
      <c r="E388" s="101"/>
      <c r="L388" s="101"/>
      <c r="BB388" s="101"/>
    </row>
    <row r="389" spans="4:54" x14ac:dyDescent="0.15">
      <c r="D389" s="101"/>
      <c r="E389" s="101"/>
      <c r="L389" s="101"/>
      <c r="BB389" s="101"/>
    </row>
    <row r="390" spans="4:54" x14ac:dyDescent="0.15">
      <c r="D390" s="101"/>
      <c r="E390" s="101"/>
      <c r="L390" s="101"/>
      <c r="BB390" s="101"/>
    </row>
    <row r="391" spans="4:54" x14ac:dyDescent="0.15">
      <c r="D391" s="101"/>
      <c r="E391" s="101"/>
      <c r="L391" s="101"/>
      <c r="BB391" s="101"/>
    </row>
    <row r="392" spans="4:54" x14ac:dyDescent="0.15">
      <c r="D392" s="101"/>
      <c r="E392" s="101"/>
      <c r="L392" s="101"/>
      <c r="BB392" s="101"/>
    </row>
    <row r="393" spans="4:54" x14ac:dyDescent="0.15">
      <c r="D393" s="101"/>
      <c r="E393" s="101"/>
      <c r="L393" s="101"/>
      <c r="BB393" s="101"/>
    </row>
    <row r="394" spans="4:54" x14ac:dyDescent="0.15">
      <c r="D394" s="101"/>
      <c r="E394" s="101"/>
      <c r="L394" s="101"/>
      <c r="BB394" s="101"/>
    </row>
    <row r="395" spans="4:54" x14ac:dyDescent="0.15">
      <c r="D395" s="101"/>
      <c r="E395" s="101"/>
      <c r="L395" s="101"/>
      <c r="BB395" s="101"/>
    </row>
    <row r="396" spans="4:54" x14ac:dyDescent="0.15">
      <c r="D396" s="101"/>
      <c r="E396" s="101"/>
      <c r="L396" s="101"/>
      <c r="BB396" s="101"/>
    </row>
    <row r="397" spans="4:54" x14ac:dyDescent="0.15">
      <c r="D397" s="101"/>
      <c r="E397" s="101"/>
      <c r="L397" s="101"/>
      <c r="BB397" s="101"/>
    </row>
    <row r="398" spans="4:54" x14ac:dyDescent="0.15">
      <c r="D398" s="101"/>
      <c r="E398" s="101"/>
      <c r="L398" s="101"/>
      <c r="BB398" s="101"/>
    </row>
    <row r="399" spans="4:54" x14ac:dyDescent="0.15">
      <c r="D399" s="101"/>
      <c r="E399" s="101"/>
      <c r="L399" s="101"/>
      <c r="BB399" s="101"/>
    </row>
    <row r="400" spans="4:54" x14ac:dyDescent="0.15">
      <c r="D400" s="101"/>
      <c r="E400" s="101"/>
      <c r="L400" s="101"/>
      <c r="BB400" s="101"/>
    </row>
    <row r="401" spans="4:54" x14ac:dyDescent="0.15">
      <c r="D401" s="101"/>
      <c r="E401" s="101"/>
      <c r="L401" s="101"/>
      <c r="BB401" s="101"/>
    </row>
    <row r="402" spans="4:54" x14ac:dyDescent="0.15">
      <c r="D402" s="101"/>
      <c r="E402" s="101"/>
      <c r="L402" s="101"/>
      <c r="BB402" s="101"/>
    </row>
    <row r="403" spans="4:54" x14ac:dyDescent="0.15">
      <c r="D403" s="101"/>
      <c r="E403" s="101"/>
      <c r="L403" s="101"/>
      <c r="BB403" s="101"/>
    </row>
    <row r="404" spans="4:54" x14ac:dyDescent="0.15">
      <c r="D404" s="101"/>
      <c r="E404" s="101"/>
      <c r="L404" s="101"/>
      <c r="BB404" s="101"/>
    </row>
    <row r="405" spans="4:54" x14ac:dyDescent="0.15">
      <c r="D405" s="101"/>
      <c r="E405" s="101"/>
      <c r="L405" s="101"/>
      <c r="BB405" s="101"/>
    </row>
    <row r="406" spans="4:54" x14ac:dyDescent="0.15">
      <c r="D406" s="101"/>
      <c r="E406" s="101"/>
      <c r="L406" s="101"/>
      <c r="BB406" s="101"/>
    </row>
    <row r="407" spans="4:54" x14ac:dyDescent="0.15">
      <c r="D407" s="101"/>
      <c r="E407" s="101"/>
      <c r="L407" s="101"/>
      <c r="BB407" s="101"/>
    </row>
    <row r="408" spans="4:54" x14ac:dyDescent="0.15">
      <c r="D408" s="101"/>
      <c r="E408" s="101"/>
      <c r="L408" s="101"/>
      <c r="BB408" s="101"/>
    </row>
    <row r="409" spans="4:54" x14ac:dyDescent="0.15">
      <c r="D409" s="101"/>
      <c r="E409" s="101"/>
      <c r="L409" s="101"/>
      <c r="BB409" s="101"/>
    </row>
    <row r="410" spans="4:54" x14ac:dyDescent="0.15">
      <c r="D410" s="101"/>
      <c r="E410" s="101"/>
      <c r="L410" s="101"/>
      <c r="BB410" s="101"/>
    </row>
    <row r="411" spans="4:54" x14ac:dyDescent="0.15">
      <c r="D411" s="101"/>
      <c r="E411" s="101"/>
      <c r="L411" s="101"/>
      <c r="BB411" s="101"/>
    </row>
    <row r="412" spans="4:54" x14ac:dyDescent="0.15">
      <c r="D412" s="101"/>
      <c r="E412" s="101"/>
      <c r="L412" s="101"/>
      <c r="BB412" s="101"/>
    </row>
    <row r="413" spans="4:54" x14ac:dyDescent="0.15">
      <c r="D413" s="101"/>
      <c r="E413" s="101"/>
      <c r="L413" s="101"/>
      <c r="BB413" s="101"/>
    </row>
    <row r="414" spans="4:54" x14ac:dyDescent="0.15">
      <c r="D414" s="101"/>
      <c r="E414" s="101"/>
      <c r="L414" s="101"/>
      <c r="BB414" s="101"/>
    </row>
    <row r="415" spans="4:54" x14ac:dyDescent="0.15">
      <c r="D415" s="101"/>
      <c r="E415" s="101"/>
      <c r="L415" s="101"/>
      <c r="BB415" s="101"/>
    </row>
    <row r="416" spans="4:54" x14ac:dyDescent="0.15">
      <c r="D416" s="101"/>
      <c r="E416" s="101"/>
      <c r="L416" s="101"/>
      <c r="BB416" s="101"/>
    </row>
    <row r="417" spans="4:54" x14ac:dyDescent="0.15">
      <c r="D417" s="101"/>
      <c r="E417" s="101"/>
      <c r="L417" s="101"/>
      <c r="BB417" s="101"/>
    </row>
    <row r="418" spans="4:54" x14ac:dyDescent="0.15">
      <c r="D418" s="101"/>
      <c r="E418" s="101"/>
      <c r="L418" s="101"/>
      <c r="BB418" s="101"/>
    </row>
    <row r="419" spans="4:54" x14ac:dyDescent="0.15">
      <c r="D419" s="101"/>
      <c r="E419" s="101"/>
      <c r="L419" s="101"/>
      <c r="BB419" s="101"/>
    </row>
    <row r="420" spans="4:54" x14ac:dyDescent="0.15">
      <c r="D420" s="101"/>
      <c r="E420" s="101"/>
      <c r="L420" s="101"/>
      <c r="BB420" s="101"/>
    </row>
    <row r="421" spans="4:54" x14ac:dyDescent="0.15">
      <c r="D421" s="101"/>
      <c r="E421" s="101"/>
      <c r="L421" s="101"/>
      <c r="BB421" s="101"/>
    </row>
    <row r="422" spans="4:54" x14ac:dyDescent="0.15">
      <c r="D422" s="101"/>
      <c r="E422" s="101"/>
      <c r="L422" s="101"/>
      <c r="BB422" s="101"/>
    </row>
    <row r="423" spans="4:54" x14ac:dyDescent="0.15">
      <c r="D423" s="101"/>
      <c r="E423" s="101"/>
      <c r="L423" s="101"/>
      <c r="BB423" s="101"/>
    </row>
    <row r="424" spans="4:54" x14ac:dyDescent="0.15">
      <c r="D424" s="101"/>
      <c r="E424" s="101"/>
      <c r="L424" s="101"/>
      <c r="BB424" s="101"/>
    </row>
    <row r="425" spans="4:54" x14ac:dyDescent="0.15">
      <c r="D425" s="101"/>
      <c r="E425" s="101"/>
      <c r="L425" s="101"/>
      <c r="BB425" s="101"/>
    </row>
    <row r="426" spans="4:54" x14ac:dyDescent="0.15">
      <c r="D426" s="101"/>
      <c r="E426" s="101"/>
      <c r="L426" s="101"/>
      <c r="BB426" s="101"/>
    </row>
    <row r="427" spans="4:54" x14ac:dyDescent="0.15">
      <c r="D427" s="101"/>
      <c r="E427" s="101"/>
      <c r="L427" s="101"/>
      <c r="BB427" s="101"/>
    </row>
    <row r="428" spans="4:54" x14ac:dyDescent="0.15">
      <c r="D428" s="101"/>
      <c r="E428" s="101"/>
      <c r="L428" s="101"/>
      <c r="BB428" s="101"/>
    </row>
    <row r="429" spans="4:54" x14ac:dyDescent="0.15">
      <c r="D429" s="101"/>
      <c r="E429" s="101"/>
      <c r="L429" s="101"/>
      <c r="BB429" s="101"/>
    </row>
    <row r="430" spans="4:54" x14ac:dyDescent="0.15">
      <c r="D430" s="101"/>
      <c r="E430" s="101"/>
      <c r="L430" s="101"/>
      <c r="BB430" s="101"/>
    </row>
    <row r="431" spans="4:54" x14ac:dyDescent="0.15">
      <c r="D431" s="101"/>
      <c r="E431" s="101"/>
      <c r="L431" s="101"/>
      <c r="BB431" s="101"/>
    </row>
    <row r="432" spans="4:54" x14ac:dyDescent="0.15">
      <c r="D432" s="101"/>
      <c r="E432" s="101"/>
      <c r="L432" s="101"/>
      <c r="BB432" s="101"/>
    </row>
    <row r="433" spans="4:54" x14ac:dyDescent="0.15">
      <c r="D433" s="101"/>
      <c r="E433" s="101"/>
      <c r="L433" s="101"/>
      <c r="BB433" s="101"/>
    </row>
    <row r="434" spans="4:54" x14ac:dyDescent="0.15">
      <c r="D434" s="101"/>
      <c r="E434" s="101"/>
      <c r="L434" s="101"/>
      <c r="BB434" s="101"/>
    </row>
    <row r="435" spans="4:54" x14ac:dyDescent="0.15">
      <c r="D435" s="101"/>
      <c r="E435" s="101"/>
      <c r="L435" s="101"/>
      <c r="BB435" s="101"/>
    </row>
    <row r="436" spans="4:54" x14ac:dyDescent="0.15">
      <c r="D436" s="101"/>
      <c r="E436" s="101"/>
      <c r="L436" s="101"/>
      <c r="BB436" s="101"/>
    </row>
    <row r="437" spans="4:54" x14ac:dyDescent="0.15">
      <c r="D437" s="101"/>
      <c r="E437" s="101"/>
      <c r="L437" s="101"/>
      <c r="BB437" s="101"/>
    </row>
    <row r="438" spans="4:54" x14ac:dyDescent="0.15">
      <c r="D438" s="101"/>
      <c r="E438" s="101"/>
      <c r="L438" s="101"/>
      <c r="BB438" s="101"/>
    </row>
    <row r="439" spans="4:54" x14ac:dyDescent="0.15">
      <c r="D439" s="101"/>
      <c r="E439" s="101"/>
      <c r="L439" s="101"/>
      <c r="BB439" s="101"/>
    </row>
    <row r="440" spans="4:54" x14ac:dyDescent="0.15">
      <c r="D440" s="101"/>
      <c r="E440" s="101"/>
      <c r="L440" s="101"/>
      <c r="BB440" s="101"/>
    </row>
    <row r="441" spans="4:54" x14ac:dyDescent="0.15">
      <c r="D441" s="101"/>
      <c r="E441" s="101"/>
      <c r="L441" s="101"/>
      <c r="BB441" s="101"/>
    </row>
    <row r="442" spans="4:54" x14ac:dyDescent="0.15">
      <c r="D442" s="101"/>
      <c r="E442" s="101"/>
      <c r="L442" s="101"/>
      <c r="BB442" s="101"/>
    </row>
    <row r="443" spans="4:54" x14ac:dyDescent="0.15">
      <c r="D443" s="101"/>
      <c r="E443" s="101"/>
      <c r="L443" s="101"/>
      <c r="BB443" s="101"/>
    </row>
    <row r="444" spans="4:54" x14ac:dyDescent="0.15">
      <c r="D444" s="101"/>
      <c r="E444" s="101"/>
      <c r="L444" s="101"/>
      <c r="BB444" s="101"/>
    </row>
    <row r="445" spans="4:54" x14ac:dyDescent="0.15">
      <c r="D445" s="101"/>
      <c r="E445" s="101"/>
      <c r="L445" s="101"/>
      <c r="BB445" s="101"/>
    </row>
    <row r="446" spans="4:54" x14ac:dyDescent="0.15">
      <c r="D446" s="101"/>
      <c r="E446" s="101"/>
      <c r="L446" s="101"/>
      <c r="BB446" s="101"/>
    </row>
    <row r="447" spans="4:54" x14ac:dyDescent="0.15">
      <c r="D447" s="101"/>
      <c r="E447" s="101"/>
      <c r="L447" s="101"/>
      <c r="BB447" s="101"/>
    </row>
    <row r="448" spans="4:54" x14ac:dyDescent="0.15">
      <c r="D448" s="101"/>
      <c r="E448" s="101"/>
      <c r="L448" s="101"/>
      <c r="BB448" s="101"/>
    </row>
    <row r="449" spans="4:54" x14ac:dyDescent="0.15">
      <c r="D449" s="101"/>
      <c r="E449" s="101"/>
      <c r="L449" s="101"/>
      <c r="BB449" s="101"/>
    </row>
    <row r="450" spans="4:54" x14ac:dyDescent="0.15">
      <c r="D450" s="101"/>
      <c r="E450" s="101"/>
      <c r="L450" s="101"/>
      <c r="BB450" s="101"/>
    </row>
    <row r="451" spans="4:54" x14ac:dyDescent="0.15">
      <c r="D451" s="101"/>
      <c r="E451" s="101"/>
      <c r="L451" s="101"/>
      <c r="BB451" s="101"/>
    </row>
    <row r="452" spans="4:54" x14ac:dyDescent="0.15">
      <c r="D452" s="101"/>
      <c r="E452" s="101"/>
      <c r="L452" s="101"/>
      <c r="BB452" s="101"/>
    </row>
    <row r="453" spans="4:54" x14ac:dyDescent="0.15">
      <c r="D453" s="101"/>
      <c r="E453" s="101"/>
      <c r="L453" s="101"/>
      <c r="BB453" s="101"/>
    </row>
    <row r="454" spans="4:54" x14ac:dyDescent="0.15">
      <c r="D454" s="101"/>
      <c r="E454" s="101"/>
      <c r="L454" s="101"/>
      <c r="BB454" s="101"/>
    </row>
    <row r="455" spans="4:54" x14ac:dyDescent="0.15">
      <c r="D455" s="101"/>
      <c r="E455" s="101"/>
      <c r="L455" s="101"/>
      <c r="BB455" s="101"/>
    </row>
    <row r="456" spans="4:54" x14ac:dyDescent="0.15">
      <c r="D456" s="101"/>
      <c r="E456" s="101"/>
      <c r="L456" s="101"/>
      <c r="BB456" s="101"/>
    </row>
    <row r="457" spans="4:54" x14ac:dyDescent="0.15">
      <c r="D457" s="101"/>
      <c r="E457" s="101"/>
      <c r="L457" s="101"/>
      <c r="BB457" s="101"/>
    </row>
    <row r="458" spans="4:54" x14ac:dyDescent="0.15">
      <c r="D458" s="101"/>
      <c r="E458" s="101"/>
      <c r="L458" s="101"/>
      <c r="BB458" s="101"/>
    </row>
    <row r="459" spans="4:54" x14ac:dyDescent="0.15">
      <c r="D459" s="101"/>
      <c r="E459" s="101"/>
      <c r="L459" s="101"/>
      <c r="BB459" s="101"/>
    </row>
    <row r="460" spans="4:54" x14ac:dyDescent="0.15">
      <c r="D460" s="101"/>
      <c r="E460" s="101"/>
      <c r="L460" s="101"/>
      <c r="BB460" s="101"/>
    </row>
    <row r="461" spans="4:54" x14ac:dyDescent="0.15">
      <c r="D461" s="101"/>
      <c r="E461" s="101"/>
      <c r="L461" s="101"/>
      <c r="BB461" s="101"/>
    </row>
    <row r="462" spans="4:54" x14ac:dyDescent="0.15">
      <c r="D462" s="101"/>
      <c r="E462" s="101"/>
      <c r="L462" s="101"/>
      <c r="BB462" s="101"/>
    </row>
    <row r="463" spans="4:54" x14ac:dyDescent="0.15">
      <c r="D463" s="101"/>
      <c r="E463" s="101"/>
      <c r="L463" s="101"/>
      <c r="BB463" s="101"/>
    </row>
    <row r="464" spans="4:54" x14ac:dyDescent="0.15">
      <c r="D464" s="101"/>
      <c r="E464" s="101"/>
      <c r="L464" s="101"/>
      <c r="BB464" s="101"/>
    </row>
    <row r="465" spans="4:54" x14ac:dyDescent="0.15">
      <c r="D465" s="101"/>
      <c r="E465" s="101"/>
      <c r="L465" s="101"/>
      <c r="BB465" s="101"/>
    </row>
    <row r="466" spans="4:54" x14ac:dyDescent="0.15">
      <c r="D466" s="101"/>
      <c r="E466" s="101"/>
      <c r="L466" s="101"/>
      <c r="BB466" s="101"/>
    </row>
    <row r="467" spans="4:54" x14ac:dyDescent="0.15">
      <c r="D467" s="101"/>
      <c r="E467" s="101"/>
      <c r="L467" s="101"/>
      <c r="BB467" s="101"/>
    </row>
    <row r="468" spans="4:54" x14ac:dyDescent="0.15">
      <c r="D468" s="101"/>
      <c r="E468" s="101"/>
      <c r="L468" s="101"/>
      <c r="BB468" s="101"/>
    </row>
    <row r="469" spans="4:54" x14ac:dyDescent="0.15">
      <c r="D469" s="101"/>
      <c r="E469" s="101"/>
      <c r="L469" s="101"/>
      <c r="BB469" s="101"/>
    </row>
    <row r="470" spans="4:54" x14ac:dyDescent="0.15">
      <c r="D470" s="101"/>
      <c r="E470" s="101"/>
      <c r="L470" s="101"/>
      <c r="BB470" s="101"/>
    </row>
    <row r="471" spans="4:54" x14ac:dyDescent="0.15">
      <c r="D471" s="101"/>
      <c r="E471" s="101"/>
      <c r="L471" s="101"/>
      <c r="BB471" s="101"/>
    </row>
    <row r="472" spans="4:54" x14ac:dyDescent="0.15">
      <c r="D472" s="101"/>
      <c r="E472" s="101"/>
      <c r="L472" s="101"/>
      <c r="BB472" s="101"/>
    </row>
    <row r="473" spans="4:54" x14ac:dyDescent="0.15">
      <c r="D473" s="101"/>
      <c r="E473" s="101"/>
      <c r="L473" s="101"/>
      <c r="BB473" s="101"/>
    </row>
    <row r="474" spans="4:54" x14ac:dyDescent="0.15">
      <c r="D474" s="101"/>
      <c r="E474" s="101"/>
      <c r="L474" s="101"/>
      <c r="BB474" s="101"/>
    </row>
    <row r="475" spans="4:54" x14ac:dyDescent="0.15">
      <c r="D475" s="101"/>
      <c r="E475" s="101"/>
      <c r="L475" s="101"/>
      <c r="BB475" s="101"/>
    </row>
    <row r="476" spans="4:54" x14ac:dyDescent="0.15">
      <c r="D476" s="101"/>
      <c r="E476" s="101"/>
      <c r="L476" s="101"/>
      <c r="BB476" s="101"/>
    </row>
    <row r="477" spans="4:54" x14ac:dyDescent="0.15">
      <c r="D477" s="101"/>
      <c r="E477" s="101"/>
      <c r="L477" s="101"/>
      <c r="BB477" s="101"/>
    </row>
    <row r="478" spans="4:54" x14ac:dyDescent="0.15">
      <c r="D478" s="101"/>
      <c r="E478" s="101"/>
      <c r="L478" s="101"/>
      <c r="BB478" s="101"/>
    </row>
    <row r="479" spans="4:54" x14ac:dyDescent="0.15">
      <c r="D479" s="101"/>
      <c r="E479" s="101"/>
      <c r="L479" s="101"/>
      <c r="BB479" s="101"/>
    </row>
    <row r="480" spans="4:54" x14ac:dyDescent="0.15">
      <c r="D480" s="101"/>
      <c r="E480" s="101"/>
      <c r="L480" s="101"/>
      <c r="BB480" s="101"/>
    </row>
    <row r="481" spans="4:54" x14ac:dyDescent="0.15">
      <c r="D481" s="101"/>
      <c r="E481" s="101"/>
      <c r="L481" s="101"/>
      <c r="BB481" s="101"/>
    </row>
    <row r="482" spans="4:54" x14ac:dyDescent="0.15">
      <c r="D482" s="101"/>
      <c r="E482" s="101"/>
      <c r="L482" s="101"/>
      <c r="BB482" s="101"/>
    </row>
    <row r="483" spans="4:54" x14ac:dyDescent="0.15">
      <c r="D483" s="101"/>
      <c r="E483" s="101"/>
      <c r="L483" s="101"/>
      <c r="BB483" s="101"/>
    </row>
    <row r="484" spans="4:54" x14ac:dyDescent="0.15">
      <c r="D484" s="101"/>
      <c r="E484" s="101"/>
      <c r="L484" s="101"/>
      <c r="BB484" s="101"/>
    </row>
    <row r="485" spans="4:54" x14ac:dyDescent="0.15">
      <c r="D485" s="101"/>
      <c r="E485" s="101"/>
      <c r="L485" s="101"/>
      <c r="BB485" s="101"/>
    </row>
    <row r="486" spans="4:54" x14ac:dyDescent="0.15">
      <c r="D486" s="101"/>
      <c r="E486" s="101"/>
      <c r="L486" s="101"/>
      <c r="BB486" s="101"/>
    </row>
    <row r="487" spans="4:54" x14ac:dyDescent="0.15">
      <c r="D487" s="101"/>
      <c r="E487" s="101"/>
      <c r="L487" s="101"/>
      <c r="BB487" s="101"/>
    </row>
    <row r="488" spans="4:54" x14ac:dyDescent="0.15">
      <c r="D488" s="101"/>
      <c r="E488" s="101"/>
      <c r="L488" s="101"/>
      <c r="BB488" s="101"/>
    </row>
    <row r="489" spans="4:54" x14ac:dyDescent="0.15">
      <c r="D489" s="101"/>
      <c r="E489" s="101"/>
      <c r="L489" s="101"/>
      <c r="BB489" s="101"/>
    </row>
    <row r="490" spans="4:54" x14ac:dyDescent="0.15">
      <c r="D490" s="101"/>
      <c r="E490" s="101"/>
      <c r="L490" s="101"/>
      <c r="BB490" s="101"/>
    </row>
    <row r="491" spans="4:54" x14ac:dyDescent="0.15">
      <c r="D491" s="101"/>
      <c r="E491" s="101"/>
      <c r="L491" s="101"/>
      <c r="BB491" s="101"/>
    </row>
    <row r="492" spans="4:54" x14ac:dyDescent="0.15">
      <c r="D492" s="101"/>
      <c r="E492" s="101"/>
      <c r="L492" s="101"/>
      <c r="BB492" s="101"/>
    </row>
    <row r="493" spans="4:54" x14ac:dyDescent="0.15">
      <c r="D493" s="101"/>
      <c r="E493" s="101"/>
      <c r="L493" s="101"/>
      <c r="BB493" s="101"/>
    </row>
    <row r="494" spans="4:54" x14ac:dyDescent="0.15">
      <c r="D494" s="101"/>
      <c r="E494" s="101"/>
      <c r="L494" s="101"/>
      <c r="BB494" s="101"/>
    </row>
    <row r="495" spans="4:54" x14ac:dyDescent="0.15">
      <c r="D495" s="101"/>
      <c r="E495" s="101"/>
      <c r="L495" s="101"/>
      <c r="BB495" s="101"/>
    </row>
    <row r="496" spans="4:54" x14ac:dyDescent="0.15">
      <c r="D496" s="101"/>
      <c r="E496" s="101"/>
      <c r="L496" s="101"/>
      <c r="BB496" s="101"/>
    </row>
    <row r="497" spans="4:54" x14ac:dyDescent="0.15">
      <c r="D497" s="101"/>
      <c r="E497" s="101"/>
      <c r="L497" s="101"/>
      <c r="BB497" s="101"/>
    </row>
    <row r="498" spans="4:54" x14ac:dyDescent="0.15">
      <c r="D498" s="101"/>
      <c r="E498" s="101"/>
      <c r="L498" s="101"/>
      <c r="BB498" s="101"/>
    </row>
    <row r="499" spans="4:54" x14ac:dyDescent="0.15">
      <c r="D499" s="101"/>
      <c r="E499" s="101"/>
      <c r="L499" s="101"/>
      <c r="BB499" s="101"/>
    </row>
    <row r="500" spans="4:54" x14ac:dyDescent="0.15">
      <c r="D500" s="101"/>
      <c r="E500" s="101"/>
      <c r="L500" s="101"/>
      <c r="BB500" s="101"/>
    </row>
    <row r="501" spans="4:54" x14ac:dyDescent="0.15">
      <c r="D501" s="101"/>
      <c r="E501" s="101"/>
      <c r="L501" s="101"/>
      <c r="BB501" s="101"/>
    </row>
    <row r="502" spans="4:54" x14ac:dyDescent="0.15">
      <c r="D502" s="101"/>
      <c r="E502" s="101"/>
      <c r="L502" s="101"/>
      <c r="BB502" s="101"/>
    </row>
    <row r="503" spans="4:54" x14ac:dyDescent="0.15">
      <c r="D503" s="101"/>
      <c r="E503" s="101"/>
      <c r="L503" s="101"/>
      <c r="BB503" s="101"/>
    </row>
    <row r="504" spans="4:54" x14ac:dyDescent="0.15">
      <c r="D504" s="101"/>
      <c r="E504" s="101"/>
      <c r="L504" s="101"/>
      <c r="BB504" s="101"/>
    </row>
    <row r="505" spans="4:54" x14ac:dyDescent="0.15">
      <c r="D505" s="101"/>
      <c r="E505" s="101"/>
      <c r="L505" s="101"/>
      <c r="BB505" s="101"/>
    </row>
    <row r="506" spans="4:54" x14ac:dyDescent="0.15">
      <c r="D506" s="101"/>
      <c r="E506" s="101"/>
      <c r="L506" s="101"/>
      <c r="BB506" s="101"/>
    </row>
    <row r="507" spans="4:54" x14ac:dyDescent="0.15">
      <c r="D507" s="101"/>
      <c r="E507" s="101"/>
      <c r="L507" s="101"/>
      <c r="BB507" s="101"/>
    </row>
    <row r="508" spans="4:54" x14ac:dyDescent="0.15">
      <c r="D508" s="101"/>
      <c r="E508" s="101"/>
      <c r="L508" s="101"/>
      <c r="BB508" s="101"/>
    </row>
    <row r="509" spans="4:54" x14ac:dyDescent="0.15">
      <c r="D509" s="101"/>
      <c r="E509" s="101"/>
      <c r="L509" s="101"/>
      <c r="BB509" s="101"/>
    </row>
    <row r="510" spans="4:54" x14ac:dyDescent="0.15">
      <c r="D510" s="101"/>
      <c r="E510" s="101"/>
      <c r="L510" s="101"/>
      <c r="BB510" s="101"/>
    </row>
    <row r="511" spans="4:54" x14ac:dyDescent="0.15">
      <c r="D511" s="101"/>
      <c r="E511" s="101"/>
      <c r="L511" s="101"/>
      <c r="BB511" s="101"/>
    </row>
    <row r="512" spans="4:54" x14ac:dyDescent="0.15">
      <c r="D512" s="101"/>
      <c r="E512" s="101"/>
      <c r="L512" s="101"/>
      <c r="BB512" s="101"/>
    </row>
    <row r="513" spans="4:54" x14ac:dyDescent="0.15">
      <c r="D513" s="101"/>
      <c r="E513" s="101"/>
      <c r="L513" s="101"/>
      <c r="BB513" s="101"/>
    </row>
    <row r="514" spans="4:54" x14ac:dyDescent="0.15">
      <c r="D514" s="101"/>
      <c r="E514" s="101"/>
      <c r="L514" s="101"/>
      <c r="BB514" s="101"/>
    </row>
    <row r="515" spans="4:54" x14ac:dyDescent="0.15">
      <c r="D515" s="101"/>
      <c r="E515" s="101"/>
      <c r="L515" s="101"/>
      <c r="BB515" s="101"/>
    </row>
    <row r="516" spans="4:54" x14ac:dyDescent="0.15">
      <c r="D516" s="101"/>
      <c r="E516" s="101"/>
      <c r="L516" s="101"/>
      <c r="BB516" s="101"/>
    </row>
    <row r="517" spans="4:54" x14ac:dyDescent="0.15">
      <c r="D517" s="101"/>
      <c r="E517" s="101"/>
      <c r="L517" s="101"/>
      <c r="BB517" s="101"/>
    </row>
    <row r="518" spans="4:54" x14ac:dyDescent="0.15">
      <c r="D518" s="101"/>
      <c r="E518" s="101"/>
      <c r="L518" s="101"/>
      <c r="BB518" s="101"/>
    </row>
    <row r="519" spans="4:54" x14ac:dyDescent="0.15">
      <c r="D519" s="101"/>
      <c r="E519" s="101"/>
      <c r="L519" s="101"/>
      <c r="BB519" s="101"/>
    </row>
    <row r="520" spans="4:54" x14ac:dyDescent="0.15">
      <c r="D520" s="101"/>
      <c r="E520" s="101"/>
      <c r="L520" s="101"/>
      <c r="BB520" s="101"/>
    </row>
    <row r="521" spans="4:54" x14ac:dyDescent="0.15">
      <c r="D521" s="101"/>
      <c r="E521" s="101"/>
      <c r="L521" s="101"/>
      <c r="BB521" s="101"/>
    </row>
    <row r="522" spans="4:54" x14ac:dyDescent="0.15">
      <c r="D522" s="101"/>
      <c r="E522" s="101"/>
      <c r="L522" s="101"/>
      <c r="BB522" s="101"/>
    </row>
    <row r="523" spans="4:54" x14ac:dyDescent="0.15">
      <c r="D523" s="101"/>
      <c r="E523" s="101"/>
      <c r="L523" s="101"/>
      <c r="BB523" s="101"/>
    </row>
    <row r="524" spans="4:54" x14ac:dyDescent="0.15">
      <c r="D524" s="101"/>
      <c r="E524" s="101"/>
      <c r="L524" s="101"/>
      <c r="BB524" s="101"/>
    </row>
    <row r="525" spans="4:54" x14ac:dyDescent="0.15">
      <c r="D525" s="101"/>
      <c r="E525" s="101"/>
      <c r="L525" s="101"/>
      <c r="BB525" s="101"/>
    </row>
    <row r="526" spans="4:54" x14ac:dyDescent="0.15">
      <c r="D526" s="101"/>
      <c r="E526" s="101"/>
      <c r="L526" s="101"/>
      <c r="BB526" s="101"/>
    </row>
    <row r="527" spans="4:54" x14ac:dyDescent="0.15">
      <c r="D527" s="101"/>
      <c r="E527" s="101"/>
      <c r="L527" s="101"/>
      <c r="BB527" s="101"/>
    </row>
    <row r="528" spans="4:54" x14ac:dyDescent="0.15">
      <c r="D528" s="101"/>
      <c r="E528" s="101"/>
      <c r="L528" s="101"/>
      <c r="BB528" s="101"/>
    </row>
    <row r="529" spans="4:54" x14ac:dyDescent="0.15">
      <c r="D529" s="101"/>
      <c r="E529" s="101"/>
      <c r="L529" s="101"/>
      <c r="BB529" s="101"/>
    </row>
    <row r="530" spans="4:54" x14ac:dyDescent="0.15">
      <c r="D530" s="101"/>
      <c r="E530" s="101"/>
      <c r="L530" s="101"/>
      <c r="BB530" s="101"/>
    </row>
    <row r="531" spans="4:54" x14ac:dyDescent="0.15">
      <c r="D531" s="101"/>
      <c r="E531" s="101"/>
      <c r="L531" s="101"/>
      <c r="BB531" s="101"/>
    </row>
    <row r="532" spans="4:54" x14ac:dyDescent="0.15">
      <c r="D532" s="101"/>
      <c r="E532" s="101"/>
      <c r="L532" s="101"/>
      <c r="BB532" s="101"/>
    </row>
    <row r="533" spans="4:54" x14ac:dyDescent="0.15">
      <c r="D533" s="101"/>
      <c r="E533" s="101"/>
      <c r="L533" s="101"/>
      <c r="BB533" s="101"/>
    </row>
    <row r="534" spans="4:54" x14ac:dyDescent="0.15">
      <c r="D534" s="101"/>
      <c r="E534" s="101"/>
      <c r="L534" s="101"/>
      <c r="BB534" s="101"/>
    </row>
    <row r="535" spans="4:54" x14ac:dyDescent="0.15">
      <c r="D535" s="101"/>
      <c r="E535" s="101"/>
      <c r="L535" s="101"/>
      <c r="BB535" s="101"/>
    </row>
    <row r="536" spans="4:54" x14ac:dyDescent="0.15">
      <c r="D536" s="101"/>
      <c r="E536" s="101"/>
      <c r="L536" s="101"/>
      <c r="BB536" s="101"/>
    </row>
    <row r="537" spans="4:54" x14ac:dyDescent="0.15">
      <c r="D537" s="101"/>
      <c r="E537" s="101"/>
      <c r="L537" s="101"/>
      <c r="BB537" s="101"/>
    </row>
    <row r="538" spans="4:54" x14ac:dyDescent="0.15">
      <c r="D538" s="101"/>
      <c r="E538" s="101"/>
      <c r="L538" s="101"/>
      <c r="BB538" s="101"/>
    </row>
    <row r="539" spans="4:54" x14ac:dyDescent="0.15">
      <c r="D539" s="101"/>
      <c r="E539" s="101"/>
      <c r="L539" s="101"/>
      <c r="BB539" s="101"/>
    </row>
    <row r="540" spans="4:54" x14ac:dyDescent="0.15">
      <c r="D540" s="101"/>
      <c r="E540" s="101"/>
      <c r="L540" s="101"/>
      <c r="BB540" s="101"/>
    </row>
    <row r="541" spans="4:54" x14ac:dyDescent="0.15">
      <c r="D541" s="101"/>
      <c r="E541" s="101"/>
      <c r="L541" s="101"/>
      <c r="BB541" s="101"/>
    </row>
    <row r="542" spans="4:54" x14ac:dyDescent="0.15">
      <c r="D542" s="101"/>
      <c r="E542" s="101"/>
      <c r="L542" s="101"/>
      <c r="BB542" s="101"/>
    </row>
    <row r="543" spans="4:54" x14ac:dyDescent="0.15">
      <c r="D543" s="101"/>
      <c r="E543" s="101"/>
      <c r="L543" s="101"/>
      <c r="BB543" s="101"/>
    </row>
    <row r="544" spans="4:54" x14ac:dyDescent="0.15">
      <c r="D544" s="101"/>
      <c r="E544" s="101"/>
      <c r="L544" s="101"/>
      <c r="BB544" s="101"/>
    </row>
    <row r="545" spans="4:54" x14ac:dyDescent="0.15">
      <c r="D545" s="101"/>
      <c r="E545" s="101"/>
      <c r="L545" s="101"/>
      <c r="BB545" s="101"/>
    </row>
    <row r="546" spans="4:54" x14ac:dyDescent="0.15">
      <c r="D546" s="101"/>
      <c r="E546" s="101"/>
      <c r="L546" s="101"/>
      <c r="BB546" s="101"/>
    </row>
    <row r="547" spans="4:54" x14ac:dyDescent="0.15">
      <c r="D547" s="101"/>
      <c r="E547" s="101"/>
      <c r="L547" s="101"/>
      <c r="BB547" s="101"/>
    </row>
    <row r="548" spans="4:54" x14ac:dyDescent="0.15">
      <c r="D548" s="101"/>
      <c r="E548" s="101"/>
      <c r="L548" s="101"/>
      <c r="BB548" s="101"/>
    </row>
    <row r="549" spans="4:54" x14ac:dyDescent="0.15">
      <c r="D549" s="101"/>
      <c r="E549" s="101"/>
      <c r="L549" s="101"/>
      <c r="BB549" s="101"/>
    </row>
    <row r="550" spans="4:54" x14ac:dyDescent="0.15">
      <c r="D550" s="101"/>
      <c r="E550" s="101"/>
      <c r="L550" s="101"/>
      <c r="BB550" s="101"/>
    </row>
    <row r="551" spans="4:54" x14ac:dyDescent="0.15">
      <c r="D551" s="101"/>
      <c r="E551" s="101"/>
      <c r="L551" s="101"/>
      <c r="BB551" s="101"/>
    </row>
    <row r="552" spans="4:54" x14ac:dyDescent="0.15">
      <c r="D552" s="101"/>
      <c r="E552" s="101"/>
      <c r="L552" s="101"/>
      <c r="BB552" s="101"/>
    </row>
  </sheetData>
  <mergeCells count="19">
    <mergeCell ref="FJ19:FK19"/>
    <mergeCell ref="ET19:EU19"/>
    <mergeCell ref="EV19:EW19"/>
    <mergeCell ref="EX19:EY19"/>
    <mergeCell ref="EZ19:FA19"/>
    <mergeCell ref="FB19:FC19"/>
    <mergeCell ref="FD19:FE19"/>
    <mergeCell ref="EG18:EL18"/>
    <mergeCell ref="EM18:ER18"/>
    <mergeCell ref="ES18:FL18"/>
    <mergeCell ref="EF19:EG19"/>
    <mergeCell ref="EH19:EI19"/>
    <mergeCell ref="EJ19:EK19"/>
    <mergeCell ref="EL19:EM19"/>
    <mergeCell ref="EN19:EO19"/>
    <mergeCell ref="EP19:EQ19"/>
    <mergeCell ref="ER19:ES19"/>
    <mergeCell ref="FF19:FG19"/>
    <mergeCell ref="FH19:FI1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20:B20"/>
  <sheetViews>
    <sheetView zoomScaleNormal="100" workbookViewId="0">
      <selection activeCell="D7" sqref="D7"/>
    </sheetView>
  </sheetViews>
  <sheetFormatPr baseColWidth="10" defaultColWidth="8.83203125" defaultRowHeight="13" x14ac:dyDescent="0.15"/>
  <sheetData>
    <row r="20" spans="1:2" x14ac:dyDescent="0.15">
      <c r="A20" t="s">
        <v>1097</v>
      </c>
      <c r="B20" t="s">
        <v>591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Q5937"/>
  <sheetViews>
    <sheetView zoomScale="115" zoomScaleNormal="115" workbookViewId="0">
      <selection activeCell="N4" sqref="N4"/>
    </sheetView>
  </sheetViews>
  <sheetFormatPr baseColWidth="10" defaultColWidth="8.83203125" defaultRowHeight="13" x14ac:dyDescent="0.15"/>
  <cols>
    <col min="1" max="1" width="32.83203125" bestFit="1" customWidth="1"/>
    <col min="2" max="2" width="7.33203125" bestFit="1" customWidth="1"/>
    <col min="3" max="3" width="52.5" customWidth="1"/>
    <col min="4" max="4" width="50" customWidth="1"/>
    <col min="5" max="5" width="7.33203125" bestFit="1" customWidth="1"/>
    <col min="7" max="7" width="13.33203125" bestFit="1" customWidth="1"/>
    <col min="8" max="8" width="39" bestFit="1" customWidth="1"/>
    <col min="9" max="9" width="6.5" bestFit="1" customWidth="1"/>
  </cols>
  <sheetData>
    <row r="1" spans="1:17" x14ac:dyDescent="0.15">
      <c r="A1" t="s">
        <v>495</v>
      </c>
      <c r="B1" t="s">
        <v>920</v>
      </c>
      <c r="C1" t="s">
        <v>921</v>
      </c>
      <c r="D1" t="s">
        <v>1069</v>
      </c>
      <c r="E1" t="s">
        <v>920</v>
      </c>
      <c r="G1" t="s">
        <v>5973</v>
      </c>
      <c r="H1" t="s">
        <v>1285</v>
      </c>
      <c r="I1" t="s">
        <v>1286</v>
      </c>
      <c r="M1" t="s">
        <v>6667</v>
      </c>
    </row>
    <row r="2" spans="1:17" x14ac:dyDescent="0.15">
      <c r="A2" t="s">
        <v>928</v>
      </c>
      <c r="B2">
        <v>766</v>
      </c>
      <c r="C2" t="s">
        <v>929</v>
      </c>
      <c r="D2" t="s">
        <v>929</v>
      </c>
      <c r="E2">
        <v>766</v>
      </c>
      <c r="G2">
        <v>100</v>
      </c>
      <c r="H2" t="s">
        <v>1287</v>
      </c>
      <c r="I2">
        <v>3</v>
      </c>
      <c r="M2" t="s">
        <v>81</v>
      </c>
      <c r="N2" t="s">
        <v>6628</v>
      </c>
      <c r="O2" t="s">
        <v>6434</v>
      </c>
      <c r="P2" t="s">
        <v>1054</v>
      </c>
      <c r="Q2" t="s">
        <v>6629</v>
      </c>
    </row>
    <row r="3" spans="1:17" x14ac:dyDescent="0.15">
      <c r="A3" t="s">
        <v>928</v>
      </c>
      <c r="B3">
        <v>13375</v>
      </c>
      <c r="C3" t="s">
        <v>930</v>
      </c>
      <c r="D3" t="s">
        <v>930</v>
      </c>
      <c r="E3">
        <v>13375</v>
      </c>
      <c r="G3">
        <v>115</v>
      </c>
      <c r="H3" t="s">
        <v>1289</v>
      </c>
      <c r="I3">
        <v>3</v>
      </c>
      <c r="M3" t="s">
        <v>6668</v>
      </c>
      <c r="N3">
        <v>43.82</v>
      </c>
      <c r="O3">
        <v>6.55</v>
      </c>
      <c r="P3">
        <v>4.4400000000000004</v>
      </c>
      <c r="Q3">
        <v>1</v>
      </c>
    </row>
    <row r="4" spans="1:17" x14ac:dyDescent="0.15">
      <c r="A4" t="s">
        <v>928</v>
      </c>
      <c r="B4">
        <v>16885</v>
      </c>
      <c r="C4" t="s">
        <v>931</v>
      </c>
      <c r="D4" t="s">
        <v>931</v>
      </c>
      <c r="E4">
        <v>16885</v>
      </c>
      <c r="G4">
        <v>128</v>
      </c>
      <c r="H4" t="s">
        <v>1290</v>
      </c>
      <c r="I4">
        <v>3</v>
      </c>
    </row>
    <row r="5" spans="1:17" x14ac:dyDescent="0.15">
      <c r="A5" t="s">
        <v>928</v>
      </c>
      <c r="B5">
        <v>17668</v>
      </c>
      <c r="C5" t="s">
        <v>932</v>
      </c>
      <c r="D5" t="s">
        <v>932</v>
      </c>
      <c r="E5">
        <v>17668</v>
      </c>
      <c r="G5">
        <v>142</v>
      </c>
      <c r="H5" t="s">
        <v>1291</v>
      </c>
      <c r="I5">
        <v>2</v>
      </c>
    </row>
    <row r="6" spans="1:17" x14ac:dyDescent="0.15">
      <c r="A6" t="s">
        <v>928</v>
      </c>
      <c r="B6">
        <v>19234</v>
      </c>
      <c r="C6" t="s">
        <v>933</v>
      </c>
      <c r="D6" t="s">
        <v>933</v>
      </c>
      <c r="E6">
        <v>19234</v>
      </c>
      <c r="G6">
        <v>156</v>
      </c>
      <c r="H6" t="s">
        <v>1292</v>
      </c>
      <c r="I6">
        <v>3</v>
      </c>
    </row>
    <row r="7" spans="1:17" x14ac:dyDescent="0.15">
      <c r="A7" t="s">
        <v>928</v>
      </c>
      <c r="B7">
        <v>22528</v>
      </c>
      <c r="C7" t="s">
        <v>934</v>
      </c>
      <c r="D7" t="s">
        <v>934</v>
      </c>
      <c r="E7">
        <v>22528</v>
      </c>
      <c r="G7">
        <v>170</v>
      </c>
      <c r="H7" t="s">
        <v>1293</v>
      </c>
      <c r="I7">
        <v>3</v>
      </c>
    </row>
    <row r="8" spans="1:17" x14ac:dyDescent="0.15">
      <c r="A8" t="s">
        <v>928</v>
      </c>
      <c r="B8">
        <v>40753</v>
      </c>
      <c r="C8" t="s">
        <v>935</v>
      </c>
      <c r="D8" t="s">
        <v>935</v>
      </c>
      <c r="E8">
        <v>40753</v>
      </c>
      <c r="G8">
        <v>184</v>
      </c>
      <c r="H8" t="s">
        <v>1294</v>
      </c>
      <c r="I8">
        <v>3</v>
      </c>
    </row>
    <row r="9" spans="1:17" x14ac:dyDescent="0.15">
      <c r="A9" t="s">
        <v>928</v>
      </c>
      <c r="B9">
        <v>49852</v>
      </c>
      <c r="C9" t="s">
        <v>936</v>
      </c>
      <c r="D9" t="s">
        <v>936</v>
      </c>
      <c r="E9">
        <v>49852</v>
      </c>
      <c r="G9">
        <v>198</v>
      </c>
      <c r="H9" t="s">
        <v>948</v>
      </c>
      <c r="I9">
        <v>1</v>
      </c>
    </row>
    <row r="10" spans="1:17" x14ac:dyDescent="0.15">
      <c r="A10" t="s">
        <v>928</v>
      </c>
      <c r="B10">
        <v>51364</v>
      </c>
      <c r="C10" t="s">
        <v>937</v>
      </c>
      <c r="D10" t="s">
        <v>937</v>
      </c>
      <c r="E10">
        <v>51364</v>
      </c>
      <c r="G10">
        <v>205</v>
      </c>
      <c r="H10" t="s">
        <v>1295</v>
      </c>
      <c r="I10">
        <v>3</v>
      </c>
    </row>
    <row r="11" spans="1:17" x14ac:dyDescent="0.15">
      <c r="A11" t="s">
        <v>928</v>
      </c>
      <c r="B11">
        <v>54091</v>
      </c>
      <c r="C11" t="s">
        <v>938</v>
      </c>
      <c r="D11" t="s">
        <v>938</v>
      </c>
      <c r="E11">
        <v>54091</v>
      </c>
      <c r="G11">
        <v>212</v>
      </c>
      <c r="H11" t="s">
        <v>1296</v>
      </c>
      <c r="I11">
        <v>3</v>
      </c>
    </row>
    <row r="12" spans="1:17" x14ac:dyDescent="0.15">
      <c r="A12" t="s">
        <v>928</v>
      </c>
      <c r="B12">
        <v>56926</v>
      </c>
      <c r="C12" t="s">
        <v>939</v>
      </c>
      <c r="D12" t="s">
        <v>939</v>
      </c>
      <c r="E12">
        <v>56926</v>
      </c>
      <c r="G12">
        <v>226</v>
      </c>
      <c r="H12" t="s">
        <v>1296</v>
      </c>
      <c r="I12">
        <v>3</v>
      </c>
    </row>
    <row r="13" spans="1:17" x14ac:dyDescent="0.15">
      <c r="A13" t="s">
        <v>928</v>
      </c>
      <c r="B13">
        <v>61705</v>
      </c>
      <c r="C13" t="s">
        <v>940</v>
      </c>
      <c r="D13" t="s">
        <v>940</v>
      </c>
      <c r="E13">
        <v>61705</v>
      </c>
      <c r="G13">
        <v>240</v>
      </c>
      <c r="H13" t="s">
        <v>1296</v>
      </c>
      <c r="I13">
        <v>3</v>
      </c>
    </row>
    <row r="14" spans="1:17" x14ac:dyDescent="0.15">
      <c r="A14" t="s">
        <v>928</v>
      </c>
      <c r="B14">
        <v>67672</v>
      </c>
      <c r="C14" t="s">
        <v>941</v>
      </c>
      <c r="D14" t="s">
        <v>941</v>
      </c>
      <c r="E14">
        <v>67672</v>
      </c>
      <c r="G14">
        <v>254</v>
      </c>
      <c r="H14" t="s">
        <v>1296</v>
      </c>
      <c r="I14">
        <v>3</v>
      </c>
    </row>
    <row r="15" spans="1:17" x14ac:dyDescent="0.15">
      <c r="A15" t="s">
        <v>928</v>
      </c>
      <c r="B15">
        <v>83980</v>
      </c>
      <c r="C15" t="s">
        <v>942</v>
      </c>
      <c r="D15" t="s">
        <v>942</v>
      </c>
      <c r="E15">
        <v>83980</v>
      </c>
      <c r="G15">
        <v>268</v>
      </c>
      <c r="H15" t="s">
        <v>1296</v>
      </c>
      <c r="I15">
        <v>3</v>
      </c>
    </row>
    <row r="16" spans="1:17" x14ac:dyDescent="0.15">
      <c r="A16" t="s">
        <v>928</v>
      </c>
      <c r="B16">
        <v>87868</v>
      </c>
      <c r="C16" t="s">
        <v>943</v>
      </c>
      <c r="D16" t="s">
        <v>943</v>
      </c>
      <c r="E16">
        <v>87868</v>
      </c>
      <c r="G16">
        <v>282</v>
      </c>
      <c r="H16" t="s">
        <v>1296</v>
      </c>
      <c r="I16">
        <v>3</v>
      </c>
    </row>
    <row r="17" spans="1:9" x14ac:dyDescent="0.15">
      <c r="A17" t="s">
        <v>928</v>
      </c>
      <c r="B17">
        <v>93592</v>
      </c>
      <c r="C17" t="s">
        <v>944</v>
      </c>
      <c r="D17" t="s">
        <v>944</v>
      </c>
      <c r="E17">
        <v>93592</v>
      </c>
      <c r="G17">
        <v>296</v>
      </c>
      <c r="H17" t="s">
        <v>1296</v>
      </c>
      <c r="I17">
        <v>3</v>
      </c>
    </row>
    <row r="18" spans="1:9" x14ac:dyDescent="0.15">
      <c r="A18" t="s">
        <v>928</v>
      </c>
      <c r="B18">
        <v>94726</v>
      </c>
      <c r="C18" t="s">
        <v>945</v>
      </c>
      <c r="D18" t="s">
        <v>945</v>
      </c>
      <c r="E18">
        <v>94726</v>
      </c>
      <c r="G18">
        <v>310</v>
      </c>
      <c r="H18" t="s">
        <v>1296</v>
      </c>
      <c r="I18">
        <v>3</v>
      </c>
    </row>
    <row r="19" spans="1:9" x14ac:dyDescent="0.15">
      <c r="A19" t="s">
        <v>928</v>
      </c>
      <c r="B19">
        <v>97831</v>
      </c>
      <c r="C19" t="s">
        <v>946</v>
      </c>
      <c r="D19" t="s">
        <v>946</v>
      </c>
      <c r="E19">
        <v>97831</v>
      </c>
      <c r="G19">
        <v>324</v>
      </c>
      <c r="H19" t="s">
        <v>1296</v>
      </c>
      <c r="I19">
        <v>3</v>
      </c>
    </row>
    <row r="20" spans="1:9" x14ac:dyDescent="0.15">
      <c r="A20" t="s">
        <v>928</v>
      </c>
      <c r="B20">
        <v>99490</v>
      </c>
      <c r="C20" t="s">
        <v>947</v>
      </c>
      <c r="D20" t="s">
        <v>947</v>
      </c>
      <c r="E20">
        <v>99490</v>
      </c>
      <c r="G20">
        <v>338</v>
      </c>
      <c r="H20" t="s">
        <v>1296</v>
      </c>
      <c r="I20">
        <v>3</v>
      </c>
    </row>
    <row r="21" spans="1:9" x14ac:dyDescent="0.15">
      <c r="A21" t="s">
        <v>928</v>
      </c>
      <c r="B21">
        <v>99701</v>
      </c>
      <c r="C21" t="s">
        <v>948</v>
      </c>
      <c r="D21" t="s">
        <v>948</v>
      </c>
      <c r="E21">
        <v>99701</v>
      </c>
      <c r="G21">
        <v>352</v>
      </c>
      <c r="H21" t="s">
        <v>1297</v>
      </c>
      <c r="I21">
        <v>3</v>
      </c>
    </row>
    <row r="22" spans="1:9" x14ac:dyDescent="0.15">
      <c r="A22" t="s">
        <v>928</v>
      </c>
      <c r="B22">
        <v>99702</v>
      </c>
      <c r="C22" t="s">
        <v>949</v>
      </c>
      <c r="D22" t="s">
        <v>949</v>
      </c>
      <c r="E22">
        <v>99702</v>
      </c>
      <c r="G22">
        <v>366</v>
      </c>
      <c r="H22" t="s">
        <v>1298</v>
      </c>
      <c r="I22">
        <v>3</v>
      </c>
    </row>
    <row r="23" spans="1:9" x14ac:dyDescent="0.15">
      <c r="A23" t="s">
        <v>928</v>
      </c>
      <c r="B23">
        <v>99703</v>
      </c>
      <c r="C23" t="s">
        <v>950</v>
      </c>
      <c r="D23" t="s">
        <v>950</v>
      </c>
      <c r="E23">
        <v>99703</v>
      </c>
      <c r="G23">
        <v>380</v>
      </c>
      <c r="H23" t="s">
        <v>1298</v>
      </c>
      <c r="I23">
        <v>2</v>
      </c>
    </row>
    <row r="24" spans="1:9" x14ac:dyDescent="0.15">
      <c r="A24" t="s">
        <v>928</v>
      </c>
      <c r="B24">
        <v>99704</v>
      </c>
      <c r="C24" t="s">
        <v>951</v>
      </c>
      <c r="D24" t="s">
        <v>951</v>
      </c>
      <c r="E24">
        <v>99704</v>
      </c>
      <c r="G24">
        <v>394</v>
      </c>
      <c r="H24" t="s">
        <v>1299</v>
      </c>
      <c r="I24">
        <v>3</v>
      </c>
    </row>
    <row r="25" spans="1:9" x14ac:dyDescent="0.15">
      <c r="A25" t="s">
        <v>928</v>
      </c>
      <c r="B25">
        <v>99705</v>
      </c>
      <c r="C25" t="s">
        <v>952</v>
      </c>
      <c r="D25" t="s">
        <v>952</v>
      </c>
      <c r="E25">
        <v>99705</v>
      </c>
      <c r="G25">
        <v>408</v>
      </c>
      <c r="H25" t="s">
        <v>1300</v>
      </c>
      <c r="I25">
        <v>3</v>
      </c>
    </row>
    <row r="26" spans="1:9" x14ac:dyDescent="0.15">
      <c r="A26" t="s">
        <v>928</v>
      </c>
      <c r="B26">
        <v>99706</v>
      </c>
      <c r="C26" t="s">
        <v>953</v>
      </c>
      <c r="D26" t="s">
        <v>953</v>
      </c>
      <c r="E26">
        <v>99706</v>
      </c>
      <c r="G26">
        <v>422</v>
      </c>
      <c r="H26" t="s">
        <v>1301</v>
      </c>
      <c r="I26">
        <v>3</v>
      </c>
    </row>
    <row r="27" spans="1:9" x14ac:dyDescent="0.15">
      <c r="A27" t="s">
        <v>928</v>
      </c>
      <c r="B27">
        <v>99707</v>
      </c>
      <c r="C27" t="s">
        <v>954</v>
      </c>
      <c r="D27" t="s">
        <v>954</v>
      </c>
      <c r="E27">
        <v>99707</v>
      </c>
      <c r="G27">
        <v>436</v>
      </c>
      <c r="H27" t="s">
        <v>1302</v>
      </c>
      <c r="I27">
        <v>2</v>
      </c>
    </row>
    <row r="28" spans="1:9" x14ac:dyDescent="0.15">
      <c r="A28" t="s">
        <v>928</v>
      </c>
      <c r="B28">
        <v>99708</v>
      </c>
      <c r="C28" t="s">
        <v>955</v>
      </c>
      <c r="D28" t="s">
        <v>955</v>
      </c>
      <c r="E28">
        <v>99708</v>
      </c>
      <c r="G28">
        <v>450</v>
      </c>
      <c r="H28" t="s">
        <v>1303</v>
      </c>
      <c r="I28">
        <v>2</v>
      </c>
    </row>
    <row r="29" spans="1:9" x14ac:dyDescent="0.15">
      <c r="A29" t="s">
        <v>928</v>
      </c>
      <c r="B29">
        <v>99709</v>
      </c>
      <c r="C29" t="s">
        <v>956</v>
      </c>
      <c r="D29" t="s">
        <v>956</v>
      </c>
      <c r="E29">
        <v>99709</v>
      </c>
      <c r="G29">
        <v>464</v>
      </c>
      <c r="H29" t="s">
        <v>1304</v>
      </c>
      <c r="I29">
        <v>2</v>
      </c>
    </row>
    <row r="30" spans="1:9" x14ac:dyDescent="0.15">
      <c r="A30" t="s">
        <v>928</v>
      </c>
      <c r="B30">
        <v>99710</v>
      </c>
      <c r="C30" t="s">
        <v>957</v>
      </c>
      <c r="D30" t="s">
        <v>957</v>
      </c>
      <c r="E30">
        <v>99710</v>
      </c>
      <c r="G30">
        <v>478</v>
      </c>
      <c r="H30" t="s">
        <v>1305</v>
      </c>
      <c r="I30">
        <v>3</v>
      </c>
    </row>
    <row r="31" spans="1:9" x14ac:dyDescent="0.15">
      <c r="A31" t="s">
        <v>928</v>
      </c>
      <c r="B31">
        <v>99711</v>
      </c>
      <c r="C31" t="s">
        <v>958</v>
      </c>
      <c r="D31" t="s">
        <v>958</v>
      </c>
      <c r="E31">
        <v>99711</v>
      </c>
      <c r="G31">
        <v>485</v>
      </c>
      <c r="H31" t="s">
        <v>1306</v>
      </c>
      <c r="I31">
        <v>3</v>
      </c>
    </row>
    <row r="32" spans="1:9" x14ac:dyDescent="0.15">
      <c r="A32" t="s">
        <v>928</v>
      </c>
      <c r="B32">
        <v>99712</v>
      </c>
      <c r="C32" t="s">
        <v>959</v>
      </c>
      <c r="D32" t="s">
        <v>959</v>
      </c>
      <c r="E32">
        <v>99712</v>
      </c>
      <c r="G32">
        <v>492</v>
      </c>
      <c r="H32" t="s">
        <v>1307</v>
      </c>
      <c r="I32">
        <v>3</v>
      </c>
    </row>
    <row r="33" spans="1:9" x14ac:dyDescent="0.15">
      <c r="A33" t="s">
        <v>928</v>
      </c>
      <c r="B33">
        <v>99713</v>
      </c>
      <c r="C33" t="s">
        <v>960</v>
      </c>
      <c r="D33" t="s">
        <v>960</v>
      </c>
      <c r="E33">
        <v>99713</v>
      </c>
      <c r="G33">
        <v>506</v>
      </c>
      <c r="H33" t="s">
        <v>1308</v>
      </c>
      <c r="I33">
        <v>3</v>
      </c>
    </row>
    <row r="34" spans="1:9" x14ac:dyDescent="0.15">
      <c r="A34" t="s">
        <v>928</v>
      </c>
      <c r="B34">
        <v>99714</v>
      </c>
      <c r="C34" t="s">
        <v>961</v>
      </c>
      <c r="D34" t="s">
        <v>961</v>
      </c>
      <c r="E34">
        <v>99714</v>
      </c>
      <c r="G34">
        <v>520</v>
      </c>
      <c r="H34" t="s">
        <v>1309</v>
      </c>
      <c r="I34">
        <v>3</v>
      </c>
    </row>
    <row r="35" spans="1:9" x14ac:dyDescent="0.15">
      <c r="A35" t="s">
        <v>928</v>
      </c>
      <c r="B35">
        <v>99715</v>
      </c>
      <c r="C35" t="s">
        <v>962</v>
      </c>
      <c r="D35" t="s">
        <v>962</v>
      </c>
      <c r="E35">
        <v>99715</v>
      </c>
      <c r="G35">
        <v>541</v>
      </c>
      <c r="H35" t="s">
        <v>1310</v>
      </c>
      <c r="I35">
        <v>3</v>
      </c>
    </row>
    <row r="36" spans="1:9" x14ac:dyDescent="0.15">
      <c r="A36" t="s">
        <v>928</v>
      </c>
      <c r="B36">
        <v>99718</v>
      </c>
      <c r="C36" t="s">
        <v>963</v>
      </c>
      <c r="D36" t="s">
        <v>963</v>
      </c>
      <c r="E36">
        <v>99718</v>
      </c>
      <c r="G36">
        <v>548</v>
      </c>
      <c r="H36" t="s">
        <v>1311</v>
      </c>
      <c r="I36">
        <v>3</v>
      </c>
    </row>
    <row r="37" spans="1:9" x14ac:dyDescent="0.15">
      <c r="A37" t="s">
        <v>928</v>
      </c>
      <c r="B37">
        <v>99720</v>
      </c>
      <c r="C37" t="s">
        <v>964</v>
      </c>
      <c r="D37" t="s">
        <v>964</v>
      </c>
      <c r="E37">
        <v>99720</v>
      </c>
      <c r="G37">
        <v>562</v>
      </c>
      <c r="H37" t="s">
        <v>1312</v>
      </c>
      <c r="I37">
        <v>3</v>
      </c>
    </row>
    <row r="38" spans="1:9" x14ac:dyDescent="0.15">
      <c r="A38" t="s">
        <v>928</v>
      </c>
      <c r="B38">
        <v>99722</v>
      </c>
      <c r="C38" t="s">
        <v>965</v>
      </c>
      <c r="D38" t="s">
        <v>965</v>
      </c>
      <c r="E38">
        <v>99722</v>
      </c>
      <c r="G38">
        <v>576</v>
      </c>
      <c r="H38" t="s">
        <v>1313</v>
      </c>
      <c r="I38">
        <v>3</v>
      </c>
    </row>
    <row r="39" spans="1:9" x14ac:dyDescent="0.15">
      <c r="A39" t="s">
        <v>928</v>
      </c>
      <c r="B39">
        <v>99723</v>
      </c>
      <c r="C39" t="s">
        <v>966</v>
      </c>
      <c r="D39" t="s">
        <v>966</v>
      </c>
      <c r="E39">
        <v>99723</v>
      </c>
      <c r="G39">
        <v>587</v>
      </c>
      <c r="H39" t="s">
        <v>1314</v>
      </c>
      <c r="I39">
        <v>3</v>
      </c>
    </row>
    <row r="40" spans="1:9" x14ac:dyDescent="0.15">
      <c r="A40" t="s">
        <v>928</v>
      </c>
      <c r="B40">
        <v>99724</v>
      </c>
      <c r="C40" t="s">
        <v>967</v>
      </c>
      <c r="D40" t="s">
        <v>967</v>
      </c>
      <c r="E40">
        <v>99724</v>
      </c>
      <c r="G40">
        <v>590</v>
      </c>
      <c r="H40" t="s">
        <v>1315</v>
      </c>
      <c r="I40">
        <v>3</v>
      </c>
    </row>
    <row r="41" spans="1:9" x14ac:dyDescent="0.15">
      <c r="A41" t="s">
        <v>928</v>
      </c>
      <c r="B41">
        <v>99726</v>
      </c>
      <c r="C41" t="s">
        <v>968</v>
      </c>
      <c r="D41" t="s">
        <v>968</v>
      </c>
      <c r="E41">
        <v>99726</v>
      </c>
      <c r="G41">
        <v>1000</v>
      </c>
      <c r="H41" t="s">
        <v>929</v>
      </c>
      <c r="I41">
        <v>1</v>
      </c>
    </row>
    <row r="42" spans="1:9" x14ac:dyDescent="0.15">
      <c r="A42" t="s">
        <v>928</v>
      </c>
      <c r="B42">
        <v>99727</v>
      </c>
      <c r="C42" t="s">
        <v>969</v>
      </c>
      <c r="D42" t="s">
        <v>969</v>
      </c>
      <c r="E42">
        <v>99727</v>
      </c>
      <c r="G42">
        <v>1035</v>
      </c>
      <c r="H42" t="s">
        <v>1316</v>
      </c>
      <c r="I42">
        <v>3</v>
      </c>
    </row>
    <row r="43" spans="1:9" x14ac:dyDescent="0.15">
      <c r="A43" t="s">
        <v>928</v>
      </c>
      <c r="B43">
        <v>99728</v>
      </c>
      <c r="C43" t="s">
        <v>970</v>
      </c>
      <c r="D43" t="s">
        <v>970</v>
      </c>
      <c r="E43">
        <v>99728</v>
      </c>
      <c r="G43">
        <v>1042</v>
      </c>
      <c r="H43" t="s">
        <v>1317</v>
      </c>
      <c r="I43">
        <v>2</v>
      </c>
    </row>
    <row r="44" spans="1:9" x14ac:dyDescent="0.15">
      <c r="A44" t="s">
        <v>928</v>
      </c>
      <c r="B44">
        <v>99729</v>
      </c>
      <c r="C44" t="s">
        <v>971</v>
      </c>
      <c r="D44" t="s">
        <v>971</v>
      </c>
      <c r="E44">
        <v>99729</v>
      </c>
      <c r="G44">
        <v>1056</v>
      </c>
      <c r="H44" t="s">
        <v>1318</v>
      </c>
      <c r="I44">
        <v>3</v>
      </c>
    </row>
    <row r="45" spans="1:9" x14ac:dyDescent="0.15">
      <c r="A45" t="s">
        <v>928</v>
      </c>
      <c r="B45">
        <v>99730</v>
      </c>
      <c r="C45" t="s">
        <v>972</v>
      </c>
      <c r="D45" t="s">
        <v>972</v>
      </c>
      <c r="E45">
        <v>99730</v>
      </c>
      <c r="G45">
        <v>1070</v>
      </c>
      <c r="H45" t="s">
        <v>1319</v>
      </c>
      <c r="I45">
        <v>3</v>
      </c>
    </row>
    <row r="46" spans="1:9" x14ac:dyDescent="0.15">
      <c r="A46" t="s">
        <v>928</v>
      </c>
      <c r="B46">
        <v>99731</v>
      </c>
      <c r="C46" t="s">
        <v>973</v>
      </c>
      <c r="D46" t="s">
        <v>973</v>
      </c>
      <c r="E46">
        <v>99731</v>
      </c>
      <c r="G46">
        <v>1084</v>
      </c>
      <c r="H46" t="s">
        <v>1320</v>
      </c>
      <c r="I46">
        <v>3</v>
      </c>
    </row>
    <row r="47" spans="1:9" x14ac:dyDescent="0.15">
      <c r="A47" t="s">
        <v>928</v>
      </c>
      <c r="B47">
        <v>99734</v>
      </c>
      <c r="C47" t="s">
        <v>974</v>
      </c>
      <c r="D47" t="s">
        <v>974</v>
      </c>
      <c r="E47">
        <v>99734</v>
      </c>
      <c r="G47">
        <v>1098</v>
      </c>
      <c r="H47" t="s">
        <v>1321</v>
      </c>
      <c r="I47">
        <v>3</v>
      </c>
    </row>
    <row r="48" spans="1:9" x14ac:dyDescent="0.15">
      <c r="A48" t="s">
        <v>928</v>
      </c>
      <c r="B48">
        <v>99735</v>
      </c>
      <c r="C48" t="s">
        <v>975</v>
      </c>
      <c r="D48" t="s">
        <v>975</v>
      </c>
      <c r="E48">
        <v>99735</v>
      </c>
      <c r="G48">
        <v>1105</v>
      </c>
      <c r="H48" t="s">
        <v>1322</v>
      </c>
      <c r="I48">
        <v>3</v>
      </c>
    </row>
    <row r="49" spans="1:9" x14ac:dyDescent="0.15">
      <c r="A49" t="s">
        <v>928</v>
      </c>
      <c r="B49">
        <v>99737</v>
      </c>
      <c r="C49" t="s">
        <v>976</v>
      </c>
      <c r="D49" t="s">
        <v>976</v>
      </c>
      <c r="E49">
        <v>99737</v>
      </c>
      <c r="G49">
        <v>1112</v>
      </c>
      <c r="H49" t="s">
        <v>1323</v>
      </c>
      <c r="I49">
        <v>3</v>
      </c>
    </row>
    <row r="50" spans="1:9" x14ac:dyDescent="0.15">
      <c r="A50" t="s">
        <v>928</v>
      </c>
      <c r="B50">
        <v>99739</v>
      </c>
      <c r="C50" t="s">
        <v>977</v>
      </c>
      <c r="D50" t="s">
        <v>977</v>
      </c>
      <c r="E50">
        <v>99739</v>
      </c>
      <c r="G50">
        <v>1154</v>
      </c>
      <c r="H50" t="s">
        <v>1324</v>
      </c>
      <c r="I50">
        <v>2</v>
      </c>
    </row>
    <row r="51" spans="1:9" x14ac:dyDescent="0.15">
      <c r="A51" t="s">
        <v>928</v>
      </c>
      <c r="B51">
        <v>99740</v>
      </c>
      <c r="C51" t="s">
        <v>978</v>
      </c>
      <c r="D51" t="s">
        <v>978</v>
      </c>
      <c r="E51">
        <v>99740</v>
      </c>
      <c r="G51">
        <v>1175</v>
      </c>
      <c r="H51" t="s">
        <v>1325</v>
      </c>
      <c r="I51">
        <v>3</v>
      </c>
    </row>
    <row r="52" spans="1:9" x14ac:dyDescent="0.15">
      <c r="A52" t="s">
        <v>928</v>
      </c>
      <c r="B52">
        <v>99741</v>
      </c>
      <c r="C52" t="s">
        <v>979</v>
      </c>
      <c r="D52" t="s">
        <v>979</v>
      </c>
      <c r="E52">
        <v>99741</v>
      </c>
      <c r="G52">
        <v>1196</v>
      </c>
      <c r="H52" t="s">
        <v>1326</v>
      </c>
      <c r="I52">
        <v>3</v>
      </c>
    </row>
    <row r="53" spans="1:9" x14ac:dyDescent="0.15">
      <c r="A53" t="s">
        <v>928</v>
      </c>
      <c r="B53">
        <v>99743</v>
      </c>
      <c r="C53" t="s">
        <v>980</v>
      </c>
      <c r="D53" t="s">
        <v>980</v>
      </c>
      <c r="E53">
        <v>99743</v>
      </c>
      <c r="G53">
        <v>1210</v>
      </c>
      <c r="H53" t="s">
        <v>1327</v>
      </c>
      <c r="I53">
        <v>2</v>
      </c>
    </row>
    <row r="54" spans="1:9" x14ac:dyDescent="0.15">
      <c r="A54" t="s">
        <v>928</v>
      </c>
      <c r="B54">
        <v>99744</v>
      </c>
      <c r="C54" t="s">
        <v>981</v>
      </c>
      <c r="D54" t="s">
        <v>981</v>
      </c>
      <c r="E54">
        <v>99744</v>
      </c>
      <c r="G54">
        <v>1230</v>
      </c>
      <c r="H54" t="s">
        <v>1328</v>
      </c>
      <c r="I54">
        <v>3</v>
      </c>
    </row>
    <row r="55" spans="1:9" x14ac:dyDescent="0.15">
      <c r="A55" t="s">
        <v>928</v>
      </c>
      <c r="B55">
        <v>99745</v>
      </c>
      <c r="C55" t="s">
        <v>982</v>
      </c>
      <c r="D55" t="s">
        <v>982</v>
      </c>
      <c r="E55">
        <v>99745</v>
      </c>
      <c r="G55">
        <v>1238</v>
      </c>
      <c r="H55" t="s">
        <v>1329</v>
      </c>
      <c r="I55">
        <v>3</v>
      </c>
    </row>
    <row r="56" spans="1:9" x14ac:dyDescent="0.15">
      <c r="A56" t="s">
        <v>928</v>
      </c>
      <c r="B56">
        <v>99746</v>
      </c>
      <c r="C56" t="s">
        <v>983</v>
      </c>
      <c r="D56" t="s">
        <v>983</v>
      </c>
      <c r="E56">
        <v>99746</v>
      </c>
      <c r="G56">
        <v>1280</v>
      </c>
      <c r="H56" t="s">
        <v>1330</v>
      </c>
      <c r="I56">
        <v>3</v>
      </c>
    </row>
    <row r="57" spans="1:9" x14ac:dyDescent="0.15">
      <c r="A57" t="s">
        <v>928</v>
      </c>
      <c r="B57">
        <v>99747</v>
      </c>
      <c r="C57" t="s">
        <v>984</v>
      </c>
      <c r="D57" t="s">
        <v>984</v>
      </c>
      <c r="E57">
        <v>99747</v>
      </c>
      <c r="G57">
        <v>1294</v>
      </c>
      <c r="H57" t="s">
        <v>1331</v>
      </c>
      <c r="I57">
        <v>3</v>
      </c>
    </row>
    <row r="58" spans="1:9" x14ac:dyDescent="0.15">
      <c r="A58" t="s">
        <v>928</v>
      </c>
      <c r="B58">
        <v>99749</v>
      </c>
      <c r="C58" t="s">
        <v>985</v>
      </c>
      <c r="D58" t="s">
        <v>985</v>
      </c>
      <c r="E58">
        <v>99749</v>
      </c>
      <c r="G58">
        <v>1308</v>
      </c>
      <c r="H58" t="s">
        <v>1331</v>
      </c>
      <c r="I58">
        <v>3</v>
      </c>
    </row>
    <row r="59" spans="1:9" x14ac:dyDescent="0.15">
      <c r="A59" t="s">
        <v>928</v>
      </c>
      <c r="B59">
        <v>99750</v>
      </c>
      <c r="C59" t="s">
        <v>986</v>
      </c>
      <c r="D59" t="s">
        <v>986</v>
      </c>
      <c r="E59">
        <v>99750</v>
      </c>
      <c r="G59">
        <v>1322</v>
      </c>
      <c r="H59" t="s">
        <v>1331</v>
      </c>
      <c r="I59">
        <v>3</v>
      </c>
    </row>
    <row r="60" spans="1:9" x14ac:dyDescent="0.15">
      <c r="A60" t="s">
        <v>928</v>
      </c>
      <c r="B60">
        <v>99754</v>
      </c>
      <c r="C60" t="s">
        <v>987</v>
      </c>
      <c r="D60" t="s">
        <v>987</v>
      </c>
      <c r="E60">
        <v>99754</v>
      </c>
      <c r="G60">
        <v>1336</v>
      </c>
      <c r="H60" t="s">
        <v>1331</v>
      </c>
      <c r="I60">
        <v>3</v>
      </c>
    </row>
    <row r="61" spans="1:9" x14ac:dyDescent="0.15">
      <c r="A61" t="s">
        <v>928</v>
      </c>
      <c r="B61">
        <v>99756</v>
      </c>
      <c r="C61" t="s">
        <v>988</v>
      </c>
      <c r="D61" t="s">
        <v>988</v>
      </c>
      <c r="E61">
        <v>99756</v>
      </c>
      <c r="G61">
        <v>1350</v>
      </c>
      <c r="H61" t="s">
        <v>1332</v>
      </c>
      <c r="I61">
        <v>3</v>
      </c>
    </row>
    <row r="62" spans="1:9" x14ac:dyDescent="0.15">
      <c r="A62" t="s">
        <v>928</v>
      </c>
      <c r="B62">
        <v>99757</v>
      </c>
      <c r="C62" t="s">
        <v>989</v>
      </c>
      <c r="D62" t="s">
        <v>989</v>
      </c>
      <c r="E62">
        <v>99757</v>
      </c>
      <c r="G62">
        <v>1364</v>
      </c>
      <c r="H62" t="s">
        <v>1333</v>
      </c>
      <c r="I62">
        <v>3</v>
      </c>
    </row>
    <row r="63" spans="1:9" x14ac:dyDescent="0.15">
      <c r="A63" t="s">
        <v>928</v>
      </c>
      <c r="B63">
        <v>99759</v>
      </c>
      <c r="C63" t="s">
        <v>990</v>
      </c>
      <c r="D63" t="s">
        <v>990</v>
      </c>
      <c r="E63">
        <v>99759</v>
      </c>
      <c r="G63">
        <v>1378</v>
      </c>
      <c r="H63" t="s">
        <v>1334</v>
      </c>
      <c r="I63">
        <v>3</v>
      </c>
    </row>
    <row r="64" spans="1:9" x14ac:dyDescent="0.15">
      <c r="A64" t="s">
        <v>928</v>
      </c>
      <c r="B64">
        <v>99760</v>
      </c>
      <c r="C64" t="s">
        <v>991</v>
      </c>
      <c r="D64" t="s">
        <v>991</v>
      </c>
      <c r="E64">
        <v>99760</v>
      </c>
      <c r="G64">
        <v>1392</v>
      </c>
      <c r="H64" t="s">
        <v>1335</v>
      </c>
      <c r="I64">
        <v>3</v>
      </c>
    </row>
    <row r="65" spans="1:9" x14ac:dyDescent="0.15">
      <c r="A65" t="s">
        <v>928</v>
      </c>
      <c r="B65">
        <v>99761</v>
      </c>
      <c r="C65" t="s">
        <v>992</v>
      </c>
      <c r="D65" t="s">
        <v>992</v>
      </c>
      <c r="E65">
        <v>99761</v>
      </c>
      <c r="G65">
        <v>1406</v>
      </c>
      <c r="H65" t="s">
        <v>1335</v>
      </c>
      <c r="I65">
        <v>3</v>
      </c>
    </row>
    <row r="66" spans="1:9" x14ac:dyDescent="0.15">
      <c r="A66" t="s">
        <v>928</v>
      </c>
      <c r="B66">
        <v>99764</v>
      </c>
      <c r="C66" t="s">
        <v>993</v>
      </c>
      <c r="D66" t="s">
        <v>993</v>
      </c>
      <c r="E66">
        <v>99764</v>
      </c>
      <c r="G66">
        <v>1420</v>
      </c>
      <c r="H66" t="s">
        <v>949</v>
      </c>
      <c r="I66">
        <v>1</v>
      </c>
    </row>
    <row r="67" spans="1:9" x14ac:dyDescent="0.15">
      <c r="A67" t="s">
        <v>928</v>
      </c>
      <c r="B67">
        <v>99765</v>
      </c>
      <c r="C67" t="s">
        <v>994</v>
      </c>
      <c r="D67" t="s">
        <v>994</v>
      </c>
      <c r="E67">
        <v>99765</v>
      </c>
      <c r="G67">
        <v>1425</v>
      </c>
      <c r="H67" t="s">
        <v>1336</v>
      </c>
      <c r="I67">
        <v>3</v>
      </c>
    </row>
    <row r="68" spans="1:9" x14ac:dyDescent="0.15">
      <c r="A68" t="s">
        <v>928</v>
      </c>
      <c r="B68">
        <v>99768</v>
      </c>
      <c r="C68" t="s">
        <v>995</v>
      </c>
      <c r="D68" t="s">
        <v>995</v>
      </c>
      <c r="E68">
        <v>99768</v>
      </c>
      <c r="G68">
        <v>1434</v>
      </c>
      <c r="H68" t="s">
        <v>1337</v>
      </c>
      <c r="I68">
        <v>3</v>
      </c>
    </row>
    <row r="69" spans="1:9" x14ac:dyDescent="0.15">
      <c r="A69" t="s">
        <v>928</v>
      </c>
      <c r="B69">
        <v>99769</v>
      </c>
      <c r="C69" t="s">
        <v>996</v>
      </c>
      <c r="D69" t="s">
        <v>996</v>
      </c>
      <c r="E69">
        <v>99769</v>
      </c>
      <c r="G69">
        <v>1448</v>
      </c>
      <c r="H69" t="s">
        <v>1338</v>
      </c>
      <c r="I69">
        <v>3</v>
      </c>
    </row>
    <row r="70" spans="1:9" x14ac:dyDescent="0.15">
      <c r="A70" t="s">
        <v>928</v>
      </c>
      <c r="B70">
        <v>99770</v>
      </c>
      <c r="C70" t="s">
        <v>997</v>
      </c>
      <c r="D70" t="s">
        <v>997</v>
      </c>
      <c r="E70">
        <v>99770</v>
      </c>
      <c r="G70">
        <v>1462</v>
      </c>
      <c r="H70" t="s">
        <v>1339</v>
      </c>
      <c r="I70">
        <v>3</v>
      </c>
    </row>
    <row r="71" spans="1:9" x14ac:dyDescent="0.15">
      <c r="A71" t="s">
        <v>928</v>
      </c>
      <c r="B71">
        <v>99775</v>
      </c>
      <c r="C71" t="s">
        <v>998</v>
      </c>
      <c r="D71" t="s">
        <v>998</v>
      </c>
      <c r="E71">
        <v>99775</v>
      </c>
      <c r="G71">
        <v>1490</v>
      </c>
      <c r="H71" t="s">
        <v>1340</v>
      </c>
      <c r="I71">
        <v>3</v>
      </c>
    </row>
    <row r="72" spans="1:9" x14ac:dyDescent="0.15">
      <c r="A72" t="s">
        <v>928</v>
      </c>
      <c r="B72">
        <v>99776</v>
      </c>
      <c r="C72" t="s">
        <v>999</v>
      </c>
      <c r="D72" t="s">
        <v>999</v>
      </c>
      <c r="E72">
        <v>99776</v>
      </c>
      <c r="G72">
        <v>1495</v>
      </c>
      <c r="H72" t="s">
        <v>1341</v>
      </c>
      <c r="I72">
        <v>3</v>
      </c>
    </row>
    <row r="73" spans="1:9" x14ac:dyDescent="0.15">
      <c r="A73" t="s">
        <v>928</v>
      </c>
      <c r="B73">
        <v>99777</v>
      </c>
      <c r="C73" t="s">
        <v>1000</v>
      </c>
      <c r="D73" t="s">
        <v>1000</v>
      </c>
      <c r="E73">
        <v>99777</v>
      </c>
      <c r="G73">
        <v>1525</v>
      </c>
      <c r="H73" t="s">
        <v>1342</v>
      </c>
      <c r="I73">
        <v>3</v>
      </c>
    </row>
    <row r="74" spans="1:9" x14ac:dyDescent="0.15">
      <c r="A74" t="s">
        <v>928</v>
      </c>
      <c r="B74">
        <v>99778</v>
      </c>
      <c r="C74" t="s">
        <v>1001</v>
      </c>
      <c r="D74" t="s">
        <v>1001</v>
      </c>
      <c r="E74">
        <v>99778</v>
      </c>
      <c r="G74">
        <v>1532</v>
      </c>
      <c r="H74" t="s">
        <v>1343</v>
      </c>
      <c r="I74">
        <v>3</v>
      </c>
    </row>
    <row r="75" spans="1:9" x14ac:dyDescent="0.15">
      <c r="A75" t="s">
        <v>928</v>
      </c>
      <c r="B75">
        <v>99779</v>
      </c>
      <c r="C75" t="s">
        <v>1002</v>
      </c>
      <c r="D75" t="s">
        <v>1002</v>
      </c>
      <c r="E75">
        <v>99779</v>
      </c>
      <c r="G75">
        <v>1546</v>
      </c>
      <c r="H75" t="s">
        <v>1344</v>
      </c>
      <c r="I75">
        <v>3</v>
      </c>
    </row>
    <row r="76" spans="1:9" x14ac:dyDescent="0.15">
      <c r="A76" t="s">
        <v>928</v>
      </c>
      <c r="B76">
        <v>99780</v>
      </c>
      <c r="C76" t="s">
        <v>1003</v>
      </c>
      <c r="D76" t="s">
        <v>1003</v>
      </c>
      <c r="E76">
        <v>99780</v>
      </c>
      <c r="G76">
        <v>1560</v>
      </c>
      <c r="H76" t="s">
        <v>1345</v>
      </c>
      <c r="I76">
        <v>3</v>
      </c>
    </row>
    <row r="77" spans="1:9" x14ac:dyDescent="0.15">
      <c r="A77" t="s">
        <v>928</v>
      </c>
      <c r="B77">
        <v>99783</v>
      </c>
      <c r="C77" t="s">
        <v>1004</v>
      </c>
      <c r="D77" t="s">
        <v>1004</v>
      </c>
      <c r="E77">
        <v>99783</v>
      </c>
      <c r="G77">
        <v>1588</v>
      </c>
      <c r="H77" t="s">
        <v>1346</v>
      </c>
      <c r="I77">
        <v>2</v>
      </c>
    </row>
    <row r="78" spans="1:9" x14ac:dyDescent="0.15">
      <c r="A78" t="s">
        <v>928</v>
      </c>
      <c r="B78">
        <v>99784</v>
      </c>
      <c r="C78" t="s">
        <v>1005</v>
      </c>
      <c r="D78" t="s">
        <v>1005</v>
      </c>
      <c r="E78">
        <v>99784</v>
      </c>
      <c r="G78">
        <v>1602</v>
      </c>
      <c r="H78" t="s">
        <v>1347</v>
      </c>
      <c r="I78">
        <v>3</v>
      </c>
    </row>
    <row r="79" spans="1:9" x14ac:dyDescent="0.15">
      <c r="A79" t="s">
        <v>928</v>
      </c>
      <c r="B79">
        <v>99785</v>
      </c>
      <c r="C79" t="s">
        <v>1006</v>
      </c>
      <c r="D79" t="s">
        <v>1006</v>
      </c>
      <c r="E79">
        <v>99785</v>
      </c>
      <c r="G79">
        <v>1630</v>
      </c>
      <c r="H79" t="s">
        <v>1348</v>
      </c>
      <c r="I79">
        <v>2</v>
      </c>
    </row>
    <row r="80" spans="1:9" x14ac:dyDescent="0.15">
      <c r="A80" t="s">
        <v>928</v>
      </c>
      <c r="B80">
        <v>99786</v>
      </c>
      <c r="C80" t="s">
        <v>1007</v>
      </c>
      <c r="D80" t="s">
        <v>1007</v>
      </c>
      <c r="E80">
        <v>99786</v>
      </c>
      <c r="G80">
        <v>1637</v>
      </c>
      <c r="H80" t="s">
        <v>1347</v>
      </c>
      <c r="I80">
        <v>3</v>
      </c>
    </row>
    <row r="81" spans="1:9" x14ac:dyDescent="0.15">
      <c r="A81" t="s">
        <v>928</v>
      </c>
      <c r="B81">
        <v>99787</v>
      </c>
      <c r="C81" t="s">
        <v>1008</v>
      </c>
      <c r="D81" t="s">
        <v>1008</v>
      </c>
      <c r="E81">
        <v>99787</v>
      </c>
      <c r="G81">
        <v>1644</v>
      </c>
      <c r="H81" t="s">
        <v>1347</v>
      </c>
      <c r="I81">
        <v>3</v>
      </c>
    </row>
    <row r="82" spans="1:9" x14ac:dyDescent="0.15">
      <c r="A82" t="s">
        <v>928</v>
      </c>
      <c r="B82">
        <v>99789</v>
      </c>
      <c r="C82" t="s">
        <v>1009</v>
      </c>
      <c r="D82" t="s">
        <v>1009</v>
      </c>
      <c r="E82">
        <v>99789</v>
      </c>
      <c r="G82">
        <v>1672</v>
      </c>
      <c r="H82" t="s">
        <v>1349</v>
      </c>
      <c r="I82">
        <v>2</v>
      </c>
    </row>
    <row r="83" spans="1:9" x14ac:dyDescent="0.15">
      <c r="A83" t="s">
        <v>928</v>
      </c>
      <c r="B83">
        <v>99791</v>
      </c>
      <c r="C83" t="s">
        <v>1010</v>
      </c>
      <c r="D83" t="s">
        <v>1010</v>
      </c>
      <c r="E83">
        <v>99791</v>
      </c>
      <c r="G83">
        <v>1705</v>
      </c>
      <c r="H83" t="s">
        <v>1350</v>
      </c>
      <c r="I83">
        <v>3</v>
      </c>
    </row>
    <row r="84" spans="1:9" x14ac:dyDescent="0.15">
      <c r="A84" t="s">
        <v>928</v>
      </c>
      <c r="B84">
        <v>99792</v>
      </c>
      <c r="C84" t="s">
        <v>1011</v>
      </c>
      <c r="D84" t="s">
        <v>1011</v>
      </c>
      <c r="E84">
        <v>99792</v>
      </c>
      <c r="G84">
        <v>1714</v>
      </c>
      <c r="H84" t="s">
        <v>1351</v>
      </c>
      <c r="I84">
        <v>3</v>
      </c>
    </row>
    <row r="85" spans="1:9" x14ac:dyDescent="0.15">
      <c r="A85" t="s">
        <v>928</v>
      </c>
      <c r="B85">
        <v>99794</v>
      </c>
      <c r="C85" t="s">
        <v>1012</v>
      </c>
      <c r="D85" t="s">
        <v>1012</v>
      </c>
      <c r="E85">
        <v>99794</v>
      </c>
      <c r="G85">
        <v>1728</v>
      </c>
      <c r="H85" t="s">
        <v>1352</v>
      </c>
      <c r="I85">
        <v>3</v>
      </c>
    </row>
    <row r="86" spans="1:9" x14ac:dyDescent="0.15">
      <c r="A86" t="s">
        <v>928</v>
      </c>
      <c r="B86">
        <v>99795</v>
      </c>
      <c r="C86" t="s">
        <v>1013</v>
      </c>
      <c r="D86" t="s">
        <v>1013</v>
      </c>
      <c r="E86">
        <v>99795</v>
      </c>
      <c r="G86">
        <v>1742</v>
      </c>
      <c r="H86" t="s">
        <v>1353</v>
      </c>
      <c r="I86">
        <v>2</v>
      </c>
    </row>
    <row r="87" spans="1:9" x14ac:dyDescent="0.15">
      <c r="A87" t="s">
        <v>928</v>
      </c>
      <c r="B87">
        <v>99796</v>
      </c>
      <c r="C87" t="s">
        <v>1014</v>
      </c>
      <c r="D87" t="s">
        <v>1014</v>
      </c>
      <c r="E87">
        <v>99796</v>
      </c>
      <c r="G87">
        <v>1756</v>
      </c>
      <c r="H87" t="s">
        <v>1354</v>
      </c>
      <c r="I87">
        <v>3</v>
      </c>
    </row>
    <row r="88" spans="1:9" x14ac:dyDescent="0.15">
      <c r="A88" t="s">
        <v>928</v>
      </c>
      <c r="B88">
        <v>99797</v>
      </c>
      <c r="C88" t="s">
        <v>1015</v>
      </c>
      <c r="D88" t="s">
        <v>1015</v>
      </c>
      <c r="E88">
        <v>99797</v>
      </c>
      <c r="G88">
        <v>1770</v>
      </c>
      <c r="H88" t="s">
        <v>1355</v>
      </c>
      <c r="I88">
        <v>3</v>
      </c>
    </row>
    <row r="89" spans="1:9" x14ac:dyDescent="0.15">
      <c r="A89" t="s">
        <v>928</v>
      </c>
      <c r="B89">
        <v>99798</v>
      </c>
      <c r="C89" t="s">
        <v>1016</v>
      </c>
      <c r="D89" t="s">
        <v>1016</v>
      </c>
      <c r="E89">
        <v>99798</v>
      </c>
      <c r="G89">
        <v>1784</v>
      </c>
      <c r="H89" t="s">
        <v>1356</v>
      </c>
      <c r="I89">
        <v>2</v>
      </c>
    </row>
    <row r="90" spans="1:9" x14ac:dyDescent="0.15">
      <c r="A90" t="s">
        <v>928</v>
      </c>
      <c r="B90">
        <v>99800</v>
      </c>
      <c r="C90" t="s">
        <v>1017</v>
      </c>
      <c r="D90" t="s">
        <v>1017</v>
      </c>
      <c r="E90">
        <v>99800</v>
      </c>
      <c r="G90">
        <v>1798</v>
      </c>
      <c r="H90" t="s">
        <v>1357</v>
      </c>
      <c r="I90">
        <v>1</v>
      </c>
    </row>
    <row r="91" spans="1:9" x14ac:dyDescent="0.15">
      <c r="A91" t="s">
        <v>928</v>
      </c>
      <c r="B91">
        <v>99801</v>
      </c>
      <c r="C91" t="s">
        <v>1018</v>
      </c>
      <c r="D91" t="s">
        <v>1018</v>
      </c>
      <c r="E91">
        <v>99801</v>
      </c>
      <c r="G91">
        <v>1812</v>
      </c>
      <c r="H91" t="s">
        <v>1358</v>
      </c>
      <c r="I91">
        <v>3</v>
      </c>
    </row>
    <row r="92" spans="1:9" x14ac:dyDescent="0.15">
      <c r="A92" t="s">
        <v>928</v>
      </c>
      <c r="B92">
        <v>99802</v>
      </c>
      <c r="C92" t="s">
        <v>1019</v>
      </c>
      <c r="D92" t="s">
        <v>1019</v>
      </c>
      <c r="E92">
        <v>99802</v>
      </c>
      <c r="G92">
        <v>1826</v>
      </c>
      <c r="H92" t="s">
        <v>1359</v>
      </c>
      <c r="I92">
        <v>3</v>
      </c>
    </row>
    <row r="93" spans="1:9" x14ac:dyDescent="0.15">
      <c r="A93" t="s">
        <v>928</v>
      </c>
      <c r="B93">
        <v>99803</v>
      </c>
      <c r="C93" t="s">
        <v>1020</v>
      </c>
      <c r="D93" t="s">
        <v>1020</v>
      </c>
      <c r="E93">
        <v>99803</v>
      </c>
      <c r="G93">
        <v>1830</v>
      </c>
      <c r="H93" t="s">
        <v>1360</v>
      </c>
      <c r="I93">
        <v>3</v>
      </c>
    </row>
    <row r="94" spans="1:9" x14ac:dyDescent="0.15">
      <c r="A94" t="s">
        <v>928</v>
      </c>
      <c r="B94">
        <v>99804</v>
      </c>
      <c r="C94" t="s">
        <v>1021</v>
      </c>
      <c r="D94" t="s">
        <v>1021</v>
      </c>
      <c r="E94">
        <v>99804</v>
      </c>
      <c r="G94">
        <v>1840</v>
      </c>
      <c r="H94" t="s">
        <v>1360</v>
      </c>
      <c r="I94">
        <v>3</v>
      </c>
    </row>
    <row r="95" spans="1:9" x14ac:dyDescent="0.15">
      <c r="A95" t="s">
        <v>928</v>
      </c>
      <c r="B95">
        <v>99805</v>
      </c>
      <c r="C95" t="s">
        <v>1022</v>
      </c>
      <c r="D95" t="s">
        <v>1022</v>
      </c>
      <c r="E95">
        <v>99805</v>
      </c>
      <c r="G95">
        <v>1854</v>
      </c>
      <c r="H95" t="s">
        <v>1360</v>
      </c>
      <c r="I95">
        <v>3</v>
      </c>
    </row>
    <row r="96" spans="1:9" x14ac:dyDescent="0.15">
      <c r="A96" t="s">
        <v>928</v>
      </c>
      <c r="B96">
        <v>99806</v>
      </c>
      <c r="C96" t="s">
        <v>1023</v>
      </c>
      <c r="D96" t="s">
        <v>1023</v>
      </c>
      <c r="E96">
        <v>99806</v>
      </c>
      <c r="G96">
        <v>1868</v>
      </c>
      <c r="H96" t="s">
        <v>1360</v>
      </c>
      <c r="I96">
        <v>3</v>
      </c>
    </row>
    <row r="97" spans="1:9" x14ac:dyDescent="0.15">
      <c r="A97" t="s">
        <v>928</v>
      </c>
      <c r="B97">
        <v>99807</v>
      </c>
      <c r="C97" t="s">
        <v>1024</v>
      </c>
      <c r="D97" t="s">
        <v>1024</v>
      </c>
      <c r="E97">
        <v>99807</v>
      </c>
      <c r="G97">
        <v>1882</v>
      </c>
      <c r="H97" t="s">
        <v>1361</v>
      </c>
      <c r="I97">
        <v>3</v>
      </c>
    </row>
    <row r="98" spans="1:9" x14ac:dyDescent="0.15">
      <c r="A98" t="s">
        <v>928</v>
      </c>
      <c r="B98">
        <v>99808</v>
      </c>
      <c r="C98" t="s">
        <v>1025</v>
      </c>
      <c r="D98" t="s">
        <v>1025</v>
      </c>
      <c r="E98">
        <v>99808</v>
      </c>
      <c r="G98">
        <v>1910</v>
      </c>
      <c r="H98" t="s">
        <v>1362</v>
      </c>
      <c r="I98">
        <v>3</v>
      </c>
    </row>
    <row r="99" spans="1:9" x14ac:dyDescent="0.15">
      <c r="A99" t="s">
        <v>928</v>
      </c>
      <c r="B99">
        <v>99809</v>
      </c>
      <c r="C99" t="s">
        <v>1026</v>
      </c>
      <c r="D99" t="s">
        <v>1026</v>
      </c>
      <c r="E99">
        <v>99809</v>
      </c>
      <c r="G99">
        <v>1924</v>
      </c>
      <c r="H99" t="s">
        <v>1363</v>
      </c>
      <c r="I99">
        <v>3</v>
      </c>
    </row>
    <row r="100" spans="1:9" x14ac:dyDescent="0.15">
      <c r="A100" t="s">
        <v>928</v>
      </c>
      <c r="B100">
        <v>99810</v>
      </c>
      <c r="C100" t="s">
        <v>1027</v>
      </c>
      <c r="D100" t="s">
        <v>1027</v>
      </c>
      <c r="E100">
        <v>99810</v>
      </c>
      <c r="G100">
        <v>1938</v>
      </c>
      <c r="H100" t="s">
        <v>1364</v>
      </c>
      <c r="I100">
        <v>2</v>
      </c>
    </row>
    <row r="101" spans="1:9" x14ac:dyDescent="0.15">
      <c r="A101" t="s">
        <v>928</v>
      </c>
      <c r="B101">
        <v>99811</v>
      </c>
      <c r="C101" t="s">
        <v>1028</v>
      </c>
      <c r="D101" t="s">
        <v>1028</v>
      </c>
      <c r="E101">
        <v>99811</v>
      </c>
      <c r="G101">
        <v>1952</v>
      </c>
      <c r="H101" t="s">
        <v>1364</v>
      </c>
      <c r="I101">
        <v>3</v>
      </c>
    </row>
    <row r="102" spans="1:9" x14ac:dyDescent="0.15">
      <c r="A102" t="s">
        <v>928</v>
      </c>
      <c r="B102">
        <v>99999</v>
      </c>
      <c r="C102" t="s">
        <v>1029</v>
      </c>
      <c r="D102" t="s">
        <v>1029</v>
      </c>
      <c r="E102">
        <v>99999</v>
      </c>
      <c r="G102">
        <v>1966</v>
      </c>
      <c r="H102" t="s">
        <v>1365</v>
      </c>
      <c r="I102">
        <v>3</v>
      </c>
    </row>
    <row r="103" spans="1:9" x14ac:dyDescent="0.15">
      <c r="A103" t="s">
        <v>321</v>
      </c>
      <c r="B103">
        <v>0</v>
      </c>
      <c r="C103" t="s">
        <v>401</v>
      </c>
      <c r="D103" t="s">
        <v>401</v>
      </c>
      <c r="E103">
        <v>0</v>
      </c>
      <c r="G103">
        <v>1980</v>
      </c>
      <c r="H103" t="s">
        <v>1366</v>
      </c>
      <c r="I103">
        <v>3</v>
      </c>
    </row>
    <row r="104" spans="1:9" x14ac:dyDescent="0.15">
      <c r="A104" t="s">
        <v>321</v>
      </c>
      <c r="B104">
        <v>1</v>
      </c>
      <c r="C104" t="s">
        <v>438</v>
      </c>
      <c r="D104" t="s">
        <v>438</v>
      </c>
      <c r="E104">
        <v>1</v>
      </c>
      <c r="G104">
        <v>1990</v>
      </c>
      <c r="H104" t="s">
        <v>1367</v>
      </c>
      <c r="I104">
        <v>3</v>
      </c>
    </row>
    <row r="105" spans="1:9" x14ac:dyDescent="0.15">
      <c r="A105" t="s">
        <v>321</v>
      </c>
      <c r="B105">
        <v>2</v>
      </c>
      <c r="C105" t="s">
        <v>390</v>
      </c>
      <c r="D105" t="s">
        <v>390</v>
      </c>
      <c r="E105">
        <v>2</v>
      </c>
      <c r="G105">
        <v>2008</v>
      </c>
      <c r="H105" t="s">
        <v>1368</v>
      </c>
      <c r="I105">
        <v>3</v>
      </c>
    </row>
    <row r="106" spans="1:9" x14ac:dyDescent="0.15">
      <c r="A106" t="s">
        <v>321</v>
      </c>
      <c r="B106">
        <v>3</v>
      </c>
      <c r="C106" t="s">
        <v>212</v>
      </c>
      <c r="D106" t="s">
        <v>212</v>
      </c>
      <c r="E106">
        <v>3</v>
      </c>
      <c r="G106">
        <v>2022</v>
      </c>
      <c r="H106" t="s">
        <v>1369</v>
      </c>
      <c r="I106">
        <v>2</v>
      </c>
    </row>
    <row r="107" spans="1:9" x14ac:dyDescent="0.15">
      <c r="A107" t="s">
        <v>321</v>
      </c>
      <c r="B107">
        <v>4</v>
      </c>
      <c r="C107" t="s">
        <v>419</v>
      </c>
      <c r="D107" t="s">
        <v>419</v>
      </c>
      <c r="E107">
        <v>4</v>
      </c>
      <c r="G107">
        <v>2036</v>
      </c>
      <c r="H107" t="s">
        <v>1370</v>
      </c>
      <c r="I107">
        <v>3</v>
      </c>
    </row>
    <row r="108" spans="1:9" x14ac:dyDescent="0.15">
      <c r="A108" t="s">
        <v>321</v>
      </c>
      <c r="B108">
        <v>5</v>
      </c>
      <c r="C108" t="s">
        <v>402</v>
      </c>
      <c r="D108" t="s">
        <v>402</v>
      </c>
      <c r="E108">
        <v>5</v>
      </c>
      <c r="G108">
        <v>2050</v>
      </c>
      <c r="H108" t="s">
        <v>1371</v>
      </c>
      <c r="I108">
        <v>2</v>
      </c>
    </row>
    <row r="109" spans="1:9" x14ac:dyDescent="0.15">
      <c r="A109" t="s">
        <v>321</v>
      </c>
      <c r="B109">
        <v>6</v>
      </c>
      <c r="C109" t="s">
        <v>211</v>
      </c>
      <c r="D109" t="s">
        <v>211</v>
      </c>
      <c r="E109">
        <v>6</v>
      </c>
      <c r="G109">
        <v>2064</v>
      </c>
      <c r="H109" t="s">
        <v>1372</v>
      </c>
      <c r="I109">
        <v>3</v>
      </c>
    </row>
    <row r="110" spans="1:9" x14ac:dyDescent="0.15">
      <c r="A110" t="s">
        <v>321</v>
      </c>
      <c r="B110">
        <v>7</v>
      </c>
      <c r="C110" t="s">
        <v>210</v>
      </c>
      <c r="D110" t="s">
        <v>210</v>
      </c>
      <c r="E110">
        <v>7</v>
      </c>
      <c r="G110">
        <v>2070</v>
      </c>
      <c r="H110" t="s">
        <v>1373</v>
      </c>
      <c r="I110">
        <v>3</v>
      </c>
    </row>
    <row r="111" spans="1:9" x14ac:dyDescent="0.15">
      <c r="A111" t="s">
        <v>321</v>
      </c>
      <c r="B111">
        <v>8</v>
      </c>
      <c r="C111" t="s">
        <v>209</v>
      </c>
      <c r="D111" t="s">
        <v>209</v>
      </c>
      <c r="E111">
        <v>8</v>
      </c>
      <c r="G111">
        <v>2074</v>
      </c>
      <c r="H111" t="s">
        <v>1374</v>
      </c>
      <c r="I111">
        <v>3</v>
      </c>
    </row>
    <row r="112" spans="1:9" x14ac:dyDescent="0.15">
      <c r="A112" t="s">
        <v>321</v>
      </c>
      <c r="B112">
        <v>9</v>
      </c>
      <c r="C112" t="s">
        <v>207</v>
      </c>
      <c r="D112" t="s">
        <v>207</v>
      </c>
      <c r="E112">
        <v>9</v>
      </c>
      <c r="G112">
        <v>2078</v>
      </c>
      <c r="H112" t="s">
        <v>1375</v>
      </c>
      <c r="I112">
        <v>3</v>
      </c>
    </row>
    <row r="113" spans="1:9" x14ac:dyDescent="0.15">
      <c r="A113" t="s">
        <v>321</v>
      </c>
      <c r="B113">
        <v>10</v>
      </c>
      <c r="C113" t="s">
        <v>206</v>
      </c>
      <c r="D113" t="s">
        <v>206</v>
      </c>
      <c r="E113">
        <v>10</v>
      </c>
      <c r="G113">
        <v>2085</v>
      </c>
      <c r="H113" t="s">
        <v>1376</v>
      </c>
      <c r="I113">
        <v>3</v>
      </c>
    </row>
    <row r="114" spans="1:9" x14ac:dyDescent="0.15">
      <c r="A114" t="s">
        <v>321</v>
      </c>
      <c r="B114">
        <v>11</v>
      </c>
      <c r="C114" t="s">
        <v>313</v>
      </c>
      <c r="D114" t="s">
        <v>313</v>
      </c>
      <c r="E114">
        <v>11</v>
      </c>
      <c r="G114">
        <v>2092</v>
      </c>
      <c r="H114" t="s">
        <v>1377</v>
      </c>
      <c r="I114">
        <v>2</v>
      </c>
    </row>
    <row r="115" spans="1:9" x14ac:dyDescent="0.15">
      <c r="A115" t="s">
        <v>321</v>
      </c>
      <c r="B115">
        <v>12</v>
      </c>
      <c r="C115" t="s">
        <v>497</v>
      </c>
      <c r="D115" t="s">
        <v>497</v>
      </c>
      <c r="E115">
        <v>12</v>
      </c>
      <c r="G115">
        <v>2106</v>
      </c>
      <c r="H115" t="s">
        <v>1378</v>
      </c>
      <c r="I115">
        <v>3</v>
      </c>
    </row>
    <row r="116" spans="1:9" x14ac:dyDescent="0.15">
      <c r="A116" t="s">
        <v>321</v>
      </c>
      <c r="B116">
        <v>13</v>
      </c>
      <c r="C116" t="s">
        <v>416</v>
      </c>
      <c r="D116" t="s">
        <v>416</v>
      </c>
      <c r="E116">
        <v>13</v>
      </c>
      <c r="G116">
        <v>2120</v>
      </c>
      <c r="H116" t="s">
        <v>1379</v>
      </c>
      <c r="I116">
        <v>2</v>
      </c>
    </row>
    <row r="117" spans="1:9" x14ac:dyDescent="0.15">
      <c r="A117" t="s">
        <v>321</v>
      </c>
      <c r="B117">
        <v>14</v>
      </c>
      <c r="C117" t="s">
        <v>449</v>
      </c>
      <c r="D117" t="s">
        <v>449</v>
      </c>
      <c r="E117">
        <v>14</v>
      </c>
      <c r="G117">
        <v>2125</v>
      </c>
      <c r="H117" t="s">
        <v>1380</v>
      </c>
      <c r="I117">
        <v>3</v>
      </c>
    </row>
    <row r="118" spans="1:9" x14ac:dyDescent="0.15">
      <c r="A118" t="s">
        <v>321</v>
      </c>
      <c r="B118">
        <v>15</v>
      </c>
      <c r="C118" t="s">
        <v>498</v>
      </c>
      <c r="D118" t="s">
        <v>498</v>
      </c>
      <c r="E118">
        <v>15</v>
      </c>
      <c r="G118">
        <v>2134</v>
      </c>
      <c r="H118" t="s">
        <v>1381</v>
      </c>
      <c r="I118">
        <v>3</v>
      </c>
    </row>
    <row r="119" spans="1:9" x14ac:dyDescent="0.15">
      <c r="A119" t="s">
        <v>321</v>
      </c>
      <c r="B119">
        <v>16</v>
      </c>
      <c r="C119" t="s">
        <v>202</v>
      </c>
      <c r="D119" t="s">
        <v>202</v>
      </c>
      <c r="E119">
        <v>16</v>
      </c>
      <c r="G119">
        <v>2148</v>
      </c>
      <c r="H119" t="s">
        <v>1381</v>
      </c>
      <c r="I119">
        <v>2</v>
      </c>
    </row>
    <row r="120" spans="1:9" x14ac:dyDescent="0.15">
      <c r="A120" t="s">
        <v>321</v>
      </c>
      <c r="B120">
        <v>17</v>
      </c>
      <c r="C120" t="s">
        <v>409</v>
      </c>
      <c r="D120" t="s">
        <v>409</v>
      </c>
      <c r="E120">
        <v>17</v>
      </c>
      <c r="G120">
        <v>2162</v>
      </c>
      <c r="H120" t="s">
        <v>1382</v>
      </c>
      <c r="I120">
        <v>3</v>
      </c>
    </row>
    <row r="121" spans="1:9" x14ac:dyDescent="0.15">
      <c r="A121" t="s">
        <v>321</v>
      </c>
      <c r="B121">
        <v>18</v>
      </c>
      <c r="C121" t="s">
        <v>230</v>
      </c>
      <c r="D121" t="s">
        <v>230</v>
      </c>
      <c r="E121">
        <v>18</v>
      </c>
      <c r="G121">
        <v>2170</v>
      </c>
      <c r="H121" t="s">
        <v>1383</v>
      </c>
      <c r="I121">
        <v>3</v>
      </c>
    </row>
    <row r="122" spans="1:9" x14ac:dyDescent="0.15">
      <c r="A122" t="s">
        <v>321</v>
      </c>
      <c r="B122">
        <v>19</v>
      </c>
      <c r="C122" t="s">
        <v>860</v>
      </c>
      <c r="D122" t="s">
        <v>860</v>
      </c>
      <c r="E122">
        <v>19</v>
      </c>
      <c r="G122">
        <v>2176</v>
      </c>
      <c r="H122" t="s">
        <v>1384</v>
      </c>
      <c r="I122">
        <v>3</v>
      </c>
    </row>
    <row r="123" spans="1:9" x14ac:dyDescent="0.15">
      <c r="A123" t="s">
        <v>330</v>
      </c>
      <c r="B123">
        <v>1</v>
      </c>
      <c r="C123" t="s">
        <v>6443</v>
      </c>
      <c r="D123" t="s">
        <v>6443</v>
      </c>
      <c r="E123">
        <v>1</v>
      </c>
      <c r="G123">
        <v>2190</v>
      </c>
      <c r="H123" t="s">
        <v>1385</v>
      </c>
      <c r="I123">
        <v>3</v>
      </c>
    </row>
    <row r="124" spans="1:9" x14ac:dyDescent="0.15">
      <c r="A124" t="s">
        <v>330</v>
      </c>
      <c r="B124">
        <v>2</v>
      </c>
      <c r="C124" t="s">
        <v>6444</v>
      </c>
      <c r="D124" t="s">
        <v>6444</v>
      </c>
      <c r="E124">
        <v>2</v>
      </c>
      <c r="G124">
        <v>2204</v>
      </c>
      <c r="H124" t="s">
        <v>1386</v>
      </c>
      <c r="I124">
        <v>2</v>
      </c>
    </row>
    <row r="125" spans="1:9" x14ac:dyDescent="0.15">
      <c r="A125" t="s">
        <v>330</v>
      </c>
      <c r="B125">
        <v>3</v>
      </c>
      <c r="C125" t="s">
        <v>6445</v>
      </c>
      <c r="D125" t="s">
        <v>6445</v>
      </c>
      <c r="E125">
        <v>3</v>
      </c>
      <c r="G125">
        <v>2225</v>
      </c>
      <c r="H125" t="s">
        <v>1387</v>
      </c>
      <c r="I125">
        <v>3</v>
      </c>
    </row>
    <row r="126" spans="1:9" x14ac:dyDescent="0.15">
      <c r="A126" t="s">
        <v>330</v>
      </c>
      <c r="B126">
        <v>4</v>
      </c>
      <c r="C126" t="s">
        <v>6446</v>
      </c>
      <c r="D126" t="s">
        <v>6446</v>
      </c>
      <c r="E126">
        <v>4</v>
      </c>
      <c r="G126">
        <v>2228</v>
      </c>
      <c r="H126" t="s">
        <v>1388</v>
      </c>
      <c r="I126">
        <v>3</v>
      </c>
    </row>
    <row r="127" spans="1:9" x14ac:dyDescent="0.15">
      <c r="A127" t="s">
        <v>330</v>
      </c>
      <c r="B127">
        <v>5</v>
      </c>
      <c r="C127" t="s">
        <v>6447</v>
      </c>
      <c r="D127" t="s">
        <v>6447</v>
      </c>
      <c r="E127">
        <v>5</v>
      </c>
      <c r="G127">
        <v>2232</v>
      </c>
      <c r="H127" t="s">
        <v>1389</v>
      </c>
      <c r="I127">
        <v>2</v>
      </c>
    </row>
    <row r="128" spans="1:9" x14ac:dyDescent="0.15">
      <c r="A128" t="s">
        <v>330</v>
      </c>
      <c r="B128">
        <v>6</v>
      </c>
      <c r="C128" t="s">
        <v>6448</v>
      </c>
      <c r="D128" t="s">
        <v>6448</v>
      </c>
      <c r="E128">
        <v>6</v>
      </c>
      <c r="G128">
        <v>2246</v>
      </c>
      <c r="H128" t="s">
        <v>1391</v>
      </c>
      <c r="I128">
        <v>3</v>
      </c>
    </row>
    <row r="129" spans="1:9" x14ac:dyDescent="0.15">
      <c r="A129" t="s">
        <v>330</v>
      </c>
      <c r="B129">
        <v>7</v>
      </c>
      <c r="C129" t="s">
        <v>6449</v>
      </c>
      <c r="D129" t="s">
        <v>6449</v>
      </c>
      <c r="E129">
        <v>7</v>
      </c>
      <c r="G129">
        <v>2260</v>
      </c>
      <c r="H129" t="s">
        <v>1392</v>
      </c>
      <c r="I129">
        <v>3</v>
      </c>
    </row>
    <row r="130" spans="1:9" x14ac:dyDescent="0.15">
      <c r="A130" t="s">
        <v>330</v>
      </c>
      <c r="G130">
        <v>2266</v>
      </c>
      <c r="H130" t="s">
        <v>1393</v>
      </c>
      <c r="I130">
        <v>1</v>
      </c>
    </row>
    <row r="131" spans="1:9" x14ac:dyDescent="0.15">
      <c r="A131" t="s">
        <v>330</v>
      </c>
      <c r="G131">
        <v>2274</v>
      </c>
      <c r="H131" t="s">
        <v>1394</v>
      </c>
      <c r="I131">
        <v>2</v>
      </c>
    </row>
    <row r="132" spans="1:9" x14ac:dyDescent="0.15">
      <c r="A132" t="s">
        <v>330</v>
      </c>
      <c r="G132">
        <v>2288</v>
      </c>
      <c r="H132" t="s">
        <v>1395</v>
      </c>
      <c r="I132">
        <v>3</v>
      </c>
    </row>
    <row r="133" spans="1:9" x14ac:dyDescent="0.15">
      <c r="A133" t="s">
        <v>330</v>
      </c>
      <c r="G133">
        <v>2295</v>
      </c>
      <c r="H133" t="s">
        <v>1396</v>
      </c>
      <c r="I133">
        <v>3</v>
      </c>
    </row>
    <row r="134" spans="1:9" x14ac:dyDescent="0.15">
      <c r="A134" t="s">
        <v>330</v>
      </c>
      <c r="G134">
        <v>2302</v>
      </c>
      <c r="H134" t="s">
        <v>1397</v>
      </c>
      <c r="I134">
        <v>3</v>
      </c>
    </row>
    <row r="135" spans="1:9" x14ac:dyDescent="0.15">
      <c r="A135" t="s">
        <v>330</v>
      </c>
      <c r="G135">
        <v>2316</v>
      </c>
      <c r="H135" t="s">
        <v>1398</v>
      </c>
      <c r="I135">
        <v>2</v>
      </c>
    </row>
    <row r="136" spans="1:9" x14ac:dyDescent="0.15">
      <c r="A136" t="s">
        <v>330</v>
      </c>
      <c r="G136">
        <v>2330</v>
      </c>
      <c r="H136" t="s">
        <v>1399</v>
      </c>
      <c r="I136">
        <v>2</v>
      </c>
    </row>
    <row r="137" spans="1:9" x14ac:dyDescent="0.15">
      <c r="A137" t="s">
        <v>882</v>
      </c>
      <c r="B137" t="s">
        <v>259</v>
      </c>
      <c r="C137" t="s">
        <v>393</v>
      </c>
      <c r="D137" t="s">
        <v>393</v>
      </c>
      <c r="E137" t="s">
        <v>259</v>
      </c>
      <c r="G137">
        <v>2344</v>
      </c>
      <c r="H137" t="s">
        <v>1400</v>
      </c>
      <c r="I137">
        <v>2</v>
      </c>
    </row>
    <row r="138" spans="1:9" x14ac:dyDescent="0.15">
      <c r="A138" t="s">
        <v>882</v>
      </c>
      <c r="B138" t="s">
        <v>315</v>
      </c>
      <c r="C138" t="s">
        <v>740</v>
      </c>
      <c r="D138" t="s">
        <v>740</v>
      </c>
      <c r="E138" t="s">
        <v>315</v>
      </c>
      <c r="G138">
        <v>2358</v>
      </c>
      <c r="H138" t="s">
        <v>1401</v>
      </c>
      <c r="I138">
        <v>3</v>
      </c>
    </row>
    <row r="139" spans="1:9" x14ac:dyDescent="0.15">
      <c r="A139" t="s">
        <v>870</v>
      </c>
      <c r="B139">
        <v>1</v>
      </c>
      <c r="C139" t="s">
        <v>1033</v>
      </c>
      <c r="D139" t="s">
        <v>1033</v>
      </c>
      <c r="E139">
        <v>1</v>
      </c>
      <c r="G139">
        <v>2372</v>
      </c>
      <c r="H139" t="s">
        <v>1402</v>
      </c>
      <c r="I139">
        <v>3</v>
      </c>
    </row>
    <row r="140" spans="1:9" x14ac:dyDescent="0.15">
      <c r="A140" t="s">
        <v>870</v>
      </c>
      <c r="B140">
        <v>2</v>
      </c>
      <c r="C140" t="s">
        <v>1034</v>
      </c>
      <c r="D140" t="s">
        <v>1034</v>
      </c>
      <c r="E140">
        <v>2</v>
      </c>
      <c r="G140">
        <v>2386</v>
      </c>
      <c r="H140" t="s">
        <v>1403</v>
      </c>
      <c r="I140">
        <v>3</v>
      </c>
    </row>
    <row r="141" spans="1:9" x14ac:dyDescent="0.15">
      <c r="A141" t="s">
        <v>870</v>
      </c>
      <c r="B141">
        <v>3</v>
      </c>
      <c r="C141" t="s">
        <v>1035</v>
      </c>
      <c r="D141" t="s">
        <v>1035</v>
      </c>
      <c r="E141">
        <v>3</v>
      </c>
      <c r="G141">
        <v>2395</v>
      </c>
      <c r="H141" t="s">
        <v>1404</v>
      </c>
      <c r="I141">
        <v>3</v>
      </c>
    </row>
    <row r="142" spans="1:9" x14ac:dyDescent="0.15">
      <c r="A142" t="s">
        <v>870</v>
      </c>
      <c r="B142">
        <v>4</v>
      </c>
      <c r="C142" t="s">
        <v>1036</v>
      </c>
      <c r="D142" t="s">
        <v>1036</v>
      </c>
      <c r="E142">
        <v>4</v>
      </c>
      <c r="G142">
        <v>2400</v>
      </c>
      <c r="H142" t="s">
        <v>1405</v>
      </c>
      <c r="I142">
        <v>2</v>
      </c>
    </row>
    <row r="143" spans="1:9" x14ac:dyDescent="0.15">
      <c r="A143" t="s">
        <v>870</v>
      </c>
      <c r="B143">
        <v>5</v>
      </c>
      <c r="C143" t="s">
        <v>1037</v>
      </c>
      <c r="D143" t="s">
        <v>1037</v>
      </c>
      <c r="E143">
        <v>5</v>
      </c>
      <c r="G143">
        <v>2414</v>
      </c>
      <c r="H143" t="s">
        <v>1405</v>
      </c>
      <c r="I143">
        <v>3</v>
      </c>
    </row>
    <row r="144" spans="1:9" x14ac:dyDescent="0.15">
      <c r="A144" t="s">
        <v>870</v>
      </c>
      <c r="B144">
        <v>6</v>
      </c>
      <c r="C144" t="s">
        <v>1038</v>
      </c>
      <c r="D144" t="s">
        <v>1038</v>
      </c>
      <c r="E144">
        <v>6</v>
      </c>
      <c r="G144">
        <v>2420</v>
      </c>
      <c r="H144" t="s">
        <v>1405</v>
      </c>
      <c r="I144">
        <v>3</v>
      </c>
    </row>
    <row r="145" spans="1:9" x14ac:dyDescent="0.15">
      <c r="A145" t="s">
        <v>868</v>
      </c>
      <c r="B145" t="s">
        <v>259</v>
      </c>
      <c r="C145" t="s">
        <v>393</v>
      </c>
      <c r="D145" t="s">
        <v>393</v>
      </c>
      <c r="E145" t="s">
        <v>259</v>
      </c>
      <c r="G145">
        <v>2428</v>
      </c>
      <c r="H145" t="s">
        <v>1406</v>
      </c>
      <c r="I145">
        <v>2</v>
      </c>
    </row>
    <row r="146" spans="1:9" x14ac:dyDescent="0.15">
      <c r="A146" t="s">
        <v>868</v>
      </c>
      <c r="B146" t="s">
        <v>315</v>
      </c>
      <c r="C146" t="s">
        <v>740</v>
      </c>
      <c r="D146" t="s">
        <v>740</v>
      </c>
      <c r="E146" t="s">
        <v>315</v>
      </c>
      <c r="G146">
        <v>2460</v>
      </c>
      <c r="H146" t="s">
        <v>1407</v>
      </c>
      <c r="I146">
        <v>3</v>
      </c>
    </row>
    <row r="147" spans="1:9" x14ac:dyDescent="0.15">
      <c r="A147" t="s">
        <v>875</v>
      </c>
      <c r="B147" t="s">
        <v>259</v>
      </c>
      <c r="C147" t="s">
        <v>393</v>
      </c>
      <c r="D147" t="s">
        <v>393</v>
      </c>
      <c r="E147" t="s">
        <v>259</v>
      </c>
      <c r="G147">
        <v>2470</v>
      </c>
      <c r="H147" t="s">
        <v>1408</v>
      </c>
      <c r="I147">
        <v>3</v>
      </c>
    </row>
    <row r="148" spans="1:9" x14ac:dyDescent="0.15">
      <c r="A148" t="s">
        <v>875</v>
      </c>
      <c r="B148" t="s">
        <v>315</v>
      </c>
      <c r="C148" t="s">
        <v>740</v>
      </c>
      <c r="D148" t="s">
        <v>740</v>
      </c>
      <c r="E148" t="s">
        <v>315</v>
      </c>
      <c r="G148">
        <v>2478</v>
      </c>
      <c r="H148" t="s">
        <v>1409</v>
      </c>
      <c r="I148">
        <v>3</v>
      </c>
    </row>
    <row r="149" spans="1:9" x14ac:dyDescent="0.15">
      <c r="A149" t="s">
        <v>326</v>
      </c>
      <c r="B149">
        <v>1</v>
      </c>
      <c r="C149" t="s">
        <v>1039</v>
      </c>
      <c r="D149" t="s">
        <v>1039</v>
      </c>
      <c r="E149">
        <v>1</v>
      </c>
      <c r="G149">
        <v>2484</v>
      </c>
      <c r="H149" t="s">
        <v>1410</v>
      </c>
      <c r="I149">
        <v>3</v>
      </c>
    </row>
    <row r="150" spans="1:9" x14ac:dyDescent="0.15">
      <c r="A150" t="s">
        <v>326</v>
      </c>
      <c r="B150">
        <v>2</v>
      </c>
      <c r="C150" t="s">
        <v>1040</v>
      </c>
      <c r="D150" t="s">
        <v>1040</v>
      </c>
      <c r="E150">
        <v>2</v>
      </c>
      <c r="G150">
        <v>2498</v>
      </c>
      <c r="H150" t="s">
        <v>1411</v>
      </c>
      <c r="I150">
        <v>3</v>
      </c>
    </row>
    <row r="151" spans="1:9" x14ac:dyDescent="0.15">
      <c r="A151" t="s">
        <v>326</v>
      </c>
      <c r="B151">
        <v>3</v>
      </c>
      <c r="C151" t="s">
        <v>1041</v>
      </c>
      <c r="D151" t="s">
        <v>1041</v>
      </c>
      <c r="E151">
        <v>3</v>
      </c>
      <c r="G151">
        <v>2512</v>
      </c>
      <c r="H151" t="s">
        <v>1412</v>
      </c>
      <c r="I151">
        <v>3</v>
      </c>
    </row>
    <row r="152" spans="1:9" x14ac:dyDescent="0.15">
      <c r="A152" t="s">
        <v>326</v>
      </c>
      <c r="B152">
        <v>4</v>
      </c>
      <c r="C152" t="s">
        <v>1042</v>
      </c>
      <c r="D152" t="s">
        <v>1042</v>
      </c>
      <c r="E152">
        <v>4</v>
      </c>
      <c r="G152">
        <v>2526</v>
      </c>
      <c r="H152" t="s">
        <v>1413</v>
      </c>
      <c r="I152">
        <v>3</v>
      </c>
    </row>
    <row r="153" spans="1:9" x14ac:dyDescent="0.15">
      <c r="A153" t="s">
        <v>326</v>
      </c>
      <c r="B153">
        <v>5</v>
      </c>
      <c r="C153" t="s">
        <v>1043</v>
      </c>
      <c r="D153" t="s">
        <v>1043</v>
      </c>
      <c r="E153">
        <v>5</v>
      </c>
      <c r="G153">
        <v>2540</v>
      </c>
      <c r="H153" t="s">
        <v>1414</v>
      </c>
      <c r="I153">
        <v>3</v>
      </c>
    </row>
    <row r="154" spans="1:9" x14ac:dyDescent="0.15">
      <c r="A154" t="s">
        <v>326</v>
      </c>
      <c r="B154">
        <v>6</v>
      </c>
      <c r="C154" t="s">
        <v>1044</v>
      </c>
      <c r="D154" t="s">
        <v>1044</v>
      </c>
      <c r="E154">
        <v>6</v>
      </c>
      <c r="G154">
        <v>2555</v>
      </c>
      <c r="H154" t="s">
        <v>1415</v>
      </c>
      <c r="I154">
        <v>3</v>
      </c>
    </row>
    <row r="155" spans="1:9" x14ac:dyDescent="0.15">
      <c r="A155" t="s">
        <v>326</v>
      </c>
      <c r="B155">
        <v>7</v>
      </c>
      <c r="C155" t="s">
        <v>1045</v>
      </c>
      <c r="D155" t="s">
        <v>1045</v>
      </c>
      <c r="E155">
        <v>7</v>
      </c>
      <c r="G155">
        <v>2559</v>
      </c>
      <c r="H155" t="s">
        <v>1416</v>
      </c>
      <c r="I155">
        <v>3</v>
      </c>
    </row>
    <row r="156" spans="1:9" x14ac:dyDescent="0.15">
      <c r="A156" t="s">
        <v>876</v>
      </c>
      <c r="B156" t="s">
        <v>259</v>
      </c>
      <c r="C156" t="s">
        <v>393</v>
      </c>
      <c r="D156" t="s">
        <v>393</v>
      </c>
      <c r="E156" t="s">
        <v>259</v>
      </c>
      <c r="G156">
        <v>2568</v>
      </c>
      <c r="H156" t="s">
        <v>950</v>
      </c>
      <c r="I156">
        <v>1</v>
      </c>
    </row>
    <row r="157" spans="1:9" x14ac:dyDescent="0.15">
      <c r="A157" t="s">
        <v>876</v>
      </c>
      <c r="B157" t="s">
        <v>315</v>
      </c>
      <c r="C157" t="s">
        <v>740</v>
      </c>
      <c r="D157" t="s">
        <v>740</v>
      </c>
      <c r="E157" t="s">
        <v>315</v>
      </c>
      <c r="G157">
        <v>2582</v>
      </c>
      <c r="H157" t="s">
        <v>1417</v>
      </c>
      <c r="I157">
        <v>2</v>
      </c>
    </row>
    <row r="158" spans="1:9" x14ac:dyDescent="0.15">
      <c r="A158" t="s">
        <v>334</v>
      </c>
      <c r="B158">
        <v>1</v>
      </c>
      <c r="C158" t="s">
        <v>404</v>
      </c>
      <c r="D158" t="s">
        <v>404</v>
      </c>
      <c r="E158">
        <v>1</v>
      </c>
      <c r="G158">
        <v>2596</v>
      </c>
      <c r="H158" t="s">
        <v>1418</v>
      </c>
      <c r="I158">
        <v>3</v>
      </c>
    </row>
    <row r="159" spans="1:9" x14ac:dyDescent="0.15">
      <c r="A159" t="s">
        <v>334</v>
      </c>
      <c r="B159">
        <v>2</v>
      </c>
      <c r="C159" t="s">
        <v>6324</v>
      </c>
      <c r="D159" t="s">
        <v>6324</v>
      </c>
      <c r="E159">
        <v>2</v>
      </c>
      <c r="G159">
        <v>2624</v>
      </c>
      <c r="H159" t="s">
        <v>1419</v>
      </c>
      <c r="I159">
        <v>3</v>
      </c>
    </row>
    <row r="160" spans="1:9" x14ac:dyDescent="0.15">
      <c r="A160" t="s">
        <v>334</v>
      </c>
      <c r="B160">
        <v>3</v>
      </c>
      <c r="C160" t="s">
        <v>505</v>
      </c>
      <c r="D160" t="s">
        <v>505</v>
      </c>
      <c r="E160">
        <v>3</v>
      </c>
      <c r="G160">
        <v>2638</v>
      </c>
      <c r="H160" t="s">
        <v>951</v>
      </c>
      <c r="I160">
        <v>1</v>
      </c>
    </row>
    <row r="161" spans="1:9" x14ac:dyDescent="0.15">
      <c r="A161" t="s">
        <v>334</v>
      </c>
      <c r="B161">
        <v>4</v>
      </c>
      <c r="C161" t="s">
        <v>506</v>
      </c>
      <c r="D161" t="s">
        <v>506</v>
      </c>
      <c r="E161">
        <v>4</v>
      </c>
      <c r="G161">
        <v>2652</v>
      </c>
      <c r="H161" t="s">
        <v>1420</v>
      </c>
      <c r="I161">
        <v>3</v>
      </c>
    </row>
    <row r="162" spans="1:9" x14ac:dyDescent="0.15">
      <c r="A162" t="s">
        <v>334</v>
      </c>
      <c r="B162">
        <v>5</v>
      </c>
      <c r="C162" t="s">
        <v>507</v>
      </c>
      <c r="D162" t="s">
        <v>507</v>
      </c>
      <c r="E162">
        <v>5</v>
      </c>
      <c r="G162">
        <v>2675</v>
      </c>
      <c r="H162" t="s">
        <v>1421</v>
      </c>
      <c r="I162">
        <v>3</v>
      </c>
    </row>
    <row r="163" spans="1:9" x14ac:dyDescent="0.15">
      <c r="A163" t="s">
        <v>334</v>
      </c>
      <c r="B163">
        <v>9</v>
      </c>
      <c r="C163" t="s">
        <v>6151</v>
      </c>
      <c r="D163" t="s">
        <v>6151</v>
      </c>
      <c r="E163">
        <v>9</v>
      </c>
      <c r="G163">
        <v>2680</v>
      </c>
      <c r="H163" t="s">
        <v>1422</v>
      </c>
      <c r="I163">
        <v>2</v>
      </c>
    </row>
    <row r="164" spans="1:9" x14ac:dyDescent="0.15">
      <c r="A164" t="s">
        <v>334</v>
      </c>
      <c r="G164">
        <v>2708</v>
      </c>
      <c r="H164" t="s">
        <v>1423</v>
      </c>
      <c r="I164">
        <v>3</v>
      </c>
    </row>
    <row r="165" spans="1:9" x14ac:dyDescent="0.15">
      <c r="A165" t="s">
        <v>334</v>
      </c>
      <c r="G165">
        <v>2715</v>
      </c>
      <c r="H165" t="s">
        <v>1424</v>
      </c>
      <c r="I165">
        <v>3</v>
      </c>
    </row>
    <row r="166" spans="1:9" x14ac:dyDescent="0.15">
      <c r="A166" t="s">
        <v>334</v>
      </c>
      <c r="G166">
        <v>2722</v>
      </c>
      <c r="H166" t="s">
        <v>1425</v>
      </c>
      <c r="I166">
        <v>2</v>
      </c>
    </row>
    <row r="167" spans="1:9" x14ac:dyDescent="0.15">
      <c r="A167" t="s">
        <v>871</v>
      </c>
      <c r="B167">
        <v>2</v>
      </c>
      <c r="C167" t="s">
        <v>1046</v>
      </c>
      <c r="D167" t="s">
        <v>1046</v>
      </c>
      <c r="E167">
        <v>2</v>
      </c>
      <c r="G167">
        <v>2736</v>
      </c>
      <c r="H167" t="s">
        <v>952</v>
      </c>
      <c r="I167">
        <v>1</v>
      </c>
    </row>
    <row r="168" spans="1:9" x14ac:dyDescent="0.15">
      <c r="A168" t="s">
        <v>871</v>
      </c>
      <c r="B168">
        <v>3</v>
      </c>
      <c r="C168" t="s">
        <v>1047</v>
      </c>
      <c r="D168" t="s">
        <v>1047</v>
      </c>
      <c r="E168">
        <v>3</v>
      </c>
      <c r="G168">
        <v>2750</v>
      </c>
      <c r="H168" t="s">
        <v>1426</v>
      </c>
      <c r="I168">
        <v>3</v>
      </c>
    </row>
    <row r="169" spans="1:9" x14ac:dyDescent="0.15">
      <c r="A169" t="s">
        <v>871</v>
      </c>
      <c r="B169">
        <v>4</v>
      </c>
      <c r="C169" t="s">
        <v>1048</v>
      </c>
      <c r="D169" t="s">
        <v>1048</v>
      </c>
      <c r="E169">
        <v>4</v>
      </c>
      <c r="G169">
        <v>2764</v>
      </c>
      <c r="H169" t="s">
        <v>1426</v>
      </c>
      <c r="I169">
        <v>3</v>
      </c>
    </row>
    <row r="170" spans="1:9" x14ac:dyDescent="0.15">
      <c r="A170" t="s">
        <v>871</v>
      </c>
      <c r="B170">
        <v>5</v>
      </c>
      <c r="C170" t="s">
        <v>1049</v>
      </c>
      <c r="D170" t="s">
        <v>1049</v>
      </c>
      <c r="E170">
        <v>5</v>
      </c>
      <c r="G170">
        <v>2770</v>
      </c>
      <c r="H170" t="s">
        <v>1427</v>
      </c>
      <c r="I170">
        <v>3</v>
      </c>
    </row>
    <row r="171" spans="1:9" x14ac:dyDescent="0.15">
      <c r="A171" t="s">
        <v>871</v>
      </c>
      <c r="B171">
        <v>6</v>
      </c>
      <c r="C171" t="s">
        <v>1050</v>
      </c>
      <c r="D171" t="s">
        <v>1050</v>
      </c>
      <c r="E171">
        <v>6</v>
      </c>
      <c r="G171">
        <v>2778</v>
      </c>
      <c r="H171" t="s">
        <v>1428</v>
      </c>
      <c r="I171">
        <v>3</v>
      </c>
    </row>
    <row r="172" spans="1:9" x14ac:dyDescent="0.15">
      <c r="A172" t="s">
        <v>871</v>
      </c>
      <c r="B172">
        <v>7</v>
      </c>
      <c r="C172" t="s">
        <v>1051</v>
      </c>
      <c r="D172" t="s">
        <v>1051</v>
      </c>
      <c r="E172">
        <v>7</v>
      </c>
      <c r="G172">
        <v>2820</v>
      </c>
      <c r="H172" t="s">
        <v>1429</v>
      </c>
      <c r="I172">
        <v>2</v>
      </c>
    </row>
    <row r="173" spans="1:9" x14ac:dyDescent="0.15">
      <c r="A173" t="s">
        <v>871</v>
      </c>
      <c r="B173">
        <v>8</v>
      </c>
      <c r="C173" t="s">
        <v>1052</v>
      </c>
      <c r="D173" t="s">
        <v>1052</v>
      </c>
      <c r="E173">
        <v>8</v>
      </c>
      <c r="G173">
        <v>2834</v>
      </c>
      <c r="H173" t="s">
        <v>1430</v>
      </c>
      <c r="I173">
        <v>3</v>
      </c>
    </row>
    <row r="174" spans="1:9" x14ac:dyDescent="0.15">
      <c r="A174" t="s">
        <v>871</v>
      </c>
      <c r="B174">
        <v>9</v>
      </c>
      <c r="C174" t="s">
        <v>1053</v>
      </c>
      <c r="D174" t="s">
        <v>1053</v>
      </c>
      <c r="E174">
        <v>9</v>
      </c>
      <c r="G174">
        <v>2848</v>
      </c>
      <c r="H174" t="s">
        <v>1431</v>
      </c>
      <c r="I174">
        <v>2</v>
      </c>
    </row>
    <row r="175" spans="1:9" x14ac:dyDescent="0.15">
      <c r="A175" t="s">
        <v>871</v>
      </c>
      <c r="B175" t="s">
        <v>1054</v>
      </c>
      <c r="C175" t="s">
        <v>1055</v>
      </c>
      <c r="D175" t="s">
        <v>1055</v>
      </c>
      <c r="E175" t="s">
        <v>1054</v>
      </c>
      <c r="G175">
        <v>2862</v>
      </c>
      <c r="H175" t="s">
        <v>1432</v>
      </c>
      <c r="I175">
        <v>3</v>
      </c>
    </row>
    <row r="176" spans="1:9" x14ac:dyDescent="0.15">
      <c r="A176" t="s">
        <v>871</v>
      </c>
      <c r="B176" t="s">
        <v>1056</v>
      </c>
      <c r="C176" t="s">
        <v>1057</v>
      </c>
      <c r="D176" t="s">
        <v>1057</v>
      </c>
      <c r="E176" t="s">
        <v>1056</v>
      </c>
      <c r="G176">
        <v>2869</v>
      </c>
      <c r="H176" t="s">
        <v>1433</v>
      </c>
      <c r="I176">
        <v>3</v>
      </c>
    </row>
    <row r="177" spans="1:9" x14ac:dyDescent="0.15">
      <c r="A177" t="s">
        <v>871</v>
      </c>
      <c r="B177" t="s">
        <v>259</v>
      </c>
      <c r="C177" t="s">
        <v>1058</v>
      </c>
      <c r="D177" t="s">
        <v>1058</v>
      </c>
      <c r="E177" t="s">
        <v>259</v>
      </c>
      <c r="G177">
        <v>2876</v>
      </c>
      <c r="H177" t="s">
        <v>1434</v>
      </c>
      <c r="I177">
        <v>3</v>
      </c>
    </row>
    <row r="178" spans="1:9" x14ac:dyDescent="0.15">
      <c r="A178" t="s">
        <v>871</v>
      </c>
      <c r="B178" t="s">
        <v>260</v>
      </c>
      <c r="C178" t="s">
        <v>1059</v>
      </c>
      <c r="D178" t="s">
        <v>1059</v>
      </c>
      <c r="E178" t="s">
        <v>260</v>
      </c>
      <c r="G178">
        <v>2890</v>
      </c>
      <c r="H178" t="s">
        <v>1435</v>
      </c>
      <c r="I178">
        <v>3</v>
      </c>
    </row>
    <row r="179" spans="1:9" x14ac:dyDescent="0.15">
      <c r="A179" t="s">
        <v>869</v>
      </c>
      <c r="B179">
        <v>0</v>
      </c>
      <c r="C179" t="s">
        <v>1030</v>
      </c>
      <c r="D179" t="s">
        <v>1030</v>
      </c>
      <c r="E179">
        <v>0</v>
      </c>
      <c r="G179">
        <v>2904</v>
      </c>
      <c r="H179" t="s">
        <v>1435</v>
      </c>
      <c r="I179">
        <v>3</v>
      </c>
    </row>
    <row r="180" spans="1:9" x14ac:dyDescent="0.15">
      <c r="A180" t="s">
        <v>869</v>
      </c>
      <c r="B180">
        <v>1</v>
      </c>
      <c r="C180" t="s">
        <v>391</v>
      </c>
      <c r="D180" t="s">
        <v>391</v>
      </c>
      <c r="E180">
        <v>1</v>
      </c>
      <c r="G180">
        <v>2918</v>
      </c>
      <c r="H180" t="s">
        <v>1435</v>
      </c>
      <c r="I180">
        <v>3</v>
      </c>
    </row>
    <row r="181" spans="1:9" x14ac:dyDescent="0.15">
      <c r="A181" t="s">
        <v>869</v>
      </c>
      <c r="B181">
        <v>2</v>
      </c>
      <c r="C181" t="s">
        <v>423</v>
      </c>
      <c r="D181" t="s">
        <v>423</v>
      </c>
      <c r="E181">
        <v>2</v>
      </c>
      <c r="G181">
        <v>2932</v>
      </c>
      <c r="H181" t="s">
        <v>1436</v>
      </c>
      <c r="I181">
        <v>3</v>
      </c>
    </row>
    <row r="182" spans="1:9" x14ac:dyDescent="0.15">
      <c r="A182" t="s">
        <v>869</v>
      </c>
      <c r="B182">
        <v>3</v>
      </c>
      <c r="C182" t="s">
        <v>434</v>
      </c>
      <c r="D182" t="s">
        <v>434</v>
      </c>
      <c r="E182">
        <v>3</v>
      </c>
      <c r="G182">
        <v>2946</v>
      </c>
      <c r="H182" t="s">
        <v>1436</v>
      </c>
      <c r="I182">
        <v>3</v>
      </c>
    </row>
    <row r="183" spans="1:9" x14ac:dyDescent="0.15">
      <c r="A183" t="s">
        <v>869</v>
      </c>
      <c r="B183">
        <v>4</v>
      </c>
      <c r="C183" t="s">
        <v>470</v>
      </c>
      <c r="D183" t="s">
        <v>470</v>
      </c>
      <c r="E183">
        <v>4</v>
      </c>
      <c r="G183">
        <v>2960</v>
      </c>
      <c r="H183" t="s">
        <v>1437</v>
      </c>
      <c r="I183">
        <v>3</v>
      </c>
    </row>
    <row r="184" spans="1:9" x14ac:dyDescent="0.15">
      <c r="A184" t="s">
        <v>869</v>
      </c>
      <c r="B184">
        <v>5</v>
      </c>
      <c r="C184" t="s">
        <v>484</v>
      </c>
      <c r="D184" t="s">
        <v>484</v>
      </c>
      <c r="E184">
        <v>5</v>
      </c>
      <c r="G184">
        <v>2970</v>
      </c>
      <c r="H184" t="s">
        <v>1438</v>
      </c>
      <c r="I184">
        <v>3</v>
      </c>
    </row>
    <row r="185" spans="1:9" x14ac:dyDescent="0.15">
      <c r="A185" t="s">
        <v>869</v>
      </c>
      <c r="B185">
        <v>6</v>
      </c>
      <c r="C185" t="s">
        <v>477</v>
      </c>
      <c r="D185" t="s">
        <v>477</v>
      </c>
      <c r="E185">
        <v>6</v>
      </c>
      <c r="G185">
        <v>2988</v>
      </c>
      <c r="H185" t="s">
        <v>1439</v>
      </c>
      <c r="I185">
        <v>3</v>
      </c>
    </row>
    <row r="186" spans="1:9" x14ac:dyDescent="0.15">
      <c r="A186" t="s">
        <v>869</v>
      </c>
      <c r="B186">
        <v>7</v>
      </c>
      <c r="C186" t="s">
        <v>426</v>
      </c>
      <c r="D186" t="s">
        <v>426</v>
      </c>
      <c r="E186">
        <v>7</v>
      </c>
      <c r="G186">
        <v>3002</v>
      </c>
      <c r="H186" t="s">
        <v>1439</v>
      </c>
      <c r="I186">
        <v>3</v>
      </c>
    </row>
    <row r="187" spans="1:9" x14ac:dyDescent="0.15">
      <c r="A187" t="s">
        <v>869</v>
      </c>
      <c r="B187">
        <v>8</v>
      </c>
      <c r="C187" t="s">
        <v>442</v>
      </c>
      <c r="D187" t="s">
        <v>442</v>
      </c>
      <c r="E187">
        <v>8</v>
      </c>
      <c r="G187">
        <v>3016</v>
      </c>
      <c r="H187" t="s">
        <v>1440</v>
      </c>
      <c r="I187">
        <v>3</v>
      </c>
    </row>
    <row r="188" spans="1:9" x14ac:dyDescent="0.15">
      <c r="A188" t="s">
        <v>869</v>
      </c>
      <c r="B188">
        <v>9</v>
      </c>
      <c r="C188" t="s">
        <v>485</v>
      </c>
      <c r="D188" t="s">
        <v>485</v>
      </c>
      <c r="E188">
        <v>9</v>
      </c>
      <c r="G188">
        <v>3030</v>
      </c>
      <c r="H188" t="s">
        <v>1441</v>
      </c>
      <c r="I188">
        <v>3</v>
      </c>
    </row>
    <row r="189" spans="1:9" x14ac:dyDescent="0.15">
      <c r="A189" t="s">
        <v>869</v>
      </c>
      <c r="B189">
        <v>10</v>
      </c>
      <c r="C189" t="s">
        <v>437</v>
      </c>
      <c r="D189" t="s">
        <v>437</v>
      </c>
      <c r="E189">
        <v>10</v>
      </c>
      <c r="G189">
        <v>3037</v>
      </c>
      <c r="H189" t="s">
        <v>1442</v>
      </c>
      <c r="I189">
        <v>3</v>
      </c>
    </row>
    <row r="190" spans="1:9" x14ac:dyDescent="0.15">
      <c r="A190" t="s">
        <v>869</v>
      </c>
      <c r="B190">
        <v>11</v>
      </c>
      <c r="C190" t="s">
        <v>474</v>
      </c>
      <c r="D190" t="s">
        <v>474</v>
      </c>
      <c r="E190">
        <v>11</v>
      </c>
      <c r="G190">
        <v>3058</v>
      </c>
      <c r="H190" t="s">
        <v>1443</v>
      </c>
      <c r="I190">
        <v>3</v>
      </c>
    </row>
    <row r="191" spans="1:9" x14ac:dyDescent="0.15">
      <c r="A191" t="s">
        <v>869</v>
      </c>
      <c r="B191">
        <v>12</v>
      </c>
      <c r="C191" t="s">
        <v>499</v>
      </c>
      <c r="D191" t="s">
        <v>499</v>
      </c>
      <c r="E191">
        <v>12</v>
      </c>
      <c r="G191">
        <v>3072</v>
      </c>
      <c r="H191" t="s">
        <v>1444</v>
      </c>
      <c r="I191">
        <v>3</v>
      </c>
    </row>
    <row r="192" spans="1:9" x14ac:dyDescent="0.15">
      <c r="A192" t="s">
        <v>869</v>
      </c>
      <c r="B192">
        <v>99</v>
      </c>
      <c r="C192" t="s">
        <v>401</v>
      </c>
      <c r="D192" t="s">
        <v>401</v>
      </c>
      <c r="E192">
        <v>99</v>
      </c>
      <c r="G192">
        <v>3086</v>
      </c>
      <c r="H192" t="s">
        <v>1445</v>
      </c>
      <c r="I192">
        <v>1</v>
      </c>
    </row>
    <row r="193" spans="1:9" x14ac:dyDescent="0.15">
      <c r="A193" t="s">
        <v>872</v>
      </c>
      <c r="B193" t="s">
        <v>315</v>
      </c>
      <c r="C193" t="s">
        <v>1031</v>
      </c>
      <c r="D193" t="s">
        <v>1031</v>
      </c>
      <c r="E193" t="s">
        <v>315</v>
      </c>
      <c r="G193">
        <v>3128</v>
      </c>
      <c r="H193" t="s">
        <v>1446</v>
      </c>
      <c r="I193">
        <v>3</v>
      </c>
    </row>
    <row r="194" spans="1:9" x14ac:dyDescent="0.15">
      <c r="A194" t="s">
        <v>872</v>
      </c>
      <c r="B194" t="s">
        <v>259</v>
      </c>
      <c r="C194" t="s">
        <v>1032</v>
      </c>
      <c r="D194" t="s">
        <v>1032</v>
      </c>
      <c r="E194" t="s">
        <v>259</v>
      </c>
      <c r="G194">
        <v>3142</v>
      </c>
      <c r="H194" t="s">
        <v>1447</v>
      </c>
      <c r="I194">
        <v>2</v>
      </c>
    </row>
    <row r="195" spans="1:9" x14ac:dyDescent="0.15">
      <c r="A195" t="s">
        <v>872</v>
      </c>
      <c r="B195" t="s">
        <v>312</v>
      </c>
      <c r="C195" t="s">
        <v>514</v>
      </c>
      <c r="D195" t="s">
        <v>514</v>
      </c>
      <c r="E195" t="s">
        <v>312</v>
      </c>
      <c r="G195">
        <v>3156</v>
      </c>
      <c r="H195" t="s">
        <v>1448</v>
      </c>
      <c r="I195">
        <v>3</v>
      </c>
    </row>
    <row r="196" spans="1:9" x14ac:dyDescent="0.15">
      <c r="A196" t="s">
        <v>325</v>
      </c>
      <c r="B196" t="s">
        <v>259</v>
      </c>
      <c r="C196" t="s">
        <v>393</v>
      </c>
      <c r="D196" t="s">
        <v>393</v>
      </c>
      <c r="E196" t="s">
        <v>259</v>
      </c>
      <c r="G196">
        <v>3184</v>
      </c>
      <c r="H196" t="s">
        <v>1449</v>
      </c>
      <c r="I196">
        <v>1</v>
      </c>
    </row>
    <row r="197" spans="1:9" x14ac:dyDescent="0.15">
      <c r="A197" t="s">
        <v>325</v>
      </c>
      <c r="B197" t="s">
        <v>315</v>
      </c>
      <c r="C197" t="s">
        <v>740</v>
      </c>
      <c r="D197" t="s">
        <v>740</v>
      </c>
      <c r="E197" t="s">
        <v>315</v>
      </c>
      <c r="G197">
        <v>3198</v>
      </c>
      <c r="H197" t="s">
        <v>1450</v>
      </c>
      <c r="I197">
        <v>3</v>
      </c>
    </row>
    <row r="198" spans="1:9" x14ac:dyDescent="0.15">
      <c r="A198" t="s">
        <v>327</v>
      </c>
      <c r="B198" t="s">
        <v>259</v>
      </c>
      <c r="C198" t="s">
        <v>393</v>
      </c>
      <c r="D198" t="s">
        <v>393</v>
      </c>
      <c r="E198" t="s">
        <v>259</v>
      </c>
      <c r="G198">
        <v>3220</v>
      </c>
      <c r="H198" t="s">
        <v>1451</v>
      </c>
      <c r="I198">
        <v>3</v>
      </c>
    </row>
    <row r="199" spans="1:9" x14ac:dyDescent="0.15">
      <c r="A199" t="s">
        <v>327</v>
      </c>
      <c r="B199" t="s">
        <v>315</v>
      </c>
      <c r="C199" t="s">
        <v>740</v>
      </c>
      <c r="D199" t="s">
        <v>740</v>
      </c>
      <c r="E199" t="s">
        <v>315</v>
      </c>
      <c r="G199">
        <v>3226</v>
      </c>
      <c r="H199" t="s">
        <v>1452</v>
      </c>
      <c r="I199">
        <v>3</v>
      </c>
    </row>
    <row r="200" spans="1:9" x14ac:dyDescent="0.15">
      <c r="A200" t="s">
        <v>881</v>
      </c>
      <c r="B200" t="s">
        <v>259</v>
      </c>
      <c r="C200" t="s">
        <v>393</v>
      </c>
      <c r="D200" t="s">
        <v>393</v>
      </c>
      <c r="E200" t="s">
        <v>259</v>
      </c>
      <c r="G200">
        <v>3240</v>
      </c>
      <c r="H200" t="s">
        <v>1453</v>
      </c>
      <c r="I200">
        <v>3</v>
      </c>
    </row>
    <row r="201" spans="1:9" x14ac:dyDescent="0.15">
      <c r="A201" t="s">
        <v>881</v>
      </c>
      <c r="B201" t="s">
        <v>315</v>
      </c>
      <c r="C201" t="s">
        <v>740</v>
      </c>
      <c r="D201" t="s">
        <v>740</v>
      </c>
      <c r="E201" t="s">
        <v>315</v>
      </c>
      <c r="G201">
        <v>3254</v>
      </c>
      <c r="H201" t="s">
        <v>1454</v>
      </c>
      <c r="I201">
        <v>3</v>
      </c>
    </row>
    <row r="202" spans="1:9" x14ac:dyDescent="0.15">
      <c r="A202" t="s">
        <v>336</v>
      </c>
      <c r="B202" t="s">
        <v>259</v>
      </c>
      <c r="C202" t="s">
        <v>393</v>
      </c>
      <c r="D202" t="s">
        <v>393</v>
      </c>
      <c r="E202">
        <v>0</v>
      </c>
      <c r="G202">
        <v>3268</v>
      </c>
      <c r="H202" t="s">
        <v>1455</v>
      </c>
      <c r="I202">
        <v>3</v>
      </c>
    </row>
    <row r="203" spans="1:9" x14ac:dyDescent="0.15">
      <c r="A203" t="s">
        <v>336</v>
      </c>
      <c r="B203" t="s">
        <v>315</v>
      </c>
      <c r="C203" t="s">
        <v>740</v>
      </c>
      <c r="D203" t="s">
        <v>740</v>
      </c>
      <c r="E203">
        <v>1</v>
      </c>
      <c r="G203">
        <v>3282</v>
      </c>
      <c r="H203" t="s">
        <v>1456</v>
      </c>
      <c r="I203">
        <v>3</v>
      </c>
    </row>
    <row r="204" spans="1:9" x14ac:dyDescent="0.15">
      <c r="A204" t="s">
        <v>337</v>
      </c>
      <c r="B204" t="s">
        <v>259</v>
      </c>
      <c r="C204" t="s">
        <v>393</v>
      </c>
      <c r="D204" t="s">
        <v>393</v>
      </c>
      <c r="E204">
        <v>0</v>
      </c>
      <c r="G204">
        <v>3310</v>
      </c>
      <c r="H204" t="s">
        <v>1457</v>
      </c>
      <c r="I204">
        <v>3</v>
      </c>
    </row>
    <row r="205" spans="1:9" x14ac:dyDescent="0.15">
      <c r="A205" t="s">
        <v>337</v>
      </c>
      <c r="B205" t="s">
        <v>315</v>
      </c>
      <c r="C205" t="s">
        <v>740</v>
      </c>
      <c r="D205" t="s">
        <v>740</v>
      </c>
      <c r="E205">
        <v>1</v>
      </c>
      <c r="G205">
        <v>3324</v>
      </c>
      <c r="H205" t="s">
        <v>1458</v>
      </c>
      <c r="I205">
        <v>3</v>
      </c>
    </row>
    <row r="206" spans="1:9" x14ac:dyDescent="0.15">
      <c r="A206" t="s">
        <v>342</v>
      </c>
      <c r="B206">
        <v>0</v>
      </c>
      <c r="C206" t="s">
        <v>394</v>
      </c>
      <c r="D206" t="s">
        <v>394</v>
      </c>
      <c r="E206">
        <v>0</v>
      </c>
      <c r="G206">
        <v>3330</v>
      </c>
      <c r="H206" t="s">
        <v>1459</v>
      </c>
      <c r="I206">
        <v>3</v>
      </c>
    </row>
    <row r="207" spans="1:9" x14ac:dyDescent="0.15">
      <c r="A207" t="s">
        <v>342</v>
      </c>
      <c r="B207">
        <v>1</v>
      </c>
      <c r="C207" t="s">
        <v>512</v>
      </c>
      <c r="D207" t="s">
        <v>512</v>
      </c>
      <c r="E207">
        <v>1</v>
      </c>
      <c r="G207">
        <v>3352</v>
      </c>
      <c r="H207" t="s">
        <v>1460</v>
      </c>
      <c r="I207">
        <v>1</v>
      </c>
    </row>
    <row r="208" spans="1:9" x14ac:dyDescent="0.15">
      <c r="A208" t="s">
        <v>342</v>
      </c>
      <c r="B208">
        <v>2</v>
      </c>
      <c r="C208" t="s">
        <v>466</v>
      </c>
      <c r="D208" t="s">
        <v>466</v>
      </c>
      <c r="E208">
        <v>2</v>
      </c>
      <c r="G208">
        <v>3366</v>
      </c>
      <c r="H208" t="s">
        <v>1461</v>
      </c>
      <c r="I208">
        <v>3</v>
      </c>
    </row>
    <row r="209" spans="1:9" x14ac:dyDescent="0.15">
      <c r="A209" t="s">
        <v>342</v>
      </c>
      <c r="B209">
        <v>3</v>
      </c>
      <c r="C209" t="s">
        <v>471</v>
      </c>
      <c r="D209" t="s">
        <v>471</v>
      </c>
      <c r="E209">
        <v>3</v>
      </c>
      <c r="G209">
        <v>3380</v>
      </c>
      <c r="H209" t="s">
        <v>1461</v>
      </c>
      <c r="I209">
        <v>3</v>
      </c>
    </row>
    <row r="210" spans="1:9" x14ac:dyDescent="0.15">
      <c r="A210" t="s">
        <v>342</v>
      </c>
      <c r="B210">
        <v>4</v>
      </c>
      <c r="C210" t="s">
        <v>413</v>
      </c>
      <c r="D210" t="s">
        <v>413</v>
      </c>
      <c r="E210">
        <v>4</v>
      </c>
      <c r="G210">
        <v>3394</v>
      </c>
      <c r="H210" t="s">
        <v>1461</v>
      </c>
      <c r="I210">
        <v>3</v>
      </c>
    </row>
    <row r="211" spans="1:9" x14ac:dyDescent="0.15">
      <c r="A211" t="s">
        <v>342</v>
      </c>
      <c r="B211">
        <v>5</v>
      </c>
      <c r="C211" t="s">
        <v>513</v>
      </c>
      <c r="D211" t="s">
        <v>513</v>
      </c>
      <c r="E211">
        <v>5</v>
      </c>
      <c r="G211">
        <v>3408</v>
      </c>
      <c r="H211" t="s">
        <v>1461</v>
      </c>
      <c r="I211">
        <v>3</v>
      </c>
    </row>
    <row r="212" spans="1:9" x14ac:dyDescent="0.15">
      <c r="A212" t="s">
        <v>339</v>
      </c>
      <c r="B212" t="s">
        <v>259</v>
      </c>
      <c r="C212" t="s">
        <v>393</v>
      </c>
      <c r="D212" t="s">
        <v>393</v>
      </c>
      <c r="E212">
        <v>0</v>
      </c>
      <c r="G212">
        <v>3422</v>
      </c>
      <c r="H212" t="s">
        <v>1461</v>
      </c>
      <c r="I212">
        <v>3</v>
      </c>
    </row>
    <row r="213" spans="1:9" x14ac:dyDescent="0.15">
      <c r="A213" t="s">
        <v>339</v>
      </c>
      <c r="B213" t="s">
        <v>315</v>
      </c>
      <c r="C213" t="s">
        <v>740</v>
      </c>
      <c r="D213" t="s">
        <v>740</v>
      </c>
      <c r="E213">
        <v>1</v>
      </c>
      <c r="G213">
        <v>3436</v>
      </c>
      <c r="H213" t="s">
        <v>1461</v>
      </c>
      <c r="I213">
        <v>3</v>
      </c>
    </row>
    <row r="214" spans="1:9" x14ac:dyDescent="0.15">
      <c r="A214" t="s">
        <v>349</v>
      </c>
      <c r="B214">
        <v>0</v>
      </c>
      <c r="C214" t="s">
        <v>1064</v>
      </c>
      <c r="D214" t="s">
        <v>1064</v>
      </c>
      <c r="E214">
        <v>0</v>
      </c>
      <c r="G214">
        <v>3464</v>
      </c>
      <c r="H214" t="s">
        <v>1462</v>
      </c>
      <c r="I214">
        <v>1</v>
      </c>
    </row>
    <row r="215" spans="1:9" x14ac:dyDescent="0.15">
      <c r="A215" t="s">
        <v>349</v>
      </c>
      <c r="B215">
        <v>1</v>
      </c>
      <c r="C215" t="s">
        <v>221</v>
      </c>
      <c r="D215" t="s">
        <v>221</v>
      </c>
      <c r="E215">
        <v>1</v>
      </c>
      <c r="G215">
        <v>3506</v>
      </c>
      <c r="H215" t="s">
        <v>1463</v>
      </c>
      <c r="I215">
        <v>3</v>
      </c>
    </row>
    <row r="216" spans="1:9" x14ac:dyDescent="0.15">
      <c r="A216" t="s">
        <v>349</v>
      </c>
      <c r="B216">
        <v>2</v>
      </c>
      <c r="C216" t="s">
        <v>395</v>
      </c>
      <c r="D216" t="s">
        <v>395</v>
      </c>
      <c r="E216">
        <v>2</v>
      </c>
      <c r="G216">
        <v>3520</v>
      </c>
      <c r="H216" t="s">
        <v>1464</v>
      </c>
      <c r="I216">
        <v>3</v>
      </c>
    </row>
    <row r="217" spans="1:9" x14ac:dyDescent="0.15">
      <c r="A217" t="s">
        <v>349</v>
      </c>
      <c r="B217">
        <v>3</v>
      </c>
      <c r="C217" t="s">
        <v>422</v>
      </c>
      <c r="D217" t="s">
        <v>422</v>
      </c>
      <c r="E217">
        <v>3</v>
      </c>
      <c r="G217">
        <v>3534</v>
      </c>
      <c r="H217" t="s">
        <v>1465</v>
      </c>
      <c r="I217">
        <v>3</v>
      </c>
    </row>
    <row r="218" spans="1:9" x14ac:dyDescent="0.15">
      <c r="A218" t="s">
        <v>349</v>
      </c>
      <c r="B218">
        <v>4</v>
      </c>
      <c r="C218" t="s">
        <v>516</v>
      </c>
      <c r="D218" t="s">
        <v>516</v>
      </c>
      <c r="E218">
        <v>4</v>
      </c>
      <c r="G218">
        <v>3540</v>
      </c>
      <c r="H218" t="s">
        <v>1466</v>
      </c>
      <c r="I218">
        <v>3</v>
      </c>
    </row>
    <row r="219" spans="1:9" x14ac:dyDescent="0.15">
      <c r="A219" t="s">
        <v>349</v>
      </c>
      <c r="B219">
        <v>5</v>
      </c>
      <c r="C219" t="s">
        <v>517</v>
      </c>
      <c r="D219" t="s">
        <v>517</v>
      </c>
      <c r="E219">
        <v>5</v>
      </c>
      <c r="G219">
        <v>3544</v>
      </c>
      <c r="H219" t="s">
        <v>1467</v>
      </c>
      <c r="I219">
        <v>3</v>
      </c>
    </row>
    <row r="220" spans="1:9" x14ac:dyDescent="0.15">
      <c r="A220" t="s">
        <v>349</v>
      </c>
      <c r="B220">
        <v>6</v>
      </c>
      <c r="C220" t="s">
        <v>518</v>
      </c>
      <c r="D220" t="s">
        <v>518</v>
      </c>
      <c r="E220">
        <v>6</v>
      </c>
      <c r="G220">
        <v>3548</v>
      </c>
      <c r="H220" t="s">
        <v>1468</v>
      </c>
      <c r="I220">
        <v>3</v>
      </c>
    </row>
    <row r="221" spans="1:9" x14ac:dyDescent="0.15">
      <c r="A221" t="s">
        <v>349</v>
      </c>
      <c r="B221">
        <v>7</v>
      </c>
      <c r="C221" t="s">
        <v>519</v>
      </c>
      <c r="D221" t="s">
        <v>519</v>
      </c>
      <c r="E221">
        <v>7</v>
      </c>
      <c r="G221">
        <v>3562</v>
      </c>
      <c r="H221" t="s">
        <v>1469</v>
      </c>
      <c r="I221">
        <v>2</v>
      </c>
    </row>
    <row r="222" spans="1:9" x14ac:dyDescent="0.15">
      <c r="A222" t="s">
        <v>349</v>
      </c>
      <c r="B222">
        <v>8</v>
      </c>
      <c r="C222" t="s">
        <v>490</v>
      </c>
      <c r="D222" t="s">
        <v>490</v>
      </c>
      <c r="E222">
        <v>8</v>
      </c>
      <c r="G222">
        <v>3576</v>
      </c>
      <c r="H222" t="s">
        <v>1470</v>
      </c>
      <c r="I222">
        <v>3</v>
      </c>
    </row>
    <row r="223" spans="1:9" x14ac:dyDescent="0.15">
      <c r="A223" t="s">
        <v>349</v>
      </c>
      <c r="B223">
        <v>9</v>
      </c>
      <c r="C223" t="s">
        <v>492</v>
      </c>
      <c r="D223" t="s">
        <v>492</v>
      </c>
      <c r="E223">
        <v>9</v>
      </c>
      <c r="G223">
        <v>3585</v>
      </c>
      <c r="H223" t="s">
        <v>1471</v>
      </c>
      <c r="I223">
        <v>2</v>
      </c>
    </row>
    <row r="224" spans="1:9" x14ac:dyDescent="0.15">
      <c r="A224" t="s">
        <v>338</v>
      </c>
      <c r="B224" t="s">
        <v>259</v>
      </c>
      <c r="C224" t="s">
        <v>393</v>
      </c>
      <c r="D224" t="s">
        <v>393</v>
      </c>
      <c r="E224">
        <v>0</v>
      </c>
      <c r="G224">
        <v>3590</v>
      </c>
      <c r="H224" t="s">
        <v>1472</v>
      </c>
      <c r="I224">
        <v>3</v>
      </c>
    </row>
    <row r="225" spans="1:9" x14ac:dyDescent="0.15">
      <c r="A225" t="s">
        <v>338</v>
      </c>
      <c r="B225" t="s">
        <v>315</v>
      </c>
      <c r="C225" t="s">
        <v>740</v>
      </c>
      <c r="D225" t="s">
        <v>740</v>
      </c>
      <c r="E225">
        <v>1</v>
      </c>
      <c r="G225">
        <v>3604</v>
      </c>
      <c r="H225" t="s">
        <v>1471</v>
      </c>
      <c r="I225">
        <v>2</v>
      </c>
    </row>
    <row r="226" spans="1:9" x14ac:dyDescent="0.15">
      <c r="A226" t="s">
        <v>880</v>
      </c>
      <c r="B226" t="s">
        <v>259</v>
      </c>
      <c r="C226" t="s">
        <v>393</v>
      </c>
      <c r="D226" t="s">
        <v>393</v>
      </c>
      <c r="E226">
        <v>0</v>
      </c>
      <c r="G226">
        <v>3646</v>
      </c>
      <c r="H226" t="s">
        <v>1473</v>
      </c>
      <c r="I226">
        <v>2</v>
      </c>
    </row>
    <row r="227" spans="1:9" x14ac:dyDescent="0.15">
      <c r="A227" t="s">
        <v>880</v>
      </c>
      <c r="B227" t="s">
        <v>315</v>
      </c>
      <c r="C227" t="s">
        <v>740</v>
      </c>
      <c r="D227" t="s">
        <v>740</v>
      </c>
      <c r="E227">
        <v>1</v>
      </c>
      <c r="G227">
        <v>3660</v>
      </c>
      <c r="H227" t="s">
        <v>1474</v>
      </c>
      <c r="I227">
        <v>3</v>
      </c>
    </row>
    <row r="228" spans="1:9" x14ac:dyDescent="0.15">
      <c r="A228" t="s">
        <v>340</v>
      </c>
      <c r="B228" t="s">
        <v>259</v>
      </c>
      <c r="C228" t="s">
        <v>393</v>
      </c>
      <c r="D228" t="s">
        <v>393</v>
      </c>
      <c r="E228">
        <v>0</v>
      </c>
      <c r="G228">
        <v>3702</v>
      </c>
      <c r="H228" t="s">
        <v>1475</v>
      </c>
      <c r="I228">
        <v>3</v>
      </c>
    </row>
    <row r="229" spans="1:9" x14ac:dyDescent="0.15">
      <c r="A229" t="s">
        <v>340</v>
      </c>
      <c r="B229" t="s">
        <v>315</v>
      </c>
      <c r="C229" t="s">
        <v>740</v>
      </c>
      <c r="D229" t="s">
        <v>740</v>
      </c>
      <c r="E229">
        <v>1</v>
      </c>
      <c r="G229">
        <v>3705</v>
      </c>
      <c r="H229" t="s">
        <v>1476</v>
      </c>
      <c r="I229">
        <v>3</v>
      </c>
    </row>
    <row r="230" spans="1:9" x14ac:dyDescent="0.15">
      <c r="A230" t="s">
        <v>343</v>
      </c>
      <c r="B230">
        <v>0</v>
      </c>
      <c r="C230" t="s">
        <v>394</v>
      </c>
      <c r="D230" t="s">
        <v>394</v>
      </c>
      <c r="E230">
        <v>0</v>
      </c>
      <c r="G230">
        <v>3708</v>
      </c>
      <c r="H230" t="s">
        <v>1477</v>
      </c>
      <c r="I230">
        <v>3</v>
      </c>
    </row>
    <row r="231" spans="1:9" x14ac:dyDescent="0.15">
      <c r="A231" t="s">
        <v>343</v>
      </c>
      <c r="B231">
        <v>1</v>
      </c>
      <c r="C231" t="s">
        <v>414</v>
      </c>
      <c r="D231" t="s">
        <v>414</v>
      </c>
      <c r="E231">
        <v>1</v>
      </c>
      <c r="G231">
        <v>3711</v>
      </c>
      <c r="H231" t="s">
        <v>1478</v>
      </c>
      <c r="I231">
        <v>3</v>
      </c>
    </row>
    <row r="232" spans="1:9" x14ac:dyDescent="0.15">
      <c r="A232" t="s">
        <v>343</v>
      </c>
      <c r="B232">
        <v>2</v>
      </c>
      <c r="C232" t="s">
        <v>456</v>
      </c>
      <c r="D232" t="s">
        <v>456</v>
      </c>
      <c r="E232">
        <v>2</v>
      </c>
      <c r="G232">
        <v>3716</v>
      </c>
      <c r="H232" t="s">
        <v>1479</v>
      </c>
      <c r="I232">
        <v>2</v>
      </c>
    </row>
    <row r="233" spans="1:9" x14ac:dyDescent="0.15">
      <c r="A233" t="s">
        <v>343</v>
      </c>
      <c r="B233">
        <v>3</v>
      </c>
      <c r="C233" t="s">
        <v>424</v>
      </c>
      <c r="D233" t="s">
        <v>424</v>
      </c>
      <c r="E233">
        <v>3</v>
      </c>
      <c r="G233">
        <v>3730</v>
      </c>
      <c r="H233" t="s">
        <v>1480</v>
      </c>
      <c r="I233">
        <v>3</v>
      </c>
    </row>
    <row r="234" spans="1:9" x14ac:dyDescent="0.15">
      <c r="A234" t="s">
        <v>343</v>
      </c>
      <c r="B234">
        <v>4</v>
      </c>
      <c r="C234" t="s">
        <v>479</v>
      </c>
      <c r="D234" t="s">
        <v>479</v>
      </c>
      <c r="E234">
        <v>4</v>
      </c>
      <c r="G234">
        <v>3744</v>
      </c>
      <c r="H234" t="s">
        <v>1142</v>
      </c>
      <c r="I234">
        <v>2</v>
      </c>
    </row>
    <row r="235" spans="1:9" x14ac:dyDescent="0.15">
      <c r="A235" t="s">
        <v>343</v>
      </c>
      <c r="B235">
        <v>5</v>
      </c>
      <c r="C235" t="s">
        <v>453</v>
      </c>
      <c r="D235" t="s">
        <v>453</v>
      </c>
      <c r="E235">
        <v>5</v>
      </c>
      <c r="G235">
        <v>3758</v>
      </c>
      <c r="H235" t="s">
        <v>1481</v>
      </c>
      <c r="I235">
        <v>2</v>
      </c>
    </row>
    <row r="236" spans="1:9" x14ac:dyDescent="0.15">
      <c r="A236" t="s">
        <v>341</v>
      </c>
      <c r="B236" t="s">
        <v>259</v>
      </c>
      <c r="C236" t="s">
        <v>393</v>
      </c>
      <c r="D236" t="s">
        <v>393</v>
      </c>
      <c r="E236">
        <v>0</v>
      </c>
      <c r="G236">
        <v>3765</v>
      </c>
      <c r="H236" t="s">
        <v>1482</v>
      </c>
      <c r="I236">
        <v>3</v>
      </c>
    </row>
    <row r="237" spans="1:9" x14ac:dyDescent="0.15">
      <c r="A237" t="s">
        <v>341</v>
      </c>
      <c r="B237" t="s">
        <v>315</v>
      </c>
      <c r="C237" t="s">
        <v>740</v>
      </c>
      <c r="D237" t="s">
        <v>740</v>
      </c>
      <c r="E237">
        <v>1</v>
      </c>
      <c r="G237">
        <v>3772</v>
      </c>
      <c r="H237" t="s">
        <v>1483</v>
      </c>
      <c r="I237">
        <v>3</v>
      </c>
    </row>
    <row r="238" spans="1:9" x14ac:dyDescent="0.15">
      <c r="A238" t="s">
        <v>874</v>
      </c>
      <c r="B238">
        <v>1</v>
      </c>
      <c r="C238" t="s">
        <v>1060</v>
      </c>
      <c r="D238" t="s">
        <v>1060</v>
      </c>
      <c r="E238">
        <v>1</v>
      </c>
      <c r="G238">
        <v>3780</v>
      </c>
      <c r="H238" t="s">
        <v>1484</v>
      </c>
      <c r="I238">
        <v>3</v>
      </c>
    </row>
    <row r="239" spans="1:9" x14ac:dyDescent="0.15">
      <c r="A239" t="s">
        <v>874</v>
      </c>
      <c r="B239">
        <v>2</v>
      </c>
      <c r="C239" t="s">
        <v>1061</v>
      </c>
      <c r="D239" t="s">
        <v>1061</v>
      </c>
      <c r="E239">
        <v>2</v>
      </c>
      <c r="G239">
        <v>3786</v>
      </c>
      <c r="H239" t="s">
        <v>1485</v>
      </c>
      <c r="I239">
        <v>2</v>
      </c>
    </row>
    <row r="240" spans="1:9" x14ac:dyDescent="0.15">
      <c r="A240" t="s">
        <v>874</v>
      </c>
      <c r="B240">
        <v>3</v>
      </c>
      <c r="C240" t="s">
        <v>1062</v>
      </c>
      <c r="D240" t="s">
        <v>1062</v>
      </c>
      <c r="E240">
        <v>3</v>
      </c>
      <c r="G240">
        <v>3800</v>
      </c>
      <c r="H240" t="s">
        <v>1486</v>
      </c>
      <c r="I240">
        <v>3</v>
      </c>
    </row>
    <row r="241" spans="1:9" x14ac:dyDescent="0.15">
      <c r="A241" t="s">
        <v>874</v>
      </c>
      <c r="B241">
        <v>4</v>
      </c>
      <c r="C241" t="s">
        <v>1063</v>
      </c>
      <c r="D241" t="s">
        <v>1063</v>
      </c>
      <c r="E241">
        <v>4</v>
      </c>
      <c r="G241">
        <v>3814</v>
      </c>
      <c r="H241" t="s">
        <v>1487</v>
      </c>
      <c r="I241">
        <v>3</v>
      </c>
    </row>
    <row r="242" spans="1:9" x14ac:dyDescent="0.15">
      <c r="A242" t="s">
        <v>332</v>
      </c>
      <c r="B242">
        <v>1</v>
      </c>
      <c r="C242" t="s">
        <v>500</v>
      </c>
      <c r="D242" t="s">
        <v>500</v>
      </c>
      <c r="E242">
        <v>1</v>
      </c>
      <c r="G242">
        <v>3828</v>
      </c>
      <c r="H242" t="s">
        <v>1488</v>
      </c>
      <c r="I242">
        <v>1</v>
      </c>
    </row>
    <row r="243" spans="1:9" x14ac:dyDescent="0.15">
      <c r="A243" t="s">
        <v>332</v>
      </c>
      <c r="B243">
        <v>2</v>
      </c>
      <c r="C243" t="s">
        <v>225</v>
      </c>
      <c r="D243" t="s">
        <v>225</v>
      </c>
      <c r="E243">
        <v>2</v>
      </c>
      <c r="G243">
        <v>3850</v>
      </c>
      <c r="H243" t="s">
        <v>1489</v>
      </c>
      <c r="I243">
        <v>3</v>
      </c>
    </row>
    <row r="244" spans="1:9" x14ac:dyDescent="0.15">
      <c r="A244" t="s">
        <v>332</v>
      </c>
      <c r="B244">
        <v>3</v>
      </c>
      <c r="C244" t="s">
        <v>430</v>
      </c>
      <c r="D244" t="s">
        <v>430</v>
      </c>
      <c r="E244">
        <v>3</v>
      </c>
      <c r="G244">
        <v>3856</v>
      </c>
      <c r="H244" t="s">
        <v>1490</v>
      </c>
      <c r="I244">
        <v>3</v>
      </c>
    </row>
    <row r="245" spans="1:9" x14ac:dyDescent="0.15">
      <c r="A245" t="s">
        <v>332</v>
      </c>
      <c r="B245">
        <v>4</v>
      </c>
      <c r="C245" t="s">
        <v>501</v>
      </c>
      <c r="D245" t="s">
        <v>501</v>
      </c>
      <c r="E245">
        <v>4</v>
      </c>
      <c r="G245">
        <v>3884</v>
      </c>
      <c r="H245" t="s">
        <v>1491</v>
      </c>
      <c r="I245">
        <v>3</v>
      </c>
    </row>
    <row r="246" spans="1:9" x14ac:dyDescent="0.15">
      <c r="A246" t="s">
        <v>332</v>
      </c>
      <c r="B246">
        <v>5</v>
      </c>
      <c r="C246" t="s">
        <v>502</v>
      </c>
      <c r="D246" t="s">
        <v>502</v>
      </c>
      <c r="E246">
        <v>5</v>
      </c>
      <c r="G246">
        <v>3898</v>
      </c>
      <c r="H246" t="s">
        <v>1492</v>
      </c>
      <c r="I246">
        <v>3</v>
      </c>
    </row>
    <row r="247" spans="1:9" x14ac:dyDescent="0.15">
      <c r="A247" t="s">
        <v>332</v>
      </c>
      <c r="B247">
        <v>6</v>
      </c>
      <c r="C247" t="s">
        <v>503</v>
      </c>
      <c r="D247" t="s">
        <v>503</v>
      </c>
      <c r="E247">
        <v>6</v>
      </c>
      <c r="G247">
        <v>3912</v>
      </c>
      <c r="H247" t="s">
        <v>1493</v>
      </c>
      <c r="I247">
        <v>3</v>
      </c>
    </row>
    <row r="248" spans="1:9" x14ac:dyDescent="0.15">
      <c r="A248" t="s">
        <v>332</v>
      </c>
      <c r="B248">
        <v>7</v>
      </c>
      <c r="C248" t="s">
        <v>504</v>
      </c>
      <c r="D248" t="s">
        <v>504</v>
      </c>
      <c r="E248">
        <v>7</v>
      </c>
      <c r="G248">
        <v>3926</v>
      </c>
      <c r="H248" t="s">
        <v>1494</v>
      </c>
      <c r="I248">
        <v>2</v>
      </c>
    </row>
    <row r="249" spans="1:9" x14ac:dyDescent="0.15">
      <c r="A249" t="s">
        <v>332</v>
      </c>
      <c r="B249">
        <v>9</v>
      </c>
      <c r="C249" t="s">
        <v>6151</v>
      </c>
      <c r="D249" t="s">
        <v>6151</v>
      </c>
      <c r="E249">
        <v>9</v>
      </c>
      <c r="G249">
        <v>3940</v>
      </c>
      <c r="H249" t="s">
        <v>1495</v>
      </c>
      <c r="I249">
        <v>2</v>
      </c>
    </row>
    <row r="250" spans="1:9" x14ac:dyDescent="0.15">
      <c r="A250" t="s">
        <v>332</v>
      </c>
      <c r="G250">
        <v>3968</v>
      </c>
      <c r="H250" t="s">
        <v>1496</v>
      </c>
      <c r="I250">
        <v>3</v>
      </c>
    </row>
    <row r="251" spans="1:9" x14ac:dyDescent="0.15">
      <c r="A251" t="s">
        <v>332</v>
      </c>
      <c r="G251">
        <v>3974</v>
      </c>
      <c r="H251" t="s">
        <v>1497</v>
      </c>
      <c r="I251">
        <v>3</v>
      </c>
    </row>
    <row r="252" spans="1:9" x14ac:dyDescent="0.15">
      <c r="A252" t="s">
        <v>332</v>
      </c>
      <c r="G252">
        <v>3978</v>
      </c>
      <c r="H252" t="s">
        <v>1498</v>
      </c>
      <c r="I252">
        <v>3</v>
      </c>
    </row>
    <row r="253" spans="1:9" x14ac:dyDescent="0.15">
      <c r="A253" t="s">
        <v>333</v>
      </c>
      <c r="G253">
        <v>3996</v>
      </c>
      <c r="H253" t="s">
        <v>1499</v>
      </c>
      <c r="I253">
        <v>3</v>
      </c>
    </row>
    <row r="254" spans="1:9" x14ac:dyDescent="0.15">
      <c r="A254" t="s">
        <v>333</v>
      </c>
      <c r="G254">
        <v>4010</v>
      </c>
      <c r="H254" t="s">
        <v>1500</v>
      </c>
      <c r="I254">
        <v>3</v>
      </c>
    </row>
    <row r="255" spans="1:9" x14ac:dyDescent="0.15">
      <c r="A255" t="s">
        <v>333</v>
      </c>
      <c r="G255">
        <v>4024</v>
      </c>
      <c r="H255" t="s">
        <v>1501</v>
      </c>
      <c r="I255">
        <v>3</v>
      </c>
    </row>
    <row r="256" spans="1:9" x14ac:dyDescent="0.15">
      <c r="A256" t="s">
        <v>333</v>
      </c>
      <c r="G256">
        <v>4052</v>
      </c>
      <c r="H256" t="s">
        <v>1502</v>
      </c>
      <c r="I256">
        <v>3</v>
      </c>
    </row>
    <row r="257" spans="1:9" x14ac:dyDescent="0.15">
      <c r="A257" t="s">
        <v>333</v>
      </c>
      <c r="G257">
        <v>4066</v>
      </c>
      <c r="H257" t="s">
        <v>1503</v>
      </c>
      <c r="I257">
        <v>3</v>
      </c>
    </row>
    <row r="258" spans="1:9" x14ac:dyDescent="0.15">
      <c r="A258" t="s">
        <v>333</v>
      </c>
      <c r="G258">
        <v>4080</v>
      </c>
      <c r="H258" t="s">
        <v>1504</v>
      </c>
      <c r="I258">
        <v>3</v>
      </c>
    </row>
    <row r="259" spans="1:9" x14ac:dyDescent="0.15">
      <c r="A259" t="s">
        <v>333</v>
      </c>
      <c r="G259">
        <v>4085</v>
      </c>
      <c r="H259" t="s">
        <v>1505</v>
      </c>
      <c r="I259">
        <v>3</v>
      </c>
    </row>
    <row r="260" spans="1:9" x14ac:dyDescent="0.15">
      <c r="A260" t="s">
        <v>333</v>
      </c>
      <c r="G260">
        <v>4094</v>
      </c>
      <c r="H260" t="s">
        <v>1506</v>
      </c>
      <c r="I260">
        <v>2</v>
      </c>
    </row>
    <row r="261" spans="1:9" x14ac:dyDescent="0.15">
      <c r="A261" t="s">
        <v>333</v>
      </c>
      <c r="G261">
        <v>4108</v>
      </c>
      <c r="H261" t="s">
        <v>1507</v>
      </c>
      <c r="I261">
        <v>3</v>
      </c>
    </row>
    <row r="262" spans="1:9" x14ac:dyDescent="0.15">
      <c r="A262" t="s">
        <v>333</v>
      </c>
      <c r="G262">
        <v>4150</v>
      </c>
      <c r="H262" t="s">
        <v>1508</v>
      </c>
      <c r="I262">
        <v>2</v>
      </c>
    </row>
    <row r="263" spans="1:9" x14ac:dyDescent="0.15">
      <c r="A263" t="s">
        <v>333</v>
      </c>
      <c r="G263">
        <v>4157</v>
      </c>
      <c r="H263" t="s">
        <v>1509</v>
      </c>
      <c r="I263">
        <v>3</v>
      </c>
    </row>
    <row r="264" spans="1:9" x14ac:dyDescent="0.15">
      <c r="A264" t="s">
        <v>335</v>
      </c>
      <c r="B264">
        <v>1</v>
      </c>
      <c r="C264" t="s">
        <v>508</v>
      </c>
      <c r="D264" t="s">
        <v>508</v>
      </c>
      <c r="E264">
        <v>1</v>
      </c>
      <c r="G264">
        <v>4164</v>
      </c>
      <c r="H264" t="s">
        <v>1510</v>
      </c>
      <c r="I264">
        <v>3</v>
      </c>
    </row>
    <row r="265" spans="1:9" x14ac:dyDescent="0.15">
      <c r="A265" t="s">
        <v>335</v>
      </c>
      <c r="B265">
        <v>2</v>
      </c>
      <c r="C265" t="s">
        <v>509</v>
      </c>
      <c r="D265" t="s">
        <v>509</v>
      </c>
      <c r="E265">
        <v>2</v>
      </c>
      <c r="G265">
        <v>4178</v>
      </c>
      <c r="H265" t="s">
        <v>1511</v>
      </c>
      <c r="I265">
        <v>3</v>
      </c>
    </row>
    <row r="266" spans="1:9" x14ac:dyDescent="0.15">
      <c r="A266" t="s">
        <v>335</v>
      </c>
      <c r="B266">
        <v>3</v>
      </c>
      <c r="C266" t="s">
        <v>510</v>
      </c>
      <c r="D266" t="s">
        <v>510</v>
      </c>
      <c r="E266">
        <v>3</v>
      </c>
      <c r="G266">
        <v>4192</v>
      </c>
      <c r="H266" t="s">
        <v>1512</v>
      </c>
      <c r="I266">
        <v>2</v>
      </c>
    </row>
    <row r="267" spans="1:9" x14ac:dyDescent="0.15">
      <c r="A267" t="s">
        <v>335</v>
      </c>
      <c r="B267">
        <v>4</v>
      </c>
      <c r="C267" t="s">
        <v>511</v>
      </c>
      <c r="D267" t="s">
        <v>511</v>
      </c>
      <c r="E267">
        <v>4</v>
      </c>
      <c r="G267">
        <v>4206</v>
      </c>
      <c r="H267" t="s">
        <v>1513</v>
      </c>
      <c r="I267">
        <v>3</v>
      </c>
    </row>
    <row r="268" spans="1:9" x14ac:dyDescent="0.15">
      <c r="A268" t="s">
        <v>335</v>
      </c>
      <c r="B268">
        <v>9</v>
      </c>
      <c r="C268" t="s">
        <v>6151</v>
      </c>
      <c r="D268" t="s">
        <v>6151</v>
      </c>
      <c r="E268">
        <v>9</v>
      </c>
      <c r="G268">
        <v>4220</v>
      </c>
      <c r="H268" t="s">
        <v>1513</v>
      </c>
      <c r="I268">
        <v>3</v>
      </c>
    </row>
    <row r="269" spans="1:9" x14ac:dyDescent="0.15">
      <c r="A269" t="s">
        <v>335</v>
      </c>
      <c r="G269">
        <v>4234</v>
      </c>
      <c r="H269" t="s">
        <v>1514</v>
      </c>
      <c r="I269">
        <v>3</v>
      </c>
    </row>
    <row r="270" spans="1:9" x14ac:dyDescent="0.15">
      <c r="A270" t="s">
        <v>335</v>
      </c>
      <c r="G270">
        <v>4248</v>
      </c>
      <c r="H270" t="s">
        <v>1513</v>
      </c>
      <c r="I270">
        <v>3</v>
      </c>
    </row>
    <row r="271" spans="1:9" x14ac:dyDescent="0.15">
      <c r="A271" t="s">
        <v>335</v>
      </c>
      <c r="G271">
        <v>4254</v>
      </c>
      <c r="H271" t="s">
        <v>1515</v>
      </c>
      <c r="I271">
        <v>3</v>
      </c>
    </row>
    <row r="272" spans="1:9" x14ac:dyDescent="0.15">
      <c r="A272" t="s">
        <v>335</v>
      </c>
      <c r="G272">
        <v>4258</v>
      </c>
      <c r="H272" t="s">
        <v>1516</v>
      </c>
      <c r="I272">
        <v>3</v>
      </c>
    </row>
    <row r="273" spans="1:9" x14ac:dyDescent="0.15">
      <c r="A273" t="s">
        <v>335</v>
      </c>
      <c r="G273">
        <v>4262</v>
      </c>
      <c r="H273" t="s">
        <v>1517</v>
      </c>
      <c r="I273">
        <v>3</v>
      </c>
    </row>
    <row r="274" spans="1:9" x14ac:dyDescent="0.15">
      <c r="A274" t="s">
        <v>320</v>
      </c>
      <c r="B274">
        <v>1</v>
      </c>
      <c r="C274" t="s">
        <v>6438</v>
      </c>
      <c r="D274" t="s">
        <v>6438</v>
      </c>
      <c r="E274">
        <v>1</v>
      </c>
      <c r="G274">
        <v>4276</v>
      </c>
      <c r="H274" t="s">
        <v>1518</v>
      </c>
      <c r="I274">
        <v>3</v>
      </c>
    </row>
    <row r="275" spans="1:9" x14ac:dyDescent="0.15">
      <c r="A275" t="s">
        <v>320</v>
      </c>
      <c r="B275">
        <v>2</v>
      </c>
      <c r="C275" t="s">
        <v>6439</v>
      </c>
      <c r="D275" t="s">
        <v>6439</v>
      </c>
      <c r="E275">
        <v>2</v>
      </c>
      <c r="G275">
        <v>4304</v>
      </c>
      <c r="H275" t="s">
        <v>1519</v>
      </c>
      <c r="I275">
        <v>3</v>
      </c>
    </row>
    <row r="276" spans="1:9" x14ac:dyDescent="0.15">
      <c r="A276" t="s">
        <v>320</v>
      </c>
      <c r="B276">
        <v>3</v>
      </c>
      <c r="C276" t="s">
        <v>6440</v>
      </c>
      <c r="D276" t="s">
        <v>6440</v>
      </c>
      <c r="E276">
        <v>3</v>
      </c>
      <c r="G276">
        <v>4318</v>
      </c>
      <c r="H276" t="s">
        <v>1520</v>
      </c>
      <c r="I276">
        <v>3</v>
      </c>
    </row>
    <row r="277" spans="1:9" x14ac:dyDescent="0.15">
      <c r="A277" t="s">
        <v>320</v>
      </c>
      <c r="B277">
        <v>4</v>
      </c>
      <c r="C277" t="s">
        <v>6441</v>
      </c>
      <c r="D277" t="s">
        <v>6441</v>
      </c>
      <c r="E277">
        <v>4</v>
      </c>
      <c r="G277">
        <v>4360</v>
      </c>
      <c r="H277" t="s">
        <v>1521</v>
      </c>
      <c r="I277">
        <v>3</v>
      </c>
    </row>
    <row r="278" spans="1:9" x14ac:dyDescent="0.15">
      <c r="A278" t="s">
        <v>320</v>
      </c>
      <c r="B278">
        <v>5</v>
      </c>
      <c r="C278" t="s">
        <v>6442</v>
      </c>
      <c r="D278" t="s">
        <v>6442</v>
      </c>
      <c r="E278">
        <v>5</v>
      </c>
      <c r="G278">
        <v>4374</v>
      </c>
      <c r="H278" t="s">
        <v>1522</v>
      </c>
      <c r="I278">
        <v>3</v>
      </c>
    </row>
    <row r="279" spans="1:9" x14ac:dyDescent="0.15">
      <c r="A279" t="s">
        <v>369</v>
      </c>
      <c r="G279">
        <v>4402</v>
      </c>
      <c r="H279" t="s">
        <v>1523</v>
      </c>
      <c r="I279">
        <v>2</v>
      </c>
    </row>
    <row r="280" spans="1:9" x14ac:dyDescent="0.15">
      <c r="A280" t="s">
        <v>369</v>
      </c>
      <c r="G280">
        <v>4410</v>
      </c>
      <c r="H280" t="s">
        <v>1523</v>
      </c>
      <c r="I280">
        <v>3</v>
      </c>
    </row>
    <row r="281" spans="1:9" x14ac:dyDescent="0.15">
      <c r="A281" t="s">
        <v>369</v>
      </c>
      <c r="G281">
        <v>4416</v>
      </c>
      <c r="H281" t="s">
        <v>1524</v>
      </c>
      <c r="I281">
        <v>1</v>
      </c>
    </row>
    <row r="282" spans="1:9" x14ac:dyDescent="0.15">
      <c r="A282" t="s">
        <v>369</v>
      </c>
      <c r="G282">
        <v>4444</v>
      </c>
      <c r="H282" t="s">
        <v>1525</v>
      </c>
      <c r="I282">
        <v>3</v>
      </c>
    </row>
    <row r="283" spans="1:9" x14ac:dyDescent="0.15">
      <c r="A283" t="s">
        <v>369</v>
      </c>
      <c r="G283">
        <v>4458</v>
      </c>
      <c r="H283" t="s">
        <v>1526</v>
      </c>
      <c r="I283">
        <v>2</v>
      </c>
    </row>
    <row r="284" spans="1:9" x14ac:dyDescent="0.15">
      <c r="A284" t="s">
        <v>369</v>
      </c>
      <c r="G284">
        <v>4500</v>
      </c>
      <c r="H284" t="s">
        <v>1527</v>
      </c>
      <c r="I284">
        <v>1</v>
      </c>
    </row>
    <row r="285" spans="1:9" x14ac:dyDescent="0.15">
      <c r="A285" t="s">
        <v>894</v>
      </c>
      <c r="B285" t="s">
        <v>259</v>
      </c>
      <c r="C285" t="s">
        <v>393</v>
      </c>
      <c r="D285" t="s">
        <v>393</v>
      </c>
      <c r="E285" t="s">
        <v>259</v>
      </c>
      <c r="G285">
        <v>4528</v>
      </c>
      <c r="H285" t="s">
        <v>1528</v>
      </c>
      <c r="I285">
        <v>3</v>
      </c>
    </row>
    <row r="286" spans="1:9" x14ac:dyDescent="0.15">
      <c r="A286" t="s">
        <v>894</v>
      </c>
      <c r="B286" t="s">
        <v>315</v>
      </c>
      <c r="C286" t="s">
        <v>740</v>
      </c>
      <c r="D286" t="s">
        <v>740</v>
      </c>
      <c r="E286" t="s">
        <v>315</v>
      </c>
      <c r="G286">
        <v>4542</v>
      </c>
      <c r="H286" t="s">
        <v>1529</v>
      </c>
      <c r="I286">
        <v>2</v>
      </c>
    </row>
    <row r="287" spans="1:9" x14ac:dyDescent="0.15">
      <c r="A287" t="s">
        <v>358</v>
      </c>
      <c r="B287">
        <v>1</v>
      </c>
      <c r="C287" t="s">
        <v>398</v>
      </c>
      <c r="D287" t="s">
        <v>398</v>
      </c>
      <c r="E287">
        <v>1</v>
      </c>
      <c r="G287">
        <v>4556</v>
      </c>
      <c r="H287" t="s">
        <v>1530</v>
      </c>
      <c r="I287">
        <v>3</v>
      </c>
    </row>
    <row r="288" spans="1:9" x14ac:dyDescent="0.15">
      <c r="A288" t="s">
        <v>358</v>
      </c>
      <c r="B288">
        <v>2</v>
      </c>
      <c r="C288" t="s">
        <v>6327</v>
      </c>
      <c r="D288" t="s">
        <v>6327</v>
      </c>
      <c r="E288">
        <v>2</v>
      </c>
      <c r="G288">
        <v>4570</v>
      </c>
      <c r="H288" t="s">
        <v>1531</v>
      </c>
      <c r="I288">
        <v>3</v>
      </c>
    </row>
    <row r="289" spans="1:9" x14ac:dyDescent="0.15">
      <c r="A289" t="s">
        <v>358</v>
      </c>
      <c r="B289">
        <v>3</v>
      </c>
      <c r="C289" t="s">
        <v>440</v>
      </c>
      <c r="D289" t="s">
        <v>440</v>
      </c>
      <c r="E289">
        <v>3</v>
      </c>
      <c r="G289">
        <v>4575</v>
      </c>
      <c r="H289" t="s">
        <v>1532</v>
      </c>
      <c r="I289">
        <v>3</v>
      </c>
    </row>
    <row r="290" spans="1:9" x14ac:dyDescent="0.15">
      <c r="A290" t="s">
        <v>358</v>
      </c>
      <c r="B290">
        <v>4</v>
      </c>
      <c r="C290" t="s">
        <v>457</v>
      </c>
      <c r="D290" t="s">
        <v>457</v>
      </c>
      <c r="E290">
        <v>4</v>
      </c>
      <c r="G290">
        <v>4584</v>
      </c>
      <c r="H290" t="s">
        <v>1533</v>
      </c>
      <c r="I290">
        <v>3</v>
      </c>
    </row>
    <row r="291" spans="1:9" x14ac:dyDescent="0.15">
      <c r="A291" t="s">
        <v>358</v>
      </c>
      <c r="B291">
        <v>5</v>
      </c>
      <c r="C291" t="s">
        <v>425</v>
      </c>
      <c r="D291" t="s">
        <v>425</v>
      </c>
      <c r="E291">
        <v>5</v>
      </c>
      <c r="G291">
        <v>4604</v>
      </c>
      <c r="H291" t="s">
        <v>1534</v>
      </c>
      <c r="I291">
        <v>3</v>
      </c>
    </row>
    <row r="292" spans="1:9" x14ac:dyDescent="0.15">
      <c r="A292" t="s">
        <v>358</v>
      </c>
      <c r="B292">
        <v>6</v>
      </c>
      <c r="C292" t="s">
        <v>451</v>
      </c>
      <c r="D292" t="s">
        <v>451</v>
      </c>
      <c r="E292">
        <v>6</v>
      </c>
      <c r="G292">
        <v>4608</v>
      </c>
      <c r="H292" t="s">
        <v>1535</v>
      </c>
      <c r="I292">
        <v>3</v>
      </c>
    </row>
    <row r="293" spans="1:9" x14ac:dyDescent="0.15">
      <c r="A293" t="s">
        <v>358</v>
      </c>
      <c r="B293">
        <v>7</v>
      </c>
      <c r="C293" t="s">
        <v>6328</v>
      </c>
      <c r="D293" t="s">
        <v>6328</v>
      </c>
      <c r="E293">
        <v>7</v>
      </c>
      <c r="G293">
        <v>4612</v>
      </c>
      <c r="H293" t="s">
        <v>1535</v>
      </c>
      <c r="I293">
        <v>3</v>
      </c>
    </row>
    <row r="294" spans="1:9" x14ac:dyDescent="0.15">
      <c r="A294" t="s">
        <v>358</v>
      </c>
      <c r="B294">
        <v>8</v>
      </c>
      <c r="C294" t="s">
        <v>6512</v>
      </c>
      <c r="D294" t="s">
        <v>6512</v>
      </c>
      <c r="E294">
        <v>8</v>
      </c>
      <c r="G294">
        <v>4620</v>
      </c>
      <c r="H294" t="s">
        <v>1536</v>
      </c>
      <c r="I294">
        <v>3</v>
      </c>
    </row>
    <row r="295" spans="1:9" x14ac:dyDescent="0.15">
      <c r="A295" t="s">
        <v>358</v>
      </c>
      <c r="B295">
        <v>9</v>
      </c>
      <c r="C295" t="s">
        <v>6329</v>
      </c>
      <c r="D295" t="s">
        <v>6329</v>
      </c>
      <c r="E295">
        <v>9</v>
      </c>
      <c r="G295">
        <v>4626</v>
      </c>
      <c r="H295" t="s">
        <v>1537</v>
      </c>
      <c r="I295">
        <v>3</v>
      </c>
    </row>
    <row r="296" spans="1:9" x14ac:dyDescent="0.15">
      <c r="A296" t="s">
        <v>358</v>
      </c>
      <c r="B296">
        <v>10</v>
      </c>
      <c r="C296" t="s">
        <v>6330</v>
      </c>
      <c r="D296" t="s">
        <v>6330</v>
      </c>
      <c r="E296">
        <v>10</v>
      </c>
      <c r="G296">
        <v>4640</v>
      </c>
      <c r="H296" t="s">
        <v>1538</v>
      </c>
      <c r="I296">
        <v>3</v>
      </c>
    </row>
    <row r="297" spans="1:9" x14ac:dyDescent="0.15">
      <c r="A297" t="s">
        <v>358</v>
      </c>
      <c r="B297">
        <v>11</v>
      </c>
      <c r="C297" t="s">
        <v>6331</v>
      </c>
      <c r="D297" t="s">
        <v>6331</v>
      </c>
      <c r="E297">
        <v>11</v>
      </c>
      <c r="G297">
        <v>4668</v>
      </c>
      <c r="H297" t="s">
        <v>1539</v>
      </c>
      <c r="I297">
        <v>3</v>
      </c>
    </row>
    <row r="298" spans="1:9" x14ac:dyDescent="0.15">
      <c r="A298" t="s">
        <v>358</v>
      </c>
      <c r="B298">
        <v>12</v>
      </c>
      <c r="C298" t="s">
        <v>441</v>
      </c>
      <c r="D298" t="s">
        <v>441</v>
      </c>
      <c r="E298">
        <v>12</v>
      </c>
      <c r="G298">
        <v>4682</v>
      </c>
      <c r="H298" t="s">
        <v>1539</v>
      </c>
      <c r="I298">
        <v>3</v>
      </c>
    </row>
    <row r="299" spans="1:9" x14ac:dyDescent="0.15">
      <c r="A299" t="s">
        <v>358</v>
      </c>
      <c r="B299">
        <v>13</v>
      </c>
      <c r="C299" t="s">
        <v>6332</v>
      </c>
      <c r="D299" t="s">
        <v>6332</v>
      </c>
      <c r="E299">
        <v>13</v>
      </c>
      <c r="G299">
        <v>4696</v>
      </c>
      <c r="H299" t="s">
        <v>1540</v>
      </c>
      <c r="I299">
        <v>2</v>
      </c>
    </row>
    <row r="300" spans="1:9" x14ac:dyDescent="0.15">
      <c r="A300" t="s">
        <v>358</v>
      </c>
      <c r="B300">
        <v>14</v>
      </c>
      <c r="C300" t="s">
        <v>6333</v>
      </c>
      <c r="D300" t="s">
        <v>6333</v>
      </c>
      <c r="E300">
        <v>14</v>
      </c>
      <c r="G300">
        <v>4710</v>
      </c>
      <c r="H300" t="s">
        <v>1539</v>
      </c>
      <c r="I300">
        <v>3</v>
      </c>
    </row>
    <row r="301" spans="1:9" x14ac:dyDescent="0.15">
      <c r="A301" t="s">
        <v>358</v>
      </c>
      <c r="B301">
        <v>15</v>
      </c>
      <c r="C301" t="s">
        <v>6334</v>
      </c>
      <c r="D301" t="s">
        <v>6334</v>
      </c>
      <c r="E301">
        <v>15</v>
      </c>
      <c r="G301">
        <v>4720</v>
      </c>
      <c r="H301" t="s">
        <v>1541</v>
      </c>
      <c r="I301">
        <v>1</v>
      </c>
    </row>
    <row r="302" spans="1:9" x14ac:dyDescent="0.15">
      <c r="A302" t="s">
        <v>358</v>
      </c>
      <c r="B302">
        <v>16</v>
      </c>
      <c r="C302" t="s">
        <v>6335</v>
      </c>
      <c r="D302" t="s">
        <v>6335</v>
      </c>
      <c r="E302">
        <v>16</v>
      </c>
      <c r="G302">
        <v>4724</v>
      </c>
      <c r="H302" t="s">
        <v>1542</v>
      </c>
      <c r="I302">
        <v>3</v>
      </c>
    </row>
    <row r="303" spans="1:9" x14ac:dyDescent="0.15">
      <c r="A303" t="s">
        <v>358</v>
      </c>
      <c r="B303">
        <v>17</v>
      </c>
      <c r="C303" t="s">
        <v>448</v>
      </c>
      <c r="D303" t="s">
        <v>448</v>
      </c>
      <c r="E303">
        <v>17</v>
      </c>
      <c r="G303">
        <v>4752</v>
      </c>
      <c r="H303" t="s">
        <v>1543</v>
      </c>
      <c r="I303">
        <v>2</v>
      </c>
    </row>
    <row r="304" spans="1:9" x14ac:dyDescent="0.15">
      <c r="A304" t="s">
        <v>358</v>
      </c>
      <c r="B304">
        <v>18</v>
      </c>
      <c r="C304" t="s">
        <v>458</v>
      </c>
      <c r="D304" t="s">
        <v>458</v>
      </c>
      <c r="E304">
        <v>18</v>
      </c>
      <c r="G304">
        <v>4770</v>
      </c>
      <c r="H304" t="s">
        <v>1544</v>
      </c>
      <c r="I304">
        <v>3</v>
      </c>
    </row>
    <row r="305" spans="1:9" x14ac:dyDescent="0.15">
      <c r="A305" t="s">
        <v>358</v>
      </c>
      <c r="B305">
        <v>19</v>
      </c>
      <c r="C305" t="s">
        <v>6336</v>
      </c>
      <c r="D305" t="s">
        <v>6336</v>
      </c>
      <c r="E305">
        <v>19</v>
      </c>
      <c r="G305">
        <v>4775</v>
      </c>
      <c r="H305" t="s">
        <v>1545</v>
      </c>
      <c r="I305">
        <v>3</v>
      </c>
    </row>
    <row r="306" spans="1:9" x14ac:dyDescent="0.15">
      <c r="A306" t="s">
        <v>358</v>
      </c>
      <c r="B306">
        <v>20</v>
      </c>
      <c r="C306" t="s">
        <v>476</v>
      </c>
      <c r="D306" t="s">
        <v>476</v>
      </c>
      <c r="E306">
        <v>20</v>
      </c>
      <c r="G306">
        <v>4780</v>
      </c>
      <c r="H306" t="s">
        <v>1546</v>
      </c>
      <c r="I306">
        <v>3</v>
      </c>
    </row>
    <row r="307" spans="1:9" x14ac:dyDescent="0.15">
      <c r="A307" t="s">
        <v>358</v>
      </c>
      <c r="B307">
        <v>21</v>
      </c>
      <c r="C307" t="s">
        <v>6337</v>
      </c>
      <c r="D307" t="s">
        <v>6337</v>
      </c>
      <c r="E307">
        <v>21</v>
      </c>
      <c r="G307">
        <v>4785</v>
      </c>
      <c r="H307" t="s">
        <v>1547</v>
      </c>
      <c r="I307">
        <v>3</v>
      </c>
    </row>
    <row r="308" spans="1:9" x14ac:dyDescent="0.15">
      <c r="A308" t="s">
        <v>358</v>
      </c>
      <c r="B308">
        <v>22</v>
      </c>
      <c r="C308" t="s">
        <v>6338</v>
      </c>
      <c r="D308" t="s">
        <v>6338</v>
      </c>
      <c r="E308">
        <v>22</v>
      </c>
      <c r="G308">
        <v>4794</v>
      </c>
      <c r="H308" t="s">
        <v>1548</v>
      </c>
      <c r="I308">
        <v>3</v>
      </c>
    </row>
    <row r="309" spans="1:9" x14ac:dyDescent="0.15">
      <c r="A309" t="s">
        <v>358</v>
      </c>
      <c r="B309">
        <v>23</v>
      </c>
      <c r="C309" t="s">
        <v>6339</v>
      </c>
      <c r="D309" t="s">
        <v>6339</v>
      </c>
      <c r="E309">
        <v>23</v>
      </c>
      <c r="G309">
        <v>4808</v>
      </c>
      <c r="H309" t="s">
        <v>1548</v>
      </c>
      <c r="I309">
        <v>3</v>
      </c>
    </row>
    <row r="310" spans="1:9" x14ac:dyDescent="0.15">
      <c r="A310" t="s">
        <v>358</v>
      </c>
      <c r="B310">
        <v>24</v>
      </c>
      <c r="C310" t="s">
        <v>6340</v>
      </c>
      <c r="D310" t="s">
        <v>6340</v>
      </c>
      <c r="E310">
        <v>24</v>
      </c>
      <c r="G310">
        <v>4836</v>
      </c>
      <c r="H310" t="s">
        <v>1549</v>
      </c>
      <c r="I310">
        <v>3</v>
      </c>
    </row>
    <row r="311" spans="1:9" x14ac:dyDescent="0.15">
      <c r="A311" t="s">
        <v>358</v>
      </c>
      <c r="B311">
        <v>99</v>
      </c>
      <c r="C311" t="s">
        <v>407</v>
      </c>
      <c r="D311" t="s">
        <v>407</v>
      </c>
      <c r="E311">
        <v>99</v>
      </c>
      <c r="G311">
        <v>4840</v>
      </c>
      <c r="H311" t="s">
        <v>1550</v>
      </c>
      <c r="I311">
        <v>1</v>
      </c>
    </row>
    <row r="312" spans="1:9" x14ac:dyDescent="0.15">
      <c r="A312" t="s">
        <v>358</v>
      </c>
      <c r="G312">
        <v>4850</v>
      </c>
      <c r="H312" t="s">
        <v>1551</v>
      </c>
      <c r="I312">
        <v>3</v>
      </c>
    </row>
    <row r="313" spans="1:9" x14ac:dyDescent="0.15">
      <c r="A313" t="s">
        <v>358</v>
      </c>
      <c r="G313">
        <v>4864</v>
      </c>
      <c r="H313" t="s">
        <v>1552</v>
      </c>
      <c r="I313">
        <v>3</v>
      </c>
    </row>
    <row r="314" spans="1:9" x14ac:dyDescent="0.15">
      <c r="A314" t="s">
        <v>358</v>
      </c>
      <c r="G314">
        <v>4878</v>
      </c>
      <c r="H314" t="s">
        <v>1553</v>
      </c>
      <c r="I314">
        <v>1</v>
      </c>
    </row>
    <row r="315" spans="1:9" x14ac:dyDescent="0.15">
      <c r="A315" t="s">
        <v>358</v>
      </c>
      <c r="G315">
        <v>4906</v>
      </c>
      <c r="H315" t="s">
        <v>1552</v>
      </c>
      <c r="I315">
        <v>3</v>
      </c>
    </row>
    <row r="316" spans="1:9" x14ac:dyDescent="0.15">
      <c r="A316" t="s">
        <v>358</v>
      </c>
      <c r="G316">
        <v>4920</v>
      </c>
      <c r="H316" t="s">
        <v>1554</v>
      </c>
      <c r="I316">
        <v>1</v>
      </c>
    </row>
    <row r="317" spans="1:9" x14ac:dyDescent="0.15">
      <c r="A317" t="s">
        <v>358</v>
      </c>
      <c r="G317">
        <v>4925</v>
      </c>
      <c r="H317" t="s">
        <v>1555</v>
      </c>
      <c r="I317">
        <v>3</v>
      </c>
    </row>
    <row r="318" spans="1:9" x14ac:dyDescent="0.15">
      <c r="A318" t="s">
        <v>358</v>
      </c>
      <c r="G318">
        <v>4930</v>
      </c>
      <c r="H318" t="s">
        <v>1556</v>
      </c>
      <c r="I318">
        <v>3</v>
      </c>
    </row>
    <row r="319" spans="1:9" x14ac:dyDescent="0.15">
      <c r="A319" t="s">
        <v>358</v>
      </c>
      <c r="G319">
        <v>4940</v>
      </c>
      <c r="H319" t="s">
        <v>1557</v>
      </c>
      <c r="I319">
        <v>3</v>
      </c>
    </row>
    <row r="320" spans="1:9" x14ac:dyDescent="0.15">
      <c r="A320" t="s">
        <v>359</v>
      </c>
      <c r="G320">
        <v>4944</v>
      </c>
      <c r="H320" t="s">
        <v>1558</v>
      </c>
      <c r="I320">
        <v>3</v>
      </c>
    </row>
    <row r="321" spans="1:9" x14ac:dyDescent="0.15">
      <c r="A321" t="s">
        <v>359</v>
      </c>
      <c r="G321">
        <v>4962</v>
      </c>
      <c r="H321" t="s">
        <v>1559</v>
      </c>
      <c r="I321">
        <v>3</v>
      </c>
    </row>
    <row r="322" spans="1:9" x14ac:dyDescent="0.15">
      <c r="A322" t="s">
        <v>359</v>
      </c>
      <c r="G322">
        <v>5004</v>
      </c>
      <c r="H322" t="s">
        <v>1560</v>
      </c>
      <c r="I322">
        <v>3</v>
      </c>
    </row>
    <row r="323" spans="1:9" x14ac:dyDescent="0.15">
      <c r="A323" t="s">
        <v>359</v>
      </c>
      <c r="G323">
        <v>5010</v>
      </c>
      <c r="H323" t="s">
        <v>1560</v>
      </c>
      <c r="I323">
        <v>3</v>
      </c>
    </row>
    <row r="324" spans="1:9" x14ac:dyDescent="0.15">
      <c r="A324" t="s">
        <v>359</v>
      </c>
      <c r="G324">
        <v>5013</v>
      </c>
      <c r="H324" t="s">
        <v>1561</v>
      </c>
      <c r="I324">
        <v>2</v>
      </c>
    </row>
    <row r="325" spans="1:9" x14ac:dyDescent="0.15">
      <c r="A325" t="s">
        <v>359</v>
      </c>
      <c r="G325">
        <v>5018</v>
      </c>
      <c r="H325" t="s">
        <v>1562</v>
      </c>
      <c r="I325">
        <v>3</v>
      </c>
    </row>
    <row r="326" spans="1:9" x14ac:dyDescent="0.15">
      <c r="A326" t="s">
        <v>359</v>
      </c>
      <c r="G326">
        <v>5040</v>
      </c>
      <c r="H326" t="s">
        <v>1563</v>
      </c>
      <c r="I326">
        <v>3</v>
      </c>
    </row>
    <row r="327" spans="1:9" x14ac:dyDescent="0.15">
      <c r="A327" t="s">
        <v>359</v>
      </c>
      <c r="G327">
        <v>5046</v>
      </c>
      <c r="H327" t="s">
        <v>1563</v>
      </c>
      <c r="I327">
        <v>3</v>
      </c>
    </row>
    <row r="328" spans="1:9" x14ac:dyDescent="0.15">
      <c r="A328" t="s">
        <v>359</v>
      </c>
      <c r="G328">
        <v>5060</v>
      </c>
      <c r="H328" t="s">
        <v>1564</v>
      </c>
      <c r="I328">
        <v>3</v>
      </c>
    </row>
    <row r="329" spans="1:9" x14ac:dyDescent="0.15">
      <c r="A329" t="s">
        <v>359</v>
      </c>
      <c r="G329">
        <v>5065</v>
      </c>
      <c r="H329" t="s">
        <v>1565</v>
      </c>
      <c r="I329">
        <v>3</v>
      </c>
    </row>
    <row r="330" spans="1:9" x14ac:dyDescent="0.15">
      <c r="A330" t="s">
        <v>359</v>
      </c>
      <c r="G330">
        <v>5074</v>
      </c>
      <c r="H330" t="s">
        <v>1566</v>
      </c>
      <c r="I330">
        <v>2</v>
      </c>
    </row>
    <row r="331" spans="1:9" x14ac:dyDescent="0.15">
      <c r="A331" t="s">
        <v>359</v>
      </c>
      <c r="G331">
        <v>5088</v>
      </c>
      <c r="H331" t="s">
        <v>1567</v>
      </c>
      <c r="I331">
        <v>3</v>
      </c>
    </row>
    <row r="332" spans="1:9" x14ac:dyDescent="0.15">
      <c r="A332" t="s">
        <v>359</v>
      </c>
      <c r="G332">
        <v>5102</v>
      </c>
      <c r="H332" t="s">
        <v>1568</v>
      </c>
      <c r="I332">
        <v>1</v>
      </c>
    </row>
    <row r="333" spans="1:9" x14ac:dyDescent="0.15">
      <c r="A333" t="s">
        <v>359</v>
      </c>
      <c r="G333">
        <v>5116</v>
      </c>
      <c r="H333" t="s">
        <v>1569</v>
      </c>
      <c r="I333">
        <v>2</v>
      </c>
    </row>
    <row r="334" spans="1:9" x14ac:dyDescent="0.15">
      <c r="A334" t="s">
        <v>359</v>
      </c>
      <c r="G334">
        <v>5130</v>
      </c>
      <c r="H334" t="s">
        <v>953</v>
      </c>
      <c r="I334">
        <v>1</v>
      </c>
    </row>
    <row r="335" spans="1:9" x14ac:dyDescent="0.15">
      <c r="A335" t="s">
        <v>359</v>
      </c>
      <c r="G335">
        <v>5144</v>
      </c>
      <c r="H335" t="s">
        <v>1570</v>
      </c>
      <c r="I335">
        <v>3</v>
      </c>
    </row>
    <row r="336" spans="1:9" x14ac:dyDescent="0.15">
      <c r="A336" t="s">
        <v>359</v>
      </c>
      <c r="G336">
        <v>5158</v>
      </c>
      <c r="H336" t="s">
        <v>1571</v>
      </c>
      <c r="I336">
        <v>2</v>
      </c>
    </row>
    <row r="337" spans="1:9" x14ac:dyDescent="0.15">
      <c r="A337" t="s">
        <v>359</v>
      </c>
      <c r="G337">
        <v>5165</v>
      </c>
      <c r="H337" t="s">
        <v>1572</v>
      </c>
      <c r="I337">
        <v>3</v>
      </c>
    </row>
    <row r="338" spans="1:9" x14ac:dyDescent="0.15">
      <c r="A338" t="s">
        <v>359</v>
      </c>
      <c r="G338">
        <v>5172</v>
      </c>
      <c r="H338" t="s">
        <v>1573</v>
      </c>
      <c r="I338">
        <v>3</v>
      </c>
    </row>
    <row r="339" spans="1:9" x14ac:dyDescent="0.15">
      <c r="A339" t="s">
        <v>359</v>
      </c>
      <c r="G339">
        <v>5214</v>
      </c>
      <c r="H339" t="s">
        <v>1574</v>
      </c>
      <c r="I339">
        <v>3</v>
      </c>
    </row>
    <row r="340" spans="1:9" x14ac:dyDescent="0.15">
      <c r="A340" t="s">
        <v>359</v>
      </c>
      <c r="G340">
        <v>5228</v>
      </c>
      <c r="H340" t="s">
        <v>954</v>
      </c>
      <c r="I340">
        <v>1</v>
      </c>
    </row>
    <row r="341" spans="1:9" x14ac:dyDescent="0.15">
      <c r="A341" t="s">
        <v>359</v>
      </c>
      <c r="G341">
        <v>5284</v>
      </c>
      <c r="H341" t="s">
        <v>1575</v>
      </c>
      <c r="I341">
        <v>2</v>
      </c>
    </row>
    <row r="342" spans="1:9" x14ac:dyDescent="0.15">
      <c r="A342" t="s">
        <v>359</v>
      </c>
      <c r="G342">
        <v>5312</v>
      </c>
      <c r="H342" t="s">
        <v>1576</v>
      </c>
      <c r="I342">
        <v>2</v>
      </c>
    </row>
    <row r="343" spans="1:9" x14ac:dyDescent="0.15">
      <c r="A343" t="s">
        <v>359</v>
      </c>
      <c r="G343">
        <v>5340</v>
      </c>
      <c r="H343" t="s">
        <v>1576</v>
      </c>
      <c r="I343">
        <v>3</v>
      </c>
    </row>
    <row r="344" spans="1:9" x14ac:dyDescent="0.15">
      <c r="A344" t="s">
        <v>359</v>
      </c>
      <c r="G344">
        <v>5365</v>
      </c>
      <c r="H344" t="s">
        <v>1577</v>
      </c>
      <c r="I344">
        <v>3</v>
      </c>
    </row>
    <row r="345" spans="1:9" x14ac:dyDescent="0.15">
      <c r="A345" t="s">
        <v>359</v>
      </c>
      <c r="G345">
        <v>5382</v>
      </c>
      <c r="H345" t="s">
        <v>1578</v>
      </c>
      <c r="I345">
        <v>3</v>
      </c>
    </row>
    <row r="346" spans="1:9" x14ac:dyDescent="0.15">
      <c r="A346" t="s">
        <v>359</v>
      </c>
      <c r="G346">
        <v>5396</v>
      </c>
      <c r="H346" t="s">
        <v>1579</v>
      </c>
      <c r="I346">
        <v>2</v>
      </c>
    </row>
    <row r="347" spans="1:9" x14ac:dyDescent="0.15">
      <c r="A347" t="s">
        <v>359</v>
      </c>
      <c r="G347">
        <v>5410</v>
      </c>
      <c r="H347" t="s">
        <v>1580</v>
      </c>
      <c r="I347">
        <v>2</v>
      </c>
    </row>
    <row r="348" spans="1:9" x14ac:dyDescent="0.15">
      <c r="A348" t="s">
        <v>359</v>
      </c>
      <c r="G348">
        <v>5424</v>
      </c>
      <c r="H348" t="s">
        <v>1581</v>
      </c>
      <c r="I348">
        <v>1</v>
      </c>
    </row>
    <row r="349" spans="1:9" x14ac:dyDescent="0.15">
      <c r="A349" t="s">
        <v>359</v>
      </c>
      <c r="G349">
        <v>5438</v>
      </c>
      <c r="H349" t="s">
        <v>1582</v>
      </c>
      <c r="I349">
        <v>3</v>
      </c>
    </row>
    <row r="350" spans="1:9" x14ac:dyDescent="0.15">
      <c r="A350" t="s">
        <v>359</v>
      </c>
      <c r="G350">
        <v>5466</v>
      </c>
      <c r="H350" t="s">
        <v>1583</v>
      </c>
      <c r="I350">
        <v>3</v>
      </c>
    </row>
    <row r="351" spans="1:9" x14ac:dyDescent="0.15">
      <c r="A351" t="s">
        <v>359</v>
      </c>
      <c r="G351">
        <v>5475</v>
      </c>
      <c r="H351" t="s">
        <v>1584</v>
      </c>
      <c r="I351">
        <v>3</v>
      </c>
    </row>
    <row r="352" spans="1:9" x14ac:dyDescent="0.15">
      <c r="A352" t="s">
        <v>359</v>
      </c>
      <c r="G352">
        <v>5494</v>
      </c>
      <c r="H352" t="s">
        <v>1585</v>
      </c>
      <c r="I352">
        <v>3</v>
      </c>
    </row>
    <row r="353" spans="1:9" x14ac:dyDescent="0.15">
      <c r="A353" t="s">
        <v>352</v>
      </c>
      <c r="B353">
        <v>1</v>
      </c>
      <c r="C353" t="s">
        <v>410</v>
      </c>
      <c r="D353" t="s">
        <v>410</v>
      </c>
      <c r="E353">
        <v>1</v>
      </c>
      <c r="G353">
        <v>5508</v>
      </c>
      <c r="H353" t="s">
        <v>1585</v>
      </c>
      <c r="I353">
        <v>3</v>
      </c>
    </row>
    <row r="354" spans="1:9" x14ac:dyDescent="0.15">
      <c r="A354" t="s">
        <v>352</v>
      </c>
      <c r="B354">
        <v>2</v>
      </c>
      <c r="C354" t="s">
        <v>411</v>
      </c>
      <c r="D354" t="s">
        <v>411</v>
      </c>
      <c r="E354">
        <v>2</v>
      </c>
      <c r="G354">
        <v>5550</v>
      </c>
      <c r="H354" t="s">
        <v>1586</v>
      </c>
      <c r="I354">
        <v>2</v>
      </c>
    </row>
    <row r="355" spans="1:9" x14ac:dyDescent="0.15">
      <c r="A355" t="s">
        <v>352</v>
      </c>
      <c r="B355">
        <v>3</v>
      </c>
      <c r="C355" t="s">
        <v>406</v>
      </c>
      <c r="D355" t="s">
        <v>406</v>
      </c>
      <c r="E355">
        <v>3</v>
      </c>
      <c r="G355">
        <v>5564</v>
      </c>
      <c r="H355" t="s">
        <v>1150</v>
      </c>
      <c r="I355">
        <v>3</v>
      </c>
    </row>
    <row r="356" spans="1:9" x14ac:dyDescent="0.15">
      <c r="A356" t="s">
        <v>352</v>
      </c>
      <c r="B356">
        <v>4</v>
      </c>
      <c r="C356" t="s">
        <v>405</v>
      </c>
      <c r="D356" t="s">
        <v>405</v>
      </c>
      <c r="E356">
        <v>4</v>
      </c>
      <c r="G356">
        <v>5578</v>
      </c>
      <c r="H356" t="s">
        <v>1587</v>
      </c>
      <c r="I356">
        <v>3</v>
      </c>
    </row>
    <row r="357" spans="1:9" x14ac:dyDescent="0.15">
      <c r="A357" t="s">
        <v>352</v>
      </c>
      <c r="B357">
        <v>5</v>
      </c>
      <c r="C357" t="s">
        <v>397</v>
      </c>
      <c r="D357" t="s">
        <v>397</v>
      </c>
      <c r="E357">
        <v>5</v>
      </c>
      <c r="G357">
        <v>5592</v>
      </c>
      <c r="H357" t="s">
        <v>1150</v>
      </c>
      <c r="I357">
        <v>3</v>
      </c>
    </row>
    <row r="358" spans="1:9" x14ac:dyDescent="0.15">
      <c r="A358" t="s">
        <v>352</v>
      </c>
      <c r="B358">
        <v>6</v>
      </c>
      <c r="C358" t="s">
        <v>445</v>
      </c>
      <c r="D358" t="s">
        <v>445</v>
      </c>
      <c r="E358">
        <v>6</v>
      </c>
      <c r="G358">
        <v>5606</v>
      </c>
      <c r="H358" t="s">
        <v>1587</v>
      </c>
      <c r="I358">
        <v>3</v>
      </c>
    </row>
    <row r="359" spans="1:9" x14ac:dyDescent="0.15">
      <c r="A359" t="s">
        <v>352</v>
      </c>
      <c r="B359">
        <v>7</v>
      </c>
      <c r="C359" t="s">
        <v>446</v>
      </c>
      <c r="D359" t="s">
        <v>446</v>
      </c>
      <c r="E359">
        <v>7</v>
      </c>
      <c r="G359">
        <v>5620</v>
      </c>
      <c r="H359" t="s">
        <v>1587</v>
      </c>
      <c r="I359">
        <v>3</v>
      </c>
    </row>
    <row r="360" spans="1:9" x14ac:dyDescent="0.15">
      <c r="A360" t="s">
        <v>352</v>
      </c>
      <c r="B360">
        <v>8</v>
      </c>
      <c r="C360" t="s">
        <v>396</v>
      </c>
      <c r="D360" t="s">
        <v>396</v>
      </c>
      <c r="E360">
        <v>8</v>
      </c>
      <c r="G360">
        <v>5634</v>
      </c>
      <c r="H360" t="s">
        <v>1587</v>
      </c>
      <c r="I360">
        <v>3</v>
      </c>
    </row>
    <row r="361" spans="1:9" x14ac:dyDescent="0.15">
      <c r="A361" t="s">
        <v>352</v>
      </c>
      <c r="B361">
        <v>9</v>
      </c>
      <c r="C361" t="s">
        <v>401</v>
      </c>
      <c r="D361" t="s">
        <v>401</v>
      </c>
      <c r="E361">
        <v>9</v>
      </c>
      <c r="G361">
        <v>5648</v>
      </c>
      <c r="H361" t="s">
        <v>1587</v>
      </c>
      <c r="I361">
        <v>3</v>
      </c>
    </row>
    <row r="362" spans="1:9" x14ac:dyDescent="0.15">
      <c r="A362" t="s">
        <v>353</v>
      </c>
      <c r="B362">
        <v>1</v>
      </c>
      <c r="C362" t="s">
        <v>410</v>
      </c>
      <c r="D362" t="s">
        <v>410</v>
      </c>
      <c r="E362">
        <v>1</v>
      </c>
      <c r="G362">
        <v>5662</v>
      </c>
      <c r="H362" t="s">
        <v>1588</v>
      </c>
      <c r="I362">
        <v>2</v>
      </c>
    </row>
    <row r="363" spans="1:9" x14ac:dyDescent="0.15">
      <c r="A363" t="s">
        <v>353</v>
      </c>
      <c r="B363">
        <v>2</v>
      </c>
      <c r="C363" t="s">
        <v>411</v>
      </c>
      <c r="D363" t="s">
        <v>411</v>
      </c>
      <c r="E363">
        <v>2</v>
      </c>
      <c r="G363">
        <v>5676</v>
      </c>
      <c r="H363" t="s">
        <v>1589</v>
      </c>
      <c r="I363">
        <v>2</v>
      </c>
    </row>
    <row r="364" spans="1:9" x14ac:dyDescent="0.15">
      <c r="A364" t="s">
        <v>353</v>
      </c>
      <c r="B364">
        <v>3</v>
      </c>
      <c r="C364" t="s">
        <v>406</v>
      </c>
      <c r="D364" t="s">
        <v>406</v>
      </c>
      <c r="E364">
        <v>3</v>
      </c>
      <c r="G364">
        <v>5685</v>
      </c>
      <c r="H364" t="s">
        <v>1590</v>
      </c>
      <c r="I364">
        <v>3</v>
      </c>
    </row>
    <row r="365" spans="1:9" x14ac:dyDescent="0.15">
      <c r="A365" t="s">
        <v>353</v>
      </c>
      <c r="B365">
        <v>4</v>
      </c>
      <c r="C365" t="s">
        <v>405</v>
      </c>
      <c r="D365" t="s">
        <v>405</v>
      </c>
      <c r="E365">
        <v>4</v>
      </c>
      <c r="G365">
        <v>5690</v>
      </c>
      <c r="H365" t="s">
        <v>1591</v>
      </c>
      <c r="I365">
        <v>1</v>
      </c>
    </row>
    <row r="366" spans="1:9" x14ac:dyDescent="0.15">
      <c r="A366" t="s">
        <v>353</v>
      </c>
      <c r="B366">
        <v>5</v>
      </c>
      <c r="C366" t="s">
        <v>397</v>
      </c>
      <c r="D366" t="s">
        <v>397</v>
      </c>
      <c r="E366">
        <v>5</v>
      </c>
      <c r="G366">
        <v>5704</v>
      </c>
      <c r="H366" t="s">
        <v>1592</v>
      </c>
      <c r="I366">
        <v>3</v>
      </c>
    </row>
    <row r="367" spans="1:9" x14ac:dyDescent="0.15">
      <c r="A367" t="s">
        <v>353</v>
      </c>
      <c r="B367">
        <v>6</v>
      </c>
      <c r="C367" t="s">
        <v>445</v>
      </c>
      <c r="D367" t="s">
        <v>445</v>
      </c>
      <c r="E367">
        <v>6</v>
      </c>
      <c r="G367">
        <v>5718</v>
      </c>
      <c r="H367" t="s">
        <v>1593</v>
      </c>
      <c r="I367">
        <v>2</v>
      </c>
    </row>
    <row r="368" spans="1:9" x14ac:dyDescent="0.15">
      <c r="A368" t="s">
        <v>353</v>
      </c>
      <c r="B368">
        <v>7</v>
      </c>
      <c r="C368" t="s">
        <v>446</v>
      </c>
      <c r="D368" t="s">
        <v>446</v>
      </c>
      <c r="E368">
        <v>7</v>
      </c>
      <c r="G368">
        <v>5732</v>
      </c>
      <c r="H368" t="s">
        <v>1594</v>
      </c>
      <c r="I368">
        <v>2</v>
      </c>
    </row>
    <row r="369" spans="1:9" x14ac:dyDescent="0.15">
      <c r="A369" t="s">
        <v>353</v>
      </c>
      <c r="B369">
        <v>8</v>
      </c>
      <c r="C369" t="s">
        <v>396</v>
      </c>
      <c r="D369" t="s">
        <v>396</v>
      </c>
      <c r="E369">
        <v>8</v>
      </c>
      <c r="G369">
        <v>5760</v>
      </c>
      <c r="H369" t="s">
        <v>1595</v>
      </c>
      <c r="I369">
        <v>3</v>
      </c>
    </row>
    <row r="370" spans="1:9" x14ac:dyDescent="0.15">
      <c r="A370" t="s">
        <v>353</v>
      </c>
      <c r="B370">
        <v>9</v>
      </c>
      <c r="C370" t="s">
        <v>401</v>
      </c>
      <c r="D370" t="s">
        <v>401</v>
      </c>
      <c r="E370">
        <v>9</v>
      </c>
      <c r="G370">
        <v>5774</v>
      </c>
      <c r="H370" t="s">
        <v>1596</v>
      </c>
      <c r="I370">
        <v>3</v>
      </c>
    </row>
    <row r="371" spans="1:9" x14ac:dyDescent="0.15">
      <c r="A371" t="s">
        <v>370</v>
      </c>
      <c r="B371">
        <v>1</v>
      </c>
      <c r="C371" t="s">
        <v>6341</v>
      </c>
      <c r="D371" t="s">
        <v>6341</v>
      </c>
      <c r="E371">
        <v>1</v>
      </c>
      <c r="G371">
        <v>5788</v>
      </c>
      <c r="H371" t="s">
        <v>1107</v>
      </c>
      <c r="I371">
        <v>3</v>
      </c>
    </row>
    <row r="372" spans="1:9" x14ac:dyDescent="0.15">
      <c r="A372" t="s">
        <v>370</v>
      </c>
      <c r="B372">
        <v>2</v>
      </c>
      <c r="C372" t="s">
        <v>6342</v>
      </c>
      <c r="D372" t="s">
        <v>6342</v>
      </c>
      <c r="E372">
        <v>2</v>
      </c>
      <c r="G372">
        <v>5802</v>
      </c>
      <c r="H372" t="s">
        <v>1107</v>
      </c>
      <c r="I372">
        <v>3</v>
      </c>
    </row>
    <row r="373" spans="1:9" x14ac:dyDescent="0.15">
      <c r="A373" t="s">
        <v>370</v>
      </c>
      <c r="B373">
        <v>3</v>
      </c>
      <c r="C373" t="s">
        <v>6343</v>
      </c>
      <c r="D373" t="s">
        <v>6343</v>
      </c>
      <c r="E373">
        <v>3</v>
      </c>
      <c r="G373">
        <v>5816</v>
      </c>
      <c r="H373" t="s">
        <v>1597</v>
      </c>
      <c r="I373">
        <v>2</v>
      </c>
    </row>
    <row r="374" spans="1:9" x14ac:dyDescent="0.15">
      <c r="A374" t="s">
        <v>370</v>
      </c>
      <c r="B374">
        <v>4</v>
      </c>
      <c r="C374" t="s">
        <v>6344</v>
      </c>
      <c r="D374" t="s">
        <v>6344</v>
      </c>
      <c r="E374">
        <v>4</v>
      </c>
      <c r="G374">
        <v>5830</v>
      </c>
      <c r="H374" t="s">
        <v>1107</v>
      </c>
      <c r="I374">
        <v>3</v>
      </c>
    </row>
    <row r="375" spans="1:9" x14ac:dyDescent="0.15">
      <c r="A375" t="s">
        <v>370</v>
      </c>
      <c r="B375">
        <v>5</v>
      </c>
      <c r="C375" t="s">
        <v>6345</v>
      </c>
      <c r="D375" t="s">
        <v>6345</v>
      </c>
      <c r="E375">
        <v>5</v>
      </c>
      <c r="G375">
        <v>5844</v>
      </c>
      <c r="H375" t="s">
        <v>1107</v>
      </c>
      <c r="I375">
        <v>3</v>
      </c>
    </row>
    <row r="376" spans="1:9" x14ac:dyDescent="0.15">
      <c r="A376" t="s">
        <v>370</v>
      </c>
      <c r="B376">
        <v>6</v>
      </c>
      <c r="C376" t="s">
        <v>6346</v>
      </c>
      <c r="D376" t="s">
        <v>6346</v>
      </c>
      <c r="E376">
        <v>6</v>
      </c>
      <c r="G376">
        <v>5858</v>
      </c>
      <c r="H376" t="s">
        <v>1107</v>
      </c>
      <c r="I376">
        <v>3</v>
      </c>
    </row>
    <row r="377" spans="1:9" x14ac:dyDescent="0.15">
      <c r="A377" t="s">
        <v>370</v>
      </c>
      <c r="B377">
        <v>7</v>
      </c>
      <c r="C377" t="s">
        <v>6347</v>
      </c>
      <c r="D377" t="s">
        <v>6347</v>
      </c>
      <c r="E377">
        <v>7</v>
      </c>
      <c r="G377">
        <v>5865</v>
      </c>
      <c r="H377" t="s">
        <v>1597</v>
      </c>
      <c r="I377">
        <v>3</v>
      </c>
    </row>
    <row r="378" spans="1:9" x14ac:dyDescent="0.15">
      <c r="A378" t="s">
        <v>370</v>
      </c>
      <c r="B378">
        <v>8</v>
      </c>
      <c r="C378" t="s">
        <v>6348</v>
      </c>
      <c r="D378" t="s">
        <v>6348</v>
      </c>
      <c r="E378">
        <v>8</v>
      </c>
      <c r="G378">
        <v>5872</v>
      </c>
      <c r="H378" t="s">
        <v>1598</v>
      </c>
      <c r="I378">
        <v>3</v>
      </c>
    </row>
    <row r="379" spans="1:9" x14ac:dyDescent="0.15">
      <c r="A379" t="s">
        <v>370</v>
      </c>
      <c r="B379">
        <v>9</v>
      </c>
      <c r="C379" t="s">
        <v>6151</v>
      </c>
      <c r="D379" t="s">
        <v>6151</v>
      </c>
      <c r="E379">
        <v>9</v>
      </c>
      <c r="G379">
        <v>5886</v>
      </c>
      <c r="H379" t="s">
        <v>1599</v>
      </c>
      <c r="I379">
        <v>3</v>
      </c>
    </row>
    <row r="380" spans="1:9" x14ac:dyDescent="0.15">
      <c r="A380" t="s">
        <v>371</v>
      </c>
      <c r="G380">
        <v>5900</v>
      </c>
      <c r="H380" t="s">
        <v>1600</v>
      </c>
      <c r="I380">
        <v>2</v>
      </c>
    </row>
    <row r="381" spans="1:9" x14ac:dyDescent="0.15">
      <c r="A381" t="s">
        <v>371</v>
      </c>
      <c r="G381">
        <v>5914</v>
      </c>
      <c r="H381" t="s">
        <v>1601</v>
      </c>
      <c r="I381">
        <v>3</v>
      </c>
    </row>
    <row r="382" spans="1:9" x14ac:dyDescent="0.15">
      <c r="A382" t="s">
        <v>371</v>
      </c>
      <c r="G382">
        <v>5928</v>
      </c>
      <c r="H382" t="s">
        <v>1602</v>
      </c>
      <c r="I382">
        <v>3</v>
      </c>
    </row>
    <row r="383" spans="1:9" x14ac:dyDescent="0.15">
      <c r="A383" t="s">
        <v>371</v>
      </c>
      <c r="G383">
        <v>5942</v>
      </c>
      <c r="H383" t="s">
        <v>1603</v>
      </c>
      <c r="I383">
        <v>3</v>
      </c>
    </row>
    <row r="384" spans="1:9" x14ac:dyDescent="0.15">
      <c r="A384" t="s">
        <v>371</v>
      </c>
      <c r="G384">
        <v>5956</v>
      </c>
      <c r="H384" t="s">
        <v>1604</v>
      </c>
      <c r="I384">
        <v>3</v>
      </c>
    </row>
    <row r="385" spans="1:9" x14ac:dyDescent="0.15">
      <c r="A385" t="s">
        <v>371</v>
      </c>
      <c r="G385">
        <v>5984</v>
      </c>
      <c r="H385" t="s">
        <v>1605</v>
      </c>
      <c r="I385">
        <v>3</v>
      </c>
    </row>
    <row r="386" spans="1:9" x14ac:dyDescent="0.15">
      <c r="A386" t="s">
        <v>371</v>
      </c>
      <c r="G386">
        <v>5998</v>
      </c>
      <c r="H386" t="s">
        <v>1606</v>
      </c>
      <c r="I386">
        <v>3</v>
      </c>
    </row>
    <row r="387" spans="1:9" x14ac:dyDescent="0.15">
      <c r="A387" t="s">
        <v>371</v>
      </c>
      <c r="G387">
        <v>6012</v>
      </c>
      <c r="H387" t="s">
        <v>1607</v>
      </c>
      <c r="I387">
        <v>3</v>
      </c>
    </row>
    <row r="388" spans="1:9" x14ac:dyDescent="0.15">
      <c r="A388" t="s">
        <v>371</v>
      </c>
      <c r="G388">
        <v>6026</v>
      </c>
      <c r="H388" t="s">
        <v>1608</v>
      </c>
      <c r="I388">
        <v>3</v>
      </c>
    </row>
    <row r="389" spans="1:9" x14ac:dyDescent="0.15">
      <c r="A389" t="s">
        <v>368</v>
      </c>
      <c r="B389" t="s">
        <v>1065</v>
      </c>
      <c r="C389" t="s">
        <v>1066</v>
      </c>
      <c r="D389" t="s">
        <v>1066</v>
      </c>
      <c r="E389" t="s">
        <v>1065</v>
      </c>
      <c r="G389">
        <v>6040</v>
      </c>
      <c r="H389" t="s">
        <v>1609</v>
      </c>
      <c r="I389">
        <v>3</v>
      </c>
    </row>
    <row r="390" spans="1:9" x14ac:dyDescent="0.15">
      <c r="A390" t="s">
        <v>368</v>
      </c>
      <c r="B390" t="s">
        <v>1067</v>
      </c>
      <c r="C390" t="s">
        <v>1068</v>
      </c>
      <c r="D390" t="s">
        <v>1068</v>
      </c>
      <c r="E390" t="s">
        <v>1067</v>
      </c>
      <c r="G390">
        <v>6054</v>
      </c>
      <c r="H390" t="s">
        <v>1610</v>
      </c>
      <c r="I390">
        <v>3</v>
      </c>
    </row>
    <row r="391" spans="1:9" x14ac:dyDescent="0.15">
      <c r="A391" t="s">
        <v>368</v>
      </c>
      <c r="B391" t="s">
        <v>312</v>
      </c>
      <c r="C391" t="s">
        <v>401</v>
      </c>
      <c r="D391" t="s">
        <v>401</v>
      </c>
      <c r="E391" t="s">
        <v>312</v>
      </c>
      <c r="G391">
        <v>6068</v>
      </c>
      <c r="H391" t="s">
        <v>1611</v>
      </c>
      <c r="I391">
        <v>2</v>
      </c>
    </row>
    <row r="392" spans="1:9" x14ac:dyDescent="0.15">
      <c r="A392" t="s">
        <v>366</v>
      </c>
      <c r="B392">
        <v>0</v>
      </c>
      <c r="C392" t="s">
        <v>1030</v>
      </c>
      <c r="D392" t="s">
        <v>1030</v>
      </c>
      <c r="E392">
        <v>0</v>
      </c>
      <c r="G392">
        <v>6096</v>
      </c>
      <c r="H392" t="s">
        <v>1611</v>
      </c>
      <c r="I392">
        <v>3</v>
      </c>
    </row>
    <row r="393" spans="1:9" x14ac:dyDescent="0.15">
      <c r="A393" t="s">
        <v>366</v>
      </c>
      <c r="B393">
        <v>1</v>
      </c>
      <c r="C393" t="s">
        <v>6349</v>
      </c>
      <c r="D393" t="s">
        <v>6349</v>
      </c>
      <c r="E393">
        <v>1</v>
      </c>
      <c r="G393">
        <v>6110</v>
      </c>
      <c r="H393" t="s">
        <v>1610</v>
      </c>
      <c r="I393">
        <v>3</v>
      </c>
    </row>
    <row r="394" spans="1:9" x14ac:dyDescent="0.15">
      <c r="A394" t="s">
        <v>366</v>
      </c>
      <c r="B394">
        <v>2</v>
      </c>
      <c r="C394" t="s">
        <v>6350</v>
      </c>
      <c r="D394" t="s">
        <v>6350</v>
      </c>
      <c r="E394">
        <v>2</v>
      </c>
      <c r="G394">
        <v>6124</v>
      </c>
      <c r="H394" t="s">
        <v>1610</v>
      </c>
      <c r="I394">
        <v>3</v>
      </c>
    </row>
    <row r="395" spans="1:9" x14ac:dyDescent="0.15">
      <c r="A395" t="s">
        <v>366</v>
      </c>
      <c r="B395">
        <v>3</v>
      </c>
      <c r="C395" t="s">
        <v>6351</v>
      </c>
      <c r="D395" t="s">
        <v>6351</v>
      </c>
      <c r="E395">
        <v>3</v>
      </c>
      <c r="G395">
        <v>6130</v>
      </c>
      <c r="H395" t="s">
        <v>1611</v>
      </c>
      <c r="I395">
        <v>3</v>
      </c>
    </row>
    <row r="396" spans="1:9" x14ac:dyDescent="0.15">
      <c r="A396" t="s">
        <v>366</v>
      </c>
      <c r="B396">
        <v>4</v>
      </c>
      <c r="C396" t="s">
        <v>6352</v>
      </c>
      <c r="D396" t="s">
        <v>6352</v>
      </c>
      <c r="E396">
        <v>4</v>
      </c>
      <c r="G396">
        <v>6138</v>
      </c>
      <c r="H396" t="s">
        <v>1612</v>
      </c>
      <c r="I396">
        <v>2</v>
      </c>
    </row>
    <row r="397" spans="1:9" x14ac:dyDescent="0.15">
      <c r="A397" t="s">
        <v>366</v>
      </c>
      <c r="B397">
        <v>5</v>
      </c>
      <c r="C397" t="s">
        <v>6353</v>
      </c>
      <c r="D397" t="s">
        <v>6353</v>
      </c>
      <c r="E397">
        <v>5</v>
      </c>
      <c r="G397">
        <v>6152</v>
      </c>
      <c r="H397" t="s">
        <v>1613</v>
      </c>
      <c r="I397">
        <v>3</v>
      </c>
    </row>
    <row r="398" spans="1:9" x14ac:dyDescent="0.15">
      <c r="A398" t="s">
        <v>366</v>
      </c>
      <c r="B398">
        <v>6</v>
      </c>
      <c r="C398" t="s">
        <v>543</v>
      </c>
      <c r="D398" t="s">
        <v>543</v>
      </c>
      <c r="E398">
        <v>6</v>
      </c>
      <c r="G398">
        <v>6166</v>
      </c>
      <c r="H398" t="s">
        <v>1614</v>
      </c>
      <c r="I398">
        <v>3</v>
      </c>
    </row>
    <row r="399" spans="1:9" x14ac:dyDescent="0.15">
      <c r="A399" t="s">
        <v>366</v>
      </c>
      <c r="B399">
        <v>7</v>
      </c>
      <c r="C399" t="s">
        <v>494</v>
      </c>
      <c r="D399" t="s">
        <v>494</v>
      </c>
      <c r="E399">
        <v>7</v>
      </c>
      <c r="G399">
        <v>6180</v>
      </c>
      <c r="H399" t="s">
        <v>1613</v>
      </c>
      <c r="I399">
        <v>3</v>
      </c>
    </row>
    <row r="400" spans="1:9" x14ac:dyDescent="0.15">
      <c r="A400" t="s">
        <v>366</v>
      </c>
      <c r="B400">
        <v>8</v>
      </c>
      <c r="C400" t="s">
        <v>544</v>
      </c>
      <c r="D400" t="s">
        <v>544</v>
      </c>
      <c r="E400">
        <v>8</v>
      </c>
      <c r="G400">
        <v>6194</v>
      </c>
      <c r="H400" t="s">
        <v>1615</v>
      </c>
      <c r="I400">
        <v>2</v>
      </c>
    </row>
    <row r="401" spans="1:9" x14ac:dyDescent="0.15">
      <c r="A401" t="s">
        <v>366</v>
      </c>
      <c r="B401">
        <v>9</v>
      </c>
      <c r="C401" t="s">
        <v>545</v>
      </c>
      <c r="D401" t="s">
        <v>545</v>
      </c>
      <c r="E401">
        <v>9</v>
      </c>
      <c r="G401">
        <v>6208</v>
      </c>
      <c r="H401" t="s">
        <v>1616</v>
      </c>
      <c r="I401">
        <v>2</v>
      </c>
    </row>
    <row r="402" spans="1:9" x14ac:dyDescent="0.15">
      <c r="A402" t="s">
        <v>366</v>
      </c>
      <c r="B402">
        <v>10</v>
      </c>
      <c r="C402" t="s">
        <v>546</v>
      </c>
      <c r="D402" t="s">
        <v>546</v>
      </c>
      <c r="E402">
        <v>10</v>
      </c>
      <c r="G402">
        <v>6215</v>
      </c>
      <c r="H402" t="s">
        <v>1617</v>
      </c>
      <c r="I402">
        <v>3</v>
      </c>
    </row>
    <row r="403" spans="1:9" x14ac:dyDescent="0.15">
      <c r="A403" t="s">
        <v>366</v>
      </c>
      <c r="B403">
        <v>11</v>
      </c>
      <c r="C403" t="s">
        <v>547</v>
      </c>
      <c r="D403" t="s">
        <v>547</v>
      </c>
      <c r="E403">
        <v>11</v>
      </c>
      <c r="G403">
        <v>6222</v>
      </c>
      <c r="H403" t="s">
        <v>1618</v>
      </c>
      <c r="I403">
        <v>2</v>
      </c>
    </row>
    <row r="404" spans="1:9" x14ac:dyDescent="0.15">
      <c r="A404" t="s">
        <v>366</v>
      </c>
      <c r="B404">
        <v>12</v>
      </c>
      <c r="C404" t="s">
        <v>6354</v>
      </c>
      <c r="D404" t="s">
        <v>6354</v>
      </c>
      <c r="E404">
        <v>12</v>
      </c>
      <c r="G404">
        <v>6245</v>
      </c>
      <c r="H404" t="s">
        <v>1619</v>
      </c>
      <c r="I404">
        <v>3</v>
      </c>
    </row>
    <row r="405" spans="1:9" x14ac:dyDescent="0.15">
      <c r="A405" t="s">
        <v>366</v>
      </c>
      <c r="B405">
        <v>99</v>
      </c>
      <c r="C405" t="s">
        <v>6151</v>
      </c>
      <c r="D405" t="s">
        <v>6151</v>
      </c>
      <c r="E405">
        <v>99</v>
      </c>
      <c r="G405">
        <v>6264</v>
      </c>
      <c r="H405" t="s">
        <v>1620</v>
      </c>
      <c r="I405">
        <v>3</v>
      </c>
    </row>
    <row r="406" spans="1:9" x14ac:dyDescent="0.15">
      <c r="A406" t="s">
        <v>357</v>
      </c>
      <c r="B406">
        <v>0</v>
      </c>
      <c r="C406" t="s">
        <v>1030</v>
      </c>
      <c r="D406" t="s">
        <v>1030</v>
      </c>
      <c r="E406">
        <v>0</v>
      </c>
      <c r="G406">
        <v>6278</v>
      </c>
      <c r="H406" t="s">
        <v>1621</v>
      </c>
      <c r="I406">
        <v>1</v>
      </c>
    </row>
    <row r="407" spans="1:9" x14ac:dyDescent="0.15">
      <c r="A407" t="s">
        <v>357</v>
      </c>
      <c r="B407">
        <v>1</v>
      </c>
      <c r="C407" t="s">
        <v>399</v>
      </c>
      <c r="D407" t="s">
        <v>399</v>
      </c>
      <c r="E407">
        <v>1</v>
      </c>
      <c r="G407">
        <v>6320</v>
      </c>
      <c r="H407" t="s">
        <v>1622</v>
      </c>
      <c r="I407">
        <v>3</v>
      </c>
    </row>
    <row r="408" spans="1:9" x14ac:dyDescent="0.15">
      <c r="A408" t="s">
        <v>357</v>
      </c>
      <c r="B408">
        <v>2</v>
      </c>
      <c r="C408" t="s">
        <v>212</v>
      </c>
      <c r="D408" t="s">
        <v>212</v>
      </c>
      <c r="E408">
        <v>2</v>
      </c>
      <c r="G408">
        <v>6334</v>
      </c>
      <c r="H408" t="s">
        <v>1623</v>
      </c>
      <c r="I408">
        <v>3</v>
      </c>
    </row>
    <row r="409" spans="1:9" x14ac:dyDescent="0.15">
      <c r="A409" t="s">
        <v>357</v>
      </c>
      <c r="B409">
        <v>3</v>
      </c>
      <c r="C409" t="s">
        <v>439</v>
      </c>
      <c r="D409" t="s">
        <v>439</v>
      </c>
      <c r="E409">
        <v>3</v>
      </c>
      <c r="G409">
        <v>6348</v>
      </c>
      <c r="H409" t="s">
        <v>1624</v>
      </c>
      <c r="I409">
        <v>3</v>
      </c>
    </row>
    <row r="410" spans="1:9" x14ac:dyDescent="0.15">
      <c r="A410" t="s">
        <v>357</v>
      </c>
      <c r="B410">
        <v>4</v>
      </c>
      <c r="C410" t="s">
        <v>408</v>
      </c>
      <c r="D410" t="s">
        <v>408</v>
      </c>
      <c r="E410">
        <v>4</v>
      </c>
      <c r="G410">
        <v>6362</v>
      </c>
      <c r="H410" t="s">
        <v>1625</v>
      </c>
      <c r="I410">
        <v>3</v>
      </c>
    </row>
    <row r="411" spans="1:9" x14ac:dyDescent="0.15">
      <c r="A411" t="s">
        <v>357</v>
      </c>
      <c r="B411">
        <v>5</v>
      </c>
      <c r="C411" t="s">
        <v>435</v>
      </c>
      <c r="D411" t="s">
        <v>435</v>
      </c>
      <c r="E411">
        <v>5</v>
      </c>
      <c r="G411">
        <v>6376</v>
      </c>
      <c r="H411" t="s">
        <v>1626</v>
      </c>
      <c r="I411">
        <v>3</v>
      </c>
    </row>
    <row r="412" spans="1:9" x14ac:dyDescent="0.15">
      <c r="A412" t="s">
        <v>357</v>
      </c>
      <c r="B412">
        <v>6</v>
      </c>
      <c r="C412" t="s">
        <v>436</v>
      </c>
      <c r="D412" t="s">
        <v>436</v>
      </c>
      <c r="E412">
        <v>6</v>
      </c>
      <c r="G412">
        <v>6390</v>
      </c>
      <c r="H412" t="s">
        <v>1627</v>
      </c>
      <c r="I412">
        <v>3</v>
      </c>
    </row>
    <row r="413" spans="1:9" x14ac:dyDescent="0.15">
      <c r="A413" t="s">
        <v>357</v>
      </c>
      <c r="B413">
        <v>7</v>
      </c>
      <c r="C413" t="s">
        <v>486</v>
      </c>
      <c r="D413" t="s">
        <v>486</v>
      </c>
      <c r="E413">
        <v>7</v>
      </c>
      <c r="G413">
        <v>6404</v>
      </c>
      <c r="H413" t="s">
        <v>1628</v>
      </c>
      <c r="I413">
        <v>3</v>
      </c>
    </row>
    <row r="414" spans="1:9" x14ac:dyDescent="0.15">
      <c r="A414" t="s">
        <v>357</v>
      </c>
      <c r="B414">
        <v>8</v>
      </c>
      <c r="C414" t="s">
        <v>444</v>
      </c>
      <c r="D414" t="s">
        <v>444</v>
      </c>
      <c r="E414">
        <v>8</v>
      </c>
      <c r="G414">
        <v>6418</v>
      </c>
      <c r="H414" t="s">
        <v>1629</v>
      </c>
      <c r="I414">
        <v>3</v>
      </c>
    </row>
    <row r="415" spans="1:9" x14ac:dyDescent="0.15">
      <c r="A415" t="s">
        <v>357</v>
      </c>
      <c r="B415">
        <v>9</v>
      </c>
      <c r="C415" t="s">
        <v>463</v>
      </c>
      <c r="D415" t="s">
        <v>463</v>
      </c>
      <c r="E415">
        <v>9</v>
      </c>
      <c r="G415">
        <v>6432</v>
      </c>
      <c r="H415" t="s">
        <v>1630</v>
      </c>
      <c r="I415">
        <v>3</v>
      </c>
    </row>
    <row r="416" spans="1:9" x14ac:dyDescent="0.15">
      <c r="A416" t="s">
        <v>357</v>
      </c>
      <c r="B416">
        <v>10</v>
      </c>
      <c r="C416" t="s">
        <v>429</v>
      </c>
      <c r="D416" t="s">
        <v>429</v>
      </c>
      <c r="E416">
        <v>10</v>
      </c>
      <c r="G416">
        <v>6446</v>
      </c>
      <c r="H416" t="s">
        <v>1631</v>
      </c>
      <c r="I416">
        <v>3</v>
      </c>
    </row>
    <row r="417" spans="1:9" x14ac:dyDescent="0.15">
      <c r="A417" t="s">
        <v>357</v>
      </c>
      <c r="B417">
        <v>11</v>
      </c>
      <c r="C417" t="s">
        <v>6355</v>
      </c>
      <c r="D417" t="s">
        <v>6355</v>
      </c>
      <c r="E417">
        <v>11</v>
      </c>
      <c r="G417">
        <v>6455</v>
      </c>
      <c r="H417" t="s">
        <v>1632</v>
      </c>
      <c r="I417">
        <v>3</v>
      </c>
    </row>
    <row r="418" spans="1:9" x14ac:dyDescent="0.15">
      <c r="A418" t="s">
        <v>357</v>
      </c>
      <c r="B418">
        <v>12</v>
      </c>
      <c r="C418" t="s">
        <v>473</v>
      </c>
      <c r="D418" t="s">
        <v>473</v>
      </c>
      <c r="E418">
        <v>12</v>
      </c>
      <c r="G418">
        <v>6460</v>
      </c>
      <c r="H418" t="s">
        <v>1633</v>
      </c>
      <c r="I418">
        <v>3</v>
      </c>
    </row>
    <row r="419" spans="1:9" x14ac:dyDescent="0.15">
      <c r="A419" t="s">
        <v>357</v>
      </c>
      <c r="B419">
        <v>13</v>
      </c>
      <c r="C419" t="s">
        <v>6356</v>
      </c>
      <c r="D419" t="s">
        <v>6356</v>
      </c>
      <c r="E419">
        <v>13</v>
      </c>
      <c r="G419">
        <v>6465</v>
      </c>
      <c r="H419" t="s">
        <v>1634</v>
      </c>
      <c r="I419">
        <v>3</v>
      </c>
    </row>
    <row r="420" spans="1:9" x14ac:dyDescent="0.15">
      <c r="A420" t="s">
        <v>357</v>
      </c>
      <c r="B420">
        <v>14</v>
      </c>
      <c r="C420" t="s">
        <v>6357</v>
      </c>
      <c r="D420" t="s">
        <v>6357</v>
      </c>
      <c r="E420">
        <v>14</v>
      </c>
      <c r="G420">
        <v>6488</v>
      </c>
      <c r="H420" t="s">
        <v>1635</v>
      </c>
      <c r="I420">
        <v>3</v>
      </c>
    </row>
    <row r="421" spans="1:9" x14ac:dyDescent="0.15">
      <c r="A421" t="s">
        <v>357</v>
      </c>
      <c r="B421">
        <v>15</v>
      </c>
      <c r="C421" t="s">
        <v>6358</v>
      </c>
      <c r="D421" t="s">
        <v>6358</v>
      </c>
      <c r="E421">
        <v>15</v>
      </c>
      <c r="G421">
        <v>6502</v>
      </c>
      <c r="H421" t="s">
        <v>1636</v>
      </c>
      <c r="I421">
        <v>3</v>
      </c>
    </row>
    <row r="422" spans="1:9" x14ac:dyDescent="0.15">
      <c r="A422" t="s">
        <v>357</v>
      </c>
      <c r="B422">
        <v>16</v>
      </c>
      <c r="C422" t="s">
        <v>478</v>
      </c>
      <c r="D422" t="s">
        <v>478</v>
      </c>
      <c r="E422">
        <v>16</v>
      </c>
      <c r="G422">
        <v>6516</v>
      </c>
      <c r="H422" t="s">
        <v>1636</v>
      </c>
      <c r="I422">
        <v>3</v>
      </c>
    </row>
    <row r="423" spans="1:9" x14ac:dyDescent="0.15">
      <c r="A423" t="s">
        <v>357</v>
      </c>
      <c r="B423">
        <v>17</v>
      </c>
      <c r="C423" t="s">
        <v>6359</v>
      </c>
      <c r="D423" t="s">
        <v>6359</v>
      </c>
      <c r="E423">
        <v>17</v>
      </c>
      <c r="G423">
        <v>6530</v>
      </c>
      <c r="H423" t="s">
        <v>1637</v>
      </c>
      <c r="I423">
        <v>3</v>
      </c>
    </row>
    <row r="424" spans="1:9" x14ac:dyDescent="0.15">
      <c r="A424" t="s">
        <v>357</v>
      </c>
      <c r="B424">
        <v>18</v>
      </c>
      <c r="C424" t="s">
        <v>6360</v>
      </c>
      <c r="D424" t="s">
        <v>6360</v>
      </c>
      <c r="E424">
        <v>18</v>
      </c>
      <c r="G424">
        <v>6544</v>
      </c>
      <c r="H424" t="s">
        <v>1638</v>
      </c>
      <c r="I424">
        <v>3</v>
      </c>
    </row>
    <row r="425" spans="1:9" x14ac:dyDescent="0.15">
      <c r="A425" t="s">
        <v>357</v>
      </c>
      <c r="B425">
        <v>19</v>
      </c>
      <c r="C425" t="s">
        <v>526</v>
      </c>
      <c r="D425" t="s">
        <v>526</v>
      </c>
      <c r="E425">
        <v>19</v>
      </c>
      <c r="G425">
        <v>6558</v>
      </c>
      <c r="H425" t="s">
        <v>1639</v>
      </c>
      <c r="I425">
        <v>3</v>
      </c>
    </row>
    <row r="426" spans="1:9" x14ac:dyDescent="0.15">
      <c r="A426" t="s">
        <v>357</v>
      </c>
      <c r="B426">
        <v>20</v>
      </c>
      <c r="C426" t="s">
        <v>465</v>
      </c>
      <c r="D426" t="s">
        <v>465</v>
      </c>
      <c r="E426">
        <v>20</v>
      </c>
      <c r="G426">
        <v>6564</v>
      </c>
      <c r="H426" t="s">
        <v>1640</v>
      </c>
      <c r="I426">
        <v>3</v>
      </c>
    </row>
    <row r="427" spans="1:9" x14ac:dyDescent="0.15">
      <c r="A427" t="s">
        <v>357</v>
      </c>
      <c r="B427">
        <v>21</v>
      </c>
      <c r="C427" t="s">
        <v>6361</v>
      </c>
      <c r="D427" t="s">
        <v>6361</v>
      </c>
      <c r="E427">
        <v>21</v>
      </c>
      <c r="G427">
        <v>6568</v>
      </c>
      <c r="H427" t="s">
        <v>1641</v>
      </c>
      <c r="I427">
        <v>3</v>
      </c>
    </row>
    <row r="428" spans="1:9" x14ac:dyDescent="0.15">
      <c r="A428" t="s">
        <v>357</v>
      </c>
      <c r="B428">
        <v>99</v>
      </c>
      <c r="C428" t="s">
        <v>6151</v>
      </c>
      <c r="D428" t="s">
        <v>6151</v>
      </c>
      <c r="E428">
        <v>99</v>
      </c>
      <c r="G428">
        <v>6586</v>
      </c>
      <c r="H428" t="s">
        <v>1642</v>
      </c>
      <c r="I428">
        <v>3</v>
      </c>
    </row>
    <row r="429" spans="1:9" x14ac:dyDescent="0.15">
      <c r="A429" t="s">
        <v>360</v>
      </c>
      <c r="B429">
        <v>0</v>
      </c>
      <c r="C429" t="s">
        <v>1030</v>
      </c>
      <c r="D429" t="s">
        <v>1030</v>
      </c>
      <c r="E429">
        <v>0</v>
      </c>
      <c r="G429">
        <v>6600</v>
      </c>
      <c r="H429" t="s">
        <v>1643</v>
      </c>
      <c r="I429">
        <v>3</v>
      </c>
    </row>
    <row r="430" spans="1:9" x14ac:dyDescent="0.15">
      <c r="A430" t="s">
        <v>360</v>
      </c>
      <c r="B430">
        <v>1</v>
      </c>
      <c r="C430" t="s">
        <v>452</v>
      </c>
      <c r="D430" t="s">
        <v>452</v>
      </c>
      <c r="E430">
        <v>1</v>
      </c>
      <c r="G430">
        <v>6614</v>
      </c>
      <c r="H430" t="s">
        <v>1644</v>
      </c>
      <c r="I430">
        <v>3</v>
      </c>
    </row>
    <row r="431" spans="1:9" x14ac:dyDescent="0.15">
      <c r="A431" t="s">
        <v>360</v>
      </c>
      <c r="B431">
        <v>2</v>
      </c>
      <c r="C431" t="s">
        <v>467</v>
      </c>
      <c r="D431" t="s">
        <v>467</v>
      </c>
      <c r="E431">
        <v>2</v>
      </c>
      <c r="G431">
        <v>6620</v>
      </c>
      <c r="H431" t="s">
        <v>1645</v>
      </c>
      <c r="I431">
        <v>3</v>
      </c>
    </row>
    <row r="432" spans="1:9" x14ac:dyDescent="0.15">
      <c r="A432" t="s">
        <v>360</v>
      </c>
      <c r="B432">
        <v>3</v>
      </c>
      <c r="C432" t="s">
        <v>527</v>
      </c>
      <c r="D432" t="s">
        <v>527</v>
      </c>
      <c r="E432">
        <v>3</v>
      </c>
      <c r="G432">
        <v>6628</v>
      </c>
      <c r="H432" t="s">
        <v>1646</v>
      </c>
      <c r="I432">
        <v>3</v>
      </c>
    </row>
    <row r="433" spans="1:9" x14ac:dyDescent="0.15">
      <c r="A433" t="s">
        <v>360</v>
      </c>
      <c r="B433">
        <v>4</v>
      </c>
      <c r="C433" t="s">
        <v>493</v>
      </c>
      <c r="D433" t="s">
        <v>493</v>
      </c>
      <c r="E433">
        <v>4</v>
      </c>
      <c r="G433">
        <v>6635</v>
      </c>
      <c r="H433" t="s">
        <v>1647</v>
      </c>
      <c r="I433">
        <v>3</v>
      </c>
    </row>
    <row r="434" spans="1:9" x14ac:dyDescent="0.15">
      <c r="A434" t="s">
        <v>360</v>
      </c>
      <c r="B434">
        <v>5</v>
      </c>
      <c r="C434" t="s">
        <v>412</v>
      </c>
      <c r="D434" t="s">
        <v>412</v>
      </c>
      <c r="E434">
        <v>5</v>
      </c>
      <c r="G434">
        <v>6642</v>
      </c>
      <c r="H434" t="s">
        <v>1648</v>
      </c>
      <c r="I434">
        <v>3</v>
      </c>
    </row>
    <row r="435" spans="1:9" x14ac:dyDescent="0.15">
      <c r="A435" t="s">
        <v>360</v>
      </c>
      <c r="B435">
        <v>6</v>
      </c>
      <c r="C435" t="s">
        <v>6362</v>
      </c>
      <c r="D435" t="s">
        <v>6362</v>
      </c>
      <c r="E435">
        <v>6</v>
      </c>
      <c r="G435">
        <v>6670</v>
      </c>
      <c r="H435" t="s">
        <v>1649</v>
      </c>
      <c r="I435">
        <v>1</v>
      </c>
    </row>
    <row r="436" spans="1:9" x14ac:dyDescent="0.15">
      <c r="A436" t="s">
        <v>360</v>
      </c>
      <c r="B436">
        <v>7</v>
      </c>
      <c r="C436" t="s">
        <v>489</v>
      </c>
      <c r="D436" t="s">
        <v>489</v>
      </c>
      <c r="E436">
        <v>7</v>
      </c>
      <c r="G436">
        <v>6698</v>
      </c>
      <c r="H436" t="s">
        <v>1650</v>
      </c>
      <c r="I436">
        <v>3</v>
      </c>
    </row>
    <row r="437" spans="1:9" x14ac:dyDescent="0.15">
      <c r="A437" t="s">
        <v>360</v>
      </c>
      <c r="B437">
        <v>8</v>
      </c>
      <c r="C437" t="s">
        <v>432</v>
      </c>
      <c r="D437" t="s">
        <v>432</v>
      </c>
      <c r="E437">
        <v>8</v>
      </c>
      <c r="G437">
        <v>6712</v>
      </c>
      <c r="H437" t="s">
        <v>1651</v>
      </c>
      <c r="I437">
        <v>3</v>
      </c>
    </row>
    <row r="438" spans="1:9" x14ac:dyDescent="0.15">
      <c r="A438" t="s">
        <v>360</v>
      </c>
      <c r="B438">
        <v>9</v>
      </c>
      <c r="C438" t="s">
        <v>418</v>
      </c>
      <c r="D438" t="s">
        <v>418</v>
      </c>
      <c r="E438">
        <v>9</v>
      </c>
      <c r="G438">
        <v>6726</v>
      </c>
      <c r="H438" t="s">
        <v>1652</v>
      </c>
      <c r="I438">
        <v>3</v>
      </c>
    </row>
    <row r="439" spans="1:9" x14ac:dyDescent="0.15">
      <c r="A439" t="s">
        <v>360</v>
      </c>
      <c r="B439">
        <v>10</v>
      </c>
      <c r="C439" t="s">
        <v>421</v>
      </c>
      <c r="D439" t="s">
        <v>421</v>
      </c>
      <c r="E439">
        <v>10</v>
      </c>
      <c r="G439">
        <v>6740</v>
      </c>
      <c r="H439" t="s">
        <v>1653</v>
      </c>
      <c r="I439">
        <v>2</v>
      </c>
    </row>
    <row r="440" spans="1:9" x14ac:dyDescent="0.15">
      <c r="A440" t="s">
        <v>360</v>
      </c>
      <c r="B440">
        <v>11</v>
      </c>
      <c r="C440" t="s">
        <v>6363</v>
      </c>
      <c r="D440" t="s">
        <v>6363</v>
      </c>
      <c r="E440">
        <v>11</v>
      </c>
      <c r="G440">
        <v>6754</v>
      </c>
      <c r="H440" t="s">
        <v>1654</v>
      </c>
      <c r="I440">
        <v>3</v>
      </c>
    </row>
    <row r="441" spans="1:9" x14ac:dyDescent="0.15">
      <c r="A441" t="s">
        <v>360</v>
      </c>
      <c r="B441">
        <v>12</v>
      </c>
      <c r="C441" t="s">
        <v>528</v>
      </c>
      <c r="D441" t="s">
        <v>528</v>
      </c>
      <c r="E441">
        <v>12</v>
      </c>
      <c r="G441">
        <v>6768</v>
      </c>
      <c r="H441" t="s">
        <v>1655</v>
      </c>
      <c r="I441">
        <v>3</v>
      </c>
    </row>
    <row r="442" spans="1:9" x14ac:dyDescent="0.15">
      <c r="A442" t="s">
        <v>360</v>
      </c>
      <c r="B442">
        <v>13</v>
      </c>
      <c r="C442" t="s">
        <v>409</v>
      </c>
      <c r="D442" t="s">
        <v>409</v>
      </c>
      <c r="E442">
        <v>13</v>
      </c>
      <c r="G442">
        <v>6782</v>
      </c>
      <c r="H442" t="s">
        <v>1656</v>
      </c>
      <c r="I442">
        <v>3</v>
      </c>
    </row>
    <row r="443" spans="1:9" x14ac:dyDescent="0.15">
      <c r="A443" t="s">
        <v>360</v>
      </c>
      <c r="B443">
        <v>14</v>
      </c>
      <c r="C443" t="s">
        <v>209</v>
      </c>
      <c r="D443" t="s">
        <v>209</v>
      </c>
      <c r="E443">
        <v>14</v>
      </c>
      <c r="G443">
        <v>6790</v>
      </c>
      <c r="H443" t="s">
        <v>1657</v>
      </c>
      <c r="I443">
        <v>3</v>
      </c>
    </row>
    <row r="444" spans="1:9" x14ac:dyDescent="0.15">
      <c r="A444" t="s">
        <v>360</v>
      </c>
      <c r="B444">
        <v>15</v>
      </c>
      <c r="C444" t="s">
        <v>480</v>
      </c>
      <c r="D444" t="s">
        <v>480</v>
      </c>
      <c r="E444">
        <v>15</v>
      </c>
      <c r="G444">
        <v>6796</v>
      </c>
      <c r="H444" t="s">
        <v>1658</v>
      </c>
      <c r="I444">
        <v>3</v>
      </c>
    </row>
    <row r="445" spans="1:9" x14ac:dyDescent="0.15">
      <c r="A445" t="s">
        <v>360</v>
      </c>
      <c r="B445">
        <v>16</v>
      </c>
      <c r="C445" t="s">
        <v>6364</v>
      </c>
      <c r="D445" t="s">
        <v>6364</v>
      </c>
      <c r="E445">
        <v>16</v>
      </c>
      <c r="G445">
        <v>6810</v>
      </c>
      <c r="H445" t="s">
        <v>1659</v>
      </c>
      <c r="I445">
        <v>2</v>
      </c>
    </row>
    <row r="446" spans="1:9" x14ac:dyDescent="0.15">
      <c r="A446" t="s">
        <v>360</v>
      </c>
      <c r="B446">
        <v>17</v>
      </c>
      <c r="C446" t="s">
        <v>6365</v>
      </c>
      <c r="D446" t="s">
        <v>6365</v>
      </c>
      <c r="E446">
        <v>17</v>
      </c>
      <c r="G446">
        <v>6838</v>
      </c>
      <c r="H446" t="s">
        <v>1660</v>
      </c>
      <c r="I446">
        <v>3</v>
      </c>
    </row>
    <row r="447" spans="1:9" x14ac:dyDescent="0.15">
      <c r="A447" t="s">
        <v>360</v>
      </c>
      <c r="B447">
        <v>18</v>
      </c>
      <c r="C447" t="s">
        <v>6366</v>
      </c>
      <c r="D447" t="s">
        <v>6366</v>
      </c>
      <c r="E447">
        <v>18</v>
      </c>
      <c r="G447">
        <v>6852</v>
      </c>
      <c r="H447" t="s">
        <v>1661</v>
      </c>
      <c r="I447">
        <v>3</v>
      </c>
    </row>
    <row r="448" spans="1:9" x14ac:dyDescent="0.15">
      <c r="A448" t="s">
        <v>360</v>
      </c>
      <c r="B448">
        <v>19</v>
      </c>
      <c r="C448" t="s">
        <v>6367</v>
      </c>
      <c r="D448" t="s">
        <v>6367</v>
      </c>
      <c r="E448">
        <v>19</v>
      </c>
      <c r="G448">
        <v>6866</v>
      </c>
      <c r="H448" t="s">
        <v>1660</v>
      </c>
      <c r="I448">
        <v>3</v>
      </c>
    </row>
    <row r="449" spans="1:9" x14ac:dyDescent="0.15">
      <c r="A449" t="s">
        <v>360</v>
      </c>
      <c r="B449">
        <v>20</v>
      </c>
      <c r="C449" t="s">
        <v>400</v>
      </c>
      <c r="D449" t="s">
        <v>400</v>
      </c>
      <c r="E449">
        <v>20</v>
      </c>
      <c r="G449">
        <v>6880</v>
      </c>
      <c r="H449" t="s">
        <v>1660</v>
      </c>
      <c r="I449">
        <v>3</v>
      </c>
    </row>
    <row r="450" spans="1:9" x14ac:dyDescent="0.15">
      <c r="A450" t="s">
        <v>360</v>
      </c>
      <c r="B450">
        <v>21</v>
      </c>
      <c r="C450" t="s">
        <v>450</v>
      </c>
      <c r="D450" t="s">
        <v>450</v>
      </c>
      <c r="E450">
        <v>21</v>
      </c>
      <c r="G450">
        <v>6908</v>
      </c>
      <c r="H450" t="s">
        <v>1662</v>
      </c>
      <c r="I450">
        <v>2</v>
      </c>
    </row>
    <row r="451" spans="1:9" x14ac:dyDescent="0.15">
      <c r="A451" t="s">
        <v>360</v>
      </c>
      <c r="B451">
        <v>22</v>
      </c>
      <c r="C451" t="s">
        <v>6368</v>
      </c>
      <c r="D451" t="s">
        <v>6368</v>
      </c>
      <c r="E451">
        <v>22</v>
      </c>
      <c r="G451">
        <v>6912</v>
      </c>
      <c r="H451" t="s">
        <v>1663</v>
      </c>
      <c r="I451">
        <v>3</v>
      </c>
    </row>
    <row r="452" spans="1:9" x14ac:dyDescent="0.15">
      <c r="A452" t="s">
        <v>360</v>
      </c>
      <c r="B452">
        <v>23</v>
      </c>
      <c r="C452" t="s">
        <v>6369</v>
      </c>
      <c r="D452" t="s">
        <v>6369</v>
      </c>
      <c r="E452">
        <v>23</v>
      </c>
      <c r="G452">
        <v>6918</v>
      </c>
      <c r="H452" t="s">
        <v>1664</v>
      </c>
      <c r="I452">
        <v>3</v>
      </c>
    </row>
    <row r="453" spans="1:9" x14ac:dyDescent="0.15">
      <c r="A453" t="s">
        <v>360</v>
      </c>
      <c r="B453">
        <v>24</v>
      </c>
      <c r="C453" t="s">
        <v>6370</v>
      </c>
      <c r="D453" t="s">
        <v>6370</v>
      </c>
      <c r="E453">
        <v>24</v>
      </c>
      <c r="G453">
        <v>6922</v>
      </c>
      <c r="H453" t="s">
        <v>1665</v>
      </c>
      <c r="I453">
        <v>3</v>
      </c>
    </row>
    <row r="454" spans="1:9" x14ac:dyDescent="0.15">
      <c r="A454" t="s">
        <v>360</v>
      </c>
      <c r="B454">
        <v>25</v>
      </c>
      <c r="C454" t="s">
        <v>529</v>
      </c>
      <c r="D454" t="s">
        <v>529</v>
      </c>
      <c r="E454">
        <v>25</v>
      </c>
      <c r="G454">
        <v>6928</v>
      </c>
      <c r="H454" t="s">
        <v>1666</v>
      </c>
      <c r="I454">
        <v>3</v>
      </c>
    </row>
    <row r="455" spans="1:9" x14ac:dyDescent="0.15">
      <c r="A455" t="s">
        <v>360</v>
      </c>
      <c r="B455">
        <v>26</v>
      </c>
      <c r="C455" t="s">
        <v>454</v>
      </c>
      <c r="D455" t="s">
        <v>454</v>
      </c>
      <c r="E455">
        <v>26</v>
      </c>
      <c r="G455">
        <v>6932</v>
      </c>
      <c r="H455" t="s">
        <v>1667</v>
      </c>
      <c r="I455">
        <v>3</v>
      </c>
    </row>
    <row r="456" spans="1:9" x14ac:dyDescent="0.15">
      <c r="A456" t="s">
        <v>360</v>
      </c>
      <c r="B456">
        <v>27</v>
      </c>
      <c r="C456" t="s">
        <v>530</v>
      </c>
      <c r="D456" t="s">
        <v>530</v>
      </c>
      <c r="E456">
        <v>27</v>
      </c>
      <c r="G456">
        <v>6936</v>
      </c>
      <c r="H456" t="s">
        <v>1669</v>
      </c>
      <c r="I456">
        <v>3</v>
      </c>
    </row>
    <row r="457" spans="1:9" x14ac:dyDescent="0.15">
      <c r="A457" t="s">
        <v>360</v>
      </c>
      <c r="B457">
        <v>28</v>
      </c>
      <c r="C457" t="s">
        <v>531</v>
      </c>
      <c r="D457" t="s">
        <v>531</v>
      </c>
      <c r="E457">
        <v>28</v>
      </c>
      <c r="G457">
        <v>6950</v>
      </c>
      <c r="H457" t="s">
        <v>1670</v>
      </c>
      <c r="I457">
        <v>3</v>
      </c>
    </row>
    <row r="458" spans="1:9" x14ac:dyDescent="0.15">
      <c r="A458" t="s">
        <v>360</v>
      </c>
      <c r="B458">
        <v>29</v>
      </c>
      <c r="C458" t="s">
        <v>427</v>
      </c>
      <c r="D458" t="s">
        <v>427</v>
      </c>
      <c r="E458">
        <v>29</v>
      </c>
      <c r="G458">
        <v>6964</v>
      </c>
      <c r="H458" t="s">
        <v>1670</v>
      </c>
      <c r="I458">
        <v>3</v>
      </c>
    </row>
    <row r="459" spans="1:9" x14ac:dyDescent="0.15">
      <c r="A459" t="s">
        <v>360</v>
      </c>
      <c r="B459">
        <v>30</v>
      </c>
      <c r="C459" t="s">
        <v>459</v>
      </c>
      <c r="D459" t="s">
        <v>459</v>
      </c>
      <c r="E459">
        <v>30</v>
      </c>
      <c r="G459">
        <v>6992</v>
      </c>
      <c r="H459" t="s">
        <v>1670</v>
      </c>
      <c r="I459">
        <v>3</v>
      </c>
    </row>
    <row r="460" spans="1:9" x14ac:dyDescent="0.15">
      <c r="A460" t="s">
        <v>360</v>
      </c>
      <c r="B460">
        <v>31</v>
      </c>
      <c r="C460" t="s">
        <v>482</v>
      </c>
      <c r="D460" t="s">
        <v>482</v>
      </c>
      <c r="E460">
        <v>31</v>
      </c>
      <c r="G460">
        <v>7006</v>
      </c>
      <c r="H460" t="s">
        <v>1670</v>
      </c>
      <c r="I460">
        <v>3</v>
      </c>
    </row>
    <row r="461" spans="1:9" x14ac:dyDescent="0.15">
      <c r="A461" t="s">
        <v>360</v>
      </c>
      <c r="B461">
        <v>32</v>
      </c>
      <c r="C461" t="s">
        <v>532</v>
      </c>
      <c r="D461" t="s">
        <v>532</v>
      </c>
      <c r="E461">
        <v>32</v>
      </c>
      <c r="G461">
        <v>7020</v>
      </c>
      <c r="H461" t="s">
        <v>1670</v>
      </c>
      <c r="I461">
        <v>3</v>
      </c>
    </row>
    <row r="462" spans="1:9" x14ac:dyDescent="0.15">
      <c r="A462" t="s">
        <v>360</v>
      </c>
      <c r="B462">
        <v>33</v>
      </c>
      <c r="C462" t="s">
        <v>533</v>
      </c>
      <c r="D462" t="s">
        <v>533</v>
      </c>
      <c r="E462">
        <v>33</v>
      </c>
      <c r="G462">
        <v>7034</v>
      </c>
      <c r="H462" t="s">
        <v>1671</v>
      </c>
      <c r="I462">
        <v>3</v>
      </c>
    </row>
    <row r="463" spans="1:9" x14ac:dyDescent="0.15">
      <c r="A463" t="s">
        <v>360</v>
      </c>
      <c r="B463">
        <v>34</v>
      </c>
      <c r="C463" t="s">
        <v>534</v>
      </c>
      <c r="D463" t="s">
        <v>534</v>
      </c>
      <c r="E463">
        <v>34</v>
      </c>
      <c r="G463">
        <v>7048</v>
      </c>
      <c r="H463" t="s">
        <v>1671</v>
      </c>
      <c r="I463">
        <v>3</v>
      </c>
    </row>
    <row r="464" spans="1:9" x14ac:dyDescent="0.15">
      <c r="A464" t="s">
        <v>360</v>
      </c>
      <c r="B464">
        <v>35</v>
      </c>
      <c r="C464" t="s">
        <v>535</v>
      </c>
      <c r="D464" t="s">
        <v>535</v>
      </c>
      <c r="E464">
        <v>35</v>
      </c>
      <c r="G464">
        <v>7062</v>
      </c>
      <c r="H464" t="s">
        <v>1672</v>
      </c>
      <c r="I464">
        <v>2</v>
      </c>
    </row>
    <row r="465" spans="1:9" x14ac:dyDescent="0.15">
      <c r="A465" t="s">
        <v>360</v>
      </c>
      <c r="B465">
        <v>36</v>
      </c>
      <c r="C465" t="s">
        <v>469</v>
      </c>
      <c r="D465" t="s">
        <v>469</v>
      </c>
      <c r="E465">
        <v>36</v>
      </c>
      <c r="G465">
        <v>7076</v>
      </c>
      <c r="H465" t="s">
        <v>1673</v>
      </c>
      <c r="I465">
        <v>3</v>
      </c>
    </row>
    <row r="466" spans="1:9" x14ac:dyDescent="0.15">
      <c r="A466" t="s">
        <v>360</v>
      </c>
      <c r="B466">
        <v>37</v>
      </c>
      <c r="C466" t="s">
        <v>487</v>
      </c>
      <c r="D466" t="s">
        <v>487</v>
      </c>
      <c r="E466">
        <v>37</v>
      </c>
      <c r="G466">
        <v>7090</v>
      </c>
      <c r="H466" t="s">
        <v>1674</v>
      </c>
      <c r="I466">
        <v>3</v>
      </c>
    </row>
    <row r="467" spans="1:9" x14ac:dyDescent="0.15">
      <c r="A467" t="s">
        <v>360</v>
      </c>
      <c r="B467">
        <v>38</v>
      </c>
      <c r="C467" t="s">
        <v>536</v>
      </c>
      <c r="D467" t="s">
        <v>536</v>
      </c>
      <c r="E467">
        <v>38</v>
      </c>
      <c r="G467">
        <v>7118</v>
      </c>
      <c r="H467" t="s">
        <v>1674</v>
      </c>
      <c r="I467">
        <v>3</v>
      </c>
    </row>
    <row r="468" spans="1:9" x14ac:dyDescent="0.15">
      <c r="A468" t="s">
        <v>360</v>
      </c>
      <c r="B468">
        <v>39</v>
      </c>
      <c r="C468" t="s">
        <v>491</v>
      </c>
      <c r="D468" t="s">
        <v>491</v>
      </c>
      <c r="E468">
        <v>39</v>
      </c>
      <c r="G468">
        <v>7132</v>
      </c>
      <c r="H468" t="s">
        <v>1675</v>
      </c>
      <c r="I468">
        <v>3</v>
      </c>
    </row>
    <row r="469" spans="1:9" x14ac:dyDescent="0.15">
      <c r="A469" t="s">
        <v>360</v>
      </c>
      <c r="B469">
        <v>40</v>
      </c>
      <c r="C469" t="s">
        <v>475</v>
      </c>
      <c r="D469" t="s">
        <v>475</v>
      </c>
      <c r="E469">
        <v>40</v>
      </c>
      <c r="G469">
        <v>7146</v>
      </c>
      <c r="H469" t="s">
        <v>1675</v>
      </c>
      <c r="I469">
        <v>3</v>
      </c>
    </row>
    <row r="470" spans="1:9" x14ac:dyDescent="0.15">
      <c r="A470" t="s">
        <v>360</v>
      </c>
      <c r="B470">
        <v>41</v>
      </c>
      <c r="C470" t="s">
        <v>455</v>
      </c>
      <c r="D470" t="s">
        <v>455</v>
      </c>
      <c r="E470">
        <v>41</v>
      </c>
      <c r="G470">
        <v>7160</v>
      </c>
      <c r="H470" t="s">
        <v>1674</v>
      </c>
      <c r="I470">
        <v>3</v>
      </c>
    </row>
    <row r="471" spans="1:9" x14ac:dyDescent="0.15">
      <c r="A471" t="s">
        <v>360</v>
      </c>
      <c r="B471">
        <v>42</v>
      </c>
      <c r="C471" t="s">
        <v>537</v>
      </c>
      <c r="D471" t="s">
        <v>537</v>
      </c>
      <c r="E471">
        <v>42</v>
      </c>
      <c r="G471">
        <v>7174</v>
      </c>
      <c r="H471" t="s">
        <v>1675</v>
      </c>
      <c r="I471">
        <v>3</v>
      </c>
    </row>
    <row r="472" spans="1:9" x14ac:dyDescent="0.15">
      <c r="A472" t="s">
        <v>360</v>
      </c>
      <c r="B472">
        <v>43</v>
      </c>
      <c r="C472" t="s">
        <v>461</v>
      </c>
      <c r="D472" t="s">
        <v>461</v>
      </c>
      <c r="E472">
        <v>43</v>
      </c>
      <c r="G472">
        <v>7188</v>
      </c>
      <c r="H472" t="s">
        <v>1676</v>
      </c>
      <c r="I472">
        <v>2</v>
      </c>
    </row>
    <row r="473" spans="1:9" x14ac:dyDescent="0.15">
      <c r="A473" t="s">
        <v>360</v>
      </c>
      <c r="B473">
        <v>44</v>
      </c>
      <c r="C473" t="s">
        <v>538</v>
      </c>
      <c r="D473" t="s">
        <v>538</v>
      </c>
      <c r="E473">
        <v>44</v>
      </c>
      <c r="G473">
        <v>7202</v>
      </c>
      <c r="H473" t="s">
        <v>1677</v>
      </c>
      <c r="I473">
        <v>2</v>
      </c>
    </row>
    <row r="474" spans="1:9" x14ac:dyDescent="0.15">
      <c r="A474" t="s">
        <v>360</v>
      </c>
      <c r="B474">
        <v>45</v>
      </c>
      <c r="C474" t="s">
        <v>539</v>
      </c>
      <c r="D474" t="s">
        <v>539</v>
      </c>
      <c r="E474">
        <v>45</v>
      </c>
      <c r="G474">
        <v>7216</v>
      </c>
      <c r="H474" t="s">
        <v>1678</v>
      </c>
      <c r="I474">
        <v>3</v>
      </c>
    </row>
    <row r="475" spans="1:9" x14ac:dyDescent="0.15">
      <c r="A475" t="s">
        <v>360</v>
      </c>
      <c r="B475">
        <v>46</v>
      </c>
      <c r="C475" t="s">
        <v>540</v>
      </c>
      <c r="D475" t="s">
        <v>540</v>
      </c>
      <c r="E475">
        <v>46</v>
      </c>
      <c r="G475">
        <v>7230</v>
      </c>
      <c r="H475" t="s">
        <v>1679</v>
      </c>
      <c r="I475">
        <v>3</v>
      </c>
    </row>
    <row r="476" spans="1:9" x14ac:dyDescent="0.15">
      <c r="A476" t="s">
        <v>360</v>
      </c>
      <c r="B476">
        <v>47</v>
      </c>
      <c r="C476" t="s">
        <v>541</v>
      </c>
      <c r="D476" t="s">
        <v>541</v>
      </c>
      <c r="E476">
        <v>47</v>
      </c>
      <c r="G476">
        <v>7244</v>
      </c>
      <c r="H476" t="s">
        <v>1680</v>
      </c>
      <c r="I476">
        <v>3</v>
      </c>
    </row>
    <row r="477" spans="1:9" x14ac:dyDescent="0.15">
      <c r="A477" t="s">
        <v>360</v>
      </c>
      <c r="B477">
        <v>48</v>
      </c>
      <c r="C477" t="s">
        <v>488</v>
      </c>
      <c r="D477" t="s">
        <v>488</v>
      </c>
      <c r="E477">
        <v>48</v>
      </c>
      <c r="G477">
        <v>7258</v>
      </c>
      <c r="H477" t="s">
        <v>1681</v>
      </c>
      <c r="I477">
        <v>3</v>
      </c>
    </row>
    <row r="478" spans="1:9" x14ac:dyDescent="0.15">
      <c r="A478" t="s">
        <v>360</v>
      </c>
      <c r="B478">
        <v>49</v>
      </c>
      <c r="C478" t="s">
        <v>542</v>
      </c>
      <c r="D478" t="s">
        <v>542</v>
      </c>
      <c r="E478">
        <v>49</v>
      </c>
      <c r="G478">
        <v>7272</v>
      </c>
      <c r="H478" t="s">
        <v>1682</v>
      </c>
      <c r="I478">
        <v>3</v>
      </c>
    </row>
    <row r="479" spans="1:9" x14ac:dyDescent="0.15">
      <c r="A479" t="s">
        <v>360</v>
      </c>
      <c r="B479">
        <v>50</v>
      </c>
      <c r="C479" t="s">
        <v>6368</v>
      </c>
      <c r="D479" t="s">
        <v>6368</v>
      </c>
      <c r="E479">
        <v>50</v>
      </c>
      <c r="G479">
        <v>7286</v>
      </c>
      <c r="H479" t="s">
        <v>1683</v>
      </c>
      <c r="I479">
        <v>2</v>
      </c>
    </row>
    <row r="480" spans="1:9" x14ac:dyDescent="0.15">
      <c r="A480" t="s">
        <v>360</v>
      </c>
      <c r="B480">
        <v>51</v>
      </c>
      <c r="C480" t="s">
        <v>6371</v>
      </c>
      <c r="D480" t="s">
        <v>6371</v>
      </c>
      <c r="E480">
        <v>51</v>
      </c>
      <c r="G480">
        <v>7295</v>
      </c>
      <c r="H480" t="s">
        <v>1684</v>
      </c>
      <c r="I480">
        <v>3</v>
      </c>
    </row>
    <row r="481" spans="1:9" x14ac:dyDescent="0.15">
      <c r="A481" t="s">
        <v>360</v>
      </c>
      <c r="B481">
        <v>52</v>
      </c>
      <c r="C481" t="s">
        <v>6372</v>
      </c>
      <c r="D481" t="s">
        <v>6372</v>
      </c>
      <c r="E481">
        <v>52</v>
      </c>
      <c r="G481">
        <v>7300</v>
      </c>
      <c r="H481" t="s">
        <v>1685</v>
      </c>
      <c r="I481">
        <v>1</v>
      </c>
    </row>
    <row r="482" spans="1:9" x14ac:dyDescent="0.15">
      <c r="A482" t="s">
        <v>360</v>
      </c>
      <c r="B482">
        <v>53</v>
      </c>
      <c r="C482" t="s">
        <v>6373</v>
      </c>
      <c r="D482" t="s">
        <v>6373</v>
      </c>
      <c r="E482">
        <v>53</v>
      </c>
      <c r="G482">
        <v>7328</v>
      </c>
      <c r="H482" t="s">
        <v>1686</v>
      </c>
      <c r="I482">
        <v>3</v>
      </c>
    </row>
    <row r="483" spans="1:9" x14ac:dyDescent="0.15">
      <c r="A483" t="s">
        <v>360</v>
      </c>
      <c r="B483">
        <v>54</v>
      </c>
      <c r="C483" t="s">
        <v>460</v>
      </c>
      <c r="D483" t="s">
        <v>460</v>
      </c>
      <c r="E483">
        <v>54</v>
      </c>
      <c r="G483">
        <v>7335</v>
      </c>
      <c r="H483" t="s">
        <v>1687</v>
      </c>
      <c r="I483">
        <v>3</v>
      </c>
    </row>
    <row r="484" spans="1:9" x14ac:dyDescent="0.15">
      <c r="A484" t="s">
        <v>360</v>
      </c>
      <c r="B484">
        <v>99</v>
      </c>
      <c r="C484" t="s">
        <v>6151</v>
      </c>
      <c r="D484" t="s">
        <v>6151</v>
      </c>
      <c r="E484">
        <v>99</v>
      </c>
      <c r="G484">
        <v>7342</v>
      </c>
      <c r="H484" t="s">
        <v>1688</v>
      </c>
      <c r="I484">
        <v>3</v>
      </c>
    </row>
    <row r="485" spans="1:9" x14ac:dyDescent="0.15">
      <c r="A485" t="s">
        <v>356</v>
      </c>
      <c r="B485">
        <v>1</v>
      </c>
      <c r="C485" t="s">
        <v>398</v>
      </c>
      <c r="D485" t="s">
        <v>398</v>
      </c>
      <c r="E485">
        <v>1</v>
      </c>
      <c r="G485">
        <v>7356</v>
      </c>
      <c r="H485" t="s">
        <v>1689</v>
      </c>
      <c r="I485">
        <v>3</v>
      </c>
    </row>
    <row r="486" spans="1:9" x14ac:dyDescent="0.15">
      <c r="A486" t="s">
        <v>356</v>
      </c>
      <c r="B486">
        <v>2</v>
      </c>
      <c r="C486" t="s">
        <v>520</v>
      </c>
      <c r="D486" t="s">
        <v>520</v>
      </c>
      <c r="E486">
        <v>2</v>
      </c>
      <c r="G486">
        <v>7370</v>
      </c>
      <c r="H486" t="s">
        <v>1690</v>
      </c>
      <c r="I486">
        <v>3</v>
      </c>
    </row>
    <row r="487" spans="1:9" x14ac:dyDescent="0.15">
      <c r="A487" t="s">
        <v>356</v>
      </c>
      <c r="B487">
        <v>3</v>
      </c>
      <c r="C487" t="s">
        <v>6374</v>
      </c>
      <c r="D487" t="s">
        <v>6374</v>
      </c>
      <c r="E487">
        <v>3</v>
      </c>
      <c r="G487">
        <v>7377</v>
      </c>
      <c r="H487" t="s">
        <v>1155</v>
      </c>
      <c r="I487">
        <v>2</v>
      </c>
    </row>
    <row r="488" spans="1:9" x14ac:dyDescent="0.15">
      <c r="A488" t="s">
        <v>356</v>
      </c>
      <c r="B488">
        <v>4</v>
      </c>
      <c r="C488" t="s">
        <v>6375</v>
      </c>
      <c r="D488" t="s">
        <v>6375</v>
      </c>
      <c r="E488">
        <v>4</v>
      </c>
      <c r="G488">
        <v>7384</v>
      </c>
      <c r="H488" t="s">
        <v>1691</v>
      </c>
      <c r="I488">
        <v>3</v>
      </c>
    </row>
    <row r="489" spans="1:9" x14ac:dyDescent="0.15">
      <c r="A489" t="s">
        <v>356</v>
      </c>
      <c r="B489">
        <v>5</v>
      </c>
      <c r="C489" t="s">
        <v>6376</v>
      </c>
      <c r="D489" t="s">
        <v>6376</v>
      </c>
      <c r="E489">
        <v>5</v>
      </c>
      <c r="G489">
        <v>7398</v>
      </c>
      <c r="H489" t="s">
        <v>1692</v>
      </c>
      <c r="I489">
        <v>3</v>
      </c>
    </row>
    <row r="490" spans="1:9" x14ac:dyDescent="0.15">
      <c r="A490" t="s">
        <v>356</v>
      </c>
      <c r="B490">
        <v>6</v>
      </c>
      <c r="C490" t="s">
        <v>6377</v>
      </c>
      <c r="D490" t="s">
        <v>6377</v>
      </c>
      <c r="E490">
        <v>6</v>
      </c>
      <c r="G490">
        <v>7420</v>
      </c>
      <c r="H490" t="s">
        <v>1693</v>
      </c>
      <c r="I490">
        <v>3</v>
      </c>
    </row>
    <row r="491" spans="1:9" x14ac:dyDescent="0.15">
      <c r="A491" t="s">
        <v>356</v>
      </c>
      <c r="B491">
        <v>7</v>
      </c>
      <c r="C491" t="s">
        <v>6378</v>
      </c>
      <c r="D491" t="s">
        <v>6378</v>
      </c>
      <c r="E491">
        <v>7</v>
      </c>
      <c r="G491">
        <v>7426</v>
      </c>
      <c r="H491" t="s">
        <v>1694</v>
      </c>
      <c r="I491">
        <v>2</v>
      </c>
    </row>
    <row r="492" spans="1:9" x14ac:dyDescent="0.15">
      <c r="A492" t="s">
        <v>356</v>
      </c>
      <c r="B492">
        <v>8</v>
      </c>
      <c r="C492" t="s">
        <v>6379</v>
      </c>
      <c r="D492" t="s">
        <v>6379</v>
      </c>
      <c r="E492">
        <v>8</v>
      </c>
      <c r="G492">
        <v>7454</v>
      </c>
      <c r="H492" t="s">
        <v>1695</v>
      </c>
      <c r="I492">
        <v>1</v>
      </c>
    </row>
    <row r="493" spans="1:9" x14ac:dyDescent="0.15">
      <c r="A493" t="s">
        <v>356</v>
      </c>
      <c r="B493">
        <v>9</v>
      </c>
      <c r="C493" t="s">
        <v>6380</v>
      </c>
      <c r="D493" t="s">
        <v>6380</v>
      </c>
      <c r="E493">
        <v>9</v>
      </c>
      <c r="G493">
        <v>7468</v>
      </c>
      <c r="H493" t="s">
        <v>1696</v>
      </c>
      <c r="I493">
        <v>3</v>
      </c>
    </row>
    <row r="494" spans="1:9" x14ac:dyDescent="0.15">
      <c r="A494" t="s">
        <v>356</v>
      </c>
      <c r="B494">
        <v>10</v>
      </c>
      <c r="C494" t="s">
        <v>481</v>
      </c>
      <c r="D494" t="s">
        <v>481</v>
      </c>
      <c r="E494">
        <v>10</v>
      </c>
      <c r="G494">
        <v>7510</v>
      </c>
      <c r="H494" t="s">
        <v>1697</v>
      </c>
      <c r="I494">
        <v>3</v>
      </c>
    </row>
    <row r="495" spans="1:9" x14ac:dyDescent="0.15">
      <c r="A495" t="s">
        <v>356</v>
      </c>
      <c r="B495">
        <v>11</v>
      </c>
      <c r="C495" t="s">
        <v>521</v>
      </c>
      <c r="D495" t="s">
        <v>521</v>
      </c>
      <c r="E495">
        <v>11</v>
      </c>
      <c r="G495">
        <v>7524</v>
      </c>
      <c r="H495" t="s">
        <v>1698</v>
      </c>
      <c r="I495">
        <v>3</v>
      </c>
    </row>
    <row r="496" spans="1:9" x14ac:dyDescent="0.15">
      <c r="A496" t="s">
        <v>356</v>
      </c>
      <c r="B496">
        <v>12</v>
      </c>
      <c r="C496" t="s">
        <v>522</v>
      </c>
      <c r="D496" t="s">
        <v>522</v>
      </c>
      <c r="E496">
        <v>12</v>
      </c>
      <c r="G496">
        <v>7530</v>
      </c>
      <c r="H496" t="s">
        <v>1699</v>
      </c>
      <c r="I496">
        <v>3</v>
      </c>
    </row>
    <row r="497" spans="1:9" x14ac:dyDescent="0.15">
      <c r="A497" t="s">
        <v>356</v>
      </c>
      <c r="B497">
        <v>13</v>
      </c>
      <c r="C497" t="s">
        <v>428</v>
      </c>
      <c r="D497" t="s">
        <v>428</v>
      </c>
      <c r="E497">
        <v>13</v>
      </c>
      <c r="G497">
        <v>7538</v>
      </c>
      <c r="H497" t="s">
        <v>1700</v>
      </c>
      <c r="I497">
        <v>3</v>
      </c>
    </row>
    <row r="498" spans="1:9" x14ac:dyDescent="0.15">
      <c r="A498" t="s">
        <v>356</v>
      </c>
      <c r="B498">
        <v>14</v>
      </c>
      <c r="C498" t="s">
        <v>523</v>
      </c>
      <c r="D498" t="s">
        <v>523</v>
      </c>
      <c r="E498">
        <v>14</v>
      </c>
      <c r="G498">
        <v>7552</v>
      </c>
      <c r="H498" t="s">
        <v>1701</v>
      </c>
      <c r="I498">
        <v>3</v>
      </c>
    </row>
    <row r="499" spans="1:9" x14ac:dyDescent="0.15">
      <c r="A499" t="s">
        <v>356</v>
      </c>
      <c r="B499">
        <v>15</v>
      </c>
      <c r="C499" t="s">
        <v>443</v>
      </c>
      <c r="D499" t="s">
        <v>443</v>
      </c>
      <c r="E499">
        <v>15</v>
      </c>
      <c r="G499">
        <v>7583</v>
      </c>
      <c r="H499" t="s">
        <v>1702</v>
      </c>
      <c r="I499">
        <v>2</v>
      </c>
    </row>
    <row r="500" spans="1:9" x14ac:dyDescent="0.15">
      <c r="A500" t="s">
        <v>356</v>
      </c>
      <c r="B500">
        <v>16</v>
      </c>
      <c r="C500" t="s">
        <v>6381</v>
      </c>
      <c r="D500" t="s">
        <v>6381</v>
      </c>
      <c r="E500">
        <v>16</v>
      </c>
      <c r="G500">
        <v>7585</v>
      </c>
      <c r="H500" t="s">
        <v>1703</v>
      </c>
      <c r="I500">
        <v>3</v>
      </c>
    </row>
    <row r="501" spans="1:9" x14ac:dyDescent="0.15">
      <c r="A501" t="s">
        <v>356</v>
      </c>
      <c r="B501">
        <v>17</v>
      </c>
      <c r="C501" t="s">
        <v>6382</v>
      </c>
      <c r="D501" t="s">
        <v>6382</v>
      </c>
      <c r="E501">
        <v>17</v>
      </c>
      <c r="G501">
        <v>7594</v>
      </c>
      <c r="H501" t="s">
        <v>1704</v>
      </c>
      <c r="I501">
        <v>2</v>
      </c>
    </row>
    <row r="502" spans="1:9" x14ac:dyDescent="0.15">
      <c r="A502" t="s">
        <v>356</v>
      </c>
      <c r="B502">
        <v>18</v>
      </c>
      <c r="C502" t="s">
        <v>6383</v>
      </c>
      <c r="D502" t="s">
        <v>6383</v>
      </c>
      <c r="E502">
        <v>18</v>
      </c>
      <c r="G502">
        <v>7608</v>
      </c>
      <c r="H502" t="s">
        <v>1705</v>
      </c>
      <c r="I502">
        <v>3</v>
      </c>
    </row>
    <row r="503" spans="1:9" x14ac:dyDescent="0.15">
      <c r="A503" t="s">
        <v>356</v>
      </c>
      <c r="B503">
        <v>19</v>
      </c>
      <c r="C503" t="s">
        <v>6384</v>
      </c>
      <c r="D503" t="s">
        <v>6384</v>
      </c>
      <c r="E503">
        <v>19</v>
      </c>
      <c r="G503">
        <v>7622</v>
      </c>
      <c r="H503" t="s">
        <v>1706</v>
      </c>
      <c r="I503">
        <v>3</v>
      </c>
    </row>
    <row r="504" spans="1:9" x14ac:dyDescent="0.15">
      <c r="A504" t="s">
        <v>356</v>
      </c>
      <c r="B504">
        <v>20</v>
      </c>
      <c r="C504" t="s">
        <v>6385</v>
      </c>
      <c r="D504" t="s">
        <v>6385</v>
      </c>
      <c r="E504">
        <v>20</v>
      </c>
      <c r="G504">
        <v>7636</v>
      </c>
      <c r="H504" t="s">
        <v>1707</v>
      </c>
      <c r="I504">
        <v>3</v>
      </c>
    </row>
    <row r="505" spans="1:9" x14ac:dyDescent="0.15">
      <c r="A505" t="s">
        <v>356</v>
      </c>
      <c r="B505">
        <v>21</v>
      </c>
      <c r="C505" t="s">
        <v>6386</v>
      </c>
      <c r="D505" t="s">
        <v>6386</v>
      </c>
      <c r="E505">
        <v>21</v>
      </c>
      <c r="G505">
        <v>7643</v>
      </c>
      <c r="H505" t="s">
        <v>1708</v>
      </c>
      <c r="I505">
        <v>3</v>
      </c>
    </row>
    <row r="506" spans="1:9" x14ac:dyDescent="0.15">
      <c r="A506" t="s">
        <v>356</v>
      </c>
      <c r="B506">
        <v>99</v>
      </c>
      <c r="C506" t="s">
        <v>6151</v>
      </c>
      <c r="D506" t="s">
        <v>6151</v>
      </c>
      <c r="E506">
        <v>99</v>
      </c>
      <c r="G506">
        <v>7650</v>
      </c>
      <c r="H506" t="s">
        <v>1709</v>
      </c>
      <c r="I506">
        <v>3</v>
      </c>
    </row>
    <row r="507" spans="1:9" x14ac:dyDescent="0.15">
      <c r="A507" t="s">
        <v>354</v>
      </c>
      <c r="B507">
        <v>1</v>
      </c>
      <c r="C507" t="s">
        <v>6299</v>
      </c>
      <c r="D507" t="s">
        <v>6299</v>
      </c>
      <c r="E507">
        <v>1</v>
      </c>
      <c r="G507">
        <v>7664</v>
      </c>
      <c r="H507" t="s">
        <v>1710</v>
      </c>
      <c r="I507">
        <v>3</v>
      </c>
    </row>
    <row r="508" spans="1:9" x14ac:dyDescent="0.15">
      <c r="A508" t="s">
        <v>354</v>
      </c>
      <c r="B508">
        <v>2</v>
      </c>
      <c r="C508" t="s">
        <v>6300</v>
      </c>
      <c r="D508" t="s">
        <v>6300</v>
      </c>
      <c r="E508">
        <v>2</v>
      </c>
      <c r="G508">
        <v>7692</v>
      </c>
      <c r="H508" t="s">
        <v>1711</v>
      </c>
      <c r="I508">
        <v>3</v>
      </c>
    </row>
    <row r="509" spans="1:9" x14ac:dyDescent="0.15">
      <c r="A509" t="s">
        <v>354</v>
      </c>
      <c r="B509">
        <v>3</v>
      </c>
      <c r="C509" t="s">
        <v>6301</v>
      </c>
      <c r="D509" t="s">
        <v>6301</v>
      </c>
      <c r="E509">
        <v>3</v>
      </c>
      <c r="G509">
        <v>7706</v>
      </c>
      <c r="H509" t="s">
        <v>1712</v>
      </c>
      <c r="I509">
        <v>3</v>
      </c>
    </row>
    <row r="510" spans="1:9" x14ac:dyDescent="0.15">
      <c r="A510" t="s">
        <v>354</v>
      </c>
      <c r="B510">
        <v>4</v>
      </c>
      <c r="C510" t="s">
        <v>433</v>
      </c>
      <c r="D510" t="s">
        <v>433</v>
      </c>
      <c r="E510">
        <v>4</v>
      </c>
      <c r="G510">
        <v>7720</v>
      </c>
      <c r="H510" t="s">
        <v>1713</v>
      </c>
      <c r="I510">
        <v>3</v>
      </c>
    </row>
    <row r="511" spans="1:9" x14ac:dyDescent="0.15">
      <c r="A511" t="s">
        <v>354</v>
      </c>
      <c r="B511">
        <v>5</v>
      </c>
      <c r="C511" t="s">
        <v>468</v>
      </c>
      <c r="D511" t="s">
        <v>468</v>
      </c>
      <c r="E511">
        <v>5</v>
      </c>
      <c r="G511">
        <v>7734</v>
      </c>
      <c r="H511" t="s">
        <v>1713</v>
      </c>
      <c r="I511">
        <v>3</v>
      </c>
    </row>
    <row r="512" spans="1:9" x14ac:dyDescent="0.15">
      <c r="A512" t="s">
        <v>354</v>
      </c>
      <c r="B512">
        <v>6</v>
      </c>
      <c r="C512" t="s">
        <v>6302</v>
      </c>
      <c r="D512" t="s">
        <v>6302</v>
      </c>
      <c r="E512">
        <v>6</v>
      </c>
      <c r="G512">
        <v>7755</v>
      </c>
      <c r="H512" t="s">
        <v>1714</v>
      </c>
      <c r="I512">
        <v>3</v>
      </c>
    </row>
    <row r="513" spans="1:9" x14ac:dyDescent="0.15">
      <c r="A513" t="s">
        <v>354</v>
      </c>
      <c r="G513">
        <v>7762</v>
      </c>
      <c r="H513" t="s">
        <v>1714</v>
      </c>
      <c r="I513">
        <v>3</v>
      </c>
    </row>
    <row r="514" spans="1:9" x14ac:dyDescent="0.15">
      <c r="A514" t="s">
        <v>354</v>
      </c>
      <c r="G514">
        <v>7770</v>
      </c>
      <c r="H514" t="s">
        <v>1714</v>
      </c>
      <c r="I514">
        <v>3</v>
      </c>
    </row>
    <row r="515" spans="1:9" x14ac:dyDescent="0.15">
      <c r="A515" t="s">
        <v>354</v>
      </c>
      <c r="G515">
        <v>7776</v>
      </c>
      <c r="H515" t="s">
        <v>1715</v>
      </c>
      <c r="I515">
        <v>3</v>
      </c>
    </row>
    <row r="516" spans="1:9" x14ac:dyDescent="0.15">
      <c r="A516" t="s">
        <v>354</v>
      </c>
      <c r="G516">
        <v>7790</v>
      </c>
      <c r="H516" t="s">
        <v>1716</v>
      </c>
      <c r="I516">
        <v>2</v>
      </c>
    </row>
    <row r="517" spans="1:9" x14ac:dyDescent="0.15">
      <c r="A517" t="s">
        <v>354</v>
      </c>
      <c r="G517">
        <v>7832</v>
      </c>
      <c r="H517" t="s">
        <v>1717</v>
      </c>
      <c r="I517">
        <v>2</v>
      </c>
    </row>
    <row r="518" spans="1:9" x14ac:dyDescent="0.15">
      <c r="A518" t="s">
        <v>354</v>
      </c>
      <c r="G518">
        <v>7846</v>
      </c>
      <c r="H518" t="s">
        <v>1718</v>
      </c>
      <c r="I518">
        <v>3</v>
      </c>
    </row>
    <row r="519" spans="1:9" x14ac:dyDescent="0.15">
      <c r="A519" t="s">
        <v>354</v>
      </c>
      <c r="G519">
        <v>7874</v>
      </c>
      <c r="H519" t="s">
        <v>1719</v>
      </c>
      <c r="I519">
        <v>3</v>
      </c>
    </row>
    <row r="520" spans="1:9" x14ac:dyDescent="0.15">
      <c r="A520" t="s">
        <v>354</v>
      </c>
      <c r="G520">
        <v>7880</v>
      </c>
      <c r="H520" t="s">
        <v>1720</v>
      </c>
      <c r="I520">
        <v>3</v>
      </c>
    </row>
    <row r="521" spans="1:9" x14ac:dyDescent="0.15">
      <c r="A521" t="s">
        <v>354</v>
      </c>
      <c r="G521">
        <v>7888</v>
      </c>
      <c r="H521" t="s">
        <v>1721</v>
      </c>
      <c r="I521">
        <v>2</v>
      </c>
    </row>
    <row r="522" spans="1:9" x14ac:dyDescent="0.15">
      <c r="A522" t="s">
        <v>354</v>
      </c>
      <c r="G522">
        <v>7916</v>
      </c>
      <c r="H522" t="s">
        <v>1722</v>
      </c>
      <c r="I522">
        <v>2</v>
      </c>
    </row>
    <row r="523" spans="1:9" x14ac:dyDescent="0.15">
      <c r="A523" t="s">
        <v>895</v>
      </c>
      <c r="B523" t="s">
        <v>922</v>
      </c>
      <c r="C523" t="s">
        <v>230</v>
      </c>
      <c r="D523" t="s">
        <v>230</v>
      </c>
      <c r="E523" t="s">
        <v>922</v>
      </c>
      <c r="G523">
        <v>7930</v>
      </c>
      <c r="H523" t="s">
        <v>1723</v>
      </c>
      <c r="I523">
        <v>2</v>
      </c>
    </row>
    <row r="524" spans="1:9" x14ac:dyDescent="0.15">
      <c r="A524" t="s">
        <v>895</v>
      </c>
      <c r="B524" t="s">
        <v>923</v>
      </c>
      <c r="C524" t="s">
        <v>924</v>
      </c>
      <c r="D524" t="s">
        <v>924</v>
      </c>
      <c r="E524" t="s">
        <v>923</v>
      </c>
      <c r="G524">
        <v>7944</v>
      </c>
      <c r="H524" t="s">
        <v>1724</v>
      </c>
      <c r="I524">
        <v>3</v>
      </c>
    </row>
    <row r="525" spans="1:9" x14ac:dyDescent="0.15">
      <c r="A525" t="s">
        <v>895</v>
      </c>
      <c r="B525" t="s">
        <v>925</v>
      </c>
      <c r="C525" t="s">
        <v>860</v>
      </c>
      <c r="D525" t="s">
        <v>860</v>
      </c>
      <c r="E525" t="s">
        <v>925</v>
      </c>
      <c r="G525">
        <v>7958</v>
      </c>
      <c r="H525" t="s">
        <v>1724</v>
      </c>
      <c r="I525">
        <v>3</v>
      </c>
    </row>
    <row r="526" spans="1:9" x14ac:dyDescent="0.15">
      <c r="A526" t="s">
        <v>895</v>
      </c>
      <c r="B526" t="s">
        <v>926</v>
      </c>
      <c r="C526" t="s">
        <v>927</v>
      </c>
      <c r="D526" t="s">
        <v>927</v>
      </c>
      <c r="E526" t="s">
        <v>926</v>
      </c>
      <c r="G526">
        <v>7972</v>
      </c>
      <c r="H526" t="s">
        <v>955</v>
      </c>
      <c r="I526">
        <v>1</v>
      </c>
    </row>
    <row r="527" spans="1:9" x14ac:dyDescent="0.15">
      <c r="A527" t="s">
        <v>355</v>
      </c>
      <c r="B527">
        <v>1</v>
      </c>
      <c r="C527" t="s">
        <v>6303</v>
      </c>
      <c r="D527" t="s">
        <v>6303</v>
      </c>
      <c r="E527">
        <v>1</v>
      </c>
      <c r="G527">
        <v>8000</v>
      </c>
      <c r="H527" t="s">
        <v>1725</v>
      </c>
      <c r="I527">
        <v>3</v>
      </c>
    </row>
    <row r="528" spans="1:9" x14ac:dyDescent="0.15">
      <c r="A528" t="s">
        <v>355</v>
      </c>
      <c r="B528">
        <v>2</v>
      </c>
      <c r="C528" t="s">
        <v>6304</v>
      </c>
      <c r="D528" t="s">
        <v>6304</v>
      </c>
      <c r="E528">
        <v>2</v>
      </c>
      <c r="G528">
        <v>8005</v>
      </c>
      <c r="H528" t="s">
        <v>1726</v>
      </c>
      <c r="I528">
        <v>3</v>
      </c>
    </row>
    <row r="529" spans="1:9" x14ac:dyDescent="0.15">
      <c r="A529" t="s">
        <v>355</v>
      </c>
      <c r="B529">
        <v>3</v>
      </c>
      <c r="C529" t="s">
        <v>417</v>
      </c>
      <c r="D529" t="s">
        <v>417</v>
      </c>
      <c r="E529">
        <v>3</v>
      </c>
      <c r="G529">
        <v>8028</v>
      </c>
      <c r="H529" t="s">
        <v>1727</v>
      </c>
      <c r="I529">
        <v>3</v>
      </c>
    </row>
    <row r="530" spans="1:9" x14ac:dyDescent="0.15">
      <c r="A530" t="s">
        <v>355</v>
      </c>
      <c r="B530">
        <v>4</v>
      </c>
      <c r="C530" t="s">
        <v>6305</v>
      </c>
      <c r="D530" t="s">
        <v>6305</v>
      </c>
      <c r="E530">
        <v>4</v>
      </c>
      <c r="G530">
        <v>8035</v>
      </c>
      <c r="H530" t="s">
        <v>1728</v>
      </c>
      <c r="I530">
        <v>3</v>
      </c>
    </row>
    <row r="531" spans="1:9" x14ac:dyDescent="0.15">
      <c r="A531" t="s">
        <v>355</v>
      </c>
      <c r="B531">
        <v>5</v>
      </c>
      <c r="C531" t="s">
        <v>6306</v>
      </c>
      <c r="D531" t="s">
        <v>6306</v>
      </c>
      <c r="E531">
        <v>5</v>
      </c>
      <c r="G531">
        <v>8042</v>
      </c>
      <c r="H531" t="s">
        <v>1729</v>
      </c>
      <c r="I531">
        <v>3</v>
      </c>
    </row>
    <row r="532" spans="1:9" x14ac:dyDescent="0.15">
      <c r="A532" t="s">
        <v>355</v>
      </c>
      <c r="B532">
        <v>6</v>
      </c>
      <c r="C532" t="s">
        <v>6307</v>
      </c>
      <c r="D532" t="s">
        <v>6307</v>
      </c>
      <c r="E532">
        <v>6</v>
      </c>
      <c r="G532">
        <v>8056</v>
      </c>
      <c r="H532" t="s">
        <v>1730</v>
      </c>
      <c r="I532">
        <v>3</v>
      </c>
    </row>
    <row r="533" spans="1:9" x14ac:dyDescent="0.15">
      <c r="A533" t="s">
        <v>355</v>
      </c>
      <c r="B533">
        <v>7</v>
      </c>
      <c r="C533" t="s">
        <v>6308</v>
      </c>
      <c r="D533" t="s">
        <v>6308</v>
      </c>
      <c r="E533">
        <v>7</v>
      </c>
      <c r="G533">
        <v>8070</v>
      </c>
      <c r="H533" t="s">
        <v>1731</v>
      </c>
      <c r="I533">
        <v>3</v>
      </c>
    </row>
    <row r="534" spans="1:9" x14ac:dyDescent="0.15">
      <c r="A534" t="s">
        <v>355</v>
      </c>
      <c r="B534">
        <v>8</v>
      </c>
      <c r="C534" t="s">
        <v>6309</v>
      </c>
      <c r="D534" t="s">
        <v>6309</v>
      </c>
      <c r="E534">
        <v>8</v>
      </c>
      <c r="G534">
        <v>8084</v>
      </c>
      <c r="H534" t="s">
        <v>1732</v>
      </c>
      <c r="I534">
        <v>2</v>
      </c>
    </row>
    <row r="535" spans="1:9" x14ac:dyDescent="0.15">
      <c r="A535" t="s">
        <v>355</v>
      </c>
      <c r="B535">
        <v>9</v>
      </c>
      <c r="C535" t="s">
        <v>6310</v>
      </c>
      <c r="D535" t="s">
        <v>6310</v>
      </c>
      <c r="E535">
        <v>9</v>
      </c>
      <c r="G535">
        <v>8098</v>
      </c>
      <c r="H535" t="s">
        <v>1733</v>
      </c>
      <c r="I535">
        <v>3</v>
      </c>
    </row>
    <row r="536" spans="1:9" x14ac:dyDescent="0.15">
      <c r="A536" t="s">
        <v>355</v>
      </c>
      <c r="B536">
        <v>10</v>
      </c>
      <c r="C536" t="s">
        <v>6311</v>
      </c>
      <c r="D536" t="s">
        <v>6311</v>
      </c>
      <c r="E536">
        <v>10</v>
      </c>
      <c r="G536">
        <v>8112</v>
      </c>
      <c r="H536" t="s">
        <v>1734</v>
      </c>
      <c r="I536">
        <v>2</v>
      </c>
    </row>
    <row r="537" spans="1:9" x14ac:dyDescent="0.15">
      <c r="A537" t="s">
        <v>355</v>
      </c>
      <c r="B537">
        <v>11</v>
      </c>
      <c r="C537" t="s">
        <v>6312</v>
      </c>
      <c r="D537" t="s">
        <v>6312</v>
      </c>
      <c r="E537">
        <v>11</v>
      </c>
      <c r="G537">
        <v>8126</v>
      </c>
      <c r="H537" t="s">
        <v>1735</v>
      </c>
      <c r="I537">
        <v>3</v>
      </c>
    </row>
    <row r="538" spans="1:9" x14ac:dyDescent="0.15">
      <c r="A538" t="s">
        <v>355</v>
      </c>
      <c r="B538">
        <v>12</v>
      </c>
      <c r="C538" t="s">
        <v>525</v>
      </c>
      <c r="D538" t="s">
        <v>525</v>
      </c>
      <c r="E538">
        <v>12</v>
      </c>
      <c r="G538">
        <v>8135</v>
      </c>
      <c r="H538" t="s">
        <v>1736</v>
      </c>
      <c r="I538">
        <v>3</v>
      </c>
    </row>
    <row r="539" spans="1:9" x14ac:dyDescent="0.15">
      <c r="A539" t="s">
        <v>355</v>
      </c>
      <c r="B539">
        <v>13</v>
      </c>
      <c r="C539" t="s">
        <v>6313</v>
      </c>
      <c r="D539" t="s">
        <v>6313</v>
      </c>
      <c r="E539">
        <v>13</v>
      </c>
      <c r="G539">
        <v>8140</v>
      </c>
      <c r="H539" t="s">
        <v>1737</v>
      </c>
      <c r="I539">
        <v>3</v>
      </c>
    </row>
    <row r="540" spans="1:9" x14ac:dyDescent="0.15">
      <c r="A540" t="s">
        <v>355</v>
      </c>
      <c r="B540">
        <v>14</v>
      </c>
      <c r="C540" t="s">
        <v>6314</v>
      </c>
      <c r="D540" t="s">
        <v>6314</v>
      </c>
      <c r="E540">
        <v>14</v>
      </c>
      <c r="G540">
        <v>8168</v>
      </c>
      <c r="H540" t="s">
        <v>1738</v>
      </c>
      <c r="I540">
        <v>2</v>
      </c>
    </row>
    <row r="541" spans="1:9" x14ac:dyDescent="0.15">
      <c r="A541" t="s">
        <v>355</v>
      </c>
      <c r="B541">
        <v>15</v>
      </c>
      <c r="C541" t="s">
        <v>6315</v>
      </c>
      <c r="D541" t="s">
        <v>6315</v>
      </c>
      <c r="E541">
        <v>15</v>
      </c>
      <c r="G541">
        <v>8224</v>
      </c>
      <c r="H541" t="s">
        <v>1739</v>
      </c>
      <c r="I541">
        <v>3</v>
      </c>
    </row>
    <row r="542" spans="1:9" x14ac:dyDescent="0.15">
      <c r="A542" t="s">
        <v>355</v>
      </c>
      <c r="B542">
        <v>16</v>
      </c>
      <c r="C542" t="s">
        <v>524</v>
      </c>
      <c r="D542" t="s">
        <v>524</v>
      </c>
      <c r="E542">
        <v>16</v>
      </c>
      <c r="G542">
        <v>8238</v>
      </c>
      <c r="H542" t="s">
        <v>1740</v>
      </c>
      <c r="I542">
        <v>3</v>
      </c>
    </row>
    <row r="543" spans="1:9" x14ac:dyDescent="0.15">
      <c r="A543" t="s">
        <v>355</v>
      </c>
      <c r="B543">
        <v>17</v>
      </c>
      <c r="C543" t="s">
        <v>472</v>
      </c>
      <c r="D543" t="s">
        <v>472</v>
      </c>
      <c r="E543">
        <v>17</v>
      </c>
      <c r="G543">
        <v>8266</v>
      </c>
      <c r="H543" t="s">
        <v>1741</v>
      </c>
      <c r="I543">
        <v>3</v>
      </c>
    </row>
    <row r="544" spans="1:9" x14ac:dyDescent="0.15">
      <c r="A544" t="s">
        <v>355</v>
      </c>
      <c r="B544">
        <v>18</v>
      </c>
      <c r="C544" t="s">
        <v>6316</v>
      </c>
      <c r="D544" t="s">
        <v>6316</v>
      </c>
      <c r="E544">
        <v>18</v>
      </c>
      <c r="G544">
        <v>8280</v>
      </c>
      <c r="H544" t="s">
        <v>1742</v>
      </c>
      <c r="I544">
        <v>3</v>
      </c>
    </row>
    <row r="545" spans="1:9" x14ac:dyDescent="0.15">
      <c r="A545" t="s">
        <v>355</v>
      </c>
      <c r="B545">
        <v>19</v>
      </c>
      <c r="C545" t="s">
        <v>6317</v>
      </c>
      <c r="D545" t="s">
        <v>6317</v>
      </c>
      <c r="E545">
        <v>19</v>
      </c>
      <c r="G545">
        <v>8294</v>
      </c>
      <c r="H545" t="s">
        <v>1743</v>
      </c>
      <c r="I545">
        <v>3</v>
      </c>
    </row>
    <row r="546" spans="1:9" x14ac:dyDescent="0.15">
      <c r="A546" t="s">
        <v>355</v>
      </c>
      <c r="B546">
        <v>20</v>
      </c>
      <c r="C546" t="s">
        <v>6318</v>
      </c>
      <c r="D546" t="s">
        <v>6318</v>
      </c>
      <c r="E546">
        <v>20</v>
      </c>
      <c r="G546">
        <v>8308</v>
      </c>
      <c r="H546" t="s">
        <v>1744</v>
      </c>
      <c r="I546">
        <v>3</v>
      </c>
    </row>
    <row r="547" spans="1:9" x14ac:dyDescent="0.15">
      <c r="A547" t="s">
        <v>355</v>
      </c>
      <c r="B547">
        <v>21</v>
      </c>
      <c r="C547" t="s">
        <v>6319</v>
      </c>
      <c r="D547" t="s">
        <v>6319</v>
      </c>
      <c r="E547">
        <v>21</v>
      </c>
      <c r="G547">
        <v>8322</v>
      </c>
      <c r="H547" t="s">
        <v>1745</v>
      </c>
      <c r="I547">
        <v>3</v>
      </c>
    </row>
    <row r="548" spans="1:9" x14ac:dyDescent="0.15">
      <c r="A548" t="s">
        <v>355</v>
      </c>
      <c r="B548">
        <v>22</v>
      </c>
      <c r="C548" t="s">
        <v>6320</v>
      </c>
      <c r="D548" t="s">
        <v>6320</v>
      </c>
      <c r="E548">
        <v>22</v>
      </c>
      <c r="G548">
        <v>8336</v>
      </c>
      <c r="H548" t="s">
        <v>1746</v>
      </c>
      <c r="I548">
        <v>2</v>
      </c>
    </row>
    <row r="549" spans="1:9" x14ac:dyDescent="0.15">
      <c r="A549" t="s">
        <v>355</v>
      </c>
      <c r="B549">
        <v>23</v>
      </c>
      <c r="C549" t="s">
        <v>464</v>
      </c>
      <c r="D549" t="s">
        <v>464</v>
      </c>
      <c r="E549">
        <v>23</v>
      </c>
      <c r="G549">
        <v>8350</v>
      </c>
      <c r="H549" t="s">
        <v>1747</v>
      </c>
      <c r="I549">
        <v>3</v>
      </c>
    </row>
    <row r="550" spans="1:9" x14ac:dyDescent="0.15">
      <c r="A550" t="s">
        <v>355</v>
      </c>
      <c r="B550">
        <v>24</v>
      </c>
      <c r="C550" t="s">
        <v>6321</v>
      </c>
      <c r="D550" t="s">
        <v>6321</v>
      </c>
      <c r="E550">
        <v>24</v>
      </c>
      <c r="G550">
        <v>8364</v>
      </c>
      <c r="H550" t="s">
        <v>1748</v>
      </c>
      <c r="I550">
        <v>1</v>
      </c>
    </row>
    <row r="551" spans="1:9" x14ac:dyDescent="0.15">
      <c r="A551" t="s">
        <v>355</v>
      </c>
      <c r="B551">
        <v>25</v>
      </c>
      <c r="C551" t="s">
        <v>465</v>
      </c>
      <c r="D551" t="s">
        <v>465</v>
      </c>
      <c r="E551">
        <v>25</v>
      </c>
      <c r="G551">
        <v>8378</v>
      </c>
      <c r="H551" t="s">
        <v>1749</v>
      </c>
      <c r="I551">
        <v>2</v>
      </c>
    </row>
    <row r="552" spans="1:9" x14ac:dyDescent="0.15">
      <c r="A552" t="s">
        <v>355</v>
      </c>
      <c r="B552">
        <v>26</v>
      </c>
      <c r="C552" t="s">
        <v>6322</v>
      </c>
      <c r="D552" t="s">
        <v>6322</v>
      </c>
      <c r="E552">
        <v>26</v>
      </c>
      <c r="G552">
        <v>8392</v>
      </c>
      <c r="H552" t="s">
        <v>1750</v>
      </c>
      <c r="I552">
        <v>2</v>
      </c>
    </row>
    <row r="553" spans="1:9" x14ac:dyDescent="0.15">
      <c r="A553" t="s">
        <v>355</v>
      </c>
      <c r="B553">
        <v>27</v>
      </c>
      <c r="C553" t="s">
        <v>206</v>
      </c>
      <c r="D553" t="s">
        <v>206</v>
      </c>
      <c r="E553">
        <v>27</v>
      </c>
      <c r="G553">
        <v>8400</v>
      </c>
      <c r="H553" t="s">
        <v>1751</v>
      </c>
      <c r="I553">
        <v>3</v>
      </c>
    </row>
    <row r="554" spans="1:9" x14ac:dyDescent="0.15">
      <c r="A554" t="s">
        <v>355</v>
      </c>
      <c r="B554">
        <v>99</v>
      </c>
      <c r="C554" t="s">
        <v>6323</v>
      </c>
      <c r="D554" t="s">
        <v>6323</v>
      </c>
      <c r="E554">
        <v>99</v>
      </c>
      <c r="G554">
        <v>8406</v>
      </c>
      <c r="H554" t="s">
        <v>1752</v>
      </c>
      <c r="I554">
        <v>3</v>
      </c>
    </row>
    <row r="555" spans="1:9" x14ac:dyDescent="0.15">
      <c r="A555" t="s">
        <v>355</v>
      </c>
      <c r="G555">
        <v>8420</v>
      </c>
      <c r="H555" t="s">
        <v>1752</v>
      </c>
      <c r="I555">
        <v>3</v>
      </c>
    </row>
    <row r="556" spans="1:9" x14ac:dyDescent="0.15">
      <c r="A556" t="s">
        <v>331</v>
      </c>
      <c r="B556">
        <v>0</v>
      </c>
      <c r="C556" t="s">
        <v>1030</v>
      </c>
      <c r="D556" t="s">
        <v>1030</v>
      </c>
      <c r="E556">
        <v>0</v>
      </c>
      <c r="G556">
        <v>8448</v>
      </c>
      <c r="H556" t="s">
        <v>1753</v>
      </c>
      <c r="I556">
        <v>3</v>
      </c>
    </row>
    <row r="557" spans="1:9" x14ac:dyDescent="0.15">
      <c r="A557" t="s">
        <v>331</v>
      </c>
      <c r="B557">
        <v>1</v>
      </c>
      <c r="C557" t="s">
        <v>392</v>
      </c>
      <c r="D557" t="s">
        <v>392</v>
      </c>
      <c r="E557">
        <v>1</v>
      </c>
      <c r="G557">
        <v>8490</v>
      </c>
      <c r="H557" t="s">
        <v>1754</v>
      </c>
      <c r="I557">
        <v>3</v>
      </c>
    </row>
    <row r="558" spans="1:9" x14ac:dyDescent="0.15">
      <c r="A558" t="s">
        <v>331</v>
      </c>
      <c r="B558">
        <v>2</v>
      </c>
      <c r="C558" t="s">
        <v>403</v>
      </c>
      <c r="D558" t="s">
        <v>403</v>
      </c>
      <c r="E558">
        <v>2</v>
      </c>
      <c r="G558">
        <v>8504</v>
      </c>
      <c r="H558" t="s">
        <v>1755</v>
      </c>
      <c r="I558">
        <v>2</v>
      </c>
    </row>
    <row r="559" spans="1:9" x14ac:dyDescent="0.15">
      <c r="A559" t="s">
        <v>331</v>
      </c>
      <c r="B559">
        <v>3</v>
      </c>
      <c r="C559" t="s">
        <v>447</v>
      </c>
      <c r="D559" t="s">
        <v>447</v>
      </c>
      <c r="E559">
        <v>3</v>
      </c>
      <c r="G559">
        <v>8518</v>
      </c>
      <c r="H559" t="s">
        <v>1756</v>
      </c>
      <c r="I559">
        <v>3</v>
      </c>
    </row>
    <row r="560" spans="1:9" x14ac:dyDescent="0.15">
      <c r="A560" t="s">
        <v>331</v>
      </c>
      <c r="B560">
        <v>4</v>
      </c>
      <c r="C560" t="s">
        <v>420</v>
      </c>
      <c r="D560" t="s">
        <v>420</v>
      </c>
      <c r="E560">
        <v>4</v>
      </c>
      <c r="G560">
        <v>8532</v>
      </c>
      <c r="H560" t="s">
        <v>1757</v>
      </c>
      <c r="I560">
        <v>2</v>
      </c>
    </row>
    <row r="561" spans="1:9" x14ac:dyDescent="0.15">
      <c r="A561" t="s">
        <v>331</v>
      </c>
      <c r="B561">
        <v>5</v>
      </c>
      <c r="C561" t="s">
        <v>431</v>
      </c>
      <c r="D561" t="s">
        <v>431</v>
      </c>
      <c r="E561">
        <v>5</v>
      </c>
      <c r="G561">
        <v>8546</v>
      </c>
      <c r="H561" t="s">
        <v>1758</v>
      </c>
      <c r="I561">
        <v>3</v>
      </c>
    </row>
    <row r="562" spans="1:9" x14ac:dyDescent="0.15">
      <c r="A562" t="s">
        <v>331</v>
      </c>
      <c r="B562">
        <v>6</v>
      </c>
      <c r="C562" t="s">
        <v>430</v>
      </c>
      <c r="D562" t="s">
        <v>430</v>
      </c>
      <c r="E562">
        <v>6</v>
      </c>
      <c r="G562">
        <v>8560</v>
      </c>
      <c r="H562" t="s">
        <v>1759</v>
      </c>
      <c r="I562">
        <v>2</v>
      </c>
    </row>
    <row r="563" spans="1:9" x14ac:dyDescent="0.15">
      <c r="A563" t="s">
        <v>331</v>
      </c>
      <c r="B563">
        <v>7</v>
      </c>
      <c r="C563" t="s">
        <v>483</v>
      </c>
      <c r="D563" t="s">
        <v>483</v>
      </c>
      <c r="E563">
        <v>7</v>
      </c>
      <c r="G563">
        <v>8574</v>
      </c>
      <c r="H563" t="s">
        <v>1759</v>
      </c>
      <c r="I563">
        <v>3</v>
      </c>
    </row>
    <row r="564" spans="1:9" x14ac:dyDescent="0.15">
      <c r="A564" t="s">
        <v>331</v>
      </c>
      <c r="B564">
        <v>8</v>
      </c>
      <c r="C564" t="s">
        <v>462</v>
      </c>
      <c r="D564" t="s">
        <v>462</v>
      </c>
      <c r="E564">
        <v>8</v>
      </c>
      <c r="G564">
        <v>8580</v>
      </c>
      <c r="H564" t="s">
        <v>1759</v>
      </c>
      <c r="I564">
        <v>3</v>
      </c>
    </row>
    <row r="565" spans="1:9" x14ac:dyDescent="0.15">
      <c r="A565" t="s">
        <v>331</v>
      </c>
      <c r="B565">
        <v>9</v>
      </c>
      <c r="C565" t="s">
        <v>6151</v>
      </c>
      <c r="D565" t="s">
        <v>6151</v>
      </c>
      <c r="E565">
        <v>9</v>
      </c>
      <c r="G565">
        <v>8588</v>
      </c>
      <c r="H565" t="s">
        <v>1760</v>
      </c>
      <c r="I565">
        <v>3</v>
      </c>
    </row>
    <row r="566" spans="1:9" x14ac:dyDescent="0.15">
      <c r="A566" t="s">
        <v>331</v>
      </c>
      <c r="G566">
        <v>8602</v>
      </c>
      <c r="H566" t="s">
        <v>1761</v>
      </c>
      <c r="I566">
        <v>1</v>
      </c>
    </row>
    <row r="567" spans="1:9" x14ac:dyDescent="0.15">
      <c r="A567" t="s">
        <v>331</v>
      </c>
      <c r="G567">
        <v>8605</v>
      </c>
      <c r="H567" t="s">
        <v>1762</v>
      </c>
      <c r="I567">
        <v>3</v>
      </c>
    </row>
    <row r="568" spans="1:9" x14ac:dyDescent="0.15">
      <c r="A568" t="s">
        <v>331</v>
      </c>
      <c r="G568">
        <v>8616</v>
      </c>
      <c r="H568" t="s">
        <v>1763</v>
      </c>
      <c r="I568">
        <v>3</v>
      </c>
    </row>
    <row r="569" spans="1:9" x14ac:dyDescent="0.15">
      <c r="A569" t="s">
        <v>331</v>
      </c>
      <c r="G569">
        <v>8625</v>
      </c>
      <c r="H569" t="s">
        <v>1764</v>
      </c>
      <c r="I569">
        <v>3</v>
      </c>
    </row>
    <row r="570" spans="1:9" x14ac:dyDescent="0.15">
      <c r="A570" t="s">
        <v>331</v>
      </c>
      <c r="G570">
        <v>8630</v>
      </c>
      <c r="H570" t="s">
        <v>1765</v>
      </c>
      <c r="I570">
        <v>3</v>
      </c>
    </row>
    <row r="571" spans="1:9" x14ac:dyDescent="0.15">
      <c r="A571" t="s">
        <v>331</v>
      </c>
      <c r="G571">
        <v>8644</v>
      </c>
      <c r="H571" t="s">
        <v>1766</v>
      </c>
      <c r="I571">
        <v>3</v>
      </c>
    </row>
    <row r="572" spans="1:9" x14ac:dyDescent="0.15">
      <c r="A572" t="s">
        <v>331</v>
      </c>
      <c r="G572">
        <v>8658</v>
      </c>
      <c r="H572" t="s">
        <v>1767</v>
      </c>
      <c r="I572">
        <v>3</v>
      </c>
    </row>
    <row r="573" spans="1:9" x14ac:dyDescent="0.15">
      <c r="A573" t="s">
        <v>331</v>
      </c>
      <c r="G573">
        <v>8670</v>
      </c>
      <c r="H573" t="s">
        <v>1768</v>
      </c>
      <c r="I573">
        <v>3</v>
      </c>
    </row>
    <row r="574" spans="1:9" x14ac:dyDescent="0.15">
      <c r="A574" t="s">
        <v>331</v>
      </c>
      <c r="G574">
        <v>8695</v>
      </c>
      <c r="H574" t="s">
        <v>1769</v>
      </c>
      <c r="I574">
        <v>3</v>
      </c>
    </row>
    <row r="575" spans="1:9" x14ac:dyDescent="0.15">
      <c r="A575" s="7" t="s">
        <v>874</v>
      </c>
      <c r="B575">
        <v>1</v>
      </c>
      <c r="C575">
        <v>1</v>
      </c>
      <c r="D575">
        <v>1</v>
      </c>
      <c r="E575">
        <v>1</v>
      </c>
      <c r="G575">
        <v>8700</v>
      </c>
      <c r="H575" t="s">
        <v>1770</v>
      </c>
      <c r="I575">
        <v>3</v>
      </c>
    </row>
    <row r="576" spans="1:9" x14ac:dyDescent="0.15">
      <c r="A576" s="7" t="s">
        <v>874</v>
      </c>
      <c r="B576">
        <v>2</v>
      </c>
      <c r="C576">
        <v>2</v>
      </c>
      <c r="D576">
        <v>2</v>
      </c>
      <c r="E576">
        <v>2</v>
      </c>
      <c r="G576">
        <v>8728</v>
      </c>
      <c r="H576" t="s">
        <v>1771</v>
      </c>
      <c r="I576">
        <v>3</v>
      </c>
    </row>
    <row r="577" spans="1:9" x14ac:dyDescent="0.15">
      <c r="A577" s="7" t="s">
        <v>874</v>
      </c>
      <c r="B577">
        <v>3</v>
      </c>
      <c r="C577">
        <v>3</v>
      </c>
      <c r="D577">
        <v>3</v>
      </c>
      <c r="E577">
        <v>3</v>
      </c>
      <c r="G577">
        <v>8756</v>
      </c>
      <c r="H577" t="s">
        <v>1771</v>
      </c>
      <c r="I577">
        <v>3</v>
      </c>
    </row>
    <row r="578" spans="1:9" x14ac:dyDescent="0.15">
      <c r="A578" s="7" t="s">
        <v>877</v>
      </c>
      <c r="B578">
        <v>1</v>
      </c>
      <c r="C578" t="s">
        <v>1070</v>
      </c>
      <c r="D578" t="s">
        <v>1070</v>
      </c>
      <c r="E578">
        <v>1</v>
      </c>
      <c r="G578">
        <v>8770</v>
      </c>
      <c r="H578" t="s">
        <v>1772</v>
      </c>
      <c r="I578">
        <v>3</v>
      </c>
    </row>
    <row r="579" spans="1:9" x14ac:dyDescent="0.15">
      <c r="A579" s="7" t="s">
        <v>877</v>
      </c>
      <c r="B579">
        <v>2</v>
      </c>
      <c r="C579" t="s">
        <v>1071</v>
      </c>
      <c r="D579" t="s">
        <v>1071</v>
      </c>
      <c r="E579">
        <v>2</v>
      </c>
      <c r="G579">
        <v>8798</v>
      </c>
      <c r="H579" t="s">
        <v>1773</v>
      </c>
      <c r="I579">
        <v>3</v>
      </c>
    </row>
    <row r="580" spans="1:9" x14ac:dyDescent="0.15">
      <c r="A580" s="7" t="s">
        <v>877</v>
      </c>
      <c r="B580">
        <v>3</v>
      </c>
      <c r="C580" t="s">
        <v>1072</v>
      </c>
      <c r="D580" t="s">
        <v>5974</v>
      </c>
      <c r="E580">
        <v>3</v>
      </c>
      <c r="G580">
        <v>8812</v>
      </c>
      <c r="H580" t="s">
        <v>1774</v>
      </c>
      <c r="I580">
        <v>2</v>
      </c>
    </row>
    <row r="581" spans="1:9" x14ac:dyDescent="0.15">
      <c r="A581" s="7" t="s">
        <v>877</v>
      </c>
      <c r="B581">
        <v>4</v>
      </c>
      <c r="C581" t="s">
        <v>1073</v>
      </c>
      <c r="D581" t="s">
        <v>5975</v>
      </c>
      <c r="E581">
        <v>4</v>
      </c>
      <c r="G581">
        <v>8826</v>
      </c>
      <c r="H581" t="s">
        <v>1775</v>
      </c>
      <c r="I581">
        <v>2</v>
      </c>
    </row>
    <row r="582" spans="1:9" x14ac:dyDescent="0.15">
      <c r="A582" s="7" t="s">
        <v>877</v>
      </c>
      <c r="B582">
        <v>11</v>
      </c>
      <c r="C582" t="s">
        <v>1074</v>
      </c>
      <c r="D582" t="s">
        <v>1074</v>
      </c>
      <c r="E582">
        <v>11</v>
      </c>
      <c r="G582">
        <v>8840</v>
      </c>
      <c r="H582" t="s">
        <v>1776</v>
      </c>
      <c r="I582">
        <v>3</v>
      </c>
    </row>
    <row r="583" spans="1:9" x14ac:dyDescent="0.15">
      <c r="A583" s="7" t="s">
        <v>877</v>
      </c>
      <c r="B583">
        <v>12</v>
      </c>
      <c r="C583" t="s">
        <v>1075</v>
      </c>
      <c r="D583" t="s">
        <v>1075</v>
      </c>
      <c r="E583">
        <v>12</v>
      </c>
      <c r="G583">
        <v>8850</v>
      </c>
      <c r="H583" t="s">
        <v>1777</v>
      </c>
      <c r="I583">
        <v>3</v>
      </c>
    </row>
    <row r="584" spans="1:9" x14ac:dyDescent="0.15">
      <c r="A584" s="7" t="s">
        <v>877</v>
      </c>
      <c r="B584">
        <v>21</v>
      </c>
      <c r="C584" t="s">
        <v>1076</v>
      </c>
      <c r="D584" t="s">
        <v>1076</v>
      </c>
      <c r="E584">
        <v>21</v>
      </c>
      <c r="G584">
        <v>8868</v>
      </c>
      <c r="H584" t="s">
        <v>1778</v>
      </c>
      <c r="I584">
        <v>2</v>
      </c>
    </row>
    <row r="585" spans="1:9" x14ac:dyDescent="0.15">
      <c r="A585" s="7" t="s">
        <v>877</v>
      </c>
      <c r="B585">
        <v>25</v>
      </c>
      <c r="C585" t="s">
        <v>1077</v>
      </c>
      <c r="D585" t="s">
        <v>1077</v>
      </c>
      <c r="E585">
        <v>25</v>
      </c>
      <c r="G585">
        <v>8890</v>
      </c>
      <c r="H585" t="s">
        <v>1779</v>
      </c>
      <c r="I585">
        <v>3</v>
      </c>
    </row>
    <row r="586" spans="1:9" x14ac:dyDescent="0.15">
      <c r="A586" s="7" t="s">
        <v>877</v>
      </c>
      <c r="B586">
        <v>26</v>
      </c>
      <c r="C586" t="s">
        <v>1078</v>
      </c>
      <c r="D586" t="s">
        <v>1078</v>
      </c>
      <c r="E586">
        <v>26</v>
      </c>
      <c r="G586">
        <v>8895</v>
      </c>
      <c r="H586" t="s">
        <v>1780</v>
      </c>
      <c r="I586">
        <v>3</v>
      </c>
    </row>
    <row r="587" spans="1:9" x14ac:dyDescent="0.15">
      <c r="A587" s="7" t="s">
        <v>877</v>
      </c>
      <c r="B587">
        <v>27</v>
      </c>
      <c r="C587" t="s">
        <v>1079</v>
      </c>
      <c r="D587" t="s">
        <v>1079</v>
      </c>
      <c r="E587">
        <v>27</v>
      </c>
      <c r="G587">
        <v>8900</v>
      </c>
      <c r="H587" t="s">
        <v>1781</v>
      </c>
      <c r="I587">
        <v>3</v>
      </c>
    </row>
    <row r="588" spans="1:9" x14ac:dyDescent="0.15">
      <c r="A588" s="7" t="s">
        <v>877</v>
      </c>
      <c r="B588">
        <v>31</v>
      </c>
      <c r="C588" t="s">
        <v>1080</v>
      </c>
      <c r="D588" t="s">
        <v>1080</v>
      </c>
      <c r="E588">
        <v>31</v>
      </c>
      <c r="G588">
        <v>8910</v>
      </c>
      <c r="H588" t="s">
        <v>1782</v>
      </c>
      <c r="I588">
        <v>3</v>
      </c>
    </row>
    <row r="589" spans="1:9" x14ac:dyDescent="0.15">
      <c r="A589" s="7" t="s">
        <v>877</v>
      </c>
      <c r="B589">
        <v>32</v>
      </c>
      <c r="C589" t="s">
        <v>1081</v>
      </c>
      <c r="D589" t="s">
        <v>1081</v>
      </c>
      <c r="E589">
        <v>32</v>
      </c>
      <c r="G589">
        <v>8924</v>
      </c>
      <c r="H589" t="s">
        <v>1781</v>
      </c>
      <c r="I589">
        <v>3</v>
      </c>
    </row>
    <row r="590" spans="1:9" x14ac:dyDescent="0.15">
      <c r="A590" s="7" t="s">
        <v>877</v>
      </c>
      <c r="B590">
        <v>40</v>
      </c>
      <c r="C590" t="s">
        <v>1082</v>
      </c>
      <c r="D590" t="s">
        <v>1082</v>
      </c>
      <c r="E590">
        <v>40</v>
      </c>
      <c r="G590">
        <v>8938</v>
      </c>
      <c r="H590" t="s">
        <v>1782</v>
      </c>
      <c r="I590">
        <v>3</v>
      </c>
    </row>
    <row r="591" spans="1:9" x14ac:dyDescent="0.15">
      <c r="A591" s="7" t="s">
        <v>877</v>
      </c>
      <c r="B591">
        <v>50</v>
      </c>
      <c r="C591" t="s">
        <v>1083</v>
      </c>
      <c r="D591" t="s">
        <v>1083</v>
      </c>
      <c r="E591">
        <v>50</v>
      </c>
      <c r="G591">
        <v>8952</v>
      </c>
      <c r="H591" t="s">
        <v>1783</v>
      </c>
      <c r="I591">
        <v>3</v>
      </c>
    </row>
    <row r="592" spans="1:9" x14ac:dyDescent="0.15">
      <c r="A592" s="7" t="s">
        <v>877</v>
      </c>
      <c r="B592">
        <v>60</v>
      </c>
      <c r="C592" t="s">
        <v>1084</v>
      </c>
      <c r="D592" t="s">
        <v>1084</v>
      </c>
      <c r="E592">
        <v>60</v>
      </c>
      <c r="G592">
        <v>8966</v>
      </c>
      <c r="H592" t="s">
        <v>1784</v>
      </c>
      <c r="I592">
        <v>3</v>
      </c>
    </row>
    <row r="593" spans="1:9" x14ac:dyDescent="0.15">
      <c r="A593" s="7" t="s">
        <v>877</v>
      </c>
      <c r="B593">
        <v>62</v>
      </c>
      <c r="C593" t="s">
        <v>1085</v>
      </c>
      <c r="D593" t="s">
        <v>1085</v>
      </c>
      <c r="E593">
        <v>62</v>
      </c>
      <c r="G593">
        <v>8980</v>
      </c>
      <c r="H593" t="s">
        <v>1785</v>
      </c>
      <c r="I593">
        <v>3</v>
      </c>
    </row>
    <row r="594" spans="1:9" x14ac:dyDescent="0.15">
      <c r="A594" s="7" t="s">
        <v>877</v>
      </c>
      <c r="B594">
        <v>63</v>
      </c>
      <c r="C594" t="s">
        <v>1086</v>
      </c>
      <c r="D594" t="s">
        <v>1086</v>
      </c>
      <c r="E594">
        <v>63</v>
      </c>
      <c r="G594">
        <v>8985</v>
      </c>
      <c r="H594" t="s">
        <v>1786</v>
      </c>
      <c r="I594">
        <v>3</v>
      </c>
    </row>
    <row r="595" spans="1:9" x14ac:dyDescent="0.15">
      <c r="A595" s="7" t="s">
        <v>877</v>
      </c>
      <c r="B595">
        <v>64</v>
      </c>
      <c r="C595" t="s">
        <v>1087</v>
      </c>
      <c r="D595" t="s">
        <v>1087</v>
      </c>
      <c r="E595">
        <v>64</v>
      </c>
      <c r="G595">
        <v>8994</v>
      </c>
      <c r="H595" t="s">
        <v>1787</v>
      </c>
      <c r="I595">
        <v>3</v>
      </c>
    </row>
    <row r="596" spans="1:9" x14ac:dyDescent="0.15">
      <c r="A596" s="7" t="s">
        <v>877</v>
      </c>
      <c r="B596">
        <v>66</v>
      </c>
      <c r="C596" t="s">
        <v>1088</v>
      </c>
      <c r="D596" t="s">
        <v>1088</v>
      </c>
      <c r="E596">
        <v>66</v>
      </c>
      <c r="G596">
        <v>9008</v>
      </c>
      <c r="H596" t="s">
        <v>1788</v>
      </c>
      <c r="I596">
        <v>3</v>
      </c>
    </row>
    <row r="597" spans="1:9" x14ac:dyDescent="0.15">
      <c r="A597" s="7" t="s">
        <v>877</v>
      </c>
      <c r="B597">
        <v>67</v>
      </c>
      <c r="C597" t="s">
        <v>1089</v>
      </c>
      <c r="D597" t="s">
        <v>1089</v>
      </c>
      <c r="E597">
        <v>67</v>
      </c>
      <c r="G597">
        <v>9036</v>
      </c>
      <c r="H597" t="s">
        <v>1789</v>
      </c>
      <c r="I597">
        <v>3</v>
      </c>
    </row>
    <row r="598" spans="1:9" x14ac:dyDescent="0.15">
      <c r="A598" s="7" t="s">
        <v>877</v>
      </c>
      <c r="B598">
        <v>68</v>
      </c>
      <c r="C598" t="s">
        <v>1090</v>
      </c>
      <c r="D598" t="s">
        <v>1090</v>
      </c>
      <c r="E598">
        <v>68</v>
      </c>
      <c r="G598">
        <v>9064</v>
      </c>
      <c r="H598" t="s">
        <v>1790</v>
      </c>
      <c r="I598">
        <v>1</v>
      </c>
    </row>
    <row r="599" spans="1:9" x14ac:dyDescent="0.15">
      <c r="A599" s="7" t="s">
        <v>877</v>
      </c>
      <c r="B599">
        <v>69</v>
      </c>
      <c r="C599" t="s">
        <v>1091</v>
      </c>
      <c r="D599" t="s">
        <v>1091</v>
      </c>
      <c r="E599">
        <v>69</v>
      </c>
      <c r="G599">
        <v>9078</v>
      </c>
      <c r="H599" t="s">
        <v>1791</v>
      </c>
      <c r="I599">
        <v>3</v>
      </c>
    </row>
    <row r="600" spans="1:9" x14ac:dyDescent="0.15">
      <c r="A600" s="7" t="s">
        <v>877</v>
      </c>
      <c r="B600">
        <v>70</v>
      </c>
      <c r="C600" t="s">
        <v>1092</v>
      </c>
      <c r="D600" t="s">
        <v>1092</v>
      </c>
      <c r="E600">
        <v>70</v>
      </c>
      <c r="G600">
        <v>9092</v>
      </c>
      <c r="H600" t="s">
        <v>1792</v>
      </c>
      <c r="I600">
        <v>3</v>
      </c>
    </row>
    <row r="601" spans="1:9" x14ac:dyDescent="0.15">
      <c r="A601" s="7" t="s">
        <v>877</v>
      </c>
      <c r="B601">
        <v>72</v>
      </c>
      <c r="C601" t="s">
        <v>1093</v>
      </c>
      <c r="D601" t="s">
        <v>1093</v>
      </c>
      <c r="E601">
        <v>72</v>
      </c>
      <c r="G601">
        <v>9106</v>
      </c>
      <c r="H601" t="s">
        <v>1793</v>
      </c>
      <c r="I601">
        <v>3</v>
      </c>
    </row>
    <row r="602" spans="1:9" x14ac:dyDescent="0.15">
      <c r="A602" s="7" t="s">
        <v>877</v>
      </c>
      <c r="B602">
        <v>73</v>
      </c>
      <c r="C602" t="s">
        <v>1094</v>
      </c>
      <c r="D602" t="s">
        <v>1094</v>
      </c>
      <c r="E602">
        <v>73</v>
      </c>
      <c r="G602">
        <v>9115</v>
      </c>
      <c r="H602" t="s">
        <v>1794</v>
      </c>
      <c r="I602">
        <v>3</v>
      </c>
    </row>
    <row r="603" spans="1:9" x14ac:dyDescent="0.15">
      <c r="A603" s="7" t="s">
        <v>877</v>
      </c>
      <c r="B603">
        <v>74</v>
      </c>
      <c r="C603" t="s">
        <v>1095</v>
      </c>
      <c r="D603" t="s">
        <v>1095</v>
      </c>
      <c r="E603">
        <v>74</v>
      </c>
      <c r="G603">
        <v>9120</v>
      </c>
      <c r="H603" t="s">
        <v>1795</v>
      </c>
      <c r="I603">
        <v>3</v>
      </c>
    </row>
    <row r="604" spans="1:9" x14ac:dyDescent="0.15">
      <c r="A604" s="7" t="s">
        <v>877</v>
      </c>
      <c r="B604">
        <v>80</v>
      </c>
      <c r="C604" t="s">
        <v>453</v>
      </c>
      <c r="D604" t="s">
        <v>453</v>
      </c>
      <c r="E604">
        <v>80</v>
      </c>
      <c r="G604">
        <v>9134</v>
      </c>
      <c r="H604" t="s">
        <v>1796</v>
      </c>
      <c r="I604">
        <v>3</v>
      </c>
    </row>
    <row r="605" spans="1:9" x14ac:dyDescent="0.15">
      <c r="A605" t="s">
        <v>898</v>
      </c>
      <c r="B605">
        <v>0</v>
      </c>
      <c r="C605" t="s">
        <v>1096</v>
      </c>
      <c r="D605" t="s">
        <v>1096</v>
      </c>
      <c r="E605">
        <v>0</v>
      </c>
      <c r="G605">
        <v>9148</v>
      </c>
      <c r="H605" t="s">
        <v>1797</v>
      </c>
      <c r="I605">
        <v>3</v>
      </c>
    </row>
    <row r="606" spans="1:9" x14ac:dyDescent="0.15">
      <c r="A606" t="s">
        <v>898</v>
      </c>
      <c r="B606">
        <v>25</v>
      </c>
      <c r="C606" t="s">
        <v>529</v>
      </c>
      <c r="D606" t="s">
        <v>529</v>
      </c>
      <c r="E606">
        <v>25</v>
      </c>
      <c r="G606">
        <v>9162</v>
      </c>
      <c r="H606" t="s">
        <v>1798</v>
      </c>
      <c r="I606">
        <v>3</v>
      </c>
    </row>
    <row r="607" spans="1:9" x14ac:dyDescent="0.15">
      <c r="A607" t="s">
        <v>898</v>
      </c>
      <c r="B607">
        <v>26</v>
      </c>
      <c r="C607" t="s">
        <v>454</v>
      </c>
      <c r="D607" t="s">
        <v>454</v>
      </c>
      <c r="E607">
        <v>26</v>
      </c>
      <c r="G607">
        <v>9176</v>
      </c>
      <c r="H607" t="s">
        <v>1799</v>
      </c>
      <c r="I607">
        <v>3</v>
      </c>
    </row>
    <row r="608" spans="1:9" x14ac:dyDescent="0.15">
      <c r="A608" t="s">
        <v>898</v>
      </c>
      <c r="B608">
        <v>27</v>
      </c>
      <c r="C608" t="s">
        <v>530</v>
      </c>
      <c r="D608" t="s">
        <v>530</v>
      </c>
      <c r="E608">
        <v>27</v>
      </c>
      <c r="G608">
        <v>9190</v>
      </c>
      <c r="H608" t="s">
        <v>1798</v>
      </c>
      <c r="I608">
        <v>3</v>
      </c>
    </row>
    <row r="609" spans="1:9" x14ac:dyDescent="0.15">
      <c r="A609" t="s">
        <v>898</v>
      </c>
      <c r="B609">
        <v>28</v>
      </c>
      <c r="C609" t="s">
        <v>531</v>
      </c>
      <c r="D609" t="s">
        <v>531</v>
      </c>
      <c r="E609">
        <v>28</v>
      </c>
      <c r="G609">
        <v>9200</v>
      </c>
      <c r="H609" t="s">
        <v>1800</v>
      </c>
      <c r="I609">
        <v>2</v>
      </c>
    </row>
    <row r="610" spans="1:9" x14ac:dyDescent="0.15">
      <c r="A610" t="s">
        <v>898</v>
      </c>
      <c r="B610">
        <v>29</v>
      </c>
      <c r="C610" t="s">
        <v>427</v>
      </c>
      <c r="D610" t="s">
        <v>427</v>
      </c>
      <c r="E610">
        <v>29</v>
      </c>
      <c r="G610">
        <v>9218</v>
      </c>
      <c r="H610" t="s">
        <v>1801</v>
      </c>
      <c r="I610">
        <v>3</v>
      </c>
    </row>
    <row r="611" spans="1:9" x14ac:dyDescent="0.15">
      <c r="A611" t="s">
        <v>898</v>
      </c>
      <c r="B611">
        <v>30</v>
      </c>
      <c r="C611" t="s">
        <v>459</v>
      </c>
      <c r="D611" t="s">
        <v>459</v>
      </c>
      <c r="E611">
        <v>30</v>
      </c>
      <c r="G611">
        <v>9246</v>
      </c>
      <c r="H611" t="s">
        <v>1802</v>
      </c>
      <c r="I611">
        <v>1</v>
      </c>
    </row>
    <row r="612" spans="1:9" x14ac:dyDescent="0.15">
      <c r="A612" t="s">
        <v>898</v>
      </c>
      <c r="B612">
        <v>31</v>
      </c>
      <c r="C612" t="s">
        <v>482</v>
      </c>
      <c r="D612" t="s">
        <v>482</v>
      </c>
      <c r="E612">
        <v>31</v>
      </c>
      <c r="G612">
        <v>9274</v>
      </c>
      <c r="H612" t="s">
        <v>1803</v>
      </c>
      <c r="I612">
        <v>2</v>
      </c>
    </row>
    <row r="613" spans="1:9" x14ac:dyDescent="0.15">
      <c r="A613" t="s">
        <v>898</v>
      </c>
      <c r="B613">
        <v>32</v>
      </c>
      <c r="C613" t="s">
        <v>532</v>
      </c>
      <c r="D613" t="s">
        <v>532</v>
      </c>
      <c r="E613">
        <v>32</v>
      </c>
      <c r="G613">
        <v>9288</v>
      </c>
      <c r="H613" t="s">
        <v>1804</v>
      </c>
      <c r="I613">
        <v>1</v>
      </c>
    </row>
    <row r="614" spans="1:9" x14ac:dyDescent="0.15">
      <c r="A614" t="s">
        <v>898</v>
      </c>
      <c r="B614">
        <v>33</v>
      </c>
      <c r="C614" t="s">
        <v>533</v>
      </c>
      <c r="D614" t="s">
        <v>533</v>
      </c>
      <c r="E614">
        <v>33</v>
      </c>
      <c r="G614">
        <v>9316</v>
      </c>
      <c r="H614" t="s">
        <v>1805</v>
      </c>
      <c r="I614">
        <v>2</v>
      </c>
    </row>
    <row r="615" spans="1:9" x14ac:dyDescent="0.15">
      <c r="A615" t="s">
        <v>898</v>
      </c>
      <c r="B615">
        <v>34</v>
      </c>
      <c r="C615" t="s">
        <v>534</v>
      </c>
      <c r="D615" t="s">
        <v>534</v>
      </c>
      <c r="E615">
        <v>34</v>
      </c>
      <c r="G615">
        <v>9350</v>
      </c>
      <c r="H615" t="s">
        <v>1806</v>
      </c>
      <c r="I615">
        <v>3</v>
      </c>
    </row>
    <row r="616" spans="1:9" x14ac:dyDescent="0.15">
      <c r="A616" t="s">
        <v>898</v>
      </c>
      <c r="B616">
        <v>35</v>
      </c>
      <c r="C616" t="s">
        <v>535</v>
      </c>
      <c r="D616" t="s">
        <v>535</v>
      </c>
      <c r="E616">
        <v>35</v>
      </c>
      <c r="G616">
        <v>9358</v>
      </c>
      <c r="H616" t="s">
        <v>1807</v>
      </c>
      <c r="I616">
        <v>1</v>
      </c>
    </row>
    <row r="617" spans="1:9" x14ac:dyDescent="0.15">
      <c r="A617" t="s">
        <v>898</v>
      </c>
      <c r="B617">
        <v>36</v>
      </c>
      <c r="C617" t="s">
        <v>469</v>
      </c>
      <c r="D617" t="s">
        <v>469</v>
      </c>
      <c r="E617">
        <v>36</v>
      </c>
      <c r="G617">
        <v>9372</v>
      </c>
      <c r="H617" t="s">
        <v>1808</v>
      </c>
      <c r="I617">
        <v>3</v>
      </c>
    </row>
    <row r="618" spans="1:9" x14ac:dyDescent="0.15">
      <c r="A618" t="s">
        <v>898</v>
      </c>
      <c r="B618">
        <v>37</v>
      </c>
      <c r="C618" t="s">
        <v>487</v>
      </c>
      <c r="D618" t="s">
        <v>487</v>
      </c>
      <c r="E618">
        <v>37</v>
      </c>
      <c r="G618">
        <v>9386</v>
      </c>
      <c r="H618" t="s">
        <v>1809</v>
      </c>
      <c r="I618">
        <v>2</v>
      </c>
    </row>
    <row r="619" spans="1:9" x14ac:dyDescent="0.15">
      <c r="A619" t="s">
        <v>898</v>
      </c>
      <c r="B619">
        <v>38</v>
      </c>
      <c r="C619" t="s">
        <v>536</v>
      </c>
      <c r="D619" t="s">
        <v>536</v>
      </c>
      <c r="E619">
        <v>38</v>
      </c>
      <c r="G619">
        <v>9400</v>
      </c>
      <c r="H619" t="s">
        <v>1810</v>
      </c>
      <c r="I619">
        <v>3</v>
      </c>
    </row>
    <row r="620" spans="1:9" x14ac:dyDescent="0.15">
      <c r="A620" t="s">
        <v>898</v>
      </c>
      <c r="B620">
        <v>39</v>
      </c>
      <c r="C620" t="s">
        <v>491</v>
      </c>
      <c r="D620" t="s">
        <v>491</v>
      </c>
      <c r="E620">
        <v>39</v>
      </c>
      <c r="G620">
        <v>9414</v>
      </c>
      <c r="H620" t="s">
        <v>1810</v>
      </c>
      <c r="I620">
        <v>3</v>
      </c>
    </row>
    <row r="621" spans="1:9" x14ac:dyDescent="0.15">
      <c r="A621" t="s">
        <v>898</v>
      </c>
      <c r="B621">
        <v>40</v>
      </c>
      <c r="C621" t="s">
        <v>475</v>
      </c>
      <c r="D621" t="s">
        <v>475</v>
      </c>
      <c r="E621">
        <v>40</v>
      </c>
      <c r="G621">
        <v>9428</v>
      </c>
      <c r="H621" t="s">
        <v>1810</v>
      </c>
      <c r="I621">
        <v>3</v>
      </c>
    </row>
    <row r="622" spans="1:9" x14ac:dyDescent="0.15">
      <c r="A622" t="s">
        <v>898</v>
      </c>
      <c r="B622">
        <v>41</v>
      </c>
      <c r="C622" t="s">
        <v>455</v>
      </c>
      <c r="D622" t="s">
        <v>455</v>
      </c>
      <c r="E622">
        <v>41</v>
      </c>
      <c r="G622">
        <v>9442</v>
      </c>
      <c r="H622" t="s">
        <v>1810</v>
      </c>
      <c r="I622">
        <v>3</v>
      </c>
    </row>
    <row r="623" spans="1:9" x14ac:dyDescent="0.15">
      <c r="A623" t="s">
        <v>898</v>
      </c>
      <c r="B623">
        <v>42</v>
      </c>
      <c r="C623" t="s">
        <v>537</v>
      </c>
      <c r="D623" t="s">
        <v>537</v>
      </c>
      <c r="E623">
        <v>42</v>
      </c>
      <c r="G623">
        <v>9470</v>
      </c>
      <c r="H623" t="s">
        <v>1810</v>
      </c>
      <c r="I623">
        <v>3</v>
      </c>
    </row>
    <row r="624" spans="1:9" x14ac:dyDescent="0.15">
      <c r="A624" t="s">
        <v>898</v>
      </c>
      <c r="B624">
        <v>43</v>
      </c>
      <c r="C624" t="s">
        <v>461</v>
      </c>
      <c r="D624" t="s">
        <v>461</v>
      </c>
      <c r="E624">
        <v>43</v>
      </c>
      <c r="G624">
        <v>9484</v>
      </c>
      <c r="H624" t="s">
        <v>1811</v>
      </c>
      <c r="I624">
        <v>3</v>
      </c>
    </row>
    <row r="625" spans="1:9" x14ac:dyDescent="0.15">
      <c r="A625" t="s">
        <v>898</v>
      </c>
      <c r="B625">
        <v>44</v>
      </c>
      <c r="C625" t="s">
        <v>538</v>
      </c>
      <c r="D625" t="s">
        <v>538</v>
      </c>
      <c r="E625">
        <v>44</v>
      </c>
      <c r="G625">
        <v>9498</v>
      </c>
      <c r="H625" t="s">
        <v>1810</v>
      </c>
      <c r="I625">
        <v>3</v>
      </c>
    </row>
    <row r="626" spans="1:9" x14ac:dyDescent="0.15">
      <c r="A626" t="s">
        <v>898</v>
      </c>
      <c r="B626">
        <v>45</v>
      </c>
      <c r="C626" t="s">
        <v>539</v>
      </c>
      <c r="D626" t="s">
        <v>539</v>
      </c>
      <c r="E626">
        <v>45</v>
      </c>
      <c r="G626">
        <v>9512</v>
      </c>
      <c r="H626" t="s">
        <v>1810</v>
      </c>
      <c r="I626">
        <v>3</v>
      </c>
    </row>
    <row r="627" spans="1:9" x14ac:dyDescent="0.15">
      <c r="A627" t="s">
        <v>898</v>
      </c>
      <c r="B627">
        <v>46</v>
      </c>
      <c r="C627" t="s">
        <v>540</v>
      </c>
      <c r="D627" t="s">
        <v>540</v>
      </c>
      <c r="E627">
        <v>46</v>
      </c>
      <c r="G627">
        <v>9526</v>
      </c>
      <c r="H627" t="s">
        <v>1810</v>
      </c>
      <c r="I627">
        <v>3</v>
      </c>
    </row>
    <row r="628" spans="1:9" x14ac:dyDescent="0.15">
      <c r="A628" t="s">
        <v>898</v>
      </c>
      <c r="B628">
        <v>47</v>
      </c>
      <c r="C628" t="s">
        <v>541</v>
      </c>
      <c r="D628" t="s">
        <v>541</v>
      </c>
      <c r="E628">
        <v>47</v>
      </c>
      <c r="G628">
        <v>9535</v>
      </c>
      <c r="H628" t="s">
        <v>1812</v>
      </c>
      <c r="I628">
        <v>3</v>
      </c>
    </row>
    <row r="629" spans="1:9" x14ac:dyDescent="0.15">
      <c r="A629" t="s">
        <v>898</v>
      </c>
      <c r="B629">
        <v>48</v>
      </c>
      <c r="C629" t="s">
        <v>488</v>
      </c>
      <c r="D629" t="s">
        <v>488</v>
      </c>
      <c r="E629">
        <v>48</v>
      </c>
      <c r="G629">
        <v>9554</v>
      </c>
      <c r="H629" t="s">
        <v>1813</v>
      </c>
      <c r="I629">
        <v>3</v>
      </c>
    </row>
    <row r="630" spans="1:9" x14ac:dyDescent="0.15">
      <c r="A630" t="s">
        <v>898</v>
      </c>
      <c r="B630">
        <v>49</v>
      </c>
      <c r="C630" t="s">
        <v>542</v>
      </c>
      <c r="D630" t="s">
        <v>542</v>
      </c>
      <c r="E630">
        <v>49</v>
      </c>
      <c r="G630">
        <v>9568</v>
      </c>
      <c r="H630" t="s">
        <v>1814</v>
      </c>
      <c r="I630">
        <v>3</v>
      </c>
    </row>
    <row r="631" spans="1:9" x14ac:dyDescent="0.15">
      <c r="A631" t="s">
        <v>898</v>
      </c>
      <c r="B631">
        <v>50</v>
      </c>
      <c r="C631" t="s">
        <v>6368</v>
      </c>
      <c r="D631" t="s">
        <v>6368</v>
      </c>
      <c r="E631">
        <v>50</v>
      </c>
      <c r="G631">
        <v>9570</v>
      </c>
      <c r="H631" t="s">
        <v>1815</v>
      </c>
      <c r="I631">
        <v>3</v>
      </c>
    </row>
    <row r="632" spans="1:9" x14ac:dyDescent="0.15">
      <c r="A632" t="s">
        <v>898</v>
      </c>
      <c r="B632">
        <v>51</v>
      </c>
      <c r="C632" t="s">
        <v>6371</v>
      </c>
      <c r="D632" t="s">
        <v>6371</v>
      </c>
      <c r="E632">
        <v>51</v>
      </c>
      <c r="G632">
        <v>9577</v>
      </c>
      <c r="H632" t="s">
        <v>1816</v>
      </c>
      <c r="I632">
        <v>3</v>
      </c>
    </row>
    <row r="633" spans="1:9" x14ac:dyDescent="0.15">
      <c r="A633" t="s">
        <v>898</v>
      </c>
      <c r="B633">
        <v>52</v>
      </c>
      <c r="C633" t="s">
        <v>6372</v>
      </c>
      <c r="D633" t="s">
        <v>6372</v>
      </c>
      <c r="E633">
        <v>52</v>
      </c>
      <c r="G633">
        <v>9580</v>
      </c>
      <c r="H633" t="s">
        <v>1817</v>
      </c>
      <c r="I633">
        <v>3</v>
      </c>
    </row>
    <row r="634" spans="1:9" x14ac:dyDescent="0.15">
      <c r="A634" t="s">
        <v>898</v>
      </c>
      <c r="B634">
        <v>53</v>
      </c>
      <c r="C634" t="s">
        <v>6373</v>
      </c>
      <c r="D634" t="s">
        <v>6373</v>
      </c>
      <c r="E634">
        <v>53</v>
      </c>
      <c r="G634">
        <v>9582</v>
      </c>
      <c r="H634" t="s">
        <v>1818</v>
      </c>
      <c r="I634">
        <v>3</v>
      </c>
    </row>
    <row r="635" spans="1:9" x14ac:dyDescent="0.15">
      <c r="A635" t="s">
        <v>898</v>
      </c>
      <c r="B635">
        <v>54</v>
      </c>
      <c r="C635" t="s">
        <v>460</v>
      </c>
      <c r="D635" t="s">
        <v>460</v>
      </c>
      <c r="E635">
        <v>54</v>
      </c>
      <c r="G635">
        <v>9585</v>
      </c>
      <c r="H635" t="s">
        <v>1819</v>
      </c>
      <c r="I635">
        <v>3</v>
      </c>
    </row>
    <row r="636" spans="1:9" x14ac:dyDescent="0.15">
      <c r="A636" t="s">
        <v>898</v>
      </c>
      <c r="B636">
        <v>99</v>
      </c>
      <c r="C636" t="s">
        <v>6151</v>
      </c>
      <c r="D636" t="s">
        <v>6151</v>
      </c>
      <c r="E636">
        <v>99</v>
      </c>
      <c r="G636">
        <v>9589</v>
      </c>
      <c r="H636" t="s">
        <v>1819</v>
      </c>
      <c r="I636">
        <v>3</v>
      </c>
    </row>
    <row r="637" spans="1:9" x14ac:dyDescent="0.15">
      <c r="G637">
        <v>9596</v>
      </c>
      <c r="H637" t="s">
        <v>1820</v>
      </c>
      <c r="I637">
        <v>2</v>
      </c>
    </row>
    <row r="638" spans="1:9" x14ac:dyDescent="0.15">
      <c r="G638">
        <v>9610</v>
      </c>
      <c r="H638" t="s">
        <v>1820</v>
      </c>
      <c r="I638">
        <v>3</v>
      </c>
    </row>
    <row r="639" spans="1:9" x14ac:dyDescent="0.15">
      <c r="G639">
        <v>9624</v>
      </c>
      <c r="H639" t="s">
        <v>1820</v>
      </c>
      <c r="I639">
        <v>3</v>
      </c>
    </row>
    <row r="640" spans="1:9" x14ac:dyDescent="0.15">
      <c r="G640">
        <v>9652</v>
      </c>
      <c r="H640" t="s">
        <v>1821</v>
      </c>
      <c r="I640">
        <v>3</v>
      </c>
    </row>
    <row r="641" spans="7:9" x14ac:dyDescent="0.15">
      <c r="G641">
        <v>9666</v>
      </c>
      <c r="H641" t="s">
        <v>1822</v>
      </c>
      <c r="I641">
        <v>3</v>
      </c>
    </row>
    <row r="642" spans="7:9" x14ac:dyDescent="0.15">
      <c r="G642">
        <v>9680</v>
      </c>
      <c r="H642" t="s">
        <v>1823</v>
      </c>
      <c r="I642">
        <v>1</v>
      </c>
    </row>
    <row r="643" spans="7:9" x14ac:dyDescent="0.15">
      <c r="G643">
        <v>9708</v>
      </c>
      <c r="H643" t="s">
        <v>1824</v>
      </c>
      <c r="I643">
        <v>3</v>
      </c>
    </row>
    <row r="644" spans="7:9" x14ac:dyDescent="0.15">
      <c r="G644">
        <v>9722</v>
      </c>
      <c r="H644" t="s">
        <v>1825</v>
      </c>
      <c r="I644">
        <v>3</v>
      </c>
    </row>
    <row r="645" spans="7:9" x14ac:dyDescent="0.15">
      <c r="G645">
        <v>9736</v>
      </c>
      <c r="H645" t="s">
        <v>1826</v>
      </c>
      <c r="I645">
        <v>3</v>
      </c>
    </row>
    <row r="646" spans="7:9" x14ac:dyDescent="0.15">
      <c r="G646">
        <v>9750</v>
      </c>
      <c r="H646" t="s">
        <v>1825</v>
      </c>
      <c r="I646">
        <v>3</v>
      </c>
    </row>
    <row r="647" spans="7:9" x14ac:dyDescent="0.15">
      <c r="G647">
        <v>9757</v>
      </c>
      <c r="H647" t="s">
        <v>1825</v>
      </c>
      <c r="I647">
        <v>3</v>
      </c>
    </row>
    <row r="648" spans="7:9" x14ac:dyDescent="0.15">
      <c r="G648">
        <v>9764</v>
      </c>
      <c r="H648" t="s">
        <v>1825</v>
      </c>
      <c r="I648">
        <v>3</v>
      </c>
    </row>
    <row r="649" spans="7:9" x14ac:dyDescent="0.15">
      <c r="G649">
        <v>9778</v>
      </c>
      <c r="H649" t="s">
        <v>1827</v>
      </c>
      <c r="I649">
        <v>3</v>
      </c>
    </row>
    <row r="650" spans="7:9" x14ac:dyDescent="0.15">
      <c r="G650">
        <v>9792</v>
      </c>
      <c r="H650" t="s">
        <v>956</v>
      </c>
      <c r="I650">
        <v>1</v>
      </c>
    </row>
    <row r="651" spans="7:9" x14ac:dyDescent="0.15">
      <c r="G651">
        <v>9820</v>
      </c>
      <c r="H651" t="s">
        <v>1828</v>
      </c>
      <c r="I651">
        <v>3</v>
      </c>
    </row>
    <row r="652" spans="7:9" x14ac:dyDescent="0.15">
      <c r="G652">
        <v>9834</v>
      </c>
      <c r="H652" t="s">
        <v>1829</v>
      </c>
      <c r="I652">
        <v>2</v>
      </c>
    </row>
    <row r="653" spans="7:9" x14ac:dyDescent="0.15">
      <c r="G653">
        <v>9848</v>
      </c>
      <c r="H653" t="s">
        <v>1830</v>
      </c>
      <c r="I653">
        <v>3</v>
      </c>
    </row>
    <row r="654" spans="7:9" x14ac:dyDescent="0.15">
      <c r="G654">
        <v>9855</v>
      </c>
      <c r="H654" t="s">
        <v>1154</v>
      </c>
      <c r="I654">
        <v>3</v>
      </c>
    </row>
    <row r="655" spans="7:9" x14ac:dyDescent="0.15">
      <c r="G655">
        <v>9862</v>
      </c>
      <c r="H655" t="s">
        <v>1154</v>
      </c>
      <c r="I655">
        <v>3</v>
      </c>
    </row>
    <row r="656" spans="7:9" x14ac:dyDescent="0.15">
      <c r="G656">
        <v>9890</v>
      </c>
      <c r="H656" t="s">
        <v>1831</v>
      </c>
      <c r="I656">
        <v>2</v>
      </c>
    </row>
    <row r="657" spans="7:9" x14ac:dyDescent="0.15">
      <c r="G657">
        <v>9918</v>
      </c>
      <c r="H657" t="s">
        <v>1832</v>
      </c>
      <c r="I657">
        <v>3</v>
      </c>
    </row>
    <row r="658" spans="7:9" x14ac:dyDescent="0.15">
      <c r="G658">
        <v>9946</v>
      </c>
      <c r="H658" t="s">
        <v>1833</v>
      </c>
      <c r="I658">
        <v>3</v>
      </c>
    </row>
    <row r="659" spans="7:9" x14ac:dyDescent="0.15">
      <c r="G659">
        <v>9955</v>
      </c>
      <c r="H659" t="s">
        <v>1834</v>
      </c>
      <c r="I659">
        <v>3</v>
      </c>
    </row>
    <row r="660" spans="7:9" x14ac:dyDescent="0.15">
      <c r="G660">
        <v>9960</v>
      </c>
      <c r="H660" t="s">
        <v>1835</v>
      </c>
      <c r="I660">
        <v>3</v>
      </c>
    </row>
    <row r="661" spans="7:9" x14ac:dyDescent="0.15">
      <c r="G661">
        <v>9974</v>
      </c>
      <c r="H661" t="s">
        <v>1836</v>
      </c>
      <c r="I661">
        <v>2</v>
      </c>
    </row>
    <row r="662" spans="7:9" x14ac:dyDescent="0.15">
      <c r="G662">
        <v>9988</v>
      </c>
      <c r="H662" t="s">
        <v>1837</v>
      </c>
      <c r="I662">
        <v>3</v>
      </c>
    </row>
    <row r="663" spans="7:9" x14ac:dyDescent="0.15">
      <c r="G663">
        <v>10016</v>
      </c>
      <c r="H663" t="s">
        <v>1838</v>
      </c>
      <c r="I663">
        <v>3</v>
      </c>
    </row>
    <row r="664" spans="7:9" x14ac:dyDescent="0.15">
      <c r="G664">
        <v>10025</v>
      </c>
      <c r="H664" t="s">
        <v>1839</v>
      </c>
      <c r="I664">
        <v>3</v>
      </c>
    </row>
    <row r="665" spans="7:9" x14ac:dyDescent="0.15">
      <c r="G665">
        <v>10030</v>
      </c>
      <c r="H665" t="s">
        <v>957</v>
      </c>
      <c r="I665">
        <v>1</v>
      </c>
    </row>
    <row r="666" spans="7:9" x14ac:dyDescent="0.15">
      <c r="G666">
        <v>10044</v>
      </c>
      <c r="H666" t="s">
        <v>1840</v>
      </c>
      <c r="I666">
        <v>3</v>
      </c>
    </row>
    <row r="667" spans="7:9" x14ac:dyDescent="0.15">
      <c r="G667">
        <v>10086</v>
      </c>
      <c r="H667" t="s">
        <v>1841</v>
      </c>
      <c r="I667">
        <v>3</v>
      </c>
    </row>
    <row r="668" spans="7:9" x14ac:dyDescent="0.15">
      <c r="G668">
        <v>10100</v>
      </c>
      <c r="H668" t="s">
        <v>1841</v>
      </c>
      <c r="I668">
        <v>3</v>
      </c>
    </row>
    <row r="669" spans="7:9" x14ac:dyDescent="0.15">
      <c r="G669">
        <v>10128</v>
      </c>
      <c r="H669" t="s">
        <v>1842</v>
      </c>
      <c r="I669">
        <v>2</v>
      </c>
    </row>
    <row r="670" spans="7:9" x14ac:dyDescent="0.15">
      <c r="G670">
        <v>10135</v>
      </c>
      <c r="H670" t="s">
        <v>1842</v>
      </c>
      <c r="I670">
        <v>3</v>
      </c>
    </row>
    <row r="671" spans="7:9" x14ac:dyDescent="0.15">
      <c r="G671">
        <v>10142</v>
      </c>
      <c r="H671" t="s">
        <v>1843</v>
      </c>
      <c r="I671">
        <v>3</v>
      </c>
    </row>
    <row r="672" spans="7:9" x14ac:dyDescent="0.15">
      <c r="G672">
        <v>10156</v>
      </c>
      <c r="H672" t="s">
        <v>1844</v>
      </c>
      <c r="I672">
        <v>2</v>
      </c>
    </row>
    <row r="673" spans="7:9" x14ac:dyDescent="0.15">
      <c r="G673">
        <v>10170</v>
      </c>
      <c r="H673" t="s">
        <v>1845</v>
      </c>
      <c r="I673">
        <v>3</v>
      </c>
    </row>
    <row r="674" spans="7:9" x14ac:dyDescent="0.15">
      <c r="G674">
        <v>10175</v>
      </c>
      <c r="H674" t="s">
        <v>1846</v>
      </c>
      <c r="I674">
        <v>3</v>
      </c>
    </row>
    <row r="675" spans="7:9" x14ac:dyDescent="0.15">
      <c r="G675">
        <v>10184</v>
      </c>
      <c r="H675" t="s">
        <v>1847</v>
      </c>
      <c r="I675">
        <v>3</v>
      </c>
    </row>
    <row r="676" spans="7:9" x14ac:dyDescent="0.15">
      <c r="G676">
        <v>10190</v>
      </c>
      <c r="H676" t="s">
        <v>1848</v>
      </c>
      <c r="I676">
        <v>3</v>
      </c>
    </row>
    <row r="677" spans="7:9" x14ac:dyDescent="0.15">
      <c r="G677">
        <v>10198</v>
      </c>
      <c r="H677" t="s">
        <v>1849</v>
      </c>
      <c r="I677">
        <v>3</v>
      </c>
    </row>
    <row r="678" spans="7:9" x14ac:dyDescent="0.15">
      <c r="G678">
        <v>10212</v>
      </c>
      <c r="H678" t="s">
        <v>1849</v>
      </c>
      <c r="I678">
        <v>3</v>
      </c>
    </row>
    <row r="679" spans="7:9" x14ac:dyDescent="0.15">
      <c r="G679">
        <v>10226</v>
      </c>
      <c r="H679" t="s">
        <v>1849</v>
      </c>
      <c r="I679">
        <v>3</v>
      </c>
    </row>
    <row r="680" spans="7:9" x14ac:dyDescent="0.15">
      <c r="G680">
        <v>10254</v>
      </c>
      <c r="H680" t="s">
        <v>1850</v>
      </c>
      <c r="I680">
        <v>2</v>
      </c>
    </row>
    <row r="681" spans="7:9" x14ac:dyDescent="0.15">
      <c r="G681">
        <v>10268</v>
      </c>
      <c r="H681" t="s">
        <v>1851</v>
      </c>
      <c r="I681">
        <v>3</v>
      </c>
    </row>
    <row r="682" spans="7:9" x14ac:dyDescent="0.15">
      <c r="G682">
        <v>10282</v>
      </c>
      <c r="H682" t="s">
        <v>1852</v>
      </c>
      <c r="I682">
        <v>2</v>
      </c>
    </row>
    <row r="683" spans="7:9" x14ac:dyDescent="0.15">
      <c r="G683">
        <v>10296</v>
      </c>
      <c r="H683" t="s">
        <v>1853</v>
      </c>
      <c r="I683">
        <v>2</v>
      </c>
    </row>
    <row r="684" spans="7:9" x14ac:dyDescent="0.15">
      <c r="G684">
        <v>10310</v>
      </c>
      <c r="H684" t="s">
        <v>1854</v>
      </c>
      <c r="I684">
        <v>3</v>
      </c>
    </row>
    <row r="685" spans="7:9" x14ac:dyDescent="0.15">
      <c r="G685">
        <v>10324</v>
      </c>
      <c r="H685" t="s">
        <v>1855</v>
      </c>
      <c r="I685">
        <v>3</v>
      </c>
    </row>
    <row r="686" spans="7:9" x14ac:dyDescent="0.15">
      <c r="G686">
        <v>10338</v>
      </c>
      <c r="H686" t="s">
        <v>1856</v>
      </c>
      <c r="I686">
        <v>3</v>
      </c>
    </row>
    <row r="687" spans="7:9" x14ac:dyDescent="0.15">
      <c r="G687">
        <v>10352</v>
      </c>
      <c r="H687" t="s">
        <v>1856</v>
      </c>
      <c r="I687">
        <v>2</v>
      </c>
    </row>
    <row r="688" spans="7:9" x14ac:dyDescent="0.15">
      <c r="G688">
        <v>10366</v>
      </c>
      <c r="H688" t="s">
        <v>1857</v>
      </c>
      <c r="I688">
        <v>3</v>
      </c>
    </row>
    <row r="689" spans="7:9" x14ac:dyDescent="0.15">
      <c r="G689">
        <v>10380</v>
      </c>
      <c r="H689" t="s">
        <v>1858</v>
      </c>
      <c r="I689">
        <v>3</v>
      </c>
    </row>
    <row r="690" spans="7:9" x14ac:dyDescent="0.15">
      <c r="G690">
        <v>10408</v>
      </c>
      <c r="H690" t="s">
        <v>1859</v>
      </c>
      <c r="I690">
        <v>3</v>
      </c>
    </row>
    <row r="691" spans="7:9" x14ac:dyDescent="0.15">
      <c r="G691">
        <v>10428</v>
      </c>
      <c r="H691" t="s">
        <v>1860</v>
      </c>
      <c r="I691">
        <v>3</v>
      </c>
    </row>
    <row r="692" spans="7:9" x14ac:dyDescent="0.15">
      <c r="G692">
        <v>10432</v>
      </c>
      <c r="H692" t="s">
        <v>1861</v>
      </c>
      <c r="I692">
        <v>3</v>
      </c>
    </row>
    <row r="693" spans="7:9" x14ac:dyDescent="0.15">
      <c r="G693">
        <v>10436</v>
      </c>
      <c r="H693" t="s">
        <v>1862</v>
      </c>
      <c r="I693">
        <v>2</v>
      </c>
    </row>
    <row r="694" spans="7:9" x14ac:dyDescent="0.15">
      <c r="G694">
        <v>10464</v>
      </c>
      <c r="H694" t="s">
        <v>1863</v>
      </c>
      <c r="I694">
        <v>3</v>
      </c>
    </row>
    <row r="695" spans="7:9" x14ac:dyDescent="0.15">
      <c r="G695">
        <v>10478</v>
      </c>
      <c r="H695" t="s">
        <v>1864</v>
      </c>
      <c r="I695">
        <v>3</v>
      </c>
    </row>
    <row r="696" spans="7:9" x14ac:dyDescent="0.15">
      <c r="G696">
        <v>10492</v>
      </c>
      <c r="H696" t="s">
        <v>1865</v>
      </c>
      <c r="I696">
        <v>3</v>
      </c>
    </row>
    <row r="697" spans="7:9" x14ac:dyDescent="0.15">
      <c r="G697">
        <v>10499</v>
      </c>
      <c r="H697" t="s">
        <v>1866</v>
      </c>
      <c r="I697">
        <v>3</v>
      </c>
    </row>
    <row r="698" spans="7:9" x14ac:dyDescent="0.15">
      <c r="G698">
        <v>10506</v>
      </c>
      <c r="H698" t="s">
        <v>1867</v>
      </c>
      <c r="I698">
        <v>3</v>
      </c>
    </row>
    <row r="699" spans="7:9" x14ac:dyDescent="0.15">
      <c r="G699">
        <v>10515</v>
      </c>
      <c r="H699" t="s">
        <v>1868</v>
      </c>
      <c r="I699">
        <v>3</v>
      </c>
    </row>
    <row r="700" spans="7:9" x14ac:dyDescent="0.15">
      <c r="G700">
        <v>10520</v>
      </c>
      <c r="H700" t="s">
        <v>1869</v>
      </c>
      <c r="I700">
        <v>3</v>
      </c>
    </row>
    <row r="701" spans="7:9" x14ac:dyDescent="0.15">
      <c r="G701">
        <v>10534</v>
      </c>
      <c r="H701" t="s">
        <v>1870</v>
      </c>
      <c r="I701">
        <v>3</v>
      </c>
    </row>
    <row r="702" spans="7:9" x14ac:dyDescent="0.15">
      <c r="G702">
        <v>10548</v>
      </c>
      <c r="H702" t="s">
        <v>1871</v>
      </c>
      <c r="I702">
        <v>3</v>
      </c>
    </row>
    <row r="703" spans="7:9" x14ac:dyDescent="0.15">
      <c r="G703">
        <v>10555</v>
      </c>
      <c r="H703" t="s">
        <v>1872</v>
      </c>
      <c r="I703">
        <v>3</v>
      </c>
    </row>
    <row r="704" spans="7:9" x14ac:dyDescent="0.15">
      <c r="G704">
        <v>10562</v>
      </c>
      <c r="H704" t="s">
        <v>1873</v>
      </c>
      <c r="I704">
        <v>3</v>
      </c>
    </row>
    <row r="705" spans="7:9" x14ac:dyDescent="0.15">
      <c r="G705">
        <v>10576</v>
      </c>
      <c r="H705" t="s">
        <v>1873</v>
      </c>
      <c r="I705">
        <v>3</v>
      </c>
    </row>
    <row r="706" spans="7:9" x14ac:dyDescent="0.15">
      <c r="G706">
        <v>10590</v>
      </c>
      <c r="H706" t="s">
        <v>1873</v>
      </c>
      <c r="I706">
        <v>3</v>
      </c>
    </row>
    <row r="707" spans="7:9" x14ac:dyDescent="0.15">
      <c r="G707">
        <v>10604</v>
      </c>
      <c r="H707" t="s">
        <v>1873</v>
      </c>
      <c r="I707">
        <v>3</v>
      </c>
    </row>
    <row r="708" spans="7:9" x14ac:dyDescent="0.15">
      <c r="G708">
        <v>10618</v>
      </c>
      <c r="H708" t="s">
        <v>1873</v>
      </c>
      <c r="I708">
        <v>3</v>
      </c>
    </row>
    <row r="709" spans="7:9" x14ac:dyDescent="0.15">
      <c r="G709">
        <v>10632</v>
      </c>
      <c r="H709" t="s">
        <v>1874</v>
      </c>
      <c r="I709">
        <v>2</v>
      </c>
    </row>
    <row r="710" spans="7:9" x14ac:dyDescent="0.15">
      <c r="G710">
        <v>10646</v>
      </c>
      <c r="H710" t="s">
        <v>1873</v>
      </c>
      <c r="I710">
        <v>3</v>
      </c>
    </row>
    <row r="711" spans="7:9" x14ac:dyDescent="0.15">
      <c r="G711">
        <v>10665</v>
      </c>
      <c r="H711" t="s">
        <v>1875</v>
      </c>
      <c r="I711">
        <v>3</v>
      </c>
    </row>
    <row r="712" spans="7:9" x14ac:dyDescent="0.15">
      <c r="G712">
        <v>10674</v>
      </c>
      <c r="H712" t="s">
        <v>1876</v>
      </c>
      <c r="I712">
        <v>2</v>
      </c>
    </row>
    <row r="713" spans="7:9" x14ac:dyDescent="0.15">
      <c r="G713">
        <v>10680</v>
      </c>
      <c r="H713" t="s">
        <v>1877</v>
      </c>
      <c r="I713">
        <v>3</v>
      </c>
    </row>
    <row r="714" spans="7:9" x14ac:dyDescent="0.15">
      <c r="G714">
        <v>10688</v>
      </c>
      <c r="H714" t="s">
        <v>1878</v>
      </c>
      <c r="I714">
        <v>3</v>
      </c>
    </row>
    <row r="715" spans="7:9" x14ac:dyDescent="0.15">
      <c r="G715">
        <v>10716</v>
      </c>
      <c r="H715" t="s">
        <v>1879</v>
      </c>
      <c r="I715">
        <v>2</v>
      </c>
    </row>
    <row r="716" spans="7:9" x14ac:dyDescent="0.15">
      <c r="G716">
        <v>10730</v>
      </c>
      <c r="H716" t="s">
        <v>1880</v>
      </c>
      <c r="I716">
        <v>3</v>
      </c>
    </row>
    <row r="717" spans="7:9" x14ac:dyDescent="0.15">
      <c r="G717">
        <v>10744</v>
      </c>
      <c r="H717" t="s">
        <v>1881</v>
      </c>
      <c r="I717">
        <v>3</v>
      </c>
    </row>
    <row r="718" spans="7:9" x14ac:dyDescent="0.15">
      <c r="G718">
        <v>10758</v>
      </c>
      <c r="H718" t="s">
        <v>1882</v>
      </c>
      <c r="I718">
        <v>3</v>
      </c>
    </row>
    <row r="719" spans="7:9" x14ac:dyDescent="0.15">
      <c r="G719">
        <v>10772</v>
      </c>
      <c r="H719" t="s">
        <v>1883</v>
      </c>
      <c r="I719">
        <v>3</v>
      </c>
    </row>
    <row r="720" spans="7:9" x14ac:dyDescent="0.15">
      <c r="G720">
        <v>10780</v>
      </c>
      <c r="H720" t="s">
        <v>1884</v>
      </c>
      <c r="I720">
        <v>3</v>
      </c>
    </row>
    <row r="721" spans="7:9" x14ac:dyDescent="0.15">
      <c r="G721">
        <v>10786</v>
      </c>
      <c r="H721" t="s">
        <v>1885</v>
      </c>
      <c r="I721">
        <v>3</v>
      </c>
    </row>
    <row r="722" spans="7:9" x14ac:dyDescent="0.15">
      <c r="G722">
        <v>10800</v>
      </c>
      <c r="H722" t="s">
        <v>1886</v>
      </c>
      <c r="I722">
        <v>2</v>
      </c>
    </row>
    <row r="723" spans="7:9" x14ac:dyDescent="0.15">
      <c r="G723">
        <v>10814</v>
      </c>
      <c r="H723" t="s">
        <v>1887</v>
      </c>
      <c r="I723">
        <v>3</v>
      </c>
    </row>
    <row r="724" spans="7:9" x14ac:dyDescent="0.15">
      <c r="G724">
        <v>10828</v>
      </c>
      <c r="H724" t="s">
        <v>1888</v>
      </c>
      <c r="I724">
        <v>3</v>
      </c>
    </row>
    <row r="725" spans="7:9" x14ac:dyDescent="0.15">
      <c r="G725">
        <v>10842</v>
      </c>
      <c r="H725" t="s">
        <v>1889</v>
      </c>
      <c r="I725">
        <v>3</v>
      </c>
    </row>
    <row r="726" spans="7:9" x14ac:dyDescent="0.15">
      <c r="G726">
        <v>10856</v>
      </c>
      <c r="H726" t="s">
        <v>1890</v>
      </c>
      <c r="I726">
        <v>3</v>
      </c>
    </row>
    <row r="727" spans="7:9" x14ac:dyDescent="0.15">
      <c r="G727">
        <v>10884</v>
      </c>
      <c r="H727" t="s">
        <v>1891</v>
      </c>
      <c r="I727">
        <v>2</v>
      </c>
    </row>
    <row r="728" spans="7:9" x14ac:dyDescent="0.15">
      <c r="G728">
        <v>10898</v>
      </c>
      <c r="H728" t="s">
        <v>1891</v>
      </c>
      <c r="I728">
        <v>3</v>
      </c>
    </row>
    <row r="729" spans="7:9" x14ac:dyDescent="0.15">
      <c r="G729">
        <v>10912</v>
      </c>
      <c r="H729" t="s">
        <v>1892</v>
      </c>
      <c r="I729">
        <v>3</v>
      </c>
    </row>
    <row r="730" spans="7:9" x14ac:dyDescent="0.15">
      <c r="G730">
        <v>10920</v>
      </c>
      <c r="H730" t="s">
        <v>1893</v>
      </c>
      <c r="I730">
        <v>3</v>
      </c>
    </row>
    <row r="731" spans="7:9" x14ac:dyDescent="0.15">
      <c r="G731">
        <v>10926</v>
      </c>
      <c r="H731" t="s">
        <v>1894</v>
      </c>
      <c r="I731">
        <v>2</v>
      </c>
    </row>
    <row r="732" spans="7:9" x14ac:dyDescent="0.15">
      <c r="G732">
        <v>10940</v>
      </c>
      <c r="H732" t="s">
        <v>1021</v>
      </c>
      <c r="I732">
        <v>2</v>
      </c>
    </row>
    <row r="733" spans="7:9" x14ac:dyDescent="0.15">
      <c r="G733">
        <v>10954</v>
      </c>
      <c r="H733" t="s">
        <v>1895</v>
      </c>
      <c r="I733">
        <v>2</v>
      </c>
    </row>
    <row r="734" spans="7:9" x14ac:dyDescent="0.15">
      <c r="G734">
        <v>10968</v>
      </c>
      <c r="H734" t="s">
        <v>1896</v>
      </c>
      <c r="I734">
        <v>3</v>
      </c>
    </row>
    <row r="735" spans="7:9" x14ac:dyDescent="0.15">
      <c r="G735">
        <v>10982</v>
      </c>
      <c r="H735" t="s">
        <v>1897</v>
      </c>
      <c r="I735">
        <v>3</v>
      </c>
    </row>
    <row r="736" spans="7:9" x14ac:dyDescent="0.15">
      <c r="G736">
        <v>10990</v>
      </c>
      <c r="H736" t="s">
        <v>1898</v>
      </c>
      <c r="I736">
        <v>3</v>
      </c>
    </row>
    <row r="737" spans="7:9" x14ac:dyDescent="0.15">
      <c r="G737">
        <v>10996</v>
      </c>
      <c r="H737" t="s">
        <v>958</v>
      </c>
      <c r="I737">
        <v>1</v>
      </c>
    </row>
    <row r="738" spans="7:9" x14ac:dyDescent="0.15">
      <c r="G738">
        <v>11003</v>
      </c>
      <c r="H738" t="s">
        <v>1899</v>
      </c>
      <c r="I738">
        <v>3</v>
      </c>
    </row>
    <row r="739" spans="7:9" x14ac:dyDescent="0.15">
      <c r="G739">
        <v>11010</v>
      </c>
      <c r="H739" t="s">
        <v>1900</v>
      </c>
      <c r="I739">
        <v>3</v>
      </c>
    </row>
    <row r="740" spans="7:9" x14ac:dyDescent="0.15">
      <c r="G740">
        <v>11024</v>
      </c>
      <c r="H740" t="s">
        <v>1901</v>
      </c>
      <c r="I740">
        <v>2</v>
      </c>
    </row>
    <row r="741" spans="7:9" x14ac:dyDescent="0.15">
      <c r="G741">
        <v>11038</v>
      </c>
      <c r="H741" t="s">
        <v>1902</v>
      </c>
      <c r="I741">
        <v>3</v>
      </c>
    </row>
    <row r="742" spans="7:9" x14ac:dyDescent="0.15">
      <c r="G742">
        <v>11066</v>
      </c>
      <c r="H742" t="s">
        <v>1903</v>
      </c>
      <c r="I742">
        <v>1</v>
      </c>
    </row>
    <row r="743" spans="7:9" x14ac:dyDescent="0.15">
      <c r="G743">
        <v>11080</v>
      </c>
      <c r="H743" t="s">
        <v>1904</v>
      </c>
      <c r="I743">
        <v>3</v>
      </c>
    </row>
    <row r="744" spans="7:9" x14ac:dyDescent="0.15">
      <c r="G744">
        <v>11094</v>
      </c>
      <c r="H744" t="s">
        <v>1905</v>
      </c>
      <c r="I744">
        <v>3</v>
      </c>
    </row>
    <row r="745" spans="7:9" x14ac:dyDescent="0.15">
      <c r="G745">
        <v>11098</v>
      </c>
      <c r="H745" t="s">
        <v>1906</v>
      </c>
      <c r="I745">
        <v>3</v>
      </c>
    </row>
    <row r="746" spans="7:9" x14ac:dyDescent="0.15">
      <c r="G746">
        <v>11102</v>
      </c>
      <c r="H746" t="s">
        <v>1907</v>
      </c>
      <c r="I746">
        <v>3</v>
      </c>
    </row>
    <row r="747" spans="7:9" x14ac:dyDescent="0.15">
      <c r="G747">
        <v>11122</v>
      </c>
      <c r="H747" t="s">
        <v>1908</v>
      </c>
      <c r="I747">
        <v>3</v>
      </c>
    </row>
    <row r="748" spans="7:9" x14ac:dyDescent="0.15">
      <c r="G748">
        <v>11136</v>
      </c>
      <c r="H748" t="s">
        <v>1909</v>
      </c>
      <c r="I748">
        <v>3</v>
      </c>
    </row>
    <row r="749" spans="7:9" x14ac:dyDescent="0.15">
      <c r="G749">
        <v>11150</v>
      </c>
      <c r="H749" t="s">
        <v>1910</v>
      </c>
      <c r="I749">
        <v>2</v>
      </c>
    </row>
    <row r="750" spans="7:9" x14ac:dyDescent="0.15">
      <c r="G750">
        <v>11178</v>
      </c>
      <c r="H750" t="s">
        <v>1911</v>
      </c>
      <c r="I750">
        <v>3</v>
      </c>
    </row>
    <row r="751" spans="7:9" x14ac:dyDescent="0.15">
      <c r="G751">
        <v>11182</v>
      </c>
      <c r="H751" t="s">
        <v>1912</v>
      </c>
      <c r="I751">
        <v>3</v>
      </c>
    </row>
    <row r="752" spans="7:9" x14ac:dyDescent="0.15">
      <c r="G752">
        <v>11188</v>
      </c>
      <c r="H752" t="s">
        <v>1913</v>
      </c>
      <c r="I752">
        <v>3</v>
      </c>
    </row>
    <row r="753" spans="7:9" x14ac:dyDescent="0.15">
      <c r="G753">
        <v>11200</v>
      </c>
      <c r="H753" t="s">
        <v>1914</v>
      </c>
      <c r="I753">
        <v>3</v>
      </c>
    </row>
    <row r="754" spans="7:9" x14ac:dyDescent="0.15">
      <c r="G754">
        <v>11215</v>
      </c>
      <c r="H754" t="s">
        <v>1915</v>
      </c>
      <c r="I754">
        <v>3</v>
      </c>
    </row>
    <row r="755" spans="7:9" x14ac:dyDescent="0.15">
      <c r="G755">
        <v>11220</v>
      </c>
      <c r="H755" t="s">
        <v>1916</v>
      </c>
      <c r="I755">
        <v>3</v>
      </c>
    </row>
    <row r="756" spans="7:9" x14ac:dyDescent="0.15">
      <c r="G756">
        <v>11234</v>
      </c>
      <c r="H756" t="s">
        <v>1916</v>
      </c>
      <c r="I756">
        <v>3</v>
      </c>
    </row>
    <row r="757" spans="7:9" x14ac:dyDescent="0.15">
      <c r="G757">
        <v>11248</v>
      </c>
      <c r="H757" t="s">
        <v>1916</v>
      </c>
      <c r="I757">
        <v>3</v>
      </c>
    </row>
    <row r="758" spans="7:9" x14ac:dyDescent="0.15">
      <c r="G758">
        <v>11262</v>
      </c>
      <c r="H758" t="s">
        <v>1917</v>
      </c>
      <c r="I758">
        <v>3</v>
      </c>
    </row>
    <row r="759" spans="7:9" x14ac:dyDescent="0.15">
      <c r="G759">
        <v>11276</v>
      </c>
      <c r="H759" t="s">
        <v>1916</v>
      </c>
      <c r="I759">
        <v>3</v>
      </c>
    </row>
    <row r="760" spans="7:9" x14ac:dyDescent="0.15">
      <c r="G760">
        <v>11290</v>
      </c>
      <c r="H760" t="s">
        <v>1918</v>
      </c>
      <c r="I760">
        <v>3</v>
      </c>
    </row>
    <row r="761" spans="7:9" x14ac:dyDescent="0.15">
      <c r="G761">
        <v>11304</v>
      </c>
      <c r="H761" t="s">
        <v>1919</v>
      </c>
      <c r="I761">
        <v>1</v>
      </c>
    </row>
    <row r="762" spans="7:9" x14ac:dyDescent="0.15">
      <c r="G762">
        <v>11318</v>
      </c>
      <c r="H762" t="s">
        <v>1920</v>
      </c>
      <c r="I762">
        <v>2</v>
      </c>
    </row>
    <row r="763" spans="7:9" x14ac:dyDescent="0.15">
      <c r="G763">
        <v>11332</v>
      </c>
      <c r="H763" t="s">
        <v>1921</v>
      </c>
      <c r="I763">
        <v>1</v>
      </c>
    </row>
    <row r="764" spans="7:9" x14ac:dyDescent="0.15">
      <c r="G764">
        <v>11334</v>
      </c>
      <c r="H764" t="s">
        <v>1922</v>
      </c>
      <c r="I764">
        <v>2</v>
      </c>
    </row>
    <row r="765" spans="7:9" x14ac:dyDescent="0.15">
      <c r="G765">
        <v>11346</v>
      </c>
      <c r="H765" t="s">
        <v>1923</v>
      </c>
      <c r="I765">
        <v>3</v>
      </c>
    </row>
    <row r="766" spans="7:9" x14ac:dyDescent="0.15">
      <c r="G766">
        <v>11360</v>
      </c>
      <c r="H766" t="s">
        <v>1924</v>
      </c>
      <c r="I766">
        <v>1</v>
      </c>
    </row>
    <row r="767" spans="7:9" x14ac:dyDescent="0.15">
      <c r="G767">
        <v>11374</v>
      </c>
      <c r="H767" t="s">
        <v>1925</v>
      </c>
      <c r="I767">
        <v>3</v>
      </c>
    </row>
    <row r="768" spans="7:9" x14ac:dyDescent="0.15">
      <c r="G768">
        <v>11388</v>
      </c>
      <c r="H768" t="s">
        <v>1926</v>
      </c>
      <c r="I768">
        <v>3</v>
      </c>
    </row>
    <row r="769" spans="7:9" x14ac:dyDescent="0.15">
      <c r="G769">
        <v>11395</v>
      </c>
      <c r="H769" t="s">
        <v>1927</v>
      </c>
      <c r="I769">
        <v>3</v>
      </c>
    </row>
    <row r="770" spans="7:9" x14ac:dyDescent="0.15">
      <c r="G770">
        <v>11402</v>
      </c>
      <c r="H770" t="s">
        <v>1928</v>
      </c>
      <c r="I770">
        <v>3</v>
      </c>
    </row>
    <row r="771" spans="7:9" x14ac:dyDescent="0.15">
      <c r="G771">
        <v>12000</v>
      </c>
      <c r="H771" t="s">
        <v>930</v>
      </c>
      <c r="I771">
        <v>1</v>
      </c>
    </row>
    <row r="772" spans="7:9" x14ac:dyDescent="0.15">
      <c r="G772">
        <v>12014</v>
      </c>
      <c r="H772" t="s">
        <v>1929</v>
      </c>
      <c r="I772">
        <v>3</v>
      </c>
    </row>
    <row r="773" spans="7:9" x14ac:dyDescent="0.15">
      <c r="G773">
        <v>12018</v>
      </c>
      <c r="H773" t="s">
        <v>1930</v>
      </c>
      <c r="I773">
        <v>3</v>
      </c>
    </row>
    <row r="774" spans="7:9" x14ac:dyDescent="0.15">
      <c r="G774">
        <v>12022</v>
      </c>
      <c r="H774" t="s">
        <v>1931</v>
      </c>
      <c r="I774">
        <v>3</v>
      </c>
    </row>
    <row r="775" spans="7:9" x14ac:dyDescent="0.15">
      <c r="G775">
        <v>12025</v>
      </c>
      <c r="H775" t="s">
        <v>1932</v>
      </c>
      <c r="I775">
        <v>3</v>
      </c>
    </row>
    <row r="776" spans="7:9" x14ac:dyDescent="0.15">
      <c r="G776">
        <v>12042</v>
      </c>
      <c r="H776" t="s">
        <v>1933</v>
      </c>
      <c r="I776">
        <v>3</v>
      </c>
    </row>
    <row r="777" spans="7:9" x14ac:dyDescent="0.15">
      <c r="G777">
        <v>12056</v>
      </c>
      <c r="H777" t="s">
        <v>1934</v>
      </c>
      <c r="I777">
        <v>2</v>
      </c>
    </row>
    <row r="778" spans="7:9" x14ac:dyDescent="0.15">
      <c r="G778">
        <v>12084</v>
      </c>
      <c r="H778" t="s">
        <v>1935</v>
      </c>
      <c r="I778">
        <v>2</v>
      </c>
    </row>
    <row r="779" spans="7:9" x14ac:dyDescent="0.15">
      <c r="G779">
        <v>12098</v>
      </c>
      <c r="H779" t="s">
        <v>1936</v>
      </c>
      <c r="I779">
        <v>3</v>
      </c>
    </row>
    <row r="780" spans="7:9" x14ac:dyDescent="0.15">
      <c r="G780">
        <v>12112</v>
      </c>
      <c r="H780" t="s">
        <v>1937</v>
      </c>
      <c r="I780">
        <v>2</v>
      </c>
    </row>
    <row r="781" spans="7:9" x14ac:dyDescent="0.15">
      <c r="G781">
        <v>12125</v>
      </c>
      <c r="H781" t="s">
        <v>1938</v>
      </c>
      <c r="I781">
        <v>3</v>
      </c>
    </row>
    <row r="782" spans="7:9" x14ac:dyDescent="0.15">
      <c r="G782">
        <v>12140</v>
      </c>
      <c r="H782" t="s">
        <v>1939</v>
      </c>
      <c r="I782">
        <v>3</v>
      </c>
    </row>
    <row r="783" spans="7:9" x14ac:dyDescent="0.15">
      <c r="G783">
        <v>12154</v>
      </c>
      <c r="H783" t="s">
        <v>1136</v>
      </c>
      <c r="I783">
        <v>3</v>
      </c>
    </row>
    <row r="784" spans="7:9" x14ac:dyDescent="0.15">
      <c r="G784">
        <v>12168</v>
      </c>
      <c r="H784" t="s">
        <v>1136</v>
      </c>
      <c r="I784">
        <v>2</v>
      </c>
    </row>
    <row r="785" spans="7:9" x14ac:dyDescent="0.15">
      <c r="G785">
        <v>12192</v>
      </c>
      <c r="H785" t="s">
        <v>1940</v>
      </c>
      <c r="I785">
        <v>3</v>
      </c>
    </row>
    <row r="786" spans="7:9" x14ac:dyDescent="0.15">
      <c r="G786">
        <v>12196</v>
      </c>
      <c r="H786" t="s">
        <v>1941</v>
      </c>
      <c r="I786">
        <v>3</v>
      </c>
    </row>
    <row r="787" spans="7:9" x14ac:dyDescent="0.15">
      <c r="G787">
        <v>12210</v>
      </c>
      <c r="H787" t="s">
        <v>1942</v>
      </c>
      <c r="I787">
        <v>3</v>
      </c>
    </row>
    <row r="788" spans="7:9" x14ac:dyDescent="0.15">
      <c r="G788">
        <v>12224</v>
      </c>
      <c r="H788" t="s">
        <v>1134</v>
      </c>
      <c r="I788">
        <v>3</v>
      </c>
    </row>
    <row r="789" spans="7:9" x14ac:dyDescent="0.15">
      <c r="G789">
        <v>12238</v>
      </c>
      <c r="H789" t="s">
        <v>1943</v>
      </c>
      <c r="I789">
        <v>3</v>
      </c>
    </row>
    <row r="790" spans="7:9" x14ac:dyDescent="0.15">
      <c r="G790">
        <v>12252</v>
      </c>
      <c r="H790" t="s">
        <v>1944</v>
      </c>
      <c r="I790">
        <v>2</v>
      </c>
    </row>
    <row r="791" spans="7:9" x14ac:dyDescent="0.15">
      <c r="G791">
        <v>12266</v>
      </c>
      <c r="H791" t="s">
        <v>1945</v>
      </c>
      <c r="I791">
        <v>3</v>
      </c>
    </row>
    <row r="792" spans="7:9" x14ac:dyDescent="0.15">
      <c r="G792">
        <v>12280</v>
      </c>
      <c r="H792" t="s">
        <v>1946</v>
      </c>
      <c r="I792">
        <v>2</v>
      </c>
    </row>
    <row r="793" spans="7:9" x14ac:dyDescent="0.15">
      <c r="G793">
        <v>12294</v>
      </c>
      <c r="H793" t="s">
        <v>1947</v>
      </c>
      <c r="I793">
        <v>3</v>
      </c>
    </row>
    <row r="794" spans="7:9" x14ac:dyDescent="0.15">
      <c r="G794">
        <v>12308</v>
      </c>
      <c r="H794" t="s">
        <v>1948</v>
      </c>
      <c r="I794">
        <v>3</v>
      </c>
    </row>
    <row r="795" spans="7:9" x14ac:dyDescent="0.15">
      <c r="G795">
        <v>12315</v>
      </c>
      <c r="H795" t="s">
        <v>1949</v>
      </c>
      <c r="I795">
        <v>3</v>
      </c>
    </row>
    <row r="796" spans="7:9" x14ac:dyDescent="0.15">
      <c r="G796">
        <v>12336</v>
      </c>
      <c r="H796" t="s">
        <v>1950</v>
      </c>
      <c r="I796">
        <v>3</v>
      </c>
    </row>
    <row r="797" spans="7:9" x14ac:dyDescent="0.15">
      <c r="G797">
        <v>12350</v>
      </c>
      <c r="H797" t="s">
        <v>1951</v>
      </c>
      <c r="I797">
        <v>3</v>
      </c>
    </row>
    <row r="798" spans="7:9" x14ac:dyDescent="0.15">
      <c r="G798">
        <v>12364</v>
      </c>
      <c r="H798" t="s">
        <v>1952</v>
      </c>
      <c r="I798">
        <v>3</v>
      </c>
    </row>
    <row r="799" spans="7:9" x14ac:dyDescent="0.15">
      <c r="G799">
        <v>12370</v>
      </c>
      <c r="H799" t="s">
        <v>1953</v>
      </c>
      <c r="I799">
        <v>3</v>
      </c>
    </row>
    <row r="800" spans="7:9" x14ac:dyDescent="0.15">
      <c r="G800">
        <v>12378</v>
      </c>
      <c r="H800" t="s">
        <v>1954</v>
      </c>
      <c r="I800">
        <v>3</v>
      </c>
    </row>
    <row r="801" spans="7:9" x14ac:dyDescent="0.15">
      <c r="G801">
        <v>12392</v>
      </c>
      <c r="H801" t="s">
        <v>1955</v>
      </c>
      <c r="I801">
        <v>3</v>
      </c>
    </row>
    <row r="802" spans="7:9" x14ac:dyDescent="0.15">
      <c r="G802">
        <v>12406</v>
      </c>
      <c r="H802" t="s">
        <v>1955</v>
      </c>
      <c r="I802">
        <v>3</v>
      </c>
    </row>
    <row r="803" spans="7:9" x14ac:dyDescent="0.15">
      <c r="G803">
        <v>12420</v>
      </c>
      <c r="H803" t="s">
        <v>1955</v>
      </c>
      <c r="I803">
        <v>3</v>
      </c>
    </row>
    <row r="804" spans="7:9" x14ac:dyDescent="0.15">
      <c r="G804">
        <v>12434</v>
      </c>
      <c r="H804" t="s">
        <v>1956</v>
      </c>
      <c r="I804">
        <v>3</v>
      </c>
    </row>
    <row r="805" spans="7:9" x14ac:dyDescent="0.15">
      <c r="G805">
        <v>12448</v>
      </c>
      <c r="H805" t="s">
        <v>1957</v>
      </c>
      <c r="I805">
        <v>3</v>
      </c>
    </row>
    <row r="806" spans="7:9" x14ac:dyDescent="0.15">
      <c r="G806">
        <v>12462</v>
      </c>
      <c r="H806" t="s">
        <v>1958</v>
      </c>
      <c r="I806">
        <v>2</v>
      </c>
    </row>
    <row r="807" spans="7:9" x14ac:dyDescent="0.15">
      <c r="G807">
        <v>12470</v>
      </c>
      <c r="H807" t="s">
        <v>1959</v>
      </c>
      <c r="I807">
        <v>3</v>
      </c>
    </row>
    <row r="808" spans="7:9" x14ac:dyDescent="0.15">
      <c r="G808">
        <v>12476</v>
      </c>
      <c r="H808" t="s">
        <v>1960</v>
      </c>
      <c r="I808">
        <v>2</v>
      </c>
    </row>
    <row r="809" spans="7:9" x14ac:dyDescent="0.15">
      <c r="G809">
        <v>12504</v>
      </c>
      <c r="H809" t="s">
        <v>1961</v>
      </c>
      <c r="I809">
        <v>2</v>
      </c>
    </row>
    <row r="810" spans="7:9" x14ac:dyDescent="0.15">
      <c r="G810">
        <v>12560</v>
      </c>
      <c r="H810" t="s">
        <v>1962</v>
      </c>
      <c r="I810">
        <v>2</v>
      </c>
    </row>
    <row r="811" spans="7:9" x14ac:dyDescent="0.15">
      <c r="G811">
        <v>12574</v>
      </c>
      <c r="H811" t="s">
        <v>1963</v>
      </c>
      <c r="I811">
        <v>3</v>
      </c>
    </row>
    <row r="812" spans="7:9" x14ac:dyDescent="0.15">
      <c r="G812">
        <v>12588</v>
      </c>
      <c r="H812" t="s">
        <v>1964</v>
      </c>
      <c r="I812">
        <v>3</v>
      </c>
    </row>
    <row r="813" spans="7:9" x14ac:dyDescent="0.15">
      <c r="G813">
        <v>12595</v>
      </c>
      <c r="H813" t="s">
        <v>1965</v>
      </c>
      <c r="I813">
        <v>3</v>
      </c>
    </row>
    <row r="814" spans="7:9" x14ac:dyDescent="0.15">
      <c r="G814">
        <v>12602</v>
      </c>
      <c r="H814" t="s">
        <v>1966</v>
      </c>
      <c r="I814">
        <v>3</v>
      </c>
    </row>
    <row r="815" spans="7:9" x14ac:dyDescent="0.15">
      <c r="G815">
        <v>12644</v>
      </c>
      <c r="H815" t="s">
        <v>1967</v>
      </c>
      <c r="I815">
        <v>3</v>
      </c>
    </row>
    <row r="816" spans="7:9" x14ac:dyDescent="0.15">
      <c r="G816">
        <v>12658</v>
      </c>
      <c r="H816" t="s">
        <v>1968</v>
      </c>
      <c r="I816">
        <v>3</v>
      </c>
    </row>
    <row r="817" spans="7:9" x14ac:dyDescent="0.15">
      <c r="G817">
        <v>12665</v>
      </c>
      <c r="H817" t="s">
        <v>1969</v>
      </c>
      <c r="I817">
        <v>3</v>
      </c>
    </row>
    <row r="818" spans="7:9" x14ac:dyDescent="0.15">
      <c r="G818">
        <v>12672</v>
      </c>
      <c r="H818" t="s">
        <v>1970</v>
      </c>
      <c r="I818">
        <v>3</v>
      </c>
    </row>
    <row r="819" spans="7:9" x14ac:dyDescent="0.15">
      <c r="G819">
        <v>12686</v>
      </c>
      <c r="H819" t="s">
        <v>1971</v>
      </c>
      <c r="I819">
        <v>3</v>
      </c>
    </row>
    <row r="820" spans="7:9" x14ac:dyDescent="0.15">
      <c r="G820">
        <v>12700</v>
      </c>
      <c r="H820" t="s">
        <v>1972</v>
      </c>
      <c r="I820">
        <v>2</v>
      </c>
    </row>
    <row r="821" spans="7:9" x14ac:dyDescent="0.15">
      <c r="G821">
        <v>12703</v>
      </c>
      <c r="H821" t="s">
        <v>1973</v>
      </c>
      <c r="I821">
        <v>3</v>
      </c>
    </row>
    <row r="822" spans="7:9" x14ac:dyDescent="0.15">
      <c r="G822">
        <v>12707</v>
      </c>
      <c r="H822" t="s">
        <v>1974</v>
      </c>
      <c r="I822">
        <v>3</v>
      </c>
    </row>
    <row r="823" spans="7:9" x14ac:dyDescent="0.15">
      <c r="G823">
        <v>12710</v>
      </c>
      <c r="H823" t="s">
        <v>1975</v>
      </c>
      <c r="I823">
        <v>3</v>
      </c>
    </row>
    <row r="824" spans="7:9" x14ac:dyDescent="0.15">
      <c r="G824">
        <v>12714</v>
      </c>
      <c r="H824" t="s">
        <v>1976</v>
      </c>
      <c r="I824">
        <v>3</v>
      </c>
    </row>
    <row r="825" spans="7:9" x14ac:dyDescent="0.15">
      <c r="G825">
        <v>12742</v>
      </c>
      <c r="H825" t="s">
        <v>1977</v>
      </c>
      <c r="I825">
        <v>3</v>
      </c>
    </row>
    <row r="826" spans="7:9" x14ac:dyDescent="0.15">
      <c r="G826">
        <v>12750</v>
      </c>
      <c r="H826" t="s">
        <v>1978</v>
      </c>
      <c r="I826">
        <v>3</v>
      </c>
    </row>
    <row r="827" spans="7:9" x14ac:dyDescent="0.15">
      <c r="G827">
        <v>12756</v>
      </c>
      <c r="H827" t="s">
        <v>1979</v>
      </c>
      <c r="I827">
        <v>3</v>
      </c>
    </row>
    <row r="828" spans="7:9" x14ac:dyDescent="0.15">
      <c r="G828">
        <v>12770</v>
      </c>
      <c r="H828" t="s">
        <v>1980</v>
      </c>
      <c r="I828">
        <v>3</v>
      </c>
    </row>
    <row r="829" spans="7:9" x14ac:dyDescent="0.15">
      <c r="G829">
        <v>12775</v>
      </c>
      <c r="H829" t="s">
        <v>1981</v>
      </c>
      <c r="I829">
        <v>3</v>
      </c>
    </row>
    <row r="830" spans="7:9" x14ac:dyDescent="0.15">
      <c r="G830">
        <v>12780</v>
      </c>
      <c r="H830" t="s">
        <v>1982</v>
      </c>
      <c r="I830">
        <v>3</v>
      </c>
    </row>
    <row r="831" spans="7:9" x14ac:dyDescent="0.15">
      <c r="G831">
        <v>12784</v>
      </c>
      <c r="H831" t="s">
        <v>1983</v>
      </c>
      <c r="I831">
        <v>2</v>
      </c>
    </row>
    <row r="832" spans="7:9" x14ac:dyDescent="0.15">
      <c r="G832">
        <v>12798</v>
      </c>
      <c r="H832" t="s">
        <v>1984</v>
      </c>
      <c r="I832">
        <v>3</v>
      </c>
    </row>
    <row r="833" spans="7:9" x14ac:dyDescent="0.15">
      <c r="G833">
        <v>12826</v>
      </c>
      <c r="H833" t="s">
        <v>1985</v>
      </c>
      <c r="I833">
        <v>3</v>
      </c>
    </row>
    <row r="834" spans="7:9" x14ac:dyDescent="0.15">
      <c r="G834">
        <v>12854</v>
      </c>
      <c r="H834" t="s">
        <v>1986</v>
      </c>
      <c r="I834">
        <v>2</v>
      </c>
    </row>
    <row r="835" spans="7:9" x14ac:dyDescent="0.15">
      <c r="G835">
        <v>12868</v>
      </c>
      <c r="H835" t="s">
        <v>959</v>
      </c>
      <c r="I835">
        <v>1</v>
      </c>
    </row>
    <row r="836" spans="7:9" x14ac:dyDescent="0.15">
      <c r="G836">
        <v>12882</v>
      </c>
      <c r="H836" t="s">
        <v>1987</v>
      </c>
      <c r="I836">
        <v>3</v>
      </c>
    </row>
    <row r="837" spans="7:9" x14ac:dyDescent="0.15">
      <c r="G837">
        <v>12890</v>
      </c>
      <c r="H837" t="s">
        <v>1988</v>
      </c>
      <c r="I837">
        <v>3</v>
      </c>
    </row>
    <row r="838" spans="7:9" x14ac:dyDescent="0.15">
      <c r="G838">
        <v>12896</v>
      </c>
      <c r="H838" t="s">
        <v>1989</v>
      </c>
      <c r="I838">
        <v>3</v>
      </c>
    </row>
    <row r="839" spans="7:9" x14ac:dyDescent="0.15">
      <c r="G839">
        <v>12910</v>
      </c>
      <c r="H839" t="s">
        <v>1989</v>
      </c>
      <c r="I839">
        <v>3</v>
      </c>
    </row>
    <row r="840" spans="7:9" x14ac:dyDescent="0.15">
      <c r="G840">
        <v>12924</v>
      </c>
      <c r="H840" t="s">
        <v>1151</v>
      </c>
      <c r="I840">
        <v>3</v>
      </c>
    </row>
    <row r="841" spans="7:9" x14ac:dyDescent="0.15">
      <c r="G841">
        <v>12938</v>
      </c>
      <c r="H841" t="s">
        <v>1989</v>
      </c>
      <c r="I841">
        <v>3</v>
      </c>
    </row>
    <row r="842" spans="7:9" x14ac:dyDescent="0.15">
      <c r="G842">
        <v>12952</v>
      </c>
      <c r="H842" t="s">
        <v>1989</v>
      </c>
      <c r="I842">
        <v>3</v>
      </c>
    </row>
    <row r="843" spans="7:9" x14ac:dyDescent="0.15">
      <c r="G843">
        <v>12966</v>
      </c>
      <c r="H843" t="s">
        <v>1989</v>
      </c>
      <c r="I843">
        <v>3</v>
      </c>
    </row>
    <row r="844" spans="7:9" x14ac:dyDescent="0.15">
      <c r="G844">
        <v>12980</v>
      </c>
      <c r="H844" t="s">
        <v>1989</v>
      </c>
      <c r="I844">
        <v>3</v>
      </c>
    </row>
    <row r="845" spans="7:9" x14ac:dyDescent="0.15">
      <c r="G845">
        <v>12994</v>
      </c>
      <c r="H845" t="s">
        <v>1989</v>
      </c>
      <c r="I845">
        <v>3</v>
      </c>
    </row>
    <row r="846" spans="7:9" x14ac:dyDescent="0.15">
      <c r="G846">
        <v>13000</v>
      </c>
      <c r="H846" t="s">
        <v>1151</v>
      </c>
      <c r="I846">
        <v>3</v>
      </c>
    </row>
    <row r="847" spans="7:9" x14ac:dyDescent="0.15">
      <c r="G847">
        <v>13008</v>
      </c>
      <c r="H847" t="s">
        <v>1989</v>
      </c>
      <c r="I847">
        <v>3</v>
      </c>
    </row>
    <row r="848" spans="7:9" x14ac:dyDescent="0.15">
      <c r="G848">
        <v>13015</v>
      </c>
      <c r="H848" t="s">
        <v>1989</v>
      </c>
      <c r="I848">
        <v>3</v>
      </c>
    </row>
    <row r="849" spans="7:9" x14ac:dyDescent="0.15">
      <c r="G849">
        <v>13030</v>
      </c>
      <c r="H849" t="s">
        <v>1990</v>
      </c>
      <c r="I849">
        <v>3</v>
      </c>
    </row>
    <row r="850" spans="7:9" x14ac:dyDescent="0.15">
      <c r="G850">
        <v>13036</v>
      </c>
      <c r="H850" t="s">
        <v>1991</v>
      </c>
      <c r="I850">
        <v>2</v>
      </c>
    </row>
    <row r="851" spans="7:9" x14ac:dyDescent="0.15">
      <c r="G851">
        <v>13064</v>
      </c>
      <c r="H851" t="s">
        <v>1992</v>
      </c>
      <c r="I851">
        <v>3</v>
      </c>
    </row>
    <row r="852" spans="7:9" x14ac:dyDescent="0.15">
      <c r="G852">
        <v>13078</v>
      </c>
      <c r="H852" t="s">
        <v>1992</v>
      </c>
      <c r="I852">
        <v>3</v>
      </c>
    </row>
    <row r="853" spans="7:9" x14ac:dyDescent="0.15">
      <c r="G853">
        <v>13092</v>
      </c>
      <c r="H853" t="s">
        <v>1993</v>
      </c>
      <c r="I853">
        <v>3</v>
      </c>
    </row>
    <row r="854" spans="7:9" x14ac:dyDescent="0.15">
      <c r="G854">
        <v>13106</v>
      </c>
      <c r="H854" t="s">
        <v>1994</v>
      </c>
      <c r="I854">
        <v>3</v>
      </c>
    </row>
    <row r="855" spans="7:9" x14ac:dyDescent="0.15">
      <c r="G855">
        <v>13120</v>
      </c>
      <c r="H855" t="s">
        <v>1995</v>
      </c>
      <c r="I855">
        <v>3</v>
      </c>
    </row>
    <row r="856" spans="7:9" x14ac:dyDescent="0.15">
      <c r="G856">
        <v>13134</v>
      </c>
      <c r="H856" t="s">
        <v>1996</v>
      </c>
      <c r="I856">
        <v>3</v>
      </c>
    </row>
    <row r="857" spans="7:9" x14ac:dyDescent="0.15">
      <c r="G857">
        <v>13148</v>
      </c>
      <c r="H857" t="s">
        <v>1996</v>
      </c>
      <c r="I857">
        <v>3</v>
      </c>
    </row>
    <row r="858" spans="7:9" x14ac:dyDescent="0.15">
      <c r="G858">
        <v>13169</v>
      </c>
      <c r="H858" t="s">
        <v>1996</v>
      </c>
      <c r="I858">
        <v>2</v>
      </c>
    </row>
    <row r="859" spans="7:9" x14ac:dyDescent="0.15">
      <c r="G859">
        <v>13176</v>
      </c>
      <c r="H859" t="s">
        <v>1996</v>
      </c>
      <c r="I859">
        <v>3</v>
      </c>
    </row>
    <row r="860" spans="7:9" x14ac:dyDescent="0.15">
      <c r="G860">
        <v>13190</v>
      </c>
      <c r="H860" t="s">
        <v>1996</v>
      </c>
      <c r="I860">
        <v>1</v>
      </c>
    </row>
    <row r="861" spans="7:9" x14ac:dyDescent="0.15">
      <c r="G861">
        <v>13200</v>
      </c>
      <c r="H861" t="s">
        <v>1996</v>
      </c>
      <c r="I861">
        <v>3</v>
      </c>
    </row>
    <row r="862" spans="7:9" x14ac:dyDescent="0.15">
      <c r="G862">
        <v>13210</v>
      </c>
      <c r="H862" t="s">
        <v>1996</v>
      </c>
      <c r="I862">
        <v>3</v>
      </c>
    </row>
    <row r="863" spans="7:9" x14ac:dyDescent="0.15">
      <c r="G863">
        <v>13225</v>
      </c>
      <c r="H863" t="s">
        <v>1997</v>
      </c>
      <c r="I863">
        <v>3</v>
      </c>
    </row>
    <row r="864" spans="7:9" x14ac:dyDescent="0.15">
      <c r="G864">
        <v>13274</v>
      </c>
      <c r="H864" t="s">
        <v>1998</v>
      </c>
      <c r="I864">
        <v>3</v>
      </c>
    </row>
    <row r="865" spans="7:9" x14ac:dyDescent="0.15">
      <c r="G865">
        <v>13316</v>
      </c>
      <c r="H865" t="s">
        <v>1999</v>
      </c>
      <c r="I865">
        <v>3</v>
      </c>
    </row>
    <row r="866" spans="7:9" x14ac:dyDescent="0.15">
      <c r="G866">
        <v>13330</v>
      </c>
      <c r="H866" t="s">
        <v>2000</v>
      </c>
      <c r="I866">
        <v>3</v>
      </c>
    </row>
    <row r="867" spans="7:9" x14ac:dyDescent="0.15">
      <c r="G867">
        <v>13358</v>
      </c>
      <c r="H867" t="s">
        <v>2001</v>
      </c>
      <c r="I867">
        <v>2</v>
      </c>
    </row>
    <row r="868" spans="7:9" x14ac:dyDescent="0.15">
      <c r="G868">
        <v>13372</v>
      </c>
      <c r="H868" t="s">
        <v>2002</v>
      </c>
      <c r="I868">
        <v>3</v>
      </c>
    </row>
    <row r="869" spans="7:9" x14ac:dyDescent="0.15">
      <c r="G869">
        <v>13386</v>
      </c>
      <c r="H869" t="s">
        <v>2003</v>
      </c>
      <c r="I869">
        <v>3</v>
      </c>
    </row>
    <row r="870" spans="7:9" x14ac:dyDescent="0.15">
      <c r="G870">
        <v>13400</v>
      </c>
      <c r="H870" t="s">
        <v>2004</v>
      </c>
      <c r="I870">
        <v>3</v>
      </c>
    </row>
    <row r="871" spans="7:9" x14ac:dyDescent="0.15">
      <c r="G871">
        <v>13414</v>
      </c>
      <c r="H871" t="s">
        <v>2005</v>
      </c>
      <c r="I871">
        <v>3</v>
      </c>
    </row>
    <row r="872" spans="7:9" x14ac:dyDescent="0.15">
      <c r="G872">
        <v>13428</v>
      </c>
      <c r="H872" t="s">
        <v>2006</v>
      </c>
      <c r="I872">
        <v>3</v>
      </c>
    </row>
    <row r="873" spans="7:9" x14ac:dyDescent="0.15">
      <c r="G873">
        <v>13456</v>
      </c>
      <c r="H873" t="s">
        <v>2007</v>
      </c>
      <c r="I873">
        <v>3</v>
      </c>
    </row>
    <row r="874" spans="7:9" x14ac:dyDescent="0.15">
      <c r="G874">
        <v>13470</v>
      </c>
      <c r="H874" t="s">
        <v>2008</v>
      </c>
      <c r="I874">
        <v>3</v>
      </c>
    </row>
    <row r="875" spans="7:9" x14ac:dyDescent="0.15">
      <c r="G875">
        <v>13484</v>
      </c>
      <c r="H875" t="s">
        <v>2009</v>
      </c>
      <c r="I875">
        <v>1</v>
      </c>
    </row>
    <row r="876" spans="7:9" x14ac:dyDescent="0.15">
      <c r="G876">
        <v>13498</v>
      </c>
      <c r="H876" t="s">
        <v>2010</v>
      </c>
      <c r="I876">
        <v>3</v>
      </c>
    </row>
    <row r="877" spans="7:9" x14ac:dyDescent="0.15">
      <c r="G877">
        <v>13512</v>
      </c>
      <c r="H877" t="s">
        <v>2011</v>
      </c>
      <c r="I877">
        <v>3</v>
      </c>
    </row>
    <row r="878" spans="7:9" x14ac:dyDescent="0.15">
      <c r="G878">
        <v>13520</v>
      </c>
      <c r="H878" t="s">
        <v>2012</v>
      </c>
      <c r="I878">
        <v>3</v>
      </c>
    </row>
    <row r="879" spans="7:9" x14ac:dyDescent="0.15">
      <c r="G879">
        <v>13540</v>
      </c>
      <c r="H879" t="s">
        <v>2013</v>
      </c>
      <c r="I879">
        <v>3</v>
      </c>
    </row>
    <row r="880" spans="7:9" x14ac:dyDescent="0.15">
      <c r="G880">
        <v>13554</v>
      </c>
      <c r="H880" t="s">
        <v>1027</v>
      </c>
      <c r="I880">
        <v>1</v>
      </c>
    </row>
    <row r="881" spans="7:9" x14ac:dyDescent="0.15">
      <c r="G881">
        <v>13561</v>
      </c>
      <c r="H881" t="s">
        <v>2014</v>
      </c>
      <c r="I881">
        <v>3</v>
      </c>
    </row>
    <row r="882" spans="7:9" x14ac:dyDescent="0.15">
      <c r="G882">
        <v>13568</v>
      </c>
      <c r="H882" t="s">
        <v>2015</v>
      </c>
      <c r="I882">
        <v>3</v>
      </c>
    </row>
    <row r="883" spans="7:9" x14ac:dyDescent="0.15">
      <c r="G883">
        <v>13575</v>
      </c>
      <c r="H883" t="s">
        <v>2016</v>
      </c>
      <c r="I883">
        <v>3</v>
      </c>
    </row>
    <row r="884" spans="7:9" x14ac:dyDescent="0.15">
      <c r="G884">
        <v>13596</v>
      </c>
      <c r="H884" t="s">
        <v>2017</v>
      </c>
      <c r="I884">
        <v>3</v>
      </c>
    </row>
    <row r="885" spans="7:9" x14ac:dyDescent="0.15">
      <c r="G885">
        <v>13610</v>
      </c>
      <c r="H885" t="s">
        <v>2018</v>
      </c>
      <c r="I885">
        <v>3</v>
      </c>
    </row>
    <row r="886" spans="7:9" x14ac:dyDescent="0.15">
      <c r="G886">
        <v>13624</v>
      </c>
      <c r="H886" t="s">
        <v>2019</v>
      </c>
      <c r="I886">
        <v>3</v>
      </c>
    </row>
    <row r="887" spans="7:9" x14ac:dyDescent="0.15">
      <c r="G887">
        <v>13638</v>
      </c>
      <c r="H887" t="s">
        <v>2020</v>
      </c>
      <c r="I887">
        <v>3</v>
      </c>
    </row>
    <row r="888" spans="7:9" x14ac:dyDescent="0.15">
      <c r="G888">
        <v>13640</v>
      </c>
      <c r="H888" t="s">
        <v>2021</v>
      </c>
      <c r="I888">
        <v>3</v>
      </c>
    </row>
    <row r="889" spans="7:9" x14ac:dyDescent="0.15">
      <c r="G889">
        <v>13642</v>
      </c>
      <c r="H889" t="s">
        <v>2021</v>
      </c>
      <c r="I889">
        <v>3</v>
      </c>
    </row>
    <row r="890" spans="7:9" x14ac:dyDescent="0.15">
      <c r="G890">
        <v>13652</v>
      </c>
      <c r="H890" t="s">
        <v>2022</v>
      </c>
      <c r="I890">
        <v>3</v>
      </c>
    </row>
    <row r="891" spans="7:9" x14ac:dyDescent="0.15">
      <c r="G891">
        <v>13666</v>
      </c>
      <c r="H891" t="s">
        <v>2023</v>
      </c>
      <c r="I891">
        <v>3</v>
      </c>
    </row>
    <row r="892" spans="7:9" x14ac:dyDescent="0.15">
      <c r="G892">
        <v>13680</v>
      </c>
      <c r="H892" t="s">
        <v>2024</v>
      </c>
      <c r="I892">
        <v>3</v>
      </c>
    </row>
    <row r="893" spans="7:9" x14ac:dyDescent="0.15">
      <c r="G893">
        <v>13694</v>
      </c>
      <c r="H893" t="s">
        <v>2025</v>
      </c>
      <c r="I893">
        <v>2</v>
      </c>
    </row>
    <row r="894" spans="7:9" x14ac:dyDescent="0.15">
      <c r="G894">
        <v>13708</v>
      </c>
      <c r="H894" t="s">
        <v>2026</v>
      </c>
      <c r="I894">
        <v>3</v>
      </c>
    </row>
    <row r="895" spans="7:9" x14ac:dyDescent="0.15">
      <c r="G895">
        <v>13722</v>
      </c>
      <c r="H895" t="s">
        <v>2027</v>
      </c>
      <c r="I895">
        <v>3</v>
      </c>
    </row>
    <row r="896" spans="7:9" x14ac:dyDescent="0.15">
      <c r="G896">
        <v>13736</v>
      </c>
      <c r="H896" t="s">
        <v>2027</v>
      </c>
      <c r="I896">
        <v>3</v>
      </c>
    </row>
    <row r="897" spans="7:9" x14ac:dyDescent="0.15">
      <c r="G897">
        <v>13750</v>
      </c>
      <c r="H897" t="s">
        <v>2028</v>
      </c>
      <c r="I897">
        <v>3</v>
      </c>
    </row>
    <row r="898" spans="7:9" x14ac:dyDescent="0.15">
      <c r="G898">
        <v>13764</v>
      </c>
      <c r="H898" t="s">
        <v>2029</v>
      </c>
      <c r="I898">
        <v>3</v>
      </c>
    </row>
    <row r="899" spans="7:9" x14ac:dyDescent="0.15">
      <c r="G899">
        <v>13778</v>
      </c>
      <c r="H899" t="s">
        <v>2030</v>
      </c>
      <c r="I899">
        <v>2</v>
      </c>
    </row>
    <row r="900" spans="7:9" x14ac:dyDescent="0.15">
      <c r="G900">
        <v>13792</v>
      </c>
      <c r="H900" t="s">
        <v>2031</v>
      </c>
      <c r="I900">
        <v>3</v>
      </c>
    </row>
    <row r="901" spans="7:9" x14ac:dyDescent="0.15">
      <c r="G901">
        <v>13806</v>
      </c>
      <c r="H901" t="s">
        <v>2032</v>
      </c>
      <c r="I901">
        <v>3</v>
      </c>
    </row>
    <row r="902" spans="7:9" x14ac:dyDescent="0.15">
      <c r="G902">
        <v>13825</v>
      </c>
      <c r="H902" t="s">
        <v>2033</v>
      </c>
      <c r="I902">
        <v>3</v>
      </c>
    </row>
    <row r="903" spans="7:9" x14ac:dyDescent="0.15">
      <c r="G903">
        <v>13834</v>
      </c>
      <c r="H903" t="s">
        <v>2034</v>
      </c>
      <c r="I903">
        <v>2</v>
      </c>
    </row>
    <row r="904" spans="7:9" x14ac:dyDescent="0.15">
      <c r="G904">
        <v>13848</v>
      </c>
      <c r="H904" t="s">
        <v>2035</v>
      </c>
      <c r="I904">
        <v>2</v>
      </c>
    </row>
    <row r="905" spans="7:9" x14ac:dyDescent="0.15">
      <c r="G905">
        <v>13876</v>
      </c>
      <c r="H905" t="s">
        <v>2036</v>
      </c>
      <c r="I905">
        <v>3</v>
      </c>
    </row>
    <row r="906" spans="7:9" x14ac:dyDescent="0.15">
      <c r="G906">
        <v>13890</v>
      </c>
      <c r="H906" t="s">
        <v>2037</v>
      </c>
      <c r="I906">
        <v>3</v>
      </c>
    </row>
    <row r="907" spans="7:9" x14ac:dyDescent="0.15">
      <c r="G907">
        <v>13895</v>
      </c>
      <c r="H907" t="s">
        <v>2036</v>
      </c>
      <c r="I907">
        <v>3</v>
      </c>
    </row>
    <row r="908" spans="7:9" x14ac:dyDescent="0.15">
      <c r="G908">
        <v>13904</v>
      </c>
      <c r="H908" t="s">
        <v>2038</v>
      </c>
      <c r="I908">
        <v>2</v>
      </c>
    </row>
    <row r="909" spans="7:9" x14ac:dyDescent="0.15">
      <c r="G909">
        <v>13918</v>
      </c>
      <c r="H909" t="s">
        <v>2039</v>
      </c>
      <c r="I909">
        <v>3</v>
      </c>
    </row>
    <row r="910" spans="7:9" x14ac:dyDescent="0.15">
      <c r="G910">
        <v>13932</v>
      </c>
      <c r="H910" t="s">
        <v>2039</v>
      </c>
      <c r="I910">
        <v>2</v>
      </c>
    </row>
    <row r="911" spans="7:9" x14ac:dyDescent="0.15">
      <c r="G911">
        <v>13946</v>
      </c>
      <c r="H911" t="s">
        <v>2040</v>
      </c>
      <c r="I911">
        <v>3</v>
      </c>
    </row>
    <row r="912" spans="7:9" x14ac:dyDescent="0.15">
      <c r="G912">
        <v>13960</v>
      </c>
      <c r="H912" t="s">
        <v>2041</v>
      </c>
      <c r="I912">
        <v>3</v>
      </c>
    </row>
    <row r="913" spans="7:9" x14ac:dyDescent="0.15">
      <c r="G913">
        <v>13974</v>
      </c>
      <c r="H913" t="s">
        <v>2042</v>
      </c>
      <c r="I913">
        <v>3</v>
      </c>
    </row>
    <row r="914" spans="7:9" x14ac:dyDescent="0.15">
      <c r="G914">
        <v>13988</v>
      </c>
      <c r="H914" t="s">
        <v>2042</v>
      </c>
      <c r="I914">
        <v>3</v>
      </c>
    </row>
    <row r="915" spans="7:9" x14ac:dyDescent="0.15">
      <c r="G915">
        <v>14002</v>
      </c>
      <c r="H915" t="s">
        <v>2043</v>
      </c>
      <c r="I915">
        <v>3</v>
      </c>
    </row>
    <row r="916" spans="7:9" x14ac:dyDescent="0.15">
      <c r="G916">
        <v>14016</v>
      </c>
      <c r="H916" t="s">
        <v>2042</v>
      </c>
      <c r="I916">
        <v>3</v>
      </c>
    </row>
    <row r="917" spans="7:9" x14ac:dyDescent="0.15">
      <c r="G917">
        <v>14030</v>
      </c>
      <c r="H917" t="s">
        <v>2042</v>
      </c>
      <c r="I917">
        <v>3</v>
      </c>
    </row>
    <row r="918" spans="7:9" x14ac:dyDescent="0.15">
      <c r="G918">
        <v>14044</v>
      </c>
      <c r="H918" t="s">
        <v>2042</v>
      </c>
      <c r="I918">
        <v>3</v>
      </c>
    </row>
    <row r="919" spans="7:9" x14ac:dyDescent="0.15">
      <c r="G919">
        <v>14058</v>
      </c>
      <c r="H919" t="s">
        <v>2044</v>
      </c>
      <c r="I919">
        <v>3</v>
      </c>
    </row>
    <row r="920" spans="7:9" x14ac:dyDescent="0.15">
      <c r="G920">
        <v>14072</v>
      </c>
      <c r="H920" t="s">
        <v>2045</v>
      </c>
      <c r="I920">
        <v>3</v>
      </c>
    </row>
    <row r="921" spans="7:9" x14ac:dyDescent="0.15">
      <c r="G921">
        <v>14086</v>
      </c>
      <c r="H921" t="s">
        <v>2046</v>
      </c>
      <c r="I921">
        <v>2</v>
      </c>
    </row>
    <row r="922" spans="7:9" x14ac:dyDescent="0.15">
      <c r="G922">
        <v>14100</v>
      </c>
      <c r="H922" t="s">
        <v>2047</v>
      </c>
      <c r="I922">
        <v>2</v>
      </c>
    </row>
    <row r="923" spans="7:9" x14ac:dyDescent="0.15">
      <c r="G923">
        <v>14114</v>
      </c>
      <c r="H923" t="s">
        <v>2048</v>
      </c>
      <c r="I923">
        <v>2</v>
      </c>
    </row>
    <row r="924" spans="7:9" x14ac:dyDescent="0.15">
      <c r="G924">
        <v>14128</v>
      </c>
      <c r="H924" t="s">
        <v>2049</v>
      </c>
      <c r="I924">
        <v>1</v>
      </c>
    </row>
    <row r="925" spans="7:9" x14ac:dyDescent="0.15">
      <c r="G925">
        <v>14156</v>
      </c>
      <c r="H925" t="s">
        <v>2050</v>
      </c>
      <c r="I925">
        <v>2</v>
      </c>
    </row>
    <row r="926" spans="7:9" x14ac:dyDescent="0.15">
      <c r="G926">
        <v>14165</v>
      </c>
      <c r="H926" t="s">
        <v>2051</v>
      </c>
      <c r="I926">
        <v>3</v>
      </c>
    </row>
    <row r="927" spans="7:9" x14ac:dyDescent="0.15">
      <c r="G927">
        <v>14170</v>
      </c>
      <c r="H927" t="s">
        <v>2052</v>
      </c>
      <c r="I927">
        <v>3</v>
      </c>
    </row>
    <row r="928" spans="7:9" x14ac:dyDescent="0.15">
      <c r="G928">
        <v>14184</v>
      </c>
      <c r="H928" t="s">
        <v>960</v>
      </c>
      <c r="I928">
        <v>1</v>
      </c>
    </row>
    <row r="929" spans="7:9" x14ac:dyDescent="0.15">
      <c r="G929">
        <v>14226</v>
      </c>
      <c r="H929" t="s">
        <v>2053</v>
      </c>
      <c r="I929">
        <v>2</v>
      </c>
    </row>
    <row r="930" spans="7:9" x14ac:dyDescent="0.15">
      <c r="G930">
        <v>14240</v>
      </c>
      <c r="H930" t="s">
        <v>2054</v>
      </c>
      <c r="I930">
        <v>3</v>
      </c>
    </row>
    <row r="931" spans="7:9" x14ac:dyDescent="0.15">
      <c r="G931">
        <v>14254</v>
      </c>
      <c r="H931" t="s">
        <v>2055</v>
      </c>
      <c r="I931">
        <v>2</v>
      </c>
    </row>
    <row r="932" spans="7:9" x14ac:dyDescent="0.15">
      <c r="G932">
        <v>14268</v>
      </c>
      <c r="H932" t="s">
        <v>2056</v>
      </c>
      <c r="I932">
        <v>3</v>
      </c>
    </row>
    <row r="933" spans="7:9" x14ac:dyDescent="0.15">
      <c r="G933">
        <v>14275</v>
      </c>
      <c r="H933" t="s">
        <v>2057</v>
      </c>
      <c r="I933">
        <v>3</v>
      </c>
    </row>
    <row r="934" spans="7:9" x14ac:dyDescent="0.15">
      <c r="G934">
        <v>14280</v>
      </c>
      <c r="H934" t="s">
        <v>2058</v>
      </c>
      <c r="I934">
        <v>2</v>
      </c>
    </row>
    <row r="935" spans="7:9" x14ac:dyDescent="0.15">
      <c r="G935">
        <v>14288</v>
      </c>
      <c r="H935" t="s">
        <v>2059</v>
      </c>
      <c r="I935">
        <v>2</v>
      </c>
    </row>
    <row r="936" spans="7:9" x14ac:dyDescent="0.15">
      <c r="G936">
        <v>14290</v>
      </c>
      <c r="H936" t="s">
        <v>2060</v>
      </c>
      <c r="I936">
        <v>3</v>
      </c>
    </row>
    <row r="937" spans="7:9" x14ac:dyDescent="0.15">
      <c r="G937">
        <v>14296</v>
      </c>
      <c r="H937" t="s">
        <v>2061</v>
      </c>
      <c r="I937">
        <v>2</v>
      </c>
    </row>
    <row r="938" spans="7:9" x14ac:dyDescent="0.15">
      <c r="G938">
        <v>14298</v>
      </c>
      <c r="H938" t="s">
        <v>2062</v>
      </c>
      <c r="I938">
        <v>3</v>
      </c>
    </row>
    <row r="939" spans="7:9" x14ac:dyDescent="0.15">
      <c r="G939">
        <v>14300</v>
      </c>
      <c r="H939" t="s">
        <v>2063</v>
      </c>
      <c r="I939">
        <v>3</v>
      </c>
    </row>
    <row r="940" spans="7:9" x14ac:dyDescent="0.15">
      <c r="G940">
        <v>14310</v>
      </c>
      <c r="H940" t="s">
        <v>2064</v>
      </c>
      <c r="I940">
        <v>3</v>
      </c>
    </row>
    <row r="941" spans="7:9" x14ac:dyDescent="0.15">
      <c r="G941">
        <v>14324</v>
      </c>
      <c r="H941" t="s">
        <v>2065</v>
      </c>
      <c r="I941">
        <v>2</v>
      </c>
    </row>
    <row r="942" spans="7:9" x14ac:dyDescent="0.15">
      <c r="G942">
        <v>14338</v>
      </c>
      <c r="H942" t="s">
        <v>2066</v>
      </c>
      <c r="I942">
        <v>3</v>
      </c>
    </row>
    <row r="943" spans="7:9" x14ac:dyDescent="0.15">
      <c r="G943">
        <v>15000</v>
      </c>
      <c r="H943" t="s">
        <v>931</v>
      </c>
      <c r="I943">
        <v>1</v>
      </c>
    </row>
    <row r="944" spans="7:9" x14ac:dyDescent="0.15">
      <c r="G944">
        <v>15008</v>
      </c>
      <c r="H944" t="s">
        <v>2067</v>
      </c>
      <c r="I944">
        <v>2</v>
      </c>
    </row>
    <row r="945" spans="7:9" x14ac:dyDescent="0.15">
      <c r="G945">
        <v>15028</v>
      </c>
      <c r="H945" t="s">
        <v>2068</v>
      </c>
      <c r="I945">
        <v>3</v>
      </c>
    </row>
    <row r="946" spans="7:9" x14ac:dyDescent="0.15">
      <c r="G946">
        <v>15056</v>
      </c>
      <c r="H946" t="s">
        <v>2069</v>
      </c>
      <c r="I946">
        <v>3</v>
      </c>
    </row>
    <row r="947" spans="7:9" x14ac:dyDescent="0.15">
      <c r="G947">
        <v>15070</v>
      </c>
      <c r="H947" t="s">
        <v>961</v>
      </c>
      <c r="I947">
        <v>1</v>
      </c>
    </row>
    <row r="948" spans="7:9" x14ac:dyDescent="0.15">
      <c r="G948">
        <v>15077</v>
      </c>
      <c r="H948" t="s">
        <v>2070</v>
      </c>
      <c r="I948">
        <v>3</v>
      </c>
    </row>
    <row r="949" spans="7:9" x14ac:dyDescent="0.15">
      <c r="G949">
        <v>15084</v>
      </c>
      <c r="H949" t="s">
        <v>2071</v>
      </c>
      <c r="I949">
        <v>3</v>
      </c>
    </row>
    <row r="950" spans="7:9" x14ac:dyDescent="0.15">
      <c r="G950">
        <v>15098</v>
      </c>
      <c r="H950" t="s">
        <v>2072</v>
      </c>
      <c r="I950">
        <v>3</v>
      </c>
    </row>
    <row r="951" spans="7:9" x14ac:dyDescent="0.15">
      <c r="G951">
        <v>15112</v>
      </c>
      <c r="H951" t="s">
        <v>2073</v>
      </c>
      <c r="I951">
        <v>3</v>
      </c>
    </row>
    <row r="952" spans="7:9" x14ac:dyDescent="0.15">
      <c r="G952">
        <v>15126</v>
      </c>
      <c r="H952" t="s">
        <v>2074</v>
      </c>
      <c r="I952">
        <v>3</v>
      </c>
    </row>
    <row r="953" spans="7:9" x14ac:dyDescent="0.15">
      <c r="G953">
        <v>15154</v>
      </c>
      <c r="H953" t="s">
        <v>2075</v>
      </c>
      <c r="I953">
        <v>3</v>
      </c>
    </row>
    <row r="954" spans="7:9" x14ac:dyDescent="0.15">
      <c r="G954">
        <v>15168</v>
      </c>
      <c r="H954" t="s">
        <v>2076</v>
      </c>
      <c r="I954">
        <v>3</v>
      </c>
    </row>
    <row r="955" spans="7:9" x14ac:dyDescent="0.15">
      <c r="G955">
        <v>15182</v>
      </c>
      <c r="H955" t="s">
        <v>2075</v>
      </c>
      <c r="I955">
        <v>3</v>
      </c>
    </row>
    <row r="956" spans="7:9" x14ac:dyDescent="0.15">
      <c r="G956">
        <v>15196</v>
      </c>
      <c r="H956" t="s">
        <v>2076</v>
      </c>
      <c r="I956">
        <v>3</v>
      </c>
    </row>
    <row r="957" spans="7:9" x14ac:dyDescent="0.15">
      <c r="G957">
        <v>15210</v>
      </c>
      <c r="H957" t="s">
        <v>2077</v>
      </c>
      <c r="I957">
        <v>2</v>
      </c>
    </row>
    <row r="958" spans="7:9" x14ac:dyDescent="0.15">
      <c r="G958">
        <v>15215</v>
      </c>
      <c r="H958" t="s">
        <v>2078</v>
      </c>
      <c r="I958">
        <v>3</v>
      </c>
    </row>
    <row r="959" spans="7:9" x14ac:dyDescent="0.15">
      <c r="G959">
        <v>15224</v>
      </c>
      <c r="H959" t="s">
        <v>1112</v>
      </c>
      <c r="I959">
        <v>3</v>
      </c>
    </row>
    <row r="960" spans="7:9" x14ac:dyDescent="0.15">
      <c r="G960">
        <v>15238</v>
      </c>
      <c r="H960" t="s">
        <v>1112</v>
      </c>
      <c r="I960">
        <v>3</v>
      </c>
    </row>
    <row r="961" spans="7:9" x14ac:dyDescent="0.15">
      <c r="G961">
        <v>15252</v>
      </c>
      <c r="H961" t="s">
        <v>1156</v>
      </c>
      <c r="I961">
        <v>3</v>
      </c>
    </row>
    <row r="962" spans="7:9" x14ac:dyDescent="0.15">
      <c r="G962">
        <v>15266</v>
      </c>
      <c r="H962" t="s">
        <v>1112</v>
      </c>
      <c r="I962">
        <v>3</v>
      </c>
    </row>
    <row r="963" spans="7:9" x14ac:dyDescent="0.15">
      <c r="G963">
        <v>15280</v>
      </c>
      <c r="H963" t="s">
        <v>1112</v>
      </c>
      <c r="I963">
        <v>3</v>
      </c>
    </row>
    <row r="964" spans="7:9" x14ac:dyDescent="0.15">
      <c r="G964">
        <v>15308</v>
      </c>
      <c r="H964" t="s">
        <v>2079</v>
      </c>
      <c r="I964">
        <v>3</v>
      </c>
    </row>
    <row r="965" spans="7:9" x14ac:dyDescent="0.15">
      <c r="G965">
        <v>15336</v>
      </c>
      <c r="H965" t="s">
        <v>2080</v>
      </c>
      <c r="I965">
        <v>2</v>
      </c>
    </row>
    <row r="966" spans="7:9" x14ac:dyDescent="0.15">
      <c r="G966">
        <v>15350</v>
      </c>
      <c r="H966" t="s">
        <v>2081</v>
      </c>
      <c r="I966">
        <v>3</v>
      </c>
    </row>
    <row r="967" spans="7:9" x14ac:dyDescent="0.15">
      <c r="G967">
        <v>15364</v>
      </c>
      <c r="H967" t="s">
        <v>2082</v>
      </c>
      <c r="I967">
        <v>3</v>
      </c>
    </row>
    <row r="968" spans="7:9" x14ac:dyDescent="0.15">
      <c r="G968">
        <v>15392</v>
      </c>
      <c r="H968" t="s">
        <v>2083</v>
      </c>
      <c r="I968">
        <v>3</v>
      </c>
    </row>
    <row r="969" spans="7:9" x14ac:dyDescent="0.15">
      <c r="G969">
        <v>15406</v>
      </c>
      <c r="H969" t="s">
        <v>2084</v>
      </c>
      <c r="I969">
        <v>2</v>
      </c>
    </row>
    <row r="970" spans="7:9" x14ac:dyDescent="0.15">
      <c r="G970">
        <v>15420</v>
      </c>
      <c r="H970" t="s">
        <v>2084</v>
      </c>
      <c r="I970">
        <v>3</v>
      </c>
    </row>
    <row r="971" spans="7:9" x14ac:dyDescent="0.15">
      <c r="G971">
        <v>15434</v>
      </c>
      <c r="H971" t="s">
        <v>2085</v>
      </c>
      <c r="I971">
        <v>2</v>
      </c>
    </row>
    <row r="972" spans="7:9" x14ac:dyDescent="0.15">
      <c r="G972">
        <v>15448</v>
      </c>
      <c r="H972" t="s">
        <v>2086</v>
      </c>
      <c r="I972">
        <v>3</v>
      </c>
    </row>
    <row r="973" spans="7:9" x14ac:dyDescent="0.15">
      <c r="G973">
        <v>15462</v>
      </c>
      <c r="H973" t="s">
        <v>2086</v>
      </c>
      <c r="I973">
        <v>3</v>
      </c>
    </row>
    <row r="974" spans="7:9" x14ac:dyDescent="0.15">
      <c r="G974">
        <v>15476</v>
      </c>
      <c r="H974" t="s">
        <v>2086</v>
      </c>
      <c r="I974">
        <v>3</v>
      </c>
    </row>
    <row r="975" spans="7:9" x14ac:dyDescent="0.15">
      <c r="G975">
        <v>15490</v>
      </c>
      <c r="H975" t="s">
        <v>1125</v>
      </c>
      <c r="I975">
        <v>3</v>
      </c>
    </row>
    <row r="976" spans="7:9" x14ac:dyDescent="0.15">
      <c r="G976">
        <v>15504</v>
      </c>
      <c r="H976" t="s">
        <v>2086</v>
      </c>
      <c r="I976">
        <v>3</v>
      </c>
    </row>
    <row r="977" spans="7:9" x14ac:dyDescent="0.15">
      <c r="G977">
        <v>15518</v>
      </c>
      <c r="H977" t="s">
        <v>2086</v>
      </c>
      <c r="I977">
        <v>3</v>
      </c>
    </row>
    <row r="978" spans="7:9" x14ac:dyDescent="0.15">
      <c r="G978">
        <v>15532</v>
      </c>
      <c r="H978" t="s">
        <v>2086</v>
      </c>
      <c r="I978">
        <v>3</v>
      </c>
    </row>
    <row r="979" spans="7:9" x14ac:dyDescent="0.15">
      <c r="G979">
        <v>15546</v>
      </c>
      <c r="H979" t="s">
        <v>2086</v>
      </c>
      <c r="I979">
        <v>3</v>
      </c>
    </row>
    <row r="980" spans="7:9" x14ac:dyDescent="0.15">
      <c r="G980">
        <v>15560</v>
      </c>
      <c r="H980" t="s">
        <v>2086</v>
      </c>
      <c r="I980">
        <v>3</v>
      </c>
    </row>
    <row r="981" spans="7:9" x14ac:dyDescent="0.15">
      <c r="G981">
        <v>15574</v>
      </c>
      <c r="H981" t="s">
        <v>2086</v>
      </c>
      <c r="I981">
        <v>3</v>
      </c>
    </row>
    <row r="982" spans="7:9" x14ac:dyDescent="0.15">
      <c r="G982">
        <v>15588</v>
      </c>
      <c r="H982" t="s">
        <v>2087</v>
      </c>
      <c r="I982">
        <v>2</v>
      </c>
    </row>
    <row r="983" spans="7:9" x14ac:dyDescent="0.15">
      <c r="G983">
        <v>15602</v>
      </c>
      <c r="H983" t="s">
        <v>2088</v>
      </c>
      <c r="I983">
        <v>3</v>
      </c>
    </row>
    <row r="984" spans="7:9" x14ac:dyDescent="0.15">
      <c r="G984">
        <v>15616</v>
      </c>
      <c r="H984" t="s">
        <v>2089</v>
      </c>
      <c r="I984">
        <v>3</v>
      </c>
    </row>
    <row r="985" spans="7:9" x14ac:dyDescent="0.15">
      <c r="G985">
        <v>15630</v>
      </c>
      <c r="H985" t="s">
        <v>2090</v>
      </c>
      <c r="I985">
        <v>3</v>
      </c>
    </row>
    <row r="986" spans="7:9" x14ac:dyDescent="0.15">
      <c r="G986">
        <v>15635</v>
      </c>
      <c r="H986" t="s">
        <v>2090</v>
      </c>
      <c r="I986">
        <v>3</v>
      </c>
    </row>
    <row r="987" spans="7:9" x14ac:dyDescent="0.15">
      <c r="G987">
        <v>15644</v>
      </c>
      <c r="H987" t="s">
        <v>2090</v>
      </c>
      <c r="I987">
        <v>1</v>
      </c>
    </row>
    <row r="988" spans="7:9" x14ac:dyDescent="0.15">
      <c r="G988">
        <v>15658</v>
      </c>
      <c r="H988" t="s">
        <v>2091</v>
      </c>
      <c r="I988">
        <v>3</v>
      </c>
    </row>
    <row r="989" spans="7:9" x14ac:dyDescent="0.15">
      <c r="G989">
        <v>15672</v>
      </c>
      <c r="H989" t="s">
        <v>2092</v>
      </c>
      <c r="I989">
        <v>3</v>
      </c>
    </row>
    <row r="990" spans="7:9" x14ac:dyDescent="0.15">
      <c r="G990">
        <v>15686</v>
      </c>
      <c r="H990" t="s">
        <v>2093</v>
      </c>
      <c r="I990">
        <v>3</v>
      </c>
    </row>
    <row r="991" spans="7:9" x14ac:dyDescent="0.15">
      <c r="G991">
        <v>15700</v>
      </c>
      <c r="H991" t="s">
        <v>2092</v>
      </c>
      <c r="I991">
        <v>3</v>
      </c>
    </row>
    <row r="992" spans="7:9" x14ac:dyDescent="0.15">
      <c r="G992">
        <v>15714</v>
      </c>
      <c r="H992" t="s">
        <v>2094</v>
      </c>
      <c r="I992">
        <v>3</v>
      </c>
    </row>
    <row r="993" spans="7:9" x14ac:dyDescent="0.15">
      <c r="G993">
        <v>15722</v>
      </c>
      <c r="H993" t="s">
        <v>2095</v>
      </c>
      <c r="I993">
        <v>3</v>
      </c>
    </row>
    <row r="994" spans="7:9" x14ac:dyDescent="0.15">
      <c r="G994">
        <v>15742</v>
      </c>
      <c r="H994" t="s">
        <v>2095</v>
      </c>
      <c r="I994">
        <v>3</v>
      </c>
    </row>
    <row r="995" spans="7:9" x14ac:dyDescent="0.15">
      <c r="G995">
        <v>15756</v>
      </c>
      <c r="H995" t="s">
        <v>2096</v>
      </c>
      <c r="I995">
        <v>3</v>
      </c>
    </row>
    <row r="996" spans="7:9" x14ac:dyDescent="0.15">
      <c r="G996">
        <v>15765</v>
      </c>
      <c r="H996" t="s">
        <v>2097</v>
      </c>
      <c r="I996">
        <v>3</v>
      </c>
    </row>
    <row r="997" spans="7:9" x14ac:dyDescent="0.15">
      <c r="G997">
        <v>15770</v>
      </c>
      <c r="H997" t="s">
        <v>2098</v>
      </c>
      <c r="I997">
        <v>3</v>
      </c>
    </row>
    <row r="998" spans="7:9" x14ac:dyDescent="0.15">
      <c r="G998">
        <v>16000</v>
      </c>
      <c r="H998" t="s">
        <v>932</v>
      </c>
      <c r="I998">
        <v>1</v>
      </c>
    </row>
    <row r="999" spans="7:9" x14ac:dyDescent="0.15">
      <c r="G999">
        <v>16014</v>
      </c>
      <c r="H999" t="s">
        <v>2099</v>
      </c>
      <c r="I999">
        <v>1</v>
      </c>
    </row>
    <row r="1000" spans="7:9" x14ac:dyDescent="0.15">
      <c r="G1000">
        <v>16028</v>
      </c>
      <c r="H1000" t="s">
        <v>2100</v>
      </c>
      <c r="I1000">
        <v>2</v>
      </c>
    </row>
    <row r="1001" spans="7:9" x14ac:dyDescent="0.15">
      <c r="G1001">
        <v>16042</v>
      </c>
      <c r="H1001" t="s">
        <v>2101</v>
      </c>
      <c r="I1001">
        <v>3</v>
      </c>
    </row>
    <row r="1002" spans="7:9" x14ac:dyDescent="0.15">
      <c r="G1002">
        <v>16056</v>
      </c>
      <c r="H1002" t="s">
        <v>1133</v>
      </c>
      <c r="I1002">
        <v>2</v>
      </c>
    </row>
    <row r="1003" spans="7:9" x14ac:dyDescent="0.15">
      <c r="G1003">
        <v>16070</v>
      </c>
      <c r="H1003" t="s">
        <v>1133</v>
      </c>
      <c r="I1003">
        <v>3</v>
      </c>
    </row>
    <row r="1004" spans="7:9" x14ac:dyDescent="0.15">
      <c r="G1004">
        <v>16075</v>
      </c>
      <c r="H1004" t="s">
        <v>1133</v>
      </c>
      <c r="I1004">
        <v>3</v>
      </c>
    </row>
    <row r="1005" spans="7:9" x14ac:dyDescent="0.15">
      <c r="G1005">
        <v>16098</v>
      </c>
      <c r="H1005" t="s">
        <v>2102</v>
      </c>
      <c r="I1005">
        <v>3</v>
      </c>
    </row>
    <row r="1006" spans="7:9" x14ac:dyDescent="0.15">
      <c r="G1006">
        <v>16105</v>
      </c>
      <c r="H1006" t="s">
        <v>2103</v>
      </c>
      <c r="I1006">
        <v>3</v>
      </c>
    </row>
    <row r="1007" spans="7:9" x14ac:dyDescent="0.15">
      <c r="G1007">
        <v>16112</v>
      </c>
      <c r="H1007" t="s">
        <v>1139</v>
      </c>
      <c r="I1007">
        <v>3</v>
      </c>
    </row>
    <row r="1008" spans="7:9" x14ac:dyDescent="0.15">
      <c r="G1008">
        <v>16126</v>
      </c>
      <c r="H1008" t="s">
        <v>1139</v>
      </c>
      <c r="I1008">
        <v>3</v>
      </c>
    </row>
    <row r="1009" spans="7:9" x14ac:dyDescent="0.15">
      <c r="G1009">
        <v>16140</v>
      </c>
      <c r="H1009" t="s">
        <v>1139</v>
      </c>
      <c r="I1009">
        <v>3</v>
      </c>
    </row>
    <row r="1010" spans="7:9" x14ac:dyDescent="0.15">
      <c r="G1010">
        <v>16154</v>
      </c>
      <c r="H1010" t="s">
        <v>1139</v>
      </c>
      <c r="I1010">
        <v>3</v>
      </c>
    </row>
    <row r="1011" spans="7:9" x14ac:dyDescent="0.15">
      <c r="G1011">
        <v>16168</v>
      </c>
      <c r="H1011" t="s">
        <v>1139</v>
      </c>
      <c r="I1011">
        <v>3</v>
      </c>
    </row>
    <row r="1012" spans="7:9" x14ac:dyDescent="0.15">
      <c r="G1012">
        <v>16182</v>
      </c>
      <c r="H1012" t="s">
        <v>1129</v>
      </c>
      <c r="I1012">
        <v>2</v>
      </c>
    </row>
    <row r="1013" spans="7:9" x14ac:dyDescent="0.15">
      <c r="G1013">
        <v>16210</v>
      </c>
      <c r="H1013" t="s">
        <v>1139</v>
      </c>
      <c r="I1013">
        <v>3</v>
      </c>
    </row>
    <row r="1014" spans="7:9" x14ac:dyDescent="0.15">
      <c r="G1014">
        <v>16224</v>
      </c>
      <c r="H1014" t="s">
        <v>1139</v>
      </c>
      <c r="I1014">
        <v>3</v>
      </c>
    </row>
    <row r="1015" spans="7:9" x14ac:dyDescent="0.15">
      <c r="G1015">
        <v>16252</v>
      </c>
      <c r="H1015" t="s">
        <v>2104</v>
      </c>
      <c r="I1015">
        <v>3</v>
      </c>
    </row>
    <row r="1016" spans="7:9" x14ac:dyDescent="0.15">
      <c r="G1016">
        <v>16257</v>
      </c>
      <c r="H1016" t="s">
        <v>2105</v>
      </c>
      <c r="I1016">
        <v>3</v>
      </c>
    </row>
    <row r="1017" spans="7:9" x14ac:dyDescent="0.15">
      <c r="G1017">
        <v>16260</v>
      </c>
      <c r="H1017" t="s">
        <v>2106</v>
      </c>
      <c r="I1017">
        <v>3</v>
      </c>
    </row>
    <row r="1018" spans="7:9" x14ac:dyDescent="0.15">
      <c r="G1018">
        <v>16266</v>
      </c>
      <c r="H1018" t="s">
        <v>2107</v>
      </c>
      <c r="I1018">
        <v>2</v>
      </c>
    </row>
    <row r="1019" spans="7:9" x14ac:dyDescent="0.15">
      <c r="G1019">
        <v>16270</v>
      </c>
      <c r="H1019" t="s">
        <v>2107</v>
      </c>
      <c r="I1019">
        <v>3</v>
      </c>
    </row>
    <row r="1020" spans="7:9" x14ac:dyDescent="0.15">
      <c r="G1020">
        <v>16275</v>
      </c>
      <c r="H1020" t="s">
        <v>2108</v>
      </c>
      <c r="I1020">
        <v>3</v>
      </c>
    </row>
    <row r="1021" spans="7:9" x14ac:dyDescent="0.15">
      <c r="G1021">
        <v>16280</v>
      </c>
      <c r="H1021" t="s">
        <v>2108</v>
      </c>
      <c r="I1021">
        <v>3</v>
      </c>
    </row>
    <row r="1022" spans="7:9" x14ac:dyDescent="0.15">
      <c r="G1022">
        <v>16285</v>
      </c>
      <c r="H1022" t="s">
        <v>2108</v>
      </c>
      <c r="I1022">
        <v>3</v>
      </c>
    </row>
    <row r="1023" spans="7:9" x14ac:dyDescent="0.15">
      <c r="G1023">
        <v>16308</v>
      </c>
      <c r="H1023" t="s">
        <v>962</v>
      </c>
      <c r="I1023">
        <v>1</v>
      </c>
    </row>
    <row r="1024" spans="7:9" x14ac:dyDescent="0.15">
      <c r="G1024">
        <v>16336</v>
      </c>
      <c r="H1024" t="s">
        <v>2109</v>
      </c>
      <c r="I1024">
        <v>3</v>
      </c>
    </row>
    <row r="1025" spans="7:9" x14ac:dyDescent="0.15">
      <c r="G1025">
        <v>16350</v>
      </c>
      <c r="H1025" t="s">
        <v>2109</v>
      </c>
      <c r="I1025">
        <v>3</v>
      </c>
    </row>
    <row r="1026" spans="7:9" x14ac:dyDescent="0.15">
      <c r="G1026">
        <v>16364</v>
      </c>
      <c r="H1026" t="s">
        <v>2110</v>
      </c>
      <c r="I1026">
        <v>3</v>
      </c>
    </row>
    <row r="1027" spans="7:9" x14ac:dyDescent="0.15">
      <c r="G1027">
        <v>16371</v>
      </c>
      <c r="H1027" t="s">
        <v>2111</v>
      </c>
      <c r="I1027">
        <v>3</v>
      </c>
    </row>
    <row r="1028" spans="7:9" x14ac:dyDescent="0.15">
      <c r="G1028">
        <v>16378</v>
      </c>
      <c r="H1028" t="s">
        <v>2112</v>
      </c>
      <c r="I1028">
        <v>2</v>
      </c>
    </row>
    <row r="1029" spans="7:9" x14ac:dyDescent="0.15">
      <c r="G1029">
        <v>16385</v>
      </c>
      <c r="H1029" t="s">
        <v>2113</v>
      </c>
      <c r="I1029">
        <v>3</v>
      </c>
    </row>
    <row r="1030" spans="7:9" x14ac:dyDescent="0.15">
      <c r="G1030">
        <v>16392</v>
      </c>
      <c r="H1030" t="s">
        <v>2114</v>
      </c>
      <c r="I1030">
        <v>3</v>
      </c>
    </row>
    <row r="1031" spans="7:9" x14ac:dyDescent="0.15">
      <c r="G1031">
        <v>16400</v>
      </c>
      <c r="H1031" t="s">
        <v>2115</v>
      </c>
      <c r="I1031">
        <v>3</v>
      </c>
    </row>
    <row r="1032" spans="7:9" x14ac:dyDescent="0.15">
      <c r="G1032">
        <v>16420</v>
      </c>
      <c r="H1032" t="s">
        <v>2116</v>
      </c>
      <c r="I1032">
        <v>3</v>
      </c>
    </row>
    <row r="1033" spans="7:9" x14ac:dyDescent="0.15">
      <c r="G1033">
        <v>16434</v>
      </c>
      <c r="H1033" t="s">
        <v>2117</v>
      </c>
      <c r="I1033">
        <v>2</v>
      </c>
    </row>
    <row r="1034" spans="7:9" x14ac:dyDescent="0.15">
      <c r="G1034">
        <v>16440</v>
      </c>
      <c r="H1034" t="s">
        <v>2118</v>
      </c>
      <c r="I1034">
        <v>3</v>
      </c>
    </row>
    <row r="1035" spans="7:9" x14ac:dyDescent="0.15">
      <c r="G1035">
        <v>16455</v>
      </c>
      <c r="H1035" t="s">
        <v>2119</v>
      </c>
      <c r="I1035">
        <v>3</v>
      </c>
    </row>
    <row r="1036" spans="7:9" x14ac:dyDescent="0.15">
      <c r="G1036">
        <v>16462</v>
      </c>
      <c r="H1036" t="s">
        <v>2120</v>
      </c>
      <c r="I1036">
        <v>3</v>
      </c>
    </row>
    <row r="1037" spans="7:9" x14ac:dyDescent="0.15">
      <c r="G1037">
        <v>16476</v>
      </c>
      <c r="H1037" t="s">
        <v>2121</v>
      </c>
      <c r="I1037">
        <v>3</v>
      </c>
    </row>
    <row r="1038" spans="7:9" x14ac:dyDescent="0.15">
      <c r="G1038">
        <v>16490</v>
      </c>
      <c r="H1038" t="s">
        <v>2122</v>
      </c>
      <c r="I1038">
        <v>3</v>
      </c>
    </row>
    <row r="1039" spans="7:9" x14ac:dyDescent="0.15">
      <c r="G1039">
        <v>16495</v>
      </c>
      <c r="H1039" t="s">
        <v>2123</v>
      </c>
      <c r="I1039">
        <v>3</v>
      </c>
    </row>
    <row r="1040" spans="7:9" x14ac:dyDescent="0.15">
      <c r="G1040">
        <v>16504</v>
      </c>
      <c r="H1040" t="s">
        <v>2124</v>
      </c>
      <c r="I1040">
        <v>3</v>
      </c>
    </row>
    <row r="1041" spans="7:9" x14ac:dyDescent="0.15">
      <c r="G1041">
        <v>16521</v>
      </c>
      <c r="H1041" t="s">
        <v>2125</v>
      </c>
      <c r="I1041">
        <v>2</v>
      </c>
    </row>
    <row r="1042" spans="7:9" x14ac:dyDescent="0.15">
      <c r="G1042">
        <v>16532</v>
      </c>
      <c r="H1042" t="s">
        <v>2126</v>
      </c>
      <c r="I1042">
        <v>2</v>
      </c>
    </row>
    <row r="1043" spans="7:9" x14ac:dyDescent="0.15">
      <c r="G1043">
        <v>16540</v>
      </c>
      <c r="H1043" t="s">
        <v>2127</v>
      </c>
      <c r="I1043">
        <v>3</v>
      </c>
    </row>
    <row r="1044" spans="7:9" x14ac:dyDescent="0.15">
      <c r="G1044">
        <v>16546</v>
      </c>
      <c r="H1044" t="s">
        <v>2128</v>
      </c>
      <c r="I1044">
        <v>3</v>
      </c>
    </row>
    <row r="1045" spans="7:9" x14ac:dyDescent="0.15">
      <c r="G1045">
        <v>16560</v>
      </c>
      <c r="H1045" t="s">
        <v>2129</v>
      </c>
      <c r="I1045">
        <v>3</v>
      </c>
    </row>
    <row r="1046" spans="7:9" x14ac:dyDescent="0.15">
      <c r="G1046">
        <v>16574</v>
      </c>
      <c r="H1046" t="s">
        <v>2130</v>
      </c>
      <c r="I1046">
        <v>3</v>
      </c>
    </row>
    <row r="1047" spans="7:9" x14ac:dyDescent="0.15">
      <c r="G1047">
        <v>16588</v>
      </c>
      <c r="H1047" t="s">
        <v>2131</v>
      </c>
      <c r="I1047">
        <v>3</v>
      </c>
    </row>
    <row r="1048" spans="7:9" x14ac:dyDescent="0.15">
      <c r="G1048">
        <v>16602</v>
      </c>
      <c r="H1048" t="s">
        <v>2132</v>
      </c>
      <c r="I1048">
        <v>3</v>
      </c>
    </row>
    <row r="1049" spans="7:9" x14ac:dyDescent="0.15">
      <c r="G1049">
        <v>16616</v>
      </c>
      <c r="H1049" t="s">
        <v>2132</v>
      </c>
      <c r="I1049">
        <v>3</v>
      </c>
    </row>
    <row r="1050" spans="7:9" x14ac:dyDescent="0.15">
      <c r="G1050">
        <v>16630</v>
      </c>
      <c r="H1050" t="s">
        <v>2132</v>
      </c>
      <c r="I1050">
        <v>3</v>
      </c>
    </row>
    <row r="1051" spans="7:9" x14ac:dyDescent="0.15">
      <c r="G1051">
        <v>16644</v>
      </c>
      <c r="H1051" t="s">
        <v>2133</v>
      </c>
      <c r="I1051">
        <v>3</v>
      </c>
    </row>
    <row r="1052" spans="7:9" x14ac:dyDescent="0.15">
      <c r="G1052">
        <v>16658</v>
      </c>
      <c r="H1052" t="s">
        <v>2134</v>
      </c>
      <c r="I1052">
        <v>3</v>
      </c>
    </row>
    <row r="1053" spans="7:9" x14ac:dyDescent="0.15">
      <c r="G1053">
        <v>16672</v>
      </c>
      <c r="H1053" t="s">
        <v>2135</v>
      </c>
      <c r="I1053">
        <v>3</v>
      </c>
    </row>
    <row r="1054" spans="7:9" x14ac:dyDescent="0.15">
      <c r="G1054">
        <v>16679</v>
      </c>
      <c r="H1054" t="s">
        <v>2136</v>
      </c>
      <c r="I1054">
        <v>3</v>
      </c>
    </row>
    <row r="1055" spans="7:9" x14ac:dyDescent="0.15">
      <c r="G1055">
        <v>16686</v>
      </c>
      <c r="H1055" t="s">
        <v>2137</v>
      </c>
      <c r="I1055">
        <v>3</v>
      </c>
    </row>
    <row r="1056" spans="7:9" x14ac:dyDescent="0.15">
      <c r="G1056">
        <v>16700</v>
      </c>
      <c r="H1056" t="s">
        <v>2138</v>
      </c>
      <c r="I1056">
        <v>2</v>
      </c>
    </row>
    <row r="1057" spans="7:9" x14ac:dyDescent="0.15">
      <c r="G1057">
        <v>16714</v>
      </c>
      <c r="H1057" t="s">
        <v>2139</v>
      </c>
      <c r="I1057">
        <v>3</v>
      </c>
    </row>
    <row r="1058" spans="7:9" x14ac:dyDescent="0.15">
      <c r="G1058">
        <v>16728</v>
      </c>
      <c r="H1058" t="s">
        <v>2139</v>
      </c>
      <c r="I1058">
        <v>3</v>
      </c>
    </row>
    <row r="1059" spans="7:9" x14ac:dyDescent="0.15">
      <c r="G1059">
        <v>16735</v>
      </c>
      <c r="H1059" t="s">
        <v>2139</v>
      </c>
      <c r="I1059">
        <v>3</v>
      </c>
    </row>
    <row r="1060" spans="7:9" x14ac:dyDescent="0.15">
      <c r="G1060">
        <v>16784</v>
      </c>
      <c r="H1060" t="s">
        <v>2140</v>
      </c>
      <c r="I1060">
        <v>2</v>
      </c>
    </row>
    <row r="1061" spans="7:9" x14ac:dyDescent="0.15">
      <c r="G1061">
        <v>16798</v>
      </c>
      <c r="H1061" t="s">
        <v>2141</v>
      </c>
      <c r="I1061">
        <v>3</v>
      </c>
    </row>
    <row r="1062" spans="7:9" x14ac:dyDescent="0.15">
      <c r="G1062">
        <v>16812</v>
      </c>
      <c r="H1062" t="s">
        <v>2142</v>
      </c>
      <c r="I1062">
        <v>3</v>
      </c>
    </row>
    <row r="1063" spans="7:9" x14ac:dyDescent="0.15">
      <c r="G1063">
        <v>16854</v>
      </c>
      <c r="H1063" t="s">
        <v>2143</v>
      </c>
      <c r="I1063">
        <v>3</v>
      </c>
    </row>
    <row r="1064" spans="7:9" x14ac:dyDescent="0.15">
      <c r="G1064">
        <v>16868</v>
      </c>
      <c r="H1064" t="s">
        <v>2144</v>
      </c>
      <c r="I1064">
        <v>3</v>
      </c>
    </row>
    <row r="1065" spans="7:9" x14ac:dyDescent="0.15">
      <c r="G1065">
        <v>16882</v>
      </c>
      <c r="H1065" t="s">
        <v>2145</v>
      </c>
      <c r="I1065">
        <v>3</v>
      </c>
    </row>
    <row r="1066" spans="7:9" x14ac:dyDescent="0.15">
      <c r="G1066">
        <v>16910</v>
      </c>
      <c r="H1066" t="s">
        <v>2145</v>
      </c>
      <c r="I1066">
        <v>3</v>
      </c>
    </row>
    <row r="1067" spans="7:9" x14ac:dyDescent="0.15">
      <c r="G1067">
        <v>16924</v>
      </c>
      <c r="H1067" t="s">
        <v>2145</v>
      </c>
      <c r="I1067">
        <v>3</v>
      </c>
    </row>
    <row r="1068" spans="7:9" x14ac:dyDescent="0.15">
      <c r="G1068">
        <v>16938</v>
      </c>
      <c r="H1068" t="s">
        <v>2144</v>
      </c>
      <c r="I1068">
        <v>3</v>
      </c>
    </row>
    <row r="1069" spans="7:9" x14ac:dyDescent="0.15">
      <c r="G1069">
        <v>16952</v>
      </c>
      <c r="H1069" t="s">
        <v>2144</v>
      </c>
      <c r="I1069">
        <v>3</v>
      </c>
    </row>
    <row r="1070" spans="7:9" x14ac:dyDescent="0.15">
      <c r="G1070">
        <v>16966</v>
      </c>
      <c r="H1070" t="s">
        <v>2144</v>
      </c>
      <c r="I1070">
        <v>3</v>
      </c>
    </row>
    <row r="1071" spans="7:9" x14ac:dyDescent="0.15">
      <c r="G1071">
        <v>16980</v>
      </c>
      <c r="H1071" t="s">
        <v>2146</v>
      </c>
      <c r="I1071">
        <v>3</v>
      </c>
    </row>
    <row r="1072" spans="7:9" x14ac:dyDescent="0.15">
      <c r="G1072">
        <v>16994</v>
      </c>
      <c r="H1072" t="s">
        <v>2146</v>
      </c>
      <c r="I1072">
        <v>3</v>
      </c>
    </row>
    <row r="1073" spans="7:9" x14ac:dyDescent="0.15">
      <c r="G1073">
        <v>17022</v>
      </c>
      <c r="H1073" t="s">
        <v>2147</v>
      </c>
      <c r="I1073">
        <v>3</v>
      </c>
    </row>
    <row r="1074" spans="7:9" x14ac:dyDescent="0.15">
      <c r="G1074">
        <v>17036</v>
      </c>
      <c r="H1074" t="s">
        <v>1009</v>
      </c>
      <c r="I1074">
        <v>1</v>
      </c>
    </row>
    <row r="1075" spans="7:9" x14ac:dyDescent="0.15">
      <c r="G1075">
        <v>17064</v>
      </c>
      <c r="H1075" t="s">
        <v>2148</v>
      </c>
      <c r="I1075">
        <v>3</v>
      </c>
    </row>
    <row r="1076" spans="7:9" x14ac:dyDescent="0.15">
      <c r="G1076">
        <v>18000</v>
      </c>
      <c r="H1076" t="s">
        <v>933</v>
      </c>
      <c r="I1076">
        <v>1</v>
      </c>
    </row>
    <row r="1077" spans="7:9" x14ac:dyDescent="0.15">
      <c r="G1077">
        <v>18014</v>
      </c>
      <c r="H1077" t="s">
        <v>2149</v>
      </c>
      <c r="I1077">
        <v>2</v>
      </c>
    </row>
    <row r="1078" spans="7:9" x14ac:dyDescent="0.15">
      <c r="G1078">
        <v>18035</v>
      </c>
      <c r="H1078" t="s">
        <v>2150</v>
      </c>
      <c r="I1078">
        <v>3</v>
      </c>
    </row>
    <row r="1079" spans="7:9" x14ac:dyDescent="0.15">
      <c r="G1079">
        <v>18042</v>
      </c>
      <c r="H1079" t="s">
        <v>2150</v>
      </c>
      <c r="I1079">
        <v>3</v>
      </c>
    </row>
    <row r="1080" spans="7:9" x14ac:dyDescent="0.15">
      <c r="G1080">
        <v>18070</v>
      </c>
      <c r="H1080" t="s">
        <v>2151</v>
      </c>
      <c r="I1080">
        <v>2</v>
      </c>
    </row>
    <row r="1081" spans="7:9" x14ac:dyDescent="0.15">
      <c r="G1081">
        <v>18084</v>
      </c>
      <c r="H1081" t="s">
        <v>2152</v>
      </c>
      <c r="I1081">
        <v>3</v>
      </c>
    </row>
    <row r="1082" spans="7:9" x14ac:dyDescent="0.15">
      <c r="G1082">
        <v>18098</v>
      </c>
      <c r="H1082" t="s">
        <v>2153</v>
      </c>
      <c r="I1082">
        <v>3</v>
      </c>
    </row>
    <row r="1083" spans="7:9" x14ac:dyDescent="0.15">
      <c r="G1083">
        <v>18100</v>
      </c>
      <c r="H1083" t="s">
        <v>2154</v>
      </c>
      <c r="I1083">
        <v>3</v>
      </c>
    </row>
    <row r="1084" spans="7:9" x14ac:dyDescent="0.15">
      <c r="G1084">
        <v>18112</v>
      </c>
      <c r="H1084" t="s">
        <v>2155</v>
      </c>
      <c r="I1084">
        <v>3</v>
      </c>
    </row>
    <row r="1085" spans="7:9" x14ac:dyDescent="0.15">
      <c r="G1085">
        <v>18126</v>
      </c>
      <c r="H1085" t="s">
        <v>2156</v>
      </c>
      <c r="I1085">
        <v>3</v>
      </c>
    </row>
    <row r="1086" spans="7:9" x14ac:dyDescent="0.15">
      <c r="G1086">
        <v>18130</v>
      </c>
      <c r="H1086" t="s">
        <v>2157</v>
      </c>
      <c r="I1086">
        <v>3</v>
      </c>
    </row>
    <row r="1087" spans="7:9" x14ac:dyDescent="0.15">
      <c r="G1087">
        <v>18135</v>
      </c>
      <c r="H1087" t="s">
        <v>2157</v>
      </c>
      <c r="I1087">
        <v>3</v>
      </c>
    </row>
    <row r="1088" spans="7:9" x14ac:dyDescent="0.15">
      <c r="G1088">
        <v>18140</v>
      </c>
      <c r="H1088" t="s">
        <v>2156</v>
      </c>
      <c r="I1088">
        <v>3</v>
      </c>
    </row>
    <row r="1089" spans="7:9" x14ac:dyDescent="0.15">
      <c r="G1089">
        <v>18154</v>
      </c>
      <c r="H1089" t="s">
        <v>2156</v>
      </c>
      <c r="I1089">
        <v>3</v>
      </c>
    </row>
    <row r="1090" spans="7:9" x14ac:dyDescent="0.15">
      <c r="G1090">
        <v>18168</v>
      </c>
      <c r="H1090" t="s">
        <v>2156</v>
      </c>
      <c r="I1090">
        <v>3</v>
      </c>
    </row>
    <row r="1091" spans="7:9" x14ac:dyDescent="0.15">
      <c r="G1091">
        <v>18182</v>
      </c>
      <c r="H1091" t="s">
        <v>2157</v>
      </c>
      <c r="I1091">
        <v>3</v>
      </c>
    </row>
    <row r="1092" spans="7:9" x14ac:dyDescent="0.15">
      <c r="G1092">
        <v>18196</v>
      </c>
      <c r="H1092" t="s">
        <v>2156</v>
      </c>
      <c r="I1092">
        <v>3</v>
      </c>
    </row>
    <row r="1093" spans="7:9" x14ac:dyDescent="0.15">
      <c r="G1093">
        <v>18210</v>
      </c>
      <c r="H1093" t="s">
        <v>2157</v>
      </c>
      <c r="I1093">
        <v>3</v>
      </c>
    </row>
    <row r="1094" spans="7:9" x14ac:dyDescent="0.15">
      <c r="G1094">
        <v>18224</v>
      </c>
      <c r="H1094" t="s">
        <v>2156</v>
      </c>
      <c r="I1094">
        <v>3</v>
      </c>
    </row>
    <row r="1095" spans="7:9" x14ac:dyDescent="0.15">
      <c r="G1095">
        <v>18238</v>
      </c>
      <c r="H1095" t="s">
        <v>2156</v>
      </c>
      <c r="I1095">
        <v>3</v>
      </c>
    </row>
    <row r="1096" spans="7:9" x14ac:dyDescent="0.15">
      <c r="G1096">
        <v>18244</v>
      </c>
      <c r="H1096" t="s">
        <v>2158</v>
      </c>
      <c r="I1096">
        <v>2</v>
      </c>
    </row>
    <row r="1097" spans="7:9" x14ac:dyDescent="0.15">
      <c r="G1097">
        <v>18252</v>
      </c>
      <c r="H1097" t="s">
        <v>2159</v>
      </c>
      <c r="I1097">
        <v>3</v>
      </c>
    </row>
    <row r="1098" spans="7:9" x14ac:dyDescent="0.15">
      <c r="G1098">
        <v>18266</v>
      </c>
      <c r="H1098" t="s">
        <v>2160</v>
      </c>
      <c r="I1098">
        <v>2</v>
      </c>
    </row>
    <row r="1099" spans="7:9" x14ac:dyDescent="0.15">
      <c r="G1099">
        <v>18280</v>
      </c>
      <c r="H1099" t="s">
        <v>2161</v>
      </c>
      <c r="I1099">
        <v>3</v>
      </c>
    </row>
    <row r="1100" spans="7:9" x14ac:dyDescent="0.15">
      <c r="G1100">
        <v>18294</v>
      </c>
      <c r="H1100" t="s">
        <v>2162</v>
      </c>
      <c r="I1100">
        <v>3</v>
      </c>
    </row>
    <row r="1101" spans="7:9" x14ac:dyDescent="0.15">
      <c r="G1101">
        <v>18308</v>
      </c>
      <c r="H1101" t="s">
        <v>2163</v>
      </c>
      <c r="I1101">
        <v>2</v>
      </c>
    </row>
    <row r="1102" spans="7:9" x14ac:dyDescent="0.15">
      <c r="G1102">
        <v>18322</v>
      </c>
      <c r="H1102" t="s">
        <v>2162</v>
      </c>
      <c r="I1102">
        <v>3</v>
      </c>
    </row>
    <row r="1103" spans="7:9" x14ac:dyDescent="0.15">
      <c r="G1103">
        <v>18350</v>
      </c>
      <c r="H1103" t="s">
        <v>1022</v>
      </c>
      <c r="I1103">
        <v>1</v>
      </c>
    </row>
    <row r="1104" spans="7:9" x14ac:dyDescent="0.15">
      <c r="G1104">
        <v>18385</v>
      </c>
      <c r="H1104" t="s">
        <v>2164</v>
      </c>
      <c r="I1104">
        <v>3</v>
      </c>
    </row>
    <row r="1105" spans="7:9" x14ac:dyDescent="0.15">
      <c r="G1105">
        <v>18392</v>
      </c>
      <c r="H1105" t="s">
        <v>2165</v>
      </c>
      <c r="I1105">
        <v>3</v>
      </c>
    </row>
    <row r="1106" spans="7:9" x14ac:dyDescent="0.15">
      <c r="G1106">
        <v>18420</v>
      </c>
      <c r="H1106" t="s">
        <v>2166</v>
      </c>
      <c r="I1106">
        <v>3</v>
      </c>
    </row>
    <row r="1107" spans="7:9" x14ac:dyDescent="0.15">
      <c r="G1107">
        <v>18434</v>
      </c>
      <c r="H1107" t="s">
        <v>2167</v>
      </c>
      <c r="I1107">
        <v>3</v>
      </c>
    </row>
    <row r="1108" spans="7:9" x14ac:dyDescent="0.15">
      <c r="G1108">
        <v>18448</v>
      </c>
      <c r="H1108" t="s">
        <v>2168</v>
      </c>
      <c r="I1108">
        <v>3</v>
      </c>
    </row>
    <row r="1109" spans="7:9" x14ac:dyDescent="0.15">
      <c r="G1109">
        <v>18490</v>
      </c>
      <c r="H1109" t="s">
        <v>2169</v>
      </c>
      <c r="I1109">
        <v>3</v>
      </c>
    </row>
    <row r="1110" spans="7:9" x14ac:dyDescent="0.15">
      <c r="G1110">
        <v>18504</v>
      </c>
      <c r="H1110" t="s">
        <v>2170</v>
      </c>
      <c r="I1110">
        <v>2</v>
      </c>
    </row>
    <row r="1111" spans="7:9" x14ac:dyDescent="0.15">
      <c r="G1111">
        <v>18510</v>
      </c>
      <c r="H1111" t="s">
        <v>2171</v>
      </c>
      <c r="I1111">
        <v>3</v>
      </c>
    </row>
    <row r="1112" spans="7:9" x14ac:dyDescent="0.15">
      <c r="G1112">
        <v>18518</v>
      </c>
      <c r="H1112" t="s">
        <v>2172</v>
      </c>
      <c r="I1112">
        <v>3</v>
      </c>
    </row>
    <row r="1113" spans="7:9" x14ac:dyDescent="0.15">
      <c r="G1113">
        <v>18532</v>
      </c>
      <c r="H1113" t="s">
        <v>2173</v>
      </c>
      <c r="I1113">
        <v>3</v>
      </c>
    </row>
    <row r="1114" spans="7:9" x14ac:dyDescent="0.15">
      <c r="G1114">
        <v>18546</v>
      </c>
      <c r="H1114" t="s">
        <v>2174</v>
      </c>
      <c r="I1114">
        <v>2</v>
      </c>
    </row>
    <row r="1115" spans="7:9" x14ac:dyDescent="0.15">
      <c r="G1115">
        <v>18555</v>
      </c>
      <c r="H1115" t="s">
        <v>2175</v>
      </c>
      <c r="I1115">
        <v>3</v>
      </c>
    </row>
    <row r="1116" spans="7:9" x14ac:dyDescent="0.15">
      <c r="G1116">
        <v>18560</v>
      </c>
      <c r="H1116" t="s">
        <v>2176</v>
      </c>
      <c r="I1116">
        <v>3</v>
      </c>
    </row>
    <row r="1117" spans="7:9" x14ac:dyDescent="0.15">
      <c r="G1117">
        <v>18588</v>
      </c>
      <c r="H1117" t="s">
        <v>2177</v>
      </c>
      <c r="I1117">
        <v>2</v>
      </c>
    </row>
    <row r="1118" spans="7:9" x14ac:dyDescent="0.15">
      <c r="G1118">
        <v>18595</v>
      </c>
      <c r="H1118" t="s">
        <v>2178</v>
      </c>
      <c r="I1118">
        <v>3</v>
      </c>
    </row>
    <row r="1119" spans="7:9" x14ac:dyDescent="0.15">
      <c r="G1119">
        <v>18602</v>
      </c>
      <c r="H1119" t="s">
        <v>2179</v>
      </c>
      <c r="I1119">
        <v>3</v>
      </c>
    </row>
    <row r="1120" spans="7:9" x14ac:dyDescent="0.15">
      <c r="G1120">
        <v>18616</v>
      </c>
      <c r="H1120" t="s">
        <v>2180</v>
      </c>
      <c r="I1120">
        <v>3</v>
      </c>
    </row>
    <row r="1121" spans="7:9" x14ac:dyDescent="0.15">
      <c r="G1121">
        <v>18630</v>
      </c>
      <c r="H1121" t="s">
        <v>2181</v>
      </c>
      <c r="I1121">
        <v>3</v>
      </c>
    </row>
    <row r="1122" spans="7:9" x14ac:dyDescent="0.15">
      <c r="G1122">
        <v>18637</v>
      </c>
      <c r="H1122" t="s">
        <v>2182</v>
      </c>
      <c r="I1122">
        <v>3</v>
      </c>
    </row>
    <row r="1123" spans="7:9" x14ac:dyDescent="0.15">
      <c r="G1123">
        <v>18644</v>
      </c>
      <c r="H1123" t="s">
        <v>2183</v>
      </c>
      <c r="I1123">
        <v>3</v>
      </c>
    </row>
    <row r="1124" spans="7:9" x14ac:dyDescent="0.15">
      <c r="G1124">
        <v>18658</v>
      </c>
      <c r="H1124" t="s">
        <v>2184</v>
      </c>
      <c r="I1124">
        <v>3</v>
      </c>
    </row>
    <row r="1125" spans="7:9" x14ac:dyDescent="0.15">
      <c r="G1125">
        <v>18680</v>
      </c>
      <c r="H1125" t="s">
        <v>2185</v>
      </c>
      <c r="I1125">
        <v>3</v>
      </c>
    </row>
    <row r="1126" spans="7:9" x14ac:dyDescent="0.15">
      <c r="G1126">
        <v>18695</v>
      </c>
      <c r="H1126" t="s">
        <v>2186</v>
      </c>
      <c r="I1126">
        <v>3</v>
      </c>
    </row>
    <row r="1127" spans="7:9" x14ac:dyDescent="0.15">
      <c r="G1127">
        <v>18700</v>
      </c>
      <c r="H1127" t="s">
        <v>2187</v>
      </c>
      <c r="I1127">
        <v>3</v>
      </c>
    </row>
    <row r="1128" spans="7:9" x14ac:dyDescent="0.15">
      <c r="G1128">
        <v>18714</v>
      </c>
      <c r="H1128" t="s">
        <v>2188</v>
      </c>
      <c r="I1128">
        <v>3</v>
      </c>
    </row>
    <row r="1129" spans="7:9" x14ac:dyDescent="0.15">
      <c r="G1129">
        <v>18720</v>
      </c>
      <c r="H1129" t="s">
        <v>2189</v>
      </c>
      <c r="I1129">
        <v>3</v>
      </c>
    </row>
    <row r="1130" spans="7:9" x14ac:dyDescent="0.15">
      <c r="G1130">
        <v>18728</v>
      </c>
      <c r="H1130" t="s">
        <v>2190</v>
      </c>
      <c r="I1130">
        <v>3</v>
      </c>
    </row>
    <row r="1131" spans="7:9" x14ac:dyDescent="0.15">
      <c r="G1131">
        <v>18742</v>
      </c>
      <c r="H1131" t="s">
        <v>2191</v>
      </c>
      <c r="I1131">
        <v>3</v>
      </c>
    </row>
    <row r="1132" spans="7:9" x14ac:dyDescent="0.15">
      <c r="G1132">
        <v>18756</v>
      </c>
      <c r="H1132" t="s">
        <v>2192</v>
      </c>
      <c r="I1132">
        <v>3</v>
      </c>
    </row>
    <row r="1133" spans="7:9" x14ac:dyDescent="0.15">
      <c r="G1133">
        <v>18770</v>
      </c>
      <c r="H1133" t="s">
        <v>2193</v>
      </c>
      <c r="I1133">
        <v>2</v>
      </c>
    </row>
    <row r="1134" spans="7:9" x14ac:dyDescent="0.15">
      <c r="G1134">
        <v>18784</v>
      </c>
      <c r="H1134" t="s">
        <v>2194</v>
      </c>
      <c r="I1134">
        <v>3</v>
      </c>
    </row>
    <row r="1135" spans="7:9" x14ac:dyDescent="0.15">
      <c r="G1135">
        <v>18798</v>
      </c>
      <c r="H1135" t="s">
        <v>2194</v>
      </c>
      <c r="I1135">
        <v>3</v>
      </c>
    </row>
    <row r="1136" spans="7:9" x14ac:dyDescent="0.15">
      <c r="G1136">
        <v>18812</v>
      </c>
      <c r="H1136" t="s">
        <v>2195</v>
      </c>
      <c r="I1136">
        <v>1</v>
      </c>
    </row>
    <row r="1137" spans="7:9" x14ac:dyDescent="0.15">
      <c r="G1137">
        <v>18826</v>
      </c>
      <c r="H1137" t="s">
        <v>2196</v>
      </c>
      <c r="I1137">
        <v>3</v>
      </c>
    </row>
    <row r="1138" spans="7:9" x14ac:dyDescent="0.15">
      <c r="G1138">
        <v>18840</v>
      </c>
      <c r="H1138" t="s">
        <v>2197</v>
      </c>
      <c r="I1138">
        <v>2</v>
      </c>
    </row>
    <row r="1139" spans="7:9" x14ac:dyDescent="0.15">
      <c r="G1139">
        <v>18854</v>
      </c>
      <c r="H1139" t="s">
        <v>2198</v>
      </c>
      <c r="I1139">
        <v>3</v>
      </c>
    </row>
    <row r="1140" spans="7:9" x14ac:dyDescent="0.15">
      <c r="G1140">
        <v>18868</v>
      </c>
      <c r="H1140" t="s">
        <v>963</v>
      </c>
      <c r="I1140">
        <v>1</v>
      </c>
    </row>
    <row r="1141" spans="7:9" x14ac:dyDescent="0.15">
      <c r="G1141">
        <v>18896</v>
      </c>
      <c r="H1141" t="s">
        <v>2199</v>
      </c>
      <c r="I1141">
        <v>3</v>
      </c>
    </row>
    <row r="1142" spans="7:9" x14ac:dyDescent="0.15">
      <c r="G1142">
        <v>18903</v>
      </c>
      <c r="H1142" t="s">
        <v>2200</v>
      </c>
      <c r="I1142">
        <v>3</v>
      </c>
    </row>
    <row r="1143" spans="7:9" x14ac:dyDescent="0.15">
      <c r="G1143">
        <v>18907</v>
      </c>
      <c r="H1143" t="s">
        <v>2201</v>
      </c>
      <c r="I1143">
        <v>3</v>
      </c>
    </row>
    <row r="1144" spans="7:9" x14ac:dyDescent="0.15">
      <c r="G1144">
        <v>18910</v>
      </c>
      <c r="H1144" t="s">
        <v>2202</v>
      </c>
      <c r="I1144">
        <v>3</v>
      </c>
    </row>
    <row r="1145" spans="7:9" x14ac:dyDescent="0.15">
      <c r="G1145">
        <v>18915</v>
      </c>
      <c r="H1145" t="s">
        <v>2203</v>
      </c>
      <c r="I1145">
        <v>3</v>
      </c>
    </row>
    <row r="1146" spans="7:9" x14ac:dyDescent="0.15">
      <c r="G1146">
        <v>18920</v>
      </c>
      <c r="H1146" t="s">
        <v>2204</v>
      </c>
      <c r="I1146">
        <v>3</v>
      </c>
    </row>
    <row r="1147" spans="7:9" x14ac:dyDescent="0.15">
      <c r="G1147">
        <v>18945</v>
      </c>
      <c r="H1147" t="s">
        <v>2205</v>
      </c>
      <c r="I1147">
        <v>3</v>
      </c>
    </row>
    <row r="1148" spans="7:9" x14ac:dyDescent="0.15">
      <c r="G1148">
        <v>19008</v>
      </c>
      <c r="H1148" t="s">
        <v>2206</v>
      </c>
      <c r="I1148">
        <v>1</v>
      </c>
    </row>
    <row r="1149" spans="7:9" x14ac:dyDescent="0.15">
      <c r="G1149">
        <v>19036</v>
      </c>
      <c r="H1149" t="s">
        <v>2207</v>
      </c>
      <c r="I1149">
        <v>3</v>
      </c>
    </row>
    <row r="1150" spans="7:9" x14ac:dyDescent="0.15">
      <c r="G1150">
        <v>19050</v>
      </c>
      <c r="H1150" t="s">
        <v>2208</v>
      </c>
      <c r="I1150">
        <v>2</v>
      </c>
    </row>
    <row r="1151" spans="7:9" x14ac:dyDescent="0.15">
      <c r="G1151">
        <v>19064</v>
      </c>
      <c r="H1151" t="s">
        <v>2209</v>
      </c>
      <c r="I1151">
        <v>3</v>
      </c>
    </row>
    <row r="1152" spans="7:9" x14ac:dyDescent="0.15">
      <c r="G1152">
        <v>19070</v>
      </c>
      <c r="H1152" t="s">
        <v>2210</v>
      </c>
      <c r="I1152">
        <v>3</v>
      </c>
    </row>
    <row r="1153" spans="7:9" x14ac:dyDescent="0.15">
      <c r="G1153">
        <v>19078</v>
      </c>
      <c r="H1153" t="s">
        <v>2211</v>
      </c>
      <c r="I1153">
        <v>3</v>
      </c>
    </row>
    <row r="1154" spans="7:9" x14ac:dyDescent="0.15">
      <c r="G1154">
        <v>19092</v>
      </c>
      <c r="H1154" t="s">
        <v>2212</v>
      </c>
      <c r="I1154">
        <v>3</v>
      </c>
    </row>
    <row r="1155" spans="7:9" x14ac:dyDescent="0.15">
      <c r="G1155">
        <v>19100</v>
      </c>
      <c r="H1155" t="s">
        <v>2213</v>
      </c>
      <c r="I1155">
        <v>3</v>
      </c>
    </row>
    <row r="1156" spans="7:9" x14ac:dyDescent="0.15">
      <c r="G1156">
        <v>19106</v>
      </c>
      <c r="H1156" t="s">
        <v>2214</v>
      </c>
      <c r="I1156">
        <v>2</v>
      </c>
    </row>
    <row r="1157" spans="7:9" x14ac:dyDescent="0.15">
      <c r="G1157">
        <v>19120</v>
      </c>
      <c r="H1157" t="s">
        <v>2215</v>
      </c>
      <c r="I1157">
        <v>3</v>
      </c>
    </row>
    <row r="1158" spans="7:9" x14ac:dyDescent="0.15">
      <c r="G1158">
        <v>19134</v>
      </c>
      <c r="H1158" t="s">
        <v>2216</v>
      </c>
      <c r="I1158">
        <v>3</v>
      </c>
    </row>
    <row r="1159" spans="7:9" x14ac:dyDescent="0.15">
      <c r="G1159">
        <v>19148</v>
      </c>
      <c r="H1159" t="s">
        <v>2217</v>
      </c>
      <c r="I1159">
        <v>3</v>
      </c>
    </row>
    <row r="1160" spans="7:9" x14ac:dyDescent="0.15">
      <c r="G1160">
        <v>19176</v>
      </c>
      <c r="H1160" t="s">
        <v>2218</v>
      </c>
      <c r="I1160">
        <v>3</v>
      </c>
    </row>
    <row r="1161" spans="7:9" x14ac:dyDescent="0.15">
      <c r="G1161">
        <v>19190</v>
      </c>
      <c r="H1161" t="s">
        <v>2218</v>
      </c>
      <c r="I1161">
        <v>3</v>
      </c>
    </row>
    <row r="1162" spans="7:9" x14ac:dyDescent="0.15">
      <c r="G1162">
        <v>19195</v>
      </c>
      <c r="H1162" t="s">
        <v>2219</v>
      </c>
      <c r="I1162">
        <v>3</v>
      </c>
    </row>
    <row r="1163" spans="7:9" x14ac:dyDescent="0.15">
      <c r="G1163">
        <v>19210</v>
      </c>
      <c r="H1163" t="s">
        <v>2220</v>
      </c>
      <c r="I1163">
        <v>3</v>
      </c>
    </row>
    <row r="1164" spans="7:9" x14ac:dyDescent="0.15">
      <c r="G1164">
        <v>19218</v>
      </c>
      <c r="H1164" t="s">
        <v>2221</v>
      </c>
      <c r="I1164">
        <v>3</v>
      </c>
    </row>
    <row r="1165" spans="7:9" x14ac:dyDescent="0.15">
      <c r="G1165">
        <v>19225</v>
      </c>
      <c r="H1165" t="s">
        <v>1132</v>
      </c>
      <c r="I1165">
        <v>3</v>
      </c>
    </row>
    <row r="1166" spans="7:9" x14ac:dyDescent="0.15">
      <c r="G1166">
        <v>19232</v>
      </c>
      <c r="H1166" t="s">
        <v>1132</v>
      </c>
      <c r="I1166">
        <v>3</v>
      </c>
    </row>
    <row r="1167" spans="7:9" x14ac:dyDescent="0.15">
      <c r="G1167">
        <v>19246</v>
      </c>
      <c r="H1167" t="s">
        <v>2221</v>
      </c>
      <c r="I1167">
        <v>3</v>
      </c>
    </row>
    <row r="1168" spans="7:9" x14ac:dyDescent="0.15">
      <c r="G1168">
        <v>19250</v>
      </c>
      <c r="H1168" t="s">
        <v>2222</v>
      </c>
      <c r="I1168">
        <v>3</v>
      </c>
    </row>
    <row r="1169" spans="7:9" x14ac:dyDescent="0.15">
      <c r="G1169">
        <v>19253</v>
      </c>
      <c r="H1169" t="s">
        <v>2223</v>
      </c>
      <c r="I1169">
        <v>3</v>
      </c>
    </row>
    <row r="1170" spans="7:9" x14ac:dyDescent="0.15">
      <c r="G1170">
        <v>19260</v>
      </c>
      <c r="H1170" t="s">
        <v>2224</v>
      </c>
      <c r="I1170">
        <v>3</v>
      </c>
    </row>
    <row r="1171" spans="7:9" x14ac:dyDescent="0.15">
      <c r="G1171">
        <v>19274</v>
      </c>
      <c r="H1171" t="s">
        <v>2225</v>
      </c>
      <c r="I1171">
        <v>3</v>
      </c>
    </row>
    <row r="1172" spans="7:9" x14ac:dyDescent="0.15">
      <c r="G1172">
        <v>19288</v>
      </c>
      <c r="H1172" t="s">
        <v>2226</v>
      </c>
      <c r="I1172">
        <v>3</v>
      </c>
    </row>
    <row r="1173" spans="7:9" x14ac:dyDescent="0.15">
      <c r="G1173">
        <v>19316</v>
      </c>
      <c r="H1173" t="s">
        <v>2227</v>
      </c>
      <c r="I1173">
        <v>3</v>
      </c>
    </row>
    <row r="1174" spans="7:9" x14ac:dyDescent="0.15">
      <c r="G1174">
        <v>19325</v>
      </c>
      <c r="H1174" t="s">
        <v>2228</v>
      </c>
      <c r="I1174">
        <v>3</v>
      </c>
    </row>
    <row r="1175" spans="7:9" x14ac:dyDescent="0.15">
      <c r="G1175">
        <v>19330</v>
      </c>
      <c r="H1175" t="s">
        <v>2229</v>
      </c>
      <c r="I1175">
        <v>2</v>
      </c>
    </row>
    <row r="1176" spans="7:9" x14ac:dyDescent="0.15">
      <c r="G1176">
        <v>19331</v>
      </c>
      <c r="H1176" t="s">
        <v>2230</v>
      </c>
      <c r="I1176">
        <v>3</v>
      </c>
    </row>
    <row r="1177" spans="7:9" x14ac:dyDescent="0.15">
      <c r="G1177">
        <v>19344</v>
      </c>
      <c r="H1177" t="s">
        <v>2231</v>
      </c>
      <c r="I1177">
        <v>2</v>
      </c>
    </row>
    <row r="1178" spans="7:9" x14ac:dyDescent="0.15">
      <c r="G1178">
        <v>19350</v>
      </c>
      <c r="H1178" t="s">
        <v>2232</v>
      </c>
      <c r="I1178">
        <v>3</v>
      </c>
    </row>
    <row r="1179" spans="7:9" x14ac:dyDescent="0.15">
      <c r="G1179">
        <v>19380</v>
      </c>
      <c r="H1179" t="s">
        <v>2233</v>
      </c>
      <c r="I1179">
        <v>3</v>
      </c>
    </row>
    <row r="1180" spans="7:9" x14ac:dyDescent="0.15">
      <c r="G1180">
        <v>19400</v>
      </c>
      <c r="H1180" t="s">
        <v>2234</v>
      </c>
      <c r="I1180">
        <v>2</v>
      </c>
    </row>
    <row r="1181" spans="7:9" x14ac:dyDescent="0.15">
      <c r="G1181">
        <v>19405</v>
      </c>
      <c r="H1181" t="s">
        <v>2235</v>
      </c>
      <c r="I1181">
        <v>3</v>
      </c>
    </row>
    <row r="1182" spans="7:9" x14ac:dyDescent="0.15">
      <c r="G1182">
        <v>19414</v>
      </c>
      <c r="H1182" t="s">
        <v>2236</v>
      </c>
      <c r="I1182">
        <v>3</v>
      </c>
    </row>
    <row r="1183" spans="7:9" x14ac:dyDescent="0.15">
      <c r="G1183">
        <v>19430</v>
      </c>
      <c r="H1183" t="s">
        <v>2237</v>
      </c>
      <c r="I1183">
        <v>3</v>
      </c>
    </row>
    <row r="1184" spans="7:9" x14ac:dyDescent="0.15">
      <c r="G1184">
        <v>19442</v>
      </c>
      <c r="H1184" t="s">
        <v>2238</v>
      </c>
      <c r="I1184">
        <v>3</v>
      </c>
    </row>
    <row r="1185" spans="7:9" x14ac:dyDescent="0.15">
      <c r="G1185">
        <v>19456</v>
      </c>
      <c r="H1185" t="s">
        <v>2239</v>
      </c>
      <c r="I1185">
        <v>2</v>
      </c>
    </row>
    <row r="1186" spans="7:9" x14ac:dyDescent="0.15">
      <c r="G1186">
        <v>19470</v>
      </c>
      <c r="H1186" t="s">
        <v>2240</v>
      </c>
      <c r="I1186">
        <v>3</v>
      </c>
    </row>
    <row r="1187" spans="7:9" x14ac:dyDescent="0.15">
      <c r="G1187">
        <v>19484</v>
      </c>
      <c r="H1187" t="s">
        <v>2241</v>
      </c>
      <c r="I1187">
        <v>3</v>
      </c>
    </row>
    <row r="1188" spans="7:9" x14ac:dyDescent="0.15">
      <c r="G1188">
        <v>19498</v>
      </c>
      <c r="H1188" t="s">
        <v>2242</v>
      </c>
      <c r="I1188">
        <v>3</v>
      </c>
    </row>
    <row r="1189" spans="7:9" x14ac:dyDescent="0.15">
      <c r="G1189">
        <v>19512</v>
      </c>
      <c r="H1189" t="s">
        <v>2243</v>
      </c>
      <c r="I1189">
        <v>3</v>
      </c>
    </row>
    <row r="1190" spans="7:9" x14ac:dyDescent="0.15">
      <c r="G1190">
        <v>19526</v>
      </c>
      <c r="H1190" t="s">
        <v>2244</v>
      </c>
      <c r="I1190">
        <v>3</v>
      </c>
    </row>
    <row r="1191" spans="7:9" x14ac:dyDescent="0.15">
      <c r="G1191">
        <v>19530</v>
      </c>
      <c r="H1191" t="s">
        <v>2245</v>
      </c>
      <c r="I1191">
        <v>3</v>
      </c>
    </row>
    <row r="1192" spans="7:9" x14ac:dyDescent="0.15">
      <c r="G1192">
        <v>19535</v>
      </c>
      <c r="H1192" t="s">
        <v>2246</v>
      </c>
      <c r="I1192">
        <v>3</v>
      </c>
    </row>
    <row r="1193" spans="7:9" x14ac:dyDescent="0.15">
      <c r="G1193">
        <v>19540</v>
      </c>
      <c r="H1193" t="s">
        <v>2247</v>
      </c>
      <c r="I1193">
        <v>2</v>
      </c>
    </row>
    <row r="1194" spans="7:9" x14ac:dyDescent="0.15">
      <c r="G1194">
        <v>19554</v>
      </c>
      <c r="H1194" t="s">
        <v>2248</v>
      </c>
      <c r="I1194">
        <v>2</v>
      </c>
    </row>
    <row r="1195" spans="7:9" x14ac:dyDescent="0.15">
      <c r="G1195">
        <v>19560</v>
      </c>
      <c r="H1195" t="s">
        <v>2249</v>
      </c>
      <c r="I1195">
        <v>3</v>
      </c>
    </row>
    <row r="1196" spans="7:9" x14ac:dyDescent="0.15">
      <c r="G1196">
        <v>19568</v>
      </c>
      <c r="H1196" t="s">
        <v>2250</v>
      </c>
      <c r="I1196">
        <v>3</v>
      </c>
    </row>
    <row r="1197" spans="7:9" x14ac:dyDescent="0.15">
      <c r="G1197">
        <v>19596</v>
      </c>
      <c r="H1197" t="s">
        <v>2251</v>
      </c>
      <c r="I1197">
        <v>2</v>
      </c>
    </row>
    <row r="1198" spans="7:9" x14ac:dyDescent="0.15">
      <c r="G1198">
        <v>19615</v>
      </c>
      <c r="H1198" t="s">
        <v>2252</v>
      </c>
      <c r="I1198">
        <v>2</v>
      </c>
    </row>
    <row r="1199" spans="7:9" x14ac:dyDescent="0.15">
      <c r="G1199">
        <v>19638</v>
      </c>
      <c r="H1199" t="s">
        <v>2253</v>
      </c>
      <c r="I1199">
        <v>3</v>
      </c>
    </row>
    <row r="1200" spans="7:9" x14ac:dyDescent="0.15">
      <c r="G1200">
        <v>19652</v>
      </c>
      <c r="H1200" t="s">
        <v>2254</v>
      </c>
      <c r="I1200">
        <v>3</v>
      </c>
    </row>
    <row r="1201" spans="7:9" x14ac:dyDescent="0.15">
      <c r="G1201">
        <v>19670</v>
      </c>
      <c r="H1201" t="s">
        <v>2254</v>
      </c>
      <c r="I1201">
        <v>3</v>
      </c>
    </row>
    <row r="1202" spans="7:9" x14ac:dyDescent="0.15">
      <c r="G1202">
        <v>19685</v>
      </c>
      <c r="H1202" t="s">
        <v>2255</v>
      </c>
      <c r="I1202">
        <v>3</v>
      </c>
    </row>
    <row r="1203" spans="7:9" x14ac:dyDescent="0.15">
      <c r="G1203">
        <v>19694</v>
      </c>
      <c r="H1203" t="s">
        <v>2256</v>
      </c>
      <c r="I1203">
        <v>2</v>
      </c>
    </row>
    <row r="1204" spans="7:9" x14ac:dyDescent="0.15">
      <c r="G1204">
        <v>19708</v>
      </c>
      <c r="H1204" t="s">
        <v>2257</v>
      </c>
      <c r="I1204">
        <v>3</v>
      </c>
    </row>
    <row r="1205" spans="7:9" x14ac:dyDescent="0.15">
      <c r="G1205">
        <v>19722</v>
      </c>
      <c r="H1205" t="s">
        <v>2258</v>
      </c>
      <c r="I1205">
        <v>3</v>
      </c>
    </row>
    <row r="1206" spans="7:9" x14ac:dyDescent="0.15">
      <c r="G1206">
        <v>19736</v>
      </c>
      <c r="H1206" t="s">
        <v>2259</v>
      </c>
      <c r="I1206">
        <v>2</v>
      </c>
    </row>
    <row r="1207" spans="7:9" x14ac:dyDescent="0.15">
      <c r="G1207">
        <v>19750</v>
      </c>
      <c r="H1207" t="s">
        <v>2260</v>
      </c>
      <c r="I1207">
        <v>2</v>
      </c>
    </row>
    <row r="1208" spans="7:9" x14ac:dyDescent="0.15">
      <c r="G1208">
        <v>19764</v>
      </c>
      <c r="H1208" t="s">
        <v>2261</v>
      </c>
      <c r="I1208">
        <v>3</v>
      </c>
    </row>
    <row r="1209" spans="7:9" x14ac:dyDescent="0.15">
      <c r="G1209">
        <v>19778</v>
      </c>
      <c r="H1209" t="s">
        <v>2262</v>
      </c>
      <c r="I1209">
        <v>1</v>
      </c>
    </row>
    <row r="1210" spans="7:9" x14ac:dyDescent="0.15">
      <c r="G1210">
        <v>19806</v>
      </c>
      <c r="H1210" t="s">
        <v>2263</v>
      </c>
      <c r="I1210">
        <v>2</v>
      </c>
    </row>
    <row r="1211" spans="7:9" x14ac:dyDescent="0.15">
      <c r="G1211">
        <v>19816</v>
      </c>
      <c r="H1211" t="s">
        <v>2264</v>
      </c>
      <c r="I1211">
        <v>3</v>
      </c>
    </row>
    <row r="1212" spans="7:9" x14ac:dyDescent="0.15">
      <c r="G1212">
        <v>19820</v>
      </c>
      <c r="H1212" t="s">
        <v>2265</v>
      </c>
      <c r="I1212">
        <v>2</v>
      </c>
    </row>
    <row r="1213" spans="7:9" x14ac:dyDescent="0.15">
      <c r="G1213">
        <v>19834</v>
      </c>
      <c r="H1213" t="s">
        <v>2266</v>
      </c>
      <c r="I1213">
        <v>3</v>
      </c>
    </row>
    <row r="1214" spans="7:9" x14ac:dyDescent="0.15">
      <c r="G1214">
        <v>19848</v>
      </c>
      <c r="H1214" t="s">
        <v>2267</v>
      </c>
      <c r="I1214">
        <v>2</v>
      </c>
    </row>
    <row r="1215" spans="7:9" x14ac:dyDescent="0.15">
      <c r="G1215">
        <v>19876</v>
      </c>
      <c r="H1215" t="s">
        <v>2268</v>
      </c>
      <c r="I1215">
        <v>3</v>
      </c>
    </row>
    <row r="1216" spans="7:9" x14ac:dyDescent="0.15">
      <c r="G1216">
        <v>19885</v>
      </c>
      <c r="H1216" t="s">
        <v>2269</v>
      </c>
      <c r="I1216">
        <v>3</v>
      </c>
    </row>
    <row r="1217" spans="7:9" x14ac:dyDescent="0.15">
      <c r="G1217">
        <v>19895</v>
      </c>
      <c r="H1217" t="s">
        <v>2270</v>
      </c>
      <c r="I1217">
        <v>3</v>
      </c>
    </row>
    <row r="1218" spans="7:9" x14ac:dyDescent="0.15">
      <c r="G1218">
        <v>19904</v>
      </c>
      <c r="H1218" t="s">
        <v>2271</v>
      </c>
      <c r="I1218">
        <v>3</v>
      </c>
    </row>
    <row r="1219" spans="7:9" x14ac:dyDescent="0.15">
      <c r="G1219">
        <v>19925</v>
      </c>
      <c r="H1219" t="s">
        <v>2272</v>
      </c>
      <c r="I1219">
        <v>3</v>
      </c>
    </row>
    <row r="1220" spans="7:9" x14ac:dyDescent="0.15">
      <c r="G1220">
        <v>19932</v>
      </c>
      <c r="H1220" t="s">
        <v>2273</v>
      </c>
      <c r="I1220">
        <v>3</v>
      </c>
    </row>
    <row r="1221" spans="7:9" x14ac:dyDescent="0.15">
      <c r="G1221">
        <v>19960</v>
      </c>
      <c r="H1221" t="s">
        <v>2274</v>
      </c>
      <c r="I1221">
        <v>3</v>
      </c>
    </row>
    <row r="1222" spans="7:9" x14ac:dyDescent="0.15">
      <c r="G1222">
        <v>19965</v>
      </c>
      <c r="H1222" t="s">
        <v>2275</v>
      </c>
      <c r="I1222">
        <v>3</v>
      </c>
    </row>
    <row r="1223" spans="7:9" x14ac:dyDescent="0.15">
      <c r="G1223">
        <v>19974</v>
      </c>
      <c r="H1223" t="s">
        <v>2276</v>
      </c>
      <c r="I1223">
        <v>2</v>
      </c>
    </row>
    <row r="1224" spans="7:9" x14ac:dyDescent="0.15">
      <c r="G1224">
        <v>19988</v>
      </c>
      <c r="H1224" t="s">
        <v>2277</v>
      </c>
      <c r="I1224">
        <v>3</v>
      </c>
    </row>
    <row r="1225" spans="7:9" x14ac:dyDescent="0.15">
      <c r="G1225">
        <v>20016</v>
      </c>
      <c r="H1225" t="s">
        <v>2278</v>
      </c>
      <c r="I1225">
        <v>3</v>
      </c>
    </row>
    <row r="1226" spans="7:9" x14ac:dyDescent="0.15">
      <c r="G1226">
        <v>20030</v>
      </c>
      <c r="H1226" t="s">
        <v>2279</v>
      </c>
      <c r="I1226">
        <v>2</v>
      </c>
    </row>
    <row r="1227" spans="7:9" x14ac:dyDescent="0.15">
      <c r="G1227">
        <v>20044</v>
      </c>
      <c r="H1227" t="s">
        <v>2280</v>
      </c>
      <c r="I1227">
        <v>3</v>
      </c>
    </row>
    <row r="1228" spans="7:9" x14ac:dyDescent="0.15">
      <c r="G1228">
        <v>20058</v>
      </c>
      <c r="H1228" t="s">
        <v>2281</v>
      </c>
      <c r="I1228">
        <v>3</v>
      </c>
    </row>
    <row r="1229" spans="7:9" x14ac:dyDescent="0.15">
      <c r="G1229">
        <v>20086</v>
      </c>
      <c r="H1229" t="s">
        <v>2282</v>
      </c>
      <c r="I1229">
        <v>3</v>
      </c>
    </row>
    <row r="1230" spans="7:9" x14ac:dyDescent="0.15">
      <c r="G1230">
        <v>20114</v>
      </c>
      <c r="H1230" t="s">
        <v>2282</v>
      </c>
      <c r="I1230">
        <v>2</v>
      </c>
    </row>
    <row r="1231" spans="7:9" x14ac:dyDescent="0.15">
      <c r="G1231">
        <v>20128</v>
      </c>
      <c r="H1231" t="s">
        <v>2282</v>
      </c>
      <c r="I1231">
        <v>3</v>
      </c>
    </row>
    <row r="1232" spans="7:9" x14ac:dyDescent="0.15">
      <c r="G1232">
        <v>20142</v>
      </c>
      <c r="H1232" t="s">
        <v>2283</v>
      </c>
      <c r="I1232">
        <v>3</v>
      </c>
    </row>
    <row r="1233" spans="7:9" x14ac:dyDescent="0.15">
      <c r="G1233">
        <v>20156</v>
      </c>
      <c r="H1233" t="s">
        <v>2283</v>
      </c>
      <c r="I1233">
        <v>3</v>
      </c>
    </row>
    <row r="1234" spans="7:9" x14ac:dyDescent="0.15">
      <c r="G1234">
        <v>20170</v>
      </c>
      <c r="H1234" t="s">
        <v>2283</v>
      </c>
      <c r="I1234">
        <v>3</v>
      </c>
    </row>
    <row r="1235" spans="7:9" x14ac:dyDescent="0.15">
      <c r="G1235">
        <v>20198</v>
      </c>
      <c r="H1235" t="s">
        <v>1023</v>
      </c>
      <c r="I1235">
        <v>2</v>
      </c>
    </row>
    <row r="1236" spans="7:9" x14ac:dyDescent="0.15">
      <c r="G1236">
        <v>20212</v>
      </c>
      <c r="H1236" t="s">
        <v>2284</v>
      </c>
      <c r="I1236">
        <v>2</v>
      </c>
    </row>
    <row r="1237" spans="7:9" x14ac:dyDescent="0.15">
      <c r="G1237">
        <v>20226</v>
      </c>
      <c r="H1237" t="s">
        <v>2285</v>
      </c>
      <c r="I1237">
        <v>3</v>
      </c>
    </row>
    <row r="1238" spans="7:9" x14ac:dyDescent="0.15">
      <c r="G1238">
        <v>20240</v>
      </c>
      <c r="H1238" t="s">
        <v>2285</v>
      </c>
      <c r="I1238">
        <v>3</v>
      </c>
    </row>
    <row r="1239" spans="7:9" x14ac:dyDescent="0.15">
      <c r="G1239">
        <v>20245</v>
      </c>
      <c r="H1239" t="s">
        <v>2286</v>
      </c>
      <c r="I1239">
        <v>3</v>
      </c>
    </row>
    <row r="1240" spans="7:9" x14ac:dyDescent="0.15">
      <c r="G1240">
        <v>20254</v>
      </c>
      <c r="H1240" t="s">
        <v>2287</v>
      </c>
      <c r="I1240">
        <v>3</v>
      </c>
    </row>
    <row r="1241" spans="7:9" x14ac:dyDescent="0.15">
      <c r="G1241">
        <v>20268</v>
      </c>
      <c r="H1241" t="s">
        <v>2288</v>
      </c>
      <c r="I1241">
        <v>2</v>
      </c>
    </row>
    <row r="1242" spans="7:9" x14ac:dyDescent="0.15">
      <c r="G1242">
        <v>20282</v>
      </c>
      <c r="H1242" t="s">
        <v>2289</v>
      </c>
      <c r="I1242">
        <v>3</v>
      </c>
    </row>
    <row r="1243" spans="7:9" x14ac:dyDescent="0.15">
      <c r="G1243">
        <v>20296</v>
      </c>
      <c r="H1243" t="s">
        <v>2290</v>
      </c>
      <c r="I1243">
        <v>3</v>
      </c>
    </row>
    <row r="1244" spans="7:9" x14ac:dyDescent="0.15">
      <c r="G1244">
        <v>20324</v>
      </c>
      <c r="H1244" t="s">
        <v>2291</v>
      </c>
      <c r="I1244">
        <v>3</v>
      </c>
    </row>
    <row r="1245" spans="7:9" x14ac:dyDescent="0.15">
      <c r="G1245">
        <v>20338</v>
      </c>
      <c r="H1245" t="s">
        <v>601</v>
      </c>
      <c r="I1245">
        <v>3</v>
      </c>
    </row>
    <row r="1246" spans="7:9" x14ac:dyDescent="0.15">
      <c r="G1246">
        <v>20352</v>
      </c>
      <c r="H1246" t="s">
        <v>2292</v>
      </c>
      <c r="I1246">
        <v>3</v>
      </c>
    </row>
    <row r="1247" spans="7:9" x14ac:dyDescent="0.15">
      <c r="G1247">
        <v>20366</v>
      </c>
      <c r="H1247" t="s">
        <v>2293</v>
      </c>
      <c r="I1247">
        <v>2</v>
      </c>
    </row>
    <row r="1248" spans="7:9" x14ac:dyDescent="0.15">
      <c r="G1248">
        <v>21000</v>
      </c>
      <c r="H1248" t="s">
        <v>934</v>
      </c>
      <c r="I1248">
        <v>1</v>
      </c>
    </row>
    <row r="1249" spans="7:9" x14ac:dyDescent="0.15">
      <c r="G1249">
        <v>21028</v>
      </c>
      <c r="H1249" t="s">
        <v>2294</v>
      </c>
      <c r="I1249">
        <v>3</v>
      </c>
    </row>
    <row r="1250" spans="7:9" x14ac:dyDescent="0.15">
      <c r="G1250">
        <v>21056</v>
      </c>
      <c r="H1250" t="s">
        <v>2295</v>
      </c>
      <c r="I1250">
        <v>3</v>
      </c>
    </row>
    <row r="1251" spans="7:9" x14ac:dyDescent="0.15">
      <c r="G1251">
        <v>21070</v>
      </c>
      <c r="H1251" t="s">
        <v>2296</v>
      </c>
      <c r="I1251">
        <v>3</v>
      </c>
    </row>
    <row r="1252" spans="7:9" x14ac:dyDescent="0.15">
      <c r="G1252">
        <v>21084</v>
      </c>
      <c r="H1252" t="s">
        <v>2297</v>
      </c>
      <c r="I1252">
        <v>3</v>
      </c>
    </row>
    <row r="1253" spans="7:9" x14ac:dyDescent="0.15">
      <c r="G1253">
        <v>21098</v>
      </c>
      <c r="H1253" t="s">
        <v>2297</v>
      </c>
      <c r="I1253">
        <v>3</v>
      </c>
    </row>
    <row r="1254" spans="7:9" x14ac:dyDescent="0.15">
      <c r="G1254">
        <v>21110</v>
      </c>
      <c r="H1254" t="s">
        <v>2298</v>
      </c>
      <c r="I1254">
        <v>3</v>
      </c>
    </row>
    <row r="1255" spans="7:9" x14ac:dyDescent="0.15">
      <c r="G1255">
        <v>21120</v>
      </c>
      <c r="H1255" t="s">
        <v>2299</v>
      </c>
      <c r="I1255">
        <v>3</v>
      </c>
    </row>
    <row r="1256" spans="7:9" x14ac:dyDescent="0.15">
      <c r="G1256">
        <v>21126</v>
      </c>
      <c r="H1256" t="s">
        <v>2300</v>
      </c>
      <c r="I1256">
        <v>3</v>
      </c>
    </row>
    <row r="1257" spans="7:9" x14ac:dyDescent="0.15">
      <c r="G1257">
        <v>21135</v>
      </c>
      <c r="H1257" t="s">
        <v>2301</v>
      </c>
      <c r="I1257">
        <v>3</v>
      </c>
    </row>
    <row r="1258" spans="7:9" x14ac:dyDescent="0.15">
      <c r="G1258">
        <v>21154</v>
      </c>
      <c r="H1258" t="s">
        <v>2302</v>
      </c>
      <c r="I1258">
        <v>3</v>
      </c>
    </row>
    <row r="1259" spans="7:9" x14ac:dyDescent="0.15">
      <c r="G1259">
        <v>21168</v>
      </c>
      <c r="H1259" t="s">
        <v>2303</v>
      </c>
      <c r="I1259">
        <v>3</v>
      </c>
    </row>
    <row r="1260" spans="7:9" x14ac:dyDescent="0.15">
      <c r="G1260">
        <v>21182</v>
      </c>
      <c r="H1260" t="s">
        <v>2304</v>
      </c>
      <c r="I1260">
        <v>3</v>
      </c>
    </row>
    <row r="1261" spans="7:9" x14ac:dyDescent="0.15">
      <c r="G1261">
        <v>21196</v>
      </c>
      <c r="H1261" t="s">
        <v>2305</v>
      </c>
      <c r="I1261">
        <v>3</v>
      </c>
    </row>
    <row r="1262" spans="7:9" x14ac:dyDescent="0.15">
      <c r="G1262">
        <v>21210</v>
      </c>
      <c r="H1262" t="s">
        <v>2304</v>
      </c>
      <c r="I1262">
        <v>3</v>
      </c>
    </row>
    <row r="1263" spans="7:9" x14ac:dyDescent="0.15">
      <c r="G1263">
        <v>21224</v>
      </c>
      <c r="H1263" t="s">
        <v>2304</v>
      </c>
      <c r="I1263">
        <v>3</v>
      </c>
    </row>
    <row r="1264" spans="7:9" x14ac:dyDescent="0.15">
      <c r="G1264">
        <v>21238</v>
      </c>
      <c r="H1264" t="s">
        <v>2304</v>
      </c>
      <c r="I1264">
        <v>3</v>
      </c>
    </row>
    <row r="1265" spans="7:9" x14ac:dyDescent="0.15">
      <c r="G1265">
        <v>21252</v>
      </c>
      <c r="H1265" t="s">
        <v>2306</v>
      </c>
      <c r="I1265">
        <v>3</v>
      </c>
    </row>
    <row r="1266" spans="7:9" x14ac:dyDescent="0.15">
      <c r="G1266">
        <v>21266</v>
      </c>
      <c r="H1266" t="s">
        <v>2307</v>
      </c>
      <c r="I1266">
        <v>1</v>
      </c>
    </row>
    <row r="1267" spans="7:9" x14ac:dyDescent="0.15">
      <c r="G1267">
        <v>21294</v>
      </c>
      <c r="H1267" t="s">
        <v>2308</v>
      </c>
      <c r="I1267">
        <v>2</v>
      </c>
    </row>
    <row r="1268" spans="7:9" x14ac:dyDescent="0.15">
      <c r="G1268">
        <v>21308</v>
      </c>
      <c r="H1268" t="s">
        <v>964</v>
      </c>
      <c r="I1268">
        <v>1</v>
      </c>
    </row>
    <row r="1269" spans="7:9" x14ac:dyDescent="0.15">
      <c r="G1269">
        <v>21322</v>
      </c>
      <c r="H1269" t="s">
        <v>2309</v>
      </c>
      <c r="I1269">
        <v>3</v>
      </c>
    </row>
    <row r="1270" spans="7:9" x14ac:dyDescent="0.15">
      <c r="G1270">
        <v>21350</v>
      </c>
      <c r="H1270" t="s">
        <v>2310</v>
      </c>
      <c r="I1270">
        <v>3</v>
      </c>
    </row>
    <row r="1271" spans="7:9" x14ac:dyDescent="0.15">
      <c r="G1271">
        <v>21364</v>
      </c>
      <c r="H1271" t="s">
        <v>2311</v>
      </c>
      <c r="I1271">
        <v>3</v>
      </c>
    </row>
    <row r="1272" spans="7:9" x14ac:dyDescent="0.15">
      <c r="G1272">
        <v>21378</v>
      </c>
      <c r="H1272" t="s">
        <v>2312</v>
      </c>
      <c r="I1272">
        <v>2</v>
      </c>
    </row>
    <row r="1273" spans="7:9" x14ac:dyDescent="0.15">
      <c r="G1273">
        <v>21392</v>
      </c>
      <c r="H1273" t="s">
        <v>2313</v>
      </c>
      <c r="I1273">
        <v>3</v>
      </c>
    </row>
    <row r="1274" spans="7:9" x14ac:dyDescent="0.15">
      <c r="G1274">
        <v>21406</v>
      </c>
      <c r="H1274" t="s">
        <v>2314</v>
      </c>
      <c r="I1274">
        <v>3</v>
      </c>
    </row>
    <row r="1275" spans="7:9" x14ac:dyDescent="0.15">
      <c r="G1275">
        <v>21420</v>
      </c>
      <c r="H1275" t="s">
        <v>2315</v>
      </c>
      <c r="I1275">
        <v>3</v>
      </c>
    </row>
    <row r="1276" spans="7:9" x14ac:dyDescent="0.15">
      <c r="G1276">
        <v>21434</v>
      </c>
      <c r="H1276" t="s">
        <v>2316</v>
      </c>
      <c r="I1276">
        <v>1</v>
      </c>
    </row>
    <row r="1277" spans="7:9" x14ac:dyDescent="0.15">
      <c r="G1277">
        <v>21448</v>
      </c>
      <c r="H1277" t="s">
        <v>2315</v>
      </c>
      <c r="I1277">
        <v>3</v>
      </c>
    </row>
    <row r="1278" spans="7:9" x14ac:dyDescent="0.15">
      <c r="G1278">
        <v>21462</v>
      </c>
      <c r="H1278" t="s">
        <v>2315</v>
      </c>
      <c r="I1278">
        <v>3</v>
      </c>
    </row>
    <row r="1279" spans="7:9" x14ac:dyDescent="0.15">
      <c r="G1279">
        <v>21469</v>
      </c>
      <c r="H1279" t="s">
        <v>2317</v>
      </c>
      <c r="I1279">
        <v>3</v>
      </c>
    </row>
    <row r="1280" spans="7:9" x14ac:dyDescent="0.15">
      <c r="G1280">
        <v>21490</v>
      </c>
      <c r="H1280" t="s">
        <v>2318</v>
      </c>
      <c r="I1280">
        <v>3</v>
      </c>
    </row>
    <row r="1281" spans="7:9" x14ac:dyDescent="0.15">
      <c r="G1281">
        <v>21504</v>
      </c>
      <c r="H1281" t="s">
        <v>2319</v>
      </c>
      <c r="I1281">
        <v>3</v>
      </c>
    </row>
    <row r="1282" spans="7:9" x14ac:dyDescent="0.15">
      <c r="G1282">
        <v>21518</v>
      </c>
      <c r="H1282" t="s">
        <v>2320</v>
      </c>
      <c r="I1282">
        <v>1</v>
      </c>
    </row>
    <row r="1283" spans="7:9" x14ac:dyDescent="0.15">
      <c r="G1283">
        <v>21532</v>
      </c>
      <c r="H1283" t="s">
        <v>2321</v>
      </c>
      <c r="I1283">
        <v>3</v>
      </c>
    </row>
    <row r="1284" spans="7:9" x14ac:dyDescent="0.15">
      <c r="G1284">
        <v>21546</v>
      </c>
      <c r="H1284" t="s">
        <v>2322</v>
      </c>
      <c r="I1284">
        <v>3</v>
      </c>
    </row>
    <row r="1285" spans="7:9" x14ac:dyDescent="0.15">
      <c r="G1285">
        <v>21555</v>
      </c>
      <c r="H1285" t="s">
        <v>2323</v>
      </c>
      <c r="I1285">
        <v>3</v>
      </c>
    </row>
    <row r="1286" spans="7:9" x14ac:dyDescent="0.15">
      <c r="G1286">
        <v>21560</v>
      </c>
      <c r="H1286" t="s">
        <v>2324</v>
      </c>
      <c r="I1286">
        <v>2</v>
      </c>
    </row>
    <row r="1287" spans="7:9" x14ac:dyDescent="0.15">
      <c r="G1287">
        <v>21574</v>
      </c>
      <c r="H1287" t="s">
        <v>2325</v>
      </c>
      <c r="I1287">
        <v>3</v>
      </c>
    </row>
    <row r="1288" spans="7:9" x14ac:dyDescent="0.15">
      <c r="G1288">
        <v>21588</v>
      </c>
      <c r="H1288" t="s">
        <v>2326</v>
      </c>
      <c r="I1288">
        <v>3</v>
      </c>
    </row>
    <row r="1289" spans="7:9" x14ac:dyDescent="0.15">
      <c r="G1289">
        <v>21602</v>
      </c>
      <c r="H1289" t="s">
        <v>965</v>
      </c>
      <c r="I1289">
        <v>1</v>
      </c>
    </row>
    <row r="1290" spans="7:9" x14ac:dyDescent="0.15">
      <c r="G1290">
        <v>21610</v>
      </c>
      <c r="H1290" t="s">
        <v>2327</v>
      </c>
      <c r="I1290">
        <v>2</v>
      </c>
    </row>
    <row r="1291" spans="7:9" x14ac:dyDescent="0.15">
      <c r="G1291">
        <v>21616</v>
      </c>
      <c r="H1291" t="s">
        <v>2328</v>
      </c>
      <c r="I1291">
        <v>2</v>
      </c>
    </row>
    <row r="1292" spans="7:9" x14ac:dyDescent="0.15">
      <c r="G1292">
        <v>21672</v>
      </c>
      <c r="H1292" t="s">
        <v>2329</v>
      </c>
      <c r="I1292">
        <v>3</v>
      </c>
    </row>
    <row r="1293" spans="7:9" x14ac:dyDescent="0.15">
      <c r="G1293">
        <v>21686</v>
      </c>
      <c r="H1293" t="s">
        <v>2330</v>
      </c>
      <c r="I1293">
        <v>3</v>
      </c>
    </row>
    <row r="1294" spans="7:9" x14ac:dyDescent="0.15">
      <c r="G1294">
        <v>21700</v>
      </c>
      <c r="H1294" t="s">
        <v>2331</v>
      </c>
      <c r="I1294">
        <v>3</v>
      </c>
    </row>
    <row r="1295" spans="7:9" x14ac:dyDescent="0.15">
      <c r="G1295">
        <v>21714</v>
      </c>
      <c r="H1295" t="s">
        <v>2332</v>
      </c>
      <c r="I1295">
        <v>2</v>
      </c>
    </row>
    <row r="1296" spans="7:9" x14ac:dyDescent="0.15">
      <c r="G1296">
        <v>21728</v>
      </c>
      <c r="H1296" t="s">
        <v>2333</v>
      </c>
      <c r="I1296">
        <v>3</v>
      </c>
    </row>
    <row r="1297" spans="7:9" x14ac:dyDescent="0.15">
      <c r="G1297">
        <v>21742</v>
      </c>
      <c r="H1297" t="s">
        <v>2334</v>
      </c>
      <c r="I1297">
        <v>1</v>
      </c>
    </row>
    <row r="1298" spans="7:9" x14ac:dyDescent="0.15">
      <c r="G1298">
        <v>21756</v>
      </c>
      <c r="H1298" t="s">
        <v>2335</v>
      </c>
      <c r="I1298">
        <v>3</v>
      </c>
    </row>
    <row r="1299" spans="7:9" x14ac:dyDescent="0.15">
      <c r="G1299">
        <v>21765</v>
      </c>
      <c r="H1299" t="s">
        <v>2336</v>
      </c>
      <c r="I1299">
        <v>3</v>
      </c>
    </row>
    <row r="1300" spans="7:9" x14ac:dyDescent="0.15">
      <c r="G1300">
        <v>21784</v>
      </c>
      <c r="H1300" t="s">
        <v>2337</v>
      </c>
      <c r="I1300">
        <v>2</v>
      </c>
    </row>
    <row r="1301" spans="7:9" x14ac:dyDescent="0.15">
      <c r="G1301">
        <v>21798</v>
      </c>
      <c r="H1301" t="s">
        <v>2338</v>
      </c>
      <c r="I1301">
        <v>3</v>
      </c>
    </row>
    <row r="1302" spans="7:9" x14ac:dyDescent="0.15">
      <c r="G1302">
        <v>21812</v>
      </c>
      <c r="H1302" t="s">
        <v>2339</v>
      </c>
      <c r="I1302">
        <v>2</v>
      </c>
    </row>
    <row r="1303" spans="7:9" x14ac:dyDescent="0.15">
      <c r="G1303">
        <v>21820</v>
      </c>
      <c r="H1303" t="s">
        <v>2340</v>
      </c>
      <c r="I1303">
        <v>3</v>
      </c>
    </row>
    <row r="1304" spans="7:9" x14ac:dyDescent="0.15">
      <c r="G1304">
        <v>21826</v>
      </c>
      <c r="H1304" t="s">
        <v>2341</v>
      </c>
      <c r="I1304">
        <v>3</v>
      </c>
    </row>
    <row r="1305" spans="7:9" x14ac:dyDescent="0.15">
      <c r="G1305">
        <v>21840</v>
      </c>
      <c r="H1305" t="s">
        <v>2342</v>
      </c>
      <c r="I1305">
        <v>3</v>
      </c>
    </row>
    <row r="1306" spans="7:9" x14ac:dyDescent="0.15">
      <c r="G1306">
        <v>21868</v>
      </c>
      <c r="H1306" t="s">
        <v>2343</v>
      </c>
      <c r="I1306">
        <v>2</v>
      </c>
    </row>
    <row r="1307" spans="7:9" x14ac:dyDescent="0.15">
      <c r="G1307">
        <v>21882</v>
      </c>
      <c r="H1307" t="s">
        <v>2344</v>
      </c>
      <c r="I1307">
        <v>3</v>
      </c>
    </row>
    <row r="1308" spans="7:9" x14ac:dyDescent="0.15">
      <c r="G1308">
        <v>21896</v>
      </c>
      <c r="H1308" t="s">
        <v>2345</v>
      </c>
      <c r="I1308">
        <v>3</v>
      </c>
    </row>
    <row r="1309" spans="7:9" x14ac:dyDescent="0.15">
      <c r="G1309">
        <v>21910</v>
      </c>
      <c r="H1309" t="s">
        <v>2346</v>
      </c>
      <c r="I1309">
        <v>2</v>
      </c>
    </row>
    <row r="1310" spans="7:9" x14ac:dyDescent="0.15">
      <c r="G1310">
        <v>21924</v>
      </c>
      <c r="H1310" t="s">
        <v>2347</v>
      </c>
      <c r="I1310">
        <v>3</v>
      </c>
    </row>
    <row r="1311" spans="7:9" x14ac:dyDescent="0.15">
      <c r="G1311">
        <v>21938</v>
      </c>
      <c r="H1311" t="s">
        <v>2348</v>
      </c>
      <c r="I1311">
        <v>3</v>
      </c>
    </row>
    <row r="1312" spans="7:9" x14ac:dyDescent="0.15">
      <c r="G1312">
        <v>21952</v>
      </c>
      <c r="H1312" t="s">
        <v>2349</v>
      </c>
      <c r="I1312">
        <v>3</v>
      </c>
    </row>
    <row r="1313" spans="7:9" x14ac:dyDescent="0.15">
      <c r="G1313">
        <v>21960</v>
      </c>
      <c r="H1313" t="s">
        <v>2350</v>
      </c>
      <c r="I1313">
        <v>3</v>
      </c>
    </row>
    <row r="1314" spans="7:9" x14ac:dyDescent="0.15">
      <c r="G1314">
        <v>21985</v>
      </c>
      <c r="H1314" t="s">
        <v>2351</v>
      </c>
      <c r="I1314">
        <v>3</v>
      </c>
    </row>
    <row r="1315" spans="7:9" x14ac:dyDescent="0.15">
      <c r="G1315">
        <v>21994</v>
      </c>
      <c r="H1315" t="s">
        <v>2352</v>
      </c>
      <c r="I1315">
        <v>3</v>
      </c>
    </row>
    <row r="1316" spans="7:9" x14ac:dyDescent="0.15">
      <c r="G1316">
        <v>22008</v>
      </c>
      <c r="H1316" t="s">
        <v>2353</v>
      </c>
      <c r="I1316">
        <v>2</v>
      </c>
    </row>
    <row r="1317" spans="7:9" x14ac:dyDescent="0.15">
      <c r="G1317">
        <v>22022</v>
      </c>
      <c r="H1317" t="s">
        <v>2353</v>
      </c>
      <c r="I1317">
        <v>2</v>
      </c>
    </row>
    <row r="1318" spans="7:9" x14ac:dyDescent="0.15">
      <c r="G1318">
        <v>22030</v>
      </c>
      <c r="H1318" t="s">
        <v>2354</v>
      </c>
      <c r="I1318">
        <v>3</v>
      </c>
    </row>
    <row r="1319" spans="7:9" x14ac:dyDescent="0.15">
      <c r="G1319">
        <v>22050</v>
      </c>
      <c r="H1319" t="s">
        <v>2355</v>
      </c>
      <c r="I1319">
        <v>3</v>
      </c>
    </row>
    <row r="1320" spans="7:9" x14ac:dyDescent="0.15">
      <c r="G1320">
        <v>22055</v>
      </c>
      <c r="H1320" t="s">
        <v>2356</v>
      </c>
      <c r="I1320">
        <v>3</v>
      </c>
    </row>
    <row r="1321" spans="7:9" x14ac:dyDescent="0.15">
      <c r="G1321">
        <v>22064</v>
      </c>
      <c r="H1321" t="s">
        <v>2357</v>
      </c>
      <c r="I1321">
        <v>3</v>
      </c>
    </row>
    <row r="1322" spans="7:9" x14ac:dyDescent="0.15">
      <c r="G1322">
        <v>22106</v>
      </c>
      <c r="H1322" t="s">
        <v>2358</v>
      </c>
      <c r="I1322">
        <v>3</v>
      </c>
    </row>
    <row r="1323" spans="7:9" x14ac:dyDescent="0.15">
      <c r="G1323">
        <v>22120</v>
      </c>
      <c r="H1323" t="s">
        <v>2359</v>
      </c>
      <c r="I1323">
        <v>3</v>
      </c>
    </row>
    <row r="1324" spans="7:9" x14ac:dyDescent="0.15">
      <c r="G1324">
        <v>22148</v>
      </c>
      <c r="H1324" t="s">
        <v>2360</v>
      </c>
      <c r="I1324">
        <v>3</v>
      </c>
    </row>
    <row r="1325" spans="7:9" x14ac:dyDescent="0.15">
      <c r="G1325">
        <v>22162</v>
      </c>
      <c r="H1325" t="s">
        <v>2361</v>
      </c>
      <c r="I1325">
        <v>3</v>
      </c>
    </row>
    <row r="1326" spans="7:9" x14ac:dyDescent="0.15">
      <c r="G1326">
        <v>22176</v>
      </c>
      <c r="H1326" t="s">
        <v>2362</v>
      </c>
      <c r="I1326">
        <v>3</v>
      </c>
    </row>
    <row r="1327" spans="7:9" x14ac:dyDescent="0.15">
      <c r="G1327">
        <v>22190</v>
      </c>
      <c r="H1327" t="s">
        <v>2363</v>
      </c>
      <c r="I1327">
        <v>3</v>
      </c>
    </row>
    <row r="1328" spans="7:9" x14ac:dyDescent="0.15">
      <c r="G1328">
        <v>22195</v>
      </c>
      <c r="H1328" t="s">
        <v>2364</v>
      </c>
      <c r="I1328">
        <v>3</v>
      </c>
    </row>
    <row r="1329" spans="7:9" x14ac:dyDescent="0.15">
      <c r="G1329">
        <v>22204</v>
      </c>
      <c r="H1329" t="s">
        <v>2365</v>
      </c>
      <c r="I1329">
        <v>3</v>
      </c>
    </row>
    <row r="1330" spans="7:9" x14ac:dyDescent="0.15">
      <c r="G1330">
        <v>22218</v>
      </c>
      <c r="H1330" t="s">
        <v>2366</v>
      </c>
      <c r="I1330">
        <v>3</v>
      </c>
    </row>
    <row r="1331" spans="7:9" x14ac:dyDescent="0.15">
      <c r="G1331">
        <v>22232</v>
      </c>
      <c r="H1331" t="s">
        <v>2367</v>
      </c>
      <c r="I1331">
        <v>3</v>
      </c>
    </row>
    <row r="1332" spans="7:9" x14ac:dyDescent="0.15">
      <c r="G1332">
        <v>22255</v>
      </c>
      <c r="H1332" t="s">
        <v>2368</v>
      </c>
      <c r="I1332">
        <v>3</v>
      </c>
    </row>
    <row r="1333" spans="7:9" x14ac:dyDescent="0.15">
      <c r="G1333">
        <v>22260</v>
      </c>
      <c r="H1333" t="s">
        <v>2369</v>
      </c>
      <c r="I1333">
        <v>2</v>
      </c>
    </row>
    <row r="1334" spans="7:9" x14ac:dyDescent="0.15">
      <c r="G1334">
        <v>22265</v>
      </c>
      <c r="H1334" t="s">
        <v>2370</v>
      </c>
      <c r="I1334">
        <v>3</v>
      </c>
    </row>
    <row r="1335" spans="7:9" x14ac:dyDescent="0.15">
      <c r="G1335">
        <v>22288</v>
      </c>
      <c r="H1335" t="s">
        <v>2371</v>
      </c>
      <c r="I1335">
        <v>2</v>
      </c>
    </row>
    <row r="1336" spans="7:9" x14ac:dyDescent="0.15">
      <c r="G1336">
        <v>22295</v>
      </c>
      <c r="H1336" t="s">
        <v>2372</v>
      </c>
      <c r="I1336">
        <v>3</v>
      </c>
    </row>
    <row r="1337" spans="7:9" x14ac:dyDescent="0.15">
      <c r="G1337">
        <v>22302</v>
      </c>
      <c r="H1337" t="s">
        <v>2373</v>
      </c>
      <c r="I1337">
        <v>3</v>
      </c>
    </row>
    <row r="1338" spans="7:9" x14ac:dyDescent="0.15">
      <c r="G1338">
        <v>22310</v>
      </c>
      <c r="H1338" t="s">
        <v>2374</v>
      </c>
      <c r="I1338">
        <v>3</v>
      </c>
    </row>
    <row r="1339" spans="7:9" x14ac:dyDescent="0.15">
      <c r="G1339">
        <v>22316</v>
      </c>
      <c r="H1339" t="s">
        <v>2375</v>
      </c>
      <c r="I1339">
        <v>3</v>
      </c>
    </row>
    <row r="1340" spans="7:9" x14ac:dyDescent="0.15">
      <c r="G1340">
        <v>22325</v>
      </c>
      <c r="H1340" t="s">
        <v>2376</v>
      </c>
      <c r="I1340">
        <v>3</v>
      </c>
    </row>
    <row r="1341" spans="7:9" x14ac:dyDescent="0.15">
      <c r="G1341">
        <v>22330</v>
      </c>
      <c r="H1341" t="s">
        <v>2377</v>
      </c>
      <c r="I1341">
        <v>3</v>
      </c>
    </row>
    <row r="1342" spans="7:9" x14ac:dyDescent="0.15">
      <c r="G1342">
        <v>22344</v>
      </c>
      <c r="H1342" t="s">
        <v>2378</v>
      </c>
      <c r="I1342">
        <v>3</v>
      </c>
    </row>
    <row r="1343" spans="7:9" x14ac:dyDescent="0.15">
      <c r="G1343">
        <v>22386</v>
      </c>
      <c r="H1343" t="s">
        <v>2379</v>
      </c>
      <c r="I1343">
        <v>3</v>
      </c>
    </row>
    <row r="1344" spans="7:9" x14ac:dyDescent="0.15">
      <c r="G1344">
        <v>22414</v>
      </c>
      <c r="H1344" t="s">
        <v>2380</v>
      </c>
      <c r="I1344">
        <v>3</v>
      </c>
    </row>
    <row r="1345" spans="7:9" x14ac:dyDescent="0.15">
      <c r="G1345">
        <v>22442</v>
      </c>
      <c r="H1345" t="s">
        <v>2380</v>
      </c>
      <c r="I1345">
        <v>3</v>
      </c>
    </row>
    <row r="1346" spans="7:9" x14ac:dyDescent="0.15">
      <c r="G1346">
        <v>22456</v>
      </c>
      <c r="H1346" t="s">
        <v>2381</v>
      </c>
      <c r="I1346">
        <v>1</v>
      </c>
    </row>
    <row r="1347" spans="7:9" x14ac:dyDescent="0.15">
      <c r="G1347">
        <v>22470</v>
      </c>
      <c r="H1347" t="s">
        <v>2380</v>
      </c>
      <c r="I1347">
        <v>3</v>
      </c>
    </row>
    <row r="1348" spans="7:9" x14ac:dyDescent="0.15">
      <c r="G1348">
        <v>22484</v>
      </c>
      <c r="H1348" t="s">
        <v>2380</v>
      </c>
      <c r="I1348">
        <v>3</v>
      </c>
    </row>
    <row r="1349" spans="7:9" x14ac:dyDescent="0.15">
      <c r="G1349">
        <v>22512</v>
      </c>
      <c r="H1349" t="s">
        <v>2382</v>
      </c>
      <c r="I1349">
        <v>3</v>
      </c>
    </row>
    <row r="1350" spans="7:9" x14ac:dyDescent="0.15">
      <c r="G1350">
        <v>22568</v>
      </c>
      <c r="H1350" t="s">
        <v>2383</v>
      </c>
      <c r="I1350">
        <v>2</v>
      </c>
    </row>
    <row r="1351" spans="7:9" x14ac:dyDescent="0.15">
      <c r="G1351">
        <v>22575</v>
      </c>
      <c r="H1351" t="s">
        <v>2384</v>
      </c>
      <c r="I1351">
        <v>3</v>
      </c>
    </row>
    <row r="1352" spans="7:9" x14ac:dyDescent="0.15">
      <c r="G1352">
        <v>22582</v>
      </c>
      <c r="H1352" t="s">
        <v>2385</v>
      </c>
      <c r="I1352">
        <v>3</v>
      </c>
    </row>
    <row r="1353" spans="7:9" x14ac:dyDescent="0.15">
      <c r="G1353">
        <v>22596</v>
      </c>
      <c r="H1353" t="s">
        <v>2386</v>
      </c>
      <c r="I1353">
        <v>3</v>
      </c>
    </row>
    <row r="1354" spans="7:9" x14ac:dyDescent="0.15">
      <c r="G1354">
        <v>22610</v>
      </c>
      <c r="H1354" t="s">
        <v>2387</v>
      </c>
      <c r="I1354">
        <v>2</v>
      </c>
    </row>
    <row r="1355" spans="7:9" x14ac:dyDescent="0.15">
      <c r="G1355">
        <v>22624</v>
      </c>
      <c r="H1355" t="s">
        <v>2388</v>
      </c>
      <c r="I1355">
        <v>2</v>
      </c>
    </row>
    <row r="1356" spans="7:9" x14ac:dyDescent="0.15">
      <c r="G1356">
        <v>22638</v>
      </c>
      <c r="H1356" t="s">
        <v>2389</v>
      </c>
      <c r="I1356">
        <v>3</v>
      </c>
    </row>
    <row r="1357" spans="7:9" x14ac:dyDescent="0.15">
      <c r="G1357">
        <v>22652</v>
      </c>
      <c r="H1357" t="s">
        <v>2390</v>
      </c>
      <c r="I1357">
        <v>3</v>
      </c>
    </row>
    <row r="1358" spans="7:9" x14ac:dyDescent="0.15">
      <c r="G1358">
        <v>22660</v>
      </c>
      <c r="H1358" t="s">
        <v>2391</v>
      </c>
      <c r="I1358">
        <v>2</v>
      </c>
    </row>
    <row r="1359" spans="7:9" x14ac:dyDescent="0.15">
      <c r="G1359">
        <v>22666</v>
      </c>
      <c r="H1359" t="s">
        <v>2392</v>
      </c>
      <c r="I1359">
        <v>3</v>
      </c>
    </row>
    <row r="1360" spans="7:9" x14ac:dyDescent="0.15">
      <c r="G1360">
        <v>22674</v>
      </c>
      <c r="H1360" t="s">
        <v>2392</v>
      </c>
      <c r="I1360">
        <v>1</v>
      </c>
    </row>
    <row r="1361" spans="7:9" x14ac:dyDescent="0.15">
      <c r="G1361">
        <v>22680</v>
      </c>
      <c r="H1361" t="s">
        <v>2392</v>
      </c>
      <c r="I1361">
        <v>3</v>
      </c>
    </row>
    <row r="1362" spans="7:9" x14ac:dyDescent="0.15">
      <c r="G1362">
        <v>22694</v>
      </c>
      <c r="H1362" t="s">
        <v>2393</v>
      </c>
      <c r="I1362">
        <v>1</v>
      </c>
    </row>
    <row r="1363" spans="7:9" x14ac:dyDescent="0.15">
      <c r="G1363">
        <v>22700</v>
      </c>
      <c r="H1363" t="s">
        <v>2393</v>
      </c>
      <c r="I1363">
        <v>3</v>
      </c>
    </row>
    <row r="1364" spans="7:9" x14ac:dyDescent="0.15">
      <c r="G1364">
        <v>22708</v>
      </c>
      <c r="H1364" t="s">
        <v>2394</v>
      </c>
      <c r="I1364">
        <v>3</v>
      </c>
    </row>
    <row r="1365" spans="7:9" x14ac:dyDescent="0.15">
      <c r="G1365">
        <v>22715</v>
      </c>
      <c r="H1365" t="s">
        <v>2395</v>
      </c>
      <c r="I1365">
        <v>3</v>
      </c>
    </row>
    <row r="1366" spans="7:9" x14ac:dyDescent="0.15">
      <c r="G1366">
        <v>22722</v>
      </c>
      <c r="H1366" t="s">
        <v>2396</v>
      </c>
      <c r="I1366">
        <v>3</v>
      </c>
    </row>
    <row r="1367" spans="7:9" x14ac:dyDescent="0.15">
      <c r="G1367">
        <v>22730</v>
      </c>
      <c r="H1367" t="s">
        <v>2397</v>
      </c>
      <c r="I1367">
        <v>3</v>
      </c>
    </row>
    <row r="1368" spans="7:9" x14ac:dyDescent="0.15">
      <c r="G1368">
        <v>22736</v>
      </c>
      <c r="H1368" t="s">
        <v>2398</v>
      </c>
      <c r="I1368">
        <v>3</v>
      </c>
    </row>
    <row r="1369" spans="7:9" x14ac:dyDescent="0.15">
      <c r="G1369">
        <v>22743</v>
      </c>
      <c r="H1369" t="s">
        <v>2399</v>
      </c>
      <c r="I1369">
        <v>3</v>
      </c>
    </row>
    <row r="1370" spans="7:9" x14ac:dyDescent="0.15">
      <c r="G1370">
        <v>22750</v>
      </c>
      <c r="H1370" t="s">
        <v>2400</v>
      </c>
      <c r="I1370">
        <v>3</v>
      </c>
    </row>
    <row r="1371" spans="7:9" x14ac:dyDescent="0.15">
      <c r="G1371">
        <v>22764</v>
      </c>
      <c r="H1371" t="s">
        <v>2401</v>
      </c>
      <c r="I1371">
        <v>3</v>
      </c>
    </row>
    <row r="1372" spans="7:9" x14ac:dyDescent="0.15">
      <c r="G1372">
        <v>22778</v>
      </c>
      <c r="H1372" t="s">
        <v>2402</v>
      </c>
      <c r="I1372">
        <v>3</v>
      </c>
    </row>
    <row r="1373" spans="7:9" x14ac:dyDescent="0.15">
      <c r="G1373">
        <v>22792</v>
      </c>
      <c r="H1373" t="s">
        <v>2403</v>
      </c>
      <c r="I1373">
        <v>3</v>
      </c>
    </row>
    <row r="1374" spans="7:9" x14ac:dyDescent="0.15">
      <c r="G1374">
        <v>22800</v>
      </c>
      <c r="H1374" t="s">
        <v>2404</v>
      </c>
      <c r="I1374">
        <v>3</v>
      </c>
    </row>
    <row r="1375" spans="7:9" x14ac:dyDescent="0.15">
      <c r="G1375">
        <v>22806</v>
      </c>
      <c r="H1375" t="s">
        <v>2405</v>
      </c>
      <c r="I1375">
        <v>3</v>
      </c>
    </row>
    <row r="1376" spans="7:9" x14ac:dyDescent="0.15">
      <c r="G1376">
        <v>22820</v>
      </c>
      <c r="H1376" t="s">
        <v>2406</v>
      </c>
      <c r="I1376">
        <v>2</v>
      </c>
    </row>
    <row r="1377" spans="7:9" x14ac:dyDescent="0.15">
      <c r="G1377">
        <v>22825</v>
      </c>
      <c r="H1377" t="s">
        <v>2407</v>
      </c>
      <c r="I1377">
        <v>3</v>
      </c>
    </row>
    <row r="1378" spans="7:9" x14ac:dyDescent="0.15">
      <c r="G1378">
        <v>22834</v>
      </c>
      <c r="H1378" t="s">
        <v>2408</v>
      </c>
      <c r="I1378">
        <v>3</v>
      </c>
    </row>
    <row r="1379" spans="7:9" x14ac:dyDescent="0.15">
      <c r="G1379">
        <v>22848</v>
      </c>
      <c r="H1379" t="s">
        <v>2409</v>
      </c>
      <c r="I1379">
        <v>2</v>
      </c>
    </row>
    <row r="1380" spans="7:9" x14ac:dyDescent="0.15">
      <c r="G1380">
        <v>22862</v>
      </c>
      <c r="H1380" t="s">
        <v>2410</v>
      </c>
      <c r="I1380">
        <v>3</v>
      </c>
    </row>
    <row r="1381" spans="7:9" x14ac:dyDescent="0.15">
      <c r="G1381">
        <v>22876</v>
      </c>
      <c r="H1381" t="s">
        <v>2410</v>
      </c>
      <c r="I1381">
        <v>3</v>
      </c>
    </row>
    <row r="1382" spans="7:9" x14ac:dyDescent="0.15">
      <c r="G1382">
        <v>22890</v>
      </c>
      <c r="H1382" t="s">
        <v>2411</v>
      </c>
      <c r="I1382">
        <v>3</v>
      </c>
    </row>
    <row r="1383" spans="7:9" x14ac:dyDescent="0.15">
      <c r="G1383">
        <v>22918</v>
      </c>
      <c r="H1383" t="s">
        <v>2412</v>
      </c>
      <c r="I1383">
        <v>3</v>
      </c>
    </row>
    <row r="1384" spans="7:9" x14ac:dyDescent="0.15">
      <c r="G1384">
        <v>22932</v>
      </c>
      <c r="H1384" t="s">
        <v>2413</v>
      </c>
      <c r="I1384">
        <v>3</v>
      </c>
    </row>
    <row r="1385" spans="7:9" x14ac:dyDescent="0.15">
      <c r="G1385">
        <v>22946</v>
      </c>
      <c r="H1385" t="s">
        <v>2414</v>
      </c>
      <c r="I1385">
        <v>2</v>
      </c>
    </row>
    <row r="1386" spans="7:9" x14ac:dyDescent="0.15">
      <c r="G1386">
        <v>22960</v>
      </c>
      <c r="H1386" t="s">
        <v>2415</v>
      </c>
      <c r="I1386">
        <v>2</v>
      </c>
    </row>
    <row r="1387" spans="7:9" x14ac:dyDescent="0.15">
      <c r="G1387">
        <v>22974</v>
      </c>
      <c r="H1387" t="s">
        <v>2416</v>
      </c>
      <c r="I1387">
        <v>2</v>
      </c>
    </row>
    <row r="1388" spans="7:9" x14ac:dyDescent="0.15">
      <c r="G1388">
        <v>22988</v>
      </c>
      <c r="H1388" t="s">
        <v>2417</v>
      </c>
      <c r="I1388">
        <v>3</v>
      </c>
    </row>
    <row r="1389" spans="7:9" x14ac:dyDescent="0.15">
      <c r="G1389">
        <v>23002</v>
      </c>
      <c r="H1389" t="s">
        <v>2418</v>
      </c>
      <c r="I1389">
        <v>3</v>
      </c>
    </row>
    <row r="1390" spans="7:9" x14ac:dyDescent="0.15">
      <c r="G1390">
        <v>23016</v>
      </c>
      <c r="H1390" t="s">
        <v>2418</v>
      </c>
      <c r="I1390">
        <v>3</v>
      </c>
    </row>
    <row r="1391" spans="7:9" x14ac:dyDescent="0.15">
      <c r="G1391">
        <v>23020</v>
      </c>
      <c r="H1391" t="s">
        <v>2419</v>
      </c>
      <c r="I1391">
        <v>3</v>
      </c>
    </row>
    <row r="1392" spans="7:9" x14ac:dyDescent="0.15">
      <c r="G1392">
        <v>23023</v>
      </c>
      <c r="H1392" t="s">
        <v>2420</v>
      </c>
      <c r="I1392">
        <v>3</v>
      </c>
    </row>
    <row r="1393" spans="7:9" x14ac:dyDescent="0.15">
      <c r="G1393">
        <v>23025</v>
      </c>
      <c r="H1393" t="s">
        <v>2421</v>
      </c>
      <c r="I1393">
        <v>3</v>
      </c>
    </row>
    <row r="1394" spans="7:9" x14ac:dyDescent="0.15">
      <c r="G1394">
        <v>23027</v>
      </c>
      <c r="H1394" t="s">
        <v>2422</v>
      </c>
      <c r="I1394">
        <v>3</v>
      </c>
    </row>
    <row r="1395" spans="7:9" x14ac:dyDescent="0.15">
      <c r="G1395">
        <v>23030</v>
      </c>
      <c r="H1395" t="s">
        <v>2422</v>
      </c>
      <c r="I1395">
        <v>3</v>
      </c>
    </row>
    <row r="1396" spans="7:9" x14ac:dyDescent="0.15">
      <c r="G1396">
        <v>23044</v>
      </c>
      <c r="H1396" t="s">
        <v>2423</v>
      </c>
      <c r="I1396">
        <v>3</v>
      </c>
    </row>
    <row r="1397" spans="7:9" x14ac:dyDescent="0.15">
      <c r="G1397">
        <v>23072</v>
      </c>
      <c r="H1397" t="s">
        <v>2424</v>
      </c>
      <c r="I1397">
        <v>3</v>
      </c>
    </row>
    <row r="1398" spans="7:9" x14ac:dyDescent="0.15">
      <c r="G1398">
        <v>23086</v>
      </c>
      <c r="H1398" t="s">
        <v>2424</v>
      </c>
      <c r="I1398">
        <v>3</v>
      </c>
    </row>
    <row r="1399" spans="7:9" x14ac:dyDescent="0.15">
      <c r="G1399">
        <v>23100</v>
      </c>
      <c r="H1399" t="s">
        <v>2424</v>
      </c>
      <c r="I1399">
        <v>3</v>
      </c>
    </row>
    <row r="1400" spans="7:9" x14ac:dyDescent="0.15">
      <c r="G1400">
        <v>23128</v>
      </c>
      <c r="H1400" t="s">
        <v>2425</v>
      </c>
      <c r="I1400">
        <v>3</v>
      </c>
    </row>
    <row r="1401" spans="7:9" x14ac:dyDescent="0.15">
      <c r="G1401">
        <v>23142</v>
      </c>
      <c r="H1401" t="s">
        <v>2426</v>
      </c>
      <c r="I1401">
        <v>3</v>
      </c>
    </row>
    <row r="1402" spans="7:9" x14ac:dyDescent="0.15">
      <c r="G1402">
        <v>23156</v>
      </c>
      <c r="H1402" t="s">
        <v>2427</v>
      </c>
      <c r="I1402">
        <v>3</v>
      </c>
    </row>
    <row r="1403" spans="7:9" x14ac:dyDescent="0.15">
      <c r="G1403">
        <v>23170</v>
      </c>
      <c r="H1403" t="s">
        <v>2428</v>
      </c>
      <c r="I1403">
        <v>3</v>
      </c>
    </row>
    <row r="1404" spans="7:9" x14ac:dyDescent="0.15">
      <c r="G1404">
        <v>23184</v>
      </c>
      <c r="H1404" t="s">
        <v>2429</v>
      </c>
      <c r="I1404">
        <v>3</v>
      </c>
    </row>
    <row r="1405" spans="7:9" x14ac:dyDescent="0.15">
      <c r="G1405">
        <v>23198</v>
      </c>
      <c r="H1405" t="s">
        <v>2429</v>
      </c>
      <c r="I1405">
        <v>3</v>
      </c>
    </row>
    <row r="1406" spans="7:9" x14ac:dyDescent="0.15">
      <c r="G1406">
        <v>23212</v>
      </c>
      <c r="H1406" t="s">
        <v>2430</v>
      </c>
      <c r="I1406">
        <v>3</v>
      </c>
    </row>
    <row r="1407" spans="7:9" x14ac:dyDescent="0.15">
      <c r="G1407">
        <v>23219</v>
      </c>
      <c r="H1407" t="s">
        <v>2431</v>
      </c>
      <c r="I1407">
        <v>3</v>
      </c>
    </row>
    <row r="1408" spans="7:9" x14ac:dyDescent="0.15">
      <c r="G1408">
        <v>23226</v>
      </c>
      <c r="H1408" t="s">
        <v>2432</v>
      </c>
      <c r="I1408">
        <v>3</v>
      </c>
    </row>
    <row r="1409" spans="7:9" x14ac:dyDescent="0.15">
      <c r="G1409">
        <v>23240</v>
      </c>
      <c r="H1409" t="s">
        <v>2433</v>
      </c>
      <c r="I1409">
        <v>3</v>
      </c>
    </row>
    <row r="1410" spans="7:9" x14ac:dyDescent="0.15">
      <c r="G1410">
        <v>23254</v>
      </c>
      <c r="H1410" t="s">
        <v>2434</v>
      </c>
      <c r="I1410">
        <v>3</v>
      </c>
    </row>
    <row r="1411" spans="7:9" x14ac:dyDescent="0.15">
      <c r="G1411">
        <v>23268</v>
      </c>
      <c r="H1411" t="s">
        <v>2435</v>
      </c>
      <c r="I1411">
        <v>3</v>
      </c>
    </row>
    <row r="1412" spans="7:9" x14ac:dyDescent="0.15">
      <c r="G1412">
        <v>23275</v>
      </c>
      <c r="H1412" t="s">
        <v>2436</v>
      </c>
      <c r="I1412">
        <v>3</v>
      </c>
    </row>
    <row r="1413" spans="7:9" x14ac:dyDescent="0.15">
      <c r="G1413">
        <v>23282</v>
      </c>
      <c r="H1413" t="s">
        <v>2437</v>
      </c>
      <c r="I1413">
        <v>3</v>
      </c>
    </row>
    <row r="1414" spans="7:9" x14ac:dyDescent="0.15">
      <c r="G1414">
        <v>23296</v>
      </c>
      <c r="H1414" t="s">
        <v>2438</v>
      </c>
      <c r="I1414">
        <v>3</v>
      </c>
    </row>
    <row r="1415" spans="7:9" x14ac:dyDescent="0.15">
      <c r="G1415">
        <v>23310</v>
      </c>
      <c r="H1415" t="s">
        <v>2439</v>
      </c>
      <c r="I1415">
        <v>3</v>
      </c>
    </row>
    <row r="1416" spans="7:9" x14ac:dyDescent="0.15">
      <c r="G1416">
        <v>23324</v>
      </c>
      <c r="H1416" t="s">
        <v>2440</v>
      </c>
      <c r="I1416">
        <v>2</v>
      </c>
    </row>
    <row r="1417" spans="7:9" x14ac:dyDescent="0.15">
      <c r="G1417">
        <v>23345</v>
      </c>
      <c r="H1417" t="s">
        <v>2441</v>
      </c>
      <c r="I1417">
        <v>3</v>
      </c>
    </row>
    <row r="1418" spans="7:9" x14ac:dyDescent="0.15">
      <c r="G1418">
        <v>23352</v>
      </c>
      <c r="H1418" t="s">
        <v>2442</v>
      </c>
      <c r="I1418">
        <v>3</v>
      </c>
    </row>
    <row r="1419" spans="7:9" x14ac:dyDescent="0.15">
      <c r="G1419">
        <v>23366</v>
      </c>
      <c r="H1419" t="s">
        <v>2443</v>
      </c>
      <c r="I1419">
        <v>3</v>
      </c>
    </row>
    <row r="1420" spans="7:9" x14ac:dyDescent="0.15">
      <c r="G1420">
        <v>23380</v>
      </c>
      <c r="H1420" t="s">
        <v>2444</v>
      </c>
      <c r="I1420">
        <v>1</v>
      </c>
    </row>
    <row r="1421" spans="7:9" x14ac:dyDescent="0.15">
      <c r="G1421">
        <v>23394</v>
      </c>
      <c r="H1421" t="s">
        <v>2445</v>
      </c>
      <c r="I1421">
        <v>3</v>
      </c>
    </row>
    <row r="1422" spans="7:9" x14ac:dyDescent="0.15">
      <c r="G1422">
        <v>23408</v>
      </c>
      <c r="H1422" t="s">
        <v>2446</v>
      </c>
      <c r="I1422">
        <v>3</v>
      </c>
    </row>
    <row r="1423" spans="7:9" x14ac:dyDescent="0.15">
      <c r="G1423">
        <v>23436</v>
      </c>
      <c r="H1423" t="s">
        <v>2447</v>
      </c>
      <c r="I1423">
        <v>3</v>
      </c>
    </row>
    <row r="1424" spans="7:9" x14ac:dyDescent="0.15">
      <c r="G1424">
        <v>23450</v>
      </c>
      <c r="H1424" t="s">
        <v>2448</v>
      </c>
      <c r="I1424">
        <v>3</v>
      </c>
    </row>
    <row r="1425" spans="7:9" x14ac:dyDescent="0.15">
      <c r="G1425">
        <v>23492</v>
      </c>
      <c r="H1425" t="s">
        <v>2449</v>
      </c>
      <c r="I1425">
        <v>3</v>
      </c>
    </row>
    <row r="1426" spans="7:9" x14ac:dyDescent="0.15">
      <c r="G1426">
        <v>23520</v>
      </c>
      <c r="H1426" t="s">
        <v>2450</v>
      </c>
      <c r="I1426">
        <v>3</v>
      </c>
    </row>
    <row r="1427" spans="7:9" x14ac:dyDescent="0.15">
      <c r="G1427">
        <v>23525</v>
      </c>
      <c r="H1427" t="s">
        <v>2451</v>
      </c>
      <c r="I1427">
        <v>3</v>
      </c>
    </row>
    <row r="1428" spans="7:9" x14ac:dyDescent="0.15">
      <c r="G1428">
        <v>23534</v>
      </c>
      <c r="H1428" t="s">
        <v>2452</v>
      </c>
      <c r="I1428">
        <v>2</v>
      </c>
    </row>
    <row r="1429" spans="7:9" x14ac:dyDescent="0.15">
      <c r="G1429">
        <v>23562</v>
      </c>
      <c r="H1429" t="s">
        <v>2453</v>
      </c>
      <c r="I1429">
        <v>3</v>
      </c>
    </row>
    <row r="1430" spans="7:9" x14ac:dyDescent="0.15">
      <c r="G1430">
        <v>23590</v>
      </c>
      <c r="H1430" t="s">
        <v>2454</v>
      </c>
      <c r="I1430">
        <v>3</v>
      </c>
    </row>
    <row r="1431" spans="7:9" x14ac:dyDescent="0.15">
      <c r="G1431">
        <v>23604</v>
      </c>
      <c r="H1431" t="s">
        <v>2455</v>
      </c>
      <c r="I1431">
        <v>3</v>
      </c>
    </row>
    <row r="1432" spans="7:9" x14ac:dyDescent="0.15">
      <c r="G1432">
        <v>23618</v>
      </c>
      <c r="H1432" t="s">
        <v>2456</v>
      </c>
      <c r="I1432">
        <v>1</v>
      </c>
    </row>
    <row r="1433" spans="7:9" x14ac:dyDescent="0.15">
      <c r="G1433">
        <v>23660</v>
      </c>
      <c r="H1433" t="s">
        <v>2457</v>
      </c>
      <c r="I1433">
        <v>3</v>
      </c>
    </row>
    <row r="1434" spans="7:9" x14ac:dyDescent="0.15">
      <c r="G1434">
        <v>23665</v>
      </c>
      <c r="H1434" t="s">
        <v>2458</v>
      </c>
      <c r="I1434">
        <v>3</v>
      </c>
    </row>
    <row r="1435" spans="7:9" x14ac:dyDescent="0.15">
      <c r="G1435">
        <v>23674</v>
      </c>
      <c r="H1435" t="s">
        <v>2459</v>
      </c>
      <c r="I1435">
        <v>3</v>
      </c>
    </row>
    <row r="1436" spans="7:9" x14ac:dyDescent="0.15">
      <c r="G1436">
        <v>23688</v>
      </c>
      <c r="H1436" t="s">
        <v>2460</v>
      </c>
      <c r="I1436">
        <v>3</v>
      </c>
    </row>
    <row r="1437" spans="7:9" x14ac:dyDescent="0.15">
      <c r="G1437">
        <v>23702</v>
      </c>
      <c r="H1437" t="s">
        <v>2460</v>
      </c>
      <c r="I1437">
        <v>2</v>
      </c>
    </row>
    <row r="1438" spans="7:9" x14ac:dyDescent="0.15">
      <c r="G1438">
        <v>23716</v>
      </c>
      <c r="H1438" t="s">
        <v>2460</v>
      </c>
      <c r="I1438">
        <v>3</v>
      </c>
    </row>
    <row r="1439" spans="7:9" x14ac:dyDescent="0.15">
      <c r="G1439">
        <v>23730</v>
      </c>
      <c r="H1439" t="s">
        <v>967</v>
      </c>
      <c r="I1439">
        <v>1</v>
      </c>
    </row>
    <row r="1440" spans="7:9" x14ac:dyDescent="0.15">
      <c r="G1440">
        <v>23772</v>
      </c>
      <c r="H1440" t="s">
        <v>2461</v>
      </c>
      <c r="I1440">
        <v>3</v>
      </c>
    </row>
    <row r="1441" spans="7:9" x14ac:dyDescent="0.15">
      <c r="G1441">
        <v>23800</v>
      </c>
      <c r="H1441" t="s">
        <v>2462</v>
      </c>
      <c r="I1441">
        <v>3</v>
      </c>
    </row>
    <row r="1442" spans="7:9" x14ac:dyDescent="0.15">
      <c r="G1442">
        <v>23814</v>
      </c>
      <c r="H1442" t="s">
        <v>2463</v>
      </c>
      <c r="I1442">
        <v>3</v>
      </c>
    </row>
    <row r="1443" spans="7:9" x14ac:dyDescent="0.15">
      <c r="G1443">
        <v>23828</v>
      </c>
      <c r="H1443" t="s">
        <v>2464</v>
      </c>
      <c r="I1443">
        <v>3</v>
      </c>
    </row>
    <row r="1444" spans="7:9" x14ac:dyDescent="0.15">
      <c r="G1444">
        <v>23856</v>
      </c>
      <c r="H1444" t="s">
        <v>2465</v>
      </c>
      <c r="I1444">
        <v>3</v>
      </c>
    </row>
    <row r="1445" spans="7:9" x14ac:dyDescent="0.15">
      <c r="G1445">
        <v>23870</v>
      </c>
      <c r="H1445" t="s">
        <v>2466</v>
      </c>
      <c r="I1445">
        <v>3</v>
      </c>
    </row>
    <row r="1446" spans="7:9" x14ac:dyDescent="0.15">
      <c r="G1446">
        <v>23880</v>
      </c>
      <c r="H1446" t="s">
        <v>2467</v>
      </c>
      <c r="I1446">
        <v>3</v>
      </c>
    </row>
    <row r="1447" spans="7:9" x14ac:dyDescent="0.15">
      <c r="G1447">
        <v>23898</v>
      </c>
      <c r="H1447" t="s">
        <v>2467</v>
      </c>
      <c r="I1447">
        <v>3</v>
      </c>
    </row>
    <row r="1448" spans="7:9" x14ac:dyDescent="0.15">
      <c r="G1448">
        <v>23912</v>
      </c>
      <c r="H1448" t="s">
        <v>2468</v>
      </c>
      <c r="I1448">
        <v>3</v>
      </c>
    </row>
    <row r="1449" spans="7:9" x14ac:dyDescent="0.15">
      <c r="G1449">
        <v>23940</v>
      </c>
      <c r="H1449" t="s">
        <v>2469</v>
      </c>
      <c r="I1449">
        <v>2</v>
      </c>
    </row>
    <row r="1450" spans="7:9" x14ac:dyDescent="0.15">
      <c r="G1450">
        <v>23975</v>
      </c>
      <c r="H1450" t="s">
        <v>2470</v>
      </c>
      <c r="I1450">
        <v>3</v>
      </c>
    </row>
    <row r="1451" spans="7:9" x14ac:dyDescent="0.15">
      <c r="G1451">
        <v>23996</v>
      </c>
      <c r="H1451" t="s">
        <v>2471</v>
      </c>
      <c r="I1451">
        <v>3</v>
      </c>
    </row>
    <row r="1452" spans="7:9" x14ac:dyDescent="0.15">
      <c r="G1452">
        <v>24010</v>
      </c>
      <c r="H1452" t="s">
        <v>2472</v>
      </c>
      <c r="I1452">
        <v>3</v>
      </c>
    </row>
    <row r="1453" spans="7:9" x14ac:dyDescent="0.15">
      <c r="G1453">
        <v>24024</v>
      </c>
      <c r="H1453" t="s">
        <v>2473</v>
      </c>
      <c r="I1453">
        <v>2</v>
      </c>
    </row>
    <row r="1454" spans="7:9" x14ac:dyDescent="0.15">
      <c r="G1454">
        <v>24038</v>
      </c>
      <c r="H1454" t="s">
        <v>2474</v>
      </c>
      <c r="I1454">
        <v>3</v>
      </c>
    </row>
    <row r="1455" spans="7:9" x14ac:dyDescent="0.15">
      <c r="G1455">
        <v>24052</v>
      </c>
      <c r="H1455" t="s">
        <v>2475</v>
      </c>
      <c r="I1455">
        <v>2</v>
      </c>
    </row>
    <row r="1456" spans="7:9" x14ac:dyDescent="0.15">
      <c r="G1456">
        <v>24066</v>
      </c>
      <c r="H1456" t="s">
        <v>2476</v>
      </c>
      <c r="I1456">
        <v>3</v>
      </c>
    </row>
    <row r="1457" spans="7:9" x14ac:dyDescent="0.15">
      <c r="G1457">
        <v>24070</v>
      </c>
      <c r="H1457" t="s">
        <v>2477</v>
      </c>
      <c r="I1457">
        <v>3</v>
      </c>
    </row>
    <row r="1458" spans="7:9" x14ac:dyDescent="0.15">
      <c r="G1458">
        <v>24075</v>
      </c>
      <c r="H1458" t="s">
        <v>2478</v>
      </c>
      <c r="I1458">
        <v>3</v>
      </c>
    </row>
    <row r="1459" spans="7:9" x14ac:dyDescent="0.15">
      <c r="G1459">
        <v>24080</v>
      </c>
      <c r="H1459" t="s">
        <v>2479</v>
      </c>
      <c r="I1459">
        <v>3</v>
      </c>
    </row>
    <row r="1460" spans="7:9" x14ac:dyDescent="0.15">
      <c r="G1460">
        <v>24094</v>
      </c>
      <c r="H1460" t="s">
        <v>2480</v>
      </c>
      <c r="I1460">
        <v>3</v>
      </c>
    </row>
    <row r="1461" spans="7:9" x14ac:dyDescent="0.15">
      <c r="G1461">
        <v>24108</v>
      </c>
      <c r="H1461" t="s">
        <v>2481</v>
      </c>
      <c r="I1461">
        <v>3</v>
      </c>
    </row>
    <row r="1462" spans="7:9" x14ac:dyDescent="0.15">
      <c r="G1462">
        <v>24122</v>
      </c>
      <c r="H1462" t="s">
        <v>2482</v>
      </c>
      <c r="I1462">
        <v>3</v>
      </c>
    </row>
    <row r="1463" spans="7:9" x14ac:dyDescent="0.15">
      <c r="G1463">
        <v>24130</v>
      </c>
      <c r="H1463" t="s">
        <v>2482</v>
      </c>
      <c r="I1463">
        <v>3</v>
      </c>
    </row>
    <row r="1464" spans="7:9" x14ac:dyDescent="0.15">
      <c r="G1464">
        <v>24136</v>
      </c>
      <c r="H1464" t="s">
        <v>2483</v>
      </c>
      <c r="I1464">
        <v>3</v>
      </c>
    </row>
    <row r="1465" spans="7:9" x14ac:dyDescent="0.15">
      <c r="G1465">
        <v>24178</v>
      </c>
      <c r="H1465" t="s">
        <v>2484</v>
      </c>
      <c r="I1465">
        <v>3</v>
      </c>
    </row>
    <row r="1466" spans="7:9" x14ac:dyDescent="0.15">
      <c r="G1466">
        <v>24220</v>
      </c>
      <c r="H1466" t="s">
        <v>2485</v>
      </c>
      <c r="I1466">
        <v>3</v>
      </c>
    </row>
    <row r="1467" spans="7:9" x14ac:dyDescent="0.15">
      <c r="G1467">
        <v>24234</v>
      </c>
      <c r="H1467" t="s">
        <v>968</v>
      </c>
      <c r="I1467">
        <v>1</v>
      </c>
    </row>
    <row r="1468" spans="7:9" x14ac:dyDescent="0.15">
      <c r="G1468">
        <v>24262</v>
      </c>
      <c r="H1468" t="s">
        <v>2486</v>
      </c>
      <c r="I1468">
        <v>2</v>
      </c>
    </row>
    <row r="1469" spans="7:9" x14ac:dyDescent="0.15">
      <c r="G1469">
        <v>24276</v>
      </c>
      <c r="H1469" t="s">
        <v>2487</v>
      </c>
      <c r="I1469">
        <v>3</v>
      </c>
    </row>
    <row r="1470" spans="7:9" x14ac:dyDescent="0.15">
      <c r="G1470">
        <v>24290</v>
      </c>
      <c r="H1470" t="s">
        <v>2488</v>
      </c>
      <c r="I1470">
        <v>3</v>
      </c>
    </row>
    <row r="1471" spans="7:9" x14ac:dyDescent="0.15">
      <c r="G1471">
        <v>24295</v>
      </c>
      <c r="H1471" t="s">
        <v>2489</v>
      </c>
      <c r="I1471">
        <v>3</v>
      </c>
    </row>
    <row r="1472" spans="7:9" x14ac:dyDescent="0.15">
      <c r="G1472">
        <v>24300</v>
      </c>
      <c r="H1472" t="s">
        <v>2490</v>
      </c>
      <c r="I1472">
        <v>3</v>
      </c>
    </row>
    <row r="1473" spans="7:9" x14ac:dyDescent="0.15">
      <c r="G1473">
        <v>24304</v>
      </c>
      <c r="H1473" t="s">
        <v>2490</v>
      </c>
      <c r="I1473">
        <v>3</v>
      </c>
    </row>
    <row r="1474" spans="7:9" x14ac:dyDescent="0.15">
      <c r="G1474">
        <v>24318</v>
      </c>
      <c r="H1474" t="s">
        <v>2491</v>
      </c>
      <c r="I1474">
        <v>3</v>
      </c>
    </row>
    <row r="1475" spans="7:9" x14ac:dyDescent="0.15">
      <c r="G1475">
        <v>24332</v>
      </c>
      <c r="H1475" t="s">
        <v>2492</v>
      </c>
      <c r="I1475">
        <v>3</v>
      </c>
    </row>
    <row r="1476" spans="7:9" x14ac:dyDescent="0.15">
      <c r="G1476">
        <v>24340</v>
      </c>
      <c r="H1476" t="s">
        <v>2493</v>
      </c>
      <c r="I1476">
        <v>3</v>
      </c>
    </row>
    <row r="1477" spans="7:9" x14ac:dyDescent="0.15">
      <c r="G1477">
        <v>24346</v>
      </c>
      <c r="H1477" t="s">
        <v>2492</v>
      </c>
      <c r="I1477">
        <v>3</v>
      </c>
    </row>
    <row r="1478" spans="7:9" x14ac:dyDescent="0.15">
      <c r="G1478">
        <v>24360</v>
      </c>
      <c r="H1478" t="s">
        <v>2492</v>
      </c>
      <c r="I1478">
        <v>3</v>
      </c>
    </row>
    <row r="1479" spans="7:9" x14ac:dyDescent="0.15">
      <c r="G1479">
        <v>24388</v>
      </c>
      <c r="H1479" t="s">
        <v>2494</v>
      </c>
      <c r="I1479">
        <v>3</v>
      </c>
    </row>
    <row r="1480" spans="7:9" x14ac:dyDescent="0.15">
      <c r="G1480">
        <v>24402</v>
      </c>
      <c r="H1480" t="s">
        <v>2495</v>
      </c>
      <c r="I1480">
        <v>3</v>
      </c>
    </row>
    <row r="1481" spans="7:9" x14ac:dyDescent="0.15">
      <c r="G1481">
        <v>24416</v>
      </c>
      <c r="H1481" t="s">
        <v>2496</v>
      </c>
      <c r="I1481">
        <v>3</v>
      </c>
    </row>
    <row r="1482" spans="7:9" x14ac:dyDescent="0.15">
      <c r="G1482">
        <v>24430</v>
      </c>
      <c r="H1482" t="s">
        <v>2497</v>
      </c>
      <c r="I1482">
        <v>3</v>
      </c>
    </row>
    <row r="1483" spans="7:9" x14ac:dyDescent="0.15">
      <c r="G1483">
        <v>24444</v>
      </c>
      <c r="H1483" t="s">
        <v>2497</v>
      </c>
      <c r="I1483">
        <v>3</v>
      </c>
    </row>
    <row r="1484" spans="7:9" x14ac:dyDescent="0.15">
      <c r="G1484">
        <v>24458</v>
      </c>
      <c r="H1484" t="s">
        <v>2498</v>
      </c>
      <c r="I1484">
        <v>3</v>
      </c>
    </row>
    <row r="1485" spans="7:9" x14ac:dyDescent="0.15">
      <c r="G1485">
        <v>24486</v>
      </c>
      <c r="H1485" t="s">
        <v>2499</v>
      </c>
      <c r="I1485">
        <v>2</v>
      </c>
    </row>
    <row r="1486" spans="7:9" x14ac:dyDescent="0.15">
      <c r="G1486">
        <v>24514</v>
      </c>
      <c r="H1486" t="s">
        <v>2500</v>
      </c>
      <c r="I1486">
        <v>3</v>
      </c>
    </row>
    <row r="1487" spans="7:9" x14ac:dyDescent="0.15">
      <c r="G1487">
        <v>24528</v>
      </c>
      <c r="H1487" t="s">
        <v>2501</v>
      </c>
      <c r="I1487">
        <v>3</v>
      </c>
    </row>
    <row r="1488" spans="7:9" x14ac:dyDescent="0.15">
      <c r="G1488">
        <v>24542</v>
      </c>
      <c r="H1488" t="s">
        <v>2502</v>
      </c>
      <c r="I1488">
        <v>2</v>
      </c>
    </row>
    <row r="1489" spans="7:9" x14ac:dyDescent="0.15">
      <c r="G1489">
        <v>24570</v>
      </c>
      <c r="H1489" t="s">
        <v>2503</v>
      </c>
      <c r="I1489">
        <v>3</v>
      </c>
    </row>
    <row r="1490" spans="7:9" x14ac:dyDescent="0.15">
      <c r="G1490">
        <v>24584</v>
      </c>
      <c r="H1490" t="s">
        <v>2504</v>
      </c>
      <c r="I1490">
        <v>3</v>
      </c>
    </row>
    <row r="1491" spans="7:9" x14ac:dyDescent="0.15">
      <c r="G1491">
        <v>24598</v>
      </c>
      <c r="H1491" t="s">
        <v>2505</v>
      </c>
      <c r="I1491">
        <v>2</v>
      </c>
    </row>
    <row r="1492" spans="7:9" x14ac:dyDescent="0.15">
      <c r="G1492">
        <v>24635</v>
      </c>
      <c r="H1492" t="s">
        <v>2506</v>
      </c>
      <c r="I1492">
        <v>3</v>
      </c>
    </row>
    <row r="1493" spans="7:9" x14ac:dyDescent="0.15">
      <c r="G1493">
        <v>24640</v>
      </c>
      <c r="H1493" t="s">
        <v>2507</v>
      </c>
      <c r="I1493">
        <v>2</v>
      </c>
    </row>
    <row r="1494" spans="7:9" x14ac:dyDescent="0.15">
      <c r="G1494">
        <v>24643</v>
      </c>
      <c r="H1494" t="s">
        <v>2508</v>
      </c>
      <c r="I1494">
        <v>3</v>
      </c>
    </row>
    <row r="1495" spans="7:9" x14ac:dyDescent="0.15">
      <c r="G1495">
        <v>24646</v>
      </c>
      <c r="H1495" t="s">
        <v>2509</v>
      </c>
      <c r="I1495">
        <v>3</v>
      </c>
    </row>
    <row r="1496" spans="7:9" x14ac:dyDescent="0.15">
      <c r="G1496">
        <v>24650</v>
      </c>
      <c r="H1496" t="s">
        <v>2510</v>
      </c>
      <c r="I1496">
        <v>3</v>
      </c>
    </row>
    <row r="1497" spans="7:9" x14ac:dyDescent="0.15">
      <c r="G1497">
        <v>24654</v>
      </c>
      <c r="H1497" t="s">
        <v>2511</v>
      </c>
      <c r="I1497">
        <v>3</v>
      </c>
    </row>
    <row r="1498" spans="7:9" x14ac:dyDescent="0.15">
      <c r="G1498">
        <v>24668</v>
      </c>
      <c r="H1498" t="s">
        <v>2511</v>
      </c>
      <c r="I1498">
        <v>3</v>
      </c>
    </row>
    <row r="1499" spans="7:9" x14ac:dyDescent="0.15">
      <c r="G1499">
        <v>24670</v>
      </c>
      <c r="H1499" t="s">
        <v>2511</v>
      </c>
      <c r="I1499">
        <v>3</v>
      </c>
    </row>
    <row r="1500" spans="7:9" x14ac:dyDescent="0.15">
      <c r="G1500">
        <v>24682</v>
      </c>
      <c r="H1500" t="s">
        <v>2512</v>
      </c>
      <c r="I1500">
        <v>3</v>
      </c>
    </row>
    <row r="1501" spans="7:9" x14ac:dyDescent="0.15">
      <c r="G1501">
        <v>24690</v>
      </c>
      <c r="H1501" t="s">
        <v>2513</v>
      </c>
      <c r="I1501">
        <v>3</v>
      </c>
    </row>
    <row r="1502" spans="7:9" x14ac:dyDescent="0.15">
      <c r="G1502">
        <v>24695</v>
      </c>
      <c r="H1502" t="s">
        <v>2514</v>
      </c>
      <c r="I1502">
        <v>3</v>
      </c>
    </row>
    <row r="1503" spans="7:9" x14ac:dyDescent="0.15">
      <c r="G1503">
        <v>24696</v>
      </c>
      <c r="H1503" t="s">
        <v>2515</v>
      </c>
      <c r="I1503">
        <v>3</v>
      </c>
    </row>
    <row r="1504" spans="7:9" x14ac:dyDescent="0.15">
      <c r="G1504">
        <v>24710</v>
      </c>
      <c r="H1504" t="s">
        <v>2516</v>
      </c>
      <c r="I1504">
        <v>3</v>
      </c>
    </row>
    <row r="1505" spans="7:9" x14ac:dyDescent="0.15">
      <c r="G1505">
        <v>24724</v>
      </c>
      <c r="H1505" t="s">
        <v>2517</v>
      </c>
      <c r="I1505">
        <v>3</v>
      </c>
    </row>
    <row r="1506" spans="7:9" x14ac:dyDescent="0.15">
      <c r="G1506">
        <v>24752</v>
      </c>
      <c r="H1506" t="s">
        <v>2518</v>
      </c>
      <c r="I1506">
        <v>3</v>
      </c>
    </row>
    <row r="1507" spans="7:9" x14ac:dyDescent="0.15">
      <c r="G1507">
        <v>24766</v>
      </c>
      <c r="H1507" t="s">
        <v>2518</v>
      </c>
      <c r="I1507">
        <v>2</v>
      </c>
    </row>
    <row r="1508" spans="7:9" x14ac:dyDescent="0.15">
      <c r="G1508">
        <v>24775</v>
      </c>
      <c r="H1508" t="s">
        <v>2519</v>
      </c>
      <c r="I1508">
        <v>3</v>
      </c>
    </row>
    <row r="1509" spans="7:9" x14ac:dyDescent="0.15">
      <c r="G1509">
        <v>24780</v>
      </c>
      <c r="H1509" t="s">
        <v>2520</v>
      </c>
      <c r="I1509">
        <v>3</v>
      </c>
    </row>
    <row r="1510" spans="7:9" x14ac:dyDescent="0.15">
      <c r="G1510">
        <v>24794</v>
      </c>
      <c r="H1510" t="s">
        <v>2521</v>
      </c>
      <c r="I1510">
        <v>2</v>
      </c>
    </row>
    <row r="1511" spans="7:9" x14ac:dyDescent="0.15">
      <c r="G1511">
        <v>24808</v>
      </c>
      <c r="H1511" t="s">
        <v>2522</v>
      </c>
      <c r="I1511">
        <v>2</v>
      </c>
    </row>
    <row r="1512" spans="7:9" x14ac:dyDescent="0.15">
      <c r="G1512">
        <v>24822</v>
      </c>
      <c r="H1512" t="s">
        <v>2523</v>
      </c>
      <c r="I1512">
        <v>3</v>
      </c>
    </row>
    <row r="1513" spans="7:9" x14ac:dyDescent="0.15">
      <c r="G1513">
        <v>24836</v>
      </c>
      <c r="H1513" t="s">
        <v>2523</v>
      </c>
      <c r="I1513">
        <v>3</v>
      </c>
    </row>
    <row r="1514" spans="7:9" x14ac:dyDescent="0.15">
      <c r="G1514">
        <v>24840</v>
      </c>
      <c r="H1514" t="s">
        <v>2524</v>
      </c>
      <c r="I1514">
        <v>3</v>
      </c>
    </row>
    <row r="1515" spans="7:9" x14ac:dyDescent="0.15">
      <c r="G1515">
        <v>24845</v>
      </c>
      <c r="H1515" t="s">
        <v>2525</v>
      </c>
      <c r="I1515">
        <v>3</v>
      </c>
    </row>
    <row r="1516" spans="7:9" x14ac:dyDescent="0.15">
      <c r="G1516">
        <v>24850</v>
      </c>
      <c r="H1516" t="s">
        <v>2525</v>
      </c>
      <c r="I1516">
        <v>2</v>
      </c>
    </row>
    <row r="1517" spans="7:9" x14ac:dyDescent="0.15">
      <c r="G1517">
        <v>24870</v>
      </c>
      <c r="H1517" t="s">
        <v>2526</v>
      </c>
      <c r="I1517">
        <v>3</v>
      </c>
    </row>
    <row r="1518" spans="7:9" x14ac:dyDescent="0.15">
      <c r="G1518">
        <v>24878</v>
      </c>
      <c r="H1518" t="s">
        <v>2527</v>
      </c>
      <c r="I1518">
        <v>3</v>
      </c>
    </row>
    <row r="1519" spans="7:9" x14ac:dyDescent="0.15">
      <c r="G1519">
        <v>24892</v>
      </c>
      <c r="H1519" t="s">
        <v>2527</v>
      </c>
      <c r="I1519">
        <v>3</v>
      </c>
    </row>
    <row r="1520" spans="7:9" x14ac:dyDescent="0.15">
      <c r="G1520">
        <v>24898</v>
      </c>
      <c r="H1520" t="s">
        <v>2528</v>
      </c>
      <c r="I1520">
        <v>3</v>
      </c>
    </row>
    <row r="1521" spans="7:9" x14ac:dyDescent="0.15">
      <c r="G1521">
        <v>24900</v>
      </c>
      <c r="H1521" t="s">
        <v>2529</v>
      </c>
      <c r="I1521">
        <v>3</v>
      </c>
    </row>
    <row r="1522" spans="7:9" x14ac:dyDescent="0.15">
      <c r="G1522">
        <v>24906</v>
      </c>
      <c r="H1522" t="s">
        <v>2530</v>
      </c>
      <c r="I1522">
        <v>3</v>
      </c>
    </row>
    <row r="1523" spans="7:9" x14ac:dyDescent="0.15">
      <c r="G1523">
        <v>24920</v>
      </c>
      <c r="H1523" t="s">
        <v>2531</v>
      </c>
      <c r="I1523">
        <v>3</v>
      </c>
    </row>
    <row r="1524" spans="7:9" x14ac:dyDescent="0.15">
      <c r="G1524">
        <v>24934</v>
      </c>
      <c r="H1524" t="s">
        <v>2532</v>
      </c>
      <c r="I1524">
        <v>3</v>
      </c>
    </row>
    <row r="1525" spans="7:9" x14ac:dyDescent="0.15">
      <c r="G1525">
        <v>24948</v>
      </c>
      <c r="H1525" t="s">
        <v>2533</v>
      </c>
      <c r="I1525">
        <v>3</v>
      </c>
    </row>
    <row r="1526" spans="7:9" x14ac:dyDescent="0.15">
      <c r="G1526">
        <v>24970</v>
      </c>
      <c r="H1526" t="s">
        <v>2534</v>
      </c>
      <c r="I1526">
        <v>3</v>
      </c>
    </row>
    <row r="1527" spans="7:9" x14ac:dyDescent="0.15">
      <c r="G1527">
        <v>24976</v>
      </c>
      <c r="H1527" t="s">
        <v>2535</v>
      </c>
      <c r="I1527">
        <v>3</v>
      </c>
    </row>
    <row r="1528" spans="7:9" x14ac:dyDescent="0.15">
      <c r="G1528">
        <v>24990</v>
      </c>
      <c r="H1528" t="s">
        <v>2536</v>
      </c>
      <c r="I1528">
        <v>3</v>
      </c>
    </row>
    <row r="1529" spans="7:9" x14ac:dyDescent="0.15">
      <c r="G1529">
        <v>25004</v>
      </c>
      <c r="H1529" t="s">
        <v>2537</v>
      </c>
      <c r="I1529">
        <v>3</v>
      </c>
    </row>
    <row r="1530" spans="7:9" x14ac:dyDescent="0.15">
      <c r="G1530">
        <v>25018</v>
      </c>
      <c r="H1530" t="s">
        <v>2538</v>
      </c>
      <c r="I1530">
        <v>3</v>
      </c>
    </row>
    <row r="1531" spans="7:9" x14ac:dyDescent="0.15">
      <c r="G1531">
        <v>25046</v>
      </c>
      <c r="H1531" t="s">
        <v>2539</v>
      </c>
      <c r="I1531">
        <v>3</v>
      </c>
    </row>
    <row r="1532" spans="7:9" x14ac:dyDescent="0.15">
      <c r="G1532">
        <v>25060</v>
      </c>
      <c r="H1532" t="s">
        <v>2540</v>
      </c>
      <c r="I1532">
        <v>3</v>
      </c>
    </row>
    <row r="1533" spans="7:9" x14ac:dyDescent="0.15">
      <c r="G1533">
        <v>25074</v>
      </c>
      <c r="H1533" t="s">
        <v>2541</v>
      </c>
      <c r="I1533">
        <v>3</v>
      </c>
    </row>
    <row r="1534" spans="7:9" x14ac:dyDescent="0.15">
      <c r="G1534">
        <v>25088</v>
      </c>
      <c r="H1534" t="s">
        <v>2542</v>
      </c>
      <c r="I1534">
        <v>3</v>
      </c>
    </row>
    <row r="1535" spans="7:9" x14ac:dyDescent="0.15">
      <c r="G1535">
        <v>25110</v>
      </c>
      <c r="H1535" t="s">
        <v>2543</v>
      </c>
      <c r="I1535">
        <v>3</v>
      </c>
    </row>
    <row r="1536" spans="7:9" x14ac:dyDescent="0.15">
      <c r="G1536">
        <v>25116</v>
      </c>
      <c r="H1536" t="s">
        <v>2544</v>
      </c>
      <c r="I1536">
        <v>3</v>
      </c>
    </row>
    <row r="1537" spans="7:9" x14ac:dyDescent="0.15">
      <c r="G1537">
        <v>25130</v>
      </c>
      <c r="H1537" t="s">
        <v>2545</v>
      </c>
      <c r="I1537">
        <v>3</v>
      </c>
    </row>
    <row r="1538" spans="7:9" x14ac:dyDescent="0.15">
      <c r="G1538">
        <v>25144</v>
      </c>
      <c r="H1538" t="s">
        <v>2546</v>
      </c>
      <c r="I1538">
        <v>2</v>
      </c>
    </row>
    <row r="1539" spans="7:9" x14ac:dyDescent="0.15">
      <c r="G1539">
        <v>25147</v>
      </c>
      <c r="H1539" t="s">
        <v>2547</v>
      </c>
      <c r="I1539">
        <v>3</v>
      </c>
    </row>
    <row r="1540" spans="7:9" x14ac:dyDescent="0.15">
      <c r="G1540">
        <v>25150</v>
      </c>
      <c r="H1540" t="s">
        <v>2548</v>
      </c>
      <c r="I1540">
        <v>3</v>
      </c>
    </row>
    <row r="1541" spans="7:9" x14ac:dyDescent="0.15">
      <c r="G1541">
        <v>25158</v>
      </c>
      <c r="H1541" t="s">
        <v>2549</v>
      </c>
      <c r="I1541">
        <v>3</v>
      </c>
    </row>
    <row r="1542" spans="7:9" x14ac:dyDescent="0.15">
      <c r="G1542">
        <v>25165</v>
      </c>
      <c r="H1542" t="s">
        <v>2550</v>
      </c>
      <c r="I1542">
        <v>3</v>
      </c>
    </row>
    <row r="1543" spans="7:9" x14ac:dyDescent="0.15">
      <c r="G1543">
        <v>25186</v>
      </c>
      <c r="H1543" t="s">
        <v>2551</v>
      </c>
      <c r="I1543">
        <v>2</v>
      </c>
    </row>
    <row r="1544" spans="7:9" x14ac:dyDescent="0.15">
      <c r="G1544">
        <v>25214</v>
      </c>
      <c r="H1544" t="s">
        <v>2552</v>
      </c>
      <c r="I1544">
        <v>3</v>
      </c>
    </row>
    <row r="1545" spans="7:9" x14ac:dyDescent="0.15">
      <c r="G1545">
        <v>25228</v>
      </c>
      <c r="H1545" t="s">
        <v>2553</v>
      </c>
      <c r="I1545">
        <v>3</v>
      </c>
    </row>
    <row r="1546" spans="7:9" x14ac:dyDescent="0.15">
      <c r="G1546">
        <v>25256</v>
      </c>
      <c r="H1546" t="s">
        <v>2554</v>
      </c>
      <c r="I1546">
        <v>1</v>
      </c>
    </row>
    <row r="1547" spans="7:9" x14ac:dyDescent="0.15">
      <c r="G1547">
        <v>25270</v>
      </c>
      <c r="H1547" t="s">
        <v>2555</v>
      </c>
      <c r="I1547">
        <v>3</v>
      </c>
    </row>
    <row r="1548" spans="7:9" x14ac:dyDescent="0.15">
      <c r="G1548">
        <v>25284</v>
      </c>
      <c r="H1548" t="s">
        <v>2556</v>
      </c>
      <c r="I1548">
        <v>3</v>
      </c>
    </row>
    <row r="1549" spans="7:9" x14ac:dyDescent="0.15">
      <c r="G1549">
        <v>25298</v>
      </c>
      <c r="H1549" t="s">
        <v>2557</v>
      </c>
      <c r="I1549">
        <v>3</v>
      </c>
    </row>
    <row r="1550" spans="7:9" x14ac:dyDescent="0.15">
      <c r="G1550">
        <v>25312</v>
      </c>
      <c r="H1550" t="s">
        <v>2558</v>
      </c>
      <c r="I1550">
        <v>3</v>
      </c>
    </row>
    <row r="1551" spans="7:9" x14ac:dyDescent="0.15">
      <c r="G1551">
        <v>25354</v>
      </c>
      <c r="H1551" t="s">
        <v>2559</v>
      </c>
      <c r="I1551">
        <v>3</v>
      </c>
    </row>
    <row r="1552" spans="7:9" x14ac:dyDescent="0.15">
      <c r="G1552">
        <v>25368</v>
      </c>
      <c r="H1552" t="s">
        <v>2560</v>
      </c>
      <c r="I1552">
        <v>2</v>
      </c>
    </row>
    <row r="1553" spans="7:9" x14ac:dyDescent="0.15">
      <c r="G1553">
        <v>25375</v>
      </c>
      <c r="H1553" t="s">
        <v>2561</v>
      </c>
      <c r="I1553">
        <v>3</v>
      </c>
    </row>
    <row r="1554" spans="7:9" x14ac:dyDescent="0.15">
      <c r="G1554">
        <v>25396</v>
      </c>
      <c r="H1554" t="s">
        <v>2562</v>
      </c>
      <c r="I1554">
        <v>1</v>
      </c>
    </row>
    <row r="1555" spans="7:9" x14ac:dyDescent="0.15">
      <c r="G1555">
        <v>25410</v>
      </c>
      <c r="H1555" t="s">
        <v>2563</v>
      </c>
      <c r="I1555">
        <v>3</v>
      </c>
    </row>
    <row r="1556" spans="7:9" x14ac:dyDescent="0.15">
      <c r="G1556">
        <v>25424</v>
      </c>
      <c r="H1556" t="s">
        <v>2564</v>
      </c>
      <c r="I1556">
        <v>3</v>
      </c>
    </row>
    <row r="1557" spans="7:9" x14ac:dyDescent="0.15">
      <c r="G1557">
        <v>25438</v>
      </c>
      <c r="H1557" t="s">
        <v>2565</v>
      </c>
      <c r="I1557">
        <v>3</v>
      </c>
    </row>
    <row r="1558" spans="7:9" x14ac:dyDescent="0.15">
      <c r="G1558">
        <v>25452</v>
      </c>
      <c r="H1558" t="s">
        <v>2566</v>
      </c>
      <c r="I1558">
        <v>2</v>
      </c>
    </row>
    <row r="1559" spans="7:9" x14ac:dyDescent="0.15">
      <c r="G1559">
        <v>25466</v>
      </c>
      <c r="H1559" t="s">
        <v>2567</v>
      </c>
      <c r="I1559">
        <v>3</v>
      </c>
    </row>
    <row r="1560" spans="7:9" x14ac:dyDescent="0.15">
      <c r="G1560">
        <v>25480</v>
      </c>
      <c r="H1560" t="s">
        <v>2567</v>
      </c>
      <c r="I1560">
        <v>3</v>
      </c>
    </row>
    <row r="1561" spans="7:9" x14ac:dyDescent="0.15">
      <c r="G1561">
        <v>25494</v>
      </c>
      <c r="H1561" t="s">
        <v>2568</v>
      </c>
      <c r="I1561">
        <v>3</v>
      </c>
    </row>
    <row r="1562" spans="7:9" x14ac:dyDescent="0.15">
      <c r="G1562">
        <v>25508</v>
      </c>
      <c r="H1562" t="s">
        <v>2569</v>
      </c>
      <c r="I1562">
        <v>3</v>
      </c>
    </row>
    <row r="1563" spans="7:9" x14ac:dyDescent="0.15">
      <c r="G1563">
        <v>25522</v>
      </c>
      <c r="H1563" t="s">
        <v>2570</v>
      </c>
      <c r="I1563">
        <v>3</v>
      </c>
    </row>
    <row r="1564" spans="7:9" x14ac:dyDescent="0.15">
      <c r="G1564">
        <v>25536</v>
      </c>
      <c r="H1564" t="s">
        <v>2571</v>
      </c>
      <c r="I1564">
        <v>3</v>
      </c>
    </row>
    <row r="1565" spans="7:9" x14ac:dyDescent="0.15">
      <c r="G1565">
        <v>25550</v>
      </c>
      <c r="H1565" t="s">
        <v>2572</v>
      </c>
      <c r="I1565">
        <v>3</v>
      </c>
    </row>
    <row r="1566" spans="7:9" x14ac:dyDescent="0.15">
      <c r="G1566">
        <v>25564</v>
      </c>
      <c r="H1566" t="s">
        <v>2573</v>
      </c>
      <c r="I1566">
        <v>3</v>
      </c>
    </row>
    <row r="1567" spans="7:9" x14ac:dyDescent="0.15">
      <c r="G1567">
        <v>25578</v>
      </c>
      <c r="H1567" t="s">
        <v>2574</v>
      </c>
      <c r="I1567">
        <v>3</v>
      </c>
    </row>
    <row r="1568" spans="7:9" x14ac:dyDescent="0.15">
      <c r="G1568">
        <v>25606</v>
      </c>
      <c r="H1568" t="s">
        <v>2575</v>
      </c>
      <c r="I1568">
        <v>3</v>
      </c>
    </row>
    <row r="1569" spans="7:9" x14ac:dyDescent="0.15">
      <c r="G1569">
        <v>25620</v>
      </c>
      <c r="H1569" t="s">
        <v>2576</v>
      </c>
      <c r="I1569">
        <v>3</v>
      </c>
    </row>
    <row r="1570" spans="7:9" x14ac:dyDescent="0.15">
      <c r="G1570">
        <v>25634</v>
      </c>
      <c r="H1570" t="s">
        <v>2577</v>
      </c>
      <c r="I1570">
        <v>3</v>
      </c>
    </row>
    <row r="1571" spans="7:9" x14ac:dyDescent="0.15">
      <c r="G1571">
        <v>25640</v>
      </c>
      <c r="H1571" t="s">
        <v>2578</v>
      </c>
      <c r="I1571">
        <v>3</v>
      </c>
    </row>
    <row r="1572" spans="7:9" x14ac:dyDescent="0.15">
      <c r="G1572">
        <v>25648</v>
      </c>
      <c r="H1572" t="s">
        <v>2579</v>
      </c>
      <c r="I1572">
        <v>3</v>
      </c>
    </row>
    <row r="1573" spans="7:9" x14ac:dyDescent="0.15">
      <c r="G1573">
        <v>25655</v>
      </c>
      <c r="H1573" t="s">
        <v>2580</v>
      </c>
      <c r="I1573">
        <v>3</v>
      </c>
    </row>
    <row r="1574" spans="7:9" x14ac:dyDescent="0.15">
      <c r="G1574">
        <v>25665</v>
      </c>
      <c r="H1574" t="s">
        <v>2581</v>
      </c>
      <c r="I1574">
        <v>3</v>
      </c>
    </row>
    <row r="1575" spans="7:9" x14ac:dyDescent="0.15">
      <c r="G1575">
        <v>25676</v>
      </c>
      <c r="H1575" t="s">
        <v>2581</v>
      </c>
      <c r="I1575">
        <v>2</v>
      </c>
    </row>
    <row r="1576" spans="7:9" x14ac:dyDescent="0.15">
      <c r="G1576">
        <v>25690</v>
      </c>
      <c r="H1576" t="s">
        <v>2582</v>
      </c>
      <c r="I1576">
        <v>3</v>
      </c>
    </row>
    <row r="1577" spans="7:9" x14ac:dyDescent="0.15">
      <c r="G1577">
        <v>25704</v>
      </c>
      <c r="H1577" t="s">
        <v>2583</v>
      </c>
      <c r="I1577">
        <v>1</v>
      </c>
    </row>
    <row r="1578" spans="7:9" x14ac:dyDescent="0.15">
      <c r="G1578">
        <v>25732</v>
      </c>
      <c r="H1578" t="s">
        <v>2584</v>
      </c>
      <c r="I1578">
        <v>3</v>
      </c>
    </row>
    <row r="1579" spans="7:9" x14ac:dyDescent="0.15">
      <c r="G1579">
        <v>25746</v>
      </c>
      <c r="H1579" t="s">
        <v>2584</v>
      </c>
      <c r="I1579">
        <v>3</v>
      </c>
    </row>
    <row r="1580" spans="7:9" x14ac:dyDescent="0.15">
      <c r="G1580">
        <v>25760</v>
      </c>
      <c r="H1580" t="s">
        <v>2585</v>
      </c>
      <c r="I1580">
        <v>3</v>
      </c>
    </row>
    <row r="1581" spans="7:9" x14ac:dyDescent="0.15">
      <c r="G1581">
        <v>25774</v>
      </c>
      <c r="H1581" t="s">
        <v>2586</v>
      </c>
      <c r="I1581">
        <v>3</v>
      </c>
    </row>
    <row r="1582" spans="7:9" x14ac:dyDescent="0.15">
      <c r="G1582">
        <v>25780</v>
      </c>
      <c r="H1582" t="s">
        <v>2586</v>
      </c>
      <c r="I1582">
        <v>3</v>
      </c>
    </row>
    <row r="1583" spans="7:9" x14ac:dyDescent="0.15">
      <c r="G1583">
        <v>25788</v>
      </c>
      <c r="H1583" t="s">
        <v>2587</v>
      </c>
      <c r="I1583">
        <v>3</v>
      </c>
    </row>
    <row r="1584" spans="7:9" x14ac:dyDescent="0.15">
      <c r="G1584">
        <v>25802</v>
      </c>
      <c r="H1584" t="s">
        <v>2588</v>
      </c>
      <c r="I1584">
        <v>2</v>
      </c>
    </row>
    <row r="1585" spans="7:9" x14ac:dyDescent="0.15">
      <c r="G1585">
        <v>25830</v>
      </c>
      <c r="H1585" t="s">
        <v>2589</v>
      </c>
      <c r="I1585">
        <v>3</v>
      </c>
    </row>
    <row r="1586" spans="7:9" x14ac:dyDescent="0.15">
      <c r="G1586">
        <v>25872</v>
      </c>
      <c r="H1586" t="s">
        <v>2590</v>
      </c>
      <c r="I1586">
        <v>3</v>
      </c>
    </row>
    <row r="1587" spans="7:9" x14ac:dyDescent="0.15">
      <c r="G1587">
        <v>25886</v>
      </c>
      <c r="H1587" t="s">
        <v>2591</v>
      </c>
      <c r="I1587">
        <v>3</v>
      </c>
    </row>
    <row r="1588" spans="7:9" x14ac:dyDescent="0.15">
      <c r="G1588">
        <v>25900</v>
      </c>
      <c r="H1588" t="s">
        <v>2592</v>
      </c>
      <c r="I1588">
        <v>3</v>
      </c>
    </row>
    <row r="1589" spans="7:9" x14ac:dyDescent="0.15">
      <c r="G1589">
        <v>25914</v>
      </c>
      <c r="H1589" t="s">
        <v>2593</v>
      </c>
      <c r="I1589">
        <v>1</v>
      </c>
    </row>
    <row r="1590" spans="7:9" x14ac:dyDescent="0.15">
      <c r="G1590">
        <v>25928</v>
      </c>
      <c r="H1590" t="s">
        <v>2594</v>
      </c>
      <c r="I1590">
        <v>3</v>
      </c>
    </row>
    <row r="1591" spans="7:9" x14ac:dyDescent="0.15">
      <c r="G1591">
        <v>25942</v>
      </c>
      <c r="H1591" t="s">
        <v>2595</v>
      </c>
      <c r="I1591">
        <v>2</v>
      </c>
    </row>
    <row r="1592" spans="7:9" x14ac:dyDescent="0.15">
      <c r="G1592">
        <v>25956</v>
      </c>
      <c r="H1592" t="s">
        <v>2595</v>
      </c>
      <c r="I1592">
        <v>3</v>
      </c>
    </row>
    <row r="1593" spans="7:9" x14ac:dyDescent="0.15">
      <c r="G1593">
        <v>25970</v>
      </c>
      <c r="H1593" t="s">
        <v>2596</v>
      </c>
      <c r="I1593">
        <v>1</v>
      </c>
    </row>
    <row r="1594" spans="7:9" x14ac:dyDescent="0.15">
      <c r="G1594">
        <v>25984</v>
      </c>
      <c r="H1594" t="s">
        <v>2597</v>
      </c>
      <c r="I1594">
        <v>3</v>
      </c>
    </row>
    <row r="1595" spans="7:9" x14ac:dyDescent="0.15">
      <c r="G1595">
        <v>25998</v>
      </c>
      <c r="H1595" t="s">
        <v>2597</v>
      </c>
      <c r="I1595">
        <v>3</v>
      </c>
    </row>
    <row r="1596" spans="7:9" x14ac:dyDescent="0.15">
      <c r="G1596">
        <v>26026</v>
      </c>
      <c r="H1596" t="s">
        <v>2597</v>
      </c>
      <c r="I1596">
        <v>3</v>
      </c>
    </row>
    <row r="1597" spans="7:9" x14ac:dyDescent="0.15">
      <c r="G1597">
        <v>26040</v>
      </c>
      <c r="H1597" t="s">
        <v>2597</v>
      </c>
      <c r="I1597">
        <v>3</v>
      </c>
    </row>
    <row r="1598" spans="7:9" x14ac:dyDescent="0.15">
      <c r="G1598">
        <v>26054</v>
      </c>
      <c r="H1598" t="s">
        <v>2596</v>
      </c>
      <c r="I1598">
        <v>3</v>
      </c>
    </row>
    <row r="1599" spans="7:9" x14ac:dyDescent="0.15">
      <c r="G1599">
        <v>26068</v>
      </c>
      <c r="H1599" t="s">
        <v>2597</v>
      </c>
      <c r="I1599">
        <v>3</v>
      </c>
    </row>
    <row r="1600" spans="7:9" x14ac:dyDescent="0.15">
      <c r="G1600">
        <v>26072</v>
      </c>
      <c r="H1600" t="s">
        <v>2597</v>
      </c>
      <c r="I1600">
        <v>3</v>
      </c>
    </row>
    <row r="1601" spans="7:9" x14ac:dyDescent="0.15">
      <c r="G1601">
        <v>26082</v>
      </c>
      <c r="H1601" t="s">
        <v>2597</v>
      </c>
      <c r="I1601">
        <v>3</v>
      </c>
    </row>
    <row r="1602" spans="7:9" x14ac:dyDescent="0.15">
      <c r="G1602">
        <v>26096</v>
      </c>
      <c r="H1602" t="s">
        <v>2597</v>
      </c>
      <c r="I1602">
        <v>3</v>
      </c>
    </row>
    <row r="1603" spans="7:9" x14ac:dyDescent="0.15">
      <c r="G1603">
        <v>26110</v>
      </c>
      <c r="H1603" t="s">
        <v>2598</v>
      </c>
      <c r="I1603">
        <v>2</v>
      </c>
    </row>
    <row r="1604" spans="7:9" x14ac:dyDescent="0.15">
      <c r="G1604">
        <v>26124</v>
      </c>
      <c r="H1604" t="s">
        <v>2599</v>
      </c>
      <c r="I1604">
        <v>3</v>
      </c>
    </row>
    <row r="1605" spans="7:9" x14ac:dyDescent="0.15">
      <c r="G1605">
        <v>26138</v>
      </c>
      <c r="H1605" t="s">
        <v>2600</v>
      </c>
      <c r="I1605">
        <v>3</v>
      </c>
    </row>
    <row r="1606" spans="7:9" x14ac:dyDescent="0.15">
      <c r="G1606">
        <v>26166</v>
      </c>
      <c r="H1606" t="s">
        <v>2601</v>
      </c>
      <c r="I1606">
        <v>1</v>
      </c>
    </row>
    <row r="1607" spans="7:9" x14ac:dyDescent="0.15">
      <c r="G1607">
        <v>26208</v>
      </c>
      <c r="H1607" t="s">
        <v>2602</v>
      </c>
      <c r="I1607">
        <v>3</v>
      </c>
    </row>
    <row r="1608" spans="7:9" x14ac:dyDescent="0.15">
      <c r="G1608">
        <v>26245</v>
      </c>
      <c r="H1608" t="s">
        <v>2603</v>
      </c>
      <c r="I1608">
        <v>3</v>
      </c>
    </row>
    <row r="1609" spans="7:9" x14ac:dyDescent="0.15">
      <c r="G1609">
        <v>26250</v>
      </c>
      <c r="H1609" t="s">
        <v>2604</v>
      </c>
      <c r="I1609">
        <v>3</v>
      </c>
    </row>
    <row r="1610" spans="7:9" x14ac:dyDescent="0.15">
      <c r="G1610">
        <v>26264</v>
      </c>
      <c r="H1610" t="s">
        <v>2604</v>
      </c>
      <c r="I1610">
        <v>3</v>
      </c>
    </row>
    <row r="1611" spans="7:9" x14ac:dyDescent="0.15">
      <c r="G1611">
        <v>26278</v>
      </c>
      <c r="H1611" t="s">
        <v>2605</v>
      </c>
      <c r="I1611">
        <v>3</v>
      </c>
    </row>
    <row r="1612" spans="7:9" x14ac:dyDescent="0.15">
      <c r="G1612">
        <v>26306</v>
      </c>
      <c r="H1612" t="s">
        <v>2606</v>
      </c>
      <c r="I1612">
        <v>2</v>
      </c>
    </row>
    <row r="1613" spans="7:9" x14ac:dyDescent="0.15">
      <c r="G1613">
        <v>26315</v>
      </c>
      <c r="H1613" t="s">
        <v>2607</v>
      </c>
      <c r="I1613">
        <v>3</v>
      </c>
    </row>
    <row r="1614" spans="7:9" x14ac:dyDescent="0.15">
      <c r="G1614">
        <v>26334</v>
      </c>
      <c r="H1614" t="s">
        <v>2607</v>
      </c>
      <c r="I1614">
        <v>3</v>
      </c>
    </row>
    <row r="1615" spans="7:9" x14ac:dyDescent="0.15">
      <c r="G1615">
        <v>26348</v>
      </c>
      <c r="H1615" t="s">
        <v>2607</v>
      </c>
      <c r="I1615">
        <v>2</v>
      </c>
    </row>
    <row r="1616" spans="7:9" x14ac:dyDescent="0.15">
      <c r="G1616">
        <v>26362</v>
      </c>
      <c r="H1616" t="s">
        <v>2607</v>
      </c>
      <c r="I1616">
        <v>3</v>
      </c>
    </row>
    <row r="1617" spans="7:9" x14ac:dyDescent="0.15">
      <c r="G1617">
        <v>26376</v>
      </c>
      <c r="H1617" t="s">
        <v>2607</v>
      </c>
      <c r="I1617">
        <v>3</v>
      </c>
    </row>
    <row r="1618" spans="7:9" x14ac:dyDescent="0.15">
      <c r="G1618">
        <v>26390</v>
      </c>
      <c r="H1618" t="s">
        <v>2607</v>
      </c>
      <c r="I1618">
        <v>3</v>
      </c>
    </row>
    <row r="1619" spans="7:9" x14ac:dyDescent="0.15">
      <c r="G1619">
        <v>26395</v>
      </c>
      <c r="H1619" t="s">
        <v>2607</v>
      </c>
      <c r="I1619">
        <v>3</v>
      </c>
    </row>
    <row r="1620" spans="7:9" x14ac:dyDescent="0.15">
      <c r="G1620">
        <v>26400</v>
      </c>
      <c r="H1620" t="s">
        <v>2608</v>
      </c>
      <c r="I1620">
        <v>3</v>
      </c>
    </row>
    <row r="1621" spans="7:9" x14ac:dyDescent="0.15">
      <c r="G1621">
        <v>26404</v>
      </c>
      <c r="H1621" t="s">
        <v>2609</v>
      </c>
      <c r="I1621">
        <v>3</v>
      </c>
    </row>
    <row r="1622" spans="7:9" x14ac:dyDescent="0.15">
      <c r="G1622">
        <v>26432</v>
      </c>
      <c r="H1622" t="s">
        <v>2610</v>
      </c>
      <c r="I1622">
        <v>3</v>
      </c>
    </row>
    <row r="1623" spans="7:9" x14ac:dyDescent="0.15">
      <c r="G1623">
        <v>26446</v>
      </c>
      <c r="H1623" t="s">
        <v>2611</v>
      </c>
      <c r="I1623">
        <v>1</v>
      </c>
    </row>
    <row r="1624" spans="7:9" x14ac:dyDescent="0.15">
      <c r="G1624">
        <v>26474</v>
      </c>
      <c r="H1624" t="s">
        <v>2612</v>
      </c>
      <c r="I1624">
        <v>3</v>
      </c>
    </row>
    <row r="1625" spans="7:9" x14ac:dyDescent="0.15">
      <c r="G1625">
        <v>26488</v>
      </c>
      <c r="H1625" t="s">
        <v>2613</v>
      </c>
      <c r="I1625">
        <v>3</v>
      </c>
    </row>
    <row r="1626" spans="7:9" x14ac:dyDescent="0.15">
      <c r="G1626">
        <v>26502</v>
      </c>
      <c r="H1626" t="s">
        <v>2613</v>
      </c>
      <c r="I1626">
        <v>3</v>
      </c>
    </row>
    <row r="1627" spans="7:9" x14ac:dyDescent="0.15">
      <c r="G1627">
        <v>26516</v>
      </c>
      <c r="H1627" t="s">
        <v>2614</v>
      </c>
      <c r="I1627">
        <v>3</v>
      </c>
    </row>
    <row r="1628" spans="7:9" x14ac:dyDescent="0.15">
      <c r="G1628">
        <v>26530</v>
      </c>
      <c r="H1628" t="s">
        <v>2615</v>
      </c>
      <c r="I1628">
        <v>3</v>
      </c>
    </row>
    <row r="1629" spans="7:9" x14ac:dyDescent="0.15">
      <c r="G1629">
        <v>26558</v>
      </c>
      <c r="H1629" t="s">
        <v>2616</v>
      </c>
      <c r="I1629">
        <v>3</v>
      </c>
    </row>
    <row r="1630" spans="7:9" x14ac:dyDescent="0.15">
      <c r="G1630">
        <v>26586</v>
      </c>
      <c r="H1630" t="s">
        <v>2617</v>
      </c>
      <c r="I1630">
        <v>3</v>
      </c>
    </row>
    <row r="1631" spans="7:9" x14ac:dyDescent="0.15">
      <c r="G1631">
        <v>26600</v>
      </c>
      <c r="H1631" t="s">
        <v>2618</v>
      </c>
      <c r="I1631">
        <v>3</v>
      </c>
    </row>
    <row r="1632" spans="7:9" x14ac:dyDescent="0.15">
      <c r="G1632">
        <v>26614</v>
      </c>
      <c r="H1632" t="s">
        <v>2619</v>
      </c>
      <c r="I1632">
        <v>3</v>
      </c>
    </row>
    <row r="1633" spans="7:9" x14ac:dyDescent="0.15">
      <c r="G1633">
        <v>26628</v>
      </c>
      <c r="H1633" t="s">
        <v>2620</v>
      </c>
      <c r="I1633">
        <v>3</v>
      </c>
    </row>
    <row r="1634" spans="7:9" x14ac:dyDescent="0.15">
      <c r="G1634">
        <v>26642</v>
      </c>
      <c r="H1634" t="s">
        <v>2621</v>
      </c>
      <c r="I1634">
        <v>3</v>
      </c>
    </row>
    <row r="1635" spans="7:9" x14ac:dyDescent="0.15">
      <c r="G1635">
        <v>26656</v>
      </c>
      <c r="H1635" t="s">
        <v>2622</v>
      </c>
      <c r="I1635">
        <v>2</v>
      </c>
    </row>
    <row r="1636" spans="7:9" x14ac:dyDescent="0.15">
      <c r="G1636">
        <v>26660</v>
      </c>
      <c r="H1636" t="s">
        <v>2623</v>
      </c>
      <c r="I1636">
        <v>3</v>
      </c>
    </row>
    <row r="1637" spans="7:9" x14ac:dyDescent="0.15">
      <c r="G1637">
        <v>26675</v>
      </c>
      <c r="H1637" t="s">
        <v>2623</v>
      </c>
      <c r="I1637">
        <v>3</v>
      </c>
    </row>
    <row r="1638" spans="7:9" x14ac:dyDescent="0.15">
      <c r="G1638">
        <v>26684</v>
      </c>
      <c r="H1638" t="s">
        <v>2624</v>
      </c>
      <c r="I1638">
        <v>3</v>
      </c>
    </row>
    <row r="1639" spans="7:9" x14ac:dyDescent="0.15">
      <c r="G1639">
        <v>26698</v>
      </c>
      <c r="H1639" t="s">
        <v>2625</v>
      </c>
      <c r="I1639">
        <v>3</v>
      </c>
    </row>
    <row r="1640" spans="7:9" x14ac:dyDescent="0.15">
      <c r="G1640">
        <v>26726</v>
      </c>
      <c r="H1640" t="s">
        <v>2626</v>
      </c>
      <c r="I1640">
        <v>3</v>
      </c>
    </row>
    <row r="1641" spans="7:9" x14ac:dyDescent="0.15">
      <c r="G1641">
        <v>26735</v>
      </c>
      <c r="H1641" t="s">
        <v>2627</v>
      </c>
      <c r="I1641">
        <v>3</v>
      </c>
    </row>
    <row r="1642" spans="7:9" x14ac:dyDescent="0.15">
      <c r="G1642">
        <v>26740</v>
      </c>
      <c r="H1642" t="s">
        <v>2628</v>
      </c>
      <c r="I1642">
        <v>3</v>
      </c>
    </row>
    <row r="1643" spans="7:9" x14ac:dyDescent="0.15">
      <c r="G1643">
        <v>26754</v>
      </c>
      <c r="H1643" t="s">
        <v>2629</v>
      </c>
      <c r="I1643">
        <v>3</v>
      </c>
    </row>
    <row r="1644" spans="7:9" x14ac:dyDescent="0.15">
      <c r="G1644">
        <v>26760</v>
      </c>
      <c r="H1644" t="s">
        <v>1668</v>
      </c>
      <c r="I1644">
        <v>3</v>
      </c>
    </row>
    <row r="1645" spans="7:9" x14ac:dyDescent="0.15">
      <c r="G1645">
        <v>26768</v>
      </c>
      <c r="H1645" t="s">
        <v>2630</v>
      </c>
      <c r="I1645">
        <v>2</v>
      </c>
    </row>
    <row r="1646" spans="7:9" x14ac:dyDescent="0.15">
      <c r="G1646">
        <v>26782</v>
      </c>
      <c r="H1646" t="s">
        <v>2631</v>
      </c>
      <c r="I1646">
        <v>3</v>
      </c>
    </row>
    <row r="1647" spans="7:9" x14ac:dyDescent="0.15">
      <c r="G1647">
        <v>26796</v>
      </c>
      <c r="H1647" t="s">
        <v>2632</v>
      </c>
      <c r="I1647">
        <v>2</v>
      </c>
    </row>
    <row r="1648" spans="7:9" x14ac:dyDescent="0.15">
      <c r="G1648">
        <v>26810</v>
      </c>
      <c r="H1648" t="s">
        <v>2633</v>
      </c>
      <c r="I1648">
        <v>3</v>
      </c>
    </row>
    <row r="1649" spans="7:9" x14ac:dyDescent="0.15">
      <c r="G1649">
        <v>26815</v>
      </c>
      <c r="H1649" t="s">
        <v>2634</v>
      </c>
      <c r="I1649">
        <v>3</v>
      </c>
    </row>
    <row r="1650" spans="7:9" x14ac:dyDescent="0.15">
      <c r="G1650">
        <v>26852</v>
      </c>
      <c r="H1650" t="s">
        <v>2635</v>
      </c>
      <c r="I1650">
        <v>3</v>
      </c>
    </row>
    <row r="1651" spans="7:9" x14ac:dyDescent="0.15">
      <c r="G1651">
        <v>26866</v>
      </c>
      <c r="H1651" t="s">
        <v>2636</v>
      </c>
      <c r="I1651">
        <v>3</v>
      </c>
    </row>
    <row r="1652" spans="7:9" x14ac:dyDescent="0.15">
      <c r="G1652">
        <v>26880</v>
      </c>
      <c r="H1652" t="s">
        <v>2637</v>
      </c>
      <c r="I1652">
        <v>2</v>
      </c>
    </row>
    <row r="1653" spans="7:9" x14ac:dyDescent="0.15">
      <c r="G1653">
        <v>26908</v>
      </c>
      <c r="H1653" t="s">
        <v>2638</v>
      </c>
      <c r="I1653">
        <v>3</v>
      </c>
    </row>
    <row r="1654" spans="7:9" x14ac:dyDescent="0.15">
      <c r="G1654">
        <v>26922</v>
      </c>
      <c r="H1654" t="s">
        <v>2639</v>
      </c>
      <c r="I1654">
        <v>3</v>
      </c>
    </row>
    <row r="1655" spans="7:9" x14ac:dyDescent="0.15">
      <c r="G1655">
        <v>26936</v>
      </c>
      <c r="H1655" t="s">
        <v>2640</v>
      </c>
      <c r="I1655">
        <v>3</v>
      </c>
    </row>
    <row r="1656" spans="7:9" x14ac:dyDescent="0.15">
      <c r="G1656">
        <v>26950</v>
      </c>
      <c r="H1656" t="s">
        <v>2641</v>
      </c>
      <c r="I1656">
        <v>3</v>
      </c>
    </row>
    <row r="1657" spans="7:9" x14ac:dyDescent="0.15">
      <c r="G1657">
        <v>26955</v>
      </c>
      <c r="H1657" t="s">
        <v>2642</v>
      </c>
      <c r="I1657">
        <v>3</v>
      </c>
    </row>
    <row r="1658" spans="7:9" x14ac:dyDescent="0.15">
      <c r="G1658">
        <v>26964</v>
      </c>
      <c r="H1658" t="s">
        <v>2643</v>
      </c>
      <c r="I1658">
        <v>3</v>
      </c>
    </row>
    <row r="1659" spans="7:9" x14ac:dyDescent="0.15">
      <c r="G1659">
        <v>26970</v>
      </c>
      <c r="H1659" t="s">
        <v>2644</v>
      </c>
      <c r="I1659">
        <v>3</v>
      </c>
    </row>
    <row r="1660" spans="7:9" x14ac:dyDescent="0.15">
      <c r="G1660">
        <v>26992</v>
      </c>
      <c r="H1660" t="s">
        <v>2645</v>
      </c>
      <c r="I1660">
        <v>3</v>
      </c>
    </row>
    <row r="1661" spans="7:9" x14ac:dyDescent="0.15">
      <c r="G1661">
        <v>27020</v>
      </c>
      <c r="H1661" t="s">
        <v>2646</v>
      </c>
      <c r="I1661">
        <v>3</v>
      </c>
    </row>
    <row r="1662" spans="7:9" x14ac:dyDescent="0.15">
      <c r="G1662">
        <v>27025</v>
      </c>
      <c r="H1662" t="s">
        <v>2647</v>
      </c>
      <c r="I1662">
        <v>3</v>
      </c>
    </row>
    <row r="1663" spans="7:9" x14ac:dyDescent="0.15">
      <c r="G1663">
        <v>27034</v>
      </c>
      <c r="H1663" t="s">
        <v>2648</v>
      </c>
      <c r="I1663">
        <v>3</v>
      </c>
    </row>
    <row r="1664" spans="7:9" x14ac:dyDescent="0.15">
      <c r="G1664">
        <v>27048</v>
      </c>
      <c r="H1664" t="s">
        <v>969</v>
      </c>
      <c r="I1664">
        <v>1</v>
      </c>
    </row>
    <row r="1665" spans="7:9" x14ac:dyDescent="0.15">
      <c r="G1665">
        <v>27090</v>
      </c>
      <c r="H1665" t="s">
        <v>2649</v>
      </c>
      <c r="I1665">
        <v>3</v>
      </c>
    </row>
    <row r="1666" spans="7:9" x14ac:dyDescent="0.15">
      <c r="G1666">
        <v>27104</v>
      </c>
      <c r="H1666" t="s">
        <v>2650</v>
      </c>
      <c r="I1666">
        <v>1</v>
      </c>
    </row>
    <row r="1667" spans="7:9" x14ac:dyDescent="0.15">
      <c r="G1667">
        <v>27150</v>
      </c>
      <c r="H1667" t="s">
        <v>2651</v>
      </c>
      <c r="I1667">
        <v>3</v>
      </c>
    </row>
    <row r="1668" spans="7:9" x14ac:dyDescent="0.15">
      <c r="G1668">
        <v>27160</v>
      </c>
      <c r="H1668" t="s">
        <v>2652</v>
      </c>
      <c r="I1668">
        <v>3</v>
      </c>
    </row>
    <row r="1669" spans="7:9" x14ac:dyDescent="0.15">
      <c r="G1669">
        <v>27170</v>
      </c>
      <c r="H1669" t="s">
        <v>2653</v>
      </c>
      <c r="I1669">
        <v>3</v>
      </c>
    </row>
    <row r="1670" spans="7:9" x14ac:dyDescent="0.15">
      <c r="G1670">
        <v>27188</v>
      </c>
      <c r="H1670" t="s">
        <v>1153</v>
      </c>
      <c r="I1670">
        <v>3</v>
      </c>
    </row>
    <row r="1671" spans="7:9" x14ac:dyDescent="0.15">
      <c r="G1671">
        <v>27198</v>
      </c>
      <c r="H1671" t="s">
        <v>2654</v>
      </c>
      <c r="I1671">
        <v>3</v>
      </c>
    </row>
    <row r="1672" spans="7:9" x14ac:dyDescent="0.15">
      <c r="G1672">
        <v>27200</v>
      </c>
      <c r="H1672" t="s">
        <v>2654</v>
      </c>
      <c r="I1672">
        <v>3</v>
      </c>
    </row>
    <row r="1673" spans="7:9" x14ac:dyDescent="0.15">
      <c r="G1673">
        <v>27202</v>
      </c>
      <c r="H1673" t="s">
        <v>2655</v>
      </c>
      <c r="I1673">
        <v>3</v>
      </c>
    </row>
    <row r="1674" spans="7:9" x14ac:dyDescent="0.15">
      <c r="G1674">
        <v>27216</v>
      </c>
      <c r="H1674" t="s">
        <v>2656</v>
      </c>
      <c r="I1674">
        <v>3</v>
      </c>
    </row>
    <row r="1675" spans="7:9" x14ac:dyDescent="0.15">
      <c r="G1675">
        <v>27218</v>
      </c>
      <c r="H1675" t="s">
        <v>2657</v>
      </c>
      <c r="I1675">
        <v>3</v>
      </c>
    </row>
    <row r="1676" spans="7:9" x14ac:dyDescent="0.15">
      <c r="G1676">
        <v>27220</v>
      </c>
      <c r="H1676" t="s">
        <v>2658</v>
      </c>
      <c r="I1676">
        <v>3</v>
      </c>
    </row>
    <row r="1677" spans="7:9" x14ac:dyDescent="0.15">
      <c r="G1677">
        <v>27223</v>
      </c>
      <c r="H1677" t="s">
        <v>2658</v>
      </c>
      <c r="I1677">
        <v>3</v>
      </c>
    </row>
    <row r="1678" spans="7:9" x14ac:dyDescent="0.15">
      <c r="G1678">
        <v>27226</v>
      </c>
      <c r="H1678" t="s">
        <v>2658</v>
      </c>
      <c r="I1678">
        <v>3</v>
      </c>
    </row>
    <row r="1679" spans="7:9" x14ac:dyDescent="0.15">
      <c r="G1679">
        <v>27230</v>
      </c>
      <c r="H1679" t="s">
        <v>2659</v>
      </c>
      <c r="I1679">
        <v>3</v>
      </c>
    </row>
    <row r="1680" spans="7:9" x14ac:dyDescent="0.15">
      <c r="G1680">
        <v>27244</v>
      </c>
      <c r="H1680" t="s">
        <v>2660</v>
      </c>
      <c r="I1680">
        <v>3</v>
      </c>
    </row>
    <row r="1681" spans="7:9" x14ac:dyDescent="0.15">
      <c r="G1681">
        <v>27248</v>
      </c>
      <c r="H1681" t="s">
        <v>2660</v>
      </c>
      <c r="I1681">
        <v>3</v>
      </c>
    </row>
    <row r="1682" spans="7:9" x14ac:dyDescent="0.15">
      <c r="G1682">
        <v>27252</v>
      </c>
      <c r="H1682" t="s">
        <v>2660</v>
      </c>
      <c r="I1682">
        <v>3</v>
      </c>
    </row>
    <row r="1683" spans="7:9" x14ac:dyDescent="0.15">
      <c r="G1683">
        <v>27255</v>
      </c>
      <c r="H1683" t="s">
        <v>2660</v>
      </c>
      <c r="I1683">
        <v>3</v>
      </c>
    </row>
    <row r="1684" spans="7:9" x14ac:dyDescent="0.15">
      <c r="G1684">
        <v>27258</v>
      </c>
      <c r="H1684" t="s">
        <v>2660</v>
      </c>
      <c r="I1684">
        <v>3</v>
      </c>
    </row>
    <row r="1685" spans="7:9" x14ac:dyDescent="0.15">
      <c r="G1685">
        <v>27272</v>
      </c>
      <c r="H1685" t="s">
        <v>2660</v>
      </c>
      <c r="I1685">
        <v>3</v>
      </c>
    </row>
    <row r="1686" spans="7:9" x14ac:dyDescent="0.15">
      <c r="G1686">
        <v>27278</v>
      </c>
      <c r="H1686" t="s">
        <v>2660</v>
      </c>
      <c r="I1686">
        <v>3</v>
      </c>
    </row>
    <row r="1687" spans="7:9" x14ac:dyDescent="0.15">
      <c r="G1687">
        <v>27282</v>
      </c>
      <c r="H1687" t="s">
        <v>2660</v>
      </c>
      <c r="I1687">
        <v>3</v>
      </c>
    </row>
    <row r="1688" spans="7:9" x14ac:dyDescent="0.15">
      <c r="G1688">
        <v>27286</v>
      </c>
      <c r="H1688" t="s">
        <v>2660</v>
      </c>
      <c r="I1688">
        <v>3</v>
      </c>
    </row>
    <row r="1689" spans="7:9" x14ac:dyDescent="0.15">
      <c r="G1689">
        <v>27300</v>
      </c>
      <c r="H1689" t="s">
        <v>2660</v>
      </c>
      <c r="I1689">
        <v>3</v>
      </c>
    </row>
    <row r="1690" spans="7:9" x14ac:dyDescent="0.15">
      <c r="G1690">
        <v>27303</v>
      </c>
      <c r="H1690" t="s">
        <v>2660</v>
      </c>
      <c r="I1690">
        <v>2</v>
      </c>
    </row>
    <row r="1691" spans="7:9" x14ac:dyDescent="0.15">
      <c r="G1691">
        <v>27307</v>
      </c>
      <c r="H1691" t="s">
        <v>2660</v>
      </c>
      <c r="I1691">
        <v>3</v>
      </c>
    </row>
    <row r="1692" spans="7:9" x14ac:dyDescent="0.15">
      <c r="G1692">
        <v>27310</v>
      </c>
      <c r="H1692" t="s">
        <v>2661</v>
      </c>
      <c r="I1692">
        <v>3</v>
      </c>
    </row>
    <row r="1693" spans="7:9" x14ac:dyDescent="0.15">
      <c r="G1693">
        <v>27314</v>
      </c>
      <c r="H1693" t="s">
        <v>2662</v>
      </c>
      <c r="I1693">
        <v>3</v>
      </c>
    </row>
    <row r="1694" spans="7:9" x14ac:dyDescent="0.15">
      <c r="G1694">
        <v>27328</v>
      </c>
      <c r="H1694" t="s">
        <v>2663</v>
      </c>
      <c r="I1694">
        <v>3</v>
      </c>
    </row>
    <row r="1695" spans="7:9" x14ac:dyDescent="0.15">
      <c r="G1695">
        <v>27335</v>
      </c>
      <c r="H1695" t="s">
        <v>2664</v>
      </c>
      <c r="I1695">
        <v>3</v>
      </c>
    </row>
    <row r="1696" spans="7:9" x14ac:dyDescent="0.15">
      <c r="G1696">
        <v>27342</v>
      </c>
      <c r="H1696" t="s">
        <v>2665</v>
      </c>
      <c r="I1696">
        <v>3</v>
      </c>
    </row>
    <row r="1697" spans="7:9" x14ac:dyDescent="0.15">
      <c r="G1697">
        <v>27356</v>
      </c>
      <c r="H1697" t="s">
        <v>2666</v>
      </c>
      <c r="I1697">
        <v>2</v>
      </c>
    </row>
    <row r="1698" spans="7:9" x14ac:dyDescent="0.15">
      <c r="G1698">
        <v>27370</v>
      </c>
      <c r="H1698" t="s">
        <v>2667</v>
      </c>
      <c r="I1698">
        <v>3</v>
      </c>
    </row>
    <row r="1699" spans="7:9" x14ac:dyDescent="0.15">
      <c r="G1699">
        <v>27390</v>
      </c>
      <c r="H1699" t="s">
        <v>2668</v>
      </c>
      <c r="I1699">
        <v>3</v>
      </c>
    </row>
    <row r="1700" spans="7:9" x14ac:dyDescent="0.15">
      <c r="G1700">
        <v>27398</v>
      </c>
      <c r="H1700" t="s">
        <v>2669</v>
      </c>
      <c r="I1700">
        <v>3</v>
      </c>
    </row>
    <row r="1701" spans="7:9" x14ac:dyDescent="0.15">
      <c r="G1701">
        <v>27405</v>
      </c>
      <c r="H1701" t="s">
        <v>2670</v>
      </c>
      <c r="I1701">
        <v>3</v>
      </c>
    </row>
    <row r="1702" spans="7:9" x14ac:dyDescent="0.15">
      <c r="G1702">
        <v>27412</v>
      </c>
      <c r="H1702" t="s">
        <v>2671</v>
      </c>
      <c r="I1702">
        <v>2</v>
      </c>
    </row>
    <row r="1703" spans="7:9" x14ac:dyDescent="0.15">
      <c r="G1703">
        <v>27420</v>
      </c>
      <c r="H1703" t="s">
        <v>2672</v>
      </c>
      <c r="I1703">
        <v>3</v>
      </c>
    </row>
    <row r="1704" spans="7:9" x14ac:dyDescent="0.15">
      <c r="G1704">
        <v>27426</v>
      </c>
      <c r="H1704" t="s">
        <v>2673</v>
      </c>
      <c r="I1704">
        <v>3</v>
      </c>
    </row>
    <row r="1705" spans="7:9" x14ac:dyDescent="0.15">
      <c r="G1705">
        <v>27445</v>
      </c>
      <c r="H1705" t="s">
        <v>2674</v>
      </c>
      <c r="I1705">
        <v>3</v>
      </c>
    </row>
    <row r="1706" spans="7:9" x14ac:dyDescent="0.15">
      <c r="G1706">
        <v>27454</v>
      </c>
      <c r="H1706" t="s">
        <v>2675</v>
      </c>
      <c r="I1706">
        <v>3</v>
      </c>
    </row>
    <row r="1707" spans="7:9" x14ac:dyDescent="0.15">
      <c r="G1707">
        <v>27468</v>
      </c>
      <c r="H1707" t="s">
        <v>2675</v>
      </c>
      <c r="I1707">
        <v>3</v>
      </c>
    </row>
    <row r="1708" spans="7:9" x14ac:dyDescent="0.15">
      <c r="G1708">
        <v>27482</v>
      </c>
      <c r="H1708" t="s">
        <v>2676</v>
      </c>
      <c r="I1708">
        <v>3</v>
      </c>
    </row>
    <row r="1709" spans="7:9" x14ac:dyDescent="0.15">
      <c r="G1709">
        <v>27510</v>
      </c>
      <c r="H1709" t="s">
        <v>2675</v>
      </c>
      <c r="I1709">
        <v>3</v>
      </c>
    </row>
    <row r="1710" spans="7:9" x14ac:dyDescent="0.15">
      <c r="G1710">
        <v>27524</v>
      </c>
      <c r="H1710" t="s">
        <v>2675</v>
      </c>
      <c r="I1710">
        <v>3</v>
      </c>
    </row>
    <row r="1711" spans="7:9" x14ac:dyDescent="0.15">
      <c r="G1711">
        <v>27530</v>
      </c>
      <c r="H1711" t="s">
        <v>2676</v>
      </c>
      <c r="I1711">
        <v>3</v>
      </c>
    </row>
    <row r="1712" spans="7:9" x14ac:dyDescent="0.15">
      <c r="G1712">
        <v>27538</v>
      </c>
      <c r="H1712" t="s">
        <v>2677</v>
      </c>
      <c r="I1712">
        <v>2</v>
      </c>
    </row>
    <row r="1713" spans="7:9" x14ac:dyDescent="0.15">
      <c r="G1713">
        <v>27552</v>
      </c>
      <c r="H1713" t="s">
        <v>2678</v>
      </c>
      <c r="I1713">
        <v>2</v>
      </c>
    </row>
    <row r="1714" spans="7:9" x14ac:dyDescent="0.15">
      <c r="G1714">
        <v>27566</v>
      </c>
      <c r="H1714" t="s">
        <v>2679</v>
      </c>
      <c r="I1714">
        <v>3</v>
      </c>
    </row>
    <row r="1715" spans="7:9" x14ac:dyDescent="0.15">
      <c r="G1715">
        <v>27580</v>
      </c>
      <c r="H1715" t="s">
        <v>2680</v>
      </c>
      <c r="I1715">
        <v>3</v>
      </c>
    </row>
    <row r="1716" spans="7:9" x14ac:dyDescent="0.15">
      <c r="G1716">
        <v>27585</v>
      </c>
      <c r="H1716" t="s">
        <v>2681</v>
      </c>
      <c r="I1716">
        <v>3</v>
      </c>
    </row>
    <row r="1717" spans="7:9" x14ac:dyDescent="0.15">
      <c r="G1717">
        <v>27594</v>
      </c>
      <c r="H1717" t="s">
        <v>2682</v>
      </c>
      <c r="I1717">
        <v>3</v>
      </c>
    </row>
    <row r="1718" spans="7:9" x14ac:dyDescent="0.15">
      <c r="G1718">
        <v>27608</v>
      </c>
      <c r="H1718" t="s">
        <v>2683</v>
      </c>
      <c r="I1718">
        <v>3</v>
      </c>
    </row>
    <row r="1719" spans="7:9" x14ac:dyDescent="0.15">
      <c r="G1719">
        <v>27636</v>
      </c>
      <c r="H1719" t="s">
        <v>2684</v>
      </c>
      <c r="I1719">
        <v>2</v>
      </c>
    </row>
    <row r="1720" spans="7:9" x14ac:dyDescent="0.15">
      <c r="G1720">
        <v>27650</v>
      </c>
      <c r="H1720" t="s">
        <v>2685</v>
      </c>
      <c r="I1720">
        <v>3</v>
      </c>
    </row>
    <row r="1721" spans="7:9" x14ac:dyDescent="0.15">
      <c r="G1721">
        <v>27664</v>
      </c>
      <c r="H1721" t="s">
        <v>2686</v>
      </c>
      <c r="I1721">
        <v>3</v>
      </c>
    </row>
    <row r="1722" spans="7:9" x14ac:dyDescent="0.15">
      <c r="G1722">
        <v>27698</v>
      </c>
      <c r="H1722" t="s">
        <v>2687</v>
      </c>
      <c r="I1722">
        <v>3</v>
      </c>
    </row>
    <row r="1723" spans="7:9" x14ac:dyDescent="0.15">
      <c r="G1723">
        <v>27702</v>
      </c>
      <c r="H1723" t="s">
        <v>2688</v>
      </c>
      <c r="I1723">
        <v>3</v>
      </c>
    </row>
    <row r="1724" spans="7:9" x14ac:dyDescent="0.15">
      <c r="G1724">
        <v>27706</v>
      </c>
      <c r="H1724" t="s">
        <v>2689</v>
      </c>
      <c r="I1724">
        <v>1</v>
      </c>
    </row>
    <row r="1725" spans="7:9" x14ac:dyDescent="0.15">
      <c r="G1725">
        <v>27776</v>
      </c>
      <c r="H1725" t="s">
        <v>2690</v>
      </c>
      <c r="I1725">
        <v>1</v>
      </c>
    </row>
    <row r="1726" spans="7:9" x14ac:dyDescent="0.15">
      <c r="G1726">
        <v>27785</v>
      </c>
      <c r="H1726" t="s">
        <v>2691</v>
      </c>
      <c r="I1726">
        <v>3</v>
      </c>
    </row>
    <row r="1727" spans="7:9" x14ac:dyDescent="0.15">
      <c r="G1727">
        <v>27795</v>
      </c>
      <c r="H1727" t="s">
        <v>2692</v>
      </c>
      <c r="I1727">
        <v>3</v>
      </c>
    </row>
    <row r="1728" spans="7:9" x14ac:dyDescent="0.15">
      <c r="G1728">
        <v>27800</v>
      </c>
      <c r="H1728" t="s">
        <v>2693</v>
      </c>
      <c r="I1728">
        <v>3</v>
      </c>
    </row>
    <row r="1729" spans="7:9" x14ac:dyDescent="0.15">
      <c r="G1729">
        <v>27804</v>
      </c>
      <c r="H1729" t="s">
        <v>2694</v>
      </c>
      <c r="I1729">
        <v>3</v>
      </c>
    </row>
    <row r="1730" spans="7:9" x14ac:dyDescent="0.15">
      <c r="G1730">
        <v>27818</v>
      </c>
      <c r="H1730" t="s">
        <v>2695</v>
      </c>
      <c r="I1730">
        <v>2</v>
      </c>
    </row>
    <row r="1731" spans="7:9" x14ac:dyDescent="0.15">
      <c r="G1731">
        <v>27832</v>
      </c>
      <c r="H1731" t="s">
        <v>2696</v>
      </c>
      <c r="I1731">
        <v>2</v>
      </c>
    </row>
    <row r="1732" spans="7:9" x14ac:dyDescent="0.15">
      <c r="G1732">
        <v>27846</v>
      </c>
      <c r="H1732" t="s">
        <v>2697</v>
      </c>
      <c r="I1732">
        <v>3</v>
      </c>
    </row>
    <row r="1733" spans="7:9" x14ac:dyDescent="0.15">
      <c r="G1733">
        <v>27902</v>
      </c>
      <c r="H1733" t="s">
        <v>2698</v>
      </c>
      <c r="I1733">
        <v>2</v>
      </c>
    </row>
    <row r="1734" spans="7:9" x14ac:dyDescent="0.15">
      <c r="G1734">
        <v>27930</v>
      </c>
      <c r="H1734" t="s">
        <v>2699</v>
      </c>
      <c r="I1734">
        <v>2</v>
      </c>
    </row>
    <row r="1735" spans="7:9" x14ac:dyDescent="0.15">
      <c r="G1735">
        <v>27944</v>
      </c>
      <c r="H1735" t="s">
        <v>2700</v>
      </c>
      <c r="I1735">
        <v>2</v>
      </c>
    </row>
    <row r="1736" spans="7:9" x14ac:dyDescent="0.15">
      <c r="G1736">
        <v>28000</v>
      </c>
      <c r="H1736" t="s">
        <v>2701</v>
      </c>
      <c r="I1736">
        <v>3</v>
      </c>
    </row>
    <row r="1737" spans="7:9" x14ac:dyDescent="0.15">
      <c r="G1737">
        <v>28014</v>
      </c>
      <c r="H1737" t="s">
        <v>970</v>
      </c>
      <c r="I1737">
        <v>1</v>
      </c>
    </row>
    <row r="1738" spans="7:9" x14ac:dyDescent="0.15">
      <c r="G1738">
        <v>28042</v>
      </c>
      <c r="H1738" t="s">
        <v>2702</v>
      </c>
      <c r="I1738">
        <v>3</v>
      </c>
    </row>
    <row r="1739" spans="7:9" x14ac:dyDescent="0.15">
      <c r="G1739">
        <v>28058</v>
      </c>
      <c r="H1739" t="s">
        <v>2703</v>
      </c>
      <c r="I1739">
        <v>2</v>
      </c>
    </row>
    <row r="1740" spans="7:9" x14ac:dyDescent="0.15">
      <c r="G1740">
        <v>28060</v>
      </c>
      <c r="H1740" t="s">
        <v>2704</v>
      </c>
      <c r="I1740">
        <v>3</v>
      </c>
    </row>
    <row r="1741" spans="7:9" x14ac:dyDescent="0.15">
      <c r="G1741">
        <v>28063</v>
      </c>
      <c r="H1741" t="s">
        <v>2705</v>
      </c>
      <c r="I1741">
        <v>3</v>
      </c>
    </row>
    <row r="1742" spans="7:9" x14ac:dyDescent="0.15">
      <c r="G1742">
        <v>28067</v>
      </c>
      <c r="H1742" t="s">
        <v>2706</v>
      </c>
      <c r="I1742">
        <v>3</v>
      </c>
    </row>
    <row r="1743" spans="7:9" x14ac:dyDescent="0.15">
      <c r="G1743">
        <v>28084</v>
      </c>
      <c r="H1743" t="s">
        <v>2707</v>
      </c>
      <c r="I1743">
        <v>3</v>
      </c>
    </row>
    <row r="1744" spans="7:9" x14ac:dyDescent="0.15">
      <c r="G1744">
        <v>28098</v>
      </c>
      <c r="H1744" t="s">
        <v>2708</v>
      </c>
      <c r="I1744">
        <v>3</v>
      </c>
    </row>
    <row r="1745" spans="7:9" x14ac:dyDescent="0.15">
      <c r="G1745">
        <v>28112</v>
      </c>
      <c r="H1745" t="s">
        <v>2709</v>
      </c>
      <c r="I1745">
        <v>3</v>
      </c>
    </row>
    <row r="1746" spans="7:9" x14ac:dyDescent="0.15">
      <c r="G1746">
        <v>28126</v>
      </c>
      <c r="H1746" t="s">
        <v>2710</v>
      </c>
      <c r="I1746">
        <v>3</v>
      </c>
    </row>
    <row r="1747" spans="7:9" x14ac:dyDescent="0.15">
      <c r="G1747">
        <v>28140</v>
      </c>
      <c r="H1747" t="s">
        <v>2711</v>
      </c>
      <c r="I1747">
        <v>3</v>
      </c>
    </row>
    <row r="1748" spans="7:9" x14ac:dyDescent="0.15">
      <c r="G1748">
        <v>28145</v>
      </c>
      <c r="H1748" t="s">
        <v>2712</v>
      </c>
      <c r="I1748">
        <v>3</v>
      </c>
    </row>
    <row r="1749" spans="7:9" x14ac:dyDescent="0.15">
      <c r="G1749">
        <v>28158</v>
      </c>
      <c r="H1749" t="s">
        <v>2713</v>
      </c>
      <c r="I1749">
        <v>3</v>
      </c>
    </row>
    <row r="1750" spans="7:9" x14ac:dyDescent="0.15">
      <c r="G1750">
        <v>28162</v>
      </c>
      <c r="H1750" t="s">
        <v>2714</v>
      </c>
      <c r="I1750">
        <v>3</v>
      </c>
    </row>
    <row r="1751" spans="7:9" x14ac:dyDescent="0.15">
      <c r="G1751">
        <v>28165</v>
      </c>
      <c r="H1751" t="s">
        <v>2715</v>
      </c>
      <c r="I1751">
        <v>3</v>
      </c>
    </row>
    <row r="1752" spans="7:9" x14ac:dyDescent="0.15">
      <c r="G1752">
        <v>28168</v>
      </c>
      <c r="H1752" t="s">
        <v>2716</v>
      </c>
      <c r="I1752">
        <v>3</v>
      </c>
    </row>
    <row r="1753" spans="7:9" x14ac:dyDescent="0.15">
      <c r="G1753">
        <v>28175</v>
      </c>
      <c r="H1753" t="s">
        <v>2717</v>
      </c>
      <c r="I1753">
        <v>3</v>
      </c>
    </row>
    <row r="1754" spans="7:9" x14ac:dyDescent="0.15">
      <c r="G1754">
        <v>28182</v>
      </c>
      <c r="H1754" t="s">
        <v>2717</v>
      </c>
      <c r="I1754">
        <v>2</v>
      </c>
    </row>
    <row r="1755" spans="7:9" x14ac:dyDescent="0.15">
      <c r="G1755">
        <v>28196</v>
      </c>
      <c r="H1755" t="s">
        <v>1141</v>
      </c>
      <c r="I1755">
        <v>3</v>
      </c>
    </row>
    <row r="1756" spans="7:9" x14ac:dyDescent="0.15">
      <c r="G1756">
        <v>28210</v>
      </c>
      <c r="H1756" t="s">
        <v>1141</v>
      </c>
      <c r="I1756">
        <v>3</v>
      </c>
    </row>
    <row r="1757" spans="7:9" x14ac:dyDescent="0.15">
      <c r="G1757">
        <v>28224</v>
      </c>
      <c r="H1757" t="s">
        <v>1141</v>
      </c>
      <c r="I1757">
        <v>3</v>
      </c>
    </row>
    <row r="1758" spans="7:9" x14ac:dyDescent="0.15">
      <c r="G1758">
        <v>28238</v>
      </c>
      <c r="H1758" t="s">
        <v>1141</v>
      </c>
      <c r="I1758">
        <v>3</v>
      </c>
    </row>
    <row r="1759" spans="7:9" x14ac:dyDescent="0.15">
      <c r="G1759">
        <v>28252</v>
      </c>
      <c r="H1759" t="s">
        <v>1141</v>
      </c>
      <c r="I1759">
        <v>3</v>
      </c>
    </row>
    <row r="1760" spans="7:9" x14ac:dyDescent="0.15">
      <c r="G1760">
        <v>28266</v>
      </c>
      <c r="H1760" t="s">
        <v>1141</v>
      </c>
      <c r="I1760">
        <v>3</v>
      </c>
    </row>
    <row r="1761" spans="7:9" x14ac:dyDescent="0.15">
      <c r="G1761">
        <v>28280</v>
      </c>
      <c r="H1761" t="s">
        <v>1141</v>
      </c>
      <c r="I1761">
        <v>3</v>
      </c>
    </row>
    <row r="1762" spans="7:9" x14ac:dyDescent="0.15">
      <c r="G1762">
        <v>28294</v>
      </c>
      <c r="H1762" t="s">
        <v>1141</v>
      </c>
      <c r="I1762">
        <v>3</v>
      </c>
    </row>
    <row r="1763" spans="7:9" x14ac:dyDescent="0.15">
      <c r="G1763">
        <v>28308</v>
      </c>
      <c r="H1763" t="s">
        <v>1141</v>
      </c>
      <c r="I1763">
        <v>3</v>
      </c>
    </row>
    <row r="1764" spans="7:9" x14ac:dyDescent="0.15">
      <c r="G1764">
        <v>28322</v>
      </c>
      <c r="H1764" t="s">
        <v>1141</v>
      </c>
      <c r="I1764">
        <v>3</v>
      </c>
    </row>
    <row r="1765" spans="7:9" x14ac:dyDescent="0.15">
      <c r="G1765">
        <v>28336</v>
      </c>
      <c r="H1765" t="s">
        <v>1141</v>
      </c>
      <c r="I1765">
        <v>3</v>
      </c>
    </row>
    <row r="1766" spans="7:9" x14ac:dyDescent="0.15">
      <c r="G1766">
        <v>28350</v>
      </c>
      <c r="H1766" t="s">
        <v>1141</v>
      </c>
      <c r="I1766">
        <v>3</v>
      </c>
    </row>
    <row r="1767" spans="7:9" x14ac:dyDescent="0.15">
      <c r="G1767">
        <v>28357</v>
      </c>
      <c r="H1767" t="s">
        <v>1141</v>
      </c>
      <c r="I1767">
        <v>3</v>
      </c>
    </row>
    <row r="1768" spans="7:9" x14ac:dyDescent="0.15">
      <c r="G1768">
        <v>28378</v>
      </c>
      <c r="H1768" t="s">
        <v>1141</v>
      </c>
      <c r="I1768">
        <v>3</v>
      </c>
    </row>
    <row r="1769" spans="7:9" x14ac:dyDescent="0.15">
      <c r="G1769">
        <v>28392</v>
      </c>
      <c r="H1769" t="s">
        <v>1141</v>
      </c>
      <c r="I1769">
        <v>3</v>
      </c>
    </row>
    <row r="1770" spans="7:9" x14ac:dyDescent="0.15">
      <c r="G1770">
        <v>28406</v>
      </c>
      <c r="H1770" t="s">
        <v>1141</v>
      </c>
      <c r="I1770">
        <v>3</v>
      </c>
    </row>
    <row r="1771" spans="7:9" x14ac:dyDescent="0.15">
      <c r="G1771">
        <v>28420</v>
      </c>
      <c r="H1771" t="s">
        <v>1141</v>
      </c>
      <c r="I1771">
        <v>3</v>
      </c>
    </row>
    <row r="1772" spans="7:9" x14ac:dyDescent="0.15">
      <c r="G1772">
        <v>28434</v>
      </c>
      <c r="H1772" t="s">
        <v>1141</v>
      </c>
      <c r="I1772">
        <v>3</v>
      </c>
    </row>
    <row r="1773" spans="7:9" x14ac:dyDescent="0.15">
      <c r="G1773">
        <v>28448</v>
      </c>
      <c r="H1773" t="s">
        <v>1141</v>
      </c>
      <c r="I1773">
        <v>3</v>
      </c>
    </row>
    <row r="1774" spans="7:9" x14ac:dyDescent="0.15">
      <c r="G1774">
        <v>28462</v>
      </c>
      <c r="H1774" t="s">
        <v>1141</v>
      </c>
      <c r="I1774">
        <v>3</v>
      </c>
    </row>
    <row r="1775" spans="7:9" x14ac:dyDescent="0.15">
      <c r="G1775">
        <v>28476</v>
      </c>
      <c r="H1775" t="s">
        <v>1137</v>
      </c>
      <c r="I1775">
        <v>1</v>
      </c>
    </row>
    <row r="1776" spans="7:9" x14ac:dyDescent="0.15">
      <c r="G1776">
        <v>28490</v>
      </c>
      <c r="H1776" t="s">
        <v>1141</v>
      </c>
      <c r="I1776">
        <v>3</v>
      </c>
    </row>
    <row r="1777" spans="7:9" x14ac:dyDescent="0.15">
      <c r="G1777">
        <v>28504</v>
      </c>
      <c r="H1777" t="s">
        <v>1141</v>
      </c>
      <c r="I1777">
        <v>3</v>
      </c>
    </row>
    <row r="1778" spans="7:9" x14ac:dyDescent="0.15">
      <c r="G1778">
        <v>28532</v>
      </c>
      <c r="H1778" t="s">
        <v>2718</v>
      </c>
      <c r="I1778">
        <v>2</v>
      </c>
    </row>
    <row r="1779" spans="7:9" x14ac:dyDescent="0.15">
      <c r="G1779">
        <v>28546</v>
      </c>
      <c r="H1779" t="s">
        <v>2719</v>
      </c>
      <c r="I1779">
        <v>3</v>
      </c>
    </row>
    <row r="1780" spans="7:9" x14ac:dyDescent="0.15">
      <c r="G1780">
        <v>28560</v>
      </c>
      <c r="H1780" t="s">
        <v>2720</v>
      </c>
      <c r="I1780">
        <v>3</v>
      </c>
    </row>
    <row r="1781" spans="7:9" x14ac:dyDescent="0.15">
      <c r="G1781">
        <v>28574</v>
      </c>
      <c r="H1781" t="s">
        <v>2721</v>
      </c>
      <c r="I1781">
        <v>2</v>
      </c>
    </row>
    <row r="1782" spans="7:9" x14ac:dyDescent="0.15">
      <c r="G1782">
        <v>28580</v>
      </c>
      <c r="H1782" t="s">
        <v>2722</v>
      </c>
      <c r="I1782">
        <v>3</v>
      </c>
    </row>
    <row r="1783" spans="7:9" x14ac:dyDescent="0.15">
      <c r="G1783">
        <v>28588</v>
      </c>
      <c r="H1783" t="s">
        <v>2723</v>
      </c>
      <c r="I1783">
        <v>3</v>
      </c>
    </row>
    <row r="1784" spans="7:9" x14ac:dyDescent="0.15">
      <c r="G1784">
        <v>28602</v>
      </c>
      <c r="H1784" t="s">
        <v>2723</v>
      </c>
      <c r="I1784">
        <v>3</v>
      </c>
    </row>
    <row r="1785" spans="7:9" x14ac:dyDescent="0.15">
      <c r="G1785">
        <v>28610</v>
      </c>
      <c r="H1785" t="s">
        <v>2724</v>
      </c>
      <c r="I1785">
        <v>3</v>
      </c>
    </row>
    <row r="1786" spans="7:9" x14ac:dyDescent="0.15">
      <c r="G1786">
        <v>28616</v>
      </c>
      <c r="H1786" t="s">
        <v>2724</v>
      </c>
      <c r="I1786">
        <v>2</v>
      </c>
    </row>
    <row r="1787" spans="7:9" x14ac:dyDescent="0.15">
      <c r="G1787">
        <v>28630</v>
      </c>
      <c r="H1787" t="s">
        <v>2725</v>
      </c>
      <c r="I1787">
        <v>3</v>
      </c>
    </row>
    <row r="1788" spans="7:9" x14ac:dyDescent="0.15">
      <c r="G1788">
        <v>28644</v>
      </c>
      <c r="H1788" t="s">
        <v>2726</v>
      </c>
      <c r="I1788">
        <v>3</v>
      </c>
    </row>
    <row r="1789" spans="7:9" x14ac:dyDescent="0.15">
      <c r="G1789">
        <v>28658</v>
      </c>
      <c r="H1789" t="s">
        <v>2726</v>
      </c>
      <c r="I1789">
        <v>2</v>
      </c>
    </row>
    <row r="1790" spans="7:9" x14ac:dyDescent="0.15">
      <c r="G1790">
        <v>28672</v>
      </c>
      <c r="H1790" t="s">
        <v>2727</v>
      </c>
      <c r="I1790">
        <v>3</v>
      </c>
    </row>
    <row r="1791" spans="7:9" x14ac:dyDescent="0.15">
      <c r="G1791">
        <v>28686</v>
      </c>
      <c r="H1791" t="s">
        <v>2728</v>
      </c>
      <c r="I1791">
        <v>3</v>
      </c>
    </row>
    <row r="1792" spans="7:9" x14ac:dyDescent="0.15">
      <c r="G1792">
        <v>28700</v>
      </c>
      <c r="H1792" t="s">
        <v>2729</v>
      </c>
      <c r="I1792">
        <v>3</v>
      </c>
    </row>
    <row r="1793" spans="7:9" x14ac:dyDescent="0.15">
      <c r="G1793">
        <v>28714</v>
      </c>
      <c r="H1793" t="s">
        <v>2730</v>
      </c>
      <c r="I1793">
        <v>3</v>
      </c>
    </row>
    <row r="1794" spans="7:9" x14ac:dyDescent="0.15">
      <c r="G1794">
        <v>28728</v>
      </c>
      <c r="H1794" t="s">
        <v>2731</v>
      </c>
      <c r="I1794">
        <v>3</v>
      </c>
    </row>
    <row r="1795" spans="7:9" x14ac:dyDescent="0.15">
      <c r="G1795">
        <v>28742</v>
      </c>
      <c r="H1795" t="s">
        <v>2729</v>
      </c>
      <c r="I1795">
        <v>3</v>
      </c>
    </row>
    <row r="1796" spans="7:9" x14ac:dyDescent="0.15">
      <c r="G1796">
        <v>28756</v>
      </c>
      <c r="H1796" t="s">
        <v>2729</v>
      </c>
      <c r="I1796">
        <v>3</v>
      </c>
    </row>
    <row r="1797" spans="7:9" x14ac:dyDescent="0.15">
      <c r="G1797">
        <v>28770</v>
      </c>
      <c r="H1797" t="s">
        <v>2732</v>
      </c>
      <c r="I1797">
        <v>3</v>
      </c>
    </row>
    <row r="1798" spans="7:9" x14ac:dyDescent="0.15">
      <c r="G1798">
        <v>28784</v>
      </c>
      <c r="H1798" t="s">
        <v>2733</v>
      </c>
      <c r="I1798">
        <v>3</v>
      </c>
    </row>
    <row r="1799" spans="7:9" x14ac:dyDescent="0.15">
      <c r="G1799">
        <v>28798</v>
      </c>
      <c r="H1799" t="s">
        <v>2734</v>
      </c>
      <c r="I1799">
        <v>2</v>
      </c>
    </row>
    <row r="1800" spans="7:9" x14ac:dyDescent="0.15">
      <c r="G1800">
        <v>28812</v>
      </c>
      <c r="H1800" t="s">
        <v>2735</v>
      </c>
      <c r="I1800">
        <v>3</v>
      </c>
    </row>
    <row r="1801" spans="7:9" x14ac:dyDescent="0.15">
      <c r="G1801">
        <v>28826</v>
      </c>
      <c r="H1801" t="s">
        <v>971</v>
      </c>
      <c r="I1801">
        <v>1</v>
      </c>
    </row>
    <row r="1802" spans="7:9" x14ac:dyDescent="0.15">
      <c r="G1802">
        <v>28854</v>
      </c>
      <c r="H1802" t="s">
        <v>2736</v>
      </c>
      <c r="I1802">
        <v>3</v>
      </c>
    </row>
    <row r="1803" spans="7:9" x14ac:dyDescent="0.15">
      <c r="G1803">
        <v>28865</v>
      </c>
      <c r="H1803" t="s">
        <v>2736</v>
      </c>
      <c r="I1803">
        <v>3</v>
      </c>
    </row>
    <row r="1804" spans="7:9" x14ac:dyDescent="0.15">
      <c r="G1804">
        <v>28882</v>
      </c>
      <c r="H1804" t="s">
        <v>2737</v>
      </c>
      <c r="I1804">
        <v>2</v>
      </c>
    </row>
    <row r="1805" spans="7:9" x14ac:dyDescent="0.15">
      <c r="G1805">
        <v>28896</v>
      </c>
      <c r="H1805" t="s">
        <v>2738</v>
      </c>
      <c r="I1805">
        <v>2</v>
      </c>
    </row>
    <row r="1806" spans="7:9" x14ac:dyDescent="0.15">
      <c r="G1806">
        <v>28903</v>
      </c>
      <c r="H1806" t="s">
        <v>2739</v>
      </c>
      <c r="I1806">
        <v>3</v>
      </c>
    </row>
    <row r="1807" spans="7:9" x14ac:dyDescent="0.15">
      <c r="G1807">
        <v>28906</v>
      </c>
      <c r="H1807" t="s">
        <v>2740</v>
      </c>
      <c r="I1807">
        <v>3</v>
      </c>
    </row>
    <row r="1808" spans="7:9" x14ac:dyDescent="0.15">
      <c r="G1808">
        <v>28938</v>
      </c>
      <c r="H1808" t="s">
        <v>2741</v>
      </c>
      <c r="I1808">
        <v>3</v>
      </c>
    </row>
    <row r="1809" spans="7:9" x14ac:dyDescent="0.15">
      <c r="G1809">
        <v>28952</v>
      </c>
      <c r="H1809" t="s">
        <v>2742</v>
      </c>
      <c r="I1809">
        <v>3</v>
      </c>
    </row>
    <row r="1810" spans="7:9" x14ac:dyDescent="0.15">
      <c r="G1810">
        <v>28966</v>
      </c>
      <c r="H1810" t="s">
        <v>2743</v>
      </c>
      <c r="I1810">
        <v>2</v>
      </c>
    </row>
    <row r="1811" spans="7:9" x14ac:dyDescent="0.15">
      <c r="G1811">
        <v>28980</v>
      </c>
      <c r="H1811" t="s">
        <v>2744</v>
      </c>
      <c r="I1811">
        <v>3</v>
      </c>
    </row>
    <row r="1812" spans="7:9" x14ac:dyDescent="0.15">
      <c r="G1812">
        <v>28994</v>
      </c>
      <c r="H1812" t="s">
        <v>2744</v>
      </c>
      <c r="I1812">
        <v>3</v>
      </c>
    </row>
    <row r="1813" spans="7:9" x14ac:dyDescent="0.15">
      <c r="G1813">
        <v>29000</v>
      </c>
      <c r="H1813" t="s">
        <v>2745</v>
      </c>
      <c r="I1813">
        <v>3</v>
      </c>
    </row>
    <row r="1814" spans="7:9" x14ac:dyDescent="0.15">
      <c r="G1814">
        <v>29008</v>
      </c>
      <c r="H1814" t="s">
        <v>2746</v>
      </c>
      <c r="I1814">
        <v>3</v>
      </c>
    </row>
    <row r="1815" spans="7:9" x14ac:dyDescent="0.15">
      <c r="G1815">
        <v>29022</v>
      </c>
      <c r="H1815" t="s">
        <v>2747</v>
      </c>
      <c r="I1815">
        <v>3</v>
      </c>
    </row>
    <row r="1816" spans="7:9" x14ac:dyDescent="0.15">
      <c r="G1816">
        <v>29030</v>
      </c>
      <c r="H1816" t="s">
        <v>2748</v>
      </c>
      <c r="I1816">
        <v>3</v>
      </c>
    </row>
    <row r="1817" spans="7:9" x14ac:dyDescent="0.15">
      <c r="G1817">
        <v>29036</v>
      </c>
      <c r="H1817" t="s">
        <v>2749</v>
      </c>
      <c r="I1817">
        <v>3</v>
      </c>
    </row>
    <row r="1818" spans="7:9" x14ac:dyDescent="0.15">
      <c r="G1818">
        <v>29050</v>
      </c>
      <c r="H1818" t="s">
        <v>2750</v>
      </c>
      <c r="I1818">
        <v>2</v>
      </c>
    </row>
    <row r="1819" spans="7:9" x14ac:dyDescent="0.15">
      <c r="G1819">
        <v>29064</v>
      </c>
      <c r="H1819" t="s">
        <v>2751</v>
      </c>
      <c r="I1819">
        <v>2</v>
      </c>
    </row>
    <row r="1820" spans="7:9" x14ac:dyDescent="0.15">
      <c r="G1820">
        <v>29078</v>
      </c>
      <c r="H1820" t="s">
        <v>2752</v>
      </c>
      <c r="I1820">
        <v>3</v>
      </c>
    </row>
    <row r="1821" spans="7:9" x14ac:dyDescent="0.15">
      <c r="G1821">
        <v>29085</v>
      </c>
      <c r="H1821" t="s">
        <v>2753</v>
      </c>
      <c r="I1821">
        <v>3</v>
      </c>
    </row>
    <row r="1822" spans="7:9" x14ac:dyDescent="0.15">
      <c r="G1822">
        <v>29090</v>
      </c>
      <c r="H1822" t="s">
        <v>2754</v>
      </c>
      <c r="I1822">
        <v>3</v>
      </c>
    </row>
    <row r="1823" spans="7:9" x14ac:dyDescent="0.15">
      <c r="G1823">
        <v>29092</v>
      </c>
      <c r="H1823" t="s">
        <v>2755</v>
      </c>
      <c r="I1823">
        <v>3</v>
      </c>
    </row>
    <row r="1824" spans="7:9" x14ac:dyDescent="0.15">
      <c r="G1824">
        <v>29100</v>
      </c>
      <c r="H1824" t="s">
        <v>2756</v>
      </c>
      <c r="I1824">
        <v>3</v>
      </c>
    </row>
    <row r="1825" spans="7:9" x14ac:dyDescent="0.15">
      <c r="G1825">
        <v>29106</v>
      </c>
      <c r="H1825" t="s">
        <v>2757</v>
      </c>
      <c r="I1825">
        <v>1</v>
      </c>
    </row>
    <row r="1826" spans="7:9" x14ac:dyDescent="0.15">
      <c r="G1826">
        <v>29120</v>
      </c>
      <c r="H1826" t="s">
        <v>2758</v>
      </c>
      <c r="I1826">
        <v>3</v>
      </c>
    </row>
    <row r="1827" spans="7:9" x14ac:dyDescent="0.15">
      <c r="G1827">
        <v>29134</v>
      </c>
      <c r="H1827" t="s">
        <v>2759</v>
      </c>
      <c r="I1827">
        <v>3</v>
      </c>
    </row>
    <row r="1828" spans="7:9" x14ac:dyDescent="0.15">
      <c r="G1828">
        <v>29148</v>
      </c>
      <c r="H1828" t="s">
        <v>2760</v>
      </c>
      <c r="I1828">
        <v>2</v>
      </c>
    </row>
    <row r="1829" spans="7:9" x14ac:dyDescent="0.15">
      <c r="G1829">
        <v>29155</v>
      </c>
      <c r="H1829" t="s">
        <v>2761</v>
      </c>
      <c r="I1829">
        <v>3</v>
      </c>
    </row>
    <row r="1830" spans="7:9" x14ac:dyDescent="0.15">
      <c r="G1830">
        <v>29162</v>
      </c>
      <c r="H1830" t="s">
        <v>972</v>
      </c>
      <c r="I1830">
        <v>1</v>
      </c>
    </row>
    <row r="1831" spans="7:9" x14ac:dyDescent="0.15">
      <c r="G1831">
        <v>29176</v>
      </c>
      <c r="H1831" t="s">
        <v>2762</v>
      </c>
      <c r="I1831">
        <v>3</v>
      </c>
    </row>
    <row r="1832" spans="7:9" x14ac:dyDescent="0.15">
      <c r="G1832">
        <v>29190</v>
      </c>
      <c r="H1832" t="s">
        <v>2763</v>
      </c>
      <c r="I1832">
        <v>3</v>
      </c>
    </row>
    <row r="1833" spans="7:9" x14ac:dyDescent="0.15">
      <c r="G1833">
        <v>29204</v>
      </c>
      <c r="H1833" t="s">
        <v>973</v>
      </c>
      <c r="I1833">
        <v>2</v>
      </c>
    </row>
    <row r="1834" spans="7:9" x14ac:dyDescent="0.15">
      <c r="G1834">
        <v>29218</v>
      </c>
      <c r="H1834" t="s">
        <v>2764</v>
      </c>
      <c r="I1834">
        <v>3</v>
      </c>
    </row>
    <row r="1835" spans="7:9" x14ac:dyDescent="0.15">
      <c r="G1835">
        <v>29232</v>
      </c>
      <c r="H1835" t="s">
        <v>2765</v>
      </c>
      <c r="I1835">
        <v>3</v>
      </c>
    </row>
    <row r="1836" spans="7:9" x14ac:dyDescent="0.15">
      <c r="G1836">
        <v>29240</v>
      </c>
      <c r="H1836" t="s">
        <v>2766</v>
      </c>
      <c r="I1836">
        <v>3</v>
      </c>
    </row>
    <row r="1837" spans="7:9" x14ac:dyDescent="0.15">
      <c r="G1837">
        <v>29246</v>
      </c>
      <c r="H1837" t="s">
        <v>2767</v>
      </c>
      <c r="I1837">
        <v>2</v>
      </c>
    </row>
    <row r="1838" spans="7:9" x14ac:dyDescent="0.15">
      <c r="G1838">
        <v>29260</v>
      </c>
      <c r="H1838" t="s">
        <v>2768</v>
      </c>
      <c r="I1838">
        <v>3</v>
      </c>
    </row>
    <row r="1839" spans="7:9" x14ac:dyDescent="0.15">
      <c r="G1839">
        <v>29274</v>
      </c>
      <c r="H1839" t="s">
        <v>2769</v>
      </c>
      <c r="I1839">
        <v>3</v>
      </c>
    </row>
    <row r="1840" spans="7:9" x14ac:dyDescent="0.15">
      <c r="G1840">
        <v>29288</v>
      </c>
      <c r="H1840" t="s">
        <v>2770</v>
      </c>
      <c r="I1840">
        <v>2</v>
      </c>
    </row>
    <row r="1841" spans="7:9" x14ac:dyDescent="0.15">
      <c r="G1841">
        <v>29302</v>
      </c>
      <c r="H1841" t="s">
        <v>2771</v>
      </c>
      <c r="I1841">
        <v>3</v>
      </c>
    </row>
    <row r="1842" spans="7:9" x14ac:dyDescent="0.15">
      <c r="G1842">
        <v>29316</v>
      </c>
      <c r="H1842" t="s">
        <v>2772</v>
      </c>
      <c r="I1842">
        <v>3</v>
      </c>
    </row>
    <row r="1843" spans="7:9" x14ac:dyDescent="0.15">
      <c r="G1843">
        <v>29325</v>
      </c>
      <c r="H1843" t="s">
        <v>2772</v>
      </c>
      <c r="I1843">
        <v>3</v>
      </c>
    </row>
    <row r="1844" spans="7:9" x14ac:dyDescent="0.15">
      <c r="G1844">
        <v>29372</v>
      </c>
      <c r="H1844" t="s">
        <v>2773</v>
      </c>
      <c r="I1844">
        <v>3</v>
      </c>
    </row>
    <row r="1845" spans="7:9" x14ac:dyDescent="0.15">
      <c r="G1845">
        <v>29386</v>
      </c>
      <c r="H1845" t="s">
        <v>2774</v>
      </c>
      <c r="I1845">
        <v>3</v>
      </c>
    </row>
    <row r="1846" spans="7:9" x14ac:dyDescent="0.15">
      <c r="G1846">
        <v>29405</v>
      </c>
      <c r="H1846" t="s">
        <v>2775</v>
      </c>
      <c r="I1846">
        <v>3</v>
      </c>
    </row>
    <row r="1847" spans="7:9" x14ac:dyDescent="0.15">
      <c r="G1847">
        <v>29410</v>
      </c>
      <c r="H1847" t="s">
        <v>2776</v>
      </c>
      <c r="I1847">
        <v>3</v>
      </c>
    </row>
    <row r="1848" spans="7:9" x14ac:dyDescent="0.15">
      <c r="G1848">
        <v>29414</v>
      </c>
      <c r="H1848" t="s">
        <v>2776</v>
      </c>
      <c r="I1848">
        <v>3</v>
      </c>
    </row>
    <row r="1849" spans="7:9" x14ac:dyDescent="0.15">
      <c r="G1849">
        <v>29428</v>
      </c>
      <c r="H1849" t="s">
        <v>2777</v>
      </c>
      <c r="I1849">
        <v>1</v>
      </c>
    </row>
    <row r="1850" spans="7:9" x14ac:dyDescent="0.15">
      <c r="G1850">
        <v>29435</v>
      </c>
      <c r="H1850" t="s">
        <v>1159</v>
      </c>
      <c r="I1850">
        <v>3</v>
      </c>
    </row>
    <row r="1851" spans="7:9" x14ac:dyDescent="0.15">
      <c r="G1851">
        <v>29442</v>
      </c>
      <c r="H1851" t="s">
        <v>1019</v>
      </c>
      <c r="I1851">
        <v>2</v>
      </c>
    </row>
    <row r="1852" spans="7:9" x14ac:dyDescent="0.15">
      <c r="G1852">
        <v>29484</v>
      </c>
      <c r="H1852" t="s">
        <v>2778</v>
      </c>
      <c r="I1852">
        <v>3</v>
      </c>
    </row>
    <row r="1853" spans="7:9" x14ac:dyDescent="0.15">
      <c r="G1853">
        <v>29490</v>
      </c>
      <c r="H1853" t="s">
        <v>2779</v>
      </c>
      <c r="I1853">
        <v>3</v>
      </c>
    </row>
    <row r="1854" spans="7:9" x14ac:dyDescent="0.15">
      <c r="G1854">
        <v>29498</v>
      </c>
      <c r="H1854" t="s">
        <v>2780</v>
      </c>
      <c r="I1854">
        <v>2</v>
      </c>
    </row>
    <row r="1855" spans="7:9" x14ac:dyDescent="0.15">
      <c r="G1855">
        <v>29512</v>
      </c>
      <c r="H1855" t="s">
        <v>2781</v>
      </c>
      <c r="I1855">
        <v>3</v>
      </c>
    </row>
    <row r="1856" spans="7:9" x14ac:dyDescent="0.15">
      <c r="G1856">
        <v>29522</v>
      </c>
      <c r="H1856" t="s">
        <v>2782</v>
      </c>
      <c r="I1856">
        <v>3</v>
      </c>
    </row>
    <row r="1857" spans="7:9" x14ac:dyDescent="0.15">
      <c r="G1857">
        <v>29526</v>
      </c>
      <c r="H1857" t="s">
        <v>2783</v>
      </c>
      <c r="I1857">
        <v>3</v>
      </c>
    </row>
    <row r="1858" spans="7:9" x14ac:dyDescent="0.15">
      <c r="G1858">
        <v>29554</v>
      </c>
      <c r="H1858" t="s">
        <v>2784</v>
      </c>
      <c r="I1858">
        <v>3</v>
      </c>
    </row>
    <row r="1859" spans="7:9" x14ac:dyDescent="0.15">
      <c r="G1859">
        <v>29568</v>
      </c>
      <c r="H1859" t="s">
        <v>2785</v>
      </c>
      <c r="I1859">
        <v>3</v>
      </c>
    </row>
    <row r="1860" spans="7:9" x14ac:dyDescent="0.15">
      <c r="G1860">
        <v>29580</v>
      </c>
      <c r="H1860" t="s">
        <v>2786</v>
      </c>
      <c r="I1860">
        <v>3</v>
      </c>
    </row>
    <row r="1861" spans="7:9" x14ac:dyDescent="0.15">
      <c r="G1861">
        <v>29596</v>
      </c>
      <c r="H1861" t="s">
        <v>2787</v>
      </c>
      <c r="I1861">
        <v>3</v>
      </c>
    </row>
    <row r="1862" spans="7:9" x14ac:dyDescent="0.15">
      <c r="G1862">
        <v>29610</v>
      </c>
      <c r="H1862" t="s">
        <v>1024</v>
      </c>
      <c r="I1862">
        <v>1</v>
      </c>
    </row>
    <row r="1863" spans="7:9" x14ac:dyDescent="0.15">
      <c r="G1863">
        <v>29624</v>
      </c>
      <c r="H1863" t="s">
        <v>2788</v>
      </c>
      <c r="I1863">
        <v>3</v>
      </c>
    </row>
    <row r="1864" spans="7:9" x14ac:dyDescent="0.15">
      <c r="G1864">
        <v>29638</v>
      </c>
      <c r="H1864" t="s">
        <v>1024</v>
      </c>
      <c r="I1864">
        <v>3</v>
      </c>
    </row>
    <row r="1865" spans="7:9" x14ac:dyDescent="0.15">
      <c r="G1865">
        <v>29652</v>
      </c>
      <c r="H1865" t="s">
        <v>2789</v>
      </c>
      <c r="I1865">
        <v>2</v>
      </c>
    </row>
    <row r="1866" spans="7:9" x14ac:dyDescent="0.15">
      <c r="G1866">
        <v>29694</v>
      </c>
      <c r="H1866" t="s">
        <v>2790</v>
      </c>
      <c r="I1866">
        <v>3</v>
      </c>
    </row>
    <row r="1867" spans="7:9" x14ac:dyDescent="0.15">
      <c r="G1867">
        <v>29722</v>
      </c>
      <c r="H1867" t="s">
        <v>2791</v>
      </c>
      <c r="I1867">
        <v>2</v>
      </c>
    </row>
    <row r="1868" spans="7:9" x14ac:dyDescent="0.15">
      <c r="G1868">
        <v>29746</v>
      </c>
      <c r="H1868" t="s">
        <v>2792</v>
      </c>
      <c r="I1868">
        <v>3</v>
      </c>
    </row>
    <row r="1869" spans="7:9" x14ac:dyDescent="0.15">
      <c r="G1869">
        <v>29748</v>
      </c>
      <c r="H1869" t="s">
        <v>2793</v>
      </c>
      <c r="I1869">
        <v>3</v>
      </c>
    </row>
    <row r="1870" spans="7:9" x14ac:dyDescent="0.15">
      <c r="G1870">
        <v>29750</v>
      </c>
      <c r="H1870" t="s">
        <v>2794</v>
      </c>
      <c r="I1870">
        <v>3</v>
      </c>
    </row>
    <row r="1871" spans="7:9" x14ac:dyDescent="0.15">
      <c r="G1871">
        <v>29764</v>
      </c>
      <c r="H1871" t="s">
        <v>2795</v>
      </c>
      <c r="I1871">
        <v>3</v>
      </c>
    </row>
    <row r="1872" spans="7:9" x14ac:dyDescent="0.15">
      <c r="G1872">
        <v>29778</v>
      </c>
      <c r="H1872" t="s">
        <v>2796</v>
      </c>
      <c r="I1872">
        <v>2</v>
      </c>
    </row>
    <row r="1873" spans="7:9" x14ac:dyDescent="0.15">
      <c r="G1873">
        <v>29782</v>
      </c>
      <c r="H1873" t="s">
        <v>2796</v>
      </c>
      <c r="I1873">
        <v>3</v>
      </c>
    </row>
    <row r="1874" spans="7:9" x14ac:dyDescent="0.15">
      <c r="G1874">
        <v>29788</v>
      </c>
      <c r="H1874" t="s">
        <v>2796</v>
      </c>
      <c r="I1874">
        <v>3</v>
      </c>
    </row>
    <row r="1875" spans="7:9" x14ac:dyDescent="0.15">
      <c r="G1875">
        <v>29800</v>
      </c>
      <c r="H1875" t="s">
        <v>2796</v>
      </c>
      <c r="I1875">
        <v>3</v>
      </c>
    </row>
    <row r="1876" spans="7:9" x14ac:dyDescent="0.15">
      <c r="G1876">
        <v>29820</v>
      </c>
      <c r="H1876" t="s">
        <v>2797</v>
      </c>
      <c r="I1876">
        <v>3</v>
      </c>
    </row>
    <row r="1877" spans="7:9" x14ac:dyDescent="0.15">
      <c r="G1877">
        <v>29834</v>
      </c>
      <c r="H1877" t="s">
        <v>2798</v>
      </c>
      <c r="I1877">
        <v>3</v>
      </c>
    </row>
    <row r="1878" spans="7:9" x14ac:dyDescent="0.15">
      <c r="G1878">
        <v>29848</v>
      </c>
      <c r="H1878" t="s">
        <v>2799</v>
      </c>
      <c r="I1878">
        <v>3</v>
      </c>
    </row>
    <row r="1879" spans="7:9" x14ac:dyDescent="0.15">
      <c r="G1879">
        <v>29862</v>
      </c>
      <c r="H1879" t="s">
        <v>2799</v>
      </c>
      <c r="I1879">
        <v>3</v>
      </c>
    </row>
    <row r="1880" spans="7:9" x14ac:dyDescent="0.15">
      <c r="G1880">
        <v>29876</v>
      </c>
      <c r="H1880" t="s">
        <v>2799</v>
      </c>
      <c r="I1880">
        <v>3</v>
      </c>
    </row>
    <row r="1881" spans="7:9" x14ac:dyDescent="0.15">
      <c r="G1881">
        <v>29890</v>
      </c>
      <c r="H1881" t="s">
        <v>2799</v>
      </c>
      <c r="I1881">
        <v>3</v>
      </c>
    </row>
    <row r="1882" spans="7:9" x14ac:dyDescent="0.15">
      <c r="G1882">
        <v>29904</v>
      </c>
      <c r="H1882" t="s">
        <v>2799</v>
      </c>
      <c r="I1882">
        <v>3</v>
      </c>
    </row>
    <row r="1883" spans="7:9" x14ac:dyDescent="0.15">
      <c r="G1883">
        <v>29918</v>
      </c>
      <c r="H1883" t="s">
        <v>2800</v>
      </c>
      <c r="I1883">
        <v>3</v>
      </c>
    </row>
    <row r="1884" spans="7:9" x14ac:dyDescent="0.15">
      <c r="G1884">
        <v>29932</v>
      </c>
      <c r="H1884" t="s">
        <v>2801</v>
      </c>
      <c r="I1884">
        <v>1</v>
      </c>
    </row>
    <row r="1885" spans="7:9" x14ac:dyDescent="0.15">
      <c r="G1885">
        <v>29946</v>
      </c>
      <c r="H1885" t="s">
        <v>2801</v>
      </c>
      <c r="I1885">
        <v>3</v>
      </c>
    </row>
    <row r="1886" spans="7:9" x14ac:dyDescent="0.15">
      <c r="G1886">
        <v>29952</v>
      </c>
      <c r="H1886" t="s">
        <v>2802</v>
      </c>
      <c r="I1886">
        <v>3</v>
      </c>
    </row>
    <row r="1887" spans="7:9" x14ac:dyDescent="0.15">
      <c r="G1887">
        <v>29960</v>
      </c>
      <c r="H1887" t="s">
        <v>2803</v>
      </c>
      <c r="I1887">
        <v>3</v>
      </c>
    </row>
    <row r="1888" spans="7:9" x14ac:dyDescent="0.15">
      <c r="G1888">
        <v>29974</v>
      </c>
      <c r="H1888" t="s">
        <v>2804</v>
      </c>
      <c r="I1888">
        <v>2</v>
      </c>
    </row>
    <row r="1889" spans="7:9" x14ac:dyDescent="0.15">
      <c r="G1889">
        <v>29988</v>
      </c>
      <c r="H1889" t="s">
        <v>2804</v>
      </c>
      <c r="I1889">
        <v>3</v>
      </c>
    </row>
    <row r="1890" spans="7:9" x14ac:dyDescent="0.15">
      <c r="G1890">
        <v>30002</v>
      </c>
      <c r="H1890" t="s">
        <v>2805</v>
      </c>
      <c r="I1890">
        <v>3</v>
      </c>
    </row>
    <row r="1891" spans="7:9" x14ac:dyDescent="0.15">
      <c r="G1891">
        <v>30016</v>
      </c>
      <c r="H1891" t="s">
        <v>2806</v>
      </c>
      <c r="I1891">
        <v>3</v>
      </c>
    </row>
    <row r="1892" spans="7:9" x14ac:dyDescent="0.15">
      <c r="G1892">
        <v>30030</v>
      </c>
      <c r="H1892" t="s">
        <v>2807</v>
      </c>
      <c r="I1892">
        <v>3</v>
      </c>
    </row>
    <row r="1893" spans="7:9" x14ac:dyDescent="0.15">
      <c r="G1893">
        <v>30044</v>
      </c>
      <c r="H1893" t="s">
        <v>2808</v>
      </c>
      <c r="I1893">
        <v>3</v>
      </c>
    </row>
    <row r="1894" spans="7:9" x14ac:dyDescent="0.15">
      <c r="G1894">
        <v>30058</v>
      </c>
      <c r="H1894" t="s">
        <v>2809</v>
      </c>
      <c r="I1894">
        <v>3</v>
      </c>
    </row>
    <row r="1895" spans="7:9" x14ac:dyDescent="0.15">
      <c r="G1895">
        <v>30072</v>
      </c>
      <c r="H1895" t="s">
        <v>2810</v>
      </c>
      <c r="I1895">
        <v>2</v>
      </c>
    </row>
    <row r="1896" spans="7:9" x14ac:dyDescent="0.15">
      <c r="G1896">
        <v>30090</v>
      </c>
      <c r="H1896" t="s">
        <v>2811</v>
      </c>
      <c r="I1896">
        <v>3</v>
      </c>
    </row>
    <row r="1897" spans="7:9" x14ac:dyDescent="0.15">
      <c r="G1897">
        <v>30095</v>
      </c>
      <c r="H1897" t="s">
        <v>2812</v>
      </c>
      <c r="I1897">
        <v>3</v>
      </c>
    </row>
    <row r="1898" spans="7:9" x14ac:dyDescent="0.15">
      <c r="G1898">
        <v>30114</v>
      </c>
      <c r="H1898" t="s">
        <v>2813</v>
      </c>
      <c r="I1898">
        <v>2</v>
      </c>
    </row>
    <row r="1899" spans="7:9" x14ac:dyDescent="0.15">
      <c r="G1899">
        <v>30128</v>
      </c>
      <c r="H1899" t="s">
        <v>2814</v>
      </c>
      <c r="I1899">
        <v>3</v>
      </c>
    </row>
    <row r="1900" spans="7:9" x14ac:dyDescent="0.15">
      <c r="G1900">
        <v>30142</v>
      </c>
      <c r="H1900" t="s">
        <v>2815</v>
      </c>
      <c r="I1900">
        <v>3</v>
      </c>
    </row>
    <row r="1901" spans="7:9" x14ac:dyDescent="0.15">
      <c r="G1901">
        <v>30156</v>
      </c>
      <c r="H1901" t="s">
        <v>2816</v>
      </c>
      <c r="I1901">
        <v>3</v>
      </c>
    </row>
    <row r="1902" spans="7:9" x14ac:dyDescent="0.15">
      <c r="G1902">
        <v>30170</v>
      </c>
      <c r="H1902" t="s">
        <v>2817</v>
      </c>
      <c r="I1902">
        <v>3</v>
      </c>
    </row>
    <row r="1903" spans="7:9" x14ac:dyDescent="0.15">
      <c r="G1903">
        <v>30184</v>
      </c>
      <c r="H1903" t="s">
        <v>2818</v>
      </c>
      <c r="I1903">
        <v>3</v>
      </c>
    </row>
    <row r="1904" spans="7:9" x14ac:dyDescent="0.15">
      <c r="G1904">
        <v>30198</v>
      </c>
      <c r="H1904" t="s">
        <v>2819</v>
      </c>
      <c r="I1904">
        <v>1</v>
      </c>
    </row>
    <row r="1905" spans="7:9" x14ac:dyDescent="0.15">
      <c r="G1905">
        <v>30212</v>
      </c>
      <c r="H1905" t="s">
        <v>2820</v>
      </c>
      <c r="I1905">
        <v>3</v>
      </c>
    </row>
    <row r="1906" spans="7:9" x14ac:dyDescent="0.15">
      <c r="G1906">
        <v>30226</v>
      </c>
      <c r="H1906" t="s">
        <v>2821</v>
      </c>
      <c r="I1906">
        <v>3</v>
      </c>
    </row>
    <row r="1907" spans="7:9" x14ac:dyDescent="0.15">
      <c r="G1907">
        <v>30240</v>
      </c>
      <c r="H1907" t="s">
        <v>2822</v>
      </c>
      <c r="I1907">
        <v>3</v>
      </c>
    </row>
    <row r="1908" spans="7:9" x14ac:dyDescent="0.15">
      <c r="G1908">
        <v>30254</v>
      </c>
      <c r="H1908" t="s">
        <v>2823</v>
      </c>
      <c r="I1908">
        <v>3</v>
      </c>
    </row>
    <row r="1909" spans="7:9" x14ac:dyDescent="0.15">
      <c r="G1909">
        <v>30268</v>
      </c>
      <c r="H1909" t="s">
        <v>2824</v>
      </c>
      <c r="I1909">
        <v>3</v>
      </c>
    </row>
    <row r="1910" spans="7:9" x14ac:dyDescent="0.15">
      <c r="G1910">
        <v>30282</v>
      </c>
      <c r="H1910" t="s">
        <v>2825</v>
      </c>
      <c r="I1910">
        <v>2</v>
      </c>
    </row>
    <row r="1911" spans="7:9" x14ac:dyDescent="0.15">
      <c r="G1911">
        <v>30296</v>
      </c>
      <c r="H1911" t="s">
        <v>2826</v>
      </c>
      <c r="I1911">
        <v>3</v>
      </c>
    </row>
    <row r="1912" spans="7:9" x14ac:dyDescent="0.15">
      <c r="G1912">
        <v>30310</v>
      </c>
      <c r="H1912" t="s">
        <v>2826</v>
      </c>
      <c r="I1912">
        <v>3</v>
      </c>
    </row>
    <row r="1913" spans="7:9" x14ac:dyDescent="0.15">
      <c r="G1913">
        <v>30325</v>
      </c>
      <c r="H1913" t="s">
        <v>2827</v>
      </c>
      <c r="I1913">
        <v>3</v>
      </c>
    </row>
    <row r="1914" spans="7:9" x14ac:dyDescent="0.15">
      <c r="G1914">
        <v>30338</v>
      </c>
      <c r="H1914" t="s">
        <v>2828</v>
      </c>
      <c r="I1914">
        <v>3</v>
      </c>
    </row>
    <row r="1915" spans="7:9" x14ac:dyDescent="0.15">
      <c r="G1915">
        <v>30352</v>
      </c>
      <c r="H1915" t="s">
        <v>2829</v>
      </c>
      <c r="I1915">
        <v>2</v>
      </c>
    </row>
    <row r="1916" spans="7:9" x14ac:dyDescent="0.15">
      <c r="G1916">
        <v>30380</v>
      </c>
      <c r="H1916" t="s">
        <v>2830</v>
      </c>
      <c r="I1916">
        <v>2</v>
      </c>
    </row>
    <row r="1917" spans="7:9" x14ac:dyDescent="0.15">
      <c r="G1917">
        <v>30398</v>
      </c>
      <c r="H1917" t="s">
        <v>2830</v>
      </c>
      <c r="I1917">
        <v>3</v>
      </c>
    </row>
    <row r="1918" spans="7:9" x14ac:dyDescent="0.15">
      <c r="G1918">
        <v>30404</v>
      </c>
      <c r="H1918" t="s">
        <v>2831</v>
      </c>
      <c r="I1918">
        <v>3</v>
      </c>
    </row>
    <row r="1919" spans="7:9" x14ac:dyDescent="0.15">
      <c r="G1919">
        <v>30410</v>
      </c>
      <c r="H1919" t="s">
        <v>2832</v>
      </c>
      <c r="I1919">
        <v>3</v>
      </c>
    </row>
    <row r="1920" spans="7:9" x14ac:dyDescent="0.15">
      <c r="G1920">
        <v>30415</v>
      </c>
      <c r="H1920" t="s">
        <v>2833</v>
      </c>
      <c r="I1920">
        <v>3</v>
      </c>
    </row>
    <row r="1921" spans="7:9" x14ac:dyDescent="0.15">
      <c r="G1921">
        <v>30422</v>
      </c>
      <c r="H1921" t="s">
        <v>2834</v>
      </c>
      <c r="I1921">
        <v>3</v>
      </c>
    </row>
    <row r="1922" spans="7:9" x14ac:dyDescent="0.15">
      <c r="G1922">
        <v>30436</v>
      </c>
      <c r="H1922" t="s">
        <v>2835</v>
      </c>
      <c r="I1922">
        <v>2</v>
      </c>
    </row>
    <row r="1923" spans="7:9" x14ac:dyDescent="0.15">
      <c r="G1923">
        <v>30464</v>
      </c>
      <c r="H1923" t="s">
        <v>2836</v>
      </c>
      <c r="I1923">
        <v>3</v>
      </c>
    </row>
    <row r="1924" spans="7:9" x14ac:dyDescent="0.15">
      <c r="G1924">
        <v>30478</v>
      </c>
      <c r="H1924" t="s">
        <v>2837</v>
      </c>
      <c r="I1924">
        <v>3</v>
      </c>
    </row>
    <row r="1925" spans="7:9" x14ac:dyDescent="0.15">
      <c r="G1925">
        <v>30506</v>
      </c>
      <c r="H1925" t="s">
        <v>1130</v>
      </c>
      <c r="I1925">
        <v>2</v>
      </c>
    </row>
    <row r="1926" spans="7:9" x14ac:dyDescent="0.15">
      <c r="G1926">
        <v>30520</v>
      </c>
      <c r="H1926" t="s">
        <v>2838</v>
      </c>
      <c r="I1926">
        <v>2</v>
      </c>
    </row>
    <row r="1927" spans="7:9" x14ac:dyDescent="0.15">
      <c r="G1927">
        <v>30534</v>
      </c>
      <c r="H1927" t="s">
        <v>2839</v>
      </c>
      <c r="I1927">
        <v>3</v>
      </c>
    </row>
    <row r="1928" spans="7:9" x14ac:dyDescent="0.15">
      <c r="G1928">
        <v>30540</v>
      </c>
      <c r="H1928" t="s">
        <v>2840</v>
      </c>
      <c r="I1928">
        <v>3</v>
      </c>
    </row>
    <row r="1929" spans="7:9" x14ac:dyDescent="0.15">
      <c r="G1929">
        <v>30555</v>
      </c>
      <c r="H1929" t="s">
        <v>2841</v>
      </c>
      <c r="I1929">
        <v>3</v>
      </c>
    </row>
    <row r="1930" spans="7:9" x14ac:dyDescent="0.15">
      <c r="G1930">
        <v>30562</v>
      </c>
      <c r="H1930" t="s">
        <v>2842</v>
      </c>
      <c r="I1930">
        <v>3</v>
      </c>
    </row>
    <row r="1931" spans="7:9" x14ac:dyDescent="0.15">
      <c r="G1931">
        <v>30576</v>
      </c>
      <c r="H1931" t="s">
        <v>2843</v>
      </c>
      <c r="I1931">
        <v>3</v>
      </c>
    </row>
    <row r="1932" spans="7:9" x14ac:dyDescent="0.15">
      <c r="G1932">
        <v>30590</v>
      </c>
      <c r="H1932" t="s">
        <v>2844</v>
      </c>
      <c r="I1932">
        <v>3</v>
      </c>
    </row>
    <row r="1933" spans="7:9" x14ac:dyDescent="0.15">
      <c r="G1933">
        <v>30604</v>
      </c>
      <c r="H1933" t="s">
        <v>2845</v>
      </c>
      <c r="I1933">
        <v>3</v>
      </c>
    </row>
    <row r="1934" spans="7:9" x14ac:dyDescent="0.15">
      <c r="G1934">
        <v>30618</v>
      </c>
      <c r="H1934" t="s">
        <v>2846</v>
      </c>
      <c r="I1934">
        <v>3</v>
      </c>
    </row>
    <row r="1935" spans="7:9" x14ac:dyDescent="0.15">
      <c r="G1935">
        <v>30632</v>
      </c>
      <c r="H1935" t="s">
        <v>2847</v>
      </c>
      <c r="I1935">
        <v>2</v>
      </c>
    </row>
    <row r="1936" spans="7:9" x14ac:dyDescent="0.15">
      <c r="G1936">
        <v>30660</v>
      </c>
      <c r="H1936" t="s">
        <v>2848</v>
      </c>
      <c r="I1936">
        <v>2</v>
      </c>
    </row>
    <row r="1937" spans="7:9" x14ac:dyDescent="0.15">
      <c r="G1937">
        <v>30674</v>
      </c>
      <c r="H1937" t="s">
        <v>2849</v>
      </c>
      <c r="I1937">
        <v>2</v>
      </c>
    </row>
    <row r="1938" spans="7:9" x14ac:dyDescent="0.15">
      <c r="G1938">
        <v>30688</v>
      </c>
      <c r="H1938" t="s">
        <v>2850</v>
      </c>
      <c r="I1938">
        <v>3</v>
      </c>
    </row>
    <row r="1939" spans="7:9" x14ac:dyDescent="0.15">
      <c r="G1939">
        <v>30702</v>
      </c>
      <c r="H1939" t="s">
        <v>2851</v>
      </c>
      <c r="I1939">
        <v>2</v>
      </c>
    </row>
    <row r="1940" spans="7:9" x14ac:dyDescent="0.15">
      <c r="G1940">
        <v>30710</v>
      </c>
      <c r="H1940" t="s">
        <v>2852</v>
      </c>
      <c r="I1940">
        <v>3</v>
      </c>
    </row>
    <row r="1941" spans="7:9" x14ac:dyDescent="0.15">
      <c r="G1941">
        <v>30716</v>
      </c>
      <c r="H1941" t="s">
        <v>2853</v>
      </c>
      <c r="I1941">
        <v>3</v>
      </c>
    </row>
    <row r="1942" spans="7:9" x14ac:dyDescent="0.15">
      <c r="G1942">
        <v>30730</v>
      </c>
      <c r="H1942" t="s">
        <v>2854</v>
      </c>
      <c r="I1942">
        <v>3</v>
      </c>
    </row>
    <row r="1943" spans="7:9" x14ac:dyDescent="0.15">
      <c r="G1943">
        <v>30744</v>
      </c>
      <c r="H1943" t="s">
        <v>2855</v>
      </c>
      <c r="I1943">
        <v>3</v>
      </c>
    </row>
    <row r="1944" spans="7:9" x14ac:dyDescent="0.15">
      <c r="G1944">
        <v>30772</v>
      </c>
      <c r="H1944" t="s">
        <v>2856</v>
      </c>
      <c r="I1944">
        <v>3</v>
      </c>
    </row>
    <row r="1945" spans="7:9" x14ac:dyDescent="0.15">
      <c r="G1945">
        <v>30786</v>
      </c>
      <c r="H1945" t="s">
        <v>2857</v>
      </c>
      <c r="I1945">
        <v>2</v>
      </c>
    </row>
    <row r="1946" spans="7:9" x14ac:dyDescent="0.15">
      <c r="G1946">
        <v>30800</v>
      </c>
      <c r="H1946" t="s">
        <v>2858</v>
      </c>
      <c r="I1946">
        <v>3</v>
      </c>
    </row>
    <row r="1947" spans="7:9" x14ac:dyDescent="0.15">
      <c r="G1947">
        <v>30814</v>
      </c>
      <c r="H1947" t="s">
        <v>2859</v>
      </c>
      <c r="I1947">
        <v>3</v>
      </c>
    </row>
    <row r="1948" spans="7:9" x14ac:dyDescent="0.15">
      <c r="G1948">
        <v>30828</v>
      </c>
      <c r="H1948" t="s">
        <v>2860</v>
      </c>
      <c r="I1948">
        <v>2</v>
      </c>
    </row>
    <row r="1949" spans="7:9" x14ac:dyDescent="0.15">
      <c r="G1949">
        <v>30842</v>
      </c>
      <c r="H1949" t="s">
        <v>2861</v>
      </c>
      <c r="I1949">
        <v>3</v>
      </c>
    </row>
    <row r="1950" spans="7:9" x14ac:dyDescent="0.15">
      <c r="G1950">
        <v>30856</v>
      </c>
      <c r="H1950" t="s">
        <v>2862</v>
      </c>
      <c r="I1950">
        <v>3</v>
      </c>
    </row>
    <row r="1951" spans="7:9" x14ac:dyDescent="0.15">
      <c r="G1951">
        <v>30880</v>
      </c>
      <c r="H1951" t="s">
        <v>2863</v>
      </c>
      <c r="I1951">
        <v>3</v>
      </c>
    </row>
    <row r="1952" spans="7:9" x14ac:dyDescent="0.15">
      <c r="G1952">
        <v>30898</v>
      </c>
      <c r="H1952" t="s">
        <v>2864</v>
      </c>
      <c r="I1952">
        <v>3</v>
      </c>
    </row>
    <row r="1953" spans="7:9" x14ac:dyDescent="0.15">
      <c r="G1953">
        <v>30912</v>
      </c>
      <c r="H1953" t="s">
        <v>2865</v>
      </c>
      <c r="I1953">
        <v>2</v>
      </c>
    </row>
    <row r="1954" spans="7:9" x14ac:dyDescent="0.15">
      <c r="G1954">
        <v>30926</v>
      </c>
      <c r="H1954" t="s">
        <v>2866</v>
      </c>
      <c r="I1954">
        <v>3</v>
      </c>
    </row>
    <row r="1955" spans="7:9" x14ac:dyDescent="0.15">
      <c r="G1955">
        <v>30940</v>
      </c>
      <c r="H1955" t="s">
        <v>2867</v>
      </c>
      <c r="I1955">
        <v>3</v>
      </c>
    </row>
    <row r="1956" spans="7:9" x14ac:dyDescent="0.15">
      <c r="G1956">
        <v>30954</v>
      </c>
      <c r="H1956" t="s">
        <v>2868</v>
      </c>
      <c r="I1956">
        <v>3</v>
      </c>
    </row>
    <row r="1957" spans="7:9" x14ac:dyDescent="0.15">
      <c r="G1957">
        <v>30968</v>
      </c>
      <c r="H1957" t="s">
        <v>2868</v>
      </c>
      <c r="I1957">
        <v>3</v>
      </c>
    </row>
    <row r="1958" spans="7:9" x14ac:dyDescent="0.15">
      <c r="G1958">
        <v>30982</v>
      </c>
      <c r="H1958" t="s">
        <v>2868</v>
      </c>
      <c r="I1958">
        <v>3</v>
      </c>
    </row>
    <row r="1959" spans="7:9" x14ac:dyDescent="0.15">
      <c r="G1959">
        <v>30996</v>
      </c>
      <c r="H1959" t="s">
        <v>2869</v>
      </c>
      <c r="I1959">
        <v>3</v>
      </c>
    </row>
    <row r="1960" spans="7:9" x14ac:dyDescent="0.15">
      <c r="G1960">
        <v>31010</v>
      </c>
      <c r="H1960" t="s">
        <v>2868</v>
      </c>
      <c r="I1960">
        <v>3</v>
      </c>
    </row>
    <row r="1961" spans="7:9" x14ac:dyDescent="0.15">
      <c r="G1961">
        <v>31024</v>
      </c>
      <c r="H1961" t="s">
        <v>2868</v>
      </c>
      <c r="I1961">
        <v>3</v>
      </c>
    </row>
    <row r="1962" spans="7:9" x14ac:dyDescent="0.15">
      <c r="G1962">
        <v>31038</v>
      </c>
      <c r="H1962" t="s">
        <v>2868</v>
      </c>
      <c r="I1962">
        <v>3</v>
      </c>
    </row>
    <row r="1963" spans="7:9" x14ac:dyDescent="0.15">
      <c r="G1963">
        <v>31052</v>
      </c>
      <c r="H1963" t="s">
        <v>2869</v>
      </c>
      <c r="I1963">
        <v>3</v>
      </c>
    </row>
    <row r="1964" spans="7:9" x14ac:dyDescent="0.15">
      <c r="G1964">
        <v>31066</v>
      </c>
      <c r="H1964" t="s">
        <v>2868</v>
      </c>
      <c r="I1964">
        <v>3</v>
      </c>
    </row>
    <row r="1965" spans="7:9" x14ac:dyDescent="0.15">
      <c r="G1965">
        <v>31085</v>
      </c>
      <c r="H1965" t="s">
        <v>2870</v>
      </c>
      <c r="I1965">
        <v>3</v>
      </c>
    </row>
    <row r="1966" spans="7:9" x14ac:dyDescent="0.15">
      <c r="G1966">
        <v>31090</v>
      </c>
      <c r="H1966" t="s">
        <v>2870</v>
      </c>
      <c r="I1966">
        <v>3</v>
      </c>
    </row>
    <row r="1967" spans="7:9" x14ac:dyDescent="0.15">
      <c r="G1967">
        <v>31094</v>
      </c>
      <c r="H1967" t="s">
        <v>2870</v>
      </c>
      <c r="I1967">
        <v>3</v>
      </c>
    </row>
    <row r="1968" spans="7:9" x14ac:dyDescent="0.15">
      <c r="G1968">
        <v>31108</v>
      </c>
      <c r="H1968" t="s">
        <v>2871</v>
      </c>
      <c r="I1968">
        <v>3</v>
      </c>
    </row>
    <row r="1969" spans="7:9" x14ac:dyDescent="0.15">
      <c r="G1969">
        <v>31145</v>
      </c>
      <c r="H1969" t="s">
        <v>2872</v>
      </c>
      <c r="I1969">
        <v>3</v>
      </c>
    </row>
    <row r="1970" spans="7:9" x14ac:dyDescent="0.15">
      <c r="G1970">
        <v>31150</v>
      </c>
      <c r="H1970" t="s">
        <v>2873</v>
      </c>
      <c r="I1970">
        <v>1</v>
      </c>
    </row>
    <row r="1971" spans="7:9" x14ac:dyDescent="0.15">
      <c r="G1971">
        <v>31164</v>
      </c>
      <c r="H1971" t="s">
        <v>2874</v>
      </c>
      <c r="I1971">
        <v>3</v>
      </c>
    </row>
    <row r="1972" spans="7:9" x14ac:dyDescent="0.15">
      <c r="G1972">
        <v>31168</v>
      </c>
      <c r="H1972" t="s">
        <v>2875</v>
      </c>
      <c r="I1972">
        <v>3</v>
      </c>
    </row>
    <row r="1973" spans="7:9" x14ac:dyDescent="0.15">
      <c r="G1973">
        <v>31174</v>
      </c>
      <c r="H1973" t="s">
        <v>2876</v>
      </c>
      <c r="I1973">
        <v>3</v>
      </c>
    </row>
    <row r="1974" spans="7:9" x14ac:dyDescent="0.15">
      <c r="G1974">
        <v>31178</v>
      </c>
      <c r="H1974" t="s">
        <v>2877</v>
      </c>
      <c r="I1974">
        <v>3</v>
      </c>
    </row>
    <row r="1975" spans="7:9" x14ac:dyDescent="0.15">
      <c r="G1975">
        <v>31192</v>
      </c>
      <c r="H1975" t="s">
        <v>2878</v>
      </c>
      <c r="I1975">
        <v>3</v>
      </c>
    </row>
    <row r="1976" spans="7:9" x14ac:dyDescent="0.15">
      <c r="G1976">
        <v>31206</v>
      </c>
      <c r="H1976" t="s">
        <v>2879</v>
      </c>
      <c r="I1976">
        <v>2</v>
      </c>
    </row>
    <row r="1977" spans="7:9" x14ac:dyDescent="0.15">
      <c r="G1977">
        <v>31220</v>
      </c>
      <c r="H1977" t="s">
        <v>2880</v>
      </c>
      <c r="I1977">
        <v>3</v>
      </c>
    </row>
    <row r="1978" spans="7:9" x14ac:dyDescent="0.15">
      <c r="G1978">
        <v>31234</v>
      </c>
      <c r="H1978" t="s">
        <v>2881</v>
      </c>
      <c r="I1978">
        <v>2</v>
      </c>
    </row>
    <row r="1979" spans="7:9" x14ac:dyDescent="0.15">
      <c r="G1979">
        <v>31262</v>
      </c>
      <c r="H1979" t="s">
        <v>2882</v>
      </c>
      <c r="I1979">
        <v>2</v>
      </c>
    </row>
    <row r="1980" spans="7:9" x14ac:dyDescent="0.15">
      <c r="G1980">
        <v>31272</v>
      </c>
      <c r="H1980" t="s">
        <v>2882</v>
      </c>
      <c r="I1980">
        <v>3</v>
      </c>
    </row>
    <row r="1981" spans="7:9" x14ac:dyDescent="0.15">
      <c r="G1981">
        <v>31276</v>
      </c>
      <c r="H1981" t="s">
        <v>2883</v>
      </c>
      <c r="I1981">
        <v>3</v>
      </c>
    </row>
    <row r="1982" spans="7:9" x14ac:dyDescent="0.15">
      <c r="G1982">
        <v>31290</v>
      </c>
      <c r="H1982" t="s">
        <v>2884</v>
      </c>
      <c r="I1982">
        <v>3</v>
      </c>
    </row>
    <row r="1983" spans="7:9" x14ac:dyDescent="0.15">
      <c r="G1983">
        <v>31304</v>
      </c>
      <c r="H1983" t="s">
        <v>2884</v>
      </c>
      <c r="I1983">
        <v>1</v>
      </c>
    </row>
    <row r="1984" spans="7:9" x14ac:dyDescent="0.15">
      <c r="G1984">
        <v>31346</v>
      </c>
      <c r="H1984" t="s">
        <v>2885</v>
      </c>
      <c r="I1984">
        <v>3</v>
      </c>
    </row>
    <row r="1985" spans="7:9" x14ac:dyDescent="0.15">
      <c r="G1985">
        <v>31360</v>
      </c>
      <c r="H1985" t="s">
        <v>2886</v>
      </c>
      <c r="I1985">
        <v>3</v>
      </c>
    </row>
    <row r="1986" spans="7:9" x14ac:dyDescent="0.15">
      <c r="G1986">
        <v>31374</v>
      </c>
      <c r="H1986" t="s">
        <v>2887</v>
      </c>
      <c r="I1986">
        <v>3</v>
      </c>
    </row>
    <row r="1987" spans="7:9" x14ac:dyDescent="0.15">
      <c r="G1987">
        <v>31388</v>
      </c>
      <c r="H1987" t="s">
        <v>1146</v>
      </c>
      <c r="I1987">
        <v>3</v>
      </c>
    </row>
    <row r="1988" spans="7:9" x14ac:dyDescent="0.15">
      <c r="G1988">
        <v>31402</v>
      </c>
      <c r="H1988" t="s">
        <v>2888</v>
      </c>
      <c r="I1988">
        <v>1</v>
      </c>
    </row>
    <row r="1989" spans="7:9" x14ac:dyDescent="0.15">
      <c r="G1989">
        <v>31416</v>
      </c>
      <c r="H1989" t="s">
        <v>2889</v>
      </c>
      <c r="I1989">
        <v>3</v>
      </c>
    </row>
    <row r="1990" spans="7:9" x14ac:dyDescent="0.15">
      <c r="G1990">
        <v>31430</v>
      </c>
      <c r="H1990" t="s">
        <v>2889</v>
      </c>
      <c r="I1990">
        <v>3</v>
      </c>
    </row>
    <row r="1991" spans="7:9" x14ac:dyDescent="0.15">
      <c r="G1991">
        <v>31434</v>
      </c>
      <c r="H1991" t="s">
        <v>2890</v>
      </c>
      <c r="I1991">
        <v>2</v>
      </c>
    </row>
    <row r="1992" spans="7:9" x14ac:dyDescent="0.15">
      <c r="G1992">
        <v>31444</v>
      </c>
      <c r="H1992" t="s">
        <v>2891</v>
      </c>
      <c r="I1992">
        <v>3</v>
      </c>
    </row>
    <row r="1993" spans="7:9" x14ac:dyDescent="0.15">
      <c r="G1993">
        <v>31450</v>
      </c>
      <c r="H1993" t="s">
        <v>2892</v>
      </c>
      <c r="I1993">
        <v>3</v>
      </c>
    </row>
    <row r="1994" spans="7:9" x14ac:dyDescent="0.15">
      <c r="G1994">
        <v>31458</v>
      </c>
      <c r="H1994" t="s">
        <v>2893</v>
      </c>
      <c r="I1994">
        <v>2</v>
      </c>
    </row>
    <row r="1995" spans="7:9" x14ac:dyDescent="0.15">
      <c r="G1995">
        <v>31472</v>
      </c>
      <c r="H1995" t="s">
        <v>2894</v>
      </c>
      <c r="I1995">
        <v>2</v>
      </c>
    </row>
    <row r="1996" spans="7:9" x14ac:dyDescent="0.15">
      <c r="G1996">
        <v>31486</v>
      </c>
      <c r="H1996" t="s">
        <v>2895</v>
      </c>
      <c r="I1996">
        <v>3</v>
      </c>
    </row>
    <row r="1997" spans="7:9" x14ac:dyDescent="0.15">
      <c r="G1997">
        <v>31528</v>
      </c>
      <c r="H1997" t="s">
        <v>2896</v>
      </c>
      <c r="I1997">
        <v>3</v>
      </c>
    </row>
    <row r="1998" spans="7:9" x14ac:dyDescent="0.15">
      <c r="G1998">
        <v>31542</v>
      </c>
      <c r="H1998" t="s">
        <v>2897</v>
      </c>
      <c r="I1998">
        <v>2</v>
      </c>
    </row>
    <row r="1999" spans="7:9" x14ac:dyDescent="0.15">
      <c r="G1999">
        <v>31556</v>
      </c>
      <c r="H1999" t="s">
        <v>2898</v>
      </c>
      <c r="I1999">
        <v>3</v>
      </c>
    </row>
    <row r="2000" spans="7:9" x14ac:dyDescent="0.15">
      <c r="G2000">
        <v>31570</v>
      </c>
      <c r="H2000" t="s">
        <v>2899</v>
      </c>
      <c r="I2000">
        <v>3</v>
      </c>
    </row>
    <row r="2001" spans="7:9" x14ac:dyDescent="0.15">
      <c r="G2001">
        <v>31575</v>
      </c>
      <c r="H2001" t="s">
        <v>2900</v>
      </c>
      <c r="I2001">
        <v>3</v>
      </c>
    </row>
    <row r="2002" spans="7:9" x14ac:dyDescent="0.15">
      <c r="G2002">
        <v>31645</v>
      </c>
      <c r="H2002" t="s">
        <v>2901</v>
      </c>
      <c r="I2002">
        <v>3</v>
      </c>
    </row>
    <row r="2003" spans="7:9" x14ac:dyDescent="0.15">
      <c r="G2003">
        <v>31668</v>
      </c>
      <c r="H2003" t="s">
        <v>2902</v>
      </c>
      <c r="I2003">
        <v>3</v>
      </c>
    </row>
    <row r="2004" spans="7:9" x14ac:dyDescent="0.15">
      <c r="G2004">
        <v>31682</v>
      </c>
      <c r="H2004" t="s">
        <v>2902</v>
      </c>
      <c r="I2004">
        <v>3</v>
      </c>
    </row>
    <row r="2005" spans="7:9" x14ac:dyDescent="0.15">
      <c r="G2005">
        <v>31696</v>
      </c>
      <c r="H2005" t="s">
        <v>2902</v>
      </c>
      <c r="I2005">
        <v>3</v>
      </c>
    </row>
    <row r="2006" spans="7:9" x14ac:dyDescent="0.15">
      <c r="G2006">
        <v>31703</v>
      </c>
      <c r="H2006" t="s">
        <v>2902</v>
      </c>
      <c r="I2006">
        <v>3</v>
      </c>
    </row>
    <row r="2007" spans="7:9" x14ac:dyDescent="0.15">
      <c r="G2007">
        <v>31710</v>
      </c>
      <c r="H2007" t="s">
        <v>2902</v>
      </c>
      <c r="I2007">
        <v>3</v>
      </c>
    </row>
    <row r="2008" spans="7:9" x14ac:dyDescent="0.15">
      <c r="G2008">
        <v>31724</v>
      </c>
      <c r="H2008" t="s">
        <v>2902</v>
      </c>
      <c r="I2008">
        <v>3</v>
      </c>
    </row>
    <row r="2009" spans="7:9" x14ac:dyDescent="0.15">
      <c r="G2009">
        <v>31738</v>
      </c>
      <c r="H2009" t="s">
        <v>2902</v>
      </c>
      <c r="I2009">
        <v>3</v>
      </c>
    </row>
    <row r="2010" spans="7:9" x14ac:dyDescent="0.15">
      <c r="G2010">
        <v>31752</v>
      </c>
      <c r="H2010" t="s">
        <v>2902</v>
      </c>
      <c r="I2010">
        <v>3</v>
      </c>
    </row>
    <row r="2011" spans="7:9" x14ac:dyDescent="0.15">
      <c r="G2011">
        <v>31766</v>
      </c>
      <c r="H2011" t="s">
        <v>2902</v>
      </c>
      <c r="I2011">
        <v>3</v>
      </c>
    </row>
    <row r="2012" spans="7:9" x14ac:dyDescent="0.15">
      <c r="G2012">
        <v>31780</v>
      </c>
      <c r="H2012" t="s">
        <v>2902</v>
      </c>
      <c r="I2012">
        <v>3</v>
      </c>
    </row>
    <row r="2013" spans="7:9" x14ac:dyDescent="0.15">
      <c r="G2013">
        <v>31794</v>
      </c>
      <c r="H2013" t="s">
        <v>2902</v>
      </c>
      <c r="I2013">
        <v>3</v>
      </c>
    </row>
    <row r="2014" spans="7:9" x14ac:dyDescent="0.15">
      <c r="G2014">
        <v>31808</v>
      </c>
      <c r="H2014" t="s">
        <v>2902</v>
      </c>
      <c r="I2014">
        <v>3</v>
      </c>
    </row>
    <row r="2015" spans="7:9" x14ac:dyDescent="0.15">
      <c r="G2015">
        <v>31822</v>
      </c>
      <c r="H2015" t="s">
        <v>2902</v>
      </c>
      <c r="I2015">
        <v>3</v>
      </c>
    </row>
    <row r="2016" spans="7:9" x14ac:dyDescent="0.15">
      <c r="G2016">
        <v>31836</v>
      </c>
      <c r="H2016" t="s">
        <v>2902</v>
      </c>
      <c r="I2016">
        <v>3</v>
      </c>
    </row>
    <row r="2017" spans="7:9" x14ac:dyDescent="0.15">
      <c r="G2017">
        <v>31850</v>
      </c>
      <c r="H2017" t="s">
        <v>2902</v>
      </c>
      <c r="I2017">
        <v>3</v>
      </c>
    </row>
    <row r="2018" spans="7:9" x14ac:dyDescent="0.15">
      <c r="G2018">
        <v>31860</v>
      </c>
      <c r="H2018" t="s">
        <v>2903</v>
      </c>
      <c r="I2018">
        <v>1</v>
      </c>
    </row>
    <row r="2019" spans="7:9" x14ac:dyDescent="0.15">
      <c r="G2019">
        <v>31864</v>
      </c>
      <c r="H2019" t="s">
        <v>2902</v>
      </c>
      <c r="I2019">
        <v>3</v>
      </c>
    </row>
    <row r="2020" spans="7:9" x14ac:dyDescent="0.15">
      <c r="G2020">
        <v>31878</v>
      </c>
      <c r="H2020" t="s">
        <v>2902</v>
      </c>
      <c r="I2020">
        <v>3</v>
      </c>
    </row>
    <row r="2021" spans="7:9" x14ac:dyDescent="0.15">
      <c r="G2021">
        <v>31915</v>
      </c>
      <c r="H2021" t="s">
        <v>2904</v>
      </c>
      <c r="I2021">
        <v>3</v>
      </c>
    </row>
    <row r="2022" spans="7:9" x14ac:dyDescent="0.15">
      <c r="G2022">
        <v>31934</v>
      </c>
      <c r="H2022" t="s">
        <v>2905</v>
      </c>
      <c r="I2022">
        <v>3</v>
      </c>
    </row>
    <row r="2023" spans="7:9" x14ac:dyDescent="0.15">
      <c r="G2023">
        <v>31948</v>
      </c>
      <c r="H2023" t="s">
        <v>2906</v>
      </c>
      <c r="I2023">
        <v>2</v>
      </c>
    </row>
    <row r="2024" spans="7:9" x14ac:dyDescent="0.15">
      <c r="G2024">
        <v>31962</v>
      </c>
      <c r="H2024" t="s">
        <v>2907</v>
      </c>
      <c r="I2024">
        <v>3</v>
      </c>
    </row>
    <row r="2025" spans="7:9" x14ac:dyDescent="0.15">
      <c r="G2025">
        <v>31976</v>
      </c>
      <c r="H2025" t="s">
        <v>2908</v>
      </c>
      <c r="I2025">
        <v>3</v>
      </c>
    </row>
    <row r="2026" spans="7:9" x14ac:dyDescent="0.15">
      <c r="G2026">
        <v>31990</v>
      </c>
      <c r="H2026" t="s">
        <v>2909</v>
      </c>
      <c r="I2026">
        <v>3</v>
      </c>
    </row>
    <row r="2027" spans="7:9" x14ac:dyDescent="0.15">
      <c r="G2027">
        <v>31997</v>
      </c>
      <c r="H2027" t="s">
        <v>2910</v>
      </c>
      <c r="I2027">
        <v>3</v>
      </c>
    </row>
    <row r="2028" spans="7:9" x14ac:dyDescent="0.15">
      <c r="G2028">
        <v>32004</v>
      </c>
      <c r="H2028" t="s">
        <v>2911</v>
      </c>
      <c r="I2028">
        <v>3</v>
      </c>
    </row>
    <row r="2029" spans="7:9" x14ac:dyDescent="0.15">
      <c r="G2029">
        <v>32046</v>
      </c>
      <c r="H2029" t="s">
        <v>2912</v>
      </c>
      <c r="I2029">
        <v>3</v>
      </c>
    </row>
    <row r="2030" spans="7:9" x14ac:dyDescent="0.15">
      <c r="G2030">
        <v>32055</v>
      </c>
      <c r="H2030" t="s">
        <v>2913</v>
      </c>
      <c r="I2030">
        <v>3</v>
      </c>
    </row>
    <row r="2031" spans="7:9" x14ac:dyDescent="0.15">
      <c r="G2031">
        <v>32060</v>
      </c>
      <c r="H2031" t="s">
        <v>2914</v>
      </c>
      <c r="I2031">
        <v>3</v>
      </c>
    </row>
    <row r="2032" spans="7:9" x14ac:dyDescent="0.15">
      <c r="G2032">
        <v>32074</v>
      </c>
      <c r="H2032" t="s">
        <v>2914</v>
      </c>
      <c r="I2032">
        <v>3</v>
      </c>
    </row>
    <row r="2033" spans="7:9" x14ac:dyDescent="0.15">
      <c r="G2033">
        <v>32088</v>
      </c>
      <c r="H2033" t="s">
        <v>974</v>
      </c>
      <c r="I2033">
        <v>2</v>
      </c>
    </row>
    <row r="2034" spans="7:9" x14ac:dyDescent="0.15">
      <c r="G2034">
        <v>32102</v>
      </c>
      <c r="H2034" t="s">
        <v>2914</v>
      </c>
      <c r="I2034">
        <v>3</v>
      </c>
    </row>
    <row r="2035" spans="7:9" x14ac:dyDescent="0.15">
      <c r="G2035">
        <v>32116</v>
      </c>
      <c r="H2035" t="s">
        <v>2915</v>
      </c>
      <c r="I2035">
        <v>3</v>
      </c>
    </row>
    <row r="2036" spans="7:9" x14ac:dyDescent="0.15">
      <c r="G2036">
        <v>32130</v>
      </c>
      <c r="H2036" t="s">
        <v>2916</v>
      </c>
      <c r="I2036">
        <v>3</v>
      </c>
    </row>
    <row r="2037" spans="7:9" x14ac:dyDescent="0.15">
      <c r="G2037">
        <v>32158</v>
      </c>
      <c r="H2037" t="s">
        <v>2917</v>
      </c>
      <c r="I2037">
        <v>2</v>
      </c>
    </row>
    <row r="2038" spans="7:9" x14ac:dyDescent="0.15">
      <c r="G2038">
        <v>32200</v>
      </c>
      <c r="H2038" t="s">
        <v>2918</v>
      </c>
      <c r="I2038">
        <v>3</v>
      </c>
    </row>
    <row r="2039" spans="7:9" x14ac:dyDescent="0.15">
      <c r="G2039">
        <v>32207</v>
      </c>
      <c r="H2039" t="s">
        <v>2919</v>
      </c>
      <c r="I2039">
        <v>2</v>
      </c>
    </row>
    <row r="2040" spans="7:9" x14ac:dyDescent="0.15">
      <c r="G2040">
        <v>32228</v>
      </c>
      <c r="H2040" t="s">
        <v>2920</v>
      </c>
      <c r="I2040">
        <v>3</v>
      </c>
    </row>
    <row r="2041" spans="7:9" x14ac:dyDescent="0.15">
      <c r="G2041">
        <v>32242</v>
      </c>
      <c r="H2041" t="s">
        <v>2921</v>
      </c>
      <c r="I2041">
        <v>3</v>
      </c>
    </row>
    <row r="2042" spans="7:9" x14ac:dyDescent="0.15">
      <c r="G2042">
        <v>32256</v>
      </c>
      <c r="H2042" t="s">
        <v>2922</v>
      </c>
      <c r="I2042">
        <v>2</v>
      </c>
    </row>
    <row r="2043" spans="7:9" x14ac:dyDescent="0.15">
      <c r="G2043">
        <v>32270</v>
      </c>
      <c r="H2043" t="s">
        <v>2923</v>
      </c>
      <c r="I2043">
        <v>3</v>
      </c>
    </row>
    <row r="2044" spans="7:9" x14ac:dyDescent="0.15">
      <c r="G2044">
        <v>32290</v>
      </c>
      <c r="H2044" t="s">
        <v>2924</v>
      </c>
      <c r="I2044">
        <v>3</v>
      </c>
    </row>
    <row r="2045" spans="7:9" x14ac:dyDescent="0.15">
      <c r="G2045">
        <v>32298</v>
      </c>
      <c r="H2045" t="s">
        <v>2924</v>
      </c>
      <c r="I2045">
        <v>2</v>
      </c>
    </row>
    <row r="2046" spans="7:9" x14ac:dyDescent="0.15">
      <c r="G2046">
        <v>32305</v>
      </c>
      <c r="H2046" t="s">
        <v>2925</v>
      </c>
      <c r="I2046">
        <v>3</v>
      </c>
    </row>
    <row r="2047" spans="7:9" x14ac:dyDescent="0.15">
      <c r="G2047">
        <v>32312</v>
      </c>
      <c r="H2047" t="s">
        <v>2926</v>
      </c>
      <c r="I2047">
        <v>3</v>
      </c>
    </row>
    <row r="2048" spans="7:9" x14ac:dyDescent="0.15">
      <c r="G2048">
        <v>32340</v>
      </c>
      <c r="H2048" t="s">
        <v>975</v>
      </c>
      <c r="I2048">
        <v>1</v>
      </c>
    </row>
    <row r="2049" spans="7:9" x14ac:dyDescent="0.15">
      <c r="G2049">
        <v>32354</v>
      </c>
      <c r="H2049" t="s">
        <v>2927</v>
      </c>
      <c r="I2049">
        <v>3</v>
      </c>
    </row>
    <row r="2050" spans="7:9" x14ac:dyDescent="0.15">
      <c r="G2050">
        <v>32368</v>
      </c>
      <c r="H2050" t="s">
        <v>2928</v>
      </c>
      <c r="I2050">
        <v>2</v>
      </c>
    </row>
    <row r="2051" spans="7:9" x14ac:dyDescent="0.15">
      <c r="G2051">
        <v>32382</v>
      </c>
      <c r="H2051" t="s">
        <v>2929</v>
      </c>
      <c r="I2051">
        <v>3</v>
      </c>
    </row>
    <row r="2052" spans="7:9" x14ac:dyDescent="0.15">
      <c r="G2052">
        <v>32410</v>
      </c>
      <c r="H2052" t="s">
        <v>2930</v>
      </c>
      <c r="I2052">
        <v>3</v>
      </c>
    </row>
    <row r="2053" spans="7:9" x14ac:dyDescent="0.15">
      <c r="G2053">
        <v>32424</v>
      </c>
      <c r="H2053" t="s">
        <v>2931</v>
      </c>
      <c r="I2053">
        <v>3</v>
      </c>
    </row>
    <row r="2054" spans="7:9" x14ac:dyDescent="0.15">
      <c r="G2054">
        <v>32438</v>
      </c>
      <c r="H2054" t="s">
        <v>2932</v>
      </c>
      <c r="I2054">
        <v>3</v>
      </c>
    </row>
    <row r="2055" spans="7:9" x14ac:dyDescent="0.15">
      <c r="G2055">
        <v>32452</v>
      </c>
      <c r="H2055" t="s">
        <v>2933</v>
      </c>
      <c r="I2055">
        <v>3</v>
      </c>
    </row>
    <row r="2056" spans="7:9" x14ac:dyDescent="0.15">
      <c r="G2056">
        <v>32458</v>
      </c>
      <c r="H2056" t="s">
        <v>2934</v>
      </c>
      <c r="I2056">
        <v>3</v>
      </c>
    </row>
    <row r="2057" spans="7:9" x14ac:dyDescent="0.15">
      <c r="G2057">
        <v>32462</v>
      </c>
      <c r="H2057" t="s">
        <v>2935</v>
      </c>
      <c r="I2057">
        <v>3</v>
      </c>
    </row>
    <row r="2058" spans="7:9" x14ac:dyDescent="0.15">
      <c r="G2058">
        <v>32466</v>
      </c>
      <c r="H2058" t="s">
        <v>2936</v>
      </c>
      <c r="I2058">
        <v>3</v>
      </c>
    </row>
    <row r="2059" spans="7:9" x14ac:dyDescent="0.15">
      <c r="G2059">
        <v>32470</v>
      </c>
      <c r="H2059" t="s">
        <v>2937</v>
      </c>
      <c r="I2059">
        <v>3</v>
      </c>
    </row>
    <row r="2060" spans="7:9" x14ac:dyDescent="0.15">
      <c r="G2060">
        <v>32475</v>
      </c>
      <c r="H2060" t="s">
        <v>2938</v>
      </c>
      <c r="I2060">
        <v>3</v>
      </c>
    </row>
    <row r="2061" spans="7:9" x14ac:dyDescent="0.15">
      <c r="G2061">
        <v>32494</v>
      </c>
      <c r="H2061" t="s">
        <v>2939</v>
      </c>
      <c r="I2061">
        <v>3</v>
      </c>
    </row>
    <row r="2062" spans="7:9" x14ac:dyDescent="0.15">
      <c r="G2062">
        <v>32528</v>
      </c>
      <c r="H2062" t="s">
        <v>2940</v>
      </c>
      <c r="I2062">
        <v>3</v>
      </c>
    </row>
    <row r="2063" spans="7:9" x14ac:dyDescent="0.15">
      <c r="G2063">
        <v>32532</v>
      </c>
      <c r="H2063" t="s">
        <v>2941</v>
      </c>
      <c r="I2063">
        <v>3</v>
      </c>
    </row>
    <row r="2064" spans="7:9" x14ac:dyDescent="0.15">
      <c r="G2064">
        <v>32536</v>
      </c>
      <c r="H2064" t="s">
        <v>2942</v>
      </c>
      <c r="I2064">
        <v>1</v>
      </c>
    </row>
    <row r="2065" spans="7:9" x14ac:dyDescent="0.15">
      <c r="G2065">
        <v>32555</v>
      </c>
      <c r="H2065" t="s">
        <v>2943</v>
      </c>
      <c r="I2065">
        <v>3</v>
      </c>
    </row>
    <row r="2066" spans="7:9" x14ac:dyDescent="0.15">
      <c r="G2066">
        <v>32564</v>
      </c>
      <c r="H2066" t="s">
        <v>2944</v>
      </c>
      <c r="I2066">
        <v>3</v>
      </c>
    </row>
    <row r="2067" spans="7:9" x14ac:dyDescent="0.15">
      <c r="G2067">
        <v>32578</v>
      </c>
      <c r="H2067" t="s">
        <v>2945</v>
      </c>
      <c r="I2067">
        <v>3</v>
      </c>
    </row>
    <row r="2068" spans="7:9" x14ac:dyDescent="0.15">
      <c r="G2068">
        <v>32592</v>
      </c>
      <c r="H2068" t="s">
        <v>2946</v>
      </c>
      <c r="I2068">
        <v>1</v>
      </c>
    </row>
    <row r="2069" spans="7:9" x14ac:dyDescent="0.15">
      <c r="G2069">
        <v>32600</v>
      </c>
      <c r="H2069" t="s">
        <v>2947</v>
      </c>
      <c r="I2069">
        <v>3</v>
      </c>
    </row>
    <row r="2070" spans="7:9" x14ac:dyDescent="0.15">
      <c r="G2070">
        <v>32606</v>
      </c>
      <c r="H2070" t="s">
        <v>2948</v>
      </c>
      <c r="I2070">
        <v>1</v>
      </c>
    </row>
    <row r="2071" spans="7:9" x14ac:dyDescent="0.15">
      <c r="G2071">
        <v>32620</v>
      </c>
      <c r="H2071" t="s">
        <v>2949</v>
      </c>
      <c r="I2071">
        <v>2</v>
      </c>
    </row>
    <row r="2072" spans="7:9" x14ac:dyDescent="0.15">
      <c r="G2072">
        <v>32634</v>
      </c>
      <c r="H2072" t="s">
        <v>2950</v>
      </c>
      <c r="I2072">
        <v>3</v>
      </c>
    </row>
    <row r="2073" spans="7:9" x14ac:dyDescent="0.15">
      <c r="G2073">
        <v>32648</v>
      </c>
      <c r="H2073" t="s">
        <v>2951</v>
      </c>
      <c r="I2073">
        <v>3</v>
      </c>
    </row>
    <row r="2074" spans="7:9" x14ac:dyDescent="0.15">
      <c r="G2074">
        <v>32662</v>
      </c>
      <c r="H2074" t="s">
        <v>2952</v>
      </c>
      <c r="I2074">
        <v>3</v>
      </c>
    </row>
    <row r="2075" spans="7:9" x14ac:dyDescent="0.15">
      <c r="G2075">
        <v>32676</v>
      </c>
      <c r="H2075" t="s">
        <v>2953</v>
      </c>
      <c r="I2075">
        <v>3</v>
      </c>
    </row>
    <row r="2076" spans="7:9" x14ac:dyDescent="0.15">
      <c r="G2076">
        <v>32685</v>
      </c>
      <c r="H2076" t="s">
        <v>2954</v>
      </c>
      <c r="I2076">
        <v>3</v>
      </c>
    </row>
    <row r="2077" spans="7:9" x14ac:dyDescent="0.15">
      <c r="G2077">
        <v>32690</v>
      </c>
      <c r="H2077" t="s">
        <v>2955</v>
      </c>
      <c r="I2077">
        <v>3</v>
      </c>
    </row>
    <row r="2078" spans="7:9" x14ac:dyDescent="0.15">
      <c r="G2078">
        <v>32718</v>
      </c>
      <c r="H2078" t="s">
        <v>2956</v>
      </c>
      <c r="I2078">
        <v>3</v>
      </c>
    </row>
    <row r="2079" spans="7:9" x14ac:dyDescent="0.15">
      <c r="G2079">
        <v>32732</v>
      </c>
      <c r="H2079" t="s">
        <v>2957</v>
      </c>
      <c r="I2079">
        <v>3</v>
      </c>
    </row>
    <row r="2080" spans="7:9" x14ac:dyDescent="0.15">
      <c r="G2080">
        <v>32746</v>
      </c>
      <c r="H2080" t="s">
        <v>2958</v>
      </c>
      <c r="I2080">
        <v>3</v>
      </c>
    </row>
    <row r="2081" spans="7:9" x14ac:dyDescent="0.15">
      <c r="G2081">
        <v>32760</v>
      </c>
      <c r="H2081" t="s">
        <v>2959</v>
      </c>
      <c r="I2081">
        <v>3</v>
      </c>
    </row>
    <row r="2082" spans="7:9" x14ac:dyDescent="0.15">
      <c r="G2082">
        <v>32774</v>
      </c>
      <c r="H2082" t="s">
        <v>2960</v>
      </c>
      <c r="I2082">
        <v>3</v>
      </c>
    </row>
    <row r="2083" spans="7:9" x14ac:dyDescent="0.15">
      <c r="G2083">
        <v>32788</v>
      </c>
      <c r="H2083" t="s">
        <v>2961</v>
      </c>
      <c r="I2083">
        <v>3</v>
      </c>
    </row>
    <row r="2084" spans="7:9" x14ac:dyDescent="0.15">
      <c r="G2084">
        <v>32802</v>
      </c>
      <c r="H2084" t="s">
        <v>2962</v>
      </c>
      <c r="I2084">
        <v>3</v>
      </c>
    </row>
    <row r="2085" spans="7:9" x14ac:dyDescent="0.15">
      <c r="G2085">
        <v>32810</v>
      </c>
      <c r="H2085" t="s">
        <v>2963</v>
      </c>
      <c r="I2085">
        <v>3</v>
      </c>
    </row>
    <row r="2086" spans="7:9" x14ac:dyDescent="0.15">
      <c r="G2086">
        <v>32816</v>
      </c>
      <c r="H2086" t="s">
        <v>2964</v>
      </c>
      <c r="I2086">
        <v>3</v>
      </c>
    </row>
    <row r="2087" spans="7:9" x14ac:dyDescent="0.15">
      <c r="G2087">
        <v>32820</v>
      </c>
      <c r="H2087" t="s">
        <v>2965</v>
      </c>
      <c r="I2087">
        <v>3</v>
      </c>
    </row>
    <row r="2088" spans="7:9" x14ac:dyDescent="0.15">
      <c r="G2088">
        <v>32830</v>
      </c>
      <c r="H2088" t="s">
        <v>2966</v>
      </c>
      <c r="I2088">
        <v>3</v>
      </c>
    </row>
    <row r="2089" spans="7:9" x14ac:dyDescent="0.15">
      <c r="G2089">
        <v>32837</v>
      </c>
      <c r="H2089" t="s">
        <v>2967</v>
      </c>
      <c r="I2089">
        <v>3</v>
      </c>
    </row>
    <row r="2090" spans="7:9" x14ac:dyDescent="0.15">
      <c r="G2090">
        <v>32840</v>
      </c>
      <c r="H2090" t="s">
        <v>2968</v>
      </c>
      <c r="I2090">
        <v>3</v>
      </c>
    </row>
    <row r="2091" spans="7:9" x14ac:dyDescent="0.15">
      <c r="G2091">
        <v>32850</v>
      </c>
      <c r="H2091" t="s">
        <v>2969</v>
      </c>
      <c r="I2091">
        <v>3</v>
      </c>
    </row>
    <row r="2092" spans="7:9" x14ac:dyDescent="0.15">
      <c r="G2092">
        <v>32858</v>
      </c>
      <c r="H2092" t="s">
        <v>2970</v>
      </c>
      <c r="I2092">
        <v>3</v>
      </c>
    </row>
    <row r="2093" spans="7:9" x14ac:dyDescent="0.15">
      <c r="G2093">
        <v>32872</v>
      </c>
      <c r="H2093" t="s">
        <v>2971</v>
      </c>
      <c r="I2093">
        <v>3</v>
      </c>
    </row>
    <row r="2094" spans="7:9" x14ac:dyDescent="0.15">
      <c r="G2094">
        <v>32886</v>
      </c>
      <c r="H2094" t="s">
        <v>2972</v>
      </c>
      <c r="I2094">
        <v>3</v>
      </c>
    </row>
    <row r="2095" spans="7:9" x14ac:dyDescent="0.15">
      <c r="G2095">
        <v>32900</v>
      </c>
      <c r="H2095" t="s">
        <v>2973</v>
      </c>
      <c r="I2095">
        <v>3</v>
      </c>
    </row>
    <row r="2096" spans="7:9" x14ac:dyDescent="0.15">
      <c r="G2096">
        <v>32914</v>
      </c>
      <c r="H2096" t="s">
        <v>2974</v>
      </c>
      <c r="I2096">
        <v>3</v>
      </c>
    </row>
    <row r="2097" spans="7:9" x14ac:dyDescent="0.15">
      <c r="G2097">
        <v>32928</v>
      </c>
      <c r="H2097" t="s">
        <v>2975</v>
      </c>
      <c r="I2097">
        <v>3</v>
      </c>
    </row>
    <row r="2098" spans="7:9" x14ac:dyDescent="0.15">
      <c r="G2098">
        <v>32935</v>
      </c>
      <c r="H2098" t="s">
        <v>2975</v>
      </c>
      <c r="I2098">
        <v>3</v>
      </c>
    </row>
    <row r="2099" spans="7:9" x14ac:dyDescent="0.15">
      <c r="G2099">
        <v>32956</v>
      </c>
      <c r="H2099" t="s">
        <v>2976</v>
      </c>
      <c r="I2099">
        <v>2</v>
      </c>
    </row>
    <row r="2100" spans="7:9" x14ac:dyDescent="0.15">
      <c r="G2100">
        <v>32970</v>
      </c>
      <c r="H2100" t="s">
        <v>2977</v>
      </c>
      <c r="I2100">
        <v>3</v>
      </c>
    </row>
    <row r="2101" spans="7:9" x14ac:dyDescent="0.15">
      <c r="G2101">
        <v>32975</v>
      </c>
      <c r="H2101" t="s">
        <v>2978</v>
      </c>
      <c r="I2101">
        <v>3</v>
      </c>
    </row>
    <row r="2102" spans="7:9" x14ac:dyDescent="0.15">
      <c r="G2102">
        <v>32984</v>
      </c>
      <c r="H2102" t="s">
        <v>2979</v>
      </c>
      <c r="I2102">
        <v>2</v>
      </c>
    </row>
    <row r="2103" spans="7:9" x14ac:dyDescent="0.15">
      <c r="G2103">
        <v>32998</v>
      </c>
      <c r="H2103" t="s">
        <v>2980</v>
      </c>
      <c r="I2103">
        <v>3</v>
      </c>
    </row>
    <row r="2104" spans="7:9" x14ac:dyDescent="0.15">
      <c r="G2104">
        <v>33012</v>
      </c>
      <c r="H2104" t="s">
        <v>2981</v>
      </c>
      <c r="I2104">
        <v>1</v>
      </c>
    </row>
    <row r="2105" spans="7:9" x14ac:dyDescent="0.15">
      <c r="G2105">
        <v>33026</v>
      </c>
      <c r="H2105" t="s">
        <v>2982</v>
      </c>
      <c r="I2105">
        <v>3</v>
      </c>
    </row>
    <row r="2106" spans="7:9" x14ac:dyDescent="0.15">
      <c r="G2106">
        <v>33040</v>
      </c>
      <c r="H2106" t="s">
        <v>2982</v>
      </c>
      <c r="I2106">
        <v>3</v>
      </c>
    </row>
    <row r="2107" spans="7:9" x14ac:dyDescent="0.15">
      <c r="G2107">
        <v>33054</v>
      </c>
      <c r="H2107" t="s">
        <v>2982</v>
      </c>
      <c r="I2107">
        <v>3</v>
      </c>
    </row>
    <row r="2108" spans="7:9" x14ac:dyDescent="0.15">
      <c r="G2108">
        <v>33060</v>
      </c>
      <c r="H2108" t="s">
        <v>2981</v>
      </c>
      <c r="I2108">
        <v>3</v>
      </c>
    </row>
    <row r="2109" spans="7:9" x14ac:dyDescent="0.15">
      <c r="G2109">
        <v>33068</v>
      </c>
      <c r="H2109" t="s">
        <v>2982</v>
      </c>
      <c r="I2109">
        <v>3</v>
      </c>
    </row>
    <row r="2110" spans="7:9" x14ac:dyDescent="0.15">
      <c r="G2110">
        <v>33082</v>
      </c>
      <c r="H2110" t="s">
        <v>2983</v>
      </c>
      <c r="I2110">
        <v>3</v>
      </c>
    </row>
    <row r="2111" spans="7:9" x14ac:dyDescent="0.15">
      <c r="G2111">
        <v>33096</v>
      </c>
      <c r="H2111" t="s">
        <v>2984</v>
      </c>
      <c r="I2111">
        <v>2</v>
      </c>
    </row>
    <row r="2112" spans="7:9" x14ac:dyDescent="0.15">
      <c r="G2112">
        <v>33110</v>
      </c>
      <c r="H2112" t="s">
        <v>2985</v>
      </c>
      <c r="I2112">
        <v>3</v>
      </c>
    </row>
    <row r="2113" spans="7:9" x14ac:dyDescent="0.15">
      <c r="G2113">
        <v>33124</v>
      </c>
      <c r="H2113" t="s">
        <v>2986</v>
      </c>
      <c r="I2113">
        <v>3</v>
      </c>
    </row>
    <row r="2114" spans="7:9" x14ac:dyDescent="0.15">
      <c r="G2114">
        <v>33138</v>
      </c>
      <c r="H2114" t="s">
        <v>2987</v>
      </c>
      <c r="I2114">
        <v>3</v>
      </c>
    </row>
    <row r="2115" spans="7:9" x14ac:dyDescent="0.15">
      <c r="G2115">
        <v>33145</v>
      </c>
      <c r="H2115" t="s">
        <v>2988</v>
      </c>
      <c r="I2115">
        <v>3</v>
      </c>
    </row>
    <row r="2116" spans="7:9" x14ac:dyDescent="0.15">
      <c r="G2116">
        <v>33152</v>
      </c>
      <c r="H2116" t="s">
        <v>2989</v>
      </c>
      <c r="I2116">
        <v>3</v>
      </c>
    </row>
    <row r="2117" spans="7:9" x14ac:dyDescent="0.15">
      <c r="G2117">
        <v>33160</v>
      </c>
      <c r="H2117" t="s">
        <v>2990</v>
      </c>
      <c r="I2117">
        <v>3</v>
      </c>
    </row>
    <row r="2118" spans="7:9" x14ac:dyDescent="0.15">
      <c r="G2118">
        <v>33166</v>
      </c>
      <c r="H2118" t="s">
        <v>2991</v>
      </c>
      <c r="I2118">
        <v>3</v>
      </c>
    </row>
    <row r="2119" spans="7:9" x14ac:dyDescent="0.15">
      <c r="G2119">
        <v>33175</v>
      </c>
      <c r="H2119" t="s">
        <v>2992</v>
      </c>
      <c r="I2119">
        <v>3</v>
      </c>
    </row>
    <row r="2120" spans="7:9" x14ac:dyDescent="0.15">
      <c r="G2120">
        <v>33180</v>
      </c>
      <c r="H2120" t="s">
        <v>2993</v>
      </c>
      <c r="I2120">
        <v>3</v>
      </c>
    </row>
    <row r="2121" spans="7:9" x14ac:dyDescent="0.15">
      <c r="G2121">
        <v>33194</v>
      </c>
      <c r="H2121" t="s">
        <v>2994</v>
      </c>
      <c r="I2121">
        <v>2</v>
      </c>
    </row>
    <row r="2122" spans="7:9" x14ac:dyDescent="0.15">
      <c r="G2122">
        <v>33208</v>
      </c>
      <c r="H2122" t="s">
        <v>2995</v>
      </c>
      <c r="I2122">
        <v>3</v>
      </c>
    </row>
    <row r="2123" spans="7:9" x14ac:dyDescent="0.15">
      <c r="G2123">
        <v>33222</v>
      </c>
      <c r="H2123" t="s">
        <v>2996</v>
      </c>
      <c r="I2123">
        <v>2</v>
      </c>
    </row>
    <row r="2124" spans="7:9" x14ac:dyDescent="0.15">
      <c r="G2124">
        <v>33236</v>
      </c>
      <c r="H2124" t="s">
        <v>2997</v>
      </c>
      <c r="I2124">
        <v>3</v>
      </c>
    </row>
    <row r="2125" spans="7:9" x14ac:dyDescent="0.15">
      <c r="G2125">
        <v>33250</v>
      </c>
      <c r="H2125" t="s">
        <v>2997</v>
      </c>
      <c r="I2125">
        <v>3</v>
      </c>
    </row>
    <row r="2126" spans="7:9" x14ac:dyDescent="0.15">
      <c r="G2126">
        <v>33264</v>
      </c>
      <c r="H2126" t="s">
        <v>2997</v>
      </c>
      <c r="I2126">
        <v>3</v>
      </c>
    </row>
    <row r="2127" spans="7:9" x14ac:dyDescent="0.15">
      <c r="G2127">
        <v>33278</v>
      </c>
      <c r="H2127" t="s">
        <v>2998</v>
      </c>
      <c r="I2127">
        <v>3</v>
      </c>
    </row>
    <row r="2128" spans="7:9" x14ac:dyDescent="0.15">
      <c r="G2128">
        <v>33292</v>
      </c>
      <c r="H2128" t="s">
        <v>2998</v>
      </c>
      <c r="I2128">
        <v>2</v>
      </c>
    </row>
    <row r="2129" spans="7:9" x14ac:dyDescent="0.15">
      <c r="G2129">
        <v>33299</v>
      </c>
      <c r="H2129" t="s">
        <v>2997</v>
      </c>
      <c r="I2129">
        <v>3</v>
      </c>
    </row>
    <row r="2130" spans="7:9" x14ac:dyDescent="0.15">
      <c r="G2130">
        <v>33306</v>
      </c>
      <c r="H2130" t="s">
        <v>2999</v>
      </c>
      <c r="I2130">
        <v>2</v>
      </c>
    </row>
    <row r="2131" spans="7:9" x14ac:dyDescent="0.15">
      <c r="G2131">
        <v>33320</v>
      </c>
      <c r="H2131" t="s">
        <v>3000</v>
      </c>
      <c r="I2131">
        <v>3</v>
      </c>
    </row>
    <row r="2132" spans="7:9" x14ac:dyDescent="0.15">
      <c r="G2132">
        <v>33325</v>
      </c>
      <c r="H2132" t="s">
        <v>3001</v>
      </c>
      <c r="I2132">
        <v>3</v>
      </c>
    </row>
    <row r="2133" spans="7:9" x14ac:dyDescent="0.15">
      <c r="G2133">
        <v>33340</v>
      </c>
      <c r="H2133" t="s">
        <v>3002</v>
      </c>
      <c r="I2133">
        <v>3</v>
      </c>
    </row>
    <row r="2134" spans="7:9" x14ac:dyDescent="0.15">
      <c r="G2134">
        <v>33348</v>
      </c>
      <c r="H2134" t="s">
        <v>3003</v>
      </c>
      <c r="I2134">
        <v>3</v>
      </c>
    </row>
    <row r="2135" spans="7:9" x14ac:dyDescent="0.15">
      <c r="G2135">
        <v>33362</v>
      </c>
      <c r="H2135" t="s">
        <v>3004</v>
      </c>
      <c r="I2135">
        <v>2</v>
      </c>
    </row>
    <row r="2136" spans="7:9" x14ac:dyDescent="0.15">
      <c r="G2136">
        <v>33376</v>
      </c>
      <c r="H2136" t="s">
        <v>3005</v>
      </c>
      <c r="I2136">
        <v>2</v>
      </c>
    </row>
    <row r="2137" spans="7:9" x14ac:dyDescent="0.15">
      <c r="G2137">
        <v>33385</v>
      </c>
      <c r="H2137" t="s">
        <v>3006</v>
      </c>
      <c r="I2137">
        <v>3</v>
      </c>
    </row>
    <row r="2138" spans="7:9" x14ac:dyDescent="0.15">
      <c r="G2138">
        <v>33390</v>
      </c>
      <c r="H2138" t="s">
        <v>3007</v>
      </c>
      <c r="I2138">
        <v>3</v>
      </c>
    </row>
    <row r="2139" spans="7:9" x14ac:dyDescent="0.15">
      <c r="G2139">
        <v>33404</v>
      </c>
      <c r="H2139" t="s">
        <v>3008</v>
      </c>
      <c r="I2139">
        <v>3</v>
      </c>
    </row>
    <row r="2140" spans="7:9" x14ac:dyDescent="0.15">
      <c r="G2140">
        <v>33418</v>
      </c>
      <c r="H2140" t="s">
        <v>3009</v>
      </c>
      <c r="I2140">
        <v>3</v>
      </c>
    </row>
    <row r="2141" spans="7:9" x14ac:dyDescent="0.15">
      <c r="G2141">
        <v>33450</v>
      </c>
      <c r="H2141" t="s">
        <v>3010</v>
      </c>
      <c r="I2141">
        <v>3</v>
      </c>
    </row>
    <row r="2142" spans="7:9" x14ac:dyDescent="0.15">
      <c r="G2142">
        <v>33455</v>
      </c>
      <c r="H2142" t="s">
        <v>3010</v>
      </c>
      <c r="I2142">
        <v>3</v>
      </c>
    </row>
    <row r="2143" spans="7:9" x14ac:dyDescent="0.15">
      <c r="G2143">
        <v>33460</v>
      </c>
      <c r="H2143" t="s">
        <v>1106</v>
      </c>
      <c r="I2143">
        <v>3</v>
      </c>
    </row>
    <row r="2144" spans="7:9" x14ac:dyDescent="0.15">
      <c r="G2144">
        <v>33465</v>
      </c>
      <c r="H2144" t="s">
        <v>3011</v>
      </c>
      <c r="I2144">
        <v>3</v>
      </c>
    </row>
    <row r="2145" spans="7:9" x14ac:dyDescent="0.15">
      <c r="G2145">
        <v>33474</v>
      </c>
      <c r="H2145" t="s">
        <v>3012</v>
      </c>
      <c r="I2145">
        <v>3</v>
      </c>
    </row>
    <row r="2146" spans="7:9" x14ac:dyDescent="0.15">
      <c r="G2146">
        <v>33488</v>
      </c>
      <c r="H2146" t="s">
        <v>3013</v>
      </c>
      <c r="I2146">
        <v>3</v>
      </c>
    </row>
    <row r="2147" spans="7:9" x14ac:dyDescent="0.15">
      <c r="G2147">
        <v>33502</v>
      </c>
      <c r="H2147" t="s">
        <v>3014</v>
      </c>
      <c r="I2147">
        <v>3</v>
      </c>
    </row>
    <row r="2148" spans="7:9" x14ac:dyDescent="0.15">
      <c r="G2148">
        <v>33516</v>
      </c>
      <c r="H2148" t="s">
        <v>3015</v>
      </c>
      <c r="I2148">
        <v>3</v>
      </c>
    </row>
    <row r="2149" spans="7:9" x14ac:dyDescent="0.15">
      <c r="G2149">
        <v>33530</v>
      </c>
      <c r="H2149" t="s">
        <v>3016</v>
      </c>
      <c r="I2149">
        <v>3</v>
      </c>
    </row>
    <row r="2150" spans="7:9" x14ac:dyDescent="0.15">
      <c r="G2150">
        <v>33535</v>
      </c>
      <c r="H2150" t="s">
        <v>3017</v>
      </c>
      <c r="I2150">
        <v>3</v>
      </c>
    </row>
    <row r="2151" spans="7:9" x14ac:dyDescent="0.15">
      <c r="G2151">
        <v>33544</v>
      </c>
      <c r="H2151" t="s">
        <v>3018</v>
      </c>
      <c r="I2151">
        <v>3</v>
      </c>
    </row>
    <row r="2152" spans="7:9" x14ac:dyDescent="0.15">
      <c r="G2152">
        <v>33558</v>
      </c>
      <c r="H2152" t="s">
        <v>3019</v>
      </c>
      <c r="I2152">
        <v>3</v>
      </c>
    </row>
    <row r="2153" spans="7:9" x14ac:dyDescent="0.15">
      <c r="G2153">
        <v>33572</v>
      </c>
      <c r="H2153" t="s">
        <v>3020</v>
      </c>
      <c r="I2153">
        <v>3</v>
      </c>
    </row>
    <row r="2154" spans="7:9" x14ac:dyDescent="0.15">
      <c r="G2154">
        <v>33586</v>
      </c>
      <c r="H2154" t="s">
        <v>3021</v>
      </c>
      <c r="I2154">
        <v>3</v>
      </c>
    </row>
    <row r="2155" spans="7:9" x14ac:dyDescent="0.15">
      <c r="G2155">
        <v>33600</v>
      </c>
      <c r="H2155" t="s">
        <v>3021</v>
      </c>
      <c r="I2155">
        <v>3</v>
      </c>
    </row>
    <row r="2156" spans="7:9" x14ac:dyDescent="0.15">
      <c r="G2156">
        <v>33614</v>
      </c>
      <c r="H2156" t="s">
        <v>3022</v>
      </c>
      <c r="I2156">
        <v>3</v>
      </c>
    </row>
    <row r="2157" spans="7:9" x14ac:dyDescent="0.15">
      <c r="G2157">
        <v>33620</v>
      </c>
      <c r="H2157" t="s">
        <v>3022</v>
      </c>
      <c r="I2157">
        <v>3</v>
      </c>
    </row>
    <row r="2158" spans="7:9" x14ac:dyDescent="0.15">
      <c r="G2158">
        <v>33628</v>
      </c>
      <c r="H2158" t="s">
        <v>3023</v>
      </c>
      <c r="I2158">
        <v>3</v>
      </c>
    </row>
    <row r="2159" spans="7:9" x14ac:dyDescent="0.15">
      <c r="G2159">
        <v>33642</v>
      </c>
      <c r="H2159" t="s">
        <v>3024</v>
      </c>
      <c r="I2159">
        <v>3</v>
      </c>
    </row>
    <row r="2160" spans="7:9" x14ac:dyDescent="0.15">
      <c r="G2160">
        <v>33656</v>
      </c>
      <c r="H2160" t="s">
        <v>3025</v>
      </c>
      <c r="I2160">
        <v>2</v>
      </c>
    </row>
    <row r="2161" spans="7:9" x14ac:dyDescent="0.15">
      <c r="G2161">
        <v>33670</v>
      </c>
      <c r="H2161" t="s">
        <v>3026</v>
      </c>
      <c r="I2161">
        <v>3</v>
      </c>
    </row>
    <row r="2162" spans="7:9" x14ac:dyDescent="0.15">
      <c r="G2162">
        <v>33698</v>
      </c>
      <c r="H2162" t="s">
        <v>3027</v>
      </c>
      <c r="I2162">
        <v>3</v>
      </c>
    </row>
    <row r="2163" spans="7:9" x14ac:dyDescent="0.15">
      <c r="G2163">
        <v>33712</v>
      </c>
      <c r="H2163" t="s">
        <v>3028</v>
      </c>
      <c r="I2163">
        <v>3</v>
      </c>
    </row>
    <row r="2164" spans="7:9" x14ac:dyDescent="0.15">
      <c r="G2164">
        <v>33726</v>
      </c>
      <c r="H2164" t="s">
        <v>3029</v>
      </c>
      <c r="I2164">
        <v>3</v>
      </c>
    </row>
    <row r="2165" spans="7:9" x14ac:dyDescent="0.15">
      <c r="G2165">
        <v>33735</v>
      </c>
      <c r="H2165" t="s">
        <v>3030</v>
      </c>
      <c r="I2165">
        <v>3</v>
      </c>
    </row>
    <row r="2166" spans="7:9" x14ac:dyDescent="0.15">
      <c r="G2166">
        <v>33740</v>
      </c>
      <c r="H2166" t="s">
        <v>3031</v>
      </c>
      <c r="I2166">
        <v>2</v>
      </c>
    </row>
    <row r="2167" spans="7:9" x14ac:dyDescent="0.15">
      <c r="G2167">
        <v>33754</v>
      </c>
      <c r="H2167" t="s">
        <v>3031</v>
      </c>
      <c r="I2167">
        <v>3</v>
      </c>
    </row>
    <row r="2168" spans="7:9" x14ac:dyDescent="0.15">
      <c r="G2168">
        <v>33768</v>
      </c>
      <c r="H2168" t="s">
        <v>3031</v>
      </c>
      <c r="I2168">
        <v>3</v>
      </c>
    </row>
    <row r="2169" spans="7:9" x14ac:dyDescent="0.15">
      <c r="G2169">
        <v>33782</v>
      </c>
      <c r="H2169" t="s">
        <v>3032</v>
      </c>
      <c r="I2169">
        <v>3</v>
      </c>
    </row>
    <row r="2170" spans="7:9" x14ac:dyDescent="0.15">
      <c r="G2170">
        <v>33796</v>
      </c>
      <c r="H2170" t="s">
        <v>3032</v>
      </c>
      <c r="I2170">
        <v>3</v>
      </c>
    </row>
    <row r="2171" spans="7:9" x14ac:dyDescent="0.15">
      <c r="G2171">
        <v>33810</v>
      </c>
      <c r="H2171" t="s">
        <v>3032</v>
      </c>
      <c r="I2171">
        <v>3</v>
      </c>
    </row>
    <row r="2172" spans="7:9" x14ac:dyDescent="0.15">
      <c r="G2172">
        <v>33824</v>
      </c>
      <c r="H2172" t="s">
        <v>3032</v>
      </c>
      <c r="I2172">
        <v>3</v>
      </c>
    </row>
    <row r="2173" spans="7:9" x14ac:dyDescent="0.15">
      <c r="G2173">
        <v>33838</v>
      </c>
      <c r="H2173" t="s">
        <v>1145</v>
      </c>
      <c r="I2173">
        <v>1</v>
      </c>
    </row>
    <row r="2174" spans="7:9" x14ac:dyDescent="0.15">
      <c r="G2174">
        <v>33852</v>
      </c>
      <c r="H2174" t="s">
        <v>3032</v>
      </c>
      <c r="I2174">
        <v>3</v>
      </c>
    </row>
    <row r="2175" spans="7:9" x14ac:dyDescent="0.15">
      <c r="G2175">
        <v>33866</v>
      </c>
      <c r="H2175" t="s">
        <v>3032</v>
      </c>
      <c r="I2175">
        <v>3</v>
      </c>
    </row>
    <row r="2176" spans="7:9" x14ac:dyDescent="0.15">
      <c r="G2176">
        <v>33880</v>
      </c>
      <c r="H2176" t="s">
        <v>3032</v>
      </c>
      <c r="I2176">
        <v>3</v>
      </c>
    </row>
    <row r="2177" spans="7:9" x14ac:dyDescent="0.15">
      <c r="G2177">
        <v>33894</v>
      </c>
      <c r="H2177" t="s">
        <v>3032</v>
      </c>
      <c r="I2177">
        <v>3</v>
      </c>
    </row>
    <row r="2178" spans="7:9" x14ac:dyDescent="0.15">
      <c r="G2178">
        <v>33908</v>
      </c>
      <c r="H2178" t="s">
        <v>3032</v>
      </c>
      <c r="I2178">
        <v>3</v>
      </c>
    </row>
    <row r="2179" spans="7:9" x14ac:dyDescent="0.15">
      <c r="G2179">
        <v>33922</v>
      </c>
      <c r="H2179" t="s">
        <v>3032</v>
      </c>
      <c r="I2179">
        <v>3</v>
      </c>
    </row>
    <row r="2180" spans="7:9" x14ac:dyDescent="0.15">
      <c r="G2180">
        <v>33936</v>
      </c>
      <c r="H2180" t="s">
        <v>3032</v>
      </c>
      <c r="I2180">
        <v>3</v>
      </c>
    </row>
    <row r="2181" spans="7:9" x14ac:dyDescent="0.15">
      <c r="G2181">
        <v>33950</v>
      </c>
      <c r="H2181" t="s">
        <v>3032</v>
      </c>
      <c r="I2181">
        <v>3</v>
      </c>
    </row>
    <row r="2182" spans="7:9" x14ac:dyDescent="0.15">
      <c r="G2182">
        <v>33964</v>
      </c>
      <c r="H2182" t="s">
        <v>3032</v>
      </c>
      <c r="I2182">
        <v>3</v>
      </c>
    </row>
    <row r="2183" spans="7:9" x14ac:dyDescent="0.15">
      <c r="G2183">
        <v>33978</v>
      </c>
      <c r="H2183" t="s">
        <v>3032</v>
      </c>
      <c r="I2183">
        <v>3</v>
      </c>
    </row>
    <row r="2184" spans="7:9" x14ac:dyDescent="0.15">
      <c r="G2184">
        <v>33992</v>
      </c>
      <c r="H2184" t="s">
        <v>3032</v>
      </c>
      <c r="I2184">
        <v>3</v>
      </c>
    </row>
    <row r="2185" spans="7:9" x14ac:dyDescent="0.15">
      <c r="G2185">
        <v>34006</v>
      </c>
      <c r="H2185" t="s">
        <v>3032</v>
      </c>
      <c r="I2185">
        <v>3</v>
      </c>
    </row>
    <row r="2186" spans="7:9" x14ac:dyDescent="0.15">
      <c r="G2186">
        <v>34020</v>
      </c>
      <c r="H2186" t="s">
        <v>3032</v>
      </c>
      <c r="I2186">
        <v>3</v>
      </c>
    </row>
    <row r="2187" spans="7:9" x14ac:dyDescent="0.15">
      <c r="G2187">
        <v>34034</v>
      </c>
      <c r="H2187" t="s">
        <v>3032</v>
      </c>
      <c r="I2187">
        <v>3</v>
      </c>
    </row>
    <row r="2188" spans="7:9" x14ac:dyDescent="0.15">
      <c r="G2188">
        <v>34048</v>
      </c>
      <c r="H2188" t="s">
        <v>3032</v>
      </c>
      <c r="I2188">
        <v>3</v>
      </c>
    </row>
    <row r="2189" spans="7:9" x14ac:dyDescent="0.15">
      <c r="G2189">
        <v>34055</v>
      </c>
      <c r="H2189" t="s">
        <v>3033</v>
      </c>
      <c r="I2189">
        <v>3</v>
      </c>
    </row>
    <row r="2190" spans="7:9" x14ac:dyDescent="0.15">
      <c r="G2190">
        <v>34062</v>
      </c>
      <c r="H2190" t="s">
        <v>3034</v>
      </c>
      <c r="I2190">
        <v>3</v>
      </c>
    </row>
    <row r="2191" spans="7:9" x14ac:dyDescent="0.15">
      <c r="G2191">
        <v>34076</v>
      </c>
      <c r="H2191" t="s">
        <v>3035</v>
      </c>
      <c r="I2191">
        <v>3</v>
      </c>
    </row>
    <row r="2192" spans="7:9" x14ac:dyDescent="0.15">
      <c r="G2192">
        <v>34090</v>
      </c>
      <c r="H2192" t="s">
        <v>3036</v>
      </c>
      <c r="I2192">
        <v>2</v>
      </c>
    </row>
    <row r="2193" spans="7:9" x14ac:dyDescent="0.15">
      <c r="G2193">
        <v>34104</v>
      </c>
      <c r="H2193" t="s">
        <v>3037</v>
      </c>
      <c r="I2193">
        <v>3</v>
      </c>
    </row>
    <row r="2194" spans="7:9" x14ac:dyDescent="0.15">
      <c r="G2194">
        <v>34118</v>
      </c>
      <c r="H2194" t="s">
        <v>3038</v>
      </c>
      <c r="I2194">
        <v>2</v>
      </c>
    </row>
    <row r="2195" spans="7:9" x14ac:dyDescent="0.15">
      <c r="G2195">
        <v>34160</v>
      </c>
      <c r="H2195" t="s">
        <v>3039</v>
      </c>
      <c r="I2195">
        <v>3</v>
      </c>
    </row>
    <row r="2196" spans="7:9" x14ac:dyDescent="0.15">
      <c r="G2196">
        <v>34188</v>
      </c>
      <c r="H2196" t="s">
        <v>3040</v>
      </c>
      <c r="I2196">
        <v>3</v>
      </c>
    </row>
    <row r="2197" spans="7:9" x14ac:dyDescent="0.15">
      <c r="G2197">
        <v>34202</v>
      </c>
      <c r="H2197" t="s">
        <v>3041</v>
      </c>
      <c r="I2197">
        <v>2</v>
      </c>
    </row>
    <row r="2198" spans="7:9" x14ac:dyDescent="0.15">
      <c r="G2198">
        <v>34216</v>
      </c>
      <c r="H2198" t="s">
        <v>3041</v>
      </c>
      <c r="I2198">
        <v>3</v>
      </c>
    </row>
    <row r="2199" spans="7:9" x14ac:dyDescent="0.15">
      <c r="G2199">
        <v>34230</v>
      </c>
      <c r="H2199" t="s">
        <v>3040</v>
      </c>
      <c r="I2199">
        <v>3</v>
      </c>
    </row>
    <row r="2200" spans="7:9" x14ac:dyDescent="0.15">
      <c r="G2200">
        <v>34244</v>
      </c>
      <c r="H2200" t="s">
        <v>3042</v>
      </c>
      <c r="I2200">
        <v>3</v>
      </c>
    </row>
    <row r="2201" spans="7:9" x14ac:dyDescent="0.15">
      <c r="G2201">
        <v>34258</v>
      </c>
      <c r="H2201" t="s">
        <v>3043</v>
      </c>
      <c r="I2201">
        <v>3</v>
      </c>
    </row>
    <row r="2202" spans="7:9" x14ac:dyDescent="0.15">
      <c r="G2202">
        <v>34279</v>
      </c>
      <c r="H2202" t="s">
        <v>3044</v>
      </c>
      <c r="I2202">
        <v>3</v>
      </c>
    </row>
    <row r="2203" spans="7:9" x14ac:dyDescent="0.15">
      <c r="G2203">
        <v>34282</v>
      </c>
      <c r="H2203" t="s">
        <v>3045</v>
      </c>
      <c r="I2203">
        <v>3</v>
      </c>
    </row>
    <row r="2204" spans="7:9" x14ac:dyDescent="0.15">
      <c r="G2204">
        <v>34284</v>
      </c>
      <c r="H2204" t="s">
        <v>3046</v>
      </c>
      <c r="I2204">
        <v>3</v>
      </c>
    </row>
    <row r="2205" spans="7:9" x14ac:dyDescent="0.15">
      <c r="G2205">
        <v>34286</v>
      </c>
      <c r="H2205" t="s">
        <v>3047</v>
      </c>
      <c r="I2205">
        <v>3</v>
      </c>
    </row>
    <row r="2206" spans="7:9" x14ac:dyDescent="0.15">
      <c r="G2206">
        <v>34300</v>
      </c>
      <c r="H2206" t="s">
        <v>3048</v>
      </c>
      <c r="I2206">
        <v>3</v>
      </c>
    </row>
    <row r="2207" spans="7:9" x14ac:dyDescent="0.15">
      <c r="G2207">
        <v>34314</v>
      </c>
      <c r="H2207" t="s">
        <v>3049</v>
      </c>
      <c r="I2207">
        <v>3</v>
      </c>
    </row>
    <row r="2208" spans="7:9" x14ac:dyDescent="0.15">
      <c r="G2208">
        <v>34328</v>
      </c>
      <c r="H2208" t="s">
        <v>3050</v>
      </c>
      <c r="I2208">
        <v>2</v>
      </c>
    </row>
    <row r="2209" spans="7:9" x14ac:dyDescent="0.15">
      <c r="G2209">
        <v>34342</v>
      </c>
      <c r="H2209" t="s">
        <v>3051</v>
      </c>
      <c r="I2209">
        <v>3</v>
      </c>
    </row>
    <row r="2210" spans="7:9" x14ac:dyDescent="0.15">
      <c r="G2210">
        <v>34384</v>
      </c>
      <c r="H2210" t="s">
        <v>3052</v>
      </c>
      <c r="I2210">
        <v>2</v>
      </c>
    </row>
    <row r="2211" spans="7:9" x14ac:dyDescent="0.15">
      <c r="G2211">
        <v>34390</v>
      </c>
      <c r="H2211" t="s">
        <v>3053</v>
      </c>
      <c r="I2211">
        <v>3</v>
      </c>
    </row>
    <row r="2212" spans="7:9" x14ac:dyDescent="0.15">
      <c r="G2212">
        <v>34398</v>
      </c>
      <c r="H2212" t="s">
        <v>3054</v>
      </c>
      <c r="I2212">
        <v>3</v>
      </c>
    </row>
    <row r="2213" spans="7:9" x14ac:dyDescent="0.15">
      <c r="G2213">
        <v>34412</v>
      </c>
      <c r="H2213" t="s">
        <v>3055</v>
      </c>
      <c r="I2213">
        <v>2</v>
      </c>
    </row>
    <row r="2214" spans="7:9" x14ac:dyDescent="0.15">
      <c r="G2214">
        <v>34435</v>
      </c>
      <c r="H2214" t="s">
        <v>3056</v>
      </c>
      <c r="I2214">
        <v>3</v>
      </c>
    </row>
    <row r="2215" spans="7:9" x14ac:dyDescent="0.15">
      <c r="G2215">
        <v>34440</v>
      </c>
      <c r="H2215" t="s">
        <v>3057</v>
      </c>
      <c r="I2215">
        <v>3</v>
      </c>
    </row>
    <row r="2216" spans="7:9" x14ac:dyDescent="0.15">
      <c r="G2216">
        <v>34454</v>
      </c>
      <c r="H2216" t="s">
        <v>3058</v>
      </c>
      <c r="I2216">
        <v>3</v>
      </c>
    </row>
    <row r="2217" spans="7:9" x14ac:dyDescent="0.15">
      <c r="G2217">
        <v>34468</v>
      </c>
      <c r="H2217" t="s">
        <v>3059</v>
      </c>
      <c r="I2217">
        <v>3</v>
      </c>
    </row>
    <row r="2218" spans="7:9" x14ac:dyDescent="0.15">
      <c r="G2218">
        <v>34472</v>
      </c>
      <c r="H2218" t="s">
        <v>3060</v>
      </c>
      <c r="I2218">
        <v>3</v>
      </c>
    </row>
    <row r="2219" spans="7:9" x14ac:dyDescent="0.15">
      <c r="G2219">
        <v>34478</v>
      </c>
      <c r="H2219" t="s">
        <v>3061</v>
      </c>
      <c r="I2219">
        <v>3</v>
      </c>
    </row>
    <row r="2220" spans="7:9" x14ac:dyDescent="0.15">
      <c r="G2220">
        <v>34482</v>
      </c>
      <c r="H2220" t="s">
        <v>3062</v>
      </c>
      <c r="I2220">
        <v>3</v>
      </c>
    </row>
    <row r="2221" spans="7:9" x14ac:dyDescent="0.15">
      <c r="G2221">
        <v>34496</v>
      </c>
      <c r="H2221" t="s">
        <v>3063</v>
      </c>
      <c r="I2221">
        <v>3</v>
      </c>
    </row>
    <row r="2222" spans="7:9" x14ac:dyDescent="0.15">
      <c r="G2222">
        <v>34510</v>
      </c>
      <c r="H2222" t="s">
        <v>3064</v>
      </c>
      <c r="I2222">
        <v>3</v>
      </c>
    </row>
    <row r="2223" spans="7:9" x14ac:dyDescent="0.15">
      <c r="G2223">
        <v>34524</v>
      </c>
      <c r="H2223" t="s">
        <v>3065</v>
      </c>
      <c r="I2223">
        <v>3</v>
      </c>
    </row>
    <row r="2224" spans="7:9" x14ac:dyDescent="0.15">
      <c r="G2224">
        <v>34538</v>
      </c>
      <c r="H2224" t="s">
        <v>3066</v>
      </c>
      <c r="I2224">
        <v>3</v>
      </c>
    </row>
    <row r="2225" spans="7:9" x14ac:dyDescent="0.15">
      <c r="G2225">
        <v>34552</v>
      </c>
      <c r="H2225" t="s">
        <v>3067</v>
      </c>
      <c r="I2225">
        <v>2</v>
      </c>
    </row>
    <row r="2226" spans="7:9" x14ac:dyDescent="0.15">
      <c r="G2226">
        <v>34566</v>
      </c>
      <c r="H2226" t="s">
        <v>3068</v>
      </c>
      <c r="I2226">
        <v>3</v>
      </c>
    </row>
    <row r="2227" spans="7:9" x14ac:dyDescent="0.15">
      <c r="G2227">
        <v>34580</v>
      </c>
      <c r="H2227" t="s">
        <v>3069</v>
      </c>
      <c r="I2227">
        <v>3</v>
      </c>
    </row>
    <row r="2228" spans="7:9" x14ac:dyDescent="0.15">
      <c r="G2228">
        <v>34594</v>
      </c>
      <c r="H2228" t="s">
        <v>3070</v>
      </c>
      <c r="I2228">
        <v>2</v>
      </c>
    </row>
    <row r="2229" spans="7:9" x14ac:dyDescent="0.15">
      <c r="G2229">
        <v>34608</v>
      </c>
      <c r="H2229" t="s">
        <v>3071</v>
      </c>
      <c r="I2229">
        <v>3</v>
      </c>
    </row>
    <row r="2230" spans="7:9" x14ac:dyDescent="0.15">
      <c r="G2230">
        <v>34636</v>
      </c>
      <c r="H2230" t="s">
        <v>3072</v>
      </c>
      <c r="I2230">
        <v>2</v>
      </c>
    </row>
    <row r="2231" spans="7:9" x14ac:dyDescent="0.15">
      <c r="G2231">
        <v>34650</v>
      </c>
      <c r="H2231" t="s">
        <v>3072</v>
      </c>
      <c r="I2231">
        <v>3</v>
      </c>
    </row>
    <row r="2232" spans="7:9" x14ac:dyDescent="0.15">
      <c r="G2232">
        <v>34664</v>
      </c>
      <c r="H2232" t="s">
        <v>3073</v>
      </c>
      <c r="I2232">
        <v>3</v>
      </c>
    </row>
    <row r="2233" spans="7:9" x14ac:dyDescent="0.15">
      <c r="G2233">
        <v>34678</v>
      </c>
      <c r="H2233" t="s">
        <v>3074</v>
      </c>
      <c r="I2233">
        <v>3</v>
      </c>
    </row>
    <row r="2234" spans="7:9" x14ac:dyDescent="0.15">
      <c r="G2234">
        <v>34692</v>
      </c>
      <c r="H2234" t="s">
        <v>3075</v>
      </c>
      <c r="I2234">
        <v>3</v>
      </c>
    </row>
    <row r="2235" spans="7:9" x14ac:dyDescent="0.15">
      <c r="G2235">
        <v>34700</v>
      </c>
      <c r="H2235" t="s">
        <v>3076</v>
      </c>
      <c r="I2235">
        <v>3</v>
      </c>
    </row>
    <row r="2236" spans="7:9" x14ac:dyDescent="0.15">
      <c r="G2236">
        <v>34706</v>
      </c>
      <c r="H2236" t="s">
        <v>3077</v>
      </c>
      <c r="I2236">
        <v>3</v>
      </c>
    </row>
    <row r="2237" spans="7:9" x14ac:dyDescent="0.15">
      <c r="G2237">
        <v>34748</v>
      </c>
      <c r="H2237" t="s">
        <v>3078</v>
      </c>
      <c r="I2237">
        <v>1</v>
      </c>
    </row>
    <row r="2238" spans="7:9" x14ac:dyDescent="0.15">
      <c r="G2238">
        <v>34770</v>
      </c>
      <c r="H2238" t="s">
        <v>3079</v>
      </c>
      <c r="I2238">
        <v>3</v>
      </c>
    </row>
    <row r="2239" spans="7:9" x14ac:dyDescent="0.15">
      <c r="G2239">
        <v>34790</v>
      </c>
      <c r="H2239" t="s">
        <v>3080</v>
      </c>
      <c r="I2239">
        <v>2</v>
      </c>
    </row>
    <row r="2240" spans="7:9" x14ac:dyDescent="0.15">
      <c r="G2240">
        <v>34804</v>
      </c>
      <c r="H2240" t="s">
        <v>3081</v>
      </c>
      <c r="I2240">
        <v>3</v>
      </c>
    </row>
    <row r="2241" spans="7:9" x14ac:dyDescent="0.15">
      <c r="G2241">
        <v>34807</v>
      </c>
      <c r="H2241" t="s">
        <v>3082</v>
      </c>
      <c r="I2241">
        <v>3</v>
      </c>
    </row>
    <row r="2242" spans="7:9" x14ac:dyDescent="0.15">
      <c r="G2242">
        <v>34811</v>
      </c>
      <c r="H2242" t="s">
        <v>3083</v>
      </c>
      <c r="I2242">
        <v>3</v>
      </c>
    </row>
    <row r="2243" spans="7:9" x14ac:dyDescent="0.15">
      <c r="G2243">
        <v>34818</v>
      </c>
      <c r="H2243" t="s">
        <v>3084</v>
      </c>
      <c r="I2243">
        <v>3</v>
      </c>
    </row>
    <row r="2244" spans="7:9" x14ac:dyDescent="0.15">
      <c r="G2244">
        <v>34832</v>
      </c>
      <c r="H2244" t="s">
        <v>3085</v>
      </c>
      <c r="I2244">
        <v>3</v>
      </c>
    </row>
    <row r="2245" spans="7:9" x14ac:dyDescent="0.15">
      <c r="G2245">
        <v>34860</v>
      </c>
      <c r="H2245" t="s">
        <v>3086</v>
      </c>
      <c r="I2245">
        <v>2</v>
      </c>
    </row>
    <row r="2246" spans="7:9" x14ac:dyDescent="0.15">
      <c r="G2246">
        <v>34874</v>
      </c>
      <c r="H2246" t="s">
        <v>3087</v>
      </c>
      <c r="I2246">
        <v>3</v>
      </c>
    </row>
    <row r="2247" spans="7:9" x14ac:dyDescent="0.15">
      <c r="G2247">
        <v>34888</v>
      </c>
      <c r="H2247" t="s">
        <v>3088</v>
      </c>
      <c r="I2247">
        <v>2</v>
      </c>
    </row>
    <row r="2248" spans="7:9" x14ac:dyDescent="0.15">
      <c r="G2248">
        <v>34902</v>
      </c>
      <c r="H2248" t="s">
        <v>3089</v>
      </c>
      <c r="I2248">
        <v>3</v>
      </c>
    </row>
    <row r="2249" spans="7:9" x14ac:dyDescent="0.15">
      <c r="G2249">
        <v>34930</v>
      </c>
      <c r="H2249" t="s">
        <v>3090</v>
      </c>
      <c r="I2249">
        <v>3</v>
      </c>
    </row>
    <row r="2250" spans="7:9" x14ac:dyDescent="0.15">
      <c r="G2250">
        <v>34944</v>
      </c>
      <c r="H2250" t="s">
        <v>1135</v>
      </c>
      <c r="I2250">
        <v>3</v>
      </c>
    </row>
    <row r="2251" spans="7:9" x14ac:dyDescent="0.15">
      <c r="G2251">
        <v>34950</v>
      </c>
      <c r="H2251" t="s">
        <v>3091</v>
      </c>
      <c r="I2251">
        <v>3</v>
      </c>
    </row>
    <row r="2252" spans="7:9" x14ac:dyDescent="0.15">
      <c r="G2252">
        <v>34972</v>
      </c>
      <c r="H2252" t="s">
        <v>3092</v>
      </c>
      <c r="I2252">
        <v>3</v>
      </c>
    </row>
    <row r="2253" spans="7:9" x14ac:dyDescent="0.15">
      <c r="G2253">
        <v>34979</v>
      </c>
      <c r="H2253" t="s">
        <v>3093</v>
      </c>
      <c r="I2253">
        <v>3</v>
      </c>
    </row>
    <row r="2254" spans="7:9" x14ac:dyDescent="0.15">
      <c r="G2254">
        <v>34986</v>
      </c>
      <c r="H2254" t="s">
        <v>3094</v>
      </c>
      <c r="I2254">
        <v>3</v>
      </c>
    </row>
    <row r="2255" spans="7:9" x14ac:dyDescent="0.15">
      <c r="G2255">
        <v>35000</v>
      </c>
      <c r="H2255" t="s">
        <v>3095</v>
      </c>
      <c r="I2255">
        <v>3</v>
      </c>
    </row>
    <row r="2256" spans="7:9" x14ac:dyDescent="0.15">
      <c r="G2256">
        <v>35002</v>
      </c>
      <c r="H2256" t="s">
        <v>3096</v>
      </c>
      <c r="I2256">
        <v>3</v>
      </c>
    </row>
    <row r="2257" spans="7:9" x14ac:dyDescent="0.15">
      <c r="G2257">
        <v>35004</v>
      </c>
      <c r="H2257" t="s">
        <v>3097</v>
      </c>
      <c r="I2257">
        <v>3</v>
      </c>
    </row>
    <row r="2258" spans="7:9" x14ac:dyDescent="0.15">
      <c r="G2258">
        <v>35006</v>
      </c>
      <c r="H2258" t="s">
        <v>3098</v>
      </c>
      <c r="I2258">
        <v>3</v>
      </c>
    </row>
    <row r="2259" spans="7:9" x14ac:dyDescent="0.15">
      <c r="G2259">
        <v>35010</v>
      </c>
      <c r="H2259" t="s">
        <v>3099</v>
      </c>
      <c r="I2259">
        <v>3</v>
      </c>
    </row>
    <row r="2260" spans="7:9" x14ac:dyDescent="0.15">
      <c r="G2260">
        <v>35014</v>
      </c>
      <c r="H2260" t="s">
        <v>3100</v>
      </c>
      <c r="I2260">
        <v>3</v>
      </c>
    </row>
    <row r="2261" spans="7:9" x14ac:dyDescent="0.15">
      <c r="G2261">
        <v>35020</v>
      </c>
      <c r="H2261" t="s">
        <v>3101</v>
      </c>
      <c r="I2261">
        <v>3</v>
      </c>
    </row>
    <row r="2262" spans="7:9" x14ac:dyDescent="0.15">
      <c r="G2262">
        <v>35028</v>
      </c>
      <c r="H2262" t="s">
        <v>3102</v>
      </c>
      <c r="I2262">
        <v>2</v>
      </c>
    </row>
    <row r="2263" spans="7:9" x14ac:dyDescent="0.15">
      <c r="G2263">
        <v>35056</v>
      </c>
      <c r="H2263" t="s">
        <v>3103</v>
      </c>
      <c r="I2263">
        <v>3</v>
      </c>
    </row>
    <row r="2264" spans="7:9" x14ac:dyDescent="0.15">
      <c r="G2264">
        <v>35060</v>
      </c>
      <c r="H2264" t="s">
        <v>3104</v>
      </c>
      <c r="I2264">
        <v>3</v>
      </c>
    </row>
    <row r="2265" spans="7:9" x14ac:dyDescent="0.15">
      <c r="G2265">
        <v>35063</v>
      </c>
      <c r="H2265" t="s">
        <v>3105</v>
      </c>
      <c r="I2265">
        <v>3</v>
      </c>
    </row>
    <row r="2266" spans="7:9" x14ac:dyDescent="0.15">
      <c r="G2266">
        <v>35070</v>
      </c>
      <c r="H2266" t="s">
        <v>3106</v>
      </c>
      <c r="I2266">
        <v>3</v>
      </c>
    </row>
    <row r="2267" spans="7:9" x14ac:dyDescent="0.15">
      <c r="G2267">
        <v>35075</v>
      </c>
      <c r="H2267" t="s">
        <v>3107</v>
      </c>
      <c r="I2267">
        <v>3</v>
      </c>
    </row>
    <row r="2268" spans="7:9" x14ac:dyDescent="0.15">
      <c r="G2268">
        <v>35080</v>
      </c>
      <c r="H2268" t="s">
        <v>3108</v>
      </c>
      <c r="I2268">
        <v>3</v>
      </c>
    </row>
    <row r="2269" spans="7:9" x14ac:dyDescent="0.15">
      <c r="G2269">
        <v>35085</v>
      </c>
      <c r="H2269" t="s">
        <v>3109</v>
      </c>
      <c r="I2269">
        <v>3</v>
      </c>
    </row>
    <row r="2270" spans="7:9" x14ac:dyDescent="0.15">
      <c r="G2270">
        <v>35090</v>
      </c>
      <c r="H2270" t="s">
        <v>3110</v>
      </c>
      <c r="I2270">
        <v>3</v>
      </c>
    </row>
    <row r="2271" spans="7:9" x14ac:dyDescent="0.15">
      <c r="G2271">
        <v>35098</v>
      </c>
      <c r="H2271" t="s">
        <v>3111</v>
      </c>
      <c r="I2271">
        <v>2</v>
      </c>
    </row>
    <row r="2272" spans="7:9" x14ac:dyDescent="0.15">
      <c r="G2272">
        <v>35112</v>
      </c>
      <c r="H2272" t="s">
        <v>3112</v>
      </c>
      <c r="I2272">
        <v>3</v>
      </c>
    </row>
    <row r="2273" spans="7:9" x14ac:dyDescent="0.15">
      <c r="G2273">
        <v>35126</v>
      </c>
      <c r="H2273" t="s">
        <v>3113</v>
      </c>
      <c r="I2273">
        <v>2</v>
      </c>
    </row>
    <row r="2274" spans="7:9" x14ac:dyDescent="0.15">
      <c r="G2274">
        <v>35140</v>
      </c>
      <c r="H2274" t="s">
        <v>3114</v>
      </c>
      <c r="I2274">
        <v>3</v>
      </c>
    </row>
    <row r="2275" spans="7:9" x14ac:dyDescent="0.15">
      <c r="G2275">
        <v>35154</v>
      </c>
      <c r="H2275" t="s">
        <v>3115</v>
      </c>
      <c r="I2275">
        <v>3</v>
      </c>
    </row>
    <row r="2276" spans="7:9" x14ac:dyDescent="0.15">
      <c r="G2276">
        <v>35168</v>
      </c>
      <c r="H2276" t="s">
        <v>3116</v>
      </c>
      <c r="I2276">
        <v>2</v>
      </c>
    </row>
    <row r="2277" spans="7:9" x14ac:dyDescent="0.15">
      <c r="G2277">
        <v>35182</v>
      </c>
      <c r="H2277" t="s">
        <v>3117</v>
      </c>
      <c r="I2277">
        <v>3</v>
      </c>
    </row>
    <row r="2278" spans="7:9" x14ac:dyDescent="0.15">
      <c r="G2278">
        <v>35196</v>
      </c>
      <c r="H2278" t="s">
        <v>3118</v>
      </c>
      <c r="I2278">
        <v>3</v>
      </c>
    </row>
    <row r="2279" spans="7:9" x14ac:dyDescent="0.15">
      <c r="G2279">
        <v>35210</v>
      </c>
      <c r="H2279" t="s">
        <v>3119</v>
      </c>
      <c r="I2279">
        <v>2</v>
      </c>
    </row>
    <row r="2280" spans="7:9" x14ac:dyDescent="0.15">
      <c r="G2280">
        <v>35224</v>
      </c>
      <c r="H2280" t="s">
        <v>3120</v>
      </c>
      <c r="I2280">
        <v>3</v>
      </c>
    </row>
    <row r="2281" spans="7:9" x14ac:dyDescent="0.15">
      <c r="G2281">
        <v>35238</v>
      </c>
      <c r="H2281" t="s">
        <v>3118</v>
      </c>
      <c r="I2281">
        <v>3</v>
      </c>
    </row>
    <row r="2282" spans="7:9" x14ac:dyDescent="0.15">
      <c r="G2282">
        <v>35245</v>
      </c>
      <c r="H2282" t="s">
        <v>3121</v>
      </c>
      <c r="I2282">
        <v>3</v>
      </c>
    </row>
    <row r="2283" spans="7:9" x14ac:dyDescent="0.15">
      <c r="G2283">
        <v>35252</v>
      </c>
      <c r="H2283" t="s">
        <v>3122</v>
      </c>
      <c r="I2283">
        <v>1</v>
      </c>
    </row>
    <row r="2284" spans="7:9" x14ac:dyDescent="0.15">
      <c r="G2284">
        <v>35255</v>
      </c>
      <c r="H2284" t="s">
        <v>3123</v>
      </c>
      <c r="I2284">
        <v>2</v>
      </c>
    </row>
    <row r="2285" spans="7:9" x14ac:dyDescent="0.15">
      <c r="G2285">
        <v>35256</v>
      </c>
      <c r="H2285" t="s">
        <v>3124</v>
      </c>
      <c r="I2285">
        <v>2</v>
      </c>
    </row>
    <row r="2286" spans="7:9" x14ac:dyDescent="0.15">
      <c r="G2286">
        <v>35258</v>
      </c>
      <c r="H2286" t="s">
        <v>3125</v>
      </c>
      <c r="I2286">
        <v>3</v>
      </c>
    </row>
    <row r="2287" spans="7:9" x14ac:dyDescent="0.15">
      <c r="G2287">
        <v>35262</v>
      </c>
      <c r="H2287" t="s">
        <v>3125</v>
      </c>
      <c r="I2287">
        <v>3</v>
      </c>
    </row>
    <row r="2288" spans="7:9" x14ac:dyDescent="0.15">
      <c r="G2288">
        <v>35294</v>
      </c>
      <c r="H2288" t="s">
        <v>3126</v>
      </c>
      <c r="I2288">
        <v>3</v>
      </c>
    </row>
    <row r="2289" spans="7:9" x14ac:dyDescent="0.15">
      <c r="G2289">
        <v>35308</v>
      </c>
      <c r="H2289" t="s">
        <v>3127</v>
      </c>
      <c r="I2289">
        <v>3</v>
      </c>
    </row>
    <row r="2290" spans="7:9" x14ac:dyDescent="0.15">
      <c r="G2290">
        <v>35322</v>
      </c>
      <c r="H2290" t="s">
        <v>3128</v>
      </c>
      <c r="I2290">
        <v>2</v>
      </c>
    </row>
    <row r="2291" spans="7:9" x14ac:dyDescent="0.15">
      <c r="G2291">
        <v>35364</v>
      </c>
      <c r="H2291" t="s">
        <v>3129</v>
      </c>
      <c r="I2291">
        <v>3</v>
      </c>
    </row>
    <row r="2292" spans="7:9" x14ac:dyDescent="0.15">
      <c r="G2292">
        <v>35400</v>
      </c>
      <c r="H2292" t="s">
        <v>3130</v>
      </c>
      <c r="I2292">
        <v>3</v>
      </c>
    </row>
    <row r="2293" spans="7:9" x14ac:dyDescent="0.15">
      <c r="G2293">
        <v>35406</v>
      </c>
      <c r="H2293" t="s">
        <v>3131</v>
      </c>
      <c r="I2293">
        <v>3</v>
      </c>
    </row>
    <row r="2294" spans="7:9" x14ac:dyDescent="0.15">
      <c r="G2294">
        <v>35415</v>
      </c>
      <c r="H2294" t="s">
        <v>3131</v>
      </c>
      <c r="I2294">
        <v>3</v>
      </c>
    </row>
    <row r="2295" spans="7:9" x14ac:dyDescent="0.15">
      <c r="G2295">
        <v>35425</v>
      </c>
      <c r="H2295" t="s">
        <v>3131</v>
      </c>
      <c r="I2295">
        <v>3</v>
      </c>
    </row>
    <row r="2296" spans="7:9" x14ac:dyDescent="0.15">
      <c r="G2296">
        <v>35430</v>
      </c>
      <c r="H2296" t="s">
        <v>3131</v>
      </c>
      <c r="I2296">
        <v>3</v>
      </c>
    </row>
    <row r="2297" spans="7:9" x14ac:dyDescent="0.15">
      <c r="G2297">
        <v>35434</v>
      </c>
      <c r="H2297" t="s">
        <v>3131</v>
      </c>
      <c r="I2297">
        <v>3</v>
      </c>
    </row>
    <row r="2298" spans="7:9" x14ac:dyDescent="0.15">
      <c r="G2298">
        <v>35448</v>
      </c>
      <c r="H2298" t="s">
        <v>3132</v>
      </c>
      <c r="I2298">
        <v>3</v>
      </c>
    </row>
    <row r="2299" spans="7:9" x14ac:dyDescent="0.15">
      <c r="G2299">
        <v>35462</v>
      </c>
      <c r="H2299" t="s">
        <v>3133</v>
      </c>
      <c r="I2299">
        <v>3</v>
      </c>
    </row>
    <row r="2300" spans="7:9" x14ac:dyDescent="0.15">
      <c r="G2300">
        <v>35476</v>
      </c>
      <c r="H2300" t="s">
        <v>3134</v>
      </c>
      <c r="I2300">
        <v>1</v>
      </c>
    </row>
    <row r="2301" spans="7:9" x14ac:dyDescent="0.15">
      <c r="G2301">
        <v>35520</v>
      </c>
      <c r="H2301" t="s">
        <v>3135</v>
      </c>
      <c r="I2301">
        <v>3</v>
      </c>
    </row>
    <row r="2302" spans="7:9" x14ac:dyDescent="0.15">
      <c r="G2302">
        <v>35532</v>
      </c>
      <c r="H2302" t="s">
        <v>3136</v>
      </c>
      <c r="I2302">
        <v>2</v>
      </c>
    </row>
    <row r="2303" spans="7:9" x14ac:dyDescent="0.15">
      <c r="G2303">
        <v>35560</v>
      </c>
      <c r="H2303" t="s">
        <v>976</v>
      </c>
      <c r="I2303">
        <v>1</v>
      </c>
    </row>
    <row r="2304" spans="7:9" x14ac:dyDescent="0.15">
      <c r="G2304">
        <v>35574</v>
      </c>
      <c r="H2304" t="s">
        <v>976</v>
      </c>
      <c r="I2304">
        <v>3</v>
      </c>
    </row>
    <row r="2305" spans="7:9" x14ac:dyDescent="0.15">
      <c r="G2305">
        <v>35610</v>
      </c>
      <c r="H2305" t="s">
        <v>3137</v>
      </c>
      <c r="I2305">
        <v>3</v>
      </c>
    </row>
    <row r="2306" spans="7:9" x14ac:dyDescent="0.15">
      <c r="G2306">
        <v>35613</v>
      </c>
      <c r="H2306" t="s">
        <v>3137</v>
      </c>
      <c r="I2306">
        <v>2</v>
      </c>
    </row>
    <row r="2307" spans="7:9" x14ac:dyDescent="0.15">
      <c r="G2307">
        <v>35616</v>
      </c>
      <c r="H2307" t="s">
        <v>3138</v>
      </c>
      <c r="I2307">
        <v>3</v>
      </c>
    </row>
    <row r="2308" spans="7:9" x14ac:dyDescent="0.15">
      <c r="G2308">
        <v>35630</v>
      </c>
      <c r="H2308" t="s">
        <v>3139</v>
      </c>
      <c r="I2308">
        <v>3</v>
      </c>
    </row>
    <row r="2309" spans="7:9" x14ac:dyDescent="0.15">
      <c r="G2309">
        <v>35644</v>
      </c>
      <c r="H2309" t="s">
        <v>3140</v>
      </c>
      <c r="I2309">
        <v>3</v>
      </c>
    </row>
    <row r="2310" spans="7:9" x14ac:dyDescent="0.15">
      <c r="G2310">
        <v>35650</v>
      </c>
      <c r="H2310" t="s">
        <v>3141</v>
      </c>
      <c r="I2310">
        <v>3</v>
      </c>
    </row>
    <row r="2311" spans="7:9" x14ac:dyDescent="0.15">
      <c r="G2311">
        <v>35658</v>
      </c>
      <c r="H2311" t="s">
        <v>3142</v>
      </c>
      <c r="I2311">
        <v>2</v>
      </c>
    </row>
    <row r="2312" spans="7:9" x14ac:dyDescent="0.15">
      <c r="G2312">
        <v>35672</v>
      </c>
      <c r="H2312" t="s">
        <v>3143</v>
      </c>
      <c r="I2312">
        <v>3</v>
      </c>
    </row>
    <row r="2313" spans="7:9" x14ac:dyDescent="0.15">
      <c r="G2313">
        <v>35686</v>
      </c>
      <c r="H2313" t="s">
        <v>3144</v>
      </c>
      <c r="I2313">
        <v>3</v>
      </c>
    </row>
    <row r="2314" spans="7:9" x14ac:dyDescent="0.15">
      <c r="G2314">
        <v>35700</v>
      </c>
      <c r="H2314" t="s">
        <v>3145</v>
      </c>
      <c r="I2314">
        <v>3</v>
      </c>
    </row>
    <row r="2315" spans="7:9" x14ac:dyDescent="0.15">
      <c r="G2315">
        <v>35714</v>
      </c>
      <c r="H2315" t="s">
        <v>3146</v>
      </c>
      <c r="I2315">
        <v>3</v>
      </c>
    </row>
    <row r="2316" spans="7:9" x14ac:dyDescent="0.15">
      <c r="G2316">
        <v>35720</v>
      </c>
      <c r="H2316" t="s">
        <v>3147</v>
      </c>
      <c r="I2316">
        <v>3</v>
      </c>
    </row>
    <row r="2317" spans="7:9" x14ac:dyDescent="0.15">
      <c r="G2317">
        <v>35728</v>
      </c>
      <c r="H2317" t="s">
        <v>3148</v>
      </c>
      <c r="I2317">
        <v>3</v>
      </c>
    </row>
    <row r="2318" spans="7:9" x14ac:dyDescent="0.15">
      <c r="G2318">
        <v>35756</v>
      </c>
      <c r="H2318" t="s">
        <v>3149</v>
      </c>
      <c r="I2318">
        <v>3</v>
      </c>
    </row>
    <row r="2319" spans="7:9" x14ac:dyDescent="0.15">
      <c r="G2319">
        <v>35763</v>
      </c>
      <c r="H2319" t="s">
        <v>3150</v>
      </c>
      <c r="I2319">
        <v>3</v>
      </c>
    </row>
    <row r="2320" spans="7:9" x14ac:dyDescent="0.15">
      <c r="G2320">
        <v>35770</v>
      </c>
      <c r="H2320" t="s">
        <v>3151</v>
      </c>
      <c r="I2320">
        <v>3</v>
      </c>
    </row>
    <row r="2321" spans="7:9" x14ac:dyDescent="0.15">
      <c r="G2321">
        <v>35784</v>
      </c>
      <c r="H2321" t="s">
        <v>3152</v>
      </c>
      <c r="I2321">
        <v>3</v>
      </c>
    </row>
    <row r="2322" spans="7:9" x14ac:dyDescent="0.15">
      <c r="G2322">
        <v>35790</v>
      </c>
      <c r="H2322" t="s">
        <v>3153</v>
      </c>
      <c r="I2322">
        <v>3</v>
      </c>
    </row>
    <row r="2323" spans="7:9" x14ac:dyDescent="0.15">
      <c r="G2323">
        <v>35812</v>
      </c>
      <c r="H2323" t="s">
        <v>3154</v>
      </c>
      <c r="I2323">
        <v>3</v>
      </c>
    </row>
    <row r="2324" spans="7:9" x14ac:dyDescent="0.15">
      <c r="G2324">
        <v>35826</v>
      </c>
      <c r="H2324" t="s">
        <v>3155</v>
      </c>
      <c r="I2324">
        <v>2</v>
      </c>
    </row>
    <row r="2325" spans="7:9" x14ac:dyDescent="0.15">
      <c r="G2325">
        <v>35835</v>
      </c>
      <c r="H2325" t="s">
        <v>3156</v>
      </c>
      <c r="I2325">
        <v>3</v>
      </c>
    </row>
    <row r="2326" spans="7:9" x14ac:dyDescent="0.15">
      <c r="G2326">
        <v>35840</v>
      </c>
      <c r="H2326" t="s">
        <v>3157</v>
      </c>
      <c r="I2326">
        <v>3</v>
      </c>
    </row>
    <row r="2327" spans="7:9" x14ac:dyDescent="0.15">
      <c r="G2327">
        <v>35854</v>
      </c>
      <c r="H2327" t="s">
        <v>3158</v>
      </c>
      <c r="I2327">
        <v>2</v>
      </c>
    </row>
    <row r="2328" spans="7:9" x14ac:dyDescent="0.15">
      <c r="G2328">
        <v>35860</v>
      </c>
      <c r="H2328" t="s">
        <v>3159</v>
      </c>
      <c r="I2328">
        <v>3</v>
      </c>
    </row>
    <row r="2329" spans="7:9" x14ac:dyDescent="0.15">
      <c r="G2329">
        <v>35864</v>
      </c>
      <c r="H2329" t="s">
        <v>3160</v>
      </c>
      <c r="I2329">
        <v>2</v>
      </c>
    </row>
    <row r="2330" spans="7:9" x14ac:dyDescent="0.15">
      <c r="G2330">
        <v>35866</v>
      </c>
      <c r="H2330" t="s">
        <v>3161</v>
      </c>
      <c r="I2330">
        <v>2</v>
      </c>
    </row>
    <row r="2331" spans="7:9" x14ac:dyDescent="0.15">
      <c r="G2331">
        <v>35868</v>
      </c>
      <c r="H2331" t="s">
        <v>3162</v>
      </c>
      <c r="I2331">
        <v>2</v>
      </c>
    </row>
    <row r="2332" spans="7:9" x14ac:dyDescent="0.15">
      <c r="G2332">
        <v>35882</v>
      </c>
      <c r="H2332" t="s">
        <v>3163</v>
      </c>
      <c r="I2332">
        <v>2</v>
      </c>
    </row>
    <row r="2333" spans="7:9" x14ac:dyDescent="0.15">
      <c r="G2333">
        <v>35896</v>
      </c>
      <c r="H2333" t="s">
        <v>3164</v>
      </c>
      <c r="I2333">
        <v>2</v>
      </c>
    </row>
    <row r="2334" spans="7:9" x14ac:dyDescent="0.15">
      <c r="G2334">
        <v>35910</v>
      </c>
      <c r="H2334" t="s">
        <v>3165</v>
      </c>
      <c r="I2334">
        <v>3</v>
      </c>
    </row>
    <row r="2335" spans="7:9" x14ac:dyDescent="0.15">
      <c r="G2335">
        <v>35924</v>
      </c>
      <c r="H2335" t="s">
        <v>3166</v>
      </c>
      <c r="I2335">
        <v>2</v>
      </c>
    </row>
    <row r="2336" spans="7:9" x14ac:dyDescent="0.15">
      <c r="G2336">
        <v>35938</v>
      </c>
      <c r="H2336" t="s">
        <v>3167</v>
      </c>
      <c r="I2336">
        <v>3</v>
      </c>
    </row>
    <row r="2337" spans="7:9" x14ac:dyDescent="0.15">
      <c r="G2337">
        <v>35945</v>
      </c>
      <c r="H2337" t="s">
        <v>3168</v>
      </c>
      <c r="I2337">
        <v>3</v>
      </c>
    </row>
    <row r="2338" spans="7:9" x14ac:dyDescent="0.15">
      <c r="G2338">
        <v>35980</v>
      </c>
      <c r="H2338" t="s">
        <v>3169</v>
      </c>
      <c r="I2338">
        <v>3</v>
      </c>
    </row>
    <row r="2339" spans="7:9" x14ac:dyDescent="0.15">
      <c r="G2339">
        <v>35994</v>
      </c>
      <c r="H2339" t="s">
        <v>1126</v>
      </c>
      <c r="I2339">
        <v>2</v>
      </c>
    </row>
    <row r="2340" spans="7:9" x14ac:dyDescent="0.15">
      <c r="G2340">
        <v>36000</v>
      </c>
      <c r="H2340" t="s">
        <v>3170</v>
      </c>
      <c r="I2340">
        <v>3</v>
      </c>
    </row>
    <row r="2341" spans="7:9" x14ac:dyDescent="0.15">
      <c r="G2341">
        <v>36064</v>
      </c>
      <c r="H2341" t="s">
        <v>3171</v>
      </c>
      <c r="I2341">
        <v>3</v>
      </c>
    </row>
    <row r="2342" spans="7:9" x14ac:dyDescent="0.15">
      <c r="G2342">
        <v>36070</v>
      </c>
      <c r="H2342" t="s">
        <v>3171</v>
      </c>
      <c r="I2342">
        <v>3</v>
      </c>
    </row>
    <row r="2343" spans="7:9" x14ac:dyDescent="0.15">
      <c r="G2343">
        <v>36078</v>
      </c>
      <c r="H2343" t="s">
        <v>3172</v>
      </c>
      <c r="I2343">
        <v>3</v>
      </c>
    </row>
    <row r="2344" spans="7:9" x14ac:dyDescent="0.15">
      <c r="G2344">
        <v>36092</v>
      </c>
      <c r="H2344" t="s">
        <v>3172</v>
      </c>
      <c r="I2344">
        <v>3</v>
      </c>
    </row>
    <row r="2345" spans="7:9" x14ac:dyDescent="0.15">
      <c r="G2345">
        <v>36106</v>
      </c>
      <c r="H2345" t="s">
        <v>3173</v>
      </c>
      <c r="I2345">
        <v>3</v>
      </c>
    </row>
    <row r="2346" spans="7:9" x14ac:dyDescent="0.15">
      <c r="G2346">
        <v>36120</v>
      </c>
      <c r="H2346" t="s">
        <v>3174</v>
      </c>
      <c r="I2346">
        <v>3</v>
      </c>
    </row>
    <row r="2347" spans="7:9" x14ac:dyDescent="0.15">
      <c r="G2347">
        <v>36162</v>
      </c>
      <c r="H2347" t="s">
        <v>3175</v>
      </c>
      <c r="I2347">
        <v>3</v>
      </c>
    </row>
    <row r="2348" spans="7:9" x14ac:dyDescent="0.15">
      <c r="G2348">
        <v>36176</v>
      </c>
      <c r="H2348" t="s">
        <v>3176</v>
      </c>
      <c r="I2348">
        <v>2</v>
      </c>
    </row>
    <row r="2349" spans="7:9" x14ac:dyDescent="0.15">
      <c r="G2349">
        <v>36187</v>
      </c>
      <c r="H2349" t="s">
        <v>3177</v>
      </c>
      <c r="I2349">
        <v>3</v>
      </c>
    </row>
    <row r="2350" spans="7:9" x14ac:dyDescent="0.15">
      <c r="G2350">
        <v>36190</v>
      </c>
      <c r="H2350" t="s">
        <v>3178</v>
      </c>
      <c r="I2350">
        <v>3</v>
      </c>
    </row>
    <row r="2351" spans="7:9" x14ac:dyDescent="0.15">
      <c r="G2351">
        <v>36204</v>
      </c>
      <c r="H2351" t="s">
        <v>3179</v>
      </c>
      <c r="I2351">
        <v>3</v>
      </c>
    </row>
    <row r="2352" spans="7:9" x14ac:dyDescent="0.15">
      <c r="G2352">
        <v>36218</v>
      </c>
      <c r="H2352" t="s">
        <v>3180</v>
      </c>
      <c r="I2352">
        <v>3</v>
      </c>
    </row>
    <row r="2353" spans="7:9" x14ac:dyDescent="0.15">
      <c r="G2353">
        <v>36224</v>
      </c>
      <c r="H2353" t="s">
        <v>3181</v>
      </c>
      <c r="I2353">
        <v>3</v>
      </c>
    </row>
    <row r="2354" spans="7:9" x14ac:dyDescent="0.15">
      <c r="G2354">
        <v>36232</v>
      </c>
      <c r="H2354" t="s">
        <v>3182</v>
      </c>
      <c r="I2354">
        <v>2</v>
      </c>
    </row>
    <row r="2355" spans="7:9" x14ac:dyDescent="0.15">
      <c r="G2355">
        <v>36246</v>
      </c>
      <c r="H2355" t="s">
        <v>3183</v>
      </c>
      <c r="I2355">
        <v>3</v>
      </c>
    </row>
    <row r="2356" spans="7:9" x14ac:dyDescent="0.15">
      <c r="G2356">
        <v>36260</v>
      </c>
      <c r="H2356" t="s">
        <v>3184</v>
      </c>
      <c r="I2356">
        <v>2</v>
      </c>
    </row>
    <row r="2357" spans="7:9" x14ac:dyDescent="0.15">
      <c r="G2357">
        <v>36274</v>
      </c>
      <c r="H2357" t="s">
        <v>3185</v>
      </c>
      <c r="I2357">
        <v>3</v>
      </c>
    </row>
    <row r="2358" spans="7:9" x14ac:dyDescent="0.15">
      <c r="G2358">
        <v>36302</v>
      </c>
      <c r="H2358" t="s">
        <v>3186</v>
      </c>
      <c r="I2358">
        <v>3</v>
      </c>
    </row>
    <row r="2359" spans="7:9" x14ac:dyDescent="0.15">
      <c r="G2359">
        <v>36316</v>
      </c>
      <c r="H2359" t="s">
        <v>3187</v>
      </c>
      <c r="I2359">
        <v>3</v>
      </c>
    </row>
    <row r="2360" spans="7:9" x14ac:dyDescent="0.15">
      <c r="G2360">
        <v>36344</v>
      </c>
      <c r="H2360" t="s">
        <v>3187</v>
      </c>
      <c r="I2360">
        <v>3</v>
      </c>
    </row>
    <row r="2361" spans="7:9" x14ac:dyDescent="0.15">
      <c r="G2361">
        <v>36358</v>
      </c>
      <c r="H2361" t="s">
        <v>3186</v>
      </c>
      <c r="I2361">
        <v>3</v>
      </c>
    </row>
    <row r="2362" spans="7:9" x14ac:dyDescent="0.15">
      <c r="G2362">
        <v>36372</v>
      </c>
      <c r="H2362" t="s">
        <v>3187</v>
      </c>
      <c r="I2362">
        <v>3</v>
      </c>
    </row>
    <row r="2363" spans="7:9" x14ac:dyDescent="0.15">
      <c r="G2363">
        <v>36386</v>
      </c>
      <c r="H2363" t="s">
        <v>3187</v>
      </c>
      <c r="I2363">
        <v>3</v>
      </c>
    </row>
    <row r="2364" spans="7:9" x14ac:dyDescent="0.15">
      <c r="G2364">
        <v>36400</v>
      </c>
      <c r="H2364" t="s">
        <v>3187</v>
      </c>
      <c r="I2364">
        <v>3</v>
      </c>
    </row>
    <row r="2365" spans="7:9" x14ac:dyDescent="0.15">
      <c r="G2365">
        <v>36414</v>
      </c>
      <c r="H2365" t="s">
        <v>3188</v>
      </c>
      <c r="I2365">
        <v>3</v>
      </c>
    </row>
    <row r="2366" spans="7:9" x14ac:dyDescent="0.15">
      <c r="G2366">
        <v>36428</v>
      </c>
      <c r="H2366" t="s">
        <v>3189</v>
      </c>
      <c r="I2366">
        <v>3</v>
      </c>
    </row>
    <row r="2367" spans="7:9" x14ac:dyDescent="0.15">
      <c r="G2367">
        <v>36432</v>
      </c>
      <c r="H2367" t="s">
        <v>3190</v>
      </c>
      <c r="I2367">
        <v>3</v>
      </c>
    </row>
    <row r="2368" spans="7:9" x14ac:dyDescent="0.15">
      <c r="G2368">
        <v>36438</v>
      </c>
      <c r="H2368" t="s">
        <v>3191</v>
      </c>
      <c r="I2368">
        <v>3</v>
      </c>
    </row>
    <row r="2369" spans="7:9" x14ac:dyDescent="0.15">
      <c r="G2369">
        <v>36442</v>
      </c>
      <c r="H2369" t="s">
        <v>3192</v>
      </c>
      <c r="I2369">
        <v>3</v>
      </c>
    </row>
    <row r="2370" spans="7:9" x14ac:dyDescent="0.15">
      <c r="G2370">
        <v>36456</v>
      </c>
      <c r="H2370" t="s">
        <v>3192</v>
      </c>
      <c r="I2370">
        <v>3</v>
      </c>
    </row>
    <row r="2371" spans="7:9" x14ac:dyDescent="0.15">
      <c r="G2371">
        <v>36470</v>
      </c>
      <c r="H2371" t="s">
        <v>3193</v>
      </c>
      <c r="I2371">
        <v>3</v>
      </c>
    </row>
    <row r="2372" spans="7:9" x14ac:dyDescent="0.15">
      <c r="G2372">
        <v>36484</v>
      </c>
      <c r="H2372" t="s">
        <v>3194</v>
      </c>
      <c r="I2372">
        <v>3</v>
      </c>
    </row>
    <row r="2373" spans="7:9" x14ac:dyDescent="0.15">
      <c r="G2373">
        <v>36498</v>
      </c>
      <c r="H2373" t="s">
        <v>3195</v>
      </c>
      <c r="I2373">
        <v>3</v>
      </c>
    </row>
    <row r="2374" spans="7:9" x14ac:dyDescent="0.15">
      <c r="G2374">
        <v>36512</v>
      </c>
      <c r="H2374" t="s">
        <v>3196</v>
      </c>
      <c r="I2374">
        <v>2</v>
      </c>
    </row>
    <row r="2375" spans="7:9" x14ac:dyDescent="0.15">
      <c r="G2375">
        <v>36526</v>
      </c>
      <c r="H2375" t="s">
        <v>3197</v>
      </c>
      <c r="I2375">
        <v>3</v>
      </c>
    </row>
    <row r="2376" spans="7:9" x14ac:dyDescent="0.15">
      <c r="G2376">
        <v>36535</v>
      </c>
      <c r="H2376" t="s">
        <v>3198</v>
      </c>
      <c r="I2376">
        <v>3</v>
      </c>
    </row>
    <row r="2377" spans="7:9" x14ac:dyDescent="0.15">
      <c r="G2377">
        <v>36540</v>
      </c>
      <c r="H2377" t="s">
        <v>3199</v>
      </c>
      <c r="I2377">
        <v>3</v>
      </c>
    </row>
    <row r="2378" spans="7:9" x14ac:dyDescent="0.15">
      <c r="G2378">
        <v>36554</v>
      </c>
      <c r="H2378" t="s">
        <v>3200</v>
      </c>
      <c r="I2378">
        <v>3</v>
      </c>
    </row>
    <row r="2379" spans="7:9" x14ac:dyDescent="0.15">
      <c r="G2379">
        <v>36557</v>
      </c>
      <c r="H2379" t="s">
        <v>3201</v>
      </c>
      <c r="I2379">
        <v>1</v>
      </c>
    </row>
    <row r="2380" spans="7:9" x14ac:dyDescent="0.15">
      <c r="G2380">
        <v>36561</v>
      </c>
      <c r="H2380" t="s">
        <v>3202</v>
      </c>
      <c r="I2380">
        <v>3</v>
      </c>
    </row>
    <row r="2381" spans="7:9" x14ac:dyDescent="0.15">
      <c r="G2381">
        <v>36568</v>
      </c>
      <c r="H2381" t="s">
        <v>3203</v>
      </c>
      <c r="I2381">
        <v>2</v>
      </c>
    </row>
    <row r="2382" spans="7:9" x14ac:dyDescent="0.15">
      <c r="G2382">
        <v>36582</v>
      </c>
      <c r="H2382" t="s">
        <v>3204</v>
      </c>
      <c r="I2382">
        <v>1</v>
      </c>
    </row>
    <row r="2383" spans="7:9" x14ac:dyDescent="0.15">
      <c r="G2383">
        <v>36596</v>
      </c>
      <c r="H2383" t="s">
        <v>3205</v>
      </c>
      <c r="I2383">
        <v>3</v>
      </c>
    </row>
    <row r="2384" spans="7:9" x14ac:dyDescent="0.15">
      <c r="G2384">
        <v>36610</v>
      </c>
      <c r="H2384" t="s">
        <v>3206</v>
      </c>
      <c r="I2384">
        <v>1</v>
      </c>
    </row>
    <row r="2385" spans="7:9" x14ac:dyDescent="0.15">
      <c r="G2385">
        <v>36624</v>
      </c>
      <c r="H2385" t="s">
        <v>3207</v>
      </c>
      <c r="I2385">
        <v>2</v>
      </c>
    </row>
    <row r="2386" spans="7:9" x14ac:dyDescent="0.15">
      <c r="G2386">
        <v>36651</v>
      </c>
      <c r="H2386" t="s">
        <v>3208</v>
      </c>
      <c r="I2386">
        <v>1</v>
      </c>
    </row>
    <row r="2387" spans="7:9" x14ac:dyDescent="0.15">
      <c r="G2387">
        <v>36652</v>
      </c>
      <c r="H2387" t="s">
        <v>3209</v>
      </c>
      <c r="I2387">
        <v>3</v>
      </c>
    </row>
    <row r="2388" spans="7:9" x14ac:dyDescent="0.15">
      <c r="G2388">
        <v>36680</v>
      </c>
      <c r="H2388" t="s">
        <v>3210</v>
      </c>
      <c r="I2388">
        <v>3</v>
      </c>
    </row>
    <row r="2389" spans="7:9" x14ac:dyDescent="0.15">
      <c r="G2389">
        <v>36694</v>
      </c>
      <c r="H2389" t="s">
        <v>3211</v>
      </c>
      <c r="I2389">
        <v>3</v>
      </c>
    </row>
    <row r="2390" spans="7:9" x14ac:dyDescent="0.15">
      <c r="G2390">
        <v>36722</v>
      </c>
      <c r="H2390" t="s">
        <v>3212</v>
      </c>
      <c r="I2390">
        <v>3</v>
      </c>
    </row>
    <row r="2391" spans="7:9" x14ac:dyDescent="0.15">
      <c r="G2391">
        <v>36730</v>
      </c>
      <c r="H2391" t="s">
        <v>3213</v>
      </c>
      <c r="I2391">
        <v>3</v>
      </c>
    </row>
    <row r="2392" spans="7:9" x14ac:dyDescent="0.15">
      <c r="G2392">
        <v>36736</v>
      </c>
      <c r="H2392" t="s">
        <v>3214</v>
      </c>
      <c r="I2392">
        <v>3</v>
      </c>
    </row>
    <row r="2393" spans="7:9" x14ac:dyDescent="0.15">
      <c r="G2393">
        <v>36764</v>
      </c>
      <c r="H2393" t="s">
        <v>3215</v>
      </c>
      <c r="I2393">
        <v>3</v>
      </c>
    </row>
    <row r="2394" spans="7:9" x14ac:dyDescent="0.15">
      <c r="G2394">
        <v>36778</v>
      </c>
      <c r="H2394" t="s">
        <v>3216</v>
      </c>
      <c r="I2394">
        <v>3</v>
      </c>
    </row>
    <row r="2395" spans="7:9" x14ac:dyDescent="0.15">
      <c r="G2395">
        <v>36792</v>
      </c>
      <c r="H2395" t="s">
        <v>3217</v>
      </c>
      <c r="I2395">
        <v>3</v>
      </c>
    </row>
    <row r="2396" spans="7:9" x14ac:dyDescent="0.15">
      <c r="G2396">
        <v>36798</v>
      </c>
      <c r="H2396" t="s">
        <v>3218</v>
      </c>
      <c r="I2396">
        <v>3</v>
      </c>
    </row>
    <row r="2397" spans="7:9" x14ac:dyDescent="0.15">
      <c r="G2397">
        <v>36803</v>
      </c>
      <c r="H2397" t="s">
        <v>3219</v>
      </c>
      <c r="I2397">
        <v>3</v>
      </c>
    </row>
    <row r="2398" spans="7:9" x14ac:dyDescent="0.15">
      <c r="G2398">
        <v>36806</v>
      </c>
      <c r="H2398" t="s">
        <v>3219</v>
      </c>
      <c r="I2398">
        <v>2</v>
      </c>
    </row>
    <row r="2399" spans="7:9" x14ac:dyDescent="0.15">
      <c r="G2399">
        <v>36820</v>
      </c>
      <c r="H2399" t="s">
        <v>3220</v>
      </c>
      <c r="I2399">
        <v>3</v>
      </c>
    </row>
    <row r="2400" spans="7:9" x14ac:dyDescent="0.15">
      <c r="G2400">
        <v>36825</v>
      </c>
      <c r="H2400" t="s">
        <v>3221</v>
      </c>
      <c r="I2400">
        <v>3</v>
      </c>
    </row>
    <row r="2401" spans="7:9" x14ac:dyDescent="0.15">
      <c r="G2401">
        <v>36834</v>
      </c>
      <c r="H2401" t="s">
        <v>3222</v>
      </c>
      <c r="I2401">
        <v>3</v>
      </c>
    </row>
    <row r="2402" spans="7:9" x14ac:dyDescent="0.15">
      <c r="G2402">
        <v>36848</v>
      </c>
      <c r="H2402" t="s">
        <v>3222</v>
      </c>
      <c r="I2402">
        <v>3</v>
      </c>
    </row>
    <row r="2403" spans="7:9" x14ac:dyDescent="0.15">
      <c r="G2403">
        <v>36862</v>
      </c>
      <c r="H2403" t="s">
        <v>3223</v>
      </c>
      <c r="I2403">
        <v>3</v>
      </c>
    </row>
    <row r="2404" spans="7:9" x14ac:dyDescent="0.15">
      <c r="G2404">
        <v>36876</v>
      </c>
      <c r="H2404" t="s">
        <v>3222</v>
      </c>
      <c r="I2404">
        <v>3</v>
      </c>
    </row>
    <row r="2405" spans="7:9" x14ac:dyDescent="0.15">
      <c r="G2405">
        <v>36890</v>
      </c>
      <c r="H2405" t="s">
        <v>3222</v>
      </c>
      <c r="I2405">
        <v>3</v>
      </c>
    </row>
    <row r="2406" spans="7:9" x14ac:dyDescent="0.15">
      <c r="G2406">
        <v>36904</v>
      </c>
      <c r="H2406" t="s">
        <v>3224</v>
      </c>
      <c r="I2406">
        <v>3</v>
      </c>
    </row>
    <row r="2407" spans="7:9" x14ac:dyDescent="0.15">
      <c r="G2407">
        <v>36918</v>
      </c>
      <c r="H2407" t="s">
        <v>3225</v>
      </c>
      <c r="I2407">
        <v>2</v>
      </c>
    </row>
    <row r="2408" spans="7:9" x14ac:dyDescent="0.15">
      <c r="G2408">
        <v>36932</v>
      </c>
      <c r="H2408" t="s">
        <v>3226</v>
      </c>
      <c r="I2408">
        <v>3</v>
      </c>
    </row>
    <row r="2409" spans="7:9" x14ac:dyDescent="0.15">
      <c r="G2409">
        <v>36946</v>
      </c>
      <c r="H2409" t="s">
        <v>3227</v>
      </c>
      <c r="I2409">
        <v>3</v>
      </c>
    </row>
    <row r="2410" spans="7:9" x14ac:dyDescent="0.15">
      <c r="G2410">
        <v>36960</v>
      </c>
      <c r="H2410" t="s">
        <v>3228</v>
      </c>
      <c r="I2410">
        <v>3</v>
      </c>
    </row>
    <row r="2411" spans="7:9" x14ac:dyDescent="0.15">
      <c r="G2411">
        <v>36974</v>
      </c>
      <c r="H2411" t="s">
        <v>3229</v>
      </c>
      <c r="I2411">
        <v>3</v>
      </c>
    </row>
    <row r="2412" spans="7:9" x14ac:dyDescent="0.15">
      <c r="G2412">
        <v>36988</v>
      </c>
      <c r="H2412" t="s">
        <v>3229</v>
      </c>
      <c r="I2412">
        <v>2</v>
      </c>
    </row>
    <row r="2413" spans="7:9" x14ac:dyDescent="0.15">
      <c r="G2413">
        <v>36995</v>
      </c>
      <c r="H2413" t="s">
        <v>3229</v>
      </c>
      <c r="I2413">
        <v>3</v>
      </c>
    </row>
    <row r="2414" spans="7:9" x14ac:dyDescent="0.15">
      <c r="G2414">
        <v>37002</v>
      </c>
      <c r="H2414" t="s">
        <v>3230</v>
      </c>
      <c r="I2414">
        <v>3</v>
      </c>
    </row>
    <row r="2415" spans="7:9" x14ac:dyDescent="0.15">
      <c r="G2415">
        <v>37016</v>
      </c>
      <c r="H2415" t="s">
        <v>3231</v>
      </c>
      <c r="I2415">
        <v>1</v>
      </c>
    </row>
    <row r="2416" spans="7:9" x14ac:dyDescent="0.15">
      <c r="G2416">
        <v>37030</v>
      </c>
      <c r="H2416" t="s">
        <v>3232</v>
      </c>
      <c r="I2416">
        <v>3</v>
      </c>
    </row>
    <row r="2417" spans="7:9" x14ac:dyDescent="0.15">
      <c r="G2417">
        <v>37044</v>
      </c>
      <c r="H2417" t="s">
        <v>3233</v>
      </c>
      <c r="I2417">
        <v>3</v>
      </c>
    </row>
    <row r="2418" spans="7:9" x14ac:dyDescent="0.15">
      <c r="G2418">
        <v>37058</v>
      </c>
      <c r="H2418" t="s">
        <v>3234</v>
      </c>
      <c r="I2418">
        <v>3</v>
      </c>
    </row>
    <row r="2419" spans="7:9" x14ac:dyDescent="0.15">
      <c r="G2419">
        <v>37086</v>
      </c>
      <c r="H2419" t="s">
        <v>3235</v>
      </c>
      <c r="I2419">
        <v>3</v>
      </c>
    </row>
    <row r="2420" spans="7:9" x14ac:dyDescent="0.15">
      <c r="G2420">
        <v>37142</v>
      </c>
      <c r="H2420" t="s">
        <v>3236</v>
      </c>
      <c r="I2420">
        <v>2</v>
      </c>
    </row>
    <row r="2421" spans="7:9" x14ac:dyDescent="0.15">
      <c r="G2421">
        <v>37156</v>
      </c>
      <c r="H2421" t="s">
        <v>3237</v>
      </c>
      <c r="I2421">
        <v>3</v>
      </c>
    </row>
    <row r="2422" spans="7:9" x14ac:dyDescent="0.15">
      <c r="G2422">
        <v>37165</v>
      </c>
      <c r="H2422" t="s">
        <v>3238</v>
      </c>
      <c r="I2422">
        <v>3</v>
      </c>
    </row>
    <row r="2423" spans="7:9" x14ac:dyDescent="0.15">
      <c r="G2423">
        <v>37170</v>
      </c>
      <c r="H2423" t="s">
        <v>3239</v>
      </c>
      <c r="I2423">
        <v>3</v>
      </c>
    </row>
    <row r="2424" spans="7:9" x14ac:dyDescent="0.15">
      <c r="G2424">
        <v>37175</v>
      </c>
      <c r="H2424" t="s">
        <v>3240</v>
      </c>
      <c r="I2424">
        <v>3</v>
      </c>
    </row>
    <row r="2425" spans="7:9" x14ac:dyDescent="0.15">
      <c r="G2425">
        <v>37184</v>
      </c>
      <c r="H2425" t="s">
        <v>3241</v>
      </c>
      <c r="I2425">
        <v>3</v>
      </c>
    </row>
    <row r="2426" spans="7:9" x14ac:dyDescent="0.15">
      <c r="G2426">
        <v>37212</v>
      </c>
      <c r="H2426" t="s">
        <v>3242</v>
      </c>
      <c r="I2426">
        <v>3</v>
      </c>
    </row>
    <row r="2427" spans="7:9" x14ac:dyDescent="0.15">
      <c r="G2427">
        <v>37226</v>
      </c>
      <c r="H2427" t="s">
        <v>3243</v>
      </c>
      <c r="I2427">
        <v>3</v>
      </c>
    </row>
    <row r="2428" spans="7:9" x14ac:dyDescent="0.15">
      <c r="G2428">
        <v>37240</v>
      </c>
      <c r="H2428" t="s">
        <v>3244</v>
      </c>
      <c r="I2428">
        <v>1</v>
      </c>
    </row>
    <row r="2429" spans="7:9" x14ac:dyDescent="0.15">
      <c r="G2429">
        <v>37254</v>
      </c>
      <c r="H2429" t="s">
        <v>3244</v>
      </c>
      <c r="I2429">
        <v>3</v>
      </c>
    </row>
    <row r="2430" spans="7:9" x14ac:dyDescent="0.15">
      <c r="G2430">
        <v>37268</v>
      </c>
      <c r="H2430" t="s">
        <v>3245</v>
      </c>
      <c r="I2430">
        <v>3</v>
      </c>
    </row>
    <row r="2431" spans="7:9" x14ac:dyDescent="0.15">
      <c r="G2431">
        <v>37282</v>
      </c>
      <c r="H2431" t="s">
        <v>3246</v>
      </c>
      <c r="I2431">
        <v>3</v>
      </c>
    </row>
    <row r="2432" spans="7:9" x14ac:dyDescent="0.15">
      <c r="G2432">
        <v>37310</v>
      </c>
      <c r="H2432" t="s">
        <v>3247</v>
      </c>
      <c r="I2432">
        <v>3</v>
      </c>
    </row>
    <row r="2433" spans="7:9" x14ac:dyDescent="0.15">
      <c r="G2433">
        <v>37326</v>
      </c>
      <c r="H2433" t="s">
        <v>3248</v>
      </c>
      <c r="I2433">
        <v>3</v>
      </c>
    </row>
    <row r="2434" spans="7:9" x14ac:dyDescent="0.15">
      <c r="G2434">
        <v>37327</v>
      </c>
      <c r="H2434" t="s">
        <v>3249</v>
      </c>
      <c r="I2434">
        <v>3</v>
      </c>
    </row>
    <row r="2435" spans="7:9" x14ac:dyDescent="0.15">
      <c r="G2435">
        <v>37330</v>
      </c>
      <c r="H2435" t="s">
        <v>3250</v>
      </c>
      <c r="I2435">
        <v>3</v>
      </c>
    </row>
    <row r="2436" spans="7:9" x14ac:dyDescent="0.15">
      <c r="G2436">
        <v>37334</v>
      </c>
      <c r="H2436" t="s">
        <v>3251</v>
      </c>
      <c r="I2436">
        <v>3</v>
      </c>
    </row>
    <row r="2437" spans="7:9" x14ac:dyDescent="0.15">
      <c r="G2437">
        <v>37352</v>
      </c>
      <c r="H2437" t="s">
        <v>3252</v>
      </c>
      <c r="I2437">
        <v>3</v>
      </c>
    </row>
    <row r="2438" spans="7:9" x14ac:dyDescent="0.15">
      <c r="G2438">
        <v>37370</v>
      </c>
      <c r="H2438" t="s">
        <v>3253</v>
      </c>
      <c r="I2438">
        <v>3</v>
      </c>
    </row>
    <row r="2439" spans="7:9" x14ac:dyDescent="0.15">
      <c r="G2439">
        <v>37380</v>
      </c>
      <c r="H2439" t="s">
        <v>3254</v>
      </c>
      <c r="I2439">
        <v>3</v>
      </c>
    </row>
    <row r="2440" spans="7:9" x14ac:dyDescent="0.15">
      <c r="G2440">
        <v>37400</v>
      </c>
      <c r="H2440" t="s">
        <v>3255</v>
      </c>
      <c r="I2440">
        <v>3</v>
      </c>
    </row>
    <row r="2441" spans="7:9" x14ac:dyDescent="0.15">
      <c r="G2441">
        <v>37408</v>
      </c>
      <c r="H2441" t="s">
        <v>3256</v>
      </c>
      <c r="I2441">
        <v>3</v>
      </c>
    </row>
    <row r="2442" spans="7:9" x14ac:dyDescent="0.15">
      <c r="G2442">
        <v>37422</v>
      </c>
      <c r="H2442" t="s">
        <v>3257</v>
      </c>
      <c r="I2442">
        <v>2</v>
      </c>
    </row>
    <row r="2443" spans="7:9" x14ac:dyDescent="0.15">
      <c r="G2443">
        <v>37450</v>
      </c>
      <c r="H2443" t="s">
        <v>3258</v>
      </c>
      <c r="I2443">
        <v>3</v>
      </c>
    </row>
    <row r="2444" spans="7:9" x14ac:dyDescent="0.15">
      <c r="G2444">
        <v>37464</v>
      </c>
      <c r="H2444" t="s">
        <v>3259</v>
      </c>
      <c r="I2444">
        <v>1</v>
      </c>
    </row>
    <row r="2445" spans="7:9" x14ac:dyDescent="0.15">
      <c r="G2445">
        <v>37470</v>
      </c>
      <c r="H2445" t="s">
        <v>3260</v>
      </c>
      <c r="I2445">
        <v>3</v>
      </c>
    </row>
    <row r="2446" spans="7:9" x14ac:dyDescent="0.15">
      <c r="G2446">
        <v>37478</v>
      </c>
      <c r="H2446" t="s">
        <v>3261</v>
      </c>
      <c r="I2446">
        <v>3</v>
      </c>
    </row>
    <row r="2447" spans="7:9" x14ac:dyDescent="0.15">
      <c r="G2447">
        <v>37492</v>
      </c>
      <c r="H2447" t="s">
        <v>3262</v>
      </c>
      <c r="I2447">
        <v>3</v>
      </c>
    </row>
    <row r="2448" spans="7:9" x14ac:dyDescent="0.15">
      <c r="G2448">
        <v>37506</v>
      </c>
      <c r="H2448" t="s">
        <v>3263</v>
      </c>
      <c r="I2448">
        <v>3</v>
      </c>
    </row>
    <row r="2449" spans="7:9" x14ac:dyDescent="0.15">
      <c r="G2449">
        <v>37520</v>
      </c>
      <c r="H2449" t="s">
        <v>3264</v>
      </c>
      <c r="I2449">
        <v>3</v>
      </c>
    </row>
    <row r="2450" spans="7:9" x14ac:dyDescent="0.15">
      <c r="G2450">
        <v>37534</v>
      </c>
      <c r="H2450" t="s">
        <v>3265</v>
      </c>
      <c r="I2450">
        <v>3</v>
      </c>
    </row>
    <row r="2451" spans="7:9" x14ac:dyDescent="0.15">
      <c r="G2451">
        <v>37548</v>
      </c>
      <c r="H2451" t="s">
        <v>3266</v>
      </c>
      <c r="I2451">
        <v>3</v>
      </c>
    </row>
    <row r="2452" spans="7:9" x14ac:dyDescent="0.15">
      <c r="G2452">
        <v>37576</v>
      </c>
      <c r="H2452" t="s">
        <v>3267</v>
      </c>
      <c r="I2452">
        <v>3</v>
      </c>
    </row>
    <row r="2453" spans="7:9" x14ac:dyDescent="0.15">
      <c r="G2453">
        <v>37590</v>
      </c>
      <c r="H2453" t="s">
        <v>3268</v>
      </c>
      <c r="I2453">
        <v>3</v>
      </c>
    </row>
    <row r="2454" spans="7:9" x14ac:dyDescent="0.15">
      <c r="G2454">
        <v>37604</v>
      </c>
      <c r="H2454" t="s">
        <v>3269</v>
      </c>
      <c r="I2454">
        <v>2</v>
      </c>
    </row>
    <row r="2455" spans="7:9" x14ac:dyDescent="0.15">
      <c r="G2455">
        <v>37618</v>
      </c>
      <c r="H2455" t="s">
        <v>3270</v>
      </c>
      <c r="I2455">
        <v>3</v>
      </c>
    </row>
    <row r="2456" spans="7:9" x14ac:dyDescent="0.15">
      <c r="G2456">
        <v>37632</v>
      </c>
      <c r="H2456" t="s">
        <v>3271</v>
      </c>
      <c r="I2456">
        <v>3</v>
      </c>
    </row>
    <row r="2457" spans="7:9" x14ac:dyDescent="0.15">
      <c r="G2457">
        <v>37646</v>
      </c>
      <c r="H2457" t="s">
        <v>3272</v>
      </c>
      <c r="I2457">
        <v>3</v>
      </c>
    </row>
    <row r="2458" spans="7:9" x14ac:dyDescent="0.15">
      <c r="G2458">
        <v>37660</v>
      </c>
      <c r="H2458" t="s">
        <v>3272</v>
      </c>
      <c r="I2458">
        <v>3</v>
      </c>
    </row>
    <row r="2459" spans="7:9" x14ac:dyDescent="0.15">
      <c r="G2459">
        <v>37674</v>
      </c>
      <c r="H2459" t="s">
        <v>3272</v>
      </c>
      <c r="I2459">
        <v>3</v>
      </c>
    </row>
    <row r="2460" spans="7:9" x14ac:dyDescent="0.15">
      <c r="G2460">
        <v>37688</v>
      </c>
      <c r="H2460" t="s">
        <v>3272</v>
      </c>
      <c r="I2460">
        <v>3</v>
      </c>
    </row>
    <row r="2461" spans="7:9" x14ac:dyDescent="0.15">
      <c r="G2461">
        <v>37702</v>
      </c>
      <c r="H2461" t="s">
        <v>3272</v>
      </c>
      <c r="I2461">
        <v>3</v>
      </c>
    </row>
    <row r="2462" spans="7:9" x14ac:dyDescent="0.15">
      <c r="G2462">
        <v>37716</v>
      </c>
      <c r="H2462" t="s">
        <v>3272</v>
      </c>
      <c r="I2462">
        <v>3</v>
      </c>
    </row>
    <row r="2463" spans="7:9" x14ac:dyDescent="0.15">
      <c r="G2463">
        <v>37730</v>
      </c>
      <c r="H2463" t="s">
        <v>3272</v>
      </c>
      <c r="I2463">
        <v>3</v>
      </c>
    </row>
    <row r="2464" spans="7:9" x14ac:dyDescent="0.15">
      <c r="G2464">
        <v>37744</v>
      </c>
      <c r="H2464" t="s">
        <v>3272</v>
      </c>
      <c r="I2464">
        <v>3</v>
      </c>
    </row>
    <row r="2465" spans="7:9" x14ac:dyDescent="0.15">
      <c r="G2465">
        <v>37758</v>
      </c>
      <c r="H2465" t="s">
        <v>3272</v>
      </c>
      <c r="I2465">
        <v>3</v>
      </c>
    </row>
    <row r="2466" spans="7:9" x14ac:dyDescent="0.15">
      <c r="G2466">
        <v>37772</v>
      </c>
      <c r="H2466" t="s">
        <v>3272</v>
      </c>
      <c r="I2466">
        <v>3</v>
      </c>
    </row>
    <row r="2467" spans="7:9" x14ac:dyDescent="0.15">
      <c r="G2467">
        <v>37786</v>
      </c>
      <c r="H2467" t="s">
        <v>3272</v>
      </c>
      <c r="I2467">
        <v>3</v>
      </c>
    </row>
    <row r="2468" spans="7:9" x14ac:dyDescent="0.15">
      <c r="G2468">
        <v>37800</v>
      </c>
      <c r="H2468" t="s">
        <v>3272</v>
      </c>
      <c r="I2468">
        <v>3</v>
      </c>
    </row>
    <row r="2469" spans="7:9" x14ac:dyDescent="0.15">
      <c r="G2469">
        <v>37814</v>
      </c>
      <c r="H2469" t="s">
        <v>3272</v>
      </c>
      <c r="I2469">
        <v>3</v>
      </c>
    </row>
    <row r="2470" spans="7:9" x14ac:dyDescent="0.15">
      <c r="G2470">
        <v>37828</v>
      </c>
      <c r="H2470" t="s">
        <v>3272</v>
      </c>
      <c r="I2470">
        <v>3</v>
      </c>
    </row>
    <row r="2471" spans="7:9" x14ac:dyDescent="0.15">
      <c r="G2471">
        <v>37842</v>
      </c>
      <c r="H2471" t="s">
        <v>977</v>
      </c>
      <c r="I2471">
        <v>1</v>
      </c>
    </row>
    <row r="2472" spans="7:9" x14ac:dyDescent="0.15">
      <c r="G2472">
        <v>37856</v>
      </c>
      <c r="H2472" t="s">
        <v>3272</v>
      </c>
      <c r="I2472">
        <v>3</v>
      </c>
    </row>
    <row r="2473" spans="7:9" x14ac:dyDescent="0.15">
      <c r="G2473">
        <v>37870</v>
      </c>
      <c r="H2473" t="s">
        <v>3272</v>
      </c>
      <c r="I2473">
        <v>3</v>
      </c>
    </row>
    <row r="2474" spans="7:9" x14ac:dyDescent="0.15">
      <c r="G2474">
        <v>37884</v>
      </c>
      <c r="H2474" t="s">
        <v>3272</v>
      </c>
      <c r="I2474">
        <v>3</v>
      </c>
    </row>
    <row r="2475" spans="7:9" x14ac:dyDescent="0.15">
      <c r="G2475">
        <v>37898</v>
      </c>
      <c r="H2475" t="s">
        <v>3272</v>
      </c>
      <c r="I2475">
        <v>3</v>
      </c>
    </row>
    <row r="2476" spans="7:9" x14ac:dyDescent="0.15">
      <c r="G2476">
        <v>37912</v>
      </c>
      <c r="H2476" t="s">
        <v>3272</v>
      </c>
      <c r="I2476">
        <v>3</v>
      </c>
    </row>
    <row r="2477" spans="7:9" x14ac:dyDescent="0.15">
      <c r="G2477">
        <v>37926</v>
      </c>
      <c r="H2477" t="s">
        <v>3272</v>
      </c>
      <c r="I2477">
        <v>3</v>
      </c>
    </row>
    <row r="2478" spans="7:9" x14ac:dyDescent="0.15">
      <c r="G2478">
        <v>37940</v>
      </c>
      <c r="H2478" t="s">
        <v>3272</v>
      </c>
      <c r="I2478">
        <v>3</v>
      </c>
    </row>
    <row r="2479" spans="7:9" x14ac:dyDescent="0.15">
      <c r="G2479">
        <v>37954</v>
      </c>
      <c r="H2479" t="s">
        <v>3272</v>
      </c>
      <c r="I2479">
        <v>3</v>
      </c>
    </row>
    <row r="2480" spans="7:9" x14ac:dyDescent="0.15">
      <c r="G2480">
        <v>37968</v>
      </c>
      <c r="H2480" t="s">
        <v>3272</v>
      </c>
      <c r="I2480">
        <v>3</v>
      </c>
    </row>
    <row r="2481" spans="7:9" x14ac:dyDescent="0.15">
      <c r="G2481">
        <v>37982</v>
      </c>
      <c r="H2481" t="s">
        <v>3272</v>
      </c>
      <c r="I2481">
        <v>3</v>
      </c>
    </row>
    <row r="2482" spans="7:9" x14ac:dyDescent="0.15">
      <c r="G2482">
        <v>37996</v>
      </c>
      <c r="H2482" t="s">
        <v>3272</v>
      </c>
      <c r="I2482">
        <v>3</v>
      </c>
    </row>
    <row r="2483" spans="7:9" x14ac:dyDescent="0.15">
      <c r="G2483">
        <v>38010</v>
      </c>
      <c r="H2483" t="s">
        <v>3272</v>
      </c>
      <c r="I2483">
        <v>3</v>
      </c>
    </row>
    <row r="2484" spans="7:9" x14ac:dyDescent="0.15">
      <c r="G2484">
        <v>38024</v>
      </c>
      <c r="H2484" t="s">
        <v>3272</v>
      </c>
      <c r="I2484">
        <v>3</v>
      </c>
    </row>
    <row r="2485" spans="7:9" x14ac:dyDescent="0.15">
      <c r="G2485">
        <v>38038</v>
      </c>
      <c r="H2485" t="s">
        <v>3272</v>
      </c>
      <c r="I2485">
        <v>3</v>
      </c>
    </row>
    <row r="2486" spans="7:9" x14ac:dyDescent="0.15">
      <c r="G2486">
        <v>38052</v>
      </c>
      <c r="H2486" t="s">
        <v>3272</v>
      </c>
      <c r="I2486">
        <v>3</v>
      </c>
    </row>
    <row r="2487" spans="7:9" x14ac:dyDescent="0.15">
      <c r="G2487">
        <v>38066</v>
      </c>
      <c r="H2487" t="s">
        <v>3272</v>
      </c>
      <c r="I2487">
        <v>3</v>
      </c>
    </row>
    <row r="2488" spans="7:9" x14ac:dyDescent="0.15">
      <c r="G2488">
        <v>38080</v>
      </c>
      <c r="H2488" t="s">
        <v>3272</v>
      </c>
      <c r="I2488">
        <v>3</v>
      </c>
    </row>
    <row r="2489" spans="7:9" x14ac:dyDescent="0.15">
      <c r="G2489">
        <v>38094</v>
      </c>
      <c r="H2489" t="s">
        <v>3272</v>
      </c>
      <c r="I2489">
        <v>3</v>
      </c>
    </row>
    <row r="2490" spans="7:9" x14ac:dyDescent="0.15">
      <c r="G2490">
        <v>38108</v>
      </c>
      <c r="H2490" t="s">
        <v>3272</v>
      </c>
      <c r="I2490">
        <v>3</v>
      </c>
    </row>
    <row r="2491" spans="7:9" x14ac:dyDescent="0.15">
      <c r="G2491">
        <v>38122</v>
      </c>
      <c r="H2491" t="s">
        <v>3272</v>
      </c>
      <c r="I2491">
        <v>3</v>
      </c>
    </row>
    <row r="2492" spans="7:9" x14ac:dyDescent="0.15">
      <c r="G2492">
        <v>38136</v>
      </c>
      <c r="H2492" t="s">
        <v>3272</v>
      </c>
      <c r="I2492">
        <v>3</v>
      </c>
    </row>
    <row r="2493" spans="7:9" x14ac:dyDescent="0.15">
      <c r="G2493">
        <v>38150</v>
      </c>
      <c r="H2493" t="s">
        <v>977</v>
      </c>
      <c r="I2493">
        <v>3</v>
      </c>
    </row>
    <row r="2494" spans="7:9" x14ac:dyDescent="0.15">
      <c r="G2494">
        <v>38164</v>
      </c>
      <c r="H2494" t="s">
        <v>3272</v>
      </c>
      <c r="I2494">
        <v>3</v>
      </c>
    </row>
    <row r="2495" spans="7:9" x14ac:dyDescent="0.15">
      <c r="G2495">
        <v>38178</v>
      </c>
      <c r="H2495" t="s">
        <v>3272</v>
      </c>
      <c r="I2495">
        <v>3</v>
      </c>
    </row>
    <row r="2496" spans="7:9" x14ac:dyDescent="0.15">
      <c r="G2496">
        <v>38192</v>
      </c>
      <c r="H2496" t="s">
        <v>3273</v>
      </c>
      <c r="I2496">
        <v>2</v>
      </c>
    </row>
    <row r="2497" spans="7:9" x14ac:dyDescent="0.15">
      <c r="G2497">
        <v>38220</v>
      </c>
      <c r="H2497" t="s">
        <v>3274</v>
      </c>
      <c r="I2497">
        <v>2</v>
      </c>
    </row>
    <row r="2498" spans="7:9" x14ac:dyDescent="0.15">
      <c r="G2498">
        <v>38234</v>
      </c>
      <c r="H2498" t="s">
        <v>3275</v>
      </c>
      <c r="I2498">
        <v>3</v>
      </c>
    </row>
    <row r="2499" spans="7:9" x14ac:dyDescent="0.15">
      <c r="G2499">
        <v>38248</v>
      </c>
      <c r="H2499" t="s">
        <v>3275</v>
      </c>
      <c r="I2499">
        <v>3</v>
      </c>
    </row>
    <row r="2500" spans="7:9" x14ac:dyDescent="0.15">
      <c r="G2500">
        <v>38270</v>
      </c>
      <c r="H2500" t="s">
        <v>3276</v>
      </c>
      <c r="I2500">
        <v>3</v>
      </c>
    </row>
    <row r="2501" spans="7:9" x14ac:dyDescent="0.15">
      <c r="G2501">
        <v>38276</v>
      </c>
      <c r="H2501" t="s">
        <v>3277</v>
      </c>
      <c r="I2501">
        <v>3</v>
      </c>
    </row>
    <row r="2502" spans="7:9" x14ac:dyDescent="0.15">
      <c r="G2502">
        <v>38290</v>
      </c>
      <c r="H2502" t="s">
        <v>3278</v>
      </c>
      <c r="I2502">
        <v>3</v>
      </c>
    </row>
    <row r="2503" spans="7:9" x14ac:dyDescent="0.15">
      <c r="G2503">
        <v>38304</v>
      </c>
      <c r="H2503" t="s">
        <v>3278</v>
      </c>
      <c r="I2503">
        <v>2</v>
      </c>
    </row>
    <row r="2504" spans="7:9" x14ac:dyDescent="0.15">
      <c r="G2504">
        <v>38318</v>
      </c>
      <c r="H2504" t="s">
        <v>3278</v>
      </c>
      <c r="I2504">
        <v>3</v>
      </c>
    </row>
    <row r="2505" spans="7:9" x14ac:dyDescent="0.15">
      <c r="G2505">
        <v>38346</v>
      </c>
      <c r="H2505" t="s">
        <v>3279</v>
      </c>
      <c r="I2505">
        <v>3</v>
      </c>
    </row>
    <row r="2506" spans="7:9" x14ac:dyDescent="0.15">
      <c r="G2506">
        <v>38360</v>
      </c>
      <c r="H2506" t="s">
        <v>3280</v>
      </c>
      <c r="I2506">
        <v>3</v>
      </c>
    </row>
    <row r="2507" spans="7:9" x14ac:dyDescent="0.15">
      <c r="G2507">
        <v>38374</v>
      </c>
      <c r="H2507" t="s">
        <v>3281</v>
      </c>
      <c r="I2507">
        <v>2</v>
      </c>
    </row>
    <row r="2508" spans="7:9" x14ac:dyDescent="0.15">
      <c r="G2508">
        <v>38388</v>
      </c>
      <c r="H2508" t="s">
        <v>3282</v>
      </c>
      <c r="I2508">
        <v>3</v>
      </c>
    </row>
    <row r="2509" spans="7:9" x14ac:dyDescent="0.15">
      <c r="G2509">
        <v>38402</v>
      </c>
      <c r="H2509" t="s">
        <v>3283</v>
      </c>
      <c r="I2509">
        <v>3</v>
      </c>
    </row>
    <row r="2510" spans="7:9" x14ac:dyDescent="0.15">
      <c r="G2510">
        <v>38416</v>
      </c>
      <c r="H2510" t="s">
        <v>3284</v>
      </c>
      <c r="I2510">
        <v>3</v>
      </c>
    </row>
    <row r="2511" spans="7:9" x14ac:dyDescent="0.15">
      <c r="G2511">
        <v>38425</v>
      </c>
      <c r="H2511" t="s">
        <v>3285</v>
      </c>
      <c r="I2511">
        <v>3</v>
      </c>
    </row>
    <row r="2512" spans="7:9" x14ac:dyDescent="0.15">
      <c r="G2512">
        <v>38472</v>
      </c>
      <c r="H2512" t="s">
        <v>3286</v>
      </c>
      <c r="I2512">
        <v>3</v>
      </c>
    </row>
    <row r="2513" spans="7:9" x14ac:dyDescent="0.15">
      <c r="G2513">
        <v>38486</v>
      </c>
      <c r="H2513" t="s">
        <v>3287</v>
      </c>
      <c r="I2513">
        <v>3</v>
      </c>
    </row>
    <row r="2514" spans="7:9" x14ac:dyDescent="0.15">
      <c r="G2514">
        <v>38500</v>
      </c>
      <c r="H2514" t="s">
        <v>1124</v>
      </c>
      <c r="I2514">
        <v>2</v>
      </c>
    </row>
    <row r="2515" spans="7:9" x14ac:dyDescent="0.15">
      <c r="G2515">
        <v>38514</v>
      </c>
      <c r="H2515" t="s">
        <v>3287</v>
      </c>
      <c r="I2515">
        <v>3</v>
      </c>
    </row>
    <row r="2516" spans="7:9" x14ac:dyDescent="0.15">
      <c r="G2516">
        <v>38528</v>
      </c>
      <c r="H2516" t="s">
        <v>3287</v>
      </c>
      <c r="I2516">
        <v>3</v>
      </c>
    </row>
    <row r="2517" spans="7:9" x14ac:dyDescent="0.15">
      <c r="G2517">
        <v>38542</v>
      </c>
      <c r="H2517" t="s">
        <v>3287</v>
      </c>
      <c r="I2517">
        <v>3</v>
      </c>
    </row>
    <row r="2518" spans="7:9" x14ac:dyDescent="0.15">
      <c r="G2518">
        <v>38556</v>
      </c>
      <c r="H2518" t="s">
        <v>3287</v>
      </c>
      <c r="I2518">
        <v>3</v>
      </c>
    </row>
    <row r="2519" spans="7:9" x14ac:dyDescent="0.15">
      <c r="G2519">
        <v>38570</v>
      </c>
      <c r="H2519" t="s">
        <v>3287</v>
      </c>
      <c r="I2519">
        <v>3</v>
      </c>
    </row>
    <row r="2520" spans="7:9" x14ac:dyDescent="0.15">
      <c r="G2520">
        <v>38584</v>
      </c>
      <c r="H2520" t="s">
        <v>1124</v>
      </c>
      <c r="I2520">
        <v>3</v>
      </c>
    </row>
    <row r="2521" spans="7:9" x14ac:dyDescent="0.15">
      <c r="G2521">
        <v>38598</v>
      </c>
      <c r="H2521" t="s">
        <v>3287</v>
      </c>
      <c r="I2521">
        <v>3</v>
      </c>
    </row>
    <row r="2522" spans="7:9" x14ac:dyDescent="0.15">
      <c r="G2522">
        <v>38612</v>
      </c>
      <c r="H2522" t="s">
        <v>3287</v>
      </c>
      <c r="I2522">
        <v>3</v>
      </c>
    </row>
    <row r="2523" spans="7:9" x14ac:dyDescent="0.15">
      <c r="G2523">
        <v>38626</v>
      </c>
      <c r="H2523" t="s">
        <v>3287</v>
      </c>
      <c r="I2523">
        <v>3</v>
      </c>
    </row>
    <row r="2524" spans="7:9" x14ac:dyDescent="0.15">
      <c r="G2524">
        <v>38640</v>
      </c>
      <c r="H2524" t="s">
        <v>3287</v>
      </c>
      <c r="I2524">
        <v>3</v>
      </c>
    </row>
    <row r="2525" spans="7:9" x14ac:dyDescent="0.15">
      <c r="G2525">
        <v>38654</v>
      </c>
      <c r="H2525" t="s">
        <v>3287</v>
      </c>
      <c r="I2525">
        <v>3</v>
      </c>
    </row>
    <row r="2526" spans="7:9" x14ac:dyDescent="0.15">
      <c r="G2526">
        <v>38668</v>
      </c>
      <c r="H2526" t="s">
        <v>3287</v>
      </c>
      <c r="I2526">
        <v>3</v>
      </c>
    </row>
    <row r="2527" spans="7:9" x14ac:dyDescent="0.15">
      <c r="G2527">
        <v>38682</v>
      </c>
      <c r="H2527" t="s">
        <v>3287</v>
      </c>
      <c r="I2527">
        <v>3</v>
      </c>
    </row>
    <row r="2528" spans="7:9" x14ac:dyDescent="0.15">
      <c r="G2528">
        <v>38696</v>
      </c>
      <c r="H2528" t="s">
        <v>3287</v>
      </c>
      <c r="I2528">
        <v>3</v>
      </c>
    </row>
    <row r="2529" spans="7:9" x14ac:dyDescent="0.15">
      <c r="G2529">
        <v>38724</v>
      </c>
      <c r="H2529" t="s">
        <v>3287</v>
      </c>
      <c r="I2529">
        <v>3</v>
      </c>
    </row>
    <row r="2530" spans="7:9" x14ac:dyDescent="0.15">
      <c r="G2530">
        <v>38738</v>
      </c>
      <c r="H2530" t="s">
        <v>3287</v>
      </c>
      <c r="I2530">
        <v>3</v>
      </c>
    </row>
    <row r="2531" spans="7:9" x14ac:dyDescent="0.15">
      <c r="G2531">
        <v>38752</v>
      </c>
      <c r="H2531" t="s">
        <v>3287</v>
      </c>
      <c r="I2531">
        <v>3</v>
      </c>
    </row>
    <row r="2532" spans="7:9" x14ac:dyDescent="0.15">
      <c r="G2532">
        <v>38766</v>
      </c>
      <c r="H2532" t="s">
        <v>3287</v>
      </c>
      <c r="I2532">
        <v>3</v>
      </c>
    </row>
    <row r="2533" spans="7:9" x14ac:dyDescent="0.15">
      <c r="G2533">
        <v>38780</v>
      </c>
      <c r="H2533" t="s">
        <v>3287</v>
      </c>
      <c r="I2533">
        <v>3</v>
      </c>
    </row>
    <row r="2534" spans="7:9" x14ac:dyDescent="0.15">
      <c r="G2534">
        <v>38794</v>
      </c>
      <c r="H2534" t="s">
        <v>3287</v>
      </c>
      <c r="I2534">
        <v>3</v>
      </c>
    </row>
    <row r="2535" spans="7:9" x14ac:dyDescent="0.15">
      <c r="G2535">
        <v>38808</v>
      </c>
      <c r="H2535" t="s">
        <v>3287</v>
      </c>
      <c r="I2535">
        <v>3</v>
      </c>
    </row>
    <row r="2536" spans="7:9" x14ac:dyDescent="0.15">
      <c r="G2536">
        <v>38815</v>
      </c>
      <c r="H2536" t="s">
        <v>3287</v>
      </c>
      <c r="I2536">
        <v>3</v>
      </c>
    </row>
    <row r="2537" spans="7:9" x14ac:dyDescent="0.15">
      <c r="G2537">
        <v>38836</v>
      </c>
      <c r="H2537" t="s">
        <v>3287</v>
      </c>
      <c r="I2537">
        <v>3</v>
      </c>
    </row>
    <row r="2538" spans="7:9" x14ac:dyDescent="0.15">
      <c r="G2538">
        <v>38850</v>
      </c>
      <c r="H2538" t="s">
        <v>1124</v>
      </c>
      <c r="I2538">
        <v>3</v>
      </c>
    </row>
    <row r="2539" spans="7:9" x14ac:dyDescent="0.15">
      <c r="G2539">
        <v>38864</v>
      </c>
      <c r="H2539" t="s">
        <v>3287</v>
      </c>
      <c r="I2539">
        <v>3</v>
      </c>
    </row>
    <row r="2540" spans="7:9" x14ac:dyDescent="0.15">
      <c r="G2540">
        <v>38878</v>
      </c>
      <c r="H2540" t="s">
        <v>3288</v>
      </c>
      <c r="I2540">
        <v>3</v>
      </c>
    </row>
    <row r="2541" spans="7:9" x14ac:dyDescent="0.15">
      <c r="G2541">
        <v>38920</v>
      </c>
      <c r="H2541" t="s">
        <v>3289</v>
      </c>
      <c r="I2541">
        <v>2</v>
      </c>
    </row>
    <row r="2542" spans="7:9" x14ac:dyDescent="0.15">
      <c r="G2542">
        <v>38934</v>
      </c>
      <c r="H2542" t="s">
        <v>3290</v>
      </c>
      <c r="I2542">
        <v>3</v>
      </c>
    </row>
    <row r="2543" spans="7:9" x14ac:dyDescent="0.15">
      <c r="G2543">
        <v>38948</v>
      </c>
      <c r="H2543" t="s">
        <v>3291</v>
      </c>
      <c r="I2543">
        <v>2</v>
      </c>
    </row>
    <row r="2544" spans="7:9" x14ac:dyDescent="0.15">
      <c r="G2544">
        <v>38976</v>
      </c>
      <c r="H2544" t="s">
        <v>3292</v>
      </c>
      <c r="I2544">
        <v>3</v>
      </c>
    </row>
    <row r="2545" spans="7:9" x14ac:dyDescent="0.15">
      <c r="G2545">
        <v>38990</v>
      </c>
      <c r="H2545" t="s">
        <v>3292</v>
      </c>
      <c r="I2545">
        <v>3</v>
      </c>
    </row>
    <row r="2546" spans="7:9" x14ac:dyDescent="0.15">
      <c r="G2546">
        <v>39018</v>
      </c>
      <c r="H2546" t="s">
        <v>3293</v>
      </c>
      <c r="I2546">
        <v>3</v>
      </c>
    </row>
    <row r="2547" spans="7:9" x14ac:dyDescent="0.15">
      <c r="G2547">
        <v>39025</v>
      </c>
      <c r="H2547" t="s">
        <v>3293</v>
      </c>
      <c r="I2547">
        <v>3</v>
      </c>
    </row>
    <row r="2548" spans="7:9" x14ac:dyDescent="0.15">
      <c r="G2548">
        <v>39032</v>
      </c>
      <c r="H2548" t="s">
        <v>3294</v>
      </c>
      <c r="I2548">
        <v>3</v>
      </c>
    </row>
    <row r="2549" spans="7:9" x14ac:dyDescent="0.15">
      <c r="G2549">
        <v>39046</v>
      </c>
      <c r="H2549" t="s">
        <v>3295</v>
      </c>
      <c r="I2549">
        <v>3</v>
      </c>
    </row>
    <row r="2550" spans="7:9" x14ac:dyDescent="0.15">
      <c r="G2550">
        <v>39060</v>
      </c>
      <c r="H2550" t="s">
        <v>3296</v>
      </c>
      <c r="I2550">
        <v>2</v>
      </c>
    </row>
    <row r="2551" spans="7:9" x14ac:dyDescent="0.15">
      <c r="G2551">
        <v>39074</v>
      </c>
      <c r="H2551" t="s">
        <v>3297</v>
      </c>
      <c r="I2551">
        <v>2</v>
      </c>
    </row>
    <row r="2552" spans="7:9" x14ac:dyDescent="0.15">
      <c r="G2552">
        <v>39088</v>
      </c>
      <c r="H2552" t="s">
        <v>3298</v>
      </c>
      <c r="I2552">
        <v>3</v>
      </c>
    </row>
    <row r="2553" spans="7:9" x14ac:dyDescent="0.15">
      <c r="G2553">
        <v>39102</v>
      </c>
      <c r="H2553" t="s">
        <v>3299</v>
      </c>
      <c r="I2553">
        <v>3</v>
      </c>
    </row>
    <row r="2554" spans="7:9" x14ac:dyDescent="0.15">
      <c r="G2554">
        <v>39116</v>
      </c>
      <c r="H2554" t="s">
        <v>3300</v>
      </c>
      <c r="I2554">
        <v>3</v>
      </c>
    </row>
    <row r="2555" spans="7:9" x14ac:dyDescent="0.15">
      <c r="G2555">
        <v>39130</v>
      </c>
      <c r="H2555" t="s">
        <v>3301</v>
      </c>
      <c r="I2555">
        <v>2</v>
      </c>
    </row>
    <row r="2556" spans="7:9" x14ac:dyDescent="0.15">
      <c r="G2556">
        <v>39135</v>
      </c>
      <c r="H2556" t="s">
        <v>3302</v>
      </c>
      <c r="I2556">
        <v>3</v>
      </c>
    </row>
    <row r="2557" spans="7:9" x14ac:dyDescent="0.15">
      <c r="G2557">
        <v>39144</v>
      </c>
      <c r="H2557" t="s">
        <v>3303</v>
      </c>
      <c r="I2557">
        <v>3</v>
      </c>
    </row>
    <row r="2558" spans="7:9" x14ac:dyDescent="0.15">
      <c r="G2558">
        <v>39158</v>
      </c>
      <c r="H2558" t="s">
        <v>3304</v>
      </c>
      <c r="I2558">
        <v>3</v>
      </c>
    </row>
    <row r="2559" spans="7:9" x14ac:dyDescent="0.15">
      <c r="G2559">
        <v>39172</v>
      </c>
      <c r="H2559" t="s">
        <v>3305</v>
      </c>
      <c r="I2559">
        <v>2</v>
      </c>
    </row>
    <row r="2560" spans="7:9" x14ac:dyDescent="0.15">
      <c r="G2560">
        <v>39195</v>
      </c>
      <c r="H2560" t="s">
        <v>3306</v>
      </c>
      <c r="I2560">
        <v>3</v>
      </c>
    </row>
    <row r="2561" spans="7:9" x14ac:dyDescent="0.15">
      <c r="G2561">
        <v>39200</v>
      </c>
      <c r="H2561" t="s">
        <v>3307</v>
      </c>
      <c r="I2561">
        <v>3</v>
      </c>
    </row>
    <row r="2562" spans="7:9" x14ac:dyDescent="0.15">
      <c r="G2562">
        <v>39205</v>
      </c>
      <c r="H2562" t="s">
        <v>3308</v>
      </c>
      <c r="I2562">
        <v>3</v>
      </c>
    </row>
    <row r="2563" spans="7:9" x14ac:dyDescent="0.15">
      <c r="G2563">
        <v>39228</v>
      </c>
      <c r="H2563" t="s">
        <v>3309</v>
      </c>
      <c r="I2563">
        <v>3</v>
      </c>
    </row>
    <row r="2564" spans="7:9" x14ac:dyDescent="0.15">
      <c r="G2564">
        <v>39232</v>
      </c>
      <c r="H2564" t="s">
        <v>3310</v>
      </c>
      <c r="I2564">
        <v>3</v>
      </c>
    </row>
    <row r="2565" spans="7:9" x14ac:dyDescent="0.15">
      <c r="G2565">
        <v>39270</v>
      </c>
      <c r="H2565" t="s">
        <v>3311</v>
      </c>
      <c r="I2565">
        <v>3</v>
      </c>
    </row>
    <row r="2566" spans="7:9" x14ac:dyDescent="0.15">
      <c r="G2566">
        <v>39284</v>
      </c>
      <c r="H2566" t="s">
        <v>3312</v>
      </c>
      <c r="I2566">
        <v>3</v>
      </c>
    </row>
    <row r="2567" spans="7:9" x14ac:dyDescent="0.15">
      <c r="G2567">
        <v>39298</v>
      </c>
      <c r="H2567" t="s">
        <v>3313</v>
      </c>
      <c r="I2567">
        <v>3</v>
      </c>
    </row>
    <row r="2568" spans="7:9" x14ac:dyDescent="0.15">
      <c r="G2568">
        <v>39312</v>
      </c>
      <c r="H2568" t="s">
        <v>3312</v>
      </c>
      <c r="I2568">
        <v>3</v>
      </c>
    </row>
    <row r="2569" spans="7:9" x14ac:dyDescent="0.15">
      <c r="G2569">
        <v>39326</v>
      </c>
      <c r="H2569" t="s">
        <v>3314</v>
      </c>
      <c r="I2569">
        <v>3</v>
      </c>
    </row>
    <row r="2570" spans="7:9" x14ac:dyDescent="0.15">
      <c r="G2570">
        <v>39340</v>
      </c>
      <c r="H2570" t="s">
        <v>3315</v>
      </c>
      <c r="I2570">
        <v>2</v>
      </c>
    </row>
    <row r="2571" spans="7:9" x14ac:dyDescent="0.15">
      <c r="G2571">
        <v>39354</v>
      </c>
      <c r="H2571" t="s">
        <v>3316</v>
      </c>
      <c r="I2571">
        <v>3</v>
      </c>
    </row>
    <row r="2572" spans="7:9" x14ac:dyDescent="0.15">
      <c r="G2572">
        <v>39375</v>
      </c>
      <c r="H2572" t="s">
        <v>1119</v>
      </c>
      <c r="I2572">
        <v>3</v>
      </c>
    </row>
    <row r="2573" spans="7:9" x14ac:dyDescent="0.15">
      <c r="G2573">
        <v>39382</v>
      </c>
      <c r="H2573" t="s">
        <v>3317</v>
      </c>
      <c r="I2573">
        <v>3</v>
      </c>
    </row>
    <row r="2574" spans="7:9" x14ac:dyDescent="0.15">
      <c r="G2574">
        <v>39396</v>
      </c>
      <c r="H2574" t="s">
        <v>3317</v>
      </c>
      <c r="I2574">
        <v>3</v>
      </c>
    </row>
    <row r="2575" spans="7:9" x14ac:dyDescent="0.15">
      <c r="G2575">
        <v>39400</v>
      </c>
      <c r="H2575" t="s">
        <v>3318</v>
      </c>
      <c r="I2575">
        <v>3</v>
      </c>
    </row>
    <row r="2576" spans="7:9" x14ac:dyDescent="0.15">
      <c r="G2576">
        <v>39403</v>
      </c>
      <c r="H2576" t="s">
        <v>3319</v>
      </c>
      <c r="I2576">
        <v>3</v>
      </c>
    </row>
    <row r="2577" spans="7:9" x14ac:dyDescent="0.15">
      <c r="G2577">
        <v>39407</v>
      </c>
      <c r="H2577" t="s">
        <v>3320</v>
      </c>
      <c r="I2577">
        <v>3</v>
      </c>
    </row>
    <row r="2578" spans="7:9" x14ac:dyDescent="0.15">
      <c r="G2578">
        <v>39410</v>
      </c>
      <c r="H2578" t="s">
        <v>3320</v>
      </c>
      <c r="I2578">
        <v>3</v>
      </c>
    </row>
    <row r="2579" spans="7:9" x14ac:dyDescent="0.15">
      <c r="G2579">
        <v>39415</v>
      </c>
      <c r="H2579" t="s">
        <v>3321</v>
      </c>
      <c r="I2579">
        <v>3</v>
      </c>
    </row>
    <row r="2580" spans="7:9" x14ac:dyDescent="0.15">
      <c r="G2580">
        <v>39420</v>
      </c>
      <c r="H2580" t="s">
        <v>3322</v>
      </c>
      <c r="I2580">
        <v>3</v>
      </c>
    </row>
    <row r="2581" spans="7:9" x14ac:dyDescent="0.15">
      <c r="G2581">
        <v>39424</v>
      </c>
      <c r="H2581" t="s">
        <v>3323</v>
      </c>
      <c r="I2581">
        <v>3</v>
      </c>
    </row>
    <row r="2582" spans="7:9" x14ac:dyDescent="0.15">
      <c r="G2582">
        <v>39430</v>
      </c>
      <c r="H2582" t="s">
        <v>3324</v>
      </c>
      <c r="I2582">
        <v>3</v>
      </c>
    </row>
    <row r="2583" spans="7:9" x14ac:dyDescent="0.15">
      <c r="G2583">
        <v>39438</v>
      </c>
      <c r="H2583" t="s">
        <v>3325</v>
      </c>
      <c r="I2583">
        <v>3</v>
      </c>
    </row>
    <row r="2584" spans="7:9" x14ac:dyDescent="0.15">
      <c r="G2584">
        <v>39445</v>
      </c>
      <c r="H2584" t="s">
        <v>3326</v>
      </c>
      <c r="I2584">
        <v>3</v>
      </c>
    </row>
    <row r="2585" spans="7:9" x14ac:dyDescent="0.15">
      <c r="G2585">
        <v>39455</v>
      </c>
      <c r="H2585" t="s">
        <v>3327</v>
      </c>
      <c r="I2585">
        <v>3</v>
      </c>
    </row>
    <row r="2586" spans="7:9" x14ac:dyDescent="0.15">
      <c r="G2586">
        <v>39466</v>
      </c>
      <c r="H2586" t="s">
        <v>3328</v>
      </c>
      <c r="I2586">
        <v>3</v>
      </c>
    </row>
    <row r="2587" spans="7:9" x14ac:dyDescent="0.15">
      <c r="G2587">
        <v>39480</v>
      </c>
      <c r="H2587" t="s">
        <v>3329</v>
      </c>
      <c r="I2587">
        <v>3</v>
      </c>
    </row>
    <row r="2588" spans="7:9" x14ac:dyDescent="0.15">
      <c r="G2588">
        <v>39508</v>
      </c>
      <c r="H2588" t="s">
        <v>3330</v>
      </c>
      <c r="I2588">
        <v>2</v>
      </c>
    </row>
    <row r="2589" spans="7:9" x14ac:dyDescent="0.15">
      <c r="G2589">
        <v>39515</v>
      </c>
      <c r="H2589" t="s">
        <v>3331</v>
      </c>
      <c r="I2589">
        <v>3</v>
      </c>
    </row>
    <row r="2590" spans="7:9" x14ac:dyDescent="0.15">
      <c r="G2590">
        <v>39522</v>
      </c>
      <c r="H2590" t="s">
        <v>3332</v>
      </c>
      <c r="I2590">
        <v>3</v>
      </c>
    </row>
    <row r="2591" spans="7:9" x14ac:dyDescent="0.15">
      <c r="G2591">
        <v>39536</v>
      </c>
      <c r="H2591" t="s">
        <v>3333</v>
      </c>
      <c r="I2591">
        <v>2</v>
      </c>
    </row>
    <row r="2592" spans="7:9" x14ac:dyDescent="0.15">
      <c r="G2592">
        <v>39555</v>
      </c>
      <c r="H2592" t="s">
        <v>3334</v>
      </c>
      <c r="I2592">
        <v>3</v>
      </c>
    </row>
    <row r="2593" spans="7:9" x14ac:dyDescent="0.15">
      <c r="G2593">
        <v>39564</v>
      </c>
      <c r="H2593" t="s">
        <v>3335</v>
      </c>
      <c r="I2593">
        <v>2</v>
      </c>
    </row>
    <row r="2594" spans="7:9" x14ac:dyDescent="0.15">
      <c r="G2594">
        <v>39578</v>
      </c>
      <c r="H2594" t="s">
        <v>3336</v>
      </c>
      <c r="I2594">
        <v>2</v>
      </c>
    </row>
    <row r="2595" spans="7:9" x14ac:dyDescent="0.15">
      <c r="G2595">
        <v>39585</v>
      </c>
      <c r="H2595" t="s">
        <v>3337</v>
      </c>
      <c r="I2595">
        <v>3</v>
      </c>
    </row>
    <row r="2596" spans="7:9" x14ac:dyDescent="0.15">
      <c r="G2596">
        <v>39620</v>
      </c>
      <c r="H2596" t="s">
        <v>1149</v>
      </c>
      <c r="I2596">
        <v>3</v>
      </c>
    </row>
    <row r="2597" spans="7:9" x14ac:dyDescent="0.15">
      <c r="G2597">
        <v>39634</v>
      </c>
      <c r="H2597" t="s">
        <v>1148</v>
      </c>
      <c r="I2597">
        <v>3</v>
      </c>
    </row>
    <row r="2598" spans="7:9" x14ac:dyDescent="0.15">
      <c r="G2598">
        <v>39645</v>
      </c>
      <c r="H2598" t="s">
        <v>3338</v>
      </c>
      <c r="I2598">
        <v>3</v>
      </c>
    </row>
    <row r="2599" spans="7:9" x14ac:dyDescent="0.15">
      <c r="G2599">
        <v>39662</v>
      </c>
      <c r="H2599" t="s">
        <v>3339</v>
      </c>
      <c r="I2599">
        <v>2</v>
      </c>
    </row>
    <row r="2600" spans="7:9" x14ac:dyDescent="0.15">
      <c r="G2600">
        <v>39690</v>
      </c>
      <c r="H2600" t="s">
        <v>3340</v>
      </c>
      <c r="I2600">
        <v>3</v>
      </c>
    </row>
    <row r="2601" spans="7:9" x14ac:dyDescent="0.15">
      <c r="G2601">
        <v>39718</v>
      </c>
      <c r="H2601" t="s">
        <v>3341</v>
      </c>
      <c r="I2601">
        <v>3</v>
      </c>
    </row>
    <row r="2602" spans="7:9" x14ac:dyDescent="0.15">
      <c r="G2602">
        <v>39732</v>
      </c>
      <c r="H2602" t="s">
        <v>3342</v>
      </c>
      <c r="I2602">
        <v>3</v>
      </c>
    </row>
    <row r="2603" spans="7:9" x14ac:dyDescent="0.15">
      <c r="G2603">
        <v>39740</v>
      </c>
      <c r="H2603" t="s">
        <v>3343</v>
      </c>
      <c r="I2603">
        <v>3</v>
      </c>
    </row>
    <row r="2604" spans="7:9" x14ac:dyDescent="0.15">
      <c r="G2604">
        <v>39746</v>
      </c>
      <c r="H2604" t="s">
        <v>3344</v>
      </c>
      <c r="I2604">
        <v>3</v>
      </c>
    </row>
    <row r="2605" spans="7:9" x14ac:dyDescent="0.15">
      <c r="G2605">
        <v>39760</v>
      </c>
      <c r="H2605" t="s">
        <v>3345</v>
      </c>
      <c r="I2605">
        <v>3</v>
      </c>
    </row>
    <row r="2606" spans="7:9" x14ac:dyDescent="0.15">
      <c r="G2606">
        <v>39774</v>
      </c>
      <c r="H2606" t="s">
        <v>3346</v>
      </c>
      <c r="I2606">
        <v>3</v>
      </c>
    </row>
    <row r="2607" spans="7:9" x14ac:dyDescent="0.15">
      <c r="G2607">
        <v>39788</v>
      </c>
      <c r="H2607" t="s">
        <v>3347</v>
      </c>
      <c r="I2607">
        <v>3</v>
      </c>
    </row>
    <row r="2608" spans="7:9" x14ac:dyDescent="0.15">
      <c r="G2608">
        <v>39816</v>
      </c>
      <c r="H2608" t="s">
        <v>3348</v>
      </c>
      <c r="I2608">
        <v>3</v>
      </c>
    </row>
    <row r="2609" spans="7:9" x14ac:dyDescent="0.15">
      <c r="G2609">
        <v>39825</v>
      </c>
      <c r="H2609" t="s">
        <v>3349</v>
      </c>
      <c r="I2609">
        <v>3</v>
      </c>
    </row>
    <row r="2610" spans="7:9" x14ac:dyDescent="0.15">
      <c r="G2610">
        <v>39830</v>
      </c>
      <c r="H2610" t="s">
        <v>3350</v>
      </c>
      <c r="I2610">
        <v>3</v>
      </c>
    </row>
    <row r="2611" spans="7:9" x14ac:dyDescent="0.15">
      <c r="G2611">
        <v>39835</v>
      </c>
      <c r="H2611" t="s">
        <v>3351</v>
      </c>
      <c r="I2611">
        <v>3</v>
      </c>
    </row>
    <row r="2612" spans="7:9" x14ac:dyDescent="0.15">
      <c r="G2612">
        <v>39844</v>
      </c>
      <c r="H2612" t="s">
        <v>3352</v>
      </c>
      <c r="I2612">
        <v>3</v>
      </c>
    </row>
    <row r="2613" spans="7:9" x14ac:dyDescent="0.15">
      <c r="G2613">
        <v>39858</v>
      </c>
      <c r="H2613" t="s">
        <v>3353</v>
      </c>
      <c r="I2613">
        <v>3</v>
      </c>
    </row>
    <row r="2614" spans="7:9" x14ac:dyDescent="0.15">
      <c r="G2614">
        <v>39872</v>
      </c>
      <c r="H2614" t="s">
        <v>3354</v>
      </c>
      <c r="I2614">
        <v>1</v>
      </c>
    </row>
    <row r="2615" spans="7:9" x14ac:dyDescent="0.15">
      <c r="G2615">
        <v>39886</v>
      </c>
      <c r="H2615" t="s">
        <v>978</v>
      </c>
      <c r="I2615">
        <v>1</v>
      </c>
    </row>
    <row r="2616" spans="7:9" x14ac:dyDescent="0.15">
      <c r="G2616">
        <v>39914</v>
      </c>
      <c r="H2616" t="s">
        <v>3355</v>
      </c>
      <c r="I2616">
        <v>1</v>
      </c>
    </row>
    <row r="2617" spans="7:9" x14ac:dyDescent="0.15">
      <c r="G2617">
        <v>39928</v>
      </c>
      <c r="H2617" t="s">
        <v>3355</v>
      </c>
      <c r="I2617">
        <v>3</v>
      </c>
    </row>
    <row r="2618" spans="7:9" x14ac:dyDescent="0.15">
      <c r="G2618">
        <v>39960</v>
      </c>
      <c r="H2618" t="s">
        <v>3356</v>
      </c>
      <c r="I2618">
        <v>3</v>
      </c>
    </row>
    <row r="2619" spans="7:9" x14ac:dyDescent="0.15">
      <c r="G2619">
        <v>39965</v>
      </c>
      <c r="H2619" t="s">
        <v>3357</v>
      </c>
      <c r="I2619">
        <v>3</v>
      </c>
    </row>
    <row r="2620" spans="7:9" x14ac:dyDescent="0.15">
      <c r="G2620">
        <v>39984</v>
      </c>
      <c r="H2620" t="s">
        <v>3358</v>
      </c>
      <c r="I2620">
        <v>3</v>
      </c>
    </row>
    <row r="2621" spans="7:9" x14ac:dyDescent="0.15">
      <c r="G2621">
        <v>39998</v>
      </c>
      <c r="H2621" t="s">
        <v>3358</v>
      </c>
      <c r="I2621">
        <v>3</v>
      </c>
    </row>
    <row r="2622" spans="7:9" x14ac:dyDescent="0.15">
      <c r="G2622">
        <v>40026</v>
      </c>
      <c r="H2622" t="s">
        <v>3359</v>
      </c>
      <c r="I2622">
        <v>3</v>
      </c>
    </row>
    <row r="2623" spans="7:9" x14ac:dyDescent="0.15">
      <c r="G2623">
        <v>40040</v>
      </c>
      <c r="H2623" t="s">
        <v>3360</v>
      </c>
      <c r="I2623">
        <v>1</v>
      </c>
    </row>
    <row r="2624" spans="7:9" x14ac:dyDescent="0.15">
      <c r="G2624">
        <v>40054</v>
      </c>
      <c r="H2624" t="s">
        <v>3361</v>
      </c>
      <c r="I2624">
        <v>2</v>
      </c>
    </row>
    <row r="2625" spans="7:9" x14ac:dyDescent="0.15">
      <c r="G2625">
        <v>40068</v>
      </c>
      <c r="H2625" t="s">
        <v>3362</v>
      </c>
      <c r="I2625">
        <v>3</v>
      </c>
    </row>
    <row r="2626" spans="7:9" x14ac:dyDescent="0.15">
      <c r="G2626">
        <v>40074</v>
      </c>
      <c r="H2626" t="s">
        <v>3363</v>
      </c>
      <c r="I2626">
        <v>3</v>
      </c>
    </row>
    <row r="2627" spans="7:9" x14ac:dyDescent="0.15">
      <c r="G2627">
        <v>40078</v>
      </c>
      <c r="H2627" t="s">
        <v>3363</v>
      </c>
      <c r="I2627">
        <v>3</v>
      </c>
    </row>
    <row r="2628" spans="7:9" x14ac:dyDescent="0.15">
      <c r="G2628">
        <v>40082</v>
      </c>
      <c r="H2628" t="s">
        <v>3364</v>
      </c>
      <c r="I2628">
        <v>3</v>
      </c>
    </row>
    <row r="2629" spans="7:9" x14ac:dyDescent="0.15">
      <c r="G2629">
        <v>40096</v>
      </c>
      <c r="H2629" t="s">
        <v>3365</v>
      </c>
      <c r="I2629">
        <v>2</v>
      </c>
    </row>
    <row r="2630" spans="7:9" x14ac:dyDescent="0.15">
      <c r="G2630">
        <v>40110</v>
      </c>
      <c r="H2630" t="s">
        <v>3366</v>
      </c>
      <c r="I2630">
        <v>3</v>
      </c>
    </row>
    <row r="2631" spans="7:9" x14ac:dyDescent="0.15">
      <c r="G2631">
        <v>40124</v>
      </c>
      <c r="H2631" t="s">
        <v>3367</v>
      </c>
      <c r="I2631">
        <v>2</v>
      </c>
    </row>
    <row r="2632" spans="7:9" x14ac:dyDescent="0.15">
      <c r="G2632">
        <v>40166</v>
      </c>
      <c r="H2632" t="s">
        <v>3368</v>
      </c>
      <c r="I2632">
        <v>3</v>
      </c>
    </row>
    <row r="2633" spans="7:9" x14ac:dyDescent="0.15">
      <c r="G2633">
        <v>40180</v>
      </c>
      <c r="H2633" t="s">
        <v>1110</v>
      </c>
      <c r="I2633">
        <v>2</v>
      </c>
    </row>
    <row r="2634" spans="7:9" x14ac:dyDescent="0.15">
      <c r="G2634">
        <v>40194</v>
      </c>
      <c r="H2634" t="s">
        <v>1121</v>
      </c>
      <c r="I2634">
        <v>3</v>
      </c>
    </row>
    <row r="2635" spans="7:9" x14ac:dyDescent="0.15">
      <c r="G2635">
        <v>40215</v>
      </c>
      <c r="H2635" t="s">
        <v>3369</v>
      </c>
      <c r="I2635">
        <v>3</v>
      </c>
    </row>
    <row r="2636" spans="7:9" x14ac:dyDescent="0.15">
      <c r="G2636">
        <v>40222</v>
      </c>
      <c r="H2636" t="s">
        <v>3370</v>
      </c>
      <c r="I2636">
        <v>3</v>
      </c>
    </row>
    <row r="2637" spans="7:9" x14ac:dyDescent="0.15">
      <c r="G2637">
        <v>40236</v>
      </c>
      <c r="H2637" t="s">
        <v>3371</v>
      </c>
      <c r="I2637">
        <v>3</v>
      </c>
    </row>
    <row r="2638" spans="7:9" x14ac:dyDescent="0.15">
      <c r="G2638">
        <v>40250</v>
      </c>
      <c r="H2638" t="s">
        <v>3372</v>
      </c>
      <c r="I2638">
        <v>3</v>
      </c>
    </row>
    <row r="2639" spans="7:9" x14ac:dyDescent="0.15">
      <c r="G2639">
        <v>40264</v>
      </c>
      <c r="H2639" t="s">
        <v>3373</v>
      </c>
      <c r="I2639">
        <v>2</v>
      </c>
    </row>
    <row r="2640" spans="7:9" x14ac:dyDescent="0.15">
      <c r="G2640">
        <v>40268</v>
      </c>
      <c r="H2640" t="s">
        <v>3374</v>
      </c>
      <c r="I2640">
        <v>3</v>
      </c>
    </row>
    <row r="2641" spans="7:9" x14ac:dyDescent="0.15">
      <c r="G2641">
        <v>40272</v>
      </c>
      <c r="H2641" t="s">
        <v>3375</v>
      </c>
      <c r="I2641">
        <v>3</v>
      </c>
    </row>
    <row r="2642" spans="7:9" x14ac:dyDescent="0.15">
      <c r="G2642">
        <v>40275</v>
      </c>
      <c r="H2642" t="s">
        <v>3376</v>
      </c>
      <c r="I2642">
        <v>3</v>
      </c>
    </row>
    <row r="2643" spans="7:9" x14ac:dyDescent="0.15">
      <c r="G2643">
        <v>40278</v>
      </c>
      <c r="H2643" t="s">
        <v>3377</v>
      </c>
      <c r="I2643">
        <v>3</v>
      </c>
    </row>
    <row r="2644" spans="7:9" x14ac:dyDescent="0.15">
      <c r="G2644">
        <v>40300</v>
      </c>
      <c r="H2644" t="s">
        <v>3378</v>
      </c>
      <c r="I2644">
        <v>3</v>
      </c>
    </row>
    <row r="2645" spans="7:9" x14ac:dyDescent="0.15">
      <c r="G2645">
        <v>40320</v>
      </c>
      <c r="H2645" t="s">
        <v>3379</v>
      </c>
      <c r="I2645">
        <v>3</v>
      </c>
    </row>
    <row r="2646" spans="7:9" x14ac:dyDescent="0.15">
      <c r="G2646">
        <v>40348</v>
      </c>
      <c r="H2646" t="s">
        <v>3380</v>
      </c>
      <c r="I2646">
        <v>2</v>
      </c>
    </row>
    <row r="2647" spans="7:9" x14ac:dyDescent="0.15">
      <c r="G2647">
        <v>40355</v>
      </c>
      <c r="H2647" t="s">
        <v>3381</v>
      </c>
      <c r="I2647">
        <v>3</v>
      </c>
    </row>
    <row r="2648" spans="7:9" x14ac:dyDescent="0.15">
      <c r="G2648">
        <v>40362</v>
      </c>
      <c r="H2648" t="s">
        <v>3382</v>
      </c>
      <c r="I2648">
        <v>3</v>
      </c>
    </row>
    <row r="2649" spans="7:9" x14ac:dyDescent="0.15">
      <c r="G2649">
        <v>40376</v>
      </c>
      <c r="H2649" t="s">
        <v>3383</v>
      </c>
      <c r="I2649">
        <v>2</v>
      </c>
    </row>
    <row r="2650" spans="7:9" x14ac:dyDescent="0.15">
      <c r="G2650">
        <v>40390</v>
      </c>
      <c r="H2650" t="s">
        <v>3384</v>
      </c>
      <c r="I2650">
        <v>3</v>
      </c>
    </row>
    <row r="2651" spans="7:9" x14ac:dyDescent="0.15">
      <c r="G2651">
        <v>40404</v>
      </c>
      <c r="H2651" t="s">
        <v>3385</v>
      </c>
      <c r="I2651">
        <v>3</v>
      </c>
    </row>
    <row r="2652" spans="7:9" x14ac:dyDescent="0.15">
      <c r="G2652">
        <v>40432</v>
      </c>
      <c r="H2652" t="s">
        <v>3386</v>
      </c>
      <c r="I2652">
        <v>3</v>
      </c>
    </row>
    <row r="2653" spans="7:9" x14ac:dyDescent="0.15">
      <c r="G2653">
        <v>40446</v>
      </c>
      <c r="H2653" t="s">
        <v>3387</v>
      </c>
      <c r="I2653">
        <v>3</v>
      </c>
    </row>
    <row r="2654" spans="7:9" x14ac:dyDescent="0.15">
      <c r="G2654">
        <v>40465</v>
      </c>
      <c r="H2654" t="s">
        <v>3388</v>
      </c>
      <c r="I2654">
        <v>3</v>
      </c>
    </row>
    <row r="2655" spans="7:9" x14ac:dyDescent="0.15">
      <c r="G2655">
        <v>40474</v>
      </c>
      <c r="H2655" t="s">
        <v>3389</v>
      </c>
      <c r="I2655">
        <v>3</v>
      </c>
    </row>
    <row r="2656" spans="7:9" x14ac:dyDescent="0.15">
      <c r="G2656">
        <v>40488</v>
      </c>
      <c r="H2656" t="s">
        <v>3389</v>
      </c>
      <c r="I2656">
        <v>3</v>
      </c>
    </row>
    <row r="2657" spans="7:9" x14ac:dyDescent="0.15">
      <c r="G2657">
        <v>40502</v>
      </c>
      <c r="H2657" t="s">
        <v>3390</v>
      </c>
      <c r="I2657">
        <v>3</v>
      </c>
    </row>
    <row r="2658" spans="7:9" x14ac:dyDescent="0.15">
      <c r="G2658">
        <v>40507</v>
      </c>
      <c r="H2658" t="s">
        <v>3391</v>
      </c>
      <c r="I2658">
        <v>2</v>
      </c>
    </row>
    <row r="2659" spans="7:9" x14ac:dyDescent="0.15">
      <c r="G2659">
        <v>40516</v>
      </c>
      <c r="H2659" t="s">
        <v>3392</v>
      </c>
      <c r="I2659">
        <v>3</v>
      </c>
    </row>
    <row r="2660" spans="7:9" x14ac:dyDescent="0.15">
      <c r="G2660">
        <v>40530</v>
      </c>
      <c r="H2660" t="s">
        <v>3393</v>
      </c>
      <c r="I2660">
        <v>3</v>
      </c>
    </row>
    <row r="2661" spans="7:9" x14ac:dyDescent="0.15">
      <c r="G2661">
        <v>40544</v>
      </c>
      <c r="H2661" t="s">
        <v>3394</v>
      </c>
      <c r="I2661">
        <v>2</v>
      </c>
    </row>
    <row r="2662" spans="7:9" x14ac:dyDescent="0.15">
      <c r="G2662">
        <v>40558</v>
      </c>
      <c r="H2662" t="s">
        <v>3395</v>
      </c>
      <c r="I2662">
        <v>2</v>
      </c>
    </row>
    <row r="2663" spans="7:9" x14ac:dyDescent="0.15">
      <c r="G2663">
        <v>40565</v>
      </c>
      <c r="H2663" t="s">
        <v>3396</v>
      </c>
      <c r="I2663">
        <v>3</v>
      </c>
    </row>
    <row r="2664" spans="7:9" x14ac:dyDescent="0.15">
      <c r="G2664">
        <v>40572</v>
      </c>
      <c r="H2664" t="s">
        <v>3397</v>
      </c>
      <c r="I2664">
        <v>2</v>
      </c>
    </row>
    <row r="2665" spans="7:9" x14ac:dyDescent="0.15">
      <c r="G2665">
        <v>40586</v>
      </c>
      <c r="H2665" t="s">
        <v>3398</v>
      </c>
      <c r="I2665">
        <v>3</v>
      </c>
    </row>
    <row r="2666" spans="7:9" x14ac:dyDescent="0.15">
      <c r="G2666">
        <v>40600</v>
      </c>
      <c r="H2666" t="s">
        <v>3399</v>
      </c>
      <c r="I2666">
        <v>3</v>
      </c>
    </row>
    <row r="2667" spans="7:9" x14ac:dyDescent="0.15">
      <c r="G2667">
        <v>40614</v>
      </c>
      <c r="H2667" t="s">
        <v>3400</v>
      </c>
      <c r="I2667">
        <v>3</v>
      </c>
    </row>
    <row r="2668" spans="7:9" x14ac:dyDescent="0.15">
      <c r="G2668">
        <v>40642</v>
      </c>
      <c r="H2668" t="s">
        <v>3401</v>
      </c>
      <c r="I2668">
        <v>1</v>
      </c>
    </row>
    <row r="2669" spans="7:9" x14ac:dyDescent="0.15">
      <c r="G2669">
        <v>40670</v>
      </c>
      <c r="H2669" t="s">
        <v>3402</v>
      </c>
      <c r="I2669">
        <v>2</v>
      </c>
    </row>
    <row r="2670" spans="7:9" x14ac:dyDescent="0.15">
      <c r="G2670">
        <v>40698</v>
      </c>
      <c r="H2670" t="s">
        <v>3403</v>
      </c>
      <c r="I2670">
        <v>3</v>
      </c>
    </row>
    <row r="2671" spans="7:9" x14ac:dyDescent="0.15">
      <c r="G2671">
        <v>40712</v>
      </c>
      <c r="H2671" t="s">
        <v>3404</v>
      </c>
      <c r="I2671">
        <v>3</v>
      </c>
    </row>
    <row r="2672" spans="7:9" x14ac:dyDescent="0.15">
      <c r="G2672">
        <v>40745</v>
      </c>
      <c r="H2672" t="s">
        <v>3405</v>
      </c>
      <c r="I2672">
        <v>3</v>
      </c>
    </row>
    <row r="2673" spans="7:9" x14ac:dyDescent="0.15">
      <c r="G2673">
        <v>40750</v>
      </c>
      <c r="H2673" t="s">
        <v>3406</v>
      </c>
      <c r="I2673">
        <v>3</v>
      </c>
    </row>
    <row r="2674" spans="7:9" x14ac:dyDescent="0.15">
      <c r="G2674">
        <v>40754</v>
      </c>
      <c r="H2674" t="s">
        <v>3406</v>
      </c>
      <c r="I2674">
        <v>3</v>
      </c>
    </row>
    <row r="2675" spans="7:9" x14ac:dyDescent="0.15">
      <c r="G2675">
        <v>40782</v>
      </c>
      <c r="H2675" t="s">
        <v>3407</v>
      </c>
      <c r="I2675">
        <v>3</v>
      </c>
    </row>
    <row r="2676" spans="7:9" x14ac:dyDescent="0.15">
      <c r="G2676">
        <v>40796</v>
      </c>
      <c r="H2676" t="s">
        <v>3408</v>
      </c>
      <c r="I2676">
        <v>3</v>
      </c>
    </row>
    <row r="2677" spans="7:9" x14ac:dyDescent="0.15">
      <c r="G2677">
        <v>40810</v>
      </c>
      <c r="H2677" t="s">
        <v>3409</v>
      </c>
      <c r="I2677">
        <v>3</v>
      </c>
    </row>
    <row r="2678" spans="7:9" x14ac:dyDescent="0.15">
      <c r="G2678">
        <v>40824</v>
      </c>
      <c r="H2678" t="s">
        <v>1113</v>
      </c>
      <c r="I2678">
        <v>3</v>
      </c>
    </row>
    <row r="2679" spans="7:9" x14ac:dyDescent="0.15">
      <c r="G2679">
        <v>40838</v>
      </c>
      <c r="H2679" t="s">
        <v>1113</v>
      </c>
      <c r="I2679">
        <v>3</v>
      </c>
    </row>
    <row r="2680" spans="7:9" x14ac:dyDescent="0.15">
      <c r="G2680">
        <v>40852</v>
      </c>
      <c r="H2680" t="s">
        <v>1113</v>
      </c>
      <c r="I2680">
        <v>3</v>
      </c>
    </row>
    <row r="2681" spans="7:9" x14ac:dyDescent="0.15">
      <c r="G2681">
        <v>40866</v>
      </c>
      <c r="H2681" t="s">
        <v>1113</v>
      </c>
      <c r="I2681">
        <v>3</v>
      </c>
    </row>
    <row r="2682" spans="7:9" x14ac:dyDescent="0.15">
      <c r="G2682">
        <v>40875</v>
      </c>
      <c r="H2682" t="s">
        <v>3410</v>
      </c>
      <c r="I2682">
        <v>3</v>
      </c>
    </row>
    <row r="2683" spans="7:9" x14ac:dyDescent="0.15">
      <c r="G2683">
        <v>40880</v>
      </c>
      <c r="H2683" t="s">
        <v>1113</v>
      </c>
      <c r="I2683">
        <v>3</v>
      </c>
    </row>
    <row r="2684" spans="7:9" x14ac:dyDescent="0.15">
      <c r="G2684">
        <v>40894</v>
      </c>
      <c r="H2684" t="s">
        <v>3411</v>
      </c>
      <c r="I2684">
        <v>3</v>
      </c>
    </row>
    <row r="2685" spans="7:9" x14ac:dyDescent="0.15">
      <c r="G2685">
        <v>40908</v>
      </c>
      <c r="H2685" t="s">
        <v>3412</v>
      </c>
      <c r="I2685">
        <v>3</v>
      </c>
    </row>
    <row r="2686" spans="7:9" x14ac:dyDescent="0.15">
      <c r="G2686">
        <v>40922</v>
      </c>
      <c r="H2686" t="s">
        <v>3413</v>
      </c>
      <c r="I2686">
        <v>3</v>
      </c>
    </row>
    <row r="2687" spans="7:9" x14ac:dyDescent="0.15">
      <c r="G2687">
        <v>40936</v>
      </c>
      <c r="H2687" t="s">
        <v>3414</v>
      </c>
      <c r="I2687">
        <v>3</v>
      </c>
    </row>
    <row r="2688" spans="7:9" x14ac:dyDescent="0.15">
      <c r="G2688">
        <v>40964</v>
      </c>
      <c r="H2688" t="s">
        <v>3415</v>
      </c>
      <c r="I2688">
        <v>3</v>
      </c>
    </row>
    <row r="2689" spans="7:9" x14ac:dyDescent="0.15">
      <c r="G2689">
        <v>40978</v>
      </c>
      <c r="H2689" t="s">
        <v>3416</v>
      </c>
      <c r="I2689">
        <v>2</v>
      </c>
    </row>
    <row r="2690" spans="7:9" x14ac:dyDescent="0.15">
      <c r="G2690">
        <v>40992</v>
      </c>
      <c r="H2690" t="s">
        <v>3417</v>
      </c>
      <c r="I2690">
        <v>3</v>
      </c>
    </row>
    <row r="2691" spans="7:9" x14ac:dyDescent="0.15">
      <c r="G2691">
        <v>41000</v>
      </c>
      <c r="H2691" t="s">
        <v>3418</v>
      </c>
      <c r="I2691">
        <v>3</v>
      </c>
    </row>
    <row r="2692" spans="7:9" x14ac:dyDescent="0.15">
      <c r="G2692">
        <v>41062</v>
      </c>
      <c r="H2692" t="s">
        <v>3419</v>
      </c>
      <c r="I2692">
        <v>3</v>
      </c>
    </row>
    <row r="2693" spans="7:9" x14ac:dyDescent="0.15">
      <c r="G2693">
        <v>41090</v>
      </c>
      <c r="H2693" t="s">
        <v>3420</v>
      </c>
      <c r="I2693">
        <v>2</v>
      </c>
    </row>
    <row r="2694" spans="7:9" x14ac:dyDescent="0.15">
      <c r="G2694">
        <v>41095</v>
      </c>
      <c r="H2694" t="s">
        <v>3421</v>
      </c>
      <c r="I2694">
        <v>3</v>
      </c>
    </row>
    <row r="2695" spans="7:9" x14ac:dyDescent="0.15">
      <c r="G2695">
        <v>41118</v>
      </c>
      <c r="H2695" t="s">
        <v>3422</v>
      </c>
      <c r="I2695">
        <v>2</v>
      </c>
    </row>
    <row r="2696" spans="7:9" x14ac:dyDescent="0.15">
      <c r="G2696">
        <v>41132</v>
      </c>
      <c r="H2696" t="s">
        <v>3423</v>
      </c>
      <c r="I2696">
        <v>3</v>
      </c>
    </row>
    <row r="2697" spans="7:9" x14ac:dyDescent="0.15">
      <c r="G2697">
        <v>41146</v>
      </c>
      <c r="H2697" t="s">
        <v>3422</v>
      </c>
      <c r="I2697">
        <v>2</v>
      </c>
    </row>
    <row r="2698" spans="7:9" x14ac:dyDescent="0.15">
      <c r="G2698">
        <v>41160</v>
      </c>
      <c r="H2698" t="s">
        <v>3422</v>
      </c>
      <c r="I2698">
        <v>3</v>
      </c>
    </row>
    <row r="2699" spans="7:9" x14ac:dyDescent="0.15">
      <c r="G2699">
        <v>41174</v>
      </c>
      <c r="H2699" t="s">
        <v>3423</v>
      </c>
      <c r="I2699">
        <v>3</v>
      </c>
    </row>
    <row r="2700" spans="7:9" x14ac:dyDescent="0.15">
      <c r="G2700">
        <v>41180</v>
      </c>
      <c r="H2700" t="s">
        <v>3424</v>
      </c>
      <c r="I2700">
        <v>3</v>
      </c>
    </row>
    <row r="2701" spans="7:9" x14ac:dyDescent="0.15">
      <c r="G2701">
        <v>41188</v>
      </c>
      <c r="H2701" t="s">
        <v>3425</v>
      </c>
      <c r="I2701">
        <v>2</v>
      </c>
    </row>
    <row r="2702" spans="7:9" x14ac:dyDescent="0.15">
      <c r="G2702">
        <v>41202</v>
      </c>
      <c r="H2702" t="s">
        <v>3426</v>
      </c>
      <c r="I2702">
        <v>3</v>
      </c>
    </row>
    <row r="2703" spans="7:9" x14ac:dyDescent="0.15">
      <c r="G2703">
        <v>41230</v>
      </c>
      <c r="H2703" t="s">
        <v>3427</v>
      </c>
      <c r="I2703">
        <v>2</v>
      </c>
    </row>
    <row r="2704" spans="7:9" x14ac:dyDescent="0.15">
      <c r="G2704">
        <v>41244</v>
      </c>
      <c r="H2704" t="s">
        <v>3428</v>
      </c>
      <c r="I2704">
        <v>3</v>
      </c>
    </row>
    <row r="2705" spans="7:9" x14ac:dyDescent="0.15">
      <c r="G2705">
        <v>41258</v>
      </c>
      <c r="H2705" t="s">
        <v>3429</v>
      </c>
      <c r="I2705">
        <v>3</v>
      </c>
    </row>
    <row r="2706" spans="7:9" x14ac:dyDescent="0.15">
      <c r="G2706">
        <v>41272</v>
      </c>
      <c r="H2706" t="s">
        <v>3430</v>
      </c>
      <c r="I2706">
        <v>3</v>
      </c>
    </row>
    <row r="2707" spans="7:9" x14ac:dyDescent="0.15">
      <c r="G2707">
        <v>41286</v>
      </c>
      <c r="H2707" t="s">
        <v>3430</v>
      </c>
      <c r="I2707">
        <v>3</v>
      </c>
    </row>
    <row r="2708" spans="7:9" x14ac:dyDescent="0.15">
      <c r="G2708">
        <v>41314</v>
      </c>
      <c r="H2708" t="s">
        <v>3430</v>
      </c>
      <c r="I2708">
        <v>3</v>
      </c>
    </row>
    <row r="2709" spans="7:9" x14ac:dyDescent="0.15">
      <c r="G2709">
        <v>41328</v>
      </c>
      <c r="H2709" t="s">
        <v>3430</v>
      </c>
      <c r="I2709">
        <v>3</v>
      </c>
    </row>
    <row r="2710" spans="7:9" x14ac:dyDescent="0.15">
      <c r="G2710">
        <v>41349</v>
      </c>
      <c r="H2710" t="s">
        <v>3431</v>
      </c>
      <c r="I2710">
        <v>2</v>
      </c>
    </row>
    <row r="2711" spans="7:9" x14ac:dyDescent="0.15">
      <c r="G2711">
        <v>41356</v>
      </c>
      <c r="H2711" t="s">
        <v>3432</v>
      </c>
      <c r="I2711">
        <v>3</v>
      </c>
    </row>
    <row r="2712" spans="7:9" x14ac:dyDescent="0.15">
      <c r="G2712">
        <v>41363</v>
      </c>
      <c r="H2712" t="s">
        <v>3433</v>
      </c>
      <c r="I2712">
        <v>2</v>
      </c>
    </row>
    <row r="2713" spans="7:9" x14ac:dyDescent="0.15">
      <c r="G2713">
        <v>41370</v>
      </c>
      <c r="H2713" t="s">
        <v>3434</v>
      </c>
      <c r="I2713">
        <v>3</v>
      </c>
    </row>
    <row r="2714" spans="7:9" x14ac:dyDescent="0.15">
      <c r="G2714">
        <v>41373</v>
      </c>
      <c r="H2714" t="s">
        <v>3435</v>
      </c>
      <c r="I2714">
        <v>2</v>
      </c>
    </row>
    <row r="2715" spans="7:9" x14ac:dyDescent="0.15">
      <c r="G2715">
        <v>41375</v>
      </c>
      <c r="H2715" t="s">
        <v>3436</v>
      </c>
      <c r="I2715">
        <v>3</v>
      </c>
    </row>
    <row r="2716" spans="7:9" x14ac:dyDescent="0.15">
      <c r="G2716">
        <v>41380</v>
      </c>
      <c r="H2716" t="s">
        <v>3436</v>
      </c>
      <c r="I2716">
        <v>3</v>
      </c>
    </row>
    <row r="2717" spans="7:9" x14ac:dyDescent="0.15">
      <c r="G2717">
        <v>41384</v>
      </c>
      <c r="H2717" t="s">
        <v>3437</v>
      </c>
      <c r="I2717">
        <v>3</v>
      </c>
    </row>
    <row r="2718" spans="7:9" x14ac:dyDescent="0.15">
      <c r="G2718">
        <v>41398</v>
      </c>
      <c r="H2718" t="s">
        <v>3438</v>
      </c>
      <c r="I2718">
        <v>2</v>
      </c>
    </row>
    <row r="2719" spans="7:9" x14ac:dyDescent="0.15">
      <c r="G2719">
        <v>41419</v>
      </c>
      <c r="H2719" t="s">
        <v>3439</v>
      </c>
      <c r="I2719">
        <v>2</v>
      </c>
    </row>
    <row r="2720" spans="7:9" x14ac:dyDescent="0.15">
      <c r="G2720">
        <v>41426</v>
      </c>
      <c r="H2720" t="s">
        <v>3440</v>
      </c>
      <c r="I2720">
        <v>3</v>
      </c>
    </row>
    <row r="2721" spans="7:9" x14ac:dyDescent="0.15">
      <c r="G2721">
        <v>41440</v>
      </c>
      <c r="H2721" t="s">
        <v>3441</v>
      </c>
      <c r="I2721">
        <v>3</v>
      </c>
    </row>
    <row r="2722" spans="7:9" x14ac:dyDescent="0.15">
      <c r="G2722">
        <v>41443</v>
      </c>
      <c r="H2722" t="s">
        <v>3442</v>
      </c>
      <c r="I2722">
        <v>2</v>
      </c>
    </row>
    <row r="2723" spans="7:9" x14ac:dyDescent="0.15">
      <c r="G2723">
        <v>41445</v>
      </c>
      <c r="H2723" t="s">
        <v>3443</v>
      </c>
      <c r="I2723">
        <v>3</v>
      </c>
    </row>
    <row r="2724" spans="7:9" x14ac:dyDescent="0.15">
      <c r="G2724">
        <v>41454</v>
      </c>
      <c r="H2724" t="s">
        <v>3444</v>
      </c>
      <c r="I2724">
        <v>2</v>
      </c>
    </row>
    <row r="2725" spans="7:9" x14ac:dyDescent="0.15">
      <c r="G2725">
        <v>41500</v>
      </c>
      <c r="H2725" t="s">
        <v>3445</v>
      </c>
      <c r="I2725">
        <v>2</v>
      </c>
    </row>
    <row r="2726" spans="7:9" x14ac:dyDescent="0.15">
      <c r="G2726">
        <v>41524</v>
      </c>
      <c r="H2726" t="s">
        <v>3446</v>
      </c>
      <c r="I2726">
        <v>3</v>
      </c>
    </row>
    <row r="2727" spans="7:9" x14ac:dyDescent="0.15">
      <c r="G2727">
        <v>41552</v>
      </c>
      <c r="H2727" t="s">
        <v>3446</v>
      </c>
      <c r="I2727">
        <v>2</v>
      </c>
    </row>
    <row r="2728" spans="7:9" x14ac:dyDescent="0.15">
      <c r="G2728">
        <v>41580</v>
      </c>
      <c r="H2728" t="s">
        <v>3447</v>
      </c>
      <c r="I2728">
        <v>3</v>
      </c>
    </row>
    <row r="2729" spans="7:9" x14ac:dyDescent="0.15">
      <c r="G2729">
        <v>41597</v>
      </c>
      <c r="H2729" t="s">
        <v>3448</v>
      </c>
      <c r="I2729">
        <v>2</v>
      </c>
    </row>
    <row r="2730" spans="7:9" x14ac:dyDescent="0.15">
      <c r="G2730">
        <v>41600</v>
      </c>
      <c r="H2730" t="s">
        <v>3449</v>
      </c>
      <c r="I2730">
        <v>3</v>
      </c>
    </row>
    <row r="2731" spans="7:9" x14ac:dyDescent="0.15">
      <c r="G2731">
        <v>41608</v>
      </c>
      <c r="H2731" t="s">
        <v>1138</v>
      </c>
      <c r="I2731">
        <v>2</v>
      </c>
    </row>
    <row r="2732" spans="7:9" x14ac:dyDescent="0.15">
      <c r="G2732">
        <v>41612</v>
      </c>
      <c r="H2732" t="s">
        <v>1138</v>
      </c>
      <c r="I2732">
        <v>3</v>
      </c>
    </row>
    <row r="2733" spans="7:9" x14ac:dyDescent="0.15">
      <c r="G2733">
        <v>41615</v>
      </c>
      <c r="H2733" t="s">
        <v>1138</v>
      </c>
      <c r="I2733">
        <v>3</v>
      </c>
    </row>
    <row r="2734" spans="7:9" x14ac:dyDescent="0.15">
      <c r="G2734">
        <v>41618</v>
      </c>
      <c r="H2734" t="s">
        <v>3450</v>
      </c>
      <c r="I2734">
        <v>3</v>
      </c>
    </row>
    <row r="2735" spans="7:9" x14ac:dyDescent="0.15">
      <c r="G2735">
        <v>41650</v>
      </c>
      <c r="H2735" t="s">
        <v>3451</v>
      </c>
      <c r="I2735">
        <v>3</v>
      </c>
    </row>
    <row r="2736" spans="7:9" x14ac:dyDescent="0.15">
      <c r="G2736">
        <v>41657</v>
      </c>
      <c r="H2736" t="s">
        <v>3452</v>
      </c>
      <c r="I2736">
        <v>2</v>
      </c>
    </row>
    <row r="2737" spans="7:9" x14ac:dyDescent="0.15">
      <c r="G2737">
        <v>41664</v>
      </c>
      <c r="H2737" t="s">
        <v>3453</v>
      </c>
      <c r="I2737">
        <v>1</v>
      </c>
    </row>
    <row r="2738" spans="7:9" x14ac:dyDescent="0.15">
      <c r="G2738">
        <v>41678</v>
      </c>
      <c r="H2738" t="s">
        <v>3454</v>
      </c>
      <c r="I2738">
        <v>3</v>
      </c>
    </row>
    <row r="2739" spans="7:9" x14ac:dyDescent="0.15">
      <c r="G2739">
        <v>41700</v>
      </c>
      <c r="H2739" t="s">
        <v>3455</v>
      </c>
      <c r="I2739">
        <v>3</v>
      </c>
    </row>
    <row r="2740" spans="7:9" x14ac:dyDescent="0.15">
      <c r="G2740">
        <v>41706</v>
      </c>
      <c r="H2740" t="s">
        <v>3456</v>
      </c>
      <c r="I2740">
        <v>3</v>
      </c>
    </row>
    <row r="2741" spans="7:9" x14ac:dyDescent="0.15">
      <c r="G2741">
        <v>41720</v>
      </c>
      <c r="H2741" t="s">
        <v>979</v>
      </c>
      <c r="I2741">
        <v>1</v>
      </c>
    </row>
    <row r="2742" spans="7:9" x14ac:dyDescent="0.15">
      <c r="G2742">
        <v>41740</v>
      </c>
      <c r="H2742" t="s">
        <v>3457</v>
      </c>
      <c r="I2742">
        <v>3</v>
      </c>
    </row>
    <row r="2743" spans="7:9" x14ac:dyDescent="0.15">
      <c r="G2743">
        <v>41748</v>
      </c>
      <c r="H2743" t="s">
        <v>3458</v>
      </c>
      <c r="I2743">
        <v>3</v>
      </c>
    </row>
    <row r="2744" spans="7:9" x14ac:dyDescent="0.15">
      <c r="G2744">
        <v>41755</v>
      </c>
      <c r="H2744" t="s">
        <v>3459</v>
      </c>
      <c r="I2744">
        <v>1</v>
      </c>
    </row>
    <row r="2745" spans="7:9" x14ac:dyDescent="0.15">
      <c r="G2745">
        <v>41756</v>
      </c>
      <c r="H2745" t="s">
        <v>3460</v>
      </c>
      <c r="I2745">
        <v>3</v>
      </c>
    </row>
    <row r="2746" spans="7:9" x14ac:dyDescent="0.15">
      <c r="G2746">
        <v>41758</v>
      </c>
      <c r="H2746" t="s">
        <v>3461</v>
      </c>
      <c r="I2746">
        <v>3</v>
      </c>
    </row>
    <row r="2747" spans="7:9" x14ac:dyDescent="0.15">
      <c r="G2747">
        <v>41760</v>
      </c>
      <c r="H2747" t="s">
        <v>3462</v>
      </c>
      <c r="I2747">
        <v>3</v>
      </c>
    </row>
    <row r="2748" spans="7:9" x14ac:dyDescent="0.15">
      <c r="G2748">
        <v>41832</v>
      </c>
      <c r="H2748" t="s">
        <v>3463</v>
      </c>
      <c r="I2748">
        <v>3</v>
      </c>
    </row>
    <row r="2749" spans="7:9" x14ac:dyDescent="0.15">
      <c r="G2749">
        <v>41846</v>
      </c>
      <c r="H2749" t="s">
        <v>3464</v>
      </c>
      <c r="I2749">
        <v>3</v>
      </c>
    </row>
    <row r="2750" spans="7:9" x14ac:dyDescent="0.15">
      <c r="G2750">
        <v>41860</v>
      </c>
      <c r="H2750" t="s">
        <v>3465</v>
      </c>
      <c r="I2750">
        <v>2</v>
      </c>
    </row>
    <row r="2751" spans="7:9" x14ac:dyDescent="0.15">
      <c r="G2751">
        <v>41895</v>
      </c>
      <c r="H2751" t="s">
        <v>3466</v>
      </c>
      <c r="I2751">
        <v>3</v>
      </c>
    </row>
    <row r="2752" spans="7:9" x14ac:dyDescent="0.15">
      <c r="G2752">
        <v>41898</v>
      </c>
      <c r="H2752" t="s">
        <v>3467</v>
      </c>
      <c r="I2752">
        <v>3</v>
      </c>
    </row>
    <row r="2753" spans="7:9" x14ac:dyDescent="0.15">
      <c r="G2753">
        <v>41902</v>
      </c>
      <c r="H2753" t="s">
        <v>3468</v>
      </c>
      <c r="I2753">
        <v>2</v>
      </c>
    </row>
    <row r="2754" spans="7:9" x14ac:dyDescent="0.15">
      <c r="G2754">
        <v>41910</v>
      </c>
      <c r="H2754" t="s">
        <v>3469</v>
      </c>
      <c r="I2754">
        <v>3</v>
      </c>
    </row>
    <row r="2755" spans="7:9" x14ac:dyDescent="0.15">
      <c r="G2755">
        <v>41916</v>
      </c>
      <c r="H2755" t="s">
        <v>3470</v>
      </c>
      <c r="I2755">
        <v>3</v>
      </c>
    </row>
    <row r="2756" spans="7:9" x14ac:dyDescent="0.15">
      <c r="G2756">
        <v>41930</v>
      </c>
      <c r="H2756" t="s">
        <v>3471</v>
      </c>
      <c r="I2756">
        <v>3</v>
      </c>
    </row>
    <row r="2757" spans="7:9" x14ac:dyDescent="0.15">
      <c r="G2757">
        <v>41935</v>
      </c>
      <c r="H2757" t="s">
        <v>3472</v>
      </c>
      <c r="I2757">
        <v>3</v>
      </c>
    </row>
    <row r="2758" spans="7:9" x14ac:dyDescent="0.15">
      <c r="G2758">
        <v>41944</v>
      </c>
      <c r="H2758" t="s">
        <v>3473</v>
      </c>
      <c r="I2758">
        <v>3</v>
      </c>
    </row>
    <row r="2759" spans="7:9" x14ac:dyDescent="0.15">
      <c r="G2759">
        <v>41958</v>
      </c>
      <c r="H2759" t="s">
        <v>3474</v>
      </c>
      <c r="I2759">
        <v>3</v>
      </c>
    </row>
    <row r="2760" spans="7:9" x14ac:dyDescent="0.15">
      <c r="G2760">
        <v>41972</v>
      </c>
      <c r="H2760" t="s">
        <v>3475</v>
      </c>
      <c r="I2760">
        <v>3</v>
      </c>
    </row>
    <row r="2761" spans="7:9" x14ac:dyDescent="0.15">
      <c r="G2761">
        <v>41986</v>
      </c>
      <c r="H2761" t="s">
        <v>3476</v>
      </c>
      <c r="I2761">
        <v>2</v>
      </c>
    </row>
    <row r="2762" spans="7:9" x14ac:dyDescent="0.15">
      <c r="G2762">
        <v>42000</v>
      </c>
      <c r="H2762" t="s">
        <v>3477</v>
      </c>
      <c r="I2762">
        <v>3</v>
      </c>
    </row>
    <row r="2763" spans="7:9" x14ac:dyDescent="0.15">
      <c r="G2763">
        <v>42028</v>
      </c>
      <c r="H2763" t="s">
        <v>3478</v>
      </c>
      <c r="I2763">
        <v>2</v>
      </c>
    </row>
    <row r="2764" spans="7:9" x14ac:dyDescent="0.15">
      <c r="G2764">
        <v>42042</v>
      </c>
      <c r="H2764" t="s">
        <v>3479</v>
      </c>
      <c r="I2764">
        <v>3</v>
      </c>
    </row>
    <row r="2765" spans="7:9" x14ac:dyDescent="0.15">
      <c r="G2765">
        <v>42056</v>
      </c>
      <c r="H2765" t="s">
        <v>3480</v>
      </c>
      <c r="I2765">
        <v>3</v>
      </c>
    </row>
    <row r="2766" spans="7:9" x14ac:dyDescent="0.15">
      <c r="G2766">
        <v>42084</v>
      </c>
      <c r="H2766" t="s">
        <v>3481</v>
      </c>
      <c r="I2766">
        <v>2</v>
      </c>
    </row>
    <row r="2767" spans="7:9" x14ac:dyDescent="0.15">
      <c r="G2767">
        <v>42112</v>
      </c>
      <c r="H2767" t="s">
        <v>3482</v>
      </c>
      <c r="I2767">
        <v>3</v>
      </c>
    </row>
    <row r="2768" spans="7:9" x14ac:dyDescent="0.15">
      <c r="G2768">
        <v>42126</v>
      </c>
      <c r="H2768" t="s">
        <v>3483</v>
      </c>
      <c r="I2768">
        <v>3</v>
      </c>
    </row>
    <row r="2769" spans="7:9" x14ac:dyDescent="0.15">
      <c r="G2769">
        <v>42140</v>
      </c>
      <c r="H2769" t="s">
        <v>3484</v>
      </c>
      <c r="I2769">
        <v>3</v>
      </c>
    </row>
    <row r="2770" spans="7:9" x14ac:dyDescent="0.15">
      <c r="G2770">
        <v>42154</v>
      </c>
      <c r="H2770" t="s">
        <v>3485</v>
      </c>
      <c r="I2770">
        <v>3</v>
      </c>
    </row>
    <row r="2771" spans="7:9" x14ac:dyDescent="0.15">
      <c r="G2771">
        <v>42168</v>
      </c>
      <c r="H2771" t="s">
        <v>3485</v>
      </c>
      <c r="I2771">
        <v>3</v>
      </c>
    </row>
    <row r="2772" spans="7:9" x14ac:dyDescent="0.15">
      <c r="G2772">
        <v>42182</v>
      </c>
      <c r="H2772" t="s">
        <v>3485</v>
      </c>
      <c r="I2772">
        <v>3</v>
      </c>
    </row>
    <row r="2773" spans="7:9" x14ac:dyDescent="0.15">
      <c r="G2773">
        <v>42196</v>
      </c>
      <c r="H2773" t="s">
        <v>3485</v>
      </c>
      <c r="I2773">
        <v>3</v>
      </c>
    </row>
    <row r="2774" spans="7:9" x14ac:dyDescent="0.15">
      <c r="G2774">
        <v>42200</v>
      </c>
      <c r="H2774" t="s">
        <v>3486</v>
      </c>
      <c r="I2774">
        <v>3</v>
      </c>
    </row>
    <row r="2775" spans="7:9" x14ac:dyDescent="0.15">
      <c r="G2775">
        <v>42210</v>
      </c>
      <c r="H2775" t="s">
        <v>3487</v>
      </c>
      <c r="I2775">
        <v>3</v>
      </c>
    </row>
    <row r="2776" spans="7:9" x14ac:dyDescent="0.15">
      <c r="G2776">
        <v>42224</v>
      </c>
      <c r="H2776" t="s">
        <v>3488</v>
      </c>
      <c r="I2776">
        <v>3</v>
      </c>
    </row>
    <row r="2777" spans="7:9" x14ac:dyDescent="0.15">
      <c r="G2777">
        <v>42238</v>
      </c>
      <c r="H2777" t="s">
        <v>3489</v>
      </c>
      <c r="I2777">
        <v>3</v>
      </c>
    </row>
    <row r="2778" spans="7:9" x14ac:dyDescent="0.15">
      <c r="G2778">
        <v>42252</v>
      </c>
      <c r="H2778" t="s">
        <v>3490</v>
      </c>
      <c r="I2778">
        <v>3</v>
      </c>
    </row>
    <row r="2779" spans="7:9" x14ac:dyDescent="0.15">
      <c r="G2779">
        <v>42266</v>
      </c>
      <c r="H2779" t="s">
        <v>3491</v>
      </c>
      <c r="I2779">
        <v>3</v>
      </c>
    </row>
    <row r="2780" spans="7:9" x14ac:dyDescent="0.15">
      <c r="G2780">
        <v>42280</v>
      </c>
      <c r="H2780" t="s">
        <v>3492</v>
      </c>
      <c r="I2780">
        <v>3</v>
      </c>
    </row>
    <row r="2781" spans="7:9" x14ac:dyDescent="0.15">
      <c r="G2781">
        <v>42294</v>
      </c>
      <c r="H2781" t="s">
        <v>3493</v>
      </c>
      <c r="I2781">
        <v>3</v>
      </c>
    </row>
    <row r="2782" spans="7:9" x14ac:dyDescent="0.15">
      <c r="G2782">
        <v>42308</v>
      </c>
      <c r="H2782" t="s">
        <v>3494</v>
      </c>
      <c r="I2782">
        <v>2</v>
      </c>
    </row>
    <row r="2783" spans="7:9" x14ac:dyDescent="0.15">
      <c r="G2783">
        <v>42322</v>
      </c>
      <c r="H2783" t="s">
        <v>3495</v>
      </c>
      <c r="I2783">
        <v>3</v>
      </c>
    </row>
    <row r="2784" spans="7:9" x14ac:dyDescent="0.15">
      <c r="G2784">
        <v>42336</v>
      </c>
      <c r="H2784" t="s">
        <v>3496</v>
      </c>
      <c r="I2784">
        <v>3</v>
      </c>
    </row>
    <row r="2785" spans="7:9" x14ac:dyDescent="0.15">
      <c r="G2785">
        <v>42350</v>
      </c>
      <c r="H2785" t="s">
        <v>3497</v>
      </c>
      <c r="I2785">
        <v>3</v>
      </c>
    </row>
    <row r="2786" spans="7:9" x14ac:dyDescent="0.15">
      <c r="G2786">
        <v>42364</v>
      </c>
      <c r="H2786" t="s">
        <v>3497</v>
      </c>
      <c r="I2786">
        <v>1</v>
      </c>
    </row>
    <row r="2787" spans="7:9" x14ac:dyDescent="0.15">
      <c r="G2787">
        <v>42406</v>
      </c>
      <c r="H2787" t="s">
        <v>3498</v>
      </c>
      <c r="I2787">
        <v>3</v>
      </c>
    </row>
    <row r="2788" spans="7:9" x14ac:dyDescent="0.15">
      <c r="G2788">
        <v>42420</v>
      </c>
      <c r="H2788" t="s">
        <v>3499</v>
      </c>
      <c r="I2788">
        <v>3</v>
      </c>
    </row>
    <row r="2789" spans="7:9" x14ac:dyDescent="0.15">
      <c r="G2789">
        <v>42434</v>
      </c>
      <c r="H2789" t="s">
        <v>3499</v>
      </c>
      <c r="I2789">
        <v>3</v>
      </c>
    </row>
    <row r="2790" spans="7:9" x14ac:dyDescent="0.15">
      <c r="G2790">
        <v>42448</v>
      </c>
      <c r="H2790" t="s">
        <v>3499</v>
      </c>
      <c r="I2790">
        <v>3</v>
      </c>
    </row>
    <row r="2791" spans="7:9" x14ac:dyDescent="0.15">
      <c r="G2791">
        <v>42476</v>
      </c>
      <c r="H2791" t="s">
        <v>3500</v>
      </c>
      <c r="I2791">
        <v>2</v>
      </c>
    </row>
    <row r="2792" spans="7:9" x14ac:dyDescent="0.15">
      <c r="G2792">
        <v>42490</v>
      </c>
      <c r="H2792" t="s">
        <v>3501</v>
      </c>
      <c r="I2792">
        <v>3</v>
      </c>
    </row>
    <row r="2793" spans="7:9" x14ac:dyDescent="0.15">
      <c r="G2793">
        <v>42504</v>
      </c>
      <c r="H2793" t="s">
        <v>3502</v>
      </c>
      <c r="I2793">
        <v>3</v>
      </c>
    </row>
    <row r="2794" spans="7:9" x14ac:dyDescent="0.15">
      <c r="G2794">
        <v>42518</v>
      </c>
      <c r="H2794" t="s">
        <v>3503</v>
      </c>
      <c r="I2794">
        <v>2</v>
      </c>
    </row>
    <row r="2795" spans="7:9" x14ac:dyDescent="0.15">
      <c r="G2795">
        <v>42560</v>
      </c>
      <c r="H2795" t="s">
        <v>3504</v>
      </c>
      <c r="I2795">
        <v>2</v>
      </c>
    </row>
    <row r="2796" spans="7:9" x14ac:dyDescent="0.15">
      <c r="G2796">
        <v>42588</v>
      </c>
      <c r="H2796" t="s">
        <v>3505</v>
      </c>
      <c r="I2796">
        <v>3</v>
      </c>
    </row>
    <row r="2797" spans="7:9" x14ac:dyDescent="0.15">
      <c r="G2797">
        <v>42602</v>
      </c>
      <c r="H2797" t="s">
        <v>3506</v>
      </c>
      <c r="I2797">
        <v>2</v>
      </c>
    </row>
    <row r="2798" spans="7:9" x14ac:dyDescent="0.15">
      <c r="G2798">
        <v>42616</v>
      </c>
      <c r="H2798" t="s">
        <v>3507</v>
      </c>
      <c r="I2798">
        <v>3</v>
      </c>
    </row>
    <row r="2799" spans="7:9" x14ac:dyDescent="0.15">
      <c r="G2799">
        <v>42630</v>
      </c>
      <c r="H2799" t="s">
        <v>3508</v>
      </c>
      <c r="I2799">
        <v>3</v>
      </c>
    </row>
    <row r="2800" spans="7:9" x14ac:dyDescent="0.15">
      <c r="G2800">
        <v>42637</v>
      </c>
      <c r="H2800" t="s">
        <v>3509</v>
      </c>
      <c r="I2800">
        <v>3</v>
      </c>
    </row>
    <row r="2801" spans="7:9" x14ac:dyDescent="0.15">
      <c r="G2801">
        <v>42658</v>
      </c>
      <c r="H2801" t="s">
        <v>3510</v>
      </c>
      <c r="I2801">
        <v>3</v>
      </c>
    </row>
    <row r="2802" spans="7:9" x14ac:dyDescent="0.15">
      <c r="G2802">
        <v>42672</v>
      </c>
      <c r="H2802" t="s">
        <v>3511</v>
      </c>
      <c r="I2802">
        <v>3</v>
      </c>
    </row>
    <row r="2803" spans="7:9" x14ac:dyDescent="0.15">
      <c r="G2803">
        <v>42686</v>
      </c>
      <c r="H2803" t="s">
        <v>3512</v>
      </c>
      <c r="I2803">
        <v>3</v>
      </c>
    </row>
    <row r="2804" spans="7:9" x14ac:dyDescent="0.15">
      <c r="G2804">
        <v>42714</v>
      </c>
      <c r="H2804" t="s">
        <v>3513</v>
      </c>
      <c r="I2804">
        <v>3</v>
      </c>
    </row>
    <row r="2805" spans="7:9" x14ac:dyDescent="0.15">
      <c r="G2805">
        <v>42742</v>
      </c>
      <c r="H2805" t="s">
        <v>3514</v>
      </c>
      <c r="I2805">
        <v>3</v>
      </c>
    </row>
    <row r="2806" spans="7:9" x14ac:dyDescent="0.15">
      <c r="G2806">
        <v>42748</v>
      </c>
      <c r="H2806" t="s">
        <v>3515</v>
      </c>
      <c r="I2806">
        <v>3</v>
      </c>
    </row>
    <row r="2807" spans="7:9" x14ac:dyDescent="0.15">
      <c r="G2807">
        <v>42756</v>
      </c>
      <c r="H2807" t="s">
        <v>3516</v>
      </c>
      <c r="I2807">
        <v>3</v>
      </c>
    </row>
    <row r="2808" spans="7:9" x14ac:dyDescent="0.15">
      <c r="G2808">
        <v>42770</v>
      </c>
      <c r="H2808" t="s">
        <v>3517</v>
      </c>
      <c r="I2808">
        <v>3</v>
      </c>
    </row>
    <row r="2809" spans="7:9" x14ac:dyDescent="0.15">
      <c r="G2809">
        <v>42784</v>
      </c>
      <c r="H2809" t="s">
        <v>3518</v>
      </c>
      <c r="I2809">
        <v>3</v>
      </c>
    </row>
    <row r="2810" spans="7:9" x14ac:dyDescent="0.15">
      <c r="G2810">
        <v>42798</v>
      </c>
      <c r="H2810" t="s">
        <v>3519</v>
      </c>
      <c r="I2810">
        <v>3</v>
      </c>
    </row>
    <row r="2811" spans="7:9" x14ac:dyDescent="0.15">
      <c r="G2811">
        <v>42812</v>
      </c>
      <c r="H2811" t="s">
        <v>3520</v>
      </c>
      <c r="I2811">
        <v>3</v>
      </c>
    </row>
    <row r="2812" spans="7:9" x14ac:dyDescent="0.15">
      <c r="G2812">
        <v>42830</v>
      </c>
      <c r="H2812" t="s">
        <v>3521</v>
      </c>
      <c r="I2812">
        <v>3</v>
      </c>
    </row>
    <row r="2813" spans="7:9" x14ac:dyDescent="0.15">
      <c r="G2813">
        <v>42840</v>
      </c>
      <c r="H2813" t="s">
        <v>3522</v>
      </c>
      <c r="I2813">
        <v>3</v>
      </c>
    </row>
    <row r="2814" spans="7:9" x14ac:dyDescent="0.15">
      <c r="G2814">
        <v>42854</v>
      </c>
      <c r="H2814" t="s">
        <v>3523</v>
      </c>
      <c r="I2814">
        <v>3</v>
      </c>
    </row>
    <row r="2815" spans="7:9" x14ac:dyDescent="0.15">
      <c r="G2815">
        <v>42868</v>
      </c>
      <c r="H2815" t="s">
        <v>3524</v>
      </c>
      <c r="I2815">
        <v>3</v>
      </c>
    </row>
    <row r="2816" spans="7:9" x14ac:dyDescent="0.15">
      <c r="G2816">
        <v>42882</v>
      </c>
      <c r="H2816" t="s">
        <v>3525</v>
      </c>
      <c r="I2816">
        <v>3</v>
      </c>
    </row>
    <row r="2817" spans="7:9" x14ac:dyDescent="0.15">
      <c r="G2817">
        <v>42896</v>
      </c>
      <c r="H2817" t="s">
        <v>3526</v>
      </c>
      <c r="I2817">
        <v>3</v>
      </c>
    </row>
    <row r="2818" spans="7:9" x14ac:dyDescent="0.15">
      <c r="G2818">
        <v>42910</v>
      </c>
      <c r="H2818" t="s">
        <v>3527</v>
      </c>
      <c r="I2818">
        <v>3</v>
      </c>
    </row>
    <row r="2819" spans="7:9" x14ac:dyDescent="0.15">
      <c r="G2819">
        <v>42938</v>
      </c>
      <c r="H2819" t="s">
        <v>3528</v>
      </c>
      <c r="I2819">
        <v>2</v>
      </c>
    </row>
    <row r="2820" spans="7:9" x14ac:dyDescent="0.15">
      <c r="G2820">
        <v>42952</v>
      </c>
      <c r="H2820" t="s">
        <v>3529</v>
      </c>
      <c r="I2820">
        <v>3</v>
      </c>
    </row>
    <row r="2821" spans="7:9" x14ac:dyDescent="0.15">
      <c r="G2821">
        <v>42966</v>
      </c>
      <c r="H2821" t="s">
        <v>3530</v>
      </c>
      <c r="I2821">
        <v>2</v>
      </c>
    </row>
    <row r="2822" spans="7:9" x14ac:dyDescent="0.15">
      <c r="G2822">
        <v>42980</v>
      </c>
      <c r="H2822" t="s">
        <v>3531</v>
      </c>
      <c r="I2822">
        <v>2</v>
      </c>
    </row>
    <row r="2823" spans="7:9" x14ac:dyDescent="0.15">
      <c r="G2823">
        <v>42994</v>
      </c>
      <c r="H2823" t="s">
        <v>3532</v>
      </c>
      <c r="I2823">
        <v>2</v>
      </c>
    </row>
    <row r="2824" spans="7:9" x14ac:dyDescent="0.15">
      <c r="G2824">
        <v>43008</v>
      </c>
      <c r="H2824" t="s">
        <v>3532</v>
      </c>
      <c r="I2824">
        <v>3</v>
      </c>
    </row>
    <row r="2825" spans="7:9" x14ac:dyDescent="0.15">
      <c r="G2825">
        <v>43022</v>
      </c>
      <c r="H2825" t="s">
        <v>3533</v>
      </c>
      <c r="I2825">
        <v>3</v>
      </c>
    </row>
    <row r="2826" spans="7:9" x14ac:dyDescent="0.15">
      <c r="G2826">
        <v>43030</v>
      </c>
      <c r="H2826" t="s">
        <v>3534</v>
      </c>
      <c r="I2826">
        <v>3</v>
      </c>
    </row>
    <row r="2827" spans="7:9" x14ac:dyDescent="0.15">
      <c r="G2827">
        <v>43036</v>
      </c>
      <c r="H2827" t="s">
        <v>3535</v>
      </c>
      <c r="I2827">
        <v>3</v>
      </c>
    </row>
    <row r="2828" spans="7:9" x14ac:dyDescent="0.15">
      <c r="G2828">
        <v>43050</v>
      </c>
      <c r="H2828" t="s">
        <v>3535</v>
      </c>
      <c r="I2828">
        <v>3</v>
      </c>
    </row>
    <row r="2829" spans="7:9" x14ac:dyDescent="0.15">
      <c r="G2829">
        <v>43064</v>
      </c>
      <c r="H2829" t="s">
        <v>3535</v>
      </c>
      <c r="I2829">
        <v>3</v>
      </c>
    </row>
    <row r="2830" spans="7:9" x14ac:dyDescent="0.15">
      <c r="G2830">
        <v>43078</v>
      </c>
      <c r="H2830" t="s">
        <v>3535</v>
      </c>
      <c r="I2830">
        <v>3</v>
      </c>
    </row>
    <row r="2831" spans="7:9" x14ac:dyDescent="0.15">
      <c r="G2831">
        <v>43092</v>
      </c>
      <c r="H2831" t="s">
        <v>3535</v>
      </c>
      <c r="I2831">
        <v>3</v>
      </c>
    </row>
    <row r="2832" spans="7:9" x14ac:dyDescent="0.15">
      <c r="G2832">
        <v>43106</v>
      </c>
      <c r="H2832" t="s">
        <v>3535</v>
      </c>
      <c r="I2832">
        <v>3</v>
      </c>
    </row>
    <row r="2833" spans="7:9" x14ac:dyDescent="0.15">
      <c r="G2833">
        <v>43120</v>
      </c>
      <c r="H2833" t="s">
        <v>3535</v>
      </c>
      <c r="I2833">
        <v>3</v>
      </c>
    </row>
    <row r="2834" spans="7:9" x14ac:dyDescent="0.15">
      <c r="G2834">
        <v>43134</v>
      </c>
      <c r="H2834" t="s">
        <v>3535</v>
      </c>
      <c r="I2834">
        <v>3</v>
      </c>
    </row>
    <row r="2835" spans="7:9" x14ac:dyDescent="0.15">
      <c r="G2835">
        <v>43148</v>
      </c>
      <c r="H2835" t="s">
        <v>3535</v>
      </c>
      <c r="I2835">
        <v>3</v>
      </c>
    </row>
    <row r="2836" spans="7:9" x14ac:dyDescent="0.15">
      <c r="G2836">
        <v>43162</v>
      </c>
      <c r="H2836" t="s">
        <v>3535</v>
      </c>
      <c r="I2836">
        <v>3</v>
      </c>
    </row>
    <row r="2837" spans="7:9" x14ac:dyDescent="0.15">
      <c r="G2837">
        <v>43176</v>
      </c>
      <c r="H2837" t="s">
        <v>3535</v>
      </c>
      <c r="I2837">
        <v>3</v>
      </c>
    </row>
    <row r="2838" spans="7:9" x14ac:dyDescent="0.15">
      <c r="G2838">
        <v>43190</v>
      </c>
      <c r="H2838" t="s">
        <v>3535</v>
      </c>
      <c r="I2838">
        <v>3</v>
      </c>
    </row>
    <row r="2839" spans="7:9" x14ac:dyDescent="0.15">
      <c r="G2839">
        <v>43204</v>
      </c>
      <c r="H2839" t="s">
        <v>3535</v>
      </c>
      <c r="I2839">
        <v>3</v>
      </c>
    </row>
    <row r="2840" spans="7:9" x14ac:dyDescent="0.15">
      <c r="G2840">
        <v>43218</v>
      </c>
      <c r="H2840" t="s">
        <v>3535</v>
      </c>
      <c r="I2840">
        <v>3</v>
      </c>
    </row>
    <row r="2841" spans="7:9" x14ac:dyDescent="0.15">
      <c r="G2841">
        <v>43232</v>
      </c>
      <c r="H2841" t="s">
        <v>3535</v>
      </c>
      <c r="I2841">
        <v>3</v>
      </c>
    </row>
    <row r="2842" spans="7:9" x14ac:dyDescent="0.15">
      <c r="G2842">
        <v>43246</v>
      </c>
      <c r="H2842" t="s">
        <v>3535</v>
      </c>
      <c r="I2842">
        <v>3</v>
      </c>
    </row>
    <row r="2843" spans="7:9" x14ac:dyDescent="0.15">
      <c r="G2843">
        <v>43260</v>
      </c>
      <c r="H2843" t="s">
        <v>3535</v>
      </c>
      <c r="I2843">
        <v>3</v>
      </c>
    </row>
    <row r="2844" spans="7:9" x14ac:dyDescent="0.15">
      <c r="G2844">
        <v>43274</v>
      </c>
      <c r="H2844" t="s">
        <v>3536</v>
      </c>
      <c r="I2844">
        <v>3</v>
      </c>
    </row>
    <row r="2845" spans="7:9" x14ac:dyDescent="0.15">
      <c r="G2845">
        <v>43288</v>
      </c>
      <c r="H2845" t="s">
        <v>3535</v>
      </c>
      <c r="I2845">
        <v>3</v>
      </c>
    </row>
    <row r="2846" spans="7:9" x14ac:dyDescent="0.15">
      <c r="G2846">
        <v>43302</v>
      </c>
      <c r="H2846" t="s">
        <v>3535</v>
      </c>
      <c r="I2846">
        <v>3</v>
      </c>
    </row>
    <row r="2847" spans="7:9" x14ac:dyDescent="0.15">
      <c r="G2847">
        <v>43316</v>
      </c>
      <c r="H2847" t="s">
        <v>3535</v>
      </c>
      <c r="I2847">
        <v>3</v>
      </c>
    </row>
    <row r="2848" spans="7:9" x14ac:dyDescent="0.15">
      <c r="G2848">
        <v>43344</v>
      </c>
      <c r="H2848" t="s">
        <v>3535</v>
      </c>
      <c r="I2848">
        <v>3</v>
      </c>
    </row>
    <row r="2849" spans="7:9" x14ac:dyDescent="0.15">
      <c r="G2849">
        <v>43358</v>
      </c>
      <c r="H2849" t="s">
        <v>3535</v>
      </c>
      <c r="I2849">
        <v>3</v>
      </c>
    </row>
    <row r="2850" spans="7:9" x14ac:dyDescent="0.15">
      <c r="G2850">
        <v>43372</v>
      </c>
      <c r="H2850" t="s">
        <v>3535</v>
      </c>
      <c r="I2850">
        <v>3</v>
      </c>
    </row>
    <row r="2851" spans="7:9" x14ac:dyDescent="0.15">
      <c r="G2851">
        <v>43386</v>
      </c>
      <c r="H2851" t="s">
        <v>3535</v>
      </c>
      <c r="I2851">
        <v>3</v>
      </c>
    </row>
    <row r="2852" spans="7:9" x14ac:dyDescent="0.15">
      <c r="G2852">
        <v>43400</v>
      </c>
      <c r="H2852" t="s">
        <v>3535</v>
      </c>
      <c r="I2852">
        <v>3</v>
      </c>
    </row>
    <row r="2853" spans="7:9" x14ac:dyDescent="0.15">
      <c r="G2853">
        <v>43414</v>
      </c>
      <c r="H2853" t="s">
        <v>3537</v>
      </c>
      <c r="I2853">
        <v>2</v>
      </c>
    </row>
    <row r="2854" spans="7:9" x14ac:dyDescent="0.15">
      <c r="G2854">
        <v>43442</v>
      </c>
      <c r="H2854" t="s">
        <v>3538</v>
      </c>
      <c r="I2854">
        <v>3</v>
      </c>
    </row>
    <row r="2855" spans="7:9" x14ac:dyDescent="0.15">
      <c r="G2855">
        <v>43456</v>
      </c>
      <c r="H2855" t="s">
        <v>3539</v>
      </c>
      <c r="I2855">
        <v>3</v>
      </c>
    </row>
    <row r="2856" spans="7:9" x14ac:dyDescent="0.15">
      <c r="G2856">
        <v>43470</v>
      </c>
      <c r="H2856" t="s">
        <v>3539</v>
      </c>
      <c r="I2856">
        <v>3</v>
      </c>
    </row>
    <row r="2857" spans="7:9" x14ac:dyDescent="0.15">
      <c r="G2857">
        <v>43484</v>
      </c>
      <c r="H2857" t="s">
        <v>3540</v>
      </c>
      <c r="I2857">
        <v>3</v>
      </c>
    </row>
    <row r="2858" spans="7:9" x14ac:dyDescent="0.15">
      <c r="G2858">
        <v>43498</v>
      </c>
      <c r="H2858" t="s">
        <v>3541</v>
      </c>
      <c r="I2858">
        <v>3</v>
      </c>
    </row>
    <row r="2859" spans="7:9" x14ac:dyDescent="0.15">
      <c r="G2859">
        <v>43526</v>
      </c>
      <c r="H2859" t="s">
        <v>3542</v>
      </c>
      <c r="I2859">
        <v>3</v>
      </c>
    </row>
    <row r="2860" spans="7:9" x14ac:dyDescent="0.15">
      <c r="G2860">
        <v>43540</v>
      </c>
      <c r="H2860" t="s">
        <v>3543</v>
      </c>
      <c r="I2860">
        <v>3</v>
      </c>
    </row>
    <row r="2861" spans="7:9" x14ac:dyDescent="0.15">
      <c r="G2861">
        <v>43554</v>
      </c>
      <c r="H2861" t="s">
        <v>936</v>
      </c>
      <c r="I2861">
        <v>1</v>
      </c>
    </row>
    <row r="2862" spans="7:9" x14ac:dyDescent="0.15">
      <c r="G2862">
        <v>43568</v>
      </c>
      <c r="H2862" t="s">
        <v>3544</v>
      </c>
      <c r="I2862">
        <v>3</v>
      </c>
    </row>
    <row r="2863" spans="7:9" x14ac:dyDescent="0.15">
      <c r="G2863">
        <v>43572</v>
      </c>
      <c r="H2863" t="s">
        <v>936</v>
      </c>
      <c r="I2863">
        <v>3</v>
      </c>
    </row>
    <row r="2864" spans="7:9" x14ac:dyDescent="0.15">
      <c r="G2864">
        <v>43596</v>
      </c>
      <c r="H2864" t="s">
        <v>3545</v>
      </c>
      <c r="I2864">
        <v>2</v>
      </c>
    </row>
    <row r="2865" spans="7:9" x14ac:dyDescent="0.15">
      <c r="G2865">
        <v>43610</v>
      </c>
      <c r="H2865" t="s">
        <v>3546</v>
      </c>
      <c r="I2865">
        <v>3</v>
      </c>
    </row>
    <row r="2866" spans="7:9" x14ac:dyDescent="0.15">
      <c r="G2866">
        <v>43638</v>
      </c>
      <c r="H2866" t="s">
        <v>3547</v>
      </c>
      <c r="I2866">
        <v>3</v>
      </c>
    </row>
    <row r="2867" spans="7:9" x14ac:dyDescent="0.15">
      <c r="G2867">
        <v>43652</v>
      </c>
      <c r="H2867" t="s">
        <v>3548</v>
      </c>
      <c r="I2867">
        <v>3</v>
      </c>
    </row>
    <row r="2868" spans="7:9" x14ac:dyDescent="0.15">
      <c r="G2868">
        <v>43666</v>
      </c>
      <c r="H2868" t="s">
        <v>3549</v>
      </c>
      <c r="I2868">
        <v>3</v>
      </c>
    </row>
    <row r="2869" spans="7:9" x14ac:dyDescent="0.15">
      <c r="G2869">
        <v>43680</v>
      </c>
      <c r="H2869" t="s">
        <v>3550</v>
      </c>
      <c r="I2869">
        <v>3</v>
      </c>
    </row>
    <row r="2870" spans="7:9" x14ac:dyDescent="0.15">
      <c r="G2870">
        <v>43722</v>
      </c>
      <c r="H2870" t="s">
        <v>3551</v>
      </c>
      <c r="I2870">
        <v>2</v>
      </c>
    </row>
    <row r="2871" spans="7:9" x14ac:dyDescent="0.15">
      <c r="G2871">
        <v>43755</v>
      </c>
      <c r="H2871" t="s">
        <v>3551</v>
      </c>
      <c r="I2871">
        <v>3</v>
      </c>
    </row>
    <row r="2872" spans="7:9" x14ac:dyDescent="0.15">
      <c r="G2872">
        <v>43764</v>
      </c>
      <c r="H2872" t="s">
        <v>3551</v>
      </c>
      <c r="I2872">
        <v>3</v>
      </c>
    </row>
    <row r="2873" spans="7:9" x14ac:dyDescent="0.15">
      <c r="G2873">
        <v>43792</v>
      </c>
      <c r="H2873" t="s">
        <v>3552</v>
      </c>
      <c r="I2873">
        <v>1</v>
      </c>
    </row>
    <row r="2874" spans="7:9" x14ac:dyDescent="0.15">
      <c r="G2874">
        <v>43806</v>
      </c>
      <c r="H2874" t="s">
        <v>3553</v>
      </c>
      <c r="I2874">
        <v>3</v>
      </c>
    </row>
    <row r="2875" spans="7:9" x14ac:dyDescent="0.15">
      <c r="G2875">
        <v>43834</v>
      </c>
      <c r="H2875" t="s">
        <v>3554</v>
      </c>
      <c r="I2875">
        <v>3</v>
      </c>
    </row>
    <row r="2876" spans="7:9" x14ac:dyDescent="0.15">
      <c r="G2876">
        <v>43848</v>
      </c>
      <c r="H2876" t="s">
        <v>3555</v>
      </c>
      <c r="I2876">
        <v>3</v>
      </c>
    </row>
    <row r="2877" spans="7:9" x14ac:dyDescent="0.15">
      <c r="G2877">
        <v>43876</v>
      </c>
      <c r="H2877" t="s">
        <v>3556</v>
      </c>
      <c r="I2877">
        <v>3</v>
      </c>
    </row>
    <row r="2878" spans="7:9" x14ac:dyDescent="0.15">
      <c r="G2878">
        <v>43890</v>
      </c>
      <c r="H2878" t="s">
        <v>3557</v>
      </c>
      <c r="I2878">
        <v>3</v>
      </c>
    </row>
    <row r="2879" spans="7:9" x14ac:dyDescent="0.15">
      <c r="G2879">
        <v>43904</v>
      </c>
      <c r="H2879" t="s">
        <v>3558</v>
      </c>
      <c r="I2879">
        <v>2</v>
      </c>
    </row>
    <row r="2880" spans="7:9" x14ac:dyDescent="0.15">
      <c r="G2880">
        <v>43918</v>
      </c>
      <c r="H2880" t="s">
        <v>3559</v>
      </c>
      <c r="I2880">
        <v>2</v>
      </c>
    </row>
    <row r="2881" spans="7:9" x14ac:dyDescent="0.15">
      <c r="G2881">
        <v>43932</v>
      </c>
      <c r="H2881" t="s">
        <v>3560</v>
      </c>
      <c r="I2881">
        <v>3</v>
      </c>
    </row>
    <row r="2882" spans="7:9" x14ac:dyDescent="0.15">
      <c r="G2882">
        <v>43946</v>
      </c>
      <c r="H2882" t="s">
        <v>3560</v>
      </c>
      <c r="I2882">
        <v>3</v>
      </c>
    </row>
    <row r="2883" spans="7:9" x14ac:dyDescent="0.15">
      <c r="G2883">
        <v>43960</v>
      </c>
      <c r="H2883" t="s">
        <v>3561</v>
      </c>
      <c r="I2883">
        <v>3</v>
      </c>
    </row>
    <row r="2884" spans="7:9" x14ac:dyDescent="0.15">
      <c r="G2884">
        <v>43965</v>
      </c>
      <c r="H2884" t="s">
        <v>3562</v>
      </c>
      <c r="I2884">
        <v>3</v>
      </c>
    </row>
    <row r="2885" spans="7:9" x14ac:dyDescent="0.15">
      <c r="G2885">
        <v>43974</v>
      </c>
      <c r="H2885" t="s">
        <v>3563</v>
      </c>
      <c r="I2885">
        <v>3</v>
      </c>
    </row>
    <row r="2886" spans="7:9" x14ac:dyDescent="0.15">
      <c r="G2886">
        <v>43988</v>
      </c>
      <c r="H2886" t="s">
        <v>3564</v>
      </c>
      <c r="I2886">
        <v>3</v>
      </c>
    </row>
    <row r="2887" spans="7:9" x14ac:dyDescent="0.15">
      <c r="G2887">
        <v>44002</v>
      </c>
      <c r="H2887" t="s">
        <v>3565</v>
      </c>
      <c r="I2887">
        <v>3</v>
      </c>
    </row>
    <row r="2888" spans="7:9" x14ac:dyDescent="0.15">
      <c r="G2888">
        <v>44016</v>
      </c>
      <c r="H2888" t="s">
        <v>1010</v>
      </c>
      <c r="I2888">
        <v>3</v>
      </c>
    </row>
    <row r="2889" spans="7:9" x14ac:dyDescent="0.15">
      <c r="G2889">
        <v>44030</v>
      </c>
      <c r="H2889" t="s">
        <v>1010</v>
      </c>
      <c r="I2889">
        <v>2</v>
      </c>
    </row>
    <row r="2890" spans="7:9" x14ac:dyDescent="0.15">
      <c r="G2890">
        <v>44044</v>
      </c>
      <c r="H2890" t="s">
        <v>3566</v>
      </c>
      <c r="I2890">
        <v>3</v>
      </c>
    </row>
    <row r="2891" spans="7:9" x14ac:dyDescent="0.15">
      <c r="G2891">
        <v>44058</v>
      </c>
      <c r="H2891" t="s">
        <v>3567</v>
      </c>
      <c r="I2891">
        <v>3</v>
      </c>
    </row>
    <row r="2892" spans="7:9" x14ac:dyDescent="0.15">
      <c r="G2892">
        <v>44072</v>
      </c>
      <c r="H2892" t="s">
        <v>3568</v>
      </c>
      <c r="I2892">
        <v>3</v>
      </c>
    </row>
    <row r="2893" spans="7:9" x14ac:dyDescent="0.15">
      <c r="G2893">
        <v>44086</v>
      </c>
      <c r="H2893" t="s">
        <v>3569</v>
      </c>
      <c r="I2893">
        <v>2</v>
      </c>
    </row>
    <row r="2894" spans="7:9" x14ac:dyDescent="0.15">
      <c r="G2894">
        <v>44095</v>
      </c>
      <c r="H2894" t="s">
        <v>3570</v>
      </c>
      <c r="I2894">
        <v>3</v>
      </c>
    </row>
    <row r="2895" spans="7:9" x14ac:dyDescent="0.15">
      <c r="G2895">
        <v>44100</v>
      </c>
      <c r="H2895" t="s">
        <v>3571</v>
      </c>
      <c r="I2895">
        <v>3</v>
      </c>
    </row>
    <row r="2896" spans="7:9" x14ac:dyDescent="0.15">
      <c r="G2896">
        <v>44128</v>
      </c>
      <c r="H2896" t="s">
        <v>3572</v>
      </c>
      <c r="I2896">
        <v>2</v>
      </c>
    </row>
    <row r="2897" spans="7:9" x14ac:dyDescent="0.15">
      <c r="G2897">
        <v>44135</v>
      </c>
      <c r="H2897" t="s">
        <v>3573</v>
      </c>
      <c r="I2897">
        <v>3</v>
      </c>
    </row>
    <row r="2898" spans="7:9" x14ac:dyDescent="0.15">
      <c r="G2898">
        <v>44142</v>
      </c>
      <c r="H2898" t="s">
        <v>3574</v>
      </c>
      <c r="I2898">
        <v>3</v>
      </c>
    </row>
    <row r="2899" spans="7:9" x14ac:dyDescent="0.15">
      <c r="G2899">
        <v>44156</v>
      </c>
      <c r="H2899" t="s">
        <v>3575</v>
      </c>
      <c r="I2899">
        <v>3</v>
      </c>
    </row>
    <row r="2900" spans="7:9" x14ac:dyDescent="0.15">
      <c r="G2900">
        <v>44170</v>
      </c>
      <c r="H2900" t="s">
        <v>3576</v>
      </c>
      <c r="I2900">
        <v>3</v>
      </c>
    </row>
    <row r="2901" spans="7:9" x14ac:dyDescent="0.15">
      <c r="G2901">
        <v>44184</v>
      </c>
      <c r="H2901" t="s">
        <v>3577</v>
      </c>
      <c r="I2901">
        <v>3</v>
      </c>
    </row>
    <row r="2902" spans="7:9" x14ac:dyDescent="0.15">
      <c r="G2902">
        <v>44198</v>
      </c>
      <c r="H2902" t="s">
        <v>3578</v>
      </c>
      <c r="I2902">
        <v>3</v>
      </c>
    </row>
    <row r="2903" spans="7:9" x14ac:dyDescent="0.15">
      <c r="G2903">
        <v>44212</v>
      </c>
      <c r="H2903" t="s">
        <v>3578</v>
      </c>
      <c r="I2903">
        <v>3</v>
      </c>
    </row>
    <row r="2904" spans="7:9" x14ac:dyDescent="0.15">
      <c r="G2904">
        <v>44226</v>
      </c>
      <c r="H2904" t="s">
        <v>3579</v>
      </c>
      <c r="I2904">
        <v>3</v>
      </c>
    </row>
    <row r="2905" spans="7:9" x14ac:dyDescent="0.15">
      <c r="G2905">
        <v>44240</v>
      </c>
      <c r="H2905" t="s">
        <v>3579</v>
      </c>
      <c r="I2905">
        <v>3</v>
      </c>
    </row>
    <row r="2906" spans="7:9" x14ac:dyDescent="0.15">
      <c r="G2906">
        <v>44275</v>
      </c>
      <c r="H2906" t="s">
        <v>3580</v>
      </c>
      <c r="I2906">
        <v>3</v>
      </c>
    </row>
    <row r="2907" spans="7:9" x14ac:dyDescent="0.15">
      <c r="G2907">
        <v>44282</v>
      </c>
      <c r="H2907" t="s">
        <v>3581</v>
      </c>
      <c r="I2907">
        <v>3</v>
      </c>
    </row>
    <row r="2908" spans="7:9" x14ac:dyDescent="0.15">
      <c r="G2908">
        <v>44296</v>
      </c>
      <c r="H2908" t="s">
        <v>3582</v>
      </c>
      <c r="I2908">
        <v>3</v>
      </c>
    </row>
    <row r="2909" spans="7:9" x14ac:dyDescent="0.15">
      <c r="G2909">
        <v>44310</v>
      </c>
      <c r="H2909" t="s">
        <v>3583</v>
      </c>
      <c r="I2909">
        <v>2</v>
      </c>
    </row>
    <row r="2910" spans="7:9" x14ac:dyDescent="0.15">
      <c r="G2910">
        <v>44338</v>
      </c>
      <c r="H2910" t="s">
        <v>3584</v>
      </c>
      <c r="I2910">
        <v>3</v>
      </c>
    </row>
    <row r="2911" spans="7:9" x14ac:dyDescent="0.15">
      <c r="G2911">
        <v>44352</v>
      </c>
      <c r="H2911" t="s">
        <v>3585</v>
      </c>
      <c r="I2911">
        <v>2</v>
      </c>
    </row>
    <row r="2912" spans="7:9" x14ac:dyDescent="0.15">
      <c r="G2912">
        <v>44366</v>
      </c>
      <c r="H2912" t="s">
        <v>3586</v>
      </c>
      <c r="I2912">
        <v>2</v>
      </c>
    </row>
    <row r="2913" spans="7:9" x14ac:dyDescent="0.15">
      <c r="G2913">
        <v>44385</v>
      </c>
      <c r="H2913" t="s">
        <v>3587</v>
      </c>
      <c r="I2913">
        <v>3</v>
      </c>
    </row>
    <row r="2914" spans="7:9" x14ac:dyDescent="0.15">
      <c r="G2914">
        <v>44400</v>
      </c>
      <c r="H2914" t="s">
        <v>3588</v>
      </c>
      <c r="I2914">
        <v>3</v>
      </c>
    </row>
    <row r="2915" spans="7:9" x14ac:dyDescent="0.15">
      <c r="G2915">
        <v>44408</v>
      </c>
      <c r="H2915" t="s">
        <v>3589</v>
      </c>
      <c r="I2915">
        <v>3</v>
      </c>
    </row>
    <row r="2916" spans="7:9" x14ac:dyDescent="0.15">
      <c r="G2916">
        <v>44422</v>
      </c>
      <c r="H2916" t="s">
        <v>3590</v>
      </c>
      <c r="I2916">
        <v>3</v>
      </c>
    </row>
    <row r="2917" spans="7:9" x14ac:dyDescent="0.15">
      <c r="G2917">
        <v>44436</v>
      </c>
      <c r="H2917" t="s">
        <v>3591</v>
      </c>
      <c r="I2917">
        <v>3</v>
      </c>
    </row>
    <row r="2918" spans="7:9" x14ac:dyDescent="0.15">
      <c r="G2918">
        <v>44450</v>
      </c>
      <c r="H2918" t="s">
        <v>3592</v>
      </c>
      <c r="I2918">
        <v>3</v>
      </c>
    </row>
    <row r="2919" spans="7:9" x14ac:dyDescent="0.15">
      <c r="G2919">
        <v>44464</v>
      </c>
      <c r="H2919" t="s">
        <v>3593</v>
      </c>
      <c r="I2919">
        <v>3</v>
      </c>
    </row>
    <row r="2920" spans="7:9" x14ac:dyDescent="0.15">
      <c r="G2920">
        <v>44492</v>
      </c>
      <c r="H2920" t="s">
        <v>3594</v>
      </c>
      <c r="I2920">
        <v>3</v>
      </c>
    </row>
    <row r="2921" spans="7:9" x14ac:dyDescent="0.15">
      <c r="G2921">
        <v>44500</v>
      </c>
      <c r="H2921" t="s">
        <v>3595</v>
      </c>
      <c r="I2921">
        <v>3</v>
      </c>
    </row>
    <row r="2922" spans="7:9" x14ac:dyDescent="0.15">
      <c r="G2922">
        <v>44506</v>
      </c>
      <c r="H2922" t="s">
        <v>3596</v>
      </c>
      <c r="I2922">
        <v>3</v>
      </c>
    </row>
    <row r="2923" spans="7:9" x14ac:dyDescent="0.15">
      <c r="G2923">
        <v>44525</v>
      </c>
      <c r="H2923" t="s">
        <v>3596</v>
      </c>
      <c r="I2923">
        <v>3</v>
      </c>
    </row>
    <row r="2924" spans="7:9" x14ac:dyDescent="0.15">
      <c r="G2924">
        <v>44534</v>
      </c>
      <c r="H2924" t="s">
        <v>3596</v>
      </c>
      <c r="I2924">
        <v>3</v>
      </c>
    </row>
    <row r="2925" spans="7:9" x14ac:dyDescent="0.15">
      <c r="G2925">
        <v>44548</v>
      </c>
      <c r="H2925" t="s">
        <v>3597</v>
      </c>
      <c r="I2925">
        <v>3</v>
      </c>
    </row>
    <row r="2926" spans="7:9" x14ac:dyDescent="0.15">
      <c r="G2926">
        <v>44562</v>
      </c>
      <c r="H2926" t="s">
        <v>3598</v>
      </c>
      <c r="I2926">
        <v>3</v>
      </c>
    </row>
    <row r="2927" spans="7:9" x14ac:dyDescent="0.15">
      <c r="G2927">
        <v>44576</v>
      </c>
      <c r="H2927" t="s">
        <v>3599</v>
      </c>
      <c r="I2927">
        <v>3</v>
      </c>
    </row>
    <row r="2928" spans="7:9" x14ac:dyDescent="0.15">
      <c r="G2928">
        <v>44590</v>
      </c>
      <c r="H2928" t="s">
        <v>3600</v>
      </c>
      <c r="I2928">
        <v>3</v>
      </c>
    </row>
    <row r="2929" spans="7:9" x14ac:dyDescent="0.15">
      <c r="G2929">
        <v>44604</v>
      </c>
      <c r="H2929" t="s">
        <v>3601</v>
      </c>
      <c r="I2929">
        <v>2</v>
      </c>
    </row>
    <row r="2930" spans="7:9" x14ac:dyDescent="0.15">
      <c r="G2930">
        <v>44618</v>
      </c>
      <c r="H2930" t="s">
        <v>3602</v>
      </c>
      <c r="I2930">
        <v>3</v>
      </c>
    </row>
    <row r="2931" spans="7:9" x14ac:dyDescent="0.15">
      <c r="G2931">
        <v>44632</v>
      </c>
      <c r="H2931" t="s">
        <v>980</v>
      </c>
      <c r="I2931">
        <v>1</v>
      </c>
    </row>
    <row r="2932" spans="7:9" x14ac:dyDescent="0.15">
      <c r="G2932">
        <v>44636</v>
      </c>
      <c r="H2932" t="s">
        <v>3603</v>
      </c>
      <c r="I2932">
        <v>2</v>
      </c>
    </row>
    <row r="2933" spans="7:9" x14ac:dyDescent="0.15">
      <c r="G2933">
        <v>44646</v>
      </c>
      <c r="H2933" t="s">
        <v>3604</v>
      </c>
      <c r="I2933">
        <v>3</v>
      </c>
    </row>
    <row r="2934" spans="7:9" x14ac:dyDescent="0.15">
      <c r="G2934">
        <v>44650</v>
      </c>
      <c r="H2934" t="s">
        <v>3605</v>
      </c>
      <c r="I2934">
        <v>3</v>
      </c>
    </row>
    <row r="2935" spans="7:9" x14ac:dyDescent="0.15">
      <c r="G2935">
        <v>44660</v>
      </c>
      <c r="H2935" t="s">
        <v>3606</v>
      </c>
      <c r="I2935">
        <v>3</v>
      </c>
    </row>
    <row r="2936" spans="7:9" x14ac:dyDescent="0.15">
      <c r="G2936">
        <v>44674</v>
      </c>
      <c r="H2936" t="s">
        <v>981</v>
      </c>
      <c r="I2936">
        <v>1</v>
      </c>
    </row>
    <row r="2937" spans="7:9" x14ac:dyDescent="0.15">
      <c r="G2937">
        <v>44688</v>
      </c>
      <c r="H2937" t="s">
        <v>981</v>
      </c>
      <c r="I2937">
        <v>3</v>
      </c>
    </row>
    <row r="2938" spans="7:9" x14ac:dyDescent="0.15">
      <c r="G2938">
        <v>44702</v>
      </c>
      <c r="H2938" t="s">
        <v>3607</v>
      </c>
      <c r="I2938">
        <v>3</v>
      </c>
    </row>
    <row r="2939" spans="7:9" x14ac:dyDescent="0.15">
      <c r="G2939">
        <v>44716</v>
      </c>
      <c r="H2939" t="s">
        <v>3608</v>
      </c>
      <c r="I2939">
        <v>3</v>
      </c>
    </row>
    <row r="2940" spans="7:9" x14ac:dyDescent="0.15">
      <c r="G2940">
        <v>44730</v>
      </c>
      <c r="H2940" t="s">
        <v>3607</v>
      </c>
      <c r="I2940">
        <v>3</v>
      </c>
    </row>
    <row r="2941" spans="7:9" x14ac:dyDescent="0.15">
      <c r="G2941">
        <v>44744</v>
      </c>
      <c r="H2941" t="s">
        <v>3609</v>
      </c>
      <c r="I2941">
        <v>3</v>
      </c>
    </row>
    <row r="2942" spans="7:9" x14ac:dyDescent="0.15">
      <c r="G2942">
        <v>44758</v>
      </c>
      <c r="H2942" t="s">
        <v>3610</v>
      </c>
      <c r="I2942">
        <v>3</v>
      </c>
    </row>
    <row r="2943" spans="7:9" x14ac:dyDescent="0.15">
      <c r="G2943">
        <v>44772</v>
      </c>
      <c r="H2943" t="s">
        <v>3611</v>
      </c>
      <c r="I2943">
        <v>3</v>
      </c>
    </row>
    <row r="2944" spans="7:9" x14ac:dyDescent="0.15">
      <c r="G2944">
        <v>44780</v>
      </c>
      <c r="H2944" t="s">
        <v>3612</v>
      </c>
      <c r="I2944">
        <v>3</v>
      </c>
    </row>
    <row r="2945" spans="7:9" x14ac:dyDescent="0.15">
      <c r="G2945">
        <v>44786</v>
      </c>
      <c r="H2945" t="s">
        <v>3613</v>
      </c>
      <c r="I2945">
        <v>3</v>
      </c>
    </row>
    <row r="2946" spans="7:9" x14ac:dyDescent="0.15">
      <c r="G2946">
        <v>44814</v>
      </c>
      <c r="H2946" t="s">
        <v>3614</v>
      </c>
      <c r="I2946">
        <v>3</v>
      </c>
    </row>
    <row r="2947" spans="7:9" x14ac:dyDescent="0.15">
      <c r="G2947">
        <v>44828</v>
      </c>
      <c r="H2947" t="s">
        <v>3615</v>
      </c>
      <c r="I2947">
        <v>3</v>
      </c>
    </row>
    <row r="2948" spans="7:9" x14ac:dyDescent="0.15">
      <c r="G2948">
        <v>44842</v>
      </c>
      <c r="H2948" t="s">
        <v>3616</v>
      </c>
      <c r="I2948">
        <v>3</v>
      </c>
    </row>
    <row r="2949" spans="7:9" x14ac:dyDescent="0.15">
      <c r="G2949">
        <v>44850</v>
      </c>
      <c r="H2949" t="s">
        <v>3617</v>
      </c>
      <c r="I2949">
        <v>3</v>
      </c>
    </row>
    <row r="2950" spans="7:9" x14ac:dyDescent="0.15">
      <c r="G2950">
        <v>44856</v>
      </c>
      <c r="H2950" t="s">
        <v>3618</v>
      </c>
      <c r="I2950">
        <v>1</v>
      </c>
    </row>
    <row r="2951" spans="7:9" x14ac:dyDescent="0.15">
      <c r="G2951">
        <v>44884</v>
      </c>
      <c r="H2951" t="s">
        <v>3619</v>
      </c>
      <c r="I2951">
        <v>3</v>
      </c>
    </row>
    <row r="2952" spans="7:9" x14ac:dyDescent="0.15">
      <c r="G2952">
        <v>44912</v>
      </c>
      <c r="H2952" t="s">
        <v>3620</v>
      </c>
      <c r="I2952">
        <v>2</v>
      </c>
    </row>
    <row r="2953" spans="7:9" x14ac:dyDescent="0.15">
      <c r="G2953">
        <v>44954</v>
      </c>
      <c r="H2953" t="s">
        <v>3621</v>
      </c>
      <c r="I2953">
        <v>2</v>
      </c>
    </row>
    <row r="2954" spans="7:9" x14ac:dyDescent="0.15">
      <c r="G2954">
        <v>44960</v>
      </c>
      <c r="H2954" t="s">
        <v>3622</v>
      </c>
      <c r="I2954">
        <v>3</v>
      </c>
    </row>
    <row r="2955" spans="7:9" x14ac:dyDescent="0.15">
      <c r="G2955">
        <v>44968</v>
      </c>
      <c r="H2955" t="s">
        <v>3623</v>
      </c>
      <c r="I2955">
        <v>3</v>
      </c>
    </row>
    <row r="2956" spans="7:9" x14ac:dyDescent="0.15">
      <c r="G2956">
        <v>44996</v>
      </c>
      <c r="H2956" t="s">
        <v>3624</v>
      </c>
      <c r="I2956">
        <v>3</v>
      </c>
    </row>
    <row r="2957" spans="7:9" x14ac:dyDescent="0.15">
      <c r="G2957">
        <v>45010</v>
      </c>
      <c r="H2957" t="s">
        <v>3625</v>
      </c>
      <c r="I2957">
        <v>3</v>
      </c>
    </row>
    <row r="2958" spans="7:9" x14ac:dyDescent="0.15">
      <c r="G2958">
        <v>45038</v>
      </c>
      <c r="H2958" t="s">
        <v>3626</v>
      </c>
      <c r="I2958">
        <v>3</v>
      </c>
    </row>
    <row r="2959" spans="7:9" x14ac:dyDescent="0.15">
      <c r="G2959">
        <v>45052</v>
      </c>
      <c r="H2959" t="s">
        <v>3626</v>
      </c>
      <c r="I2959">
        <v>3</v>
      </c>
    </row>
    <row r="2960" spans="7:9" x14ac:dyDescent="0.15">
      <c r="G2960">
        <v>45056</v>
      </c>
      <c r="H2960" t="s">
        <v>3627</v>
      </c>
      <c r="I2960">
        <v>3</v>
      </c>
    </row>
    <row r="2961" spans="7:9" x14ac:dyDescent="0.15">
      <c r="G2961">
        <v>45066</v>
      </c>
      <c r="H2961" t="s">
        <v>1147</v>
      </c>
      <c r="I2961">
        <v>2</v>
      </c>
    </row>
    <row r="2962" spans="7:9" x14ac:dyDescent="0.15">
      <c r="G2962">
        <v>45080</v>
      </c>
      <c r="H2962" t="s">
        <v>3628</v>
      </c>
      <c r="I2962">
        <v>3</v>
      </c>
    </row>
    <row r="2963" spans="7:9" x14ac:dyDescent="0.15">
      <c r="G2963">
        <v>45094</v>
      </c>
      <c r="H2963" t="s">
        <v>3628</v>
      </c>
      <c r="I2963">
        <v>1</v>
      </c>
    </row>
    <row r="2964" spans="7:9" x14ac:dyDescent="0.15">
      <c r="G2964">
        <v>45108</v>
      </c>
      <c r="H2964" t="s">
        <v>3629</v>
      </c>
      <c r="I2964">
        <v>1</v>
      </c>
    </row>
    <row r="2965" spans="7:9" x14ac:dyDescent="0.15">
      <c r="G2965">
        <v>45122</v>
      </c>
      <c r="H2965" t="s">
        <v>3630</v>
      </c>
      <c r="I2965">
        <v>2</v>
      </c>
    </row>
    <row r="2966" spans="7:9" x14ac:dyDescent="0.15">
      <c r="G2966">
        <v>45136</v>
      </c>
      <c r="H2966" t="s">
        <v>3631</v>
      </c>
      <c r="I2966">
        <v>3</v>
      </c>
    </row>
    <row r="2967" spans="7:9" x14ac:dyDescent="0.15">
      <c r="G2967">
        <v>45150</v>
      </c>
      <c r="H2967" t="s">
        <v>3632</v>
      </c>
      <c r="I2967">
        <v>3</v>
      </c>
    </row>
    <row r="2968" spans="7:9" x14ac:dyDescent="0.15">
      <c r="G2968">
        <v>45164</v>
      </c>
      <c r="H2968" t="s">
        <v>3632</v>
      </c>
      <c r="I2968">
        <v>2</v>
      </c>
    </row>
    <row r="2969" spans="7:9" x14ac:dyDescent="0.15">
      <c r="G2969">
        <v>45178</v>
      </c>
      <c r="H2969" t="s">
        <v>3633</v>
      </c>
      <c r="I2969">
        <v>2</v>
      </c>
    </row>
    <row r="2970" spans="7:9" x14ac:dyDescent="0.15">
      <c r="G2970">
        <v>45206</v>
      </c>
      <c r="H2970" t="s">
        <v>3634</v>
      </c>
      <c r="I2970">
        <v>3</v>
      </c>
    </row>
    <row r="2971" spans="7:9" x14ac:dyDescent="0.15">
      <c r="G2971">
        <v>45220</v>
      </c>
      <c r="H2971" t="s">
        <v>3635</v>
      </c>
      <c r="I2971">
        <v>2</v>
      </c>
    </row>
    <row r="2972" spans="7:9" x14ac:dyDescent="0.15">
      <c r="G2972">
        <v>45225</v>
      </c>
      <c r="H2972" t="s">
        <v>3636</v>
      </c>
      <c r="I2972">
        <v>3</v>
      </c>
    </row>
    <row r="2973" spans="7:9" x14ac:dyDescent="0.15">
      <c r="G2973">
        <v>45250</v>
      </c>
      <c r="H2973" t="s">
        <v>3637</v>
      </c>
      <c r="I2973">
        <v>3</v>
      </c>
    </row>
    <row r="2974" spans="7:9" x14ac:dyDescent="0.15">
      <c r="G2974">
        <v>45276</v>
      </c>
      <c r="H2974" t="s">
        <v>3638</v>
      </c>
      <c r="I2974">
        <v>2</v>
      </c>
    </row>
    <row r="2975" spans="7:9" x14ac:dyDescent="0.15">
      <c r="G2975">
        <v>45290</v>
      </c>
      <c r="H2975" t="s">
        <v>3639</v>
      </c>
      <c r="I2975">
        <v>3</v>
      </c>
    </row>
    <row r="2976" spans="7:9" x14ac:dyDescent="0.15">
      <c r="G2976">
        <v>45304</v>
      </c>
      <c r="H2976" t="s">
        <v>3640</v>
      </c>
      <c r="I2976">
        <v>2</v>
      </c>
    </row>
    <row r="2977" spans="7:9" x14ac:dyDescent="0.15">
      <c r="G2977">
        <v>45318</v>
      </c>
      <c r="H2977" t="s">
        <v>3641</v>
      </c>
      <c r="I2977">
        <v>3</v>
      </c>
    </row>
    <row r="2978" spans="7:9" x14ac:dyDescent="0.15">
      <c r="G2978">
        <v>45332</v>
      </c>
      <c r="H2978" t="s">
        <v>3642</v>
      </c>
      <c r="I2978">
        <v>2</v>
      </c>
    </row>
    <row r="2979" spans="7:9" x14ac:dyDescent="0.15">
      <c r="G2979">
        <v>45346</v>
      </c>
      <c r="H2979" t="s">
        <v>3643</v>
      </c>
      <c r="I2979">
        <v>3</v>
      </c>
    </row>
    <row r="2980" spans="7:9" x14ac:dyDescent="0.15">
      <c r="G2980">
        <v>45360</v>
      </c>
      <c r="H2980" t="s">
        <v>3644</v>
      </c>
      <c r="I2980">
        <v>3</v>
      </c>
    </row>
    <row r="2981" spans="7:9" x14ac:dyDescent="0.15">
      <c r="G2981">
        <v>45374</v>
      </c>
      <c r="H2981" t="s">
        <v>3645</v>
      </c>
      <c r="I2981">
        <v>2</v>
      </c>
    </row>
    <row r="2982" spans="7:9" x14ac:dyDescent="0.15">
      <c r="G2982">
        <v>45395</v>
      </c>
      <c r="H2982" t="s">
        <v>3646</v>
      </c>
      <c r="I2982">
        <v>3</v>
      </c>
    </row>
    <row r="2983" spans="7:9" x14ac:dyDescent="0.15">
      <c r="G2983">
        <v>45405</v>
      </c>
      <c r="H2983" t="s">
        <v>3647</v>
      </c>
      <c r="I2983">
        <v>3</v>
      </c>
    </row>
    <row r="2984" spans="7:9" x14ac:dyDescent="0.15">
      <c r="G2984">
        <v>45416</v>
      </c>
      <c r="H2984" t="s">
        <v>3648</v>
      </c>
      <c r="I2984">
        <v>3</v>
      </c>
    </row>
    <row r="2985" spans="7:9" x14ac:dyDescent="0.15">
      <c r="G2985">
        <v>45430</v>
      </c>
      <c r="H2985" t="s">
        <v>3649</v>
      </c>
      <c r="I2985">
        <v>3</v>
      </c>
    </row>
    <row r="2986" spans="7:9" x14ac:dyDescent="0.15">
      <c r="G2986">
        <v>45444</v>
      </c>
      <c r="H2986" t="s">
        <v>3650</v>
      </c>
      <c r="I2986">
        <v>3</v>
      </c>
    </row>
    <row r="2987" spans="7:9" x14ac:dyDescent="0.15">
      <c r="G2987">
        <v>45458</v>
      </c>
      <c r="H2987" t="s">
        <v>3650</v>
      </c>
      <c r="I2987">
        <v>3</v>
      </c>
    </row>
    <row r="2988" spans="7:9" x14ac:dyDescent="0.15">
      <c r="G2988">
        <v>45465</v>
      </c>
      <c r="H2988" t="s">
        <v>3651</v>
      </c>
      <c r="I2988">
        <v>3</v>
      </c>
    </row>
    <row r="2989" spans="7:9" x14ac:dyDescent="0.15">
      <c r="G2989">
        <v>45475</v>
      </c>
      <c r="H2989" t="s">
        <v>3652</v>
      </c>
      <c r="I2989">
        <v>3</v>
      </c>
    </row>
    <row r="2990" spans="7:9" x14ac:dyDescent="0.15">
      <c r="G2990">
        <v>45486</v>
      </c>
      <c r="H2990" t="s">
        <v>3653</v>
      </c>
      <c r="I2990">
        <v>3</v>
      </c>
    </row>
    <row r="2991" spans="7:9" x14ac:dyDescent="0.15">
      <c r="G2991">
        <v>45500</v>
      </c>
      <c r="H2991" t="s">
        <v>3654</v>
      </c>
      <c r="I2991">
        <v>3</v>
      </c>
    </row>
    <row r="2992" spans="7:9" x14ac:dyDescent="0.15">
      <c r="G2992">
        <v>45514</v>
      </c>
      <c r="H2992" t="s">
        <v>3655</v>
      </c>
      <c r="I2992">
        <v>3</v>
      </c>
    </row>
    <row r="2993" spans="7:9" x14ac:dyDescent="0.15">
      <c r="G2993">
        <v>45528</v>
      </c>
      <c r="H2993" t="s">
        <v>3656</v>
      </c>
      <c r="I2993">
        <v>3</v>
      </c>
    </row>
    <row r="2994" spans="7:9" x14ac:dyDescent="0.15">
      <c r="G2994">
        <v>45542</v>
      </c>
      <c r="H2994" t="s">
        <v>3656</v>
      </c>
      <c r="I2994">
        <v>2</v>
      </c>
    </row>
    <row r="2995" spans="7:9" x14ac:dyDescent="0.15">
      <c r="G2995">
        <v>45556</v>
      </c>
      <c r="H2995" t="s">
        <v>3657</v>
      </c>
      <c r="I2995">
        <v>1</v>
      </c>
    </row>
    <row r="2996" spans="7:9" x14ac:dyDescent="0.15">
      <c r="G2996">
        <v>45584</v>
      </c>
      <c r="H2996" t="s">
        <v>3658</v>
      </c>
      <c r="I2996">
        <v>3</v>
      </c>
    </row>
    <row r="2997" spans="7:9" x14ac:dyDescent="0.15">
      <c r="G2997">
        <v>45598</v>
      </c>
      <c r="H2997" t="s">
        <v>3659</v>
      </c>
      <c r="I2997">
        <v>3</v>
      </c>
    </row>
    <row r="2998" spans="7:9" x14ac:dyDescent="0.15">
      <c r="G2998">
        <v>45602</v>
      </c>
      <c r="H2998" t="s">
        <v>3660</v>
      </c>
      <c r="I2998">
        <v>3</v>
      </c>
    </row>
    <row r="2999" spans="7:9" x14ac:dyDescent="0.15">
      <c r="G2999">
        <v>45605</v>
      </c>
      <c r="H2999" t="s">
        <v>3661</v>
      </c>
      <c r="I2999">
        <v>3</v>
      </c>
    </row>
    <row r="3000" spans="7:9" x14ac:dyDescent="0.15">
      <c r="G3000">
        <v>45608</v>
      </c>
      <c r="H3000" t="s">
        <v>3662</v>
      </c>
      <c r="I3000">
        <v>3</v>
      </c>
    </row>
    <row r="3001" spans="7:9" x14ac:dyDescent="0.15">
      <c r="G3001">
        <v>45612</v>
      </c>
      <c r="H3001" t="s">
        <v>3663</v>
      </c>
      <c r="I3001">
        <v>3</v>
      </c>
    </row>
    <row r="3002" spans="7:9" x14ac:dyDescent="0.15">
      <c r="G3002">
        <v>45626</v>
      </c>
      <c r="H3002" t="s">
        <v>3664</v>
      </c>
      <c r="I3002">
        <v>2</v>
      </c>
    </row>
    <row r="3003" spans="7:9" x14ac:dyDescent="0.15">
      <c r="G3003">
        <v>45640</v>
      </c>
      <c r="H3003" t="s">
        <v>3665</v>
      </c>
      <c r="I3003">
        <v>3</v>
      </c>
    </row>
    <row r="3004" spans="7:9" x14ac:dyDescent="0.15">
      <c r="G3004">
        <v>45654</v>
      </c>
      <c r="H3004" t="s">
        <v>3666</v>
      </c>
      <c r="I3004">
        <v>3</v>
      </c>
    </row>
    <row r="3005" spans="7:9" x14ac:dyDescent="0.15">
      <c r="G3005">
        <v>45668</v>
      </c>
      <c r="H3005" t="s">
        <v>3667</v>
      </c>
      <c r="I3005">
        <v>3</v>
      </c>
    </row>
    <row r="3006" spans="7:9" x14ac:dyDescent="0.15">
      <c r="G3006">
        <v>45682</v>
      </c>
      <c r="H3006" t="s">
        <v>3668</v>
      </c>
      <c r="I3006">
        <v>3</v>
      </c>
    </row>
    <row r="3007" spans="7:9" x14ac:dyDescent="0.15">
      <c r="G3007">
        <v>45696</v>
      </c>
      <c r="H3007" t="s">
        <v>3669</v>
      </c>
      <c r="I3007">
        <v>2</v>
      </c>
    </row>
    <row r="3008" spans="7:9" x14ac:dyDescent="0.15">
      <c r="G3008">
        <v>45700</v>
      </c>
      <c r="H3008" t="s">
        <v>3670</v>
      </c>
      <c r="I3008">
        <v>3</v>
      </c>
    </row>
    <row r="3009" spans="7:9" x14ac:dyDescent="0.15">
      <c r="G3009">
        <v>45710</v>
      </c>
      <c r="H3009" t="s">
        <v>3671</v>
      </c>
      <c r="I3009">
        <v>3</v>
      </c>
    </row>
    <row r="3010" spans="7:9" x14ac:dyDescent="0.15">
      <c r="G3010">
        <v>45724</v>
      </c>
      <c r="H3010" t="s">
        <v>3672</v>
      </c>
      <c r="I3010">
        <v>3</v>
      </c>
    </row>
    <row r="3011" spans="7:9" x14ac:dyDescent="0.15">
      <c r="G3011">
        <v>45752</v>
      </c>
      <c r="H3011" t="s">
        <v>3673</v>
      </c>
      <c r="I3011">
        <v>3</v>
      </c>
    </row>
    <row r="3012" spans="7:9" x14ac:dyDescent="0.15">
      <c r="G3012">
        <v>45775</v>
      </c>
      <c r="H3012" t="s">
        <v>3674</v>
      </c>
      <c r="I3012">
        <v>3</v>
      </c>
    </row>
    <row r="3013" spans="7:9" x14ac:dyDescent="0.15">
      <c r="G3013">
        <v>45780</v>
      </c>
      <c r="H3013" t="s">
        <v>3675</v>
      </c>
      <c r="I3013">
        <v>3</v>
      </c>
    </row>
    <row r="3014" spans="7:9" x14ac:dyDescent="0.15">
      <c r="G3014">
        <v>45794</v>
      </c>
      <c r="H3014" t="s">
        <v>3676</v>
      </c>
      <c r="I3014">
        <v>2</v>
      </c>
    </row>
    <row r="3015" spans="7:9" x14ac:dyDescent="0.15">
      <c r="G3015">
        <v>45808</v>
      </c>
      <c r="H3015" t="s">
        <v>3677</v>
      </c>
      <c r="I3015">
        <v>2</v>
      </c>
    </row>
    <row r="3016" spans="7:9" x14ac:dyDescent="0.15">
      <c r="G3016">
        <v>45822</v>
      </c>
      <c r="H3016" t="s">
        <v>3678</v>
      </c>
      <c r="I3016">
        <v>2</v>
      </c>
    </row>
    <row r="3017" spans="7:9" x14ac:dyDescent="0.15">
      <c r="G3017">
        <v>45830</v>
      </c>
      <c r="H3017" t="s">
        <v>3679</v>
      </c>
      <c r="I3017">
        <v>3</v>
      </c>
    </row>
    <row r="3018" spans="7:9" x14ac:dyDescent="0.15">
      <c r="G3018">
        <v>45878</v>
      </c>
      <c r="H3018" t="s">
        <v>3680</v>
      </c>
      <c r="I3018">
        <v>3</v>
      </c>
    </row>
    <row r="3019" spans="7:9" x14ac:dyDescent="0.15">
      <c r="G3019">
        <v>45892</v>
      </c>
      <c r="H3019" t="s">
        <v>3681</v>
      </c>
      <c r="I3019">
        <v>2</v>
      </c>
    </row>
    <row r="3020" spans="7:9" x14ac:dyDescent="0.15">
      <c r="G3020">
        <v>45900</v>
      </c>
      <c r="H3020" t="s">
        <v>3682</v>
      </c>
      <c r="I3020">
        <v>3</v>
      </c>
    </row>
    <row r="3021" spans="7:9" x14ac:dyDescent="0.15">
      <c r="G3021">
        <v>45906</v>
      </c>
      <c r="H3021" t="s">
        <v>3683</v>
      </c>
      <c r="I3021">
        <v>2</v>
      </c>
    </row>
    <row r="3022" spans="7:9" x14ac:dyDescent="0.15">
      <c r="G3022">
        <v>45920</v>
      </c>
      <c r="H3022" t="s">
        <v>3684</v>
      </c>
      <c r="I3022">
        <v>3</v>
      </c>
    </row>
    <row r="3023" spans="7:9" x14ac:dyDescent="0.15">
      <c r="G3023">
        <v>45925</v>
      </c>
      <c r="H3023" t="s">
        <v>3685</v>
      </c>
      <c r="I3023">
        <v>3</v>
      </c>
    </row>
    <row r="3024" spans="7:9" x14ac:dyDescent="0.15">
      <c r="G3024">
        <v>45934</v>
      </c>
      <c r="H3024" t="s">
        <v>3685</v>
      </c>
      <c r="I3024">
        <v>2</v>
      </c>
    </row>
    <row r="3025" spans="7:9" x14ac:dyDescent="0.15">
      <c r="G3025">
        <v>45948</v>
      </c>
      <c r="H3025" t="s">
        <v>3686</v>
      </c>
      <c r="I3025">
        <v>3</v>
      </c>
    </row>
    <row r="3026" spans="7:9" x14ac:dyDescent="0.15">
      <c r="G3026">
        <v>45962</v>
      </c>
      <c r="H3026" t="s">
        <v>3687</v>
      </c>
      <c r="I3026">
        <v>3</v>
      </c>
    </row>
    <row r="3027" spans="7:9" x14ac:dyDescent="0.15">
      <c r="G3027">
        <v>45970</v>
      </c>
      <c r="H3027" t="s">
        <v>3688</v>
      </c>
      <c r="I3027">
        <v>3</v>
      </c>
    </row>
    <row r="3028" spans="7:9" x14ac:dyDescent="0.15">
      <c r="G3028">
        <v>45976</v>
      </c>
      <c r="H3028" t="s">
        <v>3688</v>
      </c>
      <c r="I3028">
        <v>1</v>
      </c>
    </row>
    <row r="3029" spans="7:9" x14ac:dyDescent="0.15">
      <c r="G3029">
        <v>46004</v>
      </c>
      <c r="H3029" t="s">
        <v>3689</v>
      </c>
      <c r="I3029">
        <v>3</v>
      </c>
    </row>
    <row r="3030" spans="7:9" x14ac:dyDescent="0.15">
      <c r="G3030">
        <v>46010</v>
      </c>
      <c r="H3030" t="s">
        <v>3690</v>
      </c>
      <c r="I3030">
        <v>3</v>
      </c>
    </row>
    <row r="3031" spans="7:9" x14ac:dyDescent="0.15">
      <c r="G3031">
        <v>46018</v>
      </c>
      <c r="H3031" t="s">
        <v>3691</v>
      </c>
      <c r="I3031">
        <v>3</v>
      </c>
    </row>
    <row r="3032" spans="7:9" x14ac:dyDescent="0.15">
      <c r="G3032">
        <v>46032</v>
      </c>
      <c r="H3032" t="s">
        <v>3692</v>
      </c>
      <c r="I3032">
        <v>3</v>
      </c>
    </row>
    <row r="3033" spans="7:9" x14ac:dyDescent="0.15">
      <c r="G3033">
        <v>46046</v>
      </c>
      <c r="H3033" t="s">
        <v>3693</v>
      </c>
      <c r="I3033">
        <v>2</v>
      </c>
    </row>
    <row r="3034" spans="7:9" x14ac:dyDescent="0.15">
      <c r="G3034">
        <v>46060</v>
      </c>
      <c r="H3034" t="s">
        <v>3694</v>
      </c>
      <c r="I3034">
        <v>3</v>
      </c>
    </row>
    <row r="3035" spans="7:9" x14ac:dyDescent="0.15">
      <c r="G3035">
        <v>46074</v>
      </c>
      <c r="H3035" t="s">
        <v>3695</v>
      </c>
      <c r="I3035">
        <v>3</v>
      </c>
    </row>
    <row r="3036" spans="7:9" x14ac:dyDescent="0.15">
      <c r="G3036">
        <v>46088</v>
      </c>
      <c r="H3036" t="s">
        <v>3696</v>
      </c>
      <c r="I3036">
        <v>1</v>
      </c>
    </row>
    <row r="3037" spans="7:9" x14ac:dyDescent="0.15">
      <c r="G3037">
        <v>46102</v>
      </c>
      <c r="H3037" t="s">
        <v>3697</v>
      </c>
      <c r="I3037">
        <v>3</v>
      </c>
    </row>
    <row r="3038" spans="7:9" x14ac:dyDescent="0.15">
      <c r="G3038">
        <v>46110</v>
      </c>
      <c r="H3038" t="s">
        <v>3698</v>
      </c>
      <c r="I3038">
        <v>3</v>
      </c>
    </row>
    <row r="3039" spans="7:9" x14ac:dyDescent="0.15">
      <c r="G3039">
        <v>46116</v>
      </c>
      <c r="H3039" t="s">
        <v>3699</v>
      </c>
      <c r="I3039">
        <v>3</v>
      </c>
    </row>
    <row r="3040" spans="7:9" x14ac:dyDescent="0.15">
      <c r="G3040">
        <v>46125</v>
      </c>
      <c r="H3040" t="s">
        <v>3700</v>
      </c>
      <c r="I3040">
        <v>3</v>
      </c>
    </row>
    <row r="3041" spans="7:9" x14ac:dyDescent="0.15">
      <c r="G3041">
        <v>46144</v>
      </c>
      <c r="H3041" t="s">
        <v>3701</v>
      </c>
      <c r="I3041">
        <v>2</v>
      </c>
    </row>
    <row r="3042" spans="7:9" x14ac:dyDescent="0.15">
      <c r="G3042">
        <v>46151</v>
      </c>
      <c r="H3042" t="s">
        <v>3702</v>
      </c>
      <c r="I3042">
        <v>3</v>
      </c>
    </row>
    <row r="3043" spans="7:9" x14ac:dyDescent="0.15">
      <c r="G3043">
        <v>46158</v>
      </c>
      <c r="H3043" t="s">
        <v>3703</v>
      </c>
      <c r="I3043">
        <v>2</v>
      </c>
    </row>
    <row r="3044" spans="7:9" x14ac:dyDescent="0.15">
      <c r="G3044">
        <v>46162</v>
      </c>
      <c r="H3044" t="s">
        <v>3704</v>
      </c>
      <c r="I3044">
        <v>3</v>
      </c>
    </row>
    <row r="3045" spans="7:9" x14ac:dyDescent="0.15">
      <c r="G3045">
        <v>46165</v>
      </c>
      <c r="H3045" t="s">
        <v>3705</v>
      </c>
      <c r="I3045">
        <v>3</v>
      </c>
    </row>
    <row r="3046" spans="7:9" x14ac:dyDescent="0.15">
      <c r="G3046">
        <v>46172</v>
      </c>
      <c r="H3046" t="s">
        <v>3706</v>
      </c>
      <c r="I3046">
        <v>3</v>
      </c>
    </row>
    <row r="3047" spans="7:9" x14ac:dyDescent="0.15">
      <c r="G3047">
        <v>46186</v>
      </c>
      <c r="H3047" t="s">
        <v>3707</v>
      </c>
      <c r="I3047">
        <v>3</v>
      </c>
    </row>
    <row r="3048" spans="7:9" x14ac:dyDescent="0.15">
      <c r="G3048">
        <v>46200</v>
      </c>
      <c r="H3048" t="s">
        <v>3708</v>
      </c>
      <c r="I3048">
        <v>3</v>
      </c>
    </row>
    <row r="3049" spans="7:9" x14ac:dyDescent="0.15">
      <c r="G3049">
        <v>46214</v>
      </c>
      <c r="H3049" t="s">
        <v>3709</v>
      </c>
      <c r="I3049">
        <v>3</v>
      </c>
    </row>
    <row r="3050" spans="7:9" x14ac:dyDescent="0.15">
      <c r="G3050">
        <v>46220</v>
      </c>
      <c r="H3050" t="s">
        <v>3710</v>
      </c>
      <c r="I3050">
        <v>3</v>
      </c>
    </row>
    <row r="3051" spans="7:9" x14ac:dyDescent="0.15">
      <c r="G3051">
        <v>46228</v>
      </c>
      <c r="H3051" t="s">
        <v>3711</v>
      </c>
      <c r="I3051">
        <v>3</v>
      </c>
    </row>
    <row r="3052" spans="7:9" x14ac:dyDescent="0.15">
      <c r="G3052">
        <v>46242</v>
      </c>
      <c r="H3052" t="s">
        <v>3712</v>
      </c>
      <c r="I3052">
        <v>3</v>
      </c>
    </row>
    <row r="3053" spans="7:9" x14ac:dyDescent="0.15">
      <c r="G3053">
        <v>46270</v>
      </c>
      <c r="H3053" t="s">
        <v>3713</v>
      </c>
      <c r="I3053">
        <v>3</v>
      </c>
    </row>
    <row r="3054" spans="7:9" x14ac:dyDescent="0.15">
      <c r="G3054">
        <v>46275</v>
      </c>
      <c r="H3054" t="s">
        <v>3714</v>
      </c>
      <c r="I3054">
        <v>3</v>
      </c>
    </row>
    <row r="3055" spans="7:9" x14ac:dyDescent="0.15">
      <c r="G3055">
        <v>46312</v>
      </c>
      <c r="H3055" t="s">
        <v>3715</v>
      </c>
      <c r="I3055">
        <v>1</v>
      </c>
    </row>
    <row r="3056" spans="7:9" x14ac:dyDescent="0.15">
      <c r="G3056">
        <v>46340</v>
      </c>
      <c r="H3056" t="s">
        <v>3716</v>
      </c>
      <c r="I3056">
        <v>3</v>
      </c>
    </row>
    <row r="3057" spans="7:9" x14ac:dyDescent="0.15">
      <c r="G3057">
        <v>46354</v>
      </c>
      <c r="H3057" t="s">
        <v>3716</v>
      </c>
      <c r="I3057">
        <v>3</v>
      </c>
    </row>
    <row r="3058" spans="7:9" x14ac:dyDescent="0.15">
      <c r="G3058">
        <v>46368</v>
      </c>
      <c r="H3058" t="s">
        <v>3716</v>
      </c>
      <c r="I3058">
        <v>3</v>
      </c>
    </row>
    <row r="3059" spans="7:9" x14ac:dyDescent="0.15">
      <c r="G3059">
        <v>46382</v>
      </c>
      <c r="H3059" t="s">
        <v>3716</v>
      </c>
      <c r="I3059">
        <v>3</v>
      </c>
    </row>
    <row r="3060" spans="7:9" x14ac:dyDescent="0.15">
      <c r="G3060">
        <v>46396</v>
      </c>
      <c r="H3060" t="s">
        <v>3716</v>
      </c>
      <c r="I3060">
        <v>3</v>
      </c>
    </row>
    <row r="3061" spans="7:9" x14ac:dyDescent="0.15">
      <c r="G3061">
        <v>46410</v>
      </c>
      <c r="H3061" t="s">
        <v>3716</v>
      </c>
      <c r="I3061">
        <v>3</v>
      </c>
    </row>
    <row r="3062" spans="7:9" x14ac:dyDescent="0.15">
      <c r="G3062">
        <v>46424</v>
      </c>
      <c r="H3062" t="s">
        <v>3716</v>
      </c>
      <c r="I3062">
        <v>3</v>
      </c>
    </row>
    <row r="3063" spans="7:9" x14ac:dyDescent="0.15">
      <c r="G3063">
        <v>46438</v>
      </c>
      <c r="H3063" t="s">
        <v>3716</v>
      </c>
      <c r="I3063">
        <v>3</v>
      </c>
    </row>
    <row r="3064" spans="7:9" x14ac:dyDescent="0.15">
      <c r="G3064">
        <v>46452</v>
      </c>
      <c r="H3064" t="s">
        <v>3716</v>
      </c>
      <c r="I3064">
        <v>3</v>
      </c>
    </row>
    <row r="3065" spans="7:9" x14ac:dyDescent="0.15">
      <c r="G3065">
        <v>46466</v>
      </c>
      <c r="H3065" t="s">
        <v>3716</v>
      </c>
      <c r="I3065">
        <v>3</v>
      </c>
    </row>
    <row r="3066" spans="7:9" x14ac:dyDescent="0.15">
      <c r="G3066">
        <v>46480</v>
      </c>
      <c r="H3066" t="s">
        <v>1152</v>
      </c>
      <c r="I3066">
        <v>2</v>
      </c>
    </row>
    <row r="3067" spans="7:9" x14ac:dyDescent="0.15">
      <c r="G3067">
        <v>46494</v>
      </c>
      <c r="H3067" t="s">
        <v>3716</v>
      </c>
      <c r="I3067">
        <v>3</v>
      </c>
    </row>
    <row r="3068" spans="7:9" x14ac:dyDescent="0.15">
      <c r="G3068">
        <v>46508</v>
      </c>
      <c r="H3068" t="s">
        <v>3716</v>
      </c>
      <c r="I3068">
        <v>3</v>
      </c>
    </row>
    <row r="3069" spans="7:9" x14ac:dyDescent="0.15">
      <c r="G3069">
        <v>46522</v>
      </c>
      <c r="H3069" t="s">
        <v>3717</v>
      </c>
      <c r="I3069">
        <v>3</v>
      </c>
    </row>
    <row r="3070" spans="7:9" x14ac:dyDescent="0.15">
      <c r="G3070">
        <v>46536</v>
      </c>
      <c r="H3070" t="s">
        <v>3716</v>
      </c>
      <c r="I3070">
        <v>3</v>
      </c>
    </row>
    <row r="3071" spans="7:9" x14ac:dyDescent="0.15">
      <c r="G3071">
        <v>46550</v>
      </c>
      <c r="H3071" t="s">
        <v>3716</v>
      </c>
      <c r="I3071">
        <v>3</v>
      </c>
    </row>
    <row r="3072" spans="7:9" x14ac:dyDescent="0.15">
      <c r="G3072">
        <v>46564</v>
      </c>
      <c r="H3072" t="s">
        <v>3716</v>
      </c>
      <c r="I3072">
        <v>3</v>
      </c>
    </row>
    <row r="3073" spans="7:9" x14ac:dyDescent="0.15">
      <c r="G3073">
        <v>46578</v>
      </c>
      <c r="H3073" t="s">
        <v>3716</v>
      </c>
      <c r="I3073">
        <v>3</v>
      </c>
    </row>
    <row r="3074" spans="7:9" x14ac:dyDescent="0.15">
      <c r="G3074">
        <v>46592</v>
      </c>
      <c r="H3074" t="s">
        <v>3716</v>
      </c>
      <c r="I3074">
        <v>3</v>
      </c>
    </row>
    <row r="3075" spans="7:9" x14ac:dyDescent="0.15">
      <c r="G3075">
        <v>46606</v>
      </c>
      <c r="H3075" t="s">
        <v>3716</v>
      </c>
      <c r="I3075">
        <v>3</v>
      </c>
    </row>
    <row r="3076" spans="7:9" x14ac:dyDescent="0.15">
      <c r="G3076">
        <v>46620</v>
      </c>
      <c r="H3076" t="s">
        <v>3716</v>
      </c>
      <c r="I3076">
        <v>3</v>
      </c>
    </row>
    <row r="3077" spans="7:9" x14ac:dyDescent="0.15">
      <c r="G3077">
        <v>46634</v>
      </c>
      <c r="H3077" t="s">
        <v>3716</v>
      </c>
      <c r="I3077">
        <v>3</v>
      </c>
    </row>
    <row r="3078" spans="7:9" x14ac:dyDescent="0.15">
      <c r="G3078">
        <v>46662</v>
      </c>
      <c r="H3078" t="s">
        <v>3718</v>
      </c>
      <c r="I3078">
        <v>3</v>
      </c>
    </row>
    <row r="3079" spans="7:9" x14ac:dyDescent="0.15">
      <c r="G3079">
        <v>46680</v>
      </c>
      <c r="H3079" t="s">
        <v>3719</v>
      </c>
      <c r="I3079">
        <v>3</v>
      </c>
    </row>
    <row r="3080" spans="7:9" x14ac:dyDescent="0.15">
      <c r="G3080">
        <v>46685</v>
      </c>
      <c r="H3080" t="s">
        <v>3720</v>
      </c>
      <c r="I3080">
        <v>3</v>
      </c>
    </row>
    <row r="3081" spans="7:9" x14ac:dyDescent="0.15">
      <c r="G3081">
        <v>46704</v>
      </c>
      <c r="H3081" t="s">
        <v>3721</v>
      </c>
      <c r="I3081">
        <v>3</v>
      </c>
    </row>
    <row r="3082" spans="7:9" x14ac:dyDescent="0.15">
      <c r="G3082">
        <v>46732</v>
      </c>
      <c r="H3082" t="s">
        <v>3722</v>
      </c>
      <c r="I3082">
        <v>3</v>
      </c>
    </row>
    <row r="3083" spans="7:9" x14ac:dyDescent="0.15">
      <c r="G3083">
        <v>46746</v>
      </c>
      <c r="H3083" t="s">
        <v>3723</v>
      </c>
      <c r="I3083">
        <v>3</v>
      </c>
    </row>
    <row r="3084" spans="7:9" x14ac:dyDescent="0.15">
      <c r="G3084">
        <v>46760</v>
      </c>
      <c r="H3084" t="s">
        <v>3724</v>
      </c>
      <c r="I3084">
        <v>3</v>
      </c>
    </row>
    <row r="3085" spans="7:9" x14ac:dyDescent="0.15">
      <c r="G3085">
        <v>46774</v>
      </c>
      <c r="H3085" t="s">
        <v>3725</v>
      </c>
      <c r="I3085">
        <v>3</v>
      </c>
    </row>
    <row r="3086" spans="7:9" x14ac:dyDescent="0.15">
      <c r="G3086">
        <v>46788</v>
      </c>
      <c r="H3086" t="s">
        <v>3724</v>
      </c>
      <c r="I3086">
        <v>3</v>
      </c>
    </row>
    <row r="3087" spans="7:9" x14ac:dyDescent="0.15">
      <c r="G3087">
        <v>46830</v>
      </c>
      <c r="H3087" t="s">
        <v>3726</v>
      </c>
      <c r="I3087">
        <v>2</v>
      </c>
    </row>
    <row r="3088" spans="7:9" x14ac:dyDescent="0.15">
      <c r="G3088">
        <v>46844</v>
      </c>
      <c r="H3088" t="s">
        <v>3727</v>
      </c>
      <c r="I3088">
        <v>2</v>
      </c>
    </row>
    <row r="3089" spans="7:9" x14ac:dyDescent="0.15">
      <c r="G3089">
        <v>46850</v>
      </c>
      <c r="H3089" t="s">
        <v>3728</v>
      </c>
      <c r="I3089">
        <v>3</v>
      </c>
    </row>
    <row r="3090" spans="7:9" x14ac:dyDescent="0.15">
      <c r="G3090">
        <v>46872</v>
      </c>
      <c r="H3090" t="s">
        <v>3729</v>
      </c>
      <c r="I3090">
        <v>2</v>
      </c>
    </row>
    <row r="3091" spans="7:9" x14ac:dyDescent="0.15">
      <c r="G3091">
        <v>46886</v>
      </c>
      <c r="H3091" t="s">
        <v>3730</v>
      </c>
      <c r="I3091">
        <v>3</v>
      </c>
    </row>
    <row r="3092" spans="7:9" x14ac:dyDescent="0.15">
      <c r="G3092">
        <v>46914</v>
      </c>
      <c r="H3092" t="s">
        <v>3731</v>
      </c>
      <c r="I3092">
        <v>3</v>
      </c>
    </row>
    <row r="3093" spans="7:9" x14ac:dyDescent="0.15">
      <c r="G3093">
        <v>46928</v>
      </c>
      <c r="H3093" t="s">
        <v>3732</v>
      </c>
      <c r="I3093">
        <v>3</v>
      </c>
    </row>
    <row r="3094" spans="7:9" x14ac:dyDescent="0.15">
      <c r="G3094">
        <v>46942</v>
      </c>
      <c r="H3094" t="s">
        <v>3733</v>
      </c>
      <c r="I3094">
        <v>2</v>
      </c>
    </row>
    <row r="3095" spans="7:9" x14ac:dyDescent="0.15">
      <c r="G3095">
        <v>46956</v>
      </c>
      <c r="H3095" t="s">
        <v>3734</v>
      </c>
      <c r="I3095">
        <v>3</v>
      </c>
    </row>
    <row r="3096" spans="7:9" x14ac:dyDescent="0.15">
      <c r="G3096">
        <v>46970</v>
      </c>
      <c r="H3096" t="s">
        <v>3735</v>
      </c>
      <c r="I3096">
        <v>2</v>
      </c>
    </row>
    <row r="3097" spans="7:9" x14ac:dyDescent="0.15">
      <c r="G3097">
        <v>46984</v>
      </c>
      <c r="H3097" t="s">
        <v>3736</v>
      </c>
      <c r="I3097">
        <v>3</v>
      </c>
    </row>
    <row r="3098" spans="7:9" x14ac:dyDescent="0.15">
      <c r="G3098">
        <v>46998</v>
      </c>
      <c r="H3098" t="s">
        <v>3737</v>
      </c>
      <c r="I3098">
        <v>2</v>
      </c>
    </row>
    <row r="3099" spans="7:9" x14ac:dyDescent="0.15">
      <c r="G3099">
        <v>47005</v>
      </c>
      <c r="H3099" t="s">
        <v>3738</v>
      </c>
      <c r="I3099">
        <v>3</v>
      </c>
    </row>
    <row r="3100" spans="7:9" x14ac:dyDescent="0.15">
      <c r="G3100">
        <v>47012</v>
      </c>
      <c r="H3100" t="s">
        <v>3739</v>
      </c>
      <c r="I3100">
        <v>2</v>
      </c>
    </row>
    <row r="3101" spans="7:9" x14ac:dyDescent="0.15">
      <c r="G3101">
        <v>47026</v>
      </c>
      <c r="H3101" t="s">
        <v>3740</v>
      </c>
      <c r="I3101">
        <v>3</v>
      </c>
    </row>
    <row r="3102" spans="7:9" x14ac:dyDescent="0.15">
      <c r="G3102">
        <v>47040</v>
      </c>
      <c r="H3102" t="s">
        <v>3740</v>
      </c>
      <c r="I3102">
        <v>3</v>
      </c>
    </row>
    <row r="3103" spans="7:9" x14ac:dyDescent="0.15">
      <c r="G3103">
        <v>47054</v>
      </c>
      <c r="H3103" t="s">
        <v>3739</v>
      </c>
      <c r="I3103">
        <v>3</v>
      </c>
    </row>
    <row r="3104" spans="7:9" x14ac:dyDescent="0.15">
      <c r="G3104">
        <v>47068</v>
      </c>
      <c r="H3104" t="s">
        <v>3741</v>
      </c>
      <c r="I3104">
        <v>3</v>
      </c>
    </row>
    <row r="3105" spans="7:9" x14ac:dyDescent="0.15">
      <c r="G3105">
        <v>47110</v>
      </c>
      <c r="H3105" t="s">
        <v>3742</v>
      </c>
      <c r="I3105">
        <v>3</v>
      </c>
    </row>
    <row r="3106" spans="7:9" x14ac:dyDescent="0.15">
      <c r="G3106">
        <v>47138</v>
      </c>
      <c r="H3106" t="s">
        <v>938</v>
      </c>
      <c r="I3106">
        <v>1</v>
      </c>
    </row>
    <row r="3107" spans="7:9" x14ac:dyDescent="0.15">
      <c r="G3107">
        <v>47152</v>
      </c>
      <c r="H3107" t="s">
        <v>3743</v>
      </c>
      <c r="I3107">
        <v>3</v>
      </c>
    </row>
    <row r="3108" spans="7:9" x14ac:dyDescent="0.15">
      <c r="G3108">
        <v>47180</v>
      </c>
      <c r="H3108" t="s">
        <v>3744</v>
      </c>
      <c r="I3108">
        <v>2</v>
      </c>
    </row>
    <row r="3109" spans="7:9" x14ac:dyDescent="0.15">
      <c r="G3109">
        <v>47194</v>
      </c>
      <c r="H3109" t="s">
        <v>3745</v>
      </c>
      <c r="I3109">
        <v>3</v>
      </c>
    </row>
    <row r="3110" spans="7:9" x14ac:dyDescent="0.15">
      <c r="G3110">
        <v>47208</v>
      </c>
      <c r="H3110" t="s">
        <v>3746</v>
      </c>
      <c r="I3110">
        <v>3</v>
      </c>
    </row>
    <row r="3111" spans="7:9" x14ac:dyDescent="0.15">
      <c r="G3111">
        <v>47222</v>
      </c>
      <c r="H3111" t="s">
        <v>3747</v>
      </c>
      <c r="I3111">
        <v>3</v>
      </c>
    </row>
    <row r="3112" spans="7:9" x14ac:dyDescent="0.15">
      <c r="G3112">
        <v>47264</v>
      </c>
      <c r="H3112" t="s">
        <v>3748</v>
      </c>
      <c r="I3112">
        <v>3</v>
      </c>
    </row>
    <row r="3113" spans="7:9" x14ac:dyDescent="0.15">
      <c r="G3113">
        <v>47270</v>
      </c>
      <c r="H3113" t="s">
        <v>3749</v>
      </c>
      <c r="I3113">
        <v>3</v>
      </c>
    </row>
    <row r="3114" spans="7:9" x14ac:dyDescent="0.15">
      <c r="G3114">
        <v>47278</v>
      </c>
      <c r="H3114" t="s">
        <v>3749</v>
      </c>
      <c r="I3114">
        <v>3</v>
      </c>
    </row>
    <row r="3115" spans="7:9" x14ac:dyDescent="0.15">
      <c r="G3115">
        <v>47292</v>
      </c>
      <c r="H3115" t="s">
        <v>3749</v>
      </c>
      <c r="I3115">
        <v>3</v>
      </c>
    </row>
    <row r="3116" spans="7:9" x14ac:dyDescent="0.15">
      <c r="G3116">
        <v>47306</v>
      </c>
      <c r="H3116" t="s">
        <v>3750</v>
      </c>
      <c r="I3116">
        <v>1</v>
      </c>
    </row>
    <row r="3117" spans="7:9" x14ac:dyDescent="0.15">
      <c r="G3117">
        <v>47362</v>
      </c>
      <c r="H3117" t="s">
        <v>3751</v>
      </c>
      <c r="I3117">
        <v>2</v>
      </c>
    </row>
    <row r="3118" spans="7:9" x14ac:dyDescent="0.15">
      <c r="G3118">
        <v>47376</v>
      </c>
      <c r="H3118" t="s">
        <v>3752</v>
      </c>
      <c r="I3118">
        <v>3</v>
      </c>
    </row>
    <row r="3119" spans="7:9" x14ac:dyDescent="0.15">
      <c r="G3119">
        <v>47390</v>
      </c>
      <c r="H3119" t="s">
        <v>3753</v>
      </c>
      <c r="I3119">
        <v>3</v>
      </c>
    </row>
    <row r="3120" spans="7:9" x14ac:dyDescent="0.15">
      <c r="G3120">
        <v>47418</v>
      </c>
      <c r="H3120" t="s">
        <v>3754</v>
      </c>
      <c r="I3120">
        <v>3</v>
      </c>
    </row>
    <row r="3121" spans="7:9" x14ac:dyDescent="0.15">
      <c r="G3121">
        <v>47432</v>
      </c>
      <c r="H3121" t="s">
        <v>3755</v>
      </c>
      <c r="I3121">
        <v>3</v>
      </c>
    </row>
    <row r="3122" spans="7:9" x14ac:dyDescent="0.15">
      <c r="G3122">
        <v>47445</v>
      </c>
      <c r="H3122" t="s">
        <v>3756</v>
      </c>
      <c r="I3122">
        <v>2</v>
      </c>
    </row>
    <row r="3123" spans="7:9" x14ac:dyDescent="0.15">
      <c r="G3123">
        <v>47460</v>
      </c>
      <c r="H3123" t="s">
        <v>3757</v>
      </c>
      <c r="I3123">
        <v>3</v>
      </c>
    </row>
    <row r="3124" spans="7:9" x14ac:dyDescent="0.15">
      <c r="G3124">
        <v>47474</v>
      </c>
      <c r="H3124" t="s">
        <v>3758</v>
      </c>
      <c r="I3124">
        <v>2</v>
      </c>
    </row>
    <row r="3125" spans="7:9" x14ac:dyDescent="0.15">
      <c r="G3125">
        <v>47488</v>
      </c>
      <c r="H3125" t="s">
        <v>3759</v>
      </c>
      <c r="I3125">
        <v>3</v>
      </c>
    </row>
    <row r="3126" spans="7:9" x14ac:dyDescent="0.15">
      <c r="G3126">
        <v>47502</v>
      </c>
      <c r="H3126" t="s">
        <v>3760</v>
      </c>
      <c r="I3126">
        <v>2</v>
      </c>
    </row>
    <row r="3127" spans="7:9" x14ac:dyDescent="0.15">
      <c r="G3127">
        <v>47544</v>
      </c>
      <c r="H3127" t="s">
        <v>3761</v>
      </c>
      <c r="I3127">
        <v>3</v>
      </c>
    </row>
    <row r="3128" spans="7:9" x14ac:dyDescent="0.15">
      <c r="G3128">
        <v>47558</v>
      </c>
      <c r="H3128" t="s">
        <v>3762</v>
      </c>
      <c r="I3128">
        <v>2</v>
      </c>
    </row>
    <row r="3129" spans="7:9" x14ac:dyDescent="0.15">
      <c r="G3129">
        <v>47572</v>
      </c>
      <c r="H3129" t="s">
        <v>3763</v>
      </c>
      <c r="I3129">
        <v>3</v>
      </c>
    </row>
    <row r="3130" spans="7:9" x14ac:dyDescent="0.15">
      <c r="G3130">
        <v>47586</v>
      </c>
      <c r="H3130" t="s">
        <v>3764</v>
      </c>
      <c r="I3130">
        <v>3</v>
      </c>
    </row>
    <row r="3131" spans="7:9" x14ac:dyDescent="0.15">
      <c r="G3131">
        <v>47600</v>
      </c>
      <c r="H3131" t="s">
        <v>3765</v>
      </c>
      <c r="I3131">
        <v>2</v>
      </c>
    </row>
    <row r="3132" spans="7:9" x14ac:dyDescent="0.15">
      <c r="G3132">
        <v>47628</v>
      </c>
      <c r="H3132" t="s">
        <v>982</v>
      </c>
      <c r="I3132">
        <v>1</v>
      </c>
    </row>
    <row r="3133" spans="7:9" x14ac:dyDescent="0.15">
      <c r="G3133">
        <v>47642</v>
      </c>
      <c r="H3133" t="s">
        <v>3766</v>
      </c>
      <c r="I3133">
        <v>3</v>
      </c>
    </row>
    <row r="3134" spans="7:9" x14ac:dyDescent="0.15">
      <c r="G3134">
        <v>47656</v>
      </c>
      <c r="H3134" t="s">
        <v>3767</v>
      </c>
      <c r="I3134">
        <v>3</v>
      </c>
    </row>
    <row r="3135" spans="7:9" x14ac:dyDescent="0.15">
      <c r="G3135">
        <v>47670</v>
      </c>
      <c r="H3135" t="s">
        <v>3767</v>
      </c>
      <c r="I3135">
        <v>3</v>
      </c>
    </row>
    <row r="3136" spans="7:9" x14ac:dyDescent="0.15">
      <c r="G3136">
        <v>47684</v>
      </c>
      <c r="H3136" t="s">
        <v>3767</v>
      </c>
      <c r="I3136">
        <v>3</v>
      </c>
    </row>
    <row r="3137" spans="7:9" x14ac:dyDescent="0.15">
      <c r="G3137">
        <v>47698</v>
      </c>
      <c r="H3137" t="s">
        <v>3767</v>
      </c>
      <c r="I3137">
        <v>3</v>
      </c>
    </row>
    <row r="3138" spans="7:9" x14ac:dyDescent="0.15">
      <c r="G3138">
        <v>47712</v>
      </c>
      <c r="H3138" t="s">
        <v>3767</v>
      </c>
      <c r="I3138">
        <v>3</v>
      </c>
    </row>
    <row r="3139" spans="7:9" x14ac:dyDescent="0.15">
      <c r="G3139">
        <v>47726</v>
      </c>
      <c r="H3139" t="s">
        <v>3767</v>
      </c>
      <c r="I3139">
        <v>3</v>
      </c>
    </row>
    <row r="3140" spans="7:9" x14ac:dyDescent="0.15">
      <c r="G3140">
        <v>47740</v>
      </c>
      <c r="H3140" t="s">
        <v>3767</v>
      </c>
      <c r="I3140">
        <v>3</v>
      </c>
    </row>
    <row r="3141" spans="7:9" x14ac:dyDescent="0.15">
      <c r="G3141">
        <v>47754</v>
      </c>
      <c r="H3141" t="s">
        <v>983</v>
      </c>
      <c r="I3141">
        <v>1</v>
      </c>
    </row>
    <row r="3142" spans="7:9" x14ac:dyDescent="0.15">
      <c r="G3142">
        <v>47768</v>
      </c>
      <c r="H3142" t="s">
        <v>3767</v>
      </c>
      <c r="I3142">
        <v>3</v>
      </c>
    </row>
    <row r="3143" spans="7:9" x14ac:dyDescent="0.15">
      <c r="G3143">
        <v>47782</v>
      </c>
      <c r="H3143" t="s">
        <v>3767</v>
      </c>
      <c r="I3143">
        <v>3</v>
      </c>
    </row>
    <row r="3144" spans="7:9" x14ac:dyDescent="0.15">
      <c r="G3144">
        <v>47796</v>
      </c>
      <c r="H3144" t="s">
        <v>3767</v>
      </c>
      <c r="I3144">
        <v>3</v>
      </c>
    </row>
    <row r="3145" spans="7:9" x14ac:dyDescent="0.15">
      <c r="G3145">
        <v>47810</v>
      </c>
      <c r="H3145" t="s">
        <v>3767</v>
      </c>
      <c r="I3145">
        <v>3</v>
      </c>
    </row>
    <row r="3146" spans="7:9" x14ac:dyDescent="0.15">
      <c r="G3146">
        <v>47824</v>
      </c>
      <c r="H3146" t="s">
        <v>3767</v>
      </c>
      <c r="I3146">
        <v>3</v>
      </c>
    </row>
    <row r="3147" spans="7:9" x14ac:dyDescent="0.15">
      <c r="G3147">
        <v>47852</v>
      </c>
      <c r="H3147" t="s">
        <v>3768</v>
      </c>
      <c r="I3147">
        <v>3</v>
      </c>
    </row>
    <row r="3148" spans="7:9" x14ac:dyDescent="0.15">
      <c r="G3148">
        <v>47866</v>
      </c>
      <c r="H3148" t="s">
        <v>3769</v>
      </c>
      <c r="I3148">
        <v>3</v>
      </c>
    </row>
    <row r="3149" spans="7:9" x14ac:dyDescent="0.15">
      <c r="G3149">
        <v>47894</v>
      </c>
      <c r="H3149" t="s">
        <v>3770</v>
      </c>
      <c r="I3149">
        <v>3</v>
      </c>
    </row>
    <row r="3150" spans="7:9" x14ac:dyDescent="0.15">
      <c r="G3150">
        <v>47908</v>
      </c>
      <c r="H3150" t="s">
        <v>3771</v>
      </c>
      <c r="I3150">
        <v>3</v>
      </c>
    </row>
    <row r="3151" spans="7:9" x14ac:dyDescent="0.15">
      <c r="G3151">
        <v>47922</v>
      </c>
      <c r="H3151" t="s">
        <v>3772</v>
      </c>
      <c r="I3151">
        <v>3</v>
      </c>
    </row>
    <row r="3152" spans="7:9" x14ac:dyDescent="0.15">
      <c r="G3152">
        <v>47936</v>
      </c>
      <c r="H3152" t="s">
        <v>3771</v>
      </c>
      <c r="I3152">
        <v>3</v>
      </c>
    </row>
    <row r="3153" spans="7:9" x14ac:dyDescent="0.15">
      <c r="G3153">
        <v>47945</v>
      </c>
      <c r="H3153" t="s">
        <v>3773</v>
      </c>
      <c r="I3153">
        <v>3</v>
      </c>
    </row>
    <row r="3154" spans="7:9" x14ac:dyDescent="0.15">
      <c r="G3154">
        <v>47950</v>
      </c>
      <c r="H3154" t="s">
        <v>3774</v>
      </c>
      <c r="I3154">
        <v>2</v>
      </c>
    </row>
    <row r="3155" spans="7:9" x14ac:dyDescent="0.15">
      <c r="G3155">
        <v>47955</v>
      </c>
      <c r="H3155" t="s">
        <v>3775</v>
      </c>
      <c r="I3155">
        <v>3</v>
      </c>
    </row>
    <row r="3156" spans="7:9" x14ac:dyDescent="0.15">
      <c r="G3156">
        <v>47964</v>
      </c>
      <c r="H3156" t="s">
        <v>3776</v>
      </c>
      <c r="I3156">
        <v>3</v>
      </c>
    </row>
    <row r="3157" spans="7:9" x14ac:dyDescent="0.15">
      <c r="G3157">
        <v>47978</v>
      </c>
      <c r="H3157" t="s">
        <v>3777</v>
      </c>
      <c r="I3157">
        <v>3</v>
      </c>
    </row>
    <row r="3158" spans="7:9" x14ac:dyDescent="0.15">
      <c r="G3158">
        <v>47992</v>
      </c>
      <c r="H3158" t="s">
        <v>3778</v>
      </c>
      <c r="I3158">
        <v>2</v>
      </c>
    </row>
    <row r="3159" spans="7:9" x14ac:dyDescent="0.15">
      <c r="G3159">
        <v>48006</v>
      </c>
      <c r="H3159" t="s">
        <v>3779</v>
      </c>
      <c r="I3159">
        <v>3</v>
      </c>
    </row>
    <row r="3160" spans="7:9" x14ac:dyDescent="0.15">
      <c r="G3160">
        <v>48020</v>
      </c>
      <c r="H3160" t="s">
        <v>3780</v>
      </c>
      <c r="I3160">
        <v>3</v>
      </c>
    </row>
    <row r="3161" spans="7:9" x14ac:dyDescent="0.15">
      <c r="G3161">
        <v>48034</v>
      </c>
      <c r="H3161" t="s">
        <v>3781</v>
      </c>
      <c r="I3161">
        <v>3</v>
      </c>
    </row>
    <row r="3162" spans="7:9" x14ac:dyDescent="0.15">
      <c r="G3162">
        <v>48048</v>
      </c>
      <c r="H3162" t="s">
        <v>3782</v>
      </c>
      <c r="I3162">
        <v>2</v>
      </c>
    </row>
    <row r="3163" spans="7:9" x14ac:dyDescent="0.15">
      <c r="G3163">
        <v>48062</v>
      </c>
      <c r="H3163" t="s">
        <v>3783</v>
      </c>
      <c r="I3163">
        <v>3</v>
      </c>
    </row>
    <row r="3164" spans="7:9" x14ac:dyDescent="0.15">
      <c r="G3164">
        <v>48076</v>
      </c>
      <c r="H3164" t="s">
        <v>1158</v>
      </c>
      <c r="I3164">
        <v>3</v>
      </c>
    </row>
    <row r="3165" spans="7:9" x14ac:dyDescent="0.15">
      <c r="G3165">
        <v>48090</v>
      </c>
      <c r="H3165" t="s">
        <v>3784</v>
      </c>
      <c r="I3165">
        <v>2</v>
      </c>
    </row>
    <row r="3166" spans="7:9" x14ac:dyDescent="0.15">
      <c r="G3166">
        <v>48104</v>
      </c>
      <c r="H3166" t="s">
        <v>3785</v>
      </c>
      <c r="I3166">
        <v>1</v>
      </c>
    </row>
    <row r="3167" spans="7:9" x14ac:dyDescent="0.15">
      <c r="G3167">
        <v>48118</v>
      </c>
      <c r="H3167" t="s">
        <v>1157</v>
      </c>
      <c r="I3167">
        <v>2</v>
      </c>
    </row>
    <row r="3168" spans="7:9" x14ac:dyDescent="0.15">
      <c r="G3168">
        <v>48125</v>
      </c>
      <c r="H3168" t="s">
        <v>1157</v>
      </c>
      <c r="I3168">
        <v>3</v>
      </c>
    </row>
    <row r="3169" spans="7:9" x14ac:dyDescent="0.15">
      <c r="G3169">
        <v>48132</v>
      </c>
      <c r="H3169" t="s">
        <v>3786</v>
      </c>
      <c r="I3169">
        <v>3</v>
      </c>
    </row>
    <row r="3170" spans="7:9" x14ac:dyDescent="0.15">
      <c r="G3170">
        <v>48155</v>
      </c>
      <c r="H3170" t="s">
        <v>984</v>
      </c>
      <c r="I3170">
        <v>3</v>
      </c>
    </row>
    <row r="3171" spans="7:9" x14ac:dyDescent="0.15">
      <c r="G3171">
        <v>48160</v>
      </c>
      <c r="H3171" t="s">
        <v>984</v>
      </c>
      <c r="I3171">
        <v>1</v>
      </c>
    </row>
    <row r="3172" spans="7:9" x14ac:dyDescent="0.15">
      <c r="G3172">
        <v>48174</v>
      </c>
      <c r="H3172" t="s">
        <v>3787</v>
      </c>
      <c r="I3172">
        <v>3</v>
      </c>
    </row>
    <row r="3173" spans="7:9" x14ac:dyDescent="0.15">
      <c r="G3173">
        <v>48188</v>
      </c>
      <c r="H3173" t="s">
        <v>3788</v>
      </c>
      <c r="I3173">
        <v>1</v>
      </c>
    </row>
    <row r="3174" spans="7:9" x14ac:dyDescent="0.15">
      <c r="G3174">
        <v>48216</v>
      </c>
      <c r="H3174" t="s">
        <v>3789</v>
      </c>
      <c r="I3174">
        <v>3</v>
      </c>
    </row>
    <row r="3175" spans="7:9" x14ac:dyDescent="0.15">
      <c r="G3175">
        <v>48230</v>
      </c>
      <c r="H3175" t="s">
        <v>3790</v>
      </c>
      <c r="I3175">
        <v>3</v>
      </c>
    </row>
    <row r="3176" spans="7:9" x14ac:dyDescent="0.15">
      <c r="G3176">
        <v>48244</v>
      </c>
      <c r="H3176" t="s">
        <v>1131</v>
      </c>
      <c r="I3176">
        <v>1</v>
      </c>
    </row>
    <row r="3177" spans="7:9" x14ac:dyDescent="0.15">
      <c r="G3177">
        <v>48272</v>
      </c>
      <c r="H3177" t="s">
        <v>3791</v>
      </c>
      <c r="I3177">
        <v>2</v>
      </c>
    </row>
    <row r="3178" spans="7:9" x14ac:dyDescent="0.15">
      <c r="G3178">
        <v>48286</v>
      </c>
      <c r="H3178" t="s">
        <v>3792</v>
      </c>
      <c r="I3178">
        <v>2</v>
      </c>
    </row>
    <row r="3179" spans="7:9" x14ac:dyDescent="0.15">
      <c r="G3179">
        <v>48300</v>
      </c>
      <c r="H3179" t="s">
        <v>3793</v>
      </c>
      <c r="I3179">
        <v>3</v>
      </c>
    </row>
    <row r="3180" spans="7:9" x14ac:dyDescent="0.15">
      <c r="G3180">
        <v>48314</v>
      </c>
      <c r="H3180" t="s">
        <v>3794</v>
      </c>
      <c r="I3180">
        <v>3</v>
      </c>
    </row>
    <row r="3181" spans="7:9" x14ac:dyDescent="0.15">
      <c r="G3181">
        <v>48342</v>
      </c>
      <c r="H3181" t="s">
        <v>3795</v>
      </c>
      <c r="I3181">
        <v>1</v>
      </c>
    </row>
    <row r="3182" spans="7:9" x14ac:dyDescent="0.15">
      <c r="G3182">
        <v>48356</v>
      </c>
      <c r="H3182" t="s">
        <v>3796</v>
      </c>
      <c r="I3182">
        <v>3</v>
      </c>
    </row>
    <row r="3183" spans="7:9" x14ac:dyDescent="0.15">
      <c r="G3183">
        <v>48370</v>
      </c>
      <c r="H3183" t="s">
        <v>3797</v>
      </c>
      <c r="I3183">
        <v>3</v>
      </c>
    </row>
    <row r="3184" spans="7:9" x14ac:dyDescent="0.15">
      <c r="G3184">
        <v>48398</v>
      </c>
      <c r="H3184" t="s">
        <v>3798</v>
      </c>
      <c r="I3184">
        <v>3</v>
      </c>
    </row>
    <row r="3185" spans="7:9" x14ac:dyDescent="0.15">
      <c r="G3185">
        <v>48412</v>
      </c>
      <c r="H3185" t="s">
        <v>3799</v>
      </c>
      <c r="I3185">
        <v>3</v>
      </c>
    </row>
    <row r="3186" spans="7:9" x14ac:dyDescent="0.15">
      <c r="G3186">
        <v>48454</v>
      </c>
      <c r="H3186" t="s">
        <v>3800</v>
      </c>
      <c r="I3186">
        <v>3</v>
      </c>
    </row>
    <row r="3187" spans="7:9" x14ac:dyDescent="0.15">
      <c r="G3187">
        <v>48468</v>
      </c>
      <c r="H3187" t="s">
        <v>3800</v>
      </c>
      <c r="I3187">
        <v>2</v>
      </c>
    </row>
    <row r="3188" spans="7:9" x14ac:dyDescent="0.15">
      <c r="G3188">
        <v>48482</v>
      </c>
      <c r="H3188" t="s">
        <v>3801</v>
      </c>
      <c r="I3188">
        <v>1</v>
      </c>
    </row>
    <row r="3189" spans="7:9" x14ac:dyDescent="0.15">
      <c r="G3189">
        <v>48496</v>
      </c>
      <c r="H3189" t="s">
        <v>3802</v>
      </c>
      <c r="I3189">
        <v>3</v>
      </c>
    </row>
    <row r="3190" spans="7:9" x14ac:dyDescent="0.15">
      <c r="G3190">
        <v>48524</v>
      </c>
      <c r="H3190" t="s">
        <v>3803</v>
      </c>
      <c r="I3190">
        <v>3</v>
      </c>
    </row>
    <row r="3191" spans="7:9" x14ac:dyDescent="0.15">
      <c r="G3191">
        <v>48538</v>
      </c>
      <c r="H3191" t="s">
        <v>3804</v>
      </c>
      <c r="I3191">
        <v>3</v>
      </c>
    </row>
    <row r="3192" spans="7:9" x14ac:dyDescent="0.15">
      <c r="G3192">
        <v>48552</v>
      </c>
      <c r="H3192" t="s">
        <v>3805</v>
      </c>
      <c r="I3192">
        <v>3</v>
      </c>
    </row>
    <row r="3193" spans="7:9" x14ac:dyDescent="0.15">
      <c r="G3193">
        <v>48558</v>
      </c>
      <c r="H3193" t="s">
        <v>3805</v>
      </c>
      <c r="I3193">
        <v>3</v>
      </c>
    </row>
    <row r="3194" spans="7:9" x14ac:dyDescent="0.15">
      <c r="G3194">
        <v>48562</v>
      </c>
      <c r="H3194" t="s">
        <v>3805</v>
      </c>
      <c r="I3194">
        <v>3</v>
      </c>
    </row>
    <row r="3195" spans="7:9" x14ac:dyDescent="0.15">
      <c r="G3195">
        <v>48566</v>
      </c>
      <c r="H3195" t="s">
        <v>3805</v>
      </c>
      <c r="I3195">
        <v>3</v>
      </c>
    </row>
    <row r="3196" spans="7:9" x14ac:dyDescent="0.15">
      <c r="G3196">
        <v>48580</v>
      </c>
      <c r="H3196" t="s">
        <v>3806</v>
      </c>
      <c r="I3196">
        <v>3</v>
      </c>
    </row>
    <row r="3197" spans="7:9" x14ac:dyDescent="0.15">
      <c r="G3197">
        <v>48594</v>
      </c>
      <c r="H3197" t="s">
        <v>3807</v>
      </c>
      <c r="I3197">
        <v>3</v>
      </c>
    </row>
    <row r="3198" spans="7:9" x14ac:dyDescent="0.15">
      <c r="G3198">
        <v>48608</v>
      </c>
      <c r="H3198" t="s">
        <v>3808</v>
      </c>
      <c r="I3198">
        <v>3</v>
      </c>
    </row>
    <row r="3199" spans="7:9" x14ac:dyDescent="0.15">
      <c r="G3199">
        <v>48643</v>
      </c>
      <c r="H3199" t="s">
        <v>3809</v>
      </c>
      <c r="I3199">
        <v>3</v>
      </c>
    </row>
    <row r="3200" spans="7:9" x14ac:dyDescent="0.15">
      <c r="G3200">
        <v>48660</v>
      </c>
      <c r="H3200" t="s">
        <v>3810</v>
      </c>
      <c r="I3200">
        <v>3</v>
      </c>
    </row>
    <row r="3201" spans="7:9" x14ac:dyDescent="0.15">
      <c r="G3201">
        <v>48678</v>
      </c>
      <c r="H3201" t="s">
        <v>3811</v>
      </c>
      <c r="I3201">
        <v>3</v>
      </c>
    </row>
    <row r="3202" spans="7:9" x14ac:dyDescent="0.15">
      <c r="G3202">
        <v>48692</v>
      </c>
      <c r="H3202" t="s">
        <v>1117</v>
      </c>
      <c r="I3202">
        <v>3</v>
      </c>
    </row>
    <row r="3203" spans="7:9" x14ac:dyDescent="0.15">
      <c r="G3203">
        <v>48706</v>
      </c>
      <c r="H3203" t="s">
        <v>3812</v>
      </c>
      <c r="I3203">
        <v>2</v>
      </c>
    </row>
    <row r="3204" spans="7:9" x14ac:dyDescent="0.15">
      <c r="G3204">
        <v>48720</v>
      </c>
      <c r="H3204" t="s">
        <v>3812</v>
      </c>
      <c r="I3204">
        <v>3</v>
      </c>
    </row>
    <row r="3205" spans="7:9" x14ac:dyDescent="0.15">
      <c r="G3205">
        <v>48730</v>
      </c>
      <c r="H3205" t="s">
        <v>3812</v>
      </c>
      <c r="I3205">
        <v>3</v>
      </c>
    </row>
    <row r="3206" spans="7:9" x14ac:dyDescent="0.15">
      <c r="G3206">
        <v>48748</v>
      </c>
      <c r="H3206" t="s">
        <v>3812</v>
      </c>
      <c r="I3206">
        <v>3</v>
      </c>
    </row>
    <row r="3207" spans="7:9" x14ac:dyDescent="0.15">
      <c r="G3207">
        <v>48762</v>
      </c>
      <c r="H3207" t="s">
        <v>3813</v>
      </c>
      <c r="I3207">
        <v>3</v>
      </c>
    </row>
    <row r="3208" spans="7:9" x14ac:dyDescent="0.15">
      <c r="G3208">
        <v>48776</v>
      </c>
      <c r="H3208" t="s">
        <v>3814</v>
      </c>
      <c r="I3208">
        <v>3</v>
      </c>
    </row>
    <row r="3209" spans="7:9" x14ac:dyDescent="0.15">
      <c r="G3209">
        <v>48790</v>
      </c>
      <c r="H3209" t="s">
        <v>3815</v>
      </c>
      <c r="I3209">
        <v>1</v>
      </c>
    </row>
    <row r="3210" spans="7:9" x14ac:dyDescent="0.15">
      <c r="G3210">
        <v>48804</v>
      </c>
      <c r="H3210" t="s">
        <v>3816</v>
      </c>
      <c r="I3210">
        <v>3</v>
      </c>
    </row>
    <row r="3211" spans="7:9" x14ac:dyDescent="0.15">
      <c r="G3211">
        <v>48832</v>
      </c>
      <c r="H3211" t="s">
        <v>3817</v>
      </c>
      <c r="I3211">
        <v>3</v>
      </c>
    </row>
    <row r="3212" spans="7:9" x14ac:dyDescent="0.15">
      <c r="G3212">
        <v>48848</v>
      </c>
      <c r="H3212" t="s">
        <v>3818</v>
      </c>
      <c r="I3212">
        <v>3</v>
      </c>
    </row>
    <row r="3213" spans="7:9" x14ac:dyDescent="0.15">
      <c r="G3213">
        <v>48860</v>
      </c>
      <c r="H3213" t="s">
        <v>3819</v>
      </c>
      <c r="I3213">
        <v>3</v>
      </c>
    </row>
    <row r="3214" spans="7:9" x14ac:dyDescent="0.15">
      <c r="G3214">
        <v>48888</v>
      </c>
      <c r="H3214" t="s">
        <v>3820</v>
      </c>
      <c r="I3214">
        <v>3</v>
      </c>
    </row>
    <row r="3215" spans="7:9" x14ac:dyDescent="0.15">
      <c r="G3215">
        <v>48895</v>
      </c>
      <c r="H3215" t="s">
        <v>3821</v>
      </c>
      <c r="I3215">
        <v>3</v>
      </c>
    </row>
    <row r="3216" spans="7:9" x14ac:dyDescent="0.15">
      <c r="G3216">
        <v>48902</v>
      </c>
      <c r="H3216" t="s">
        <v>3821</v>
      </c>
      <c r="I3216">
        <v>3</v>
      </c>
    </row>
    <row r="3217" spans="7:9" x14ac:dyDescent="0.15">
      <c r="G3217">
        <v>48916</v>
      </c>
      <c r="H3217" t="s">
        <v>3820</v>
      </c>
      <c r="I3217">
        <v>3</v>
      </c>
    </row>
    <row r="3218" spans="7:9" x14ac:dyDescent="0.15">
      <c r="G3218">
        <v>48930</v>
      </c>
      <c r="H3218" t="s">
        <v>3822</v>
      </c>
      <c r="I3218">
        <v>3</v>
      </c>
    </row>
    <row r="3219" spans="7:9" x14ac:dyDescent="0.15">
      <c r="G3219">
        <v>48944</v>
      </c>
      <c r="H3219" t="s">
        <v>3823</v>
      </c>
      <c r="I3219">
        <v>3</v>
      </c>
    </row>
    <row r="3220" spans="7:9" x14ac:dyDescent="0.15">
      <c r="G3220">
        <v>48972</v>
      </c>
      <c r="H3220" t="s">
        <v>3824</v>
      </c>
      <c r="I3220">
        <v>2</v>
      </c>
    </row>
    <row r="3221" spans="7:9" x14ac:dyDescent="0.15">
      <c r="G3221">
        <v>49000</v>
      </c>
      <c r="H3221" t="s">
        <v>3825</v>
      </c>
      <c r="I3221">
        <v>2</v>
      </c>
    </row>
    <row r="3222" spans="7:9" x14ac:dyDescent="0.15">
      <c r="G3222">
        <v>49014</v>
      </c>
      <c r="H3222" t="s">
        <v>3826</v>
      </c>
      <c r="I3222">
        <v>3</v>
      </c>
    </row>
    <row r="3223" spans="7:9" x14ac:dyDescent="0.15">
      <c r="G3223">
        <v>49028</v>
      </c>
      <c r="H3223" t="s">
        <v>3827</v>
      </c>
      <c r="I3223">
        <v>3</v>
      </c>
    </row>
    <row r="3224" spans="7:9" x14ac:dyDescent="0.15">
      <c r="G3224">
        <v>49042</v>
      </c>
      <c r="H3224" t="s">
        <v>3828</v>
      </c>
      <c r="I3224">
        <v>2</v>
      </c>
    </row>
    <row r="3225" spans="7:9" x14ac:dyDescent="0.15">
      <c r="G3225">
        <v>49056</v>
      </c>
      <c r="H3225" t="s">
        <v>3829</v>
      </c>
      <c r="I3225">
        <v>1</v>
      </c>
    </row>
    <row r="3226" spans="7:9" x14ac:dyDescent="0.15">
      <c r="G3226">
        <v>49084</v>
      </c>
      <c r="H3226" t="s">
        <v>3830</v>
      </c>
      <c r="I3226">
        <v>3</v>
      </c>
    </row>
    <row r="3227" spans="7:9" x14ac:dyDescent="0.15">
      <c r="G3227">
        <v>49098</v>
      </c>
      <c r="H3227" t="s">
        <v>3831</v>
      </c>
      <c r="I3227">
        <v>1</v>
      </c>
    </row>
    <row r="3228" spans="7:9" x14ac:dyDescent="0.15">
      <c r="G3228">
        <v>49120</v>
      </c>
      <c r="H3228" t="s">
        <v>3832</v>
      </c>
      <c r="I3228">
        <v>3</v>
      </c>
    </row>
    <row r="3229" spans="7:9" x14ac:dyDescent="0.15">
      <c r="G3229">
        <v>49126</v>
      </c>
      <c r="H3229" t="s">
        <v>3833</v>
      </c>
      <c r="I3229">
        <v>3</v>
      </c>
    </row>
    <row r="3230" spans="7:9" x14ac:dyDescent="0.15">
      <c r="G3230">
        <v>49140</v>
      </c>
      <c r="H3230" t="s">
        <v>3834</v>
      </c>
      <c r="I3230">
        <v>3</v>
      </c>
    </row>
    <row r="3231" spans="7:9" x14ac:dyDescent="0.15">
      <c r="G3231">
        <v>49168</v>
      </c>
      <c r="H3231" t="s">
        <v>3835</v>
      </c>
      <c r="I3231">
        <v>3</v>
      </c>
    </row>
    <row r="3232" spans="7:9" x14ac:dyDescent="0.15">
      <c r="G3232">
        <v>49182</v>
      </c>
      <c r="H3232" t="s">
        <v>3836</v>
      </c>
      <c r="I3232">
        <v>3</v>
      </c>
    </row>
    <row r="3233" spans="7:9" x14ac:dyDescent="0.15">
      <c r="G3233">
        <v>49185</v>
      </c>
      <c r="H3233" t="s">
        <v>3837</v>
      </c>
      <c r="I3233">
        <v>3</v>
      </c>
    </row>
    <row r="3234" spans="7:9" x14ac:dyDescent="0.15">
      <c r="G3234">
        <v>49189</v>
      </c>
      <c r="H3234" t="s">
        <v>3838</v>
      </c>
      <c r="I3234">
        <v>3</v>
      </c>
    </row>
    <row r="3235" spans="7:9" x14ac:dyDescent="0.15">
      <c r="G3235">
        <v>49196</v>
      </c>
      <c r="H3235" t="s">
        <v>3839</v>
      </c>
      <c r="I3235">
        <v>3</v>
      </c>
    </row>
    <row r="3236" spans="7:9" x14ac:dyDescent="0.15">
      <c r="G3236">
        <v>49210</v>
      </c>
      <c r="H3236" t="s">
        <v>3840</v>
      </c>
      <c r="I3236">
        <v>3</v>
      </c>
    </row>
    <row r="3237" spans="7:9" x14ac:dyDescent="0.15">
      <c r="G3237">
        <v>49238</v>
      </c>
      <c r="H3237" t="s">
        <v>3841</v>
      </c>
      <c r="I3237">
        <v>2</v>
      </c>
    </row>
    <row r="3238" spans="7:9" x14ac:dyDescent="0.15">
      <c r="G3238">
        <v>49245</v>
      </c>
      <c r="H3238" t="s">
        <v>3842</v>
      </c>
      <c r="I3238">
        <v>3</v>
      </c>
    </row>
    <row r="3239" spans="7:9" x14ac:dyDescent="0.15">
      <c r="G3239">
        <v>49252</v>
      </c>
      <c r="H3239" t="s">
        <v>3843</v>
      </c>
      <c r="I3239">
        <v>3</v>
      </c>
    </row>
    <row r="3240" spans="7:9" x14ac:dyDescent="0.15">
      <c r="G3240">
        <v>49266</v>
      </c>
      <c r="H3240" t="s">
        <v>3844</v>
      </c>
      <c r="I3240">
        <v>3</v>
      </c>
    </row>
    <row r="3241" spans="7:9" x14ac:dyDescent="0.15">
      <c r="G3241">
        <v>49294</v>
      </c>
      <c r="H3241" t="s">
        <v>3845</v>
      </c>
      <c r="I3241">
        <v>2</v>
      </c>
    </row>
    <row r="3242" spans="7:9" x14ac:dyDescent="0.15">
      <c r="G3242">
        <v>49322</v>
      </c>
      <c r="H3242" t="s">
        <v>3846</v>
      </c>
      <c r="I3242">
        <v>3</v>
      </c>
    </row>
    <row r="3243" spans="7:9" x14ac:dyDescent="0.15">
      <c r="G3243">
        <v>49336</v>
      </c>
      <c r="H3243" t="s">
        <v>3846</v>
      </c>
      <c r="I3243">
        <v>3</v>
      </c>
    </row>
    <row r="3244" spans="7:9" x14ac:dyDescent="0.15">
      <c r="G3244">
        <v>49364</v>
      </c>
      <c r="H3244" t="s">
        <v>3846</v>
      </c>
      <c r="I3244">
        <v>3</v>
      </c>
    </row>
    <row r="3245" spans="7:9" x14ac:dyDescent="0.15">
      <c r="G3245">
        <v>49378</v>
      </c>
      <c r="H3245" t="s">
        <v>3846</v>
      </c>
      <c r="I3245">
        <v>3</v>
      </c>
    </row>
    <row r="3246" spans="7:9" x14ac:dyDescent="0.15">
      <c r="G3246">
        <v>49392</v>
      </c>
      <c r="H3246" t="s">
        <v>3846</v>
      </c>
      <c r="I3246">
        <v>3</v>
      </c>
    </row>
    <row r="3247" spans="7:9" x14ac:dyDescent="0.15">
      <c r="G3247">
        <v>49418</v>
      </c>
      <c r="H3247" t="s">
        <v>3847</v>
      </c>
      <c r="I3247">
        <v>3</v>
      </c>
    </row>
    <row r="3248" spans="7:9" x14ac:dyDescent="0.15">
      <c r="G3248">
        <v>49420</v>
      </c>
      <c r="H3248" t="s">
        <v>3848</v>
      </c>
      <c r="I3248">
        <v>2</v>
      </c>
    </row>
    <row r="3249" spans="7:9" x14ac:dyDescent="0.15">
      <c r="G3249">
        <v>49434</v>
      </c>
      <c r="H3249" t="s">
        <v>3849</v>
      </c>
      <c r="I3249">
        <v>1</v>
      </c>
    </row>
    <row r="3250" spans="7:9" x14ac:dyDescent="0.15">
      <c r="G3250">
        <v>49462</v>
      </c>
      <c r="H3250" t="s">
        <v>3850</v>
      </c>
      <c r="I3250">
        <v>2</v>
      </c>
    </row>
    <row r="3251" spans="7:9" x14ac:dyDescent="0.15">
      <c r="G3251">
        <v>49490</v>
      </c>
      <c r="H3251" t="s">
        <v>3851</v>
      </c>
      <c r="I3251">
        <v>3</v>
      </c>
    </row>
    <row r="3252" spans="7:9" x14ac:dyDescent="0.15">
      <c r="G3252">
        <v>49504</v>
      </c>
      <c r="H3252" t="s">
        <v>3852</v>
      </c>
      <c r="I3252">
        <v>2</v>
      </c>
    </row>
    <row r="3253" spans="7:9" x14ac:dyDescent="0.15">
      <c r="G3253">
        <v>49532</v>
      </c>
      <c r="H3253" t="s">
        <v>3853</v>
      </c>
      <c r="I3253">
        <v>3</v>
      </c>
    </row>
    <row r="3254" spans="7:9" x14ac:dyDescent="0.15">
      <c r="G3254">
        <v>49560</v>
      </c>
      <c r="H3254" t="s">
        <v>3854</v>
      </c>
      <c r="I3254">
        <v>3</v>
      </c>
    </row>
    <row r="3255" spans="7:9" x14ac:dyDescent="0.15">
      <c r="G3255">
        <v>49574</v>
      </c>
      <c r="H3255" t="s">
        <v>3855</v>
      </c>
      <c r="I3255">
        <v>3</v>
      </c>
    </row>
    <row r="3256" spans="7:9" x14ac:dyDescent="0.15">
      <c r="G3256">
        <v>49588</v>
      </c>
      <c r="H3256" t="s">
        <v>3856</v>
      </c>
      <c r="I3256">
        <v>3</v>
      </c>
    </row>
    <row r="3257" spans="7:9" x14ac:dyDescent="0.15">
      <c r="G3257">
        <v>49612</v>
      </c>
      <c r="H3257" t="s">
        <v>3857</v>
      </c>
      <c r="I3257">
        <v>3</v>
      </c>
    </row>
    <row r="3258" spans="7:9" x14ac:dyDescent="0.15">
      <c r="G3258">
        <v>49616</v>
      </c>
      <c r="H3258" t="s">
        <v>3857</v>
      </c>
      <c r="I3258">
        <v>3</v>
      </c>
    </row>
    <row r="3259" spans="7:9" x14ac:dyDescent="0.15">
      <c r="G3259">
        <v>49630</v>
      </c>
      <c r="H3259" t="s">
        <v>3857</v>
      </c>
      <c r="I3259">
        <v>3</v>
      </c>
    </row>
    <row r="3260" spans="7:9" x14ac:dyDescent="0.15">
      <c r="G3260">
        <v>49644</v>
      </c>
      <c r="H3260" t="s">
        <v>3858</v>
      </c>
      <c r="I3260">
        <v>1</v>
      </c>
    </row>
    <row r="3261" spans="7:9" x14ac:dyDescent="0.15">
      <c r="G3261">
        <v>49658</v>
      </c>
      <c r="H3261" t="s">
        <v>3859</v>
      </c>
      <c r="I3261">
        <v>3</v>
      </c>
    </row>
    <row r="3262" spans="7:9" x14ac:dyDescent="0.15">
      <c r="G3262">
        <v>49672</v>
      </c>
      <c r="H3262" t="s">
        <v>3860</v>
      </c>
      <c r="I3262">
        <v>3</v>
      </c>
    </row>
    <row r="3263" spans="7:9" x14ac:dyDescent="0.15">
      <c r="G3263">
        <v>49700</v>
      </c>
      <c r="H3263" t="s">
        <v>3861</v>
      </c>
      <c r="I3263">
        <v>2</v>
      </c>
    </row>
    <row r="3264" spans="7:9" x14ac:dyDescent="0.15">
      <c r="G3264">
        <v>49714</v>
      </c>
      <c r="H3264" t="s">
        <v>3862</v>
      </c>
      <c r="I3264">
        <v>3</v>
      </c>
    </row>
    <row r="3265" spans="7:9" x14ac:dyDescent="0.15">
      <c r="G3265">
        <v>49728</v>
      </c>
      <c r="H3265" t="s">
        <v>3863</v>
      </c>
      <c r="I3265">
        <v>2</v>
      </c>
    </row>
    <row r="3266" spans="7:9" x14ac:dyDescent="0.15">
      <c r="G3266">
        <v>49756</v>
      </c>
      <c r="H3266" t="s">
        <v>1025</v>
      </c>
      <c r="I3266">
        <v>2</v>
      </c>
    </row>
    <row r="3267" spans="7:9" x14ac:dyDescent="0.15">
      <c r="G3267">
        <v>49770</v>
      </c>
      <c r="H3267" t="s">
        <v>3864</v>
      </c>
      <c r="I3267">
        <v>3</v>
      </c>
    </row>
    <row r="3268" spans="7:9" x14ac:dyDescent="0.15">
      <c r="G3268">
        <v>49784</v>
      </c>
      <c r="H3268" t="s">
        <v>3865</v>
      </c>
      <c r="I3268">
        <v>3</v>
      </c>
    </row>
    <row r="3269" spans="7:9" x14ac:dyDescent="0.15">
      <c r="G3269">
        <v>49812</v>
      </c>
      <c r="H3269" t="s">
        <v>3865</v>
      </c>
      <c r="I3269">
        <v>3</v>
      </c>
    </row>
    <row r="3270" spans="7:9" x14ac:dyDescent="0.15">
      <c r="G3270">
        <v>49826</v>
      </c>
      <c r="H3270" t="s">
        <v>3866</v>
      </c>
      <c r="I3270">
        <v>3</v>
      </c>
    </row>
    <row r="3271" spans="7:9" x14ac:dyDescent="0.15">
      <c r="G3271">
        <v>49840</v>
      </c>
      <c r="H3271" t="s">
        <v>939</v>
      </c>
      <c r="I3271">
        <v>1</v>
      </c>
    </row>
    <row r="3272" spans="7:9" x14ac:dyDescent="0.15">
      <c r="G3272">
        <v>49854</v>
      </c>
      <c r="H3272" t="s">
        <v>939</v>
      </c>
      <c r="I3272">
        <v>3</v>
      </c>
    </row>
    <row r="3273" spans="7:9" x14ac:dyDescent="0.15">
      <c r="G3273">
        <v>49868</v>
      </c>
      <c r="H3273" t="s">
        <v>939</v>
      </c>
      <c r="I3273">
        <v>3</v>
      </c>
    </row>
    <row r="3274" spans="7:9" x14ac:dyDescent="0.15">
      <c r="G3274">
        <v>49896</v>
      </c>
      <c r="H3274" t="s">
        <v>3867</v>
      </c>
      <c r="I3274">
        <v>2</v>
      </c>
    </row>
    <row r="3275" spans="7:9" x14ac:dyDescent="0.15">
      <c r="G3275">
        <v>49966</v>
      </c>
      <c r="H3275" t="s">
        <v>3868</v>
      </c>
      <c r="I3275">
        <v>2</v>
      </c>
    </row>
    <row r="3276" spans="7:9" x14ac:dyDescent="0.15">
      <c r="G3276">
        <v>49980</v>
      </c>
      <c r="H3276" t="s">
        <v>3869</v>
      </c>
      <c r="I3276">
        <v>3</v>
      </c>
    </row>
    <row r="3277" spans="7:9" x14ac:dyDescent="0.15">
      <c r="G3277">
        <v>49985</v>
      </c>
      <c r="H3277" t="s">
        <v>3869</v>
      </c>
      <c r="I3277">
        <v>3</v>
      </c>
    </row>
    <row r="3278" spans="7:9" x14ac:dyDescent="0.15">
      <c r="G3278">
        <v>49994</v>
      </c>
      <c r="H3278" t="s">
        <v>3869</v>
      </c>
      <c r="I3278">
        <v>3</v>
      </c>
    </row>
    <row r="3279" spans="7:9" x14ac:dyDescent="0.15">
      <c r="G3279">
        <v>50008</v>
      </c>
      <c r="H3279" t="s">
        <v>3869</v>
      </c>
      <c r="I3279">
        <v>2</v>
      </c>
    </row>
    <row r="3280" spans="7:9" x14ac:dyDescent="0.15">
      <c r="G3280">
        <v>50012</v>
      </c>
      <c r="H3280" t="s">
        <v>3869</v>
      </c>
      <c r="I3280">
        <v>3</v>
      </c>
    </row>
    <row r="3281" spans="7:9" x14ac:dyDescent="0.15">
      <c r="G3281">
        <v>50018</v>
      </c>
      <c r="H3281" t="s">
        <v>3869</v>
      </c>
      <c r="I3281">
        <v>3</v>
      </c>
    </row>
    <row r="3282" spans="7:9" x14ac:dyDescent="0.15">
      <c r="G3282">
        <v>50036</v>
      </c>
      <c r="H3282" t="s">
        <v>3870</v>
      </c>
      <c r="I3282">
        <v>2</v>
      </c>
    </row>
    <row r="3283" spans="7:9" x14ac:dyDescent="0.15">
      <c r="G3283">
        <v>50050</v>
      </c>
      <c r="H3283" t="s">
        <v>3871</v>
      </c>
      <c r="I3283">
        <v>3</v>
      </c>
    </row>
    <row r="3284" spans="7:9" x14ac:dyDescent="0.15">
      <c r="G3284">
        <v>50064</v>
      </c>
      <c r="H3284" t="s">
        <v>3871</v>
      </c>
      <c r="I3284">
        <v>3</v>
      </c>
    </row>
    <row r="3285" spans="7:9" x14ac:dyDescent="0.15">
      <c r="G3285">
        <v>50078</v>
      </c>
      <c r="H3285" t="s">
        <v>3871</v>
      </c>
      <c r="I3285">
        <v>3</v>
      </c>
    </row>
    <row r="3286" spans="7:9" x14ac:dyDescent="0.15">
      <c r="G3286">
        <v>50092</v>
      </c>
      <c r="H3286" t="s">
        <v>3871</v>
      </c>
      <c r="I3286">
        <v>3</v>
      </c>
    </row>
    <row r="3287" spans="7:9" x14ac:dyDescent="0.15">
      <c r="G3287">
        <v>50106</v>
      </c>
      <c r="H3287" t="s">
        <v>3871</v>
      </c>
      <c r="I3287">
        <v>3</v>
      </c>
    </row>
    <row r="3288" spans="7:9" x14ac:dyDescent="0.15">
      <c r="G3288">
        <v>50120</v>
      </c>
      <c r="H3288" t="s">
        <v>3872</v>
      </c>
      <c r="I3288">
        <v>3</v>
      </c>
    </row>
    <row r="3289" spans="7:9" x14ac:dyDescent="0.15">
      <c r="G3289">
        <v>50134</v>
      </c>
      <c r="H3289" t="s">
        <v>3873</v>
      </c>
      <c r="I3289">
        <v>2</v>
      </c>
    </row>
    <row r="3290" spans="7:9" x14ac:dyDescent="0.15">
      <c r="G3290">
        <v>50148</v>
      </c>
      <c r="H3290" t="s">
        <v>3874</v>
      </c>
      <c r="I3290">
        <v>3</v>
      </c>
    </row>
    <row r="3291" spans="7:9" x14ac:dyDescent="0.15">
      <c r="G3291">
        <v>50155</v>
      </c>
      <c r="H3291" t="s">
        <v>3875</v>
      </c>
      <c r="I3291">
        <v>3</v>
      </c>
    </row>
    <row r="3292" spans="7:9" x14ac:dyDescent="0.15">
      <c r="G3292">
        <v>50162</v>
      </c>
      <c r="H3292" t="s">
        <v>3876</v>
      </c>
      <c r="I3292">
        <v>3</v>
      </c>
    </row>
    <row r="3293" spans="7:9" x14ac:dyDescent="0.15">
      <c r="G3293">
        <v>50176</v>
      </c>
      <c r="H3293" t="s">
        <v>3877</v>
      </c>
      <c r="I3293">
        <v>1</v>
      </c>
    </row>
    <row r="3294" spans="7:9" x14ac:dyDescent="0.15">
      <c r="G3294">
        <v>50190</v>
      </c>
      <c r="H3294" t="s">
        <v>3876</v>
      </c>
      <c r="I3294">
        <v>3</v>
      </c>
    </row>
    <row r="3295" spans="7:9" x14ac:dyDescent="0.15">
      <c r="G3295">
        <v>50204</v>
      </c>
      <c r="H3295" t="s">
        <v>3876</v>
      </c>
      <c r="I3295">
        <v>3</v>
      </c>
    </row>
    <row r="3296" spans="7:9" x14ac:dyDescent="0.15">
      <c r="G3296">
        <v>50218</v>
      </c>
      <c r="H3296" t="s">
        <v>3878</v>
      </c>
      <c r="I3296">
        <v>2</v>
      </c>
    </row>
    <row r="3297" spans="7:9" x14ac:dyDescent="0.15">
      <c r="G3297">
        <v>50232</v>
      </c>
      <c r="H3297" t="s">
        <v>3879</v>
      </c>
      <c r="I3297">
        <v>3</v>
      </c>
    </row>
    <row r="3298" spans="7:9" x14ac:dyDescent="0.15">
      <c r="G3298">
        <v>50246</v>
      </c>
      <c r="H3298" t="s">
        <v>3880</v>
      </c>
      <c r="I3298">
        <v>3</v>
      </c>
    </row>
    <row r="3299" spans="7:9" x14ac:dyDescent="0.15">
      <c r="G3299">
        <v>50260</v>
      </c>
      <c r="H3299" t="s">
        <v>3881</v>
      </c>
      <c r="I3299">
        <v>2</v>
      </c>
    </row>
    <row r="3300" spans="7:9" x14ac:dyDescent="0.15">
      <c r="G3300">
        <v>50274</v>
      </c>
      <c r="H3300" t="s">
        <v>3882</v>
      </c>
      <c r="I3300">
        <v>3</v>
      </c>
    </row>
    <row r="3301" spans="7:9" x14ac:dyDescent="0.15">
      <c r="G3301">
        <v>50288</v>
      </c>
      <c r="H3301" t="s">
        <v>3883</v>
      </c>
      <c r="I3301">
        <v>3</v>
      </c>
    </row>
    <row r="3302" spans="7:9" x14ac:dyDescent="0.15">
      <c r="G3302">
        <v>50302</v>
      </c>
      <c r="H3302" t="s">
        <v>3882</v>
      </c>
      <c r="I3302">
        <v>3</v>
      </c>
    </row>
    <row r="3303" spans="7:9" x14ac:dyDescent="0.15">
      <c r="G3303">
        <v>50316</v>
      </c>
      <c r="H3303" t="s">
        <v>3884</v>
      </c>
      <c r="I3303">
        <v>2</v>
      </c>
    </row>
    <row r="3304" spans="7:9" x14ac:dyDescent="0.15">
      <c r="G3304">
        <v>50330</v>
      </c>
      <c r="H3304" t="s">
        <v>3885</v>
      </c>
      <c r="I3304">
        <v>3</v>
      </c>
    </row>
    <row r="3305" spans="7:9" x14ac:dyDescent="0.15">
      <c r="G3305">
        <v>50344</v>
      </c>
      <c r="H3305" t="s">
        <v>3886</v>
      </c>
      <c r="I3305">
        <v>3</v>
      </c>
    </row>
    <row r="3306" spans="7:9" x14ac:dyDescent="0.15">
      <c r="G3306">
        <v>50358</v>
      </c>
      <c r="H3306" t="s">
        <v>3887</v>
      </c>
      <c r="I3306">
        <v>2</v>
      </c>
    </row>
    <row r="3307" spans="7:9" x14ac:dyDescent="0.15">
      <c r="G3307">
        <v>50365</v>
      </c>
      <c r="H3307" t="s">
        <v>3888</v>
      </c>
      <c r="I3307">
        <v>3</v>
      </c>
    </row>
    <row r="3308" spans="7:9" x14ac:dyDescent="0.15">
      <c r="G3308">
        <v>50372</v>
      </c>
      <c r="H3308" t="s">
        <v>1114</v>
      </c>
      <c r="I3308">
        <v>2</v>
      </c>
    </row>
    <row r="3309" spans="7:9" x14ac:dyDescent="0.15">
      <c r="G3309">
        <v>50390</v>
      </c>
      <c r="H3309" t="s">
        <v>3889</v>
      </c>
      <c r="I3309">
        <v>3</v>
      </c>
    </row>
    <row r="3310" spans="7:9" x14ac:dyDescent="0.15">
      <c r="G3310">
        <v>50395</v>
      </c>
      <c r="H3310" t="s">
        <v>3889</v>
      </c>
      <c r="I3310">
        <v>3</v>
      </c>
    </row>
    <row r="3311" spans="7:9" x14ac:dyDescent="0.15">
      <c r="G3311">
        <v>50400</v>
      </c>
      <c r="H3311" t="s">
        <v>3890</v>
      </c>
      <c r="I3311">
        <v>2</v>
      </c>
    </row>
    <row r="3312" spans="7:9" x14ac:dyDescent="0.15">
      <c r="G3312">
        <v>50414</v>
      </c>
      <c r="H3312" t="s">
        <v>3891</v>
      </c>
      <c r="I3312">
        <v>3</v>
      </c>
    </row>
    <row r="3313" spans="7:9" x14ac:dyDescent="0.15">
      <c r="G3313">
        <v>50428</v>
      </c>
      <c r="H3313" t="s">
        <v>3892</v>
      </c>
      <c r="I3313">
        <v>3</v>
      </c>
    </row>
    <row r="3314" spans="7:9" x14ac:dyDescent="0.15">
      <c r="G3314">
        <v>50442</v>
      </c>
      <c r="H3314" t="s">
        <v>3893</v>
      </c>
      <c r="I3314">
        <v>3</v>
      </c>
    </row>
    <row r="3315" spans="7:9" x14ac:dyDescent="0.15">
      <c r="G3315">
        <v>50456</v>
      </c>
      <c r="H3315" t="s">
        <v>3894</v>
      </c>
      <c r="I3315">
        <v>2</v>
      </c>
    </row>
    <row r="3316" spans="7:9" x14ac:dyDescent="0.15">
      <c r="G3316">
        <v>50465</v>
      </c>
      <c r="H3316" t="s">
        <v>3895</v>
      </c>
      <c r="I3316">
        <v>3</v>
      </c>
    </row>
    <row r="3317" spans="7:9" x14ac:dyDescent="0.15">
      <c r="G3317">
        <v>50470</v>
      </c>
      <c r="H3317" t="s">
        <v>3896</v>
      </c>
      <c r="I3317">
        <v>3</v>
      </c>
    </row>
    <row r="3318" spans="7:9" x14ac:dyDescent="0.15">
      <c r="G3318">
        <v>50484</v>
      </c>
      <c r="H3318" t="s">
        <v>3897</v>
      </c>
      <c r="I3318">
        <v>3</v>
      </c>
    </row>
    <row r="3319" spans="7:9" x14ac:dyDescent="0.15">
      <c r="G3319">
        <v>50498</v>
      </c>
      <c r="H3319" t="s">
        <v>3897</v>
      </c>
      <c r="I3319">
        <v>3</v>
      </c>
    </row>
    <row r="3320" spans="7:9" x14ac:dyDescent="0.15">
      <c r="G3320">
        <v>50512</v>
      </c>
      <c r="H3320" t="s">
        <v>3898</v>
      </c>
      <c r="I3320">
        <v>3</v>
      </c>
    </row>
    <row r="3321" spans="7:9" x14ac:dyDescent="0.15">
      <c r="G3321">
        <v>50520</v>
      </c>
      <c r="H3321" t="s">
        <v>3899</v>
      </c>
      <c r="I3321">
        <v>3</v>
      </c>
    </row>
    <row r="3322" spans="7:9" x14ac:dyDescent="0.15">
      <c r="G3322">
        <v>50526</v>
      </c>
      <c r="H3322" t="s">
        <v>3900</v>
      </c>
      <c r="I3322">
        <v>3</v>
      </c>
    </row>
    <row r="3323" spans="7:9" x14ac:dyDescent="0.15">
      <c r="G3323">
        <v>50540</v>
      </c>
      <c r="H3323" t="s">
        <v>3901</v>
      </c>
      <c r="I3323">
        <v>2</v>
      </c>
    </row>
    <row r="3324" spans="7:9" x14ac:dyDescent="0.15">
      <c r="G3324">
        <v>50554</v>
      </c>
      <c r="H3324" t="s">
        <v>3901</v>
      </c>
      <c r="I3324">
        <v>3</v>
      </c>
    </row>
    <row r="3325" spans="7:9" x14ac:dyDescent="0.15">
      <c r="G3325">
        <v>50568</v>
      </c>
      <c r="H3325" t="s">
        <v>3902</v>
      </c>
      <c r="I3325">
        <v>3</v>
      </c>
    </row>
    <row r="3326" spans="7:9" x14ac:dyDescent="0.15">
      <c r="G3326">
        <v>50582</v>
      </c>
      <c r="H3326" t="s">
        <v>3903</v>
      </c>
      <c r="I3326">
        <v>3</v>
      </c>
    </row>
    <row r="3327" spans="7:9" x14ac:dyDescent="0.15">
      <c r="G3327">
        <v>50610</v>
      </c>
      <c r="H3327" t="s">
        <v>3904</v>
      </c>
      <c r="I3327">
        <v>3</v>
      </c>
    </row>
    <row r="3328" spans="7:9" x14ac:dyDescent="0.15">
      <c r="G3328">
        <v>50624</v>
      </c>
      <c r="H3328" t="s">
        <v>3904</v>
      </c>
      <c r="I3328">
        <v>3</v>
      </c>
    </row>
    <row r="3329" spans="7:9" x14ac:dyDescent="0.15">
      <c r="G3329">
        <v>50638</v>
      </c>
      <c r="H3329" t="s">
        <v>3904</v>
      </c>
      <c r="I3329">
        <v>3</v>
      </c>
    </row>
    <row r="3330" spans="7:9" x14ac:dyDescent="0.15">
      <c r="G3330">
        <v>50666</v>
      </c>
      <c r="H3330" t="s">
        <v>3904</v>
      </c>
      <c r="I3330">
        <v>3</v>
      </c>
    </row>
    <row r="3331" spans="7:9" x14ac:dyDescent="0.15">
      <c r="G3331">
        <v>50680</v>
      </c>
      <c r="H3331" t="s">
        <v>3904</v>
      </c>
      <c r="I3331">
        <v>3</v>
      </c>
    </row>
    <row r="3332" spans="7:9" x14ac:dyDescent="0.15">
      <c r="G3332">
        <v>50708</v>
      </c>
      <c r="H3332" t="s">
        <v>3905</v>
      </c>
      <c r="I3332">
        <v>2</v>
      </c>
    </row>
    <row r="3333" spans="7:9" x14ac:dyDescent="0.15">
      <c r="G3333">
        <v>50722</v>
      </c>
      <c r="H3333" t="s">
        <v>3906</v>
      </c>
      <c r="I3333">
        <v>2</v>
      </c>
    </row>
    <row r="3334" spans="7:9" x14ac:dyDescent="0.15">
      <c r="G3334">
        <v>50736</v>
      </c>
      <c r="H3334" t="s">
        <v>3907</v>
      </c>
      <c r="I3334">
        <v>3</v>
      </c>
    </row>
    <row r="3335" spans="7:9" x14ac:dyDescent="0.15">
      <c r="G3335">
        <v>50745</v>
      </c>
      <c r="H3335" t="s">
        <v>3908</v>
      </c>
      <c r="I3335">
        <v>3</v>
      </c>
    </row>
    <row r="3336" spans="7:9" x14ac:dyDescent="0.15">
      <c r="G3336">
        <v>50750</v>
      </c>
      <c r="H3336" t="s">
        <v>3909</v>
      </c>
      <c r="I3336">
        <v>3</v>
      </c>
    </row>
    <row r="3337" spans="7:9" x14ac:dyDescent="0.15">
      <c r="G3337">
        <v>50764</v>
      </c>
      <c r="H3337" t="s">
        <v>3910</v>
      </c>
      <c r="I3337">
        <v>2</v>
      </c>
    </row>
    <row r="3338" spans="7:9" x14ac:dyDescent="0.15">
      <c r="G3338">
        <v>50778</v>
      </c>
      <c r="H3338" t="s">
        <v>3911</v>
      </c>
      <c r="I3338">
        <v>2</v>
      </c>
    </row>
    <row r="3339" spans="7:9" x14ac:dyDescent="0.15">
      <c r="G3339">
        <v>50800</v>
      </c>
      <c r="H3339" t="s">
        <v>3912</v>
      </c>
      <c r="I3339">
        <v>3</v>
      </c>
    </row>
    <row r="3340" spans="7:9" x14ac:dyDescent="0.15">
      <c r="G3340">
        <v>50806</v>
      </c>
      <c r="H3340" t="s">
        <v>3913</v>
      </c>
      <c r="I3340">
        <v>3</v>
      </c>
    </row>
    <row r="3341" spans="7:9" x14ac:dyDescent="0.15">
      <c r="G3341">
        <v>50820</v>
      </c>
      <c r="H3341" t="s">
        <v>3914</v>
      </c>
      <c r="I3341">
        <v>3</v>
      </c>
    </row>
    <row r="3342" spans="7:9" x14ac:dyDescent="0.15">
      <c r="G3342">
        <v>50834</v>
      </c>
      <c r="H3342" t="s">
        <v>3915</v>
      </c>
      <c r="I3342">
        <v>2</v>
      </c>
    </row>
    <row r="3343" spans="7:9" x14ac:dyDescent="0.15">
      <c r="G3343">
        <v>50848</v>
      </c>
      <c r="H3343" t="s">
        <v>3916</v>
      </c>
      <c r="I3343">
        <v>3</v>
      </c>
    </row>
    <row r="3344" spans="7:9" x14ac:dyDescent="0.15">
      <c r="G3344">
        <v>50862</v>
      </c>
      <c r="H3344" t="s">
        <v>3917</v>
      </c>
      <c r="I3344">
        <v>2</v>
      </c>
    </row>
    <row r="3345" spans="7:9" x14ac:dyDescent="0.15">
      <c r="G3345">
        <v>50876</v>
      </c>
      <c r="H3345" t="s">
        <v>3918</v>
      </c>
      <c r="I3345">
        <v>2</v>
      </c>
    </row>
    <row r="3346" spans="7:9" x14ac:dyDescent="0.15">
      <c r="G3346">
        <v>50890</v>
      </c>
      <c r="H3346" t="s">
        <v>3919</v>
      </c>
      <c r="I3346">
        <v>3</v>
      </c>
    </row>
    <row r="3347" spans="7:9" x14ac:dyDescent="0.15">
      <c r="G3347">
        <v>50904</v>
      </c>
      <c r="H3347" t="s">
        <v>3920</v>
      </c>
      <c r="I3347">
        <v>2</v>
      </c>
    </row>
    <row r="3348" spans="7:9" x14ac:dyDescent="0.15">
      <c r="G3348">
        <v>50910</v>
      </c>
      <c r="H3348" t="s">
        <v>3921</v>
      </c>
      <c r="I3348">
        <v>3</v>
      </c>
    </row>
    <row r="3349" spans="7:9" x14ac:dyDescent="0.15">
      <c r="G3349">
        <v>50918</v>
      </c>
      <c r="H3349" t="s">
        <v>3922</v>
      </c>
      <c r="I3349">
        <v>2</v>
      </c>
    </row>
    <row r="3350" spans="7:9" x14ac:dyDescent="0.15">
      <c r="G3350">
        <v>50940</v>
      </c>
      <c r="H3350" t="s">
        <v>3923</v>
      </c>
      <c r="I3350">
        <v>3</v>
      </c>
    </row>
    <row r="3351" spans="7:9" x14ac:dyDescent="0.15">
      <c r="G3351">
        <v>50946</v>
      </c>
      <c r="H3351" t="s">
        <v>3924</v>
      </c>
      <c r="I3351">
        <v>3</v>
      </c>
    </row>
    <row r="3352" spans="7:9" x14ac:dyDescent="0.15">
      <c r="G3352">
        <v>50960</v>
      </c>
      <c r="H3352" t="s">
        <v>3925</v>
      </c>
      <c r="I3352">
        <v>3</v>
      </c>
    </row>
    <row r="3353" spans="7:9" x14ac:dyDescent="0.15">
      <c r="G3353">
        <v>50965</v>
      </c>
      <c r="H3353" t="s">
        <v>3926</v>
      </c>
      <c r="I3353">
        <v>3</v>
      </c>
    </row>
    <row r="3354" spans="7:9" x14ac:dyDescent="0.15">
      <c r="G3354">
        <v>50974</v>
      </c>
      <c r="H3354" t="s">
        <v>3927</v>
      </c>
      <c r="I3354">
        <v>3</v>
      </c>
    </row>
    <row r="3355" spans="7:9" x14ac:dyDescent="0.15">
      <c r="G3355">
        <v>50978</v>
      </c>
      <c r="H3355" t="s">
        <v>3928</v>
      </c>
      <c r="I3355">
        <v>3</v>
      </c>
    </row>
    <row r="3356" spans="7:9" x14ac:dyDescent="0.15">
      <c r="G3356">
        <v>50984</v>
      </c>
      <c r="H3356" t="s">
        <v>3929</v>
      </c>
      <c r="I3356">
        <v>3</v>
      </c>
    </row>
    <row r="3357" spans="7:9" x14ac:dyDescent="0.15">
      <c r="G3357">
        <v>51002</v>
      </c>
      <c r="H3357" t="s">
        <v>3930</v>
      </c>
      <c r="I3357">
        <v>3</v>
      </c>
    </row>
    <row r="3358" spans="7:9" x14ac:dyDescent="0.15">
      <c r="G3358">
        <v>51016</v>
      </c>
      <c r="H3358" t="s">
        <v>3931</v>
      </c>
      <c r="I3358">
        <v>3</v>
      </c>
    </row>
    <row r="3359" spans="7:9" x14ac:dyDescent="0.15">
      <c r="G3359">
        <v>51030</v>
      </c>
      <c r="H3359" t="s">
        <v>3932</v>
      </c>
      <c r="I3359">
        <v>3</v>
      </c>
    </row>
    <row r="3360" spans="7:9" x14ac:dyDescent="0.15">
      <c r="G3360">
        <v>51058</v>
      </c>
      <c r="H3360" t="s">
        <v>3933</v>
      </c>
      <c r="I3360">
        <v>2</v>
      </c>
    </row>
    <row r="3361" spans="7:9" x14ac:dyDescent="0.15">
      <c r="G3361">
        <v>51080</v>
      </c>
      <c r="H3361" t="s">
        <v>3934</v>
      </c>
      <c r="I3361">
        <v>3</v>
      </c>
    </row>
    <row r="3362" spans="7:9" x14ac:dyDescent="0.15">
      <c r="G3362">
        <v>51086</v>
      </c>
      <c r="H3362" t="s">
        <v>3935</v>
      </c>
      <c r="I3362">
        <v>3</v>
      </c>
    </row>
    <row r="3363" spans="7:9" x14ac:dyDescent="0.15">
      <c r="G3363">
        <v>51100</v>
      </c>
      <c r="H3363" t="s">
        <v>3936</v>
      </c>
      <c r="I3363">
        <v>3</v>
      </c>
    </row>
    <row r="3364" spans="7:9" x14ac:dyDescent="0.15">
      <c r="G3364">
        <v>51114</v>
      </c>
      <c r="H3364" t="s">
        <v>3937</v>
      </c>
      <c r="I3364">
        <v>3</v>
      </c>
    </row>
    <row r="3365" spans="7:9" x14ac:dyDescent="0.15">
      <c r="G3365">
        <v>51128</v>
      </c>
      <c r="H3365" t="s">
        <v>3938</v>
      </c>
      <c r="I3365">
        <v>3</v>
      </c>
    </row>
    <row r="3366" spans="7:9" x14ac:dyDescent="0.15">
      <c r="G3366">
        <v>51142</v>
      </c>
      <c r="H3366" t="s">
        <v>3939</v>
      </c>
      <c r="I3366">
        <v>3</v>
      </c>
    </row>
    <row r="3367" spans="7:9" x14ac:dyDescent="0.15">
      <c r="G3367">
        <v>51156</v>
      </c>
      <c r="H3367" t="s">
        <v>3940</v>
      </c>
      <c r="I3367">
        <v>3</v>
      </c>
    </row>
    <row r="3368" spans="7:9" x14ac:dyDescent="0.15">
      <c r="G3368">
        <v>51198</v>
      </c>
      <c r="H3368" t="s">
        <v>3941</v>
      </c>
      <c r="I3368">
        <v>3</v>
      </c>
    </row>
    <row r="3369" spans="7:9" x14ac:dyDescent="0.15">
      <c r="G3369">
        <v>51205</v>
      </c>
      <c r="H3369" t="s">
        <v>3942</v>
      </c>
      <c r="I3369">
        <v>3</v>
      </c>
    </row>
    <row r="3370" spans="7:9" x14ac:dyDescent="0.15">
      <c r="G3370">
        <v>51212</v>
      </c>
      <c r="H3370" t="s">
        <v>3943</v>
      </c>
      <c r="I3370">
        <v>1</v>
      </c>
    </row>
    <row r="3371" spans="7:9" x14ac:dyDescent="0.15">
      <c r="G3371">
        <v>51215</v>
      </c>
      <c r="H3371" t="s">
        <v>3944</v>
      </c>
      <c r="I3371">
        <v>3</v>
      </c>
    </row>
    <row r="3372" spans="7:9" x14ac:dyDescent="0.15">
      <c r="G3372">
        <v>51217</v>
      </c>
      <c r="H3372" t="s">
        <v>3945</v>
      </c>
      <c r="I3372">
        <v>3</v>
      </c>
    </row>
    <row r="3373" spans="7:9" x14ac:dyDescent="0.15">
      <c r="G3373">
        <v>51254</v>
      </c>
      <c r="H3373" t="s">
        <v>3946</v>
      </c>
      <c r="I3373">
        <v>3</v>
      </c>
    </row>
    <row r="3374" spans="7:9" x14ac:dyDescent="0.15">
      <c r="G3374">
        <v>51268</v>
      </c>
      <c r="H3374" t="s">
        <v>1111</v>
      </c>
      <c r="I3374">
        <v>3</v>
      </c>
    </row>
    <row r="3375" spans="7:9" x14ac:dyDescent="0.15">
      <c r="G3375">
        <v>51282</v>
      </c>
      <c r="H3375" t="s">
        <v>1111</v>
      </c>
      <c r="I3375">
        <v>3</v>
      </c>
    </row>
    <row r="3376" spans="7:9" x14ac:dyDescent="0.15">
      <c r="G3376">
        <v>51296</v>
      </c>
      <c r="H3376" t="s">
        <v>1111</v>
      </c>
      <c r="I3376">
        <v>3</v>
      </c>
    </row>
    <row r="3377" spans="7:9" x14ac:dyDescent="0.15">
      <c r="G3377">
        <v>51310</v>
      </c>
      <c r="H3377" t="s">
        <v>1128</v>
      </c>
      <c r="I3377">
        <v>1</v>
      </c>
    </row>
    <row r="3378" spans="7:9" x14ac:dyDescent="0.15">
      <c r="G3378">
        <v>51324</v>
      </c>
      <c r="H3378" t="s">
        <v>1111</v>
      </c>
      <c r="I3378">
        <v>3</v>
      </c>
    </row>
    <row r="3379" spans="7:9" x14ac:dyDescent="0.15">
      <c r="G3379">
        <v>51338</v>
      </c>
      <c r="H3379" t="s">
        <v>1111</v>
      </c>
      <c r="I3379">
        <v>3</v>
      </c>
    </row>
    <row r="3380" spans="7:9" x14ac:dyDescent="0.15">
      <c r="G3380">
        <v>51352</v>
      </c>
      <c r="H3380" t="s">
        <v>1111</v>
      </c>
      <c r="I3380">
        <v>3</v>
      </c>
    </row>
    <row r="3381" spans="7:9" x14ac:dyDescent="0.15">
      <c r="G3381">
        <v>51366</v>
      </c>
      <c r="H3381" t="s">
        <v>1111</v>
      </c>
      <c r="I3381">
        <v>3</v>
      </c>
    </row>
    <row r="3382" spans="7:9" x14ac:dyDescent="0.15">
      <c r="G3382">
        <v>51375</v>
      </c>
      <c r="H3382" t="s">
        <v>1128</v>
      </c>
      <c r="I3382">
        <v>3</v>
      </c>
    </row>
    <row r="3383" spans="7:9" x14ac:dyDescent="0.15">
      <c r="G3383">
        <v>51380</v>
      </c>
      <c r="H3383" t="s">
        <v>1111</v>
      </c>
      <c r="I3383">
        <v>3</v>
      </c>
    </row>
    <row r="3384" spans="7:9" x14ac:dyDescent="0.15">
      <c r="G3384">
        <v>51394</v>
      </c>
      <c r="H3384" t="s">
        <v>1111</v>
      </c>
      <c r="I3384">
        <v>3</v>
      </c>
    </row>
    <row r="3385" spans="7:9" x14ac:dyDescent="0.15">
      <c r="G3385">
        <v>51408</v>
      </c>
      <c r="H3385" t="s">
        <v>1111</v>
      </c>
      <c r="I3385">
        <v>3</v>
      </c>
    </row>
    <row r="3386" spans="7:9" x14ac:dyDescent="0.15">
      <c r="G3386">
        <v>51422</v>
      </c>
      <c r="H3386" t="s">
        <v>1111</v>
      </c>
      <c r="I3386">
        <v>3</v>
      </c>
    </row>
    <row r="3387" spans="7:9" x14ac:dyDescent="0.15">
      <c r="G3387">
        <v>51430</v>
      </c>
      <c r="H3387" t="s">
        <v>1128</v>
      </c>
      <c r="I3387">
        <v>3</v>
      </c>
    </row>
    <row r="3388" spans="7:9" x14ac:dyDescent="0.15">
      <c r="G3388">
        <v>51436</v>
      </c>
      <c r="H3388" t="s">
        <v>1111</v>
      </c>
      <c r="I3388">
        <v>3</v>
      </c>
    </row>
    <row r="3389" spans="7:9" x14ac:dyDescent="0.15">
      <c r="G3389">
        <v>51450</v>
      </c>
      <c r="H3389" t="s">
        <v>1111</v>
      </c>
      <c r="I3389">
        <v>3</v>
      </c>
    </row>
    <row r="3390" spans="7:9" x14ac:dyDescent="0.15">
      <c r="G3390">
        <v>51464</v>
      </c>
      <c r="H3390" t="s">
        <v>1111</v>
      </c>
      <c r="I3390">
        <v>3</v>
      </c>
    </row>
    <row r="3391" spans="7:9" x14ac:dyDescent="0.15">
      <c r="G3391">
        <v>51478</v>
      </c>
      <c r="H3391" t="s">
        <v>1111</v>
      </c>
      <c r="I3391">
        <v>3</v>
      </c>
    </row>
    <row r="3392" spans="7:9" x14ac:dyDescent="0.15">
      <c r="G3392">
        <v>51492</v>
      </c>
      <c r="H3392" t="s">
        <v>1111</v>
      </c>
      <c r="I3392">
        <v>3</v>
      </c>
    </row>
    <row r="3393" spans="7:9" x14ac:dyDescent="0.15">
      <c r="G3393">
        <v>51506</v>
      </c>
      <c r="H3393" t="s">
        <v>1111</v>
      </c>
      <c r="I3393">
        <v>3</v>
      </c>
    </row>
    <row r="3394" spans="7:9" x14ac:dyDescent="0.15">
      <c r="G3394">
        <v>51520</v>
      </c>
      <c r="H3394" t="s">
        <v>1111</v>
      </c>
      <c r="I3394">
        <v>3</v>
      </c>
    </row>
    <row r="3395" spans="7:9" x14ac:dyDescent="0.15">
      <c r="G3395">
        <v>51534</v>
      </c>
      <c r="H3395" t="s">
        <v>1111</v>
      </c>
      <c r="I3395">
        <v>3</v>
      </c>
    </row>
    <row r="3396" spans="7:9" x14ac:dyDescent="0.15">
      <c r="G3396">
        <v>51548</v>
      </c>
      <c r="H3396" t="s">
        <v>1111</v>
      </c>
      <c r="I3396">
        <v>3</v>
      </c>
    </row>
    <row r="3397" spans="7:9" x14ac:dyDescent="0.15">
      <c r="G3397">
        <v>51562</v>
      </c>
      <c r="H3397" t="s">
        <v>1111</v>
      </c>
      <c r="I3397">
        <v>3</v>
      </c>
    </row>
    <row r="3398" spans="7:9" x14ac:dyDescent="0.15">
      <c r="G3398">
        <v>51576</v>
      </c>
      <c r="H3398" t="s">
        <v>1111</v>
      </c>
      <c r="I3398">
        <v>3</v>
      </c>
    </row>
    <row r="3399" spans="7:9" x14ac:dyDescent="0.15">
      <c r="G3399">
        <v>51590</v>
      </c>
      <c r="H3399" t="s">
        <v>3947</v>
      </c>
      <c r="I3399">
        <v>3</v>
      </c>
    </row>
    <row r="3400" spans="7:9" x14ac:dyDescent="0.15">
      <c r="G3400">
        <v>51595</v>
      </c>
      <c r="H3400" t="s">
        <v>3948</v>
      </c>
      <c r="I3400">
        <v>3</v>
      </c>
    </row>
    <row r="3401" spans="7:9" x14ac:dyDescent="0.15">
      <c r="G3401">
        <v>51604</v>
      </c>
      <c r="H3401" t="s">
        <v>3949</v>
      </c>
      <c r="I3401">
        <v>3</v>
      </c>
    </row>
    <row r="3402" spans="7:9" x14ac:dyDescent="0.15">
      <c r="G3402">
        <v>51618</v>
      </c>
      <c r="H3402" t="s">
        <v>3950</v>
      </c>
      <c r="I3402">
        <v>2</v>
      </c>
    </row>
    <row r="3403" spans="7:9" x14ac:dyDescent="0.15">
      <c r="G3403">
        <v>51632</v>
      </c>
      <c r="H3403" t="s">
        <v>3950</v>
      </c>
      <c r="I3403">
        <v>3</v>
      </c>
    </row>
    <row r="3404" spans="7:9" x14ac:dyDescent="0.15">
      <c r="G3404">
        <v>51646</v>
      </c>
      <c r="H3404" t="s">
        <v>3951</v>
      </c>
      <c r="I3404">
        <v>3</v>
      </c>
    </row>
    <row r="3405" spans="7:9" x14ac:dyDescent="0.15">
      <c r="G3405">
        <v>51655</v>
      </c>
      <c r="H3405" t="s">
        <v>3951</v>
      </c>
      <c r="I3405">
        <v>3</v>
      </c>
    </row>
    <row r="3406" spans="7:9" x14ac:dyDescent="0.15">
      <c r="G3406">
        <v>51660</v>
      </c>
      <c r="H3406" t="s">
        <v>3952</v>
      </c>
      <c r="I3406">
        <v>3</v>
      </c>
    </row>
    <row r="3407" spans="7:9" x14ac:dyDescent="0.15">
      <c r="G3407">
        <v>51674</v>
      </c>
      <c r="H3407" t="s">
        <v>3953</v>
      </c>
      <c r="I3407">
        <v>2</v>
      </c>
    </row>
    <row r="3408" spans="7:9" x14ac:dyDescent="0.15">
      <c r="G3408">
        <v>51688</v>
      </c>
      <c r="H3408" t="s">
        <v>3954</v>
      </c>
      <c r="I3408">
        <v>3</v>
      </c>
    </row>
    <row r="3409" spans="7:9" x14ac:dyDescent="0.15">
      <c r="G3409">
        <v>51716</v>
      </c>
      <c r="H3409" t="s">
        <v>3955</v>
      </c>
      <c r="I3409">
        <v>1</v>
      </c>
    </row>
    <row r="3410" spans="7:9" x14ac:dyDescent="0.15">
      <c r="G3410">
        <v>51730</v>
      </c>
      <c r="H3410" t="s">
        <v>3954</v>
      </c>
      <c r="I3410">
        <v>3</v>
      </c>
    </row>
    <row r="3411" spans="7:9" x14ac:dyDescent="0.15">
      <c r="G3411">
        <v>51744</v>
      </c>
      <c r="H3411" t="s">
        <v>3954</v>
      </c>
      <c r="I3411">
        <v>3</v>
      </c>
    </row>
    <row r="3412" spans="7:9" x14ac:dyDescent="0.15">
      <c r="G3412">
        <v>51750</v>
      </c>
      <c r="H3412" t="s">
        <v>3956</v>
      </c>
      <c r="I3412">
        <v>3</v>
      </c>
    </row>
    <row r="3413" spans="7:9" x14ac:dyDescent="0.15">
      <c r="G3413">
        <v>51758</v>
      </c>
      <c r="H3413" t="s">
        <v>3957</v>
      </c>
      <c r="I3413">
        <v>3</v>
      </c>
    </row>
    <row r="3414" spans="7:9" x14ac:dyDescent="0.15">
      <c r="G3414">
        <v>51772</v>
      </c>
      <c r="H3414" t="s">
        <v>3958</v>
      </c>
      <c r="I3414">
        <v>2</v>
      </c>
    </row>
    <row r="3415" spans="7:9" x14ac:dyDescent="0.15">
      <c r="G3415">
        <v>51786</v>
      </c>
      <c r="H3415" t="s">
        <v>3959</v>
      </c>
      <c r="I3415">
        <v>3</v>
      </c>
    </row>
    <row r="3416" spans="7:9" x14ac:dyDescent="0.15">
      <c r="G3416">
        <v>51800</v>
      </c>
      <c r="H3416" t="s">
        <v>3960</v>
      </c>
      <c r="I3416">
        <v>3</v>
      </c>
    </row>
    <row r="3417" spans="7:9" x14ac:dyDescent="0.15">
      <c r="G3417">
        <v>51816</v>
      </c>
      <c r="H3417" t="s">
        <v>3961</v>
      </c>
      <c r="I3417">
        <v>1</v>
      </c>
    </row>
    <row r="3418" spans="7:9" x14ac:dyDescent="0.15">
      <c r="G3418">
        <v>51828</v>
      </c>
      <c r="H3418" t="s">
        <v>3962</v>
      </c>
      <c r="I3418">
        <v>3</v>
      </c>
    </row>
    <row r="3419" spans="7:9" x14ac:dyDescent="0.15">
      <c r="G3419">
        <v>51842</v>
      </c>
      <c r="H3419" t="s">
        <v>3963</v>
      </c>
      <c r="I3419">
        <v>3</v>
      </c>
    </row>
    <row r="3420" spans="7:9" x14ac:dyDescent="0.15">
      <c r="G3420">
        <v>51856</v>
      </c>
      <c r="H3420" t="s">
        <v>3963</v>
      </c>
      <c r="I3420">
        <v>3</v>
      </c>
    </row>
    <row r="3421" spans="7:9" x14ac:dyDescent="0.15">
      <c r="G3421">
        <v>51912</v>
      </c>
      <c r="H3421" t="s">
        <v>3964</v>
      </c>
      <c r="I3421">
        <v>3</v>
      </c>
    </row>
    <row r="3422" spans="7:9" x14ac:dyDescent="0.15">
      <c r="G3422">
        <v>51926</v>
      </c>
      <c r="H3422" t="s">
        <v>3965</v>
      </c>
      <c r="I3422">
        <v>3</v>
      </c>
    </row>
    <row r="3423" spans="7:9" x14ac:dyDescent="0.15">
      <c r="G3423">
        <v>51940</v>
      </c>
      <c r="H3423" t="s">
        <v>3964</v>
      </c>
      <c r="I3423">
        <v>3</v>
      </c>
    </row>
    <row r="3424" spans="7:9" x14ac:dyDescent="0.15">
      <c r="G3424">
        <v>51945</v>
      </c>
      <c r="H3424" t="s">
        <v>3966</v>
      </c>
      <c r="I3424">
        <v>3</v>
      </c>
    </row>
    <row r="3425" spans="7:9" x14ac:dyDescent="0.15">
      <c r="G3425">
        <v>51954</v>
      </c>
      <c r="H3425" t="s">
        <v>3967</v>
      </c>
      <c r="I3425">
        <v>3</v>
      </c>
    </row>
    <row r="3426" spans="7:9" x14ac:dyDescent="0.15">
      <c r="G3426">
        <v>51968</v>
      </c>
      <c r="H3426" t="s">
        <v>3968</v>
      </c>
      <c r="I3426">
        <v>3</v>
      </c>
    </row>
    <row r="3427" spans="7:9" x14ac:dyDescent="0.15">
      <c r="G3427">
        <v>51982</v>
      </c>
      <c r="H3427" t="s">
        <v>3969</v>
      </c>
      <c r="I3427">
        <v>3</v>
      </c>
    </row>
    <row r="3428" spans="7:9" x14ac:dyDescent="0.15">
      <c r="G3428">
        <v>52010</v>
      </c>
      <c r="H3428" t="s">
        <v>3970</v>
      </c>
      <c r="I3428">
        <v>1</v>
      </c>
    </row>
    <row r="3429" spans="7:9" x14ac:dyDescent="0.15">
      <c r="G3429">
        <v>52031</v>
      </c>
      <c r="H3429" t="s">
        <v>3971</v>
      </c>
      <c r="I3429">
        <v>3</v>
      </c>
    </row>
    <row r="3430" spans="7:9" x14ac:dyDescent="0.15">
      <c r="G3430">
        <v>52038</v>
      </c>
      <c r="H3430" t="s">
        <v>3972</v>
      </c>
      <c r="I3430">
        <v>3</v>
      </c>
    </row>
    <row r="3431" spans="7:9" x14ac:dyDescent="0.15">
      <c r="G3431">
        <v>52045</v>
      </c>
      <c r="H3431" t="s">
        <v>3973</v>
      </c>
      <c r="I3431">
        <v>3</v>
      </c>
    </row>
    <row r="3432" spans="7:9" x14ac:dyDescent="0.15">
      <c r="G3432">
        <v>52052</v>
      </c>
      <c r="H3432" t="s">
        <v>3974</v>
      </c>
      <c r="I3432">
        <v>2</v>
      </c>
    </row>
    <row r="3433" spans="7:9" x14ac:dyDescent="0.15">
      <c r="G3433">
        <v>52066</v>
      </c>
      <c r="H3433" t="s">
        <v>3975</v>
      </c>
      <c r="I3433">
        <v>3</v>
      </c>
    </row>
    <row r="3434" spans="7:9" x14ac:dyDescent="0.15">
      <c r="G3434">
        <v>52080</v>
      </c>
      <c r="H3434" t="s">
        <v>3975</v>
      </c>
      <c r="I3434">
        <v>3</v>
      </c>
    </row>
    <row r="3435" spans="7:9" x14ac:dyDescent="0.15">
      <c r="G3435">
        <v>52094</v>
      </c>
      <c r="H3435" t="s">
        <v>3975</v>
      </c>
      <c r="I3435">
        <v>3</v>
      </c>
    </row>
    <row r="3436" spans="7:9" x14ac:dyDescent="0.15">
      <c r="G3436">
        <v>52108</v>
      </c>
      <c r="H3436" t="s">
        <v>3975</v>
      </c>
      <c r="I3436">
        <v>3</v>
      </c>
    </row>
    <row r="3437" spans="7:9" x14ac:dyDescent="0.15">
      <c r="G3437">
        <v>52122</v>
      </c>
      <c r="H3437" t="s">
        <v>3975</v>
      </c>
      <c r="I3437">
        <v>3</v>
      </c>
    </row>
    <row r="3438" spans="7:9" x14ac:dyDescent="0.15">
      <c r="G3438">
        <v>52150</v>
      </c>
      <c r="H3438" t="s">
        <v>3975</v>
      </c>
      <c r="I3438">
        <v>3</v>
      </c>
    </row>
    <row r="3439" spans="7:9" x14ac:dyDescent="0.15">
      <c r="G3439">
        <v>52164</v>
      </c>
      <c r="H3439" t="s">
        <v>3976</v>
      </c>
      <c r="I3439">
        <v>3</v>
      </c>
    </row>
    <row r="3440" spans="7:9" x14ac:dyDescent="0.15">
      <c r="G3440">
        <v>52170</v>
      </c>
      <c r="H3440" t="s">
        <v>3976</v>
      </c>
      <c r="I3440">
        <v>3</v>
      </c>
    </row>
    <row r="3441" spans="7:9" x14ac:dyDescent="0.15">
      <c r="G3441">
        <v>52178</v>
      </c>
      <c r="H3441" t="s">
        <v>3977</v>
      </c>
      <c r="I3441">
        <v>2</v>
      </c>
    </row>
    <row r="3442" spans="7:9" x14ac:dyDescent="0.15">
      <c r="G3442">
        <v>52192</v>
      </c>
      <c r="H3442" t="s">
        <v>3978</v>
      </c>
      <c r="I3442">
        <v>3</v>
      </c>
    </row>
    <row r="3443" spans="7:9" x14ac:dyDescent="0.15">
      <c r="G3443">
        <v>52200</v>
      </c>
      <c r="H3443" t="s">
        <v>3979</v>
      </c>
      <c r="I3443">
        <v>3</v>
      </c>
    </row>
    <row r="3444" spans="7:9" x14ac:dyDescent="0.15">
      <c r="G3444">
        <v>52206</v>
      </c>
      <c r="H3444" t="s">
        <v>3980</v>
      </c>
      <c r="I3444">
        <v>3</v>
      </c>
    </row>
    <row r="3445" spans="7:9" x14ac:dyDescent="0.15">
      <c r="G3445">
        <v>52220</v>
      </c>
      <c r="H3445" t="s">
        <v>3981</v>
      </c>
      <c r="I3445">
        <v>3</v>
      </c>
    </row>
    <row r="3446" spans="7:9" x14ac:dyDescent="0.15">
      <c r="G3446">
        <v>52234</v>
      </c>
      <c r="H3446" t="s">
        <v>3981</v>
      </c>
      <c r="I3446">
        <v>3</v>
      </c>
    </row>
    <row r="3447" spans="7:9" x14ac:dyDescent="0.15">
      <c r="G3447">
        <v>52248</v>
      </c>
      <c r="H3447" t="s">
        <v>3982</v>
      </c>
      <c r="I3447">
        <v>3</v>
      </c>
    </row>
    <row r="3448" spans="7:9" x14ac:dyDescent="0.15">
      <c r="G3448">
        <v>52262</v>
      </c>
      <c r="H3448" t="s">
        <v>3983</v>
      </c>
      <c r="I3448">
        <v>3</v>
      </c>
    </row>
    <row r="3449" spans="7:9" x14ac:dyDescent="0.15">
      <c r="G3449">
        <v>52270</v>
      </c>
      <c r="H3449" t="s">
        <v>3984</v>
      </c>
      <c r="I3449">
        <v>3</v>
      </c>
    </row>
    <row r="3450" spans="7:9" x14ac:dyDescent="0.15">
      <c r="G3450">
        <v>52276</v>
      </c>
      <c r="H3450" t="s">
        <v>3985</v>
      </c>
      <c r="I3450">
        <v>2</v>
      </c>
    </row>
    <row r="3451" spans="7:9" x14ac:dyDescent="0.15">
      <c r="G3451">
        <v>52290</v>
      </c>
      <c r="H3451" t="s">
        <v>3986</v>
      </c>
      <c r="I3451">
        <v>3</v>
      </c>
    </row>
    <row r="3452" spans="7:9" x14ac:dyDescent="0.15">
      <c r="G3452">
        <v>52332</v>
      </c>
      <c r="H3452" t="s">
        <v>3987</v>
      </c>
      <c r="I3452">
        <v>3</v>
      </c>
    </row>
    <row r="3453" spans="7:9" x14ac:dyDescent="0.15">
      <c r="G3453">
        <v>52346</v>
      </c>
      <c r="H3453" t="s">
        <v>3987</v>
      </c>
      <c r="I3453">
        <v>2</v>
      </c>
    </row>
    <row r="3454" spans="7:9" x14ac:dyDescent="0.15">
      <c r="G3454">
        <v>52360</v>
      </c>
      <c r="H3454" t="s">
        <v>3988</v>
      </c>
      <c r="I3454">
        <v>3</v>
      </c>
    </row>
    <row r="3455" spans="7:9" x14ac:dyDescent="0.15">
      <c r="G3455">
        <v>52374</v>
      </c>
      <c r="H3455" t="s">
        <v>3989</v>
      </c>
      <c r="I3455">
        <v>2</v>
      </c>
    </row>
    <row r="3456" spans="7:9" x14ac:dyDescent="0.15">
      <c r="G3456">
        <v>52416</v>
      </c>
      <c r="H3456" t="s">
        <v>3990</v>
      </c>
      <c r="I3456">
        <v>2</v>
      </c>
    </row>
    <row r="3457" spans="7:9" x14ac:dyDescent="0.15">
      <c r="G3457">
        <v>52444</v>
      </c>
      <c r="H3457" t="s">
        <v>3991</v>
      </c>
      <c r="I3457">
        <v>3</v>
      </c>
    </row>
    <row r="3458" spans="7:9" x14ac:dyDescent="0.15">
      <c r="G3458">
        <v>52458</v>
      </c>
      <c r="H3458" t="s">
        <v>3992</v>
      </c>
      <c r="I3458">
        <v>3</v>
      </c>
    </row>
    <row r="3459" spans="7:9" x14ac:dyDescent="0.15">
      <c r="G3459">
        <v>52472</v>
      </c>
      <c r="H3459" t="s">
        <v>3993</v>
      </c>
      <c r="I3459">
        <v>3</v>
      </c>
    </row>
    <row r="3460" spans="7:9" x14ac:dyDescent="0.15">
      <c r="G3460">
        <v>52486</v>
      </c>
      <c r="H3460" t="s">
        <v>3994</v>
      </c>
      <c r="I3460">
        <v>3</v>
      </c>
    </row>
    <row r="3461" spans="7:9" x14ac:dyDescent="0.15">
      <c r="G3461">
        <v>52514</v>
      </c>
      <c r="H3461" t="s">
        <v>3995</v>
      </c>
      <c r="I3461">
        <v>3</v>
      </c>
    </row>
    <row r="3462" spans="7:9" x14ac:dyDescent="0.15">
      <c r="G3462">
        <v>52542</v>
      </c>
      <c r="H3462" t="s">
        <v>3996</v>
      </c>
      <c r="I3462">
        <v>3</v>
      </c>
    </row>
    <row r="3463" spans="7:9" x14ac:dyDescent="0.15">
      <c r="G3463">
        <v>52556</v>
      </c>
      <c r="H3463" t="s">
        <v>3997</v>
      </c>
      <c r="I3463">
        <v>3</v>
      </c>
    </row>
    <row r="3464" spans="7:9" x14ac:dyDescent="0.15">
      <c r="G3464">
        <v>52570</v>
      </c>
      <c r="H3464" t="s">
        <v>3998</v>
      </c>
      <c r="I3464">
        <v>3</v>
      </c>
    </row>
    <row r="3465" spans="7:9" x14ac:dyDescent="0.15">
      <c r="G3465">
        <v>52575</v>
      </c>
      <c r="H3465" t="s">
        <v>3999</v>
      </c>
      <c r="I3465">
        <v>3</v>
      </c>
    </row>
    <row r="3466" spans="7:9" x14ac:dyDescent="0.15">
      <c r="G3466">
        <v>52584</v>
      </c>
      <c r="H3466" t="s">
        <v>4000</v>
      </c>
      <c r="I3466">
        <v>3</v>
      </c>
    </row>
    <row r="3467" spans="7:9" x14ac:dyDescent="0.15">
      <c r="G3467">
        <v>52598</v>
      </c>
      <c r="H3467" t="s">
        <v>4001</v>
      </c>
      <c r="I3467">
        <v>2</v>
      </c>
    </row>
    <row r="3468" spans="7:9" x14ac:dyDescent="0.15">
      <c r="G3468">
        <v>52605</v>
      </c>
      <c r="H3468" t="s">
        <v>4002</v>
      </c>
      <c r="I3468">
        <v>3</v>
      </c>
    </row>
    <row r="3469" spans="7:9" x14ac:dyDescent="0.15">
      <c r="G3469">
        <v>52612</v>
      </c>
      <c r="H3469" t="s">
        <v>4003</v>
      </c>
      <c r="I3469">
        <v>2</v>
      </c>
    </row>
    <row r="3470" spans="7:9" x14ac:dyDescent="0.15">
      <c r="G3470">
        <v>52640</v>
      </c>
      <c r="H3470" t="s">
        <v>4003</v>
      </c>
      <c r="I3470">
        <v>3</v>
      </c>
    </row>
    <row r="3471" spans="7:9" x14ac:dyDescent="0.15">
      <c r="G3471">
        <v>52654</v>
      </c>
      <c r="H3471" t="s">
        <v>4004</v>
      </c>
      <c r="I3471">
        <v>3</v>
      </c>
    </row>
    <row r="3472" spans="7:9" x14ac:dyDescent="0.15">
      <c r="G3472">
        <v>52660</v>
      </c>
      <c r="H3472" t="s">
        <v>4005</v>
      </c>
      <c r="I3472">
        <v>3</v>
      </c>
    </row>
    <row r="3473" spans="7:9" x14ac:dyDescent="0.15">
      <c r="G3473">
        <v>52668</v>
      </c>
      <c r="H3473" t="s">
        <v>4006</v>
      </c>
      <c r="I3473">
        <v>2</v>
      </c>
    </row>
    <row r="3474" spans="7:9" x14ac:dyDescent="0.15">
      <c r="G3474">
        <v>52682</v>
      </c>
      <c r="H3474" t="s">
        <v>4007</v>
      </c>
      <c r="I3474">
        <v>2</v>
      </c>
    </row>
    <row r="3475" spans="7:9" x14ac:dyDescent="0.15">
      <c r="G3475">
        <v>52696</v>
      </c>
      <c r="H3475" t="s">
        <v>4008</v>
      </c>
      <c r="I3475">
        <v>3</v>
      </c>
    </row>
    <row r="3476" spans="7:9" x14ac:dyDescent="0.15">
      <c r="G3476">
        <v>52724</v>
      </c>
      <c r="H3476" t="s">
        <v>4009</v>
      </c>
      <c r="I3476">
        <v>3</v>
      </c>
    </row>
    <row r="3477" spans="7:9" x14ac:dyDescent="0.15">
      <c r="G3477">
        <v>52738</v>
      </c>
      <c r="H3477" t="s">
        <v>4010</v>
      </c>
      <c r="I3477">
        <v>2</v>
      </c>
    </row>
    <row r="3478" spans="7:9" x14ac:dyDescent="0.15">
      <c r="G3478">
        <v>52752</v>
      </c>
      <c r="H3478" t="s">
        <v>4011</v>
      </c>
      <c r="I3478">
        <v>1</v>
      </c>
    </row>
    <row r="3479" spans="7:9" x14ac:dyDescent="0.15">
      <c r="G3479">
        <v>52780</v>
      </c>
      <c r="H3479" t="s">
        <v>4012</v>
      </c>
      <c r="I3479">
        <v>2</v>
      </c>
    </row>
    <row r="3480" spans="7:9" x14ac:dyDescent="0.15">
      <c r="G3480">
        <v>52794</v>
      </c>
      <c r="H3480" t="s">
        <v>4013</v>
      </c>
      <c r="I3480">
        <v>3</v>
      </c>
    </row>
    <row r="3481" spans="7:9" x14ac:dyDescent="0.15">
      <c r="G3481">
        <v>52808</v>
      </c>
      <c r="H3481" t="s">
        <v>4013</v>
      </c>
      <c r="I3481">
        <v>3</v>
      </c>
    </row>
    <row r="3482" spans="7:9" x14ac:dyDescent="0.15">
      <c r="G3482">
        <v>52822</v>
      </c>
      <c r="H3482" t="s">
        <v>4014</v>
      </c>
      <c r="I3482">
        <v>3</v>
      </c>
    </row>
    <row r="3483" spans="7:9" x14ac:dyDescent="0.15">
      <c r="G3483">
        <v>52836</v>
      </c>
      <c r="H3483" t="s">
        <v>4015</v>
      </c>
      <c r="I3483">
        <v>3</v>
      </c>
    </row>
    <row r="3484" spans="7:9" x14ac:dyDescent="0.15">
      <c r="G3484">
        <v>52850</v>
      </c>
      <c r="H3484" t="s">
        <v>4016</v>
      </c>
      <c r="I3484">
        <v>3</v>
      </c>
    </row>
    <row r="3485" spans="7:9" x14ac:dyDescent="0.15">
      <c r="G3485">
        <v>52864</v>
      </c>
      <c r="H3485" t="s">
        <v>4017</v>
      </c>
      <c r="I3485">
        <v>3</v>
      </c>
    </row>
    <row r="3486" spans="7:9" x14ac:dyDescent="0.15">
      <c r="G3486">
        <v>52878</v>
      </c>
      <c r="H3486" t="s">
        <v>4018</v>
      </c>
      <c r="I3486">
        <v>3</v>
      </c>
    </row>
    <row r="3487" spans="7:9" x14ac:dyDescent="0.15">
      <c r="G3487">
        <v>52892</v>
      </c>
      <c r="H3487" t="s">
        <v>4019</v>
      </c>
      <c r="I3487">
        <v>3</v>
      </c>
    </row>
    <row r="3488" spans="7:9" x14ac:dyDescent="0.15">
      <c r="G3488">
        <v>52906</v>
      </c>
      <c r="H3488" t="s">
        <v>4020</v>
      </c>
      <c r="I3488">
        <v>2</v>
      </c>
    </row>
    <row r="3489" spans="7:9" x14ac:dyDescent="0.15">
      <c r="G3489">
        <v>52934</v>
      </c>
      <c r="H3489" t="s">
        <v>4021</v>
      </c>
      <c r="I3489">
        <v>3</v>
      </c>
    </row>
    <row r="3490" spans="7:9" x14ac:dyDescent="0.15">
      <c r="G3490">
        <v>52948</v>
      </c>
      <c r="H3490" t="s">
        <v>4022</v>
      </c>
      <c r="I3490">
        <v>3</v>
      </c>
    </row>
    <row r="3491" spans="7:9" x14ac:dyDescent="0.15">
      <c r="G3491">
        <v>52962</v>
      </c>
      <c r="H3491" t="s">
        <v>4023</v>
      </c>
      <c r="I3491">
        <v>3</v>
      </c>
    </row>
    <row r="3492" spans="7:9" x14ac:dyDescent="0.15">
      <c r="G3492">
        <v>52976</v>
      </c>
      <c r="H3492" t="s">
        <v>4023</v>
      </c>
      <c r="I3492">
        <v>2</v>
      </c>
    </row>
    <row r="3493" spans="7:9" x14ac:dyDescent="0.15">
      <c r="G3493">
        <v>52990</v>
      </c>
      <c r="H3493" t="s">
        <v>4024</v>
      </c>
      <c r="I3493">
        <v>3</v>
      </c>
    </row>
    <row r="3494" spans="7:9" x14ac:dyDescent="0.15">
      <c r="G3494">
        <v>53004</v>
      </c>
      <c r="H3494" t="s">
        <v>4023</v>
      </c>
      <c r="I3494">
        <v>3</v>
      </c>
    </row>
    <row r="3495" spans="7:9" x14ac:dyDescent="0.15">
      <c r="G3495">
        <v>53018</v>
      </c>
      <c r="H3495" t="s">
        <v>4023</v>
      </c>
      <c r="I3495">
        <v>3</v>
      </c>
    </row>
    <row r="3496" spans="7:9" x14ac:dyDescent="0.15">
      <c r="G3496">
        <v>53032</v>
      </c>
      <c r="H3496" t="s">
        <v>4025</v>
      </c>
      <c r="I3496">
        <v>2</v>
      </c>
    </row>
    <row r="3497" spans="7:9" x14ac:dyDescent="0.15">
      <c r="G3497">
        <v>53035</v>
      </c>
      <c r="H3497" t="s">
        <v>4026</v>
      </c>
      <c r="I3497">
        <v>3</v>
      </c>
    </row>
    <row r="3498" spans="7:9" x14ac:dyDescent="0.15">
      <c r="G3498">
        <v>53042</v>
      </c>
      <c r="H3498" t="s">
        <v>4027</v>
      </c>
      <c r="I3498">
        <v>3</v>
      </c>
    </row>
    <row r="3499" spans="7:9" x14ac:dyDescent="0.15">
      <c r="G3499">
        <v>53046</v>
      </c>
      <c r="H3499" t="s">
        <v>4028</v>
      </c>
      <c r="I3499">
        <v>2</v>
      </c>
    </row>
    <row r="3500" spans="7:9" x14ac:dyDescent="0.15">
      <c r="G3500">
        <v>53075</v>
      </c>
      <c r="H3500" t="s">
        <v>4029</v>
      </c>
      <c r="I3500">
        <v>3</v>
      </c>
    </row>
    <row r="3501" spans="7:9" x14ac:dyDescent="0.15">
      <c r="G3501">
        <v>53088</v>
      </c>
      <c r="H3501" t="s">
        <v>4030</v>
      </c>
      <c r="I3501">
        <v>3</v>
      </c>
    </row>
    <row r="3502" spans="7:9" x14ac:dyDescent="0.15">
      <c r="G3502">
        <v>53102</v>
      </c>
      <c r="H3502" t="s">
        <v>4031</v>
      </c>
      <c r="I3502">
        <v>1</v>
      </c>
    </row>
    <row r="3503" spans="7:9" x14ac:dyDescent="0.15">
      <c r="G3503">
        <v>53144</v>
      </c>
      <c r="H3503" t="s">
        <v>4032</v>
      </c>
      <c r="I3503">
        <v>2</v>
      </c>
    </row>
    <row r="3504" spans="7:9" x14ac:dyDescent="0.15">
      <c r="G3504">
        <v>53150</v>
      </c>
      <c r="H3504" t="s">
        <v>4033</v>
      </c>
      <c r="I3504">
        <v>3</v>
      </c>
    </row>
    <row r="3505" spans="7:9" x14ac:dyDescent="0.15">
      <c r="G3505">
        <v>53158</v>
      </c>
      <c r="H3505" t="s">
        <v>4034</v>
      </c>
      <c r="I3505">
        <v>3</v>
      </c>
    </row>
    <row r="3506" spans="7:9" x14ac:dyDescent="0.15">
      <c r="G3506">
        <v>53172</v>
      </c>
      <c r="H3506" t="s">
        <v>4035</v>
      </c>
      <c r="I3506">
        <v>3</v>
      </c>
    </row>
    <row r="3507" spans="7:9" x14ac:dyDescent="0.15">
      <c r="G3507">
        <v>53180</v>
      </c>
      <c r="H3507" t="s">
        <v>4036</v>
      </c>
      <c r="I3507">
        <v>3</v>
      </c>
    </row>
    <row r="3508" spans="7:9" x14ac:dyDescent="0.15">
      <c r="G3508">
        <v>53186</v>
      </c>
      <c r="H3508" t="s">
        <v>4037</v>
      </c>
      <c r="I3508">
        <v>2</v>
      </c>
    </row>
    <row r="3509" spans="7:9" x14ac:dyDescent="0.15">
      <c r="G3509">
        <v>53200</v>
      </c>
      <c r="H3509" t="s">
        <v>4038</v>
      </c>
      <c r="I3509">
        <v>3</v>
      </c>
    </row>
    <row r="3510" spans="7:9" x14ac:dyDescent="0.15">
      <c r="G3510">
        <v>53228</v>
      </c>
      <c r="H3510" t="s">
        <v>4039</v>
      </c>
      <c r="I3510">
        <v>3</v>
      </c>
    </row>
    <row r="3511" spans="7:9" x14ac:dyDescent="0.15">
      <c r="G3511">
        <v>53256</v>
      </c>
      <c r="H3511" t="s">
        <v>4040</v>
      </c>
      <c r="I3511">
        <v>3</v>
      </c>
    </row>
    <row r="3512" spans="7:9" x14ac:dyDescent="0.15">
      <c r="G3512">
        <v>53270</v>
      </c>
      <c r="H3512" t="s">
        <v>4041</v>
      </c>
      <c r="I3512">
        <v>2</v>
      </c>
    </row>
    <row r="3513" spans="7:9" x14ac:dyDescent="0.15">
      <c r="G3513">
        <v>53275</v>
      </c>
      <c r="H3513" t="s">
        <v>4042</v>
      </c>
      <c r="I3513">
        <v>3</v>
      </c>
    </row>
    <row r="3514" spans="7:9" x14ac:dyDescent="0.15">
      <c r="G3514">
        <v>53284</v>
      </c>
      <c r="H3514" t="s">
        <v>4043</v>
      </c>
      <c r="I3514">
        <v>3</v>
      </c>
    </row>
    <row r="3515" spans="7:9" x14ac:dyDescent="0.15">
      <c r="G3515">
        <v>53298</v>
      </c>
      <c r="H3515" t="s">
        <v>4044</v>
      </c>
      <c r="I3515">
        <v>3</v>
      </c>
    </row>
    <row r="3516" spans="7:9" x14ac:dyDescent="0.15">
      <c r="G3516">
        <v>53304</v>
      </c>
      <c r="H3516" t="s">
        <v>4045</v>
      </c>
      <c r="I3516">
        <v>3</v>
      </c>
    </row>
    <row r="3517" spans="7:9" x14ac:dyDescent="0.15">
      <c r="G3517">
        <v>53308</v>
      </c>
      <c r="H3517" t="s">
        <v>4046</v>
      </c>
      <c r="I3517">
        <v>3</v>
      </c>
    </row>
    <row r="3518" spans="7:9" x14ac:dyDescent="0.15">
      <c r="G3518">
        <v>53312</v>
      </c>
      <c r="H3518" t="s">
        <v>4047</v>
      </c>
      <c r="I3518">
        <v>1</v>
      </c>
    </row>
    <row r="3519" spans="7:9" x14ac:dyDescent="0.15">
      <c r="G3519">
        <v>53340</v>
      </c>
      <c r="H3519" t="s">
        <v>4048</v>
      </c>
      <c r="I3519">
        <v>3</v>
      </c>
    </row>
    <row r="3520" spans="7:9" x14ac:dyDescent="0.15">
      <c r="G3520">
        <v>53345</v>
      </c>
      <c r="H3520" t="s">
        <v>4049</v>
      </c>
      <c r="I3520">
        <v>3</v>
      </c>
    </row>
    <row r="3521" spans="7:9" x14ac:dyDescent="0.15">
      <c r="G3521">
        <v>53350</v>
      </c>
      <c r="H3521" t="s">
        <v>4050</v>
      </c>
      <c r="I3521">
        <v>3</v>
      </c>
    </row>
    <row r="3522" spans="7:9" x14ac:dyDescent="0.15">
      <c r="G3522">
        <v>53368</v>
      </c>
      <c r="H3522" t="s">
        <v>4051</v>
      </c>
      <c r="I3522">
        <v>3</v>
      </c>
    </row>
    <row r="3523" spans="7:9" x14ac:dyDescent="0.15">
      <c r="G3523">
        <v>53382</v>
      </c>
      <c r="H3523" t="s">
        <v>4052</v>
      </c>
      <c r="I3523">
        <v>3</v>
      </c>
    </row>
    <row r="3524" spans="7:9" x14ac:dyDescent="0.15">
      <c r="G3524">
        <v>53410</v>
      </c>
      <c r="H3524" t="s">
        <v>4053</v>
      </c>
      <c r="I3524">
        <v>2</v>
      </c>
    </row>
    <row r="3525" spans="7:9" x14ac:dyDescent="0.15">
      <c r="G3525">
        <v>53424</v>
      </c>
      <c r="H3525" t="s">
        <v>4054</v>
      </c>
      <c r="I3525">
        <v>3</v>
      </c>
    </row>
    <row r="3526" spans="7:9" x14ac:dyDescent="0.15">
      <c r="G3526">
        <v>53438</v>
      </c>
      <c r="H3526" t="s">
        <v>4055</v>
      </c>
      <c r="I3526">
        <v>3</v>
      </c>
    </row>
    <row r="3527" spans="7:9" x14ac:dyDescent="0.15">
      <c r="G3527">
        <v>53452</v>
      </c>
      <c r="H3527" t="s">
        <v>4055</v>
      </c>
      <c r="I3527">
        <v>3</v>
      </c>
    </row>
    <row r="3528" spans="7:9" x14ac:dyDescent="0.15">
      <c r="G3528">
        <v>53466</v>
      </c>
      <c r="H3528" t="s">
        <v>4056</v>
      </c>
      <c r="I3528">
        <v>3</v>
      </c>
    </row>
    <row r="3529" spans="7:9" x14ac:dyDescent="0.15">
      <c r="G3529">
        <v>53475</v>
      </c>
      <c r="H3529" t="s">
        <v>4057</v>
      </c>
      <c r="I3529">
        <v>3</v>
      </c>
    </row>
    <row r="3530" spans="7:9" x14ac:dyDescent="0.15">
      <c r="G3530">
        <v>53480</v>
      </c>
      <c r="H3530" t="s">
        <v>4058</v>
      </c>
      <c r="I3530">
        <v>2</v>
      </c>
    </row>
    <row r="3531" spans="7:9" x14ac:dyDescent="0.15">
      <c r="G3531">
        <v>53485</v>
      </c>
      <c r="H3531" t="s">
        <v>4059</v>
      </c>
      <c r="I3531">
        <v>3</v>
      </c>
    </row>
    <row r="3532" spans="7:9" x14ac:dyDescent="0.15">
      <c r="G3532">
        <v>53508</v>
      </c>
      <c r="H3532" t="s">
        <v>4060</v>
      </c>
      <c r="I3532">
        <v>3</v>
      </c>
    </row>
    <row r="3533" spans="7:9" x14ac:dyDescent="0.15">
      <c r="G3533">
        <v>53536</v>
      </c>
      <c r="H3533" t="s">
        <v>4061</v>
      </c>
      <c r="I3533">
        <v>3</v>
      </c>
    </row>
    <row r="3534" spans="7:9" x14ac:dyDescent="0.15">
      <c r="G3534">
        <v>53545</v>
      </c>
      <c r="H3534" t="s">
        <v>4062</v>
      </c>
      <c r="I3534">
        <v>3</v>
      </c>
    </row>
    <row r="3535" spans="7:9" x14ac:dyDescent="0.15">
      <c r="G3535">
        <v>53550</v>
      </c>
      <c r="H3535" t="s">
        <v>986</v>
      </c>
      <c r="I3535">
        <v>1</v>
      </c>
    </row>
    <row r="3536" spans="7:9" x14ac:dyDescent="0.15">
      <c r="G3536">
        <v>53564</v>
      </c>
      <c r="H3536" t="s">
        <v>4063</v>
      </c>
      <c r="I3536">
        <v>3</v>
      </c>
    </row>
    <row r="3537" spans="7:9" x14ac:dyDescent="0.15">
      <c r="G3537">
        <v>53582</v>
      </c>
      <c r="H3537" t="s">
        <v>4064</v>
      </c>
      <c r="I3537">
        <v>3</v>
      </c>
    </row>
    <row r="3538" spans="7:9" x14ac:dyDescent="0.15">
      <c r="G3538">
        <v>53588</v>
      </c>
      <c r="H3538" t="s">
        <v>4065</v>
      </c>
      <c r="I3538">
        <v>3</v>
      </c>
    </row>
    <row r="3539" spans="7:9" x14ac:dyDescent="0.15">
      <c r="G3539">
        <v>53606</v>
      </c>
      <c r="H3539" t="s">
        <v>4066</v>
      </c>
      <c r="I3539">
        <v>3</v>
      </c>
    </row>
    <row r="3540" spans="7:9" x14ac:dyDescent="0.15">
      <c r="G3540">
        <v>53620</v>
      </c>
      <c r="H3540" t="s">
        <v>1122</v>
      </c>
      <c r="I3540">
        <v>3</v>
      </c>
    </row>
    <row r="3541" spans="7:9" x14ac:dyDescent="0.15">
      <c r="G3541">
        <v>53634</v>
      </c>
      <c r="H3541" t="s">
        <v>1122</v>
      </c>
      <c r="I3541">
        <v>2</v>
      </c>
    </row>
    <row r="3542" spans="7:9" x14ac:dyDescent="0.15">
      <c r="G3542">
        <v>53648</v>
      </c>
      <c r="H3542" t="s">
        <v>1122</v>
      </c>
      <c r="I3542">
        <v>3</v>
      </c>
    </row>
    <row r="3543" spans="7:9" x14ac:dyDescent="0.15">
      <c r="G3543">
        <v>53690</v>
      </c>
      <c r="H3543" t="s">
        <v>4067</v>
      </c>
      <c r="I3543">
        <v>2</v>
      </c>
    </row>
    <row r="3544" spans="7:9" x14ac:dyDescent="0.15">
      <c r="G3544">
        <v>53695</v>
      </c>
      <c r="H3544" t="s">
        <v>4068</v>
      </c>
      <c r="I3544">
        <v>3</v>
      </c>
    </row>
    <row r="3545" spans="7:9" x14ac:dyDescent="0.15">
      <c r="G3545">
        <v>53704</v>
      </c>
      <c r="H3545" t="s">
        <v>4069</v>
      </c>
      <c r="I3545">
        <v>3</v>
      </c>
    </row>
    <row r="3546" spans="7:9" x14ac:dyDescent="0.15">
      <c r="G3546">
        <v>53718</v>
      </c>
      <c r="H3546" t="s">
        <v>4070</v>
      </c>
      <c r="I3546">
        <v>2</v>
      </c>
    </row>
    <row r="3547" spans="7:9" x14ac:dyDescent="0.15">
      <c r="G3547">
        <v>53725</v>
      </c>
      <c r="H3547" t="s">
        <v>4071</v>
      </c>
      <c r="I3547">
        <v>3</v>
      </c>
    </row>
    <row r="3548" spans="7:9" x14ac:dyDescent="0.15">
      <c r="G3548">
        <v>53732</v>
      </c>
      <c r="H3548" t="s">
        <v>4072</v>
      </c>
      <c r="I3548">
        <v>3</v>
      </c>
    </row>
    <row r="3549" spans="7:9" x14ac:dyDescent="0.15">
      <c r="G3549">
        <v>53740</v>
      </c>
      <c r="H3549" t="s">
        <v>4073</v>
      </c>
      <c r="I3549">
        <v>3</v>
      </c>
    </row>
    <row r="3550" spans="7:9" x14ac:dyDescent="0.15">
      <c r="G3550">
        <v>53746</v>
      </c>
      <c r="H3550" t="s">
        <v>4074</v>
      </c>
      <c r="I3550">
        <v>3</v>
      </c>
    </row>
    <row r="3551" spans="7:9" x14ac:dyDescent="0.15">
      <c r="G3551">
        <v>53760</v>
      </c>
      <c r="H3551" t="s">
        <v>4075</v>
      </c>
      <c r="I3551">
        <v>3</v>
      </c>
    </row>
    <row r="3552" spans="7:9" x14ac:dyDescent="0.15">
      <c r="G3552">
        <v>53774</v>
      </c>
      <c r="H3552" t="s">
        <v>4076</v>
      </c>
      <c r="I3552">
        <v>3</v>
      </c>
    </row>
    <row r="3553" spans="7:9" x14ac:dyDescent="0.15">
      <c r="G3553">
        <v>53788</v>
      </c>
      <c r="H3553" t="s">
        <v>4077</v>
      </c>
      <c r="I3553">
        <v>2</v>
      </c>
    </row>
    <row r="3554" spans="7:9" x14ac:dyDescent="0.15">
      <c r="G3554">
        <v>53802</v>
      </c>
      <c r="H3554" t="s">
        <v>4078</v>
      </c>
      <c r="I3554">
        <v>2</v>
      </c>
    </row>
    <row r="3555" spans="7:9" x14ac:dyDescent="0.15">
      <c r="G3555">
        <v>53816</v>
      </c>
      <c r="H3555" t="s">
        <v>4079</v>
      </c>
      <c r="I3555">
        <v>2</v>
      </c>
    </row>
    <row r="3556" spans="7:9" x14ac:dyDescent="0.15">
      <c r="G3556">
        <v>53844</v>
      </c>
      <c r="H3556" t="s">
        <v>4080</v>
      </c>
      <c r="I3556">
        <v>3</v>
      </c>
    </row>
    <row r="3557" spans="7:9" x14ac:dyDescent="0.15">
      <c r="G3557">
        <v>53858</v>
      </c>
      <c r="H3557" t="s">
        <v>4081</v>
      </c>
      <c r="I3557">
        <v>3</v>
      </c>
    </row>
    <row r="3558" spans="7:9" x14ac:dyDescent="0.15">
      <c r="G3558">
        <v>53886</v>
      </c>
      <c r="H3558" t="s">
        <v>1012</v>
      </c>
      <c r="I3558">
        <v>1</v>
      </c>
    </row>
    <row r="3559" spans="7:9" x14ac:dyDescent="0.15">
      <c r="G3559">
        <v>53900</v>
      </c>
      <c r="H3559" t="s">
        <v>4082</v>
      </c>
      <c r="I3559">
        <v>3</v>
      </c>
    </row>
    <row r="3560" spans="7:9" x14ac:dyDescent="0.15">
      <c r="G3560">
        <v>53914</v>
      </c>
      <c r="H3560" t="s">
        <v>4083</v>
      </c>
      <c r="I3560">
        <v>3</v>
      </c>
    </row>
    <row r="3561" spans="7:9" x14ac:dyDescent="0.15">
      <c r="G3561">
        <v>53942</v>
      </c>
      <c r="H3561" t="s">
        <v>4084</v>
      </c>
      <c r="I3561">
        <v>2</v>
      </c>
    </row>
    <row r="3562" spans="7:9" x14ac:dyDescent="0.15">
      <c r="G3562">
        <v>53956</v>
      </c>
      <c r="H3562" t="s">
        <v>4085</v>
      </c>
      <c r="I3562">
        <v>2</v>
      </c>
    </row>
    <row r="3563" spans="7:9" x14ac:dyDescent="0.15">
      <c r="G3563">
        <v>53970</v>
      </c>
      <c r="H3563" t="s">
        <v>4086</v>
      </c>
      <c r="I3563">
        <v>1</v>
      </c>
    </row>
    <row r="3564" spans="7:9" x14ac:dyDescent="0.15">
      <c r="G3564">
        <v>53984</v>
      </c>
      <c r="H3564" t="s">
        <v>4086</v>
      </c>
      <c r="I3564">
        <v>3</v>
      </c>
    </row>
    <row r="3565" spans="7:9" x14ac:dyDescent="0.15">
      <c r="G3565">
        <v>54012</v>
      </c>
      <c r="H3565" t="s">
        <v>4087</v>
      </c>
      <c r="I3565">
        <v>2</v>
      </c>
    </row>
    <row r="3566" spans="7:9" x14ac:dyDescent="0.15">
      <c r="G3566">
        <v>54026</v>
      </c>
      <c r="H3566" t="s">
        <v>4088</v>
      </c>
      <c r="I3566">
        <v>3</v>
      </c>
    </row>
    <row r="3567" spans="7:9" x14ac:dyDescent="0.15">
      <c r="G3567">
        <v>54040</v>
      </c>
      <c r="H3567" t="s">
        <v>4089</v>
      </c>
      <c r="I3567">
        <v>1</v>
      </c>
    </row>
    <row r="3568" spans="7:9" x14ac:dyDescent="0.15">
      <c r="G3568">
        <v>54054</v>
      </c>
      <c r="H3568" t="s">
        <v>4090</v>
      </c>
      <c r="I3568">
        <v>3</v>
      </c>
    </row>
    <row r="3569" spans="7:9" x14ac:dyDescent="0.15">
      <c r="G3569">
        <v>54068</v>
      </c>
      <c r="H3569" t="s">
        <v>4091</v>
      </c>
      <c r="I3569">
        <v>2</v>
      </c>
    </row>
    <row r="3570" spans="7:9" x14ac:dyDescent="0.15">
      <c r="G3570">
        <v>54082</v>
      </c>
      <c r="H3570" t="s">
        <v>4092</v>
      </c>
      <c r="I3570">
        <v>2</v>
      </c>
    </row>
    <row r="3571" spans="7:9" x14ac:dyDescent="0.15">
      <c r="G3571">
        <v>54096</v>
      </c>
      <c r="H3571" t="s">
        <v>4092</v>
      </c>
      <c r="I3571">
        <v>3</v>
      </c>
    </row>
    <row r="3572" spans="7:9" x14ac:dyDescent="0.15">
      <c r="G3572">
        <v>54110</v>
      </c>
      <c r="H3572" t="s">
        <v>4093</v>
      </c>
      <c r="I3572">
        <v>2</v>
      </c>
    </row>
    <row r="3573" spans="7:9" x14ac:dyDescent="0.15">
      <c r="G3573">
        <v>54124</v>
      </c>
      <c r="H3573" t="s">
        <v>4094</v>
      </c>
      <c r="I3573">
        <v>3</v>
      </c>
    </row>
    <row r="3574" spans="7:9" x14ac:dyDescent="0.15">
      <c r="G3574">
        <v>54130</v>
      </c>
      <c r="H3574" t="s">
        <v>4095</v>
      </c>
      <c r="I3574">
        <v>3</v>
      </c>
    </row>
    <row r="3575" spans="7:9" x14ac:dyDescent="0.15">
      <c r="G3575">
        <v>54138</v>
      </c>
      <c r="H3575" t="s">
        <v>4096</v>
      </c>
      <c r="I3575">
        <v>3</v>
      </c>
    </row>
    <row r="3576" spans="7:9" x14ac:dyDescent="0.15">
      <c r="G3576">
        <v>54152</v>
      </c>
      <c r="H3576" t="s">
        <v>4097</v>
      </c>
      <c r="I3576">
        <v>2</v>
      </c>
    </row>
    <row r="3577" spans="7:9" x14ac:dyDescent="0.15">
      <c r="G3577">
        <v>54166</v>
      </c>
      <c r="H3577" t="s">
        <v>4098</v>
      </c>
      <c r="I3577">
        <v>2</v>
      </c>
    </row>
    <row r="3578" spans="7:9" x14ac:dyDescent="0.15">
      <c r="G3578">
        <v>54194</v>
      </c>
      <c r="H3578" t="s">
        <v>1013</v>
      </c>
      <c r="I3578">
        <v>2</v>
      </c>
    </row>
    <row r="3579" spans="7:9" x14ac:dyDescent="0.15">
      <c r="G3579">
        <v>54208</v>
      </c>
      <c r="H3579" t="s">
        <v>4099</v>
      </c>
      <c r="I3579">
        <v>3</v>
      </c>
    </row>
    <row r="3580" spans="7:9" x14ac:dyDescent="0.15">
      <c r="G3580">
        <v>54250</v>
      </c>
      <c r="H3580" t="s">
        <v>4100</v>
      </c>
      <c r="I3580">
        <v>2</v>
      </c>
    </row>
    <row r="3581" spans="7:9" x14ac:dyDescent="0.15">
      <c r="G3581">
        <v>54258</v>
      </c>
      <c r="H3581" t="s">
        <v>4101</v>
      </c>
      <c r="I3581">
        <v>3</v>
      </c>
    </row>
    <row r="3582" spans="7:9" x14ac:dyDescent="0.15">
      <c r="G3582">
        <v>54264</v>
      </c>
      <c r="H3582" t="s">
        <v>4101</v>
      </c>
      <c r="I3582">
        <v>1</v>
      </c>
    </row>
    <row r="3583" spans="7:9" x14ac:dyDescent="0.15">
      <c r="G3583">
        <v>54292</v>
      </c>
      <c r="H3583" t="s">
        <v>4102</v>
      </c>
      <c r="I3583">
        <v>3</v>
      </c>
    </row>
    <row r="3584" spans="7:9" x14ac:dyDescent="0.15">
      <c r="G3584">
        <v>54320</v>
      </c>
      <c r="H3584" t="s">
        <v>4103</v>
      </c>
      <c r="I3584">
        <v>2</v>
      </c>
    </row>
    <row r="3585" spans="7:9" x14ac:dyDescent="0.15">
      <c r="G3585">
        <v>54334</v>
      </c>
      <c r="H3585" t="s">
        <v>4104</v>
      </c>
      <c r="I3585">
        <v>1</v>
      </c>
    </row>
    <row r="3586" spans="7:9" x14ac:dyDescent="0.15">
      <c r="G3586">
        <v>54348</v>
      </c>
      <c r="H3586" t="s">
        <v>4105</v>
      </c>
      <c r="I3586">
        <v>3</v>
      </c>
    </row>
    <row r="3587" spans="7:9" x14ac:dyDescent="0.15">
      <c r="G3587">
        <v>54362</v>
      </c>
      <c r="H3587" t="s">
        <v>4106</v>
      </c>
      <c r="I3587">
        <v>3</v>
      </c>
    </row>
    <row r="3588" spans="7:9" x14ac:dyDescent="0.15">
      <c r="G3588">
        <v>54376</v>
      </c>
      <c r="H3588" t="s">
        <v>4107</v>
      </c>
      <c r="I3588">
        <v>3</v>
      </c>
    </row>
    <row r="3589" spans="7:9" x14ac:dyDescent="0.15">
      <c r="G3589">
        <v>54390</v>
      </c>
      <c r="H3589" t="s">
        <v>4105</v>
      </c>
      <c r="I3589">
        <v>3</v>
      </c>
    </row>
    <row r="3590" spans="7:9" x14ac:dyDescent="0.15">
      <c r="G3590">
        <v>54404</v>
      </c>
      <c r="H3590" t="s">
        <v>4108</v>
      </c>
      <c r="I3590">
        <v>3</v>
      </c>
    </row>
    <row r="3591" spans="7:9" x14ac:dyDescent="0.15">
      <c r="G3591">
        <v>54418</v>
      </c>
      <c r="H3591" t="s">
        <v>4109</v>
      </c>
      <c r="I3591">
        <v>3</v>
      </c>
    </row>
    <row r="3592" spans="7:9" x14ac:dyDescent="0.15">
      <c r="G3592">
        <v>54432</v>
      </c>
      <c r="H3592" t="s">
        <v>4110</v>
      </c>
      <c r="I3592">
        <v>2</v>
      </c>
    </row>
    <row r="3593" spans="7:9" x14ac:dyDescent="0.15">
      <c r="G3593">
        <v>54446</v>
      </c>
      <c r="H3593" t="s">
        <v>4111</v>
      </c>
      <c r="I3593">
        <v>2</v>
      </c>
    </row>
    <row r="3594" spans="7:9" x14ac:dyDescent="0.15">
      <c r="G3594">
        <v>54460</v>
      </c>
      <c r="H3594" t="s">
        <v>4112</v>
      </c>
      <c r="I3594">
        <v>3</v>
      </c>
    </row>
    <row r="3595" spans="7:9" x14ac:dyDescent="0.15">
      <c r="G3595">
        <v>54474</v>
      </c>
      <c r="H3595" t="s">
        <v>4113</v>
      </c>
      <c r="I3595">
        <v>3</v>
      </c>
    </row>
    <row r="3596" spans="7:9" x14ac:dyDescent="0.15">
      <c r="G3596">
        <v>54488</v>
      </c>
      <c r="H3596" t="s">
        <v>4114</v>
      </c>
      <c r="I3596">
        <v>3</v>
      </c>
    </row>
    <row r="3597" spans="7:9" x14ac:dyDescent="0.15">
      <c r="G3597">
        <v>54502</v>
      </c>
      <c r="H3597" t="s">
        <v>4115</v>
      </c>
      <c r="I3597">
        <v>3</v>
      </c>
    </row>
    <row r="3598" spans="7:9" x14ac:dyDescent="0.15">
      <c r="G3598">
        <v>54516</v>
      </c>
      <c r="H3598" t="s">
        <v>4116</v>
      </c>
      <c r="I3598">
        <v>3</v>
      </c>
    </row>
    <row r="3599" spans="7:9" x14ac:dyDescent="0.15">
      <c r="G3599">
        <v>54525</v>
      </c>
      <c r="H3599" t="s">
        <v>4116</v>
      </c>
      <c r="I3599">
        <v>3</v>
      </c>
    </row>
    <row r="3600" spans="7:9" x14ac:dyDescent="0.15">
      <c r="G3600">
        <v>54535</v>
      </c>
      <c r="H3600" t="s">
        <v>4117</v>
      </c>
      <c r="I3600">
        <v>3</v>
      </c>
    </row>
    <row r="3601" spans="7:9" x14ac:dyDescent="0.15">
      <c r="G3601">
        <v>54544</v>
      </c>
      <c r="H3601" t="s">
        <v>4118</v>
      </c>
      <c r="I3601">
        <v>3</v>
      </c>
    </row>
    <row r="3602" spans="7:9" x14ac:dyDescent="0.15">
      <c r="G3602">
        <v>54558</v>
      </c>
      <c r="H3602" t="s">
        <v>4119</v>
      </c>
      <c r="I3602">
        <v>3</v>
      </c>
    </row>
    <row r="3603" spans="7:9" x14ac:dyDescent="0.15">
      <c r="G3603">
        <v>54562</v>
      </c>
      <c r="H3603" t="s">
        <v>4119</v>
      </c>
      <c r="I3603">
        <v>1</v>
      </c>
    </row>
    <row r="3604" spans="7:9" x14ac:dyDescent="0.15">
      <c r="G3604">
        <v>54572</v>
      </c>
      <c r="H3604" t="s">
        <v>4120</v>
      </c>
      <c r="I3604">
        <v>3</v>
      </c>
    </row>
    <row r="3605" spans="7:9" x14ac:dyDescent="0.15">
      <c r="G3605">
        <v>54586</v>
      </c>
      <c r="H3605" t="s">
        <v>4121</v>
      </c>
      <c r="I3605">
        <v>3</v>
      </c>
    </row>
    <row r="3606" spans="7:9" x14ac:dyDescent="0.15">
      <c r="G3606">
        <v>54600</v>
      </c>
      <c r="H3606" t="s">
        <v>4122</v>
      </c>
      <c r="I3606">
        <v>3</v>
      </c>
    </row>
    <row r="3607" spans="7:9" x14ac:dyDescent="0.15">
      <c r="G3607">
        <v>54614</v>
      </c>
      <c r="H3607" t="s">
        <v>4123</v>
      </c>
      <c r="I3607">
        <v>3</v>
      </c>
    </row>
    <row r="3608" spans="7:9" x14ac:dyDescent="0.15">
      <c r="G3608">
        <v>54628</v>
      </c>
      <c r="H3608" t="s">
        <v>4124</v>
      </c>
      <c r="I3608">
        <v>2</v>
      </c>
    </row>
    <row r="3609" spans="7:9" x14ac:dyDescent="0.15">
      <c r="G3609">
        <v>54642</v>
      </c>
      <c r="H3609" t="s">
        <v>4125</v>
      </c>
      <c r="I3609">
        <v>3</v>
      </c>
    </row>
    <row r="3610" spans="7:9" x14ac:dyDescent="0.15">
      <c r="G3610">
        <v>54656</v>
      </c>
      <c r="H3610" t="s">
        <v>4126</v>
      </c>
      <c r="I3610">
        <v>3</v>
      </c>
    </row>
    <row r="3611" spans="7:9" x14ac:dyDescent="0.15">
      <c r="G3611">
        <v>54670</v>
      </c>
      <c r="H3611" t="s">
        <v>4127</v>
      </c>
      <c r="I3611">
        <v>3</v>
      </c>
    </row>
    <row r="3612" spans="7:9" x14ac:dyDescent="0.15">
      <c r="G3612">
        <v>54684</v>
      </c>
      <c r="H3612" t="s">
        <v>4128</v>
      </c>
      <c r="I3612">
        <v>2</v>
      </c>
    </row>
    <row r="3613" spans="7:9" x14ac:dyDescent="0.15">
      <c r="G3613">
        <v>54698</v>
      </c>
      <c r="H3613" t="s">
        <v>4128</v>
      </c>
      <c r="I3613">
        <v>2</v>
      </c>
    </row>
    <row r="3614" spans="7:9" x14ac:dyDescent="0.15">
      <c r="G3614">
        <v>54712</v>
      </c>
      <c r="H3614" t="s">
        <v>4129</v>
      </c>
      <c r="I3614">
        <v>3</v>
      </c>
    </row>
    <row r="3615" spans="7:9" x14ac:dyDescent="0.15">
      <c r="G3615">
        <v>54726</v>
      </c>
      <c r="H3615" t="s">
        <v>4130</v>
      </c>
      <c r="I3615">
        <v>2</v>
      </c>
    </row>
    <row r="3616" spans="7:9" x14ac:dyDescent="0.15">
      <c r="G3616">
        <v>54740</v>
      </c>
      <c r="H3616" t="s">
        <v>4131</v>
      </c>
      <c r="I3616">
        <v>3</v>
      </c>
    </row>
    <row r="3617" spans="7:9" x14ac:dyDescent="0.15">
      <c r="G3617">
        <v>54754</v>
      </c>
      <c r="H3617" t="s">
        <v>4131</v>
      </c>
      <c r="I3617">
        <v>3</v>
      </c>
    </row>
    <row r="3618" spans="7:9" x14ac:dyDescent="0.15">
      <c r="G3618">
        <v>54782</v>
      </c>
      <c r="H3618" t="s">
        <v>4132</v>
      </c>
      <c r="I3618">
        <v>3</v>
      </c>
    </row>
    <row r="3619" spans="7:9" x14ac:dyDescent="0.15">
      <c r="G3619">
        <v>54810</v>
      </c>
      <c r="H3619" t="s">
        <v>4133</v>
      </c>
      <c r="I3619">
        <v>3</v>
      </c>
    </row>
    <row r="3620" spans="7:9" x14ac:dyDescent="0.15">
      <c r="G3620">
        <v>54820</v>
      </c>
      <c r="H3620" t="s">
        <v>4134</v>
      </c>
      <c r="I3620">
        <v>3</v>
      </c>
    </row>
    <row r="3621" spans="7:9" x14ac:dyDescent="0.15">
      <c r="G3621">
        <v>54824</v>
      </c>
      <c r="H3621" t="s">
        <v>4135</v>
      </c>
      <c r="I3621">
        <v>3</v>
      </c>
    </row>
    <row r="3622" spans="7:9" x14ac:dyDescent="0.15">
      <c r="G3622">
        <v>54838</v>
      </c>
      <c r="H3622" t="s">
        <v>4136</v>
      </c>
      <c r="I3622">
        <v>2</v>
      </c>
    </row>
    <row r="3623" spans="7:9" x14ac:dyDescent="0.15">
      <c r="G3623">
        <v>54852</v>
      </c>
      <c r="H3623" t="s">
        <v>4137</v>
      </c>
      <c r="I3623">
        <v>2</v>
      </c>
    </row>
    <row r="3624" spans="7:9" x14ac:dyDescent="0.15">
      <c r="G3624">
        <v>54866</v>
      </c>
      <c r="H3624" t="s">
        <v>4138</v>
      </c>
      <c r="I3624">
        <v>2</v>
      </c>
    </row>
    <row r="3625" spans="7:9" x14ac:dyDescent="0.15">
      <c r="G3625">
        <v>54880</v>
      </c>
      <c r="H3625" t="s">
        <v>4138</v>
      </c>
      <c r="I3625">
        <v>3</v>
      </c>
    </row>
    <row r="3626" spans="7:9" x14ac:dyDescent="0.15">
      <c r="G3626">
        <v>54908</v>
      </c>
      <c r="H3626" t="s">
        <v>4139</v>
      </c>
      <c r="I3626">
        <v>2</v>
      </c>
    </row>
    <row r="3627" spans="7:9" x14ac:dyDescent="0.15">
      <c r="G3627">
        <v>54922</v>
      </c>
      <c r="H3627" t="s">
        <v>4140</v>
      </c>
      <c r="I3627">
        <v>3</v>
      </c>
    </row>
    <row r="3628" spans="7:9" x14ac:dyDescent="0.15">
      <c r="G3628">
        <v>54936</v>
      </c>
      <c r="H3628" t="s">
        <v>4141</v>
      </c>
      <c r="I3628">
        <v>3</v>
      </c>
    </row>
    <row r="3629" spans="7:9" x14ac:dyDescent="0.15">
      <c r="G3629">
        <v>54950</v>
      </c>
      <c r="H3629" t="s">
        <v>4142</v>
      </c>
      <c r="I3629">
        <v>3</v>
      </c>
    </row>
    <row r="3630" spans="7:9" x14ac:dyDescent="0.15">
      <c r="G3630">
        <v>54964</v>
      </c>
      <c r="H3630" t="s">
        <v>4143</v>
      </c>
      <c r="I3630">
        <v>3</v>
      </c>
    </row>
    <row r="3631" spans="7:9" x14ac:dyDescent="0.15">
      <c r="G3631">
        <v>54978</v>
      </c>
      <c r="H3631" t="s">
        <v>4144</v>
      </c>
      <c r="I3631">
        <v>2</v>
      </c>
    </row>
    <row r="3632" spans="7:9" x14ac:dyDescent="0.15">
      <c r="G3632">
        <v>54992</v>
      </c>
      <c r="H3632" t="s">
        <v>4145</v>
      </c>
      <c r="I3632">
        <v>3</v>
      </c>
    </row>
    <row r="3633" spans="7:9" x14ac:dyDescent="0.15">
      <c r="G3633">
        <v>55020</v>
      </c>
      <c r="H3633" t="s">
        <v>4146</v>
      </c>
      <c r="I3633">
        <v>3</v>
      </c>
    </row>
    <row r="3634" spans="7:9" x14ac:dyDescent="0.15">
      <c r="G3634">
        <v>55025</v>
      </c>
      <c r="H3634" t="s">
        <v>4147</v>
      </c>
      <c r="I3634">
        <v>3</v>
      </c>
    </row>
    <row r="3635" spans="7:9" x14ac:dyDescent="0.15">
      <c r="G3635">
        <v>55034</v>
      </c>
      <c r="H3635" t="s">
        <v>4148</v>
      </c>
      <c r="I3635">
        <v>3</v>
      </c>
    </row>
    <row r="3636" spans="7:9" x14ac:dyDescent="0.15">
      <c r="G3636">
        <v>55048</v>
      </c>
      <c r="H3636" t="s">
        <v>4149</v>
      </c>
      <c r="I3636">
        <v>3</v>
      </c>
    </row>
    <row r="3637" spans="7:9" x14ac:dyDescent="0.15">
      <c r="G3637">
        <v>55062</v>
      </c>
      <c r="H3637" t="s">
        <v>4150</v>
      </c>
      <c r="I3637">
        <v>2</v>
      </c>
    </row>
    <row r="3638" spans="7:9" x14ac:dyDescent="0.15">
      <c r="G3638">
        <v>55076</v>
      </c>
      <c r="H3638" t="s">
        <v>4151</v>
      </c>
      <c r="I3638">
        <v>3</v>
      </c>
    </row>
    <row r="3639" spans="7:9" x14ac:dyDescent="0.15">
      <c r="G3639">
        <v>55090</v>
      </c>
      <c r="H3639" t="s">
        <v>4152</v>
      </c>
      <c r="I3639">
        <v>2</v>
      </c>
    </row>
    <row r="3640" spans="7:9" x14ac:dyDescent="0.15">
      <c r="G3640">
        <v>55104</v>
      </c>
      <c r="H3640" t="s">
        <v>4153</v>
      </c>
      <c r="I3640">
        <v>2</v>
      </c>
    </row>
    <row r="3641" spans="7:9" x14ac:dyDescent="0.15">
      <c r="G3641">
        <v>55110</v>
      </c>
      <c r="H3641" t="s">
        <v>4154</v>
      </c>
      <c r="I3641">
        <v>3</v>
      </c>
    </row>
    <row r="3642" spans="7:9" x14ac:dyDescent="0.15">
      <c r="G3642">
        <v>55118</v>
      </c>
      <c r="H3642" t="s">
        <v>4155</v>
      </c>
      <c r="I3642">
        <v>2</v>
      </c>
    </row>
    <row r="3643" spans="7:9" x14ac:dyDescent="0.15">
      <c r="G3643">
        <v>55174</v>
      </c>
      <c r="H3643" t="s">
        <v>4156</v>
      </c>
      <c r="I3643">
        <v>3</v>
      </c>
    </row>
    <row r="3644" spans="7:9" x14ac:dyDescent="0.15">
      <c r="G3644">
        <v>55180</v>
      </c>
      <c r="H3644" t="s">
        <v>4157</v>
      </c>
      <c r="I3644">
        <v>3</v>
      </c>
    </row>
    <row r="3645" spans="7:9" x14ac:dyDescent="0.15">
      <c r="G3645">
        <v>55188</v>
      </c>
      <c r="H3645" t="s">
        <v>4158</v>
      </c>
      <c r="I3645">
        <v>2</v>
      </c>
    </row>
    <row r="3646" spans="7:9" x14ac:dyDescent="0.15">
      <c r="G3646">
        <v>55202</v>
      </c>
      <c r="H3646" t="s">
        <v>4159</v>
      </c>
      <c r="I3646">
        <v>3</v>
      </c>
    </row>
    <row r="3647" spans="7:9" x14ac:dyDescent="0.15">
      <c r="G3647">
        <v>55216</v>
      </c>
      <c r="H3647" t="s">
        <v>4160</v>
      </c>
      <c r="I3647">
        <v>1</v>
      </c>
    </row>
    <row r="3648" spans="7:9" x14ac:dyDescent="0.15">
      <c r="G3648">
        <v>55235</v>
      </c>
      <c r="H3648" t="s">
        <v>4161</v>
      </c>
      <c r="I3648">
        <v>3</v>
      </c>
    </row>
    <row r="3649" spans="7:9" x14ac:dyDescent="0.15">
      <c r="G3649">
        <v>55244</v>
      </c>
      <c r="H3649" t="s">
        <v>4161</v>
      </c>
      <c r="I3649">
        <v>2</v>
      </c>
    </row>
    <row r="3650" spans="7:9" x14ac:dyDescent="0.15">
      <c r="G3650">
        <v>55258</v>
      </c>
      <c r="H3650" t="s">
        <v>4162</v>
      </c>
      <c r="I3650">
        <v>3</v>
      </c>
    </row>
    <row r="3651" spans="7:9" x14ac:dyDescent="0.15">
      <c r="G3651">
        <v>55272</v>
      </c>
      <c r="H3651" t="s">
        <v>4163</v>
      </c>
      <c r="I3651">
        <v>3</v>
      </c>
    </row>
    <row r="3652" spans="7:9" x14ac:dyDescent="0.15">
      <c r="G3652">
        <v>55300</v>
      </c>
      <c r="H3652" t="s">
        <v>4164</v>
      </c>
      <c r="I3652">
        <v>3</v>
      </c>
    </row>
    <row r="3653" spans="7:9" x14ac:dyDescent="0.15">
      <c r="G3653">
        <v>55314</v>
      </c>
      <c r="H3653" t="s">
        <v>4164</v>
      </c>
      <c r="I3653">
        <v>2</v>
      </c>
    </row>
    <row r="3654" spans="7:9" x14ac:dyDescent="0.15">
      <c r="G3654">
        <v>55328</v>
      </c>
      <c r="H3654" t="s">
        <v>4164</v>
      </c>
      <c r="I3654">
        <v>3</v>
      </c>
    </row>
    <row r="3655" spans="7:9" x14ac:dyDescent="0.15">
      <c r="G3655">
        <v>55342</v>
      </c>
      <c r="H3655" t="s">
        <v>4164</v>
      </c>
      <c r="I3655">
        <v>2</v>
      </c>
    </row>
    <row r="3656" spans="7:9" x14ac:dyDescent="0.15">
      <c r="G3656">
        <v>55356</v>
      </c>
      <c r="H3656" t="s">
        <v>4165</v>
      </c>
      <c r="I3656">
        <v>3</v>
      </c>
    </row>
    <row r="3657" spans="7:9" x14ac:dyDescent="0.15">
      <c r="G3657">
        <v>55365</v>
      </c>
      <c r="H3657" t="s">
        <v>4166</v>
      </c>
      <c r="I3657">
        <v>3</v>
      </c>
    </row>
    <row r="3658" spans="7:9" x14ac:dyDescent="0.15">
      <c r="G3658">
        <v>55370</v>
      </c>
      <c r="H3658" t="s">
        <v>4167</v>
      </c>
      <c r="I3658">
        <v>3</v>
      </c>
    </row>
    <row r="3659" spans="7:9" x14ac:dyDescent="0.15">
      <c r="G3659">
        <v>55377</v>
      </c>
      <c r="H3659" t="s">
        <v>4168</v>
      </c>
      <c r="I3659">
        <v>3</v>
      </c>
    </row>
    <row r="3660" spans="7:9" x14ac:dyDescent="0.15">
      <c r="G3660">
        <v>55384</v>
      </c>
      <c r="H3660" t="s">
        <v>4169</v>
      </c>
      <c r="I3660">
        <v>2</v>
      </c>
    </row>
    <row r="3661" spans="7:9" x14ac:dyDescent="0.15">
      <c r="G3661">
        <v>55398</v>
      </c>
      <c r="H3661" t="s">
        <v>4170</v>
      </c>
      <c r="I3661">
        <v>2</v>
      </c>
    </row>
    <row r="3662" spans="7:9" x14ac:dyDescent="0.15">
      <c r="G3662">
        <v>55412</v>
      </c>
      <c r="H3662" t="s">
        <v>4171</v>
      </c>
      <c r="I3662">
        <v>3</v>
      </c>
    </row>
    <row r="3663" spans="7:9" x14ac:dyDescent="0.15">
      <c r="G3663">
        <v>55426</v>
      </c>
      <c r="H3663" t="s">
        <v>4172</v>
      </c>
      <c r="I3663">
        <v>3</v>
      </c>
    </row>
    <row r="3664" spans="7:9" x14ac:dyDescent="0.15">
      <c r="G3664">
        <v>55440</v>
      </c>
      <c r="H3664" t="s">
        <v>4173</v>
      </c>
      <c r="I3664">
        <v>3</v>
      </c>
    </row>
    <row r="3665" spans="7:9" x14ac:dyDescent="0.15">
      <c r="G3665">
        <v>55446</v>
      </c>
      <c r="H3665" t="s">
        <v>4174</v>
      </c>
      <c r="I3665">
        <v>3</v>
      </c>
    </row>
    <row r="3666" spans="7:9" x14ac:dyDescent="0.15">
      <c r="G3666">
        <v>55468</v>
      </c>
      <c r="H3666" t="s">
        <v>4175</v>
      </c>
      <c r="I3666">
        <v>3</v>
      </c>
    </row>
    <row r="3667" spans="7:9" x14ac:dyDescent="0.15">
      <c r="G3667">
        <v>55482</v>
      </c>
      <c r="H3667" t="s">
        <v>4176</v>
      </c>
      <c r="I3667">
        <v>3</v>
      </c>
    </row>
    <row r="3668" spans="7:9" x14ac:dyDescent="0.15">
      <c r="G3668">
        <v>55510</v>
      </c>
      <c r="H3668" t="s">
        <v>4177</v>
      </c>
      <c r="I3668">
        <v>3</v>
      </c>
    </row>
    <row r="3669" spans="7:9" x14ac:dyDescent="0.15">
      <c r="G3669">
        <v>55524</v>
      </c>
      <c r="H3669" t="s">
        <v>4178</v>
      </c>
      <c r="I3669">
        <v>3</v>
      </c>
    </row>
    <row r="3670" spans="7:9" x14ac:dyDescent="0.15">
      <c r="G3670">
        <v>55538</v>
      </c>
      <c r="H3670" t="s">
        <v>4179</v>
      </c>
      <c r="I3670">
        <v>3</v>
      </c>
    </row>
    <row r="3671" spans="7:9" x14ac:dyDescent="0.15">
      <c r="G3671">
        <v>55552</v>
      </c>
      <c r="H3671" t="s">
        <v>4180</v>
      </c>
      <c r="I3671">
        <v>2</v>
      </c>
    </row>
    <row r="3672" spans="7:9" x14ac:dyDescent="0.15">
      <c r="G3672">
        <v>55566</v>
      </c>
      <c r="H3672" t="s">
        <v>4181</v>
      </c>
      <c r="I3672">
        <v>3</v>
      </c>
    </row>
    <row r="3673" spans="7:9" x14ac:dyDescent="0.15">
      <c r="G3673">
        <v>55580</v>
      </c>
      <c r="H3673" t="s">
        <v>4182</v>
      </c>
      <c r="I3673">
        <v>3</v>
      </c>
    </row>
    <row r="3674" spans="7:9" x14ac:dyDescent="0.15">
      <c r="G3674">
        <v>55594</v>
      </c>
      <c r="H3674" t="s">
        <v>4182</v>
      </c>
      <c r="I3674">
        <v>3</v>
      </c>
    </row>
    <row r="3675" spans="7:9" x14ac:dyDescent="0.15">
      <c r="G3675">
        <v>55608</v>
      </c>
      <c r="H3675" t="s">
        <v>4182</v>
      </c>
      <c r="I3675">
        <v>3</v>
      </c>
    </row>
    <row r="3676" spans="7:9" x14ac:dyDescent="0.15">
      <c r="G3676">
        <v>55622</v>
      </c>
      <c r="H3676" t="s">
        <v>4182</v>
      </c>
      <c r="I3676">
        <v>3</v>
      </c>
    </row>
    <row r="3677" spans="7:9" x14ac:dyDescent="0.15">
      <c r="G3677">
        <v>55636</v>
      </c>
      <c r="H3677" t="s">
        <v>4182</v>
      </c>
      <c r="I3677">
        <v>3</v>
      </c>
    </row>
    <row r="3678" spans="7:9" x14ac:dyDescent="0.15">
      <c r="G3678">
        <v>55650</v>
      </c>
      <c r="H3678" t="s">
        <v>4183</v>
      </c>
      <c r="I3678">
        <v>2</v>
      </c>
    </row>
    <row r="3679" spans="7:9" x14ac:dyDescent="0.15">
      <c r="G3679">
        <v>55664</v>
      </c>
      <c r="H3679" t="s">
        <v>4184</v>
      </c>
      <c r="I3679">
        <v>2</v>
      </c>
    </row>
    <row r="3680" spans="7:9" x14ac:dyDescent="0.15">
      <c r="G3680">
        <v>55678</v>
      </c>
      <c r="H3680" t="s">
        <v>4185</v>
      </c>
      <c r="I3680">
        <v>2</v>
      </c>
    </row>
    <row r="3681" spans="7:9" x14ac:dyDescent="0.15">
      <c r="G3681">
        <v>55706</v>
      </c>
      <c r="H3681" t="s">
        <v>4186</v>
      </c>
      <c r="I3681">
        <v>3</v>
      </c>
    </row>
    <row r="3682" spans="7:9" x14ac:dyDescent="0.15">
      <c r="G3682">
        <v>55748</v>
      </c>
      <c r="H3682" t="s">
        <v>4187</v>
      </c>
      <c r="I3682">
        <v>2</v>
      </c>
    </row>
    <row r="3683" spans="7:9" x14ac:dyDescent="0.15">
      <c r="G3683">
        <v>55762</v>
      </c>
      <c r="H3683" t="s">
        <v>4188</v>
      </c>
      <c r="I3683">
        <v>3</v>
      </c>
    </row>
    <row r="3684" spans="7:9" x14ac:dyDescent="0.15">
      <c r="G3684">
        <v>55776</v>
      </c>
      <c r="H3684" t="s">
        <v>4189</v>
      </c>
      <c r="I3684">
        <v>2</v>
      </c>
    </row>
    <row r="3685" spans="7:9" x14ac:dyDescent="0.15">
      <c r="G3685">
        <v>55790</v>
      </c>
      <c r="H3685" t="s">
        <v>4190</v>
      </c>
      <c r="I3685">
        <v>2</v>
      </c>
    </row>
    <row r="3686" spans="7:9" x14ac:dyDescent="0.15">
      <c r="G3686">
        <v>55804</v>
      </c>
      <c r="H3686" t="s">
        <v>4191</v>
      </c>
      <c r="I3686">
        <v>3</v>
      </c>
    </row>
    <row r="3687" spans="7:9" x14ac:dyDescent="0.15">
      <c r="G3687">
        <v>55818</v>
      </c>
      <c r="H3687" t="s">
        <v>4192</v>
      </c>
      <c r="I3687">
        <v>2</v>
      </c>
    </row>
    <row r="3688" spans="7:9" x14ac:dyDescent="0.15">
      <c r="G3688">
        <v>55832</v>
      </c>
      <c r="H3688" t="s">
        <v>4193</v>
      </c>
      <c r="I3688">
        <v>3</v>
      </c>
    </row>
    <row r="3689" spans="7:9" x14ac:dyDescent="0.15">
      <c r="G3689">
        <v>55846</v>
      </c>
      <c r="H3689" t="s">
        <v>4194</v>
      </c>
      <c r="I3689">
        <v>3</v>
      </c>
    </row>
    <row r="3690" spans="7:9" x14ac:dyDescent="0.15">
      <c r="G3690">
        <v>55874</v>
      </c>
      <c r="H3690" t="s">
        <v>4195</v>
      </c>
      <c r="I3690">
        <v>2</v>
      </c>
    </row>
    <row r="3691" spans="7:9" x14ac:dyDescent="0.15">
      <c r="G3691">
        <v>55888</v>
      </c>
      <c r="H3691" t="s">
        <v>4196</v>
      </c>
      <c r="I3691">
        <v>3</v>
      </c>
    </row>
    <row r="3692" spans="7:9" x14ac:dyDescent="0.15">
      <c r="G3692">
        <v>55902</v>
      </c>
      <c r="H3692" t="s">
        <v>4197</v>
      </c>
      <c r="I3692">
        <v>3</v>
      </c>
    </row>
    <row r="3693" spans="7:9" x14ac:dyDescent="0.15">
      <c r="G3693">
        <v>55916</v>
      </c>
      <c r="H3693" t="s">
        <v>4198</v>
      </c>
      <c r="I3693">
        <v>1</v>
      </c>
    </row>
    <row r="3694" spans="7:9" x14ac:dyDescent="0.15">
      <c r="G3694">
        <v>55925</v>
      </c>
      <c r="H3694" t="s">
        <v>4199</v>
      </c>
      <c r="I3694">
        <v>3</v>
      </c>
    </row>
    <row r="3695" spans="7:9" x14ac:dyDescent="0.15">
      <c r="G3695">
        <v>55930</v>
      </c>
      <c r="H3695" t="s">
        <v>4200</v>
      </c>
      <c r="I3695">
        <v>3</v>
      </c>
    </row>
    <row r="3696" spans="7:9" x14ac:dyDescent="0.15">
      <c r="G3696">
        <v>55944</v>
      </c>
      <c r="H3696" t="s">
        <v>4201</v>
      </c>
      <c r="I3696">
        <v>3</v>
      </c>
    </row>
    <row r="3697" spans="7:9" x14ac:dyDescent="0.15">
      <c r="G3697">
        <v>55965</v>
      </c>
      <c r="H3697" t="s">
        <v>4202</v>
      </c>
      <c r="I3697">
        <v>3</v>
      </c>
    </row>
    <row r="3698" spans="7:9" x14ac:dyDescent="0.15">
      <c r="G3698">
        <v>55972</v>
      </c>
      <c r="H3698" t="s">
        <v>4203</v>
      </c>
      <c r="I3698">
        <v>3</v>
      </c>
    </row>
    <row r="3699" spans="7:9" x14ac:dyDescent="0.15">
      <c r="G3699">
        <v>55986</v>
      </c>
      <c r="H3699" t="s">
        <v>4204</v>
      </c>
      <c r="I3699">
        <v>3</v>
      </c>
    </row>
    <row r="3700" spans="7:9" x14ac:dyDescent="0.15">
      <c r="G3700">
        <v>56000</v>
      </c>
      <c r="H3700" t="s">
        <v>4205</v>
      </c>
      <c r="I3700">
        <v>3</v>
      </c>
    </row>
    <row r="3701" spans="7:9" x14ac:dyDescent="0.15">
      <c r="G3701">
        <v>56014</v>
      </c>
      <c r="H3701" t="s">
        <v>4204</v>
      </c>
      <c r="I3701">
        <v>3</v>
      </c>
    </row>
    <row r="3702" spans="7:9" x14ac:dyDescent="0.15">
      <c r="G3702">
        <v>56028</v>
      </c>
      <c r="H3702" t="s">
        <v>4204</v>
      </c>
      <c r="I3702">
        <v>3</v>
      </c>
    </row>
    <row r="3703" spans="7:9" x14ac:dyDescent="0.15">
      <c r="G3703">
        <v>56075</v>
      </c>
      <c r="H3703" t="s">
        <v>4206</v>
      </c>
      <c r="I3703">
        <v>3</v>
      </c>
    </row>
    <row r="3704" spans="7:9" x14ac:dyDescent="0.15">
      <c r="G3704">
        <v>56084</v>
      </c>
      <c r="H3704" t="s">
        <v>4207</v>
      </c>
      <c r="I3704">
        <v>3</v>
      </c>
    </row>
    <row r="3705" spans="7:9" x14ac:dyDescent="0.15">
      <c r="G3705">
        <v>56098</v>
      </c>
      <c r="H3705" t="s">
        <v>4208</v>
      </c>
      <c r="I3705">
        <v>3</v>
      </c>
    </row>
    <row r="3706" spans="7:9" x14ac:dyDescent="0.15">
      <c r="G3706">
        <v>56126</v>
      </c>
      <c r="H3706" t="s">
        <v>4209</v>
      </c>
      <c r="I3706">
        <v>3</v>
      </c>
    </row>
    <row r="3707" spans="7:9" x14ac:dyDescent="0.15">
      <c r="G3707">
        <v>56140</v>
      </c>
      <c r="H3707" t="s">
        <v>4210</v>
      </c>
      <c r="I3707">
        <v>3</v>
      </c>
    </row>
    <row r="3708" spans="7:9" x14ac:dyDescent="0.15">
      <c r="G3708">
        <v>56154</v>
      </c>
      <c r="H3708" t="s">
        <v>4211</v>
      </c>
      <c r="I3708">
        <v>2</v>
      </c>
    </row>
    <row r="3709" spans="7:9" x14ac:dyDescent="0.15">
      <c r="G3709">
        <v>56182</v>
      </c>
      <c r="H3709" t="s">
        <v>4212</v>
      </c>
      <c r="I3709">
        <v>2</v>
      </c>
    </row>
    <row r="3710" spans="7:9" x14ac:dyDescent="0.15">
      <c r="G3710">
        <v>56196</v>
      </c>
      <c r="H3710" t="s">
        <v>4213</v>
      </c>
      <c r="I3710">
        <v>3</v>
      </c>
    </row>
    <row r="3711" spans="7:9" x14ac:dyDescent="0.15">
      <c r="G3711">
        <v>56210</v>
      </c>
      <c r="H3711" t="s">
        <v>4214</v>
      </c>
      <c r="I3711">
        <v>3</v>
      </c>
    </row>
    <row r="3712" spans="7:9" x14ac:dyDescent="0.15">
      <c r="G3712">
        <v>56217</v>
      </c>
      <c r="H3712" t="s">
        <v>4215</v>
      </c>
      <c r="I3712">
        <v>3</v>
      </c>
    </row>
    <row r="3713" spans="7:9" x14ac:dyDescent="0.15">
      <c r="G3713">
        <v>56224</v>
      </c>
      <c r="H3713" t="s">
        <v>4216</v>
      </c>
      <c r="I3713">
        <v>3</v>
      </c>
    </row>
    <row r="3714" spans="7:9" x14ac:dyDescent="0.15">
      <c r="G3714">
        <v>56238</v>
      </c>
      <c r="H3714" t="s">
        <v>4217</v>
      </c>
      <c r="I3714">
        <v>3</v>
      </c>
    </row>
    <row r="3715" spans="7:9" x14ac:dyDescent="0.15">
      <c r="G3715">
        <v>56252</v>
      </c>
      <c r="H3715" t="s">
        <v>4218</v>
      </c>
      <c r="I3715">
        <v>3</v>
      </c>
    </row>
    <row r="3716" spans="7:9" x14ac:dyDescent="0.15">
      <c r="G3716">
        <v>56266</v>
      </c>
      <c r="H3716" t="s">
        <v>4219</v>
      </c>
      <c r="I3716">
        <v>3</v>
      </c>
    </row>
    <row r="3717" spans="7:9" x14ac:dyDescent="0.15">
      <c r="G3717">
        <v>56280</v>
      </c>
      <c r="H3717" t="s">
        <v>4220</v>
      </c>
      <c r="I3717">
        <v>1</v>
      </c>
    </row>
    <row r="3718" spans="7:9" x14ac:dyDescent="0.15">
      <c r="G3718">
        <v>56294</v>
      </c>
      <c r="H3718" t="s">
        <v>4221</v>
      </c>
      <c r="I3718">
        <v>1</v>
      </c>
    </row>
    <row r="3719" spans="7:9" x14ac:dyDescent="0.15">
      <c r="G3719">
        <v>56322</v>
      </c>
      <c r="H3719" t="s">
        <v>4222</v>
      </c>
      <c r="I3719">
        <v>1</v>
      </c>
    </row>
    <row r="3720" spans="7:9" x14ac:dyDescent="0.15">
      <c r="G3720">
        <v>56350</v>
      </c>
      <c r="H3720" t="s">
        <v>4223</v>
      </c>
      <c r="I3720">
        <v>3</v>
      </c>
    </row>
    <row r="3721" spans="7:9" x14ac:dyDescent="0.15">
      <c r="G3721">
        <v>56364</v>
      </c>
      <c r="H3721" t="s">
        <v>4224</v>
      </c>
      <c r="I3721">
        <v>3</v>
      </c>
    </row>
    <row r="3722" spans="7:9" x14ac:dyDescent="0.15">
      <c r="G3722">
        <v>56392</v>
      </c>
      <c r="H3722" t="s">
        <v>4225</v>
      </c>
      <c r="I3722">
        <v>3</v>
      </c>
    </row>
    <row r="3723" spans="7:9" x14ac:dyDescent="0.15">
      <c r="G3723">
        <v>56420</v>
      </c>
      <c r="H3723" t="s">
        <v>4226</v>
      </c>
      <c r="I3723">
        <v>2</v>
      </c>
    </row>
    <row r="3724" spans="7:9" x14ac:dyDescent="0.15">
      <c r="G3724">
        <v>56448</v>
      </c>
      <c r="H3724" t="s">
        <v>4227</v>
      </c>
      <c r="I3724">
        <v>2</v>
      </c>
    </row>
    <row r="3725" spans="7:9" x14ac:dyDescent="0.15">
      <c r="G3725">
        <v>56490</v>
      </c>
      <c r="H3725" t="s">
        <v>4228</v>
      </c>
      <c r="I3725">
        <v>3</v>
      </c>
    </row>
    <row r="3726" spans="7:9" x14ac:dyDescent="0.15">
      <c r="G3726">
        <v>56504</v>
      </c>
      <c r="H3726" t="s">
        <v>4229</v>
      </c>
      <c r="I3726">
        <v>3</v>
      </c>
    </row>
    <row r="3727" spans="7:9" x14ac:dyDescent="0.15">
      <c r="G3727">
        <v>56546</v>
      </c>
      <c r="H3727" t="s">
        <v>4230</v>
      </c>
      <c r="I3727">
        <v>3</v>
      </c>
    </row>
    <row r="3728" spans="7:9" x14ac:dyDescent="0.15">
      <c r="G3728">
        <v>56553</v>
      </c>
      <c r="H3728" t="s">
        <v>4231</v>
      </c>
      <c r="I3728">
        <v>1</v>
      </c>
    </row>
    <row r="3729" spans="7:9" x14ac:dyDescent="0.15">
      <c r="G3729">
        <v>56560</v>
      </c>
      <c r="H3729" t="s">
        <v>4232</v>
      </c>
      <c r="I3729">
        <v>3</v>
      </c>
    </row>
    <row r="3730" spans="7:9" x14ac:dyDescent="0.15">
      <c r="G3730">
        <v>56574</v>
      </c>
      <c r="H3730" t="s">
        <v>4233</v>
      </c>
      <c r="I3730">
        <v>3</v>
      </c>
    </row>
    <row r="3731" spans="7:9" x14ac:dyDescent="0.15">
      <c r="G3731">
        <v>56588</v>
      </c>
      <c r="H3731" t="s">
        <v>4234</v>
      </c>
      <c r="I3731">
        <v>2</v>
      </c>
    </row>
    <row r="3732" spans="7:9" x14ac:dyDescent="0.15">
      <c r="G3732">
        <v>56630</v>
      </c>
      <c r="H3732" t="s">
        <v>4235</v>
      </c>
      <c r="I3732">
        <v>3</v>
      </c>
    </row>
    <row r="3733" spans="7:9" x14ac:dyDescent="0.15">
      <c r="G3733">
        <v>56658</v>
      </c>
      <c r="H3733" t="s">
        <v>4236</v>
      </c>
      <c r="I3733">
        <v>3</v>
      </c>
    </row>
    <row r="3734" spans="7:9" x14ac:dyDescent="0.15">
      <c r="G3734">
        <v>56672</v>
      </c>
      <c r="H3734" t="s">
        <v>4237</v>
      </c>
      <c r="I3734">
        <v>3</v>
      </c>
    </row>
    <row r="3735" spans="7:9" x14ac:dyDescent="0.15">
      <c r="G3735">
        <v>56686</v>
      </c>
      <c r="H3735" t="s">
        <v>4238</v>
      </c>
      <c r="I3735">
        <v>3</v>
      </c>
    </row>
    <row r="3736" spans="7:9" x14ac:dyDescent="0.15">
      <c r="G3736">
        <v>56695</v>
      </c>
      <c r="H3736" t="s">
        <v>4239</v>
      </c>
      <c r="I3736">
        <v>3</v>
      </c>
    </row>
    <row r="3737" spans="7:9" x14ac:dyDescent="0.15">
      <c r="G3737">
        <v>56700</v>
      </c>
      <c r="H3737" t="s">
        <v>4240</v>
      </c>
      <c r="I3737">
        <v>2</v>
      </c>
    </row>
    <row r="3738" spans="7:9" x14ac:dyDescent="0.15">
      <c r="G3738">
        <v>56756</v>
      </c>
      <c r="H3738" t="s">
        <v>4241</v>
      </c>
      <c r="I3738">
        <v>2</v>
      </c>
    </row>
    <row r="3739" spans="7:9" x14ac:dyDescent="0.15">
      <c r="G3739">
        <v>56770</v>
      </c>
      <c r="H3739" t="s">
        <v>4242</v>
      </c>
      <c r="I3739">
        <v>2</v>
      </c>
    </row>
    <row r="3740" spans="7:9" x14ac:dyDescent="0.15">
      <c r="G3740">
        <v>56784</v>
      </c>
      <c r="H3740" t="s">
        <v>4243</v>
      </c>
      <c r="I3740">
        <v>3</v>
      </c>
    </row>
    <row r="3741" spans="7:9" x14ac:dyDescent="0.15">
      <c r="G3741">
        <v>56798</v>
      </c>
      <c r="H3741" t="s">
        <v>4244</v>
      </c>
      <c r="I3741">
        <v>3</v>
      </c>
    </row>
    <row r="3742" spans="7:9" x14ac:dyDescent="0.15">
      <c r="G3742">
        <v>56812</v>
      </c>
      <c r="H3742" t="s">
        <v>4245</v>
      </c>
      <c r="I3742">
        <v>1</v>
      </c>
    </row>
    <row r="3743" spans="7:9" x14ac:dyDescent="0.15">
      <c r="G3743">
        <v>56826</v>
      </c>
      <c r="H3743" t="s">
        <v>4246</v>
      </c>
      <c r="I3743">
        <v>3</v>
      </c>
    </row>
    <row r="3744" spans="7:9" x14ac:dyDescent="0.15">
      <c r="G3744">
        <v>56850</v>
      </c>
      <c r="H3744" t="s">
        <v>4247</v>
      </c>
      <c r="I3744">
        <v>3</v>
      </c>
    </row>
    <row r="3745" spans="7:9" x14ac:dyDescent="0.15">
      <c r="G3745">
        <v>56868</v>
      </c>
      <c r="H3745" t="s">
        <v>4248</v>
      </c>
      <c r="I3745">
        <v>3</v>
      </c>
    </row>
    <row r="3746" spans="7:9" x14ac:dyDescent="0.15">
      <c r="G3746">
        <v>56882</v>
      </c>
      <c r="H3746" t="s">
        <v>4249</v>
      </c>
      <c r="I3746">
        <v>1</v>
      </c>
    </row>
    <row r="3747" spans="7:9" x14ac:dyDescent="0.15">
      <c r="G3747">
        <v>56910</v>
      </c>
      <c r="H3747" t="s">
        <v>4250</v>
      </c>
      <c r="I3747">
        <v>2</v>
      </c>
    </row>
    <row r="3748" spans="7:9" x14ac:dyDescent="0.15">
      <c r="G3748">
        <v>56924</v>
      </c>
      <c r="H3748" t="s">
        <v>4251</v>
      </c>
      <c r="I3748">
        <v>2</v>
      </c>
    </row>
    <row r="3749" spans="7:9" x14ac:dyDescent="0.15">
      <c r="G3749">
        <v>56931</v>
      </c>
      <c r="H3749" t="s">
        <v>4252</v>
      </c>
      <c r="I3749">
        <v>3</v>
      </c>
    </row>
    <row r="3750" spans="7:9" x14ac:dyDescent="0.15">
      <c r="G3750">
        <v>56938</v>
      </c>
      <c r="H3750" t="s">
        <v>4253</v>
      </c>
      <c r="I3750">
        <v>1</v>
      </c>
    </row>
    <row r="3751" spans="7:9" x14ac:dyDescent="0.15">
      <c r="G3751">
        <v>56952</v>
      </c>
      <c r="H3751" t="s">
        <v>4253</v>
      </c>
      <c r="I3751">
        <v>3</v>
      </c>
    </row>
    <row r="3752" spans="7:9" x14ac:dyDescent="0.15">
      <c r="G3752">
        <v>56966</v>
      </c>
      <c r="H3752" t="s">
        <v>4254</v>
      </c>
      <c r="I3752">
        <v>1</v>
      </c>
    </row>
    <row r="3753" spans="7:9" x14ac:dyDescent="0.15">
      <c r="G3753">
        <v>56994</v>
      </c>
      <c r="H3753" t="s">
        <v>4255</v>
      </c>
      <c r="I3753">
        <v>2</v>
      </c>
    </row>
    <row r="3754" spans="7:9" x14ac:dyDescent="0.15">
      <c r="G3754">
        <v>57008</v>
      </c>
      <c r="H3754" t="s">
        <v>4256</v>
      </c>
      <c r="I3754">
        <v>1</v>
      </c>
    </row>
    <row r="3755" spans="7:9" x14ac:dyDescent="0.15">
      <c r="G3755">
        <v>57015</v>
      </c>
      <c r="H3755" t="s">
        <v>4257</v>
      </c>
      <c r="I3755">
        <v>3</v>
      </c>
    </row>
    <row r="3756" spans="7:9" x14ac:dyDescent="0.15">
      <c r="G3756">
        <v>57022</v>
      </c>
      <c r="H3756" t="s">
        <v>4258</v>
      </c>
      <c r="I3756">
        <v>3</v>
      </c>
    </row>
    <row r="3757" spans="7:9" x14ac:dyDescent="0.15">
      <c r="G3757">
        <v>57050</v>
      </c>
      <c r="H3757" t="s">
        <v>4259</v>
      </c>
      <c r="I3757">
        <v>3</v>
      </c>
    </row>
    <row r="3758" spans="7:9" x14ac:dyDescent="0.15">
      <c r="G3758">
        <v>57064</v>
      </c>
      <c r="H3758" t="s">
        <v>4260</v>
      </c>
      <c r="I3758">
        <v>2</v>
      </c>
    </row>
    <row r="3759" spans="7:9" x14ac:dyDescent="0.15">
      <c r="G3759">
        <v>57092</v>
      </c>
      <c r="H3759" t="s">
        <v>4261</v>
      </c>
      <c r="I3759">
        <v>3</v>
      </c>
    </row>
    <row r="3760" spans="7:9" x14ac:dyDescent="0.15">
      <c r="G3760">
        <v>57106</v>
      </c>
      <c r="H3760" t="s">
        <v>4262</v>
      </c>
      <c r="I3760">
        <v>3</v>
      </c>
    </row>
    <row r="3761" spans="7:9" x14ac:dyDescent="0.15">
      <c r="G3761">
        <v>57113</v>
      </c>
      <c r="H3761" t="s">
        <v>4263</v>
      </c>
      <c r="I3761">
        <v>3</v>
      </c>
    </row>
    <row r="3762" spans="7:9" x14ac:dyDescent="0.15">
      <c r="G3762">
        <v>57120</v>
      </c>
      <c r="H3762" t="s">
        <v>4264</v>
      </c>
      <c r="I3762">
        <v>3</v>
      </c>
    </row>
    <row r="3763" spans="7:9" x14ac:dyDescent="0.15">
      <c r="G3763">
        <v>57162</v>
      </c>
      <c r="H3763" t="s">
        <v>4265</v>
      </c>
      <c r="I3763">
        <v>3</v>
      </c>
    </row>
    <row r="3764" spans="7:9" x14ac:dyDescent="0.15">
      <c r="G3764">
        <v>57176</v>
      </c>
      <c r="H3764" t="s">
        <v>4266</v>
      </c>
      <c r="I3764">
        <v>3</v>
      </c>
    </row>
    <row r="3765" spans="7:9" x14ac:dyDescent="0.15">
      <c r="G3765">
        <v>57190</v>
      </c>
      <c r="H3765" t="s">
        <v>4266</v>
      </c>
      <c r="I3765">
        <v>1</v>
      </c>
    </row>
    <row r="3766" spans="7:9" x14ac:dyDescent="0.15">
      <c r="G3766">
        <v>57204</v>
      </c>
      <c r="H3766" t="s">
        <v>4267</v>
      </c>
      <c r="I3766">
        <v>3</v>
      </c>
    </row>
    <row r="3767" spans="7:9" x14ac:dyDescent="0.15">
      <c r="G3767">
        <v>57218</v>
      </c>
      <c r="H3767" t="s">
        <v>4268</v>
      </c>
      <c r="I3767">
        <v>2</v>
      </c>
    </row>
    <row r="3768" spans="7:9" x14ac:dyDescent="0.15">
      <c r="G3768">
        <v>57246</v>
      </c>
      <c r="H3768" t="s">
        <v>1116</v>
      </c>
      <c r="I3768">
        <v>3</v>
      </c>
    </row>
    <row r="3769" spans="7:9" x14ac:dyDescent="0.15">
      <c r="G3769">
        <v>57260</v>
      </c>
      <c r="H3769" t="s">
        <v>1116</v>
      </c>
      <c r="I3769">
        <v>1</v>
      </c>
    </row>
    <row r="3770" spans="7:9" x14ac:dyDescent="0.15">
      <c r="G3770">
        <v>57302</v>
      </c>
      <c r="H3770" t="s">
        <v>987</v>
      </c>
      <c r="I3770">
        <v>1</v>
      </c>
    </row>
    <row r="3771" spans="7:9" x14ac:dyDescent="0.15">
      <c r="G3771">
        <v>57316</v>
      </c>
      <c r="H3771" t="s">
        <v>4269</v>
      </c>
      <c r="I3771">
        <v>3</v>
      </c>
    </row>
    <row r="3772" spans="7:9" x14ac:dyDescent="0.15">
      <c r="G3772">
        <v>57344</v>
      </c>
      <c r="H3772" t="s">
        <v>4270</v>
      </c>
      <c r="I3772">
        <v>3</v>
      </c>
    </row>
    <row r="3773" spans="7:9" x14ac:dyDescent="0.15">
      <c r="G3773">
        <v>57358</v>
      </c>
      <c r="H3773" t="s">
        <v>4270</v>
      </c>
      <c r="I3773">
        <v>3</v>
      </c>
    </row>
    <row r="3774" spans="7:9" x14ac:dyDescent="0.15">
      <c r="G3774">
        <v>57372</v>
      </c>
      <c r="H3774" t="s">
        <v>4271</v>
      </c>
      <c r="I3774">
        <v>2</v>
      </c>
    </row>
    <row r="3775" spans="7:9" x14ac:dyDescent="0.15">
      <c r="G3775">
        <v>57386</v>
      </c>
      <c r="H3775" t="s">
        <v>4272</v>
      </c>
      <c r="I3775">
        <v>1</v>
      </c>
    </row>
    <row r="3776" spans="7:9" x14ac:dyDescent="0.15">
      <c r="G3776">
        <v>57414</v>
      </c>
      <c r="H3776" t="s">
        <v>4272</v>
      </c>
      <c r="I3776">
        <v>3</v>
      </c>
    </row>
    <row r="3777" spans="7:9" x14ac:dyDescent="0.15">
      <c r="G3777">
        <v>57428</v>
      </c>
      <c r="H3777" t="s">
        <v>4273</v>
      </c>
      <c r="I3777">
        <v>3</v>
      </c>
    </row>
    <row r="3778" spans="7:9" x14ac:dyDescent="0.15">
      <c r="G3778">
        <v>57442</v>
      </c>
      <c r="H3778" t="s">
        <v>4274</v>
      </c>
      <c r="I3778">
        <v>3</v>
      </c>
    </row>
    <row r="3779" spans="7:9" x14ac:dyDescent="0.15">
      <c r="G3779">
        <v>57456</v>
      </c>
      <c r="H3779" t="s">
        <v>4275</v>
      </c>
      <c r="I3779">
        <v>3</v>
      </c>
    </row>
    <row r="3780" spans="7:9" x14ac:dyDescent="0.15">
      <c r="G3780">
        <v>57470</v>
      </c>
      <c r="H3780" t="s">
        <v>4276</v>
      </c>
      <c r="I3780">
        <v>3</v>
      </c>
    </row>
    <row r="3781" spans="7:9" x14ac:dyDescent="0.15">
      <c r="G3781">
        <v>57484</v>
      </c>
      <c r="H3781" t="s">
        <v>4277</v>
      </c>
      <c r="I3781">
        <v>3</v>
      </c>
    </row>
    <row r="3782" spans="7:9" x14ac:dyDescent="0.15">
      <c r="G3782">
        <v>57486</v>
      </c>
      <c r="H3782" t="s">
        <v>4278</v>
      </c>
      <c r="I3782">
        <v>3</v>
      </c>
    </row>
    <row r="3783" spans="7:9" x14ac:dyDescent="0.15">
      <c r="G3783">
        <v>57491</v>
      </c>
      <c r="H3783" t="s">
        <v>4279</v>
      </c>
      <c r="I3783">
        <v>3</v>
      </c>
    </row>
    <row r="3784" spans="7:9" x14ac:dyDescent="0.15">
      <c r="G3784">
        <v>57495</v>
      </c>
      <c r="H3784" t="s">
        <v>1127</v>
      </c>
      <c r="I3784">
        <v>3</v>
      </c>
    </row>
    <row r="3785" spans="7:9" x14ac:dyDescent="0.15">
      <c r="G3785">
        <v>57498</v>
      </c>
      <c r="H3785" t="s">
        <v>4280</v>
      </c>
      <c r="I3785">
        <v>3</v>
      </c>
    </row>
    <row r="3786" spans="7:9" x14ac:dyDescent="0.15">
      <c r="G3786">
        <v>57505</v>
      </c>
      <c r="H3786" t="s">
        <v>4280</v>
      </c>
      <c r="I3786">
        <v>3</v>
      </c>
    </row>
    <row r="3787" spans="7:9" x14ac:dyDescent="0.15">
      <c r="G3787">
        <v>57512</v>
      </c>
      <c r="H3787" t="s">
        <v>4280</v>
      </c>
      <c r="I3787">
        <v>3</v>
      </c>
    </row>
    <row r="3788" spans="7:9" x14ac:dyDescent="0.15">
      <c r="G3788">
        <v>57540</v>
      </c>
      <c r="H3788" t="s">
        <v>4281</v>
      </c>
      <c r="I3788">
        <v>3</v>
      </c>
    </row>
    <row r="3789" spans="7:9" x14ac:dyDescent="0.15">
      <c r="G3789">
        <v>57554</v>
      </c>
      <c r="H3789" t="s">
        <v>4281</v>
      </c>
      <c r="I3789">
        <v>3</v>
      </c>
    </row>
    <row r="3790" spans="7:9" x14ac:dyDescent="0.15">
      <c r="G3790">
        <v>57560</v>
      </c>
      <c r="H3790" t="s">
        <v>4282</v>
      </c>
      <c r="I3790">
        <v>3</v>
      </c>
    </row>
    <row r="3791" spans="7:9" x14ac:dyDescent="0.15">
      <c r="G3791">
        <v>57568</v>
      </c>
      <c r="H3791" t="s">
        <v>4283</v>
      </c>
      <c r="I3791">
        <v>3</v>
      </c>
    </row>
    <row r="3792" spans="7:9" x14ac:dyDescent="0.15">
      <c r="G3792">
        <v>57582</v>
      </c>
      <c r="H3792" t="s">
        <v>4284</v>
      </c>
      <c r="I3792">
        <v>2</v>
      </c>
    </row>
    <row r="3793" spans="7:9" x14ac:dyDescent="0.15">
      <c r="G3793">
        <v>57596</v>
      </c>
      <c r="H3793" t="s">
        <v>4285</v>
      </c>
      <c r="I3793">
        <v>2</v>
      </c>
    </row>
    <row r="3794" spans="7:9" x14ac:dyDescent="0.15">
      <c r="G3794">
        <v>57610</v>
      </c>
      <c r="H3794" t="s">
        <v>4286</v>
      </c>
      <c r="I3794">
        <v>3</v>
      </c>
    </row>
    <row r="3795" spans="7:9" x14ac:dyDescent="0.15">
      <c r="G3795">
        <v>57624</v>
      </c>
      <c r="H3795" t="s">
        <v>4287</v>
      </c>
      <c r="I3795">
        <v>3</v>
      </c>
    </row>
    <row r="3796" spans="7:9" x14ac:dyDescent="0.15">
      <c r="G3796">
        <v>57638</v>
      </c>
      <c r="H3796" t="s">
        <v>4287</v>
      </c>
      <c r="I3796">
        <v>3</v>
      </c>
    </row>
    <row r="3797" spans="7:9" x14ac:dyDescent="0.15">
      <c r="G3797">
        <v>57652</v>
      </c>
      <c r="H3797" t="s">
        <v>4287</v>
      </c>
      <c r="I3797">
        <v>3</v>
      </c>
    </row>
    <row r="3798" spans="7:9" x14ac:dyDescent="0.15">
      <c r="G3798">
        <v>57660</v>
      </c>
      <c r="H3798" t="s">
        <v>4287</v>
      </c>
      <c r="I3798">
        <v>3</v>
      </c>
    </row>
    <row r="3799" spans="7:9" x14ac:dyDescent="0.15">
      <c r="G3799">
        <v>57680</v>
      </c>
      <c r="H3799" t="s">
        <v>4288</v>
      </c>
      <c r="I3799">
        <v>3</v>
      </c>
    </row>
    <row r="3800" spans="7:9" x14ac:dyDescent="0.15">
      <c r="G3800">
        <v>57685</v>
      </c>
      <c r="H3800" t="s">
        <v>4289</v>
      </c>
      <c r="I3800">
        <v>3</v>
      </c>
    </row>
    <row r="3801" spans="7:9" x14ac:dyDescent="0.15">
      <c r="G3801">
        <v>57694</v>
      </c>
      <c r="H3801" t="s">
        <v>4290</v>
      </c>
      <c r="I3801">
        <v>3</v>
      </c>
    </row>
    <row r="3802" spans="7:9" x14ac:dyDescent="0.15">
      <c r="G3802">
        <v>57700</v>
      </c>
      <c r="H3802" t="s">
        <v>4291</v>
      </c>
      <c r="I3802">
        <v>3</v>
      </c>
    </row>
    <row r="3803" spans="7:9" x14ac:dyDescent="0.15">
      <c r="G3803">
        <v>57708</v>
      </c>
      <c r="H3803" t="s">
        <v>4292</v>
      </c>
      <c r="I3803">
        <v>3</v>
      </c>
    </row>
    <row r="3804" spans="7:9" x14ac:dyDescent="0.15">
      <c r="G3804">
        <v>57722</v>
      </c>
      <c r="H3804" t="s">
        <v>4293</v>
      </c>
      <c r="I3804">
        <v>3</v>
      </c>
    </row>
    <row r="3805" spans="7:9" x14ac:dyDescent="0.15">
      <c r="G3805">
        <v>57736</v>
      </c>
      <c r="H3805" t="s">
        <v>4294</v>
      </c>
      <c r="I3805">
        <v>3</v>
      </c>
    </row>
    <row r="3806" spans="7:9" x14ac:dyDescent="0.15">
      <c r="G3806">
        <v>57745</v>
      </c>
      <c r="H3806" t="s">
        <v>4295</v>
      </c>
      <c r="I3806">
        <v>3</v>
      </c>
    </row>
    <row r="3807" spans="7:9" x14ac:dyDescent="0.15">
      <c r="G3807">
        <v>57750</v>
      </c>
      <c r="H3807" t="s">
        <v>4296</v>
      </c>
      <c r="I3807">
        <v>2</v>
      </c>
    </row>
    <row r="3808" spans="7:9" x14ac:dyDescent="0.15">
      <c r="G3808">
        <v>57764</v>
      </c>
      <c r="H3808" t="s">
        <v>4296</v>
      </c>
      <c r="I3808">
        <v>1</v>
      </c>
    </row>
    <row r="3809" spans="7:9" x14ac:dyDescent="0.15">
      <c r="G3809">
        <v>57792</v>
      </c>
      <c r="H3809" t="s">
        <v>4296</v>
      </c>
      <c r="I3809">
        <v>2</v>
      </c>
    </row>
    <row r="3810" spans="7:9" x14ac:dyDescent="0.15">
      <c r="G3810">
        <v>57834</v>
      </c>
      <c r="H3810" t="s">
        <v>4297</v>
      </c>
      <c r="I3810">
        <v>1</v>
      </c>
    </row>
    <row r="3811" spans="7:9" x14ac:dyDescent="0.15">
      <c r="G3811">
        <v>57848</v>
      </c>
      <c r="H3811" t="s">
        <v>4298</v>
      </c>
      <c r="I3811">
        <v>3</v>
      </c>
    </row>
    <row r="3812" spans="7:9" x14ac:dyDescent="0.15">
      <c r="G3812">
        <v>57862</v>
      </c>
      <c r="H3812" t="s">
        <v>4299</v>
      </c>
      <c r="I3812">
        <v>2</v>
      </c>
    </row>
    <row r="3813" spans="7:9" x14ac:dyDescent="0.15">
      <c r="G3813">
        <v>57876</v>
      </c>
      <c r="H3813" t="s">
        <v>4300</v>
      </c>
      <c r="I3813">
        <v>2</v>
      </c>
    </row>
    <row r="3814" spans="7:9" x14ac:dyDescent="0.15">
      <c r="G3814">
        <v>57890</v>
      </c>
      <c r="H3814" t="s">
        <v>4301</v>
      </c>
      <c r="I3814">
        <v>3</v>
      </c>
    </row>
    <row r="3815" spans="7:9" x14ac:dyDescent="0.15">
      <c r="G3815">
        <v>57910</v>
      </c>
      <c r="H3815" t="s">
        <v>4302</v>
      </c>
      <c r="I3815">
        <v>3</v>
      </c>
    </row>
    <row r="3816" spans="7:9" x14ac:dyDescent="0.15">
      <c r="G3816">
        <v>57918</v>
      </c>
      <c r="H3816" t="s">
        <v>4303</v>
      </c>
      <c r="I3816">
        <v>2</v>
      </c>
    </row>
    <row r="3817" spans="7:9" x14ac:dyDescent="0.15">
      <c r="G3817">
        <v>57925</v>
      </c>
      <c r="H3817" t="s">
        <v>4304</v>
      </c>
      <c r="I3817">
        <v>3</v>
      </c>
    </row>
    <row r="3818" spans="7:9" x14ac:dyDescent="0.15">
      <c r="G3818">
        <v>57932</v>
      </c>
      <c r="H3818" t="s">
        <v>4305</v>
      </c>
      <c r="I3818">
        <v>3</v>
      </c>
    </row>
    <row r="3819" spans="7:9" x14ac:dyDescent="0.15">
      <c r="G3819">
        <v>57946</v>
      </c>
      <c r="H3819" t="s">
        <v>4306</v>
      </c>
      <c r="I3819">
        <v>3</v>
      </c>
    </row>
    <row r="3820" spans="7:9" x14ac:dyDescent="0.15">
      <c r="G3820">
        <v>57960</v>
      </c>
      <c r="H3820" t="s">
        <v>4307</v>
      </c>
      <c r="I3820">
        <v>3</v>
      </c>
    </row>
    <row r="3821" spans="7:9" x14ac:dyDescent="0.15">
      <c r="G3821">
        <v>57974</v>
      </c>
      <c r="H3821" t="s">
        <v>4307</v>
      </c>
      <c r="I3821">
        <v>3</v>
      </c>
    </row>
    <row r="3822" spans="7:9" x14ac:dyDescent="0.15">
      <c r="G3822">
        <v>57988</v>
      </c>
      <c r="H3822" t="s">
        <v>4307</v>
      </c>
      <c r="I3822">
        <v>3</v>
      </c>
    </row>
    <row r="3823" spans="7:9" x14ac:dyDescent="0.15">
      <c r="G3823">
        <v>58002</v>
      </c>
      <c r="H3823" t="s">
        <v>4308</v>
      </c>
      <c r="I3823">
        <v>2</v>
      </c>
    </row>
    <row r="3824" spans="7:9" x14ac:dyDescent="0.15">
      <c r="G3824">
        <v>58016</v>
      </c>
      <c r="H3824" t="s">
        <v>4309</v>
      </c>
      <c r="I3824">
        <v>3</v>
      </c>
    </row>
    <row r="3825" spans="7:9" x14ac:dyDescent="0.15">
      <c r="G3825">
        <v>58086</v>
      </c>
      <c r="H3825" t="s">
        <v>4310</v>
      </c>
      <c r="I3825">
        <v>3</v>
      </c>
    </row>
    <row r="3826" spans="7:9" x14ac:dyDescent="0.15">
      <c r="G3826">
        <v>58128</v>
      </c>
      <c r="H3826" t="s">
        <v>4311</v>
      </c>
      <c r="I3826">
        <v>3</v>
      </c>
    </row>
    <row r="3827" spans="7:9" x14ac:dyDescent="0.15">
      <c r="G3827">
        <v>58135</v>
      </c>
      <c r="H3827" t="s">
        <v>4312</v>
      </c>
      <c r="I3827">
        <v>3</v>
      </c>
    </row>
    <row r="3828" spans="7:9" x14ac:dyDescent="0.15">
      <c r="G3828">
        <v>58142</v>
      </c>
      <c r="H3828" t="s">
        <v>4313</v>
      </c>
      <c r="I3828">
        <v>3</v>
      </c>
    </row>
    <row r="3829" spans="7:9" x14ac:dyDescent="0.15">
      <c r="G3829">
        <v>58149</v>
      </c>
      <c r="H3829" t="s">
        <v>4314</v>
      </c>
      <c r="I3829">
        <v>2</v>
      </c>
    </row>
    <row r="3830" spans="7:9" x14ac:dyDescent="0.15">
      <c r="G3830">
        <v>58156</v>
      </c>
      <c r="H3830" t="s">
        <v>4315</v>
      </c>
      <c r="I3830">
        <v>2</v>
      </c>
    </row>
    <row r="3831" spans="7:9" x14ac:dyDescent="0.15">
      <c r="G3831">
        <v>58165</v>
      </c>
      <c r="H3831" t="s">
        <v>4316</v>
      </c>
      <c r="I3831">
        <v>3</v>
      </c>
    </row>
    <row r="3832" spans="7:9" x14ac:dyDescent="0.15">
      <c r="G3832">
        <v>58198</v>
      </c>
      <c r="H3832" t="s">
        <v>4317</v>
      </c>
      <c r="I3832">
        <v>3</v>
      </c>
    </row>
    <row r="3833" spans="7:9" x14ac:dyDescent="0.15">
      <c r="G3833">
        <v>58220</v>
      </c>
      <c r="H3833" t="s">
        <v>4318</v>
      </c>
      <c r="I3833">
        <v>3</v>
      </c>
    </row>
    <row r="3834" spans="7:9" x14ac:dyDescent="0.15">
      <c r="G3834">
        <v>58226</v>
      </c>
      <c r="H3834" t="s">
        <v>4319</v>
      </c>
      <c r="I3834">
        <v>2</v>
      </c>
    </row>
    <row r="3835" spans="7:9" x14ac:dyDescent="0.15">
      <c r="G3835">
        <v>58254</v>
      </c>
      <c r="H3835" t="s">
        <v>4320</v>
      </c>
      <c r="I3835">
        <v>3</v>
      </c>
    </row>
    <row r="3836" spans="7:9" x14ac:dyDescent="0.15">
      <c r="G3836">
        <v>58282</v>
      </c>
      <c r="H3836" t="s">
        <v>4321</v>
      </c>
      <c r="I3836">
        <v>3</v>
      </c>
    </row>
    <row r="3837" spans="7:9" x14ac:dyDescent="0.15">
      <c r="G3837">
        <v>58310</v>
      </c>
      <c r="H3837" t="s">
        <v>4321</v>
      </c>
      <c r="I3837">
        <v>3</v>
      </c>
    </row>
    <row r="3838" spans="7:9" x14ac:dyDescent="0.15">
      <c r="G3838">
        <v>58324</v>
      </c>
      <c r="H3838" t="s">
        <v>4322</v>
      </c>
      <c r="I3838">
        <v>3</v>
      </c>
    </row>
    <row r="3839" spans="7:9" x14ac:dyDescent="0.15">
      <c r="G3839">
        <v>58330</v>
      </c>
      <c r="H3839" t="s">
        <v>4323</v>
      </c>
      <c r="I3839">
        <v>3</v>
      </c>
    </row>
    <row r="3840" spans="7:9" x14ac:dyDescent="0.15">
      <c r="G3840">
        <v>58338</v>
      </c>
      <c r="H3840" t="s">
        <v>4324</v>
      </c>
      <c r="I3840">
        <v>3</v>
      </c>
    </row>
    <row r="3841" spans="7:9" x14ac:dyDescent="0.15">
      <c r="G3841">
        <v>58352</v>
      </c>
      <c r="H3841" t="s">
        <v>4324</v>
      </c>
      <c r="I3841">
        <v>3</v>
      </c>
    </row>
    <row r="3842" spans="7:9" x14ac:dyDescent="0.15">
      <c r="G3842">
        <v>58366</v>
      </c>
      <c r="H3842" t="s">
        <v>4325</v>
      </c>
      <c r="I3842">
        <v>3</v>
      </c>
    </row>
    <row r="3843" spans="7:9" x14ac:dyDescent="0.15">
      <c r="G3843">
        <v>58380</v>
      </c>
      <c r="H3843" t="s">
        <v>4326</v>
      </c>
      <c r="I3843">
        <v>3</v>
      </c>
    </row>
    <row r="3844" spans="7:9" x14ac:dyDescent="0.15">
      <c r="G3844">
        <v>58394</v>
      </c>
      <c r="H3844" t="s">
        <v>4327</v>
      </c>
      <c r="I3844">
        <v>3</v>
      </c>
    </row>
    <row r="3845" spans="7:9" x14ac:dyDescent="0.15">
      <c r="G3845">
        <v>58408</v>
      </c>
      <c r="H3845" t="s">
        <v>4328</v>
      </c>
      <c r="I3845">
        <v>3</v>
      </c>
    </row>
    <row r="3846" spans="7:9" x14ac:dyDescent="0.15">
      <c r="G3846">
        <v>58422</v>
      </c>
      <c r="H3846" t="s">
        <v>4329</v>
      </c>
      <c r="I3846">
        <v>1</v>
      </c>
    </row>
    <row r="3847" spans="7:9" x14ac:dyDescent="0.15">
      <c r="G3847">
        <v>58445</v>
      </c>
      <c r="H3847" t="s">
        <v>4330</v>
      </c>
      <c r="I3847">
        <v>3</v>
      </c>
    </row>
    <row r="3848" spans="7:9" x14ac:dyDescent="0.15">
      <c r="G3848">
        <v>58464</v>
      </c>
      <c r="H3848" t="s">
        <v>4331</v>
      </c>
      <c r="I3848">
        <v>3</v>
      </c>
    </row>
    <row r="3849" spans="7:9" x14ac:dyDescent="0.15">
      <c r="G3849">
        <v>58478</v>
      </c>
      <c r="H3849" t="s">
        <v>4332</v>
      </c>
      <c r="I3849">
        <v>3</v>
      </c>
    </row>
    <row r="3850" spans="7:9" x14ac:dyDescent="0.15">
      <c r="G3850">
        <v>58492</v>
      </c>
      <c r="H3850" t="s">
        <v>4333</v>
      </c>
      <c r="I3850">
        <v>3</v>
      </c>
    </row>
    <row r="3851" spans="7:9" x14ac:dyDescent="0.15">
      <c r="G3851">
        <v>58506</v>
      </c>
      <c r="H3851" t="s">
        <v>4333</v>
      </c>
      <c r="I3851">
        <v>3</v>
      </c>
    </row>
    <row r="3852" spans="7:9" x14ac:dyDescent="0.15">
      <c r="G3852">
        <v>58520</v>
      </c>
      <c r="H3852" t="s">
        <v>4334</v>
      </c>
      <c r="I3852">
        <v>1</v>
      </c>
    </row>
    <row r="3853" spans="7:9" x14ac:dyDescent="0.15">
      <c r="G3853">
        <v>58534</v>
      </c>
      <c r="H3853" t="s">
        <v>4335</v>
      </c>
      <c r="I3853">
        <v>3</v>
      </c>
    </row>
    <row r="3854" spans="7:9" x14ac:dyDescent="0.15">
      <c r="G3854">
        <v>58548</v>
      </c>
      <c r="H3854" t="s">
        <v>4336</v>
      </c>
      <c r="I3854">
        <v>3</v>
      </c>
    </row>
    <row r="3855" spans="7:9" x14ac:dyDescent="0.15">
      <c r="G3855">
        <v>58562</v>
      </c>
      <c r="H3855" t="s">
        <v>4337</v>
      </c>
      <c r="I3855">
        <v>3</v>
      </c>
    </row>
    <row r="3856" spans="7:9" x14ac:dyDescent="0.15">
      <c r="G3856">
        <v>58576</v>
      </c>
      <c r="H3856" t="s">
        <v>4337</v>
      </c>
      <c r="I3856">
        <v>3</v>
      </c>
    </row>
    <row r="3857" spans="7:9" x14ac:dyDescent="0.15">
      <c r="G3857">
        <v>58590</v>
      </c>
      <c r="H3857" t="s">
        <v>4338</v>
      </c>
      <c r="I3857">
        <v>3</v>
      </c>
    </row>
    <row r="3858" spans="7:9" x14ac:dyDescent="0.15">
      <c r="G3858">
        <v>58604</v>
      </c>
      <c r="H3858" t="s">
        <v>4338</v>
      </c>
      <c r="I3858">
        <v>2</v>
      </c>
    </row>
    <row r="3859" spans="7:9" x14ac:dyDescent="0.15">
      <c r="G3859">
        <v>58610</v>
      </c>
      <c r="H3859" t="s">
        <v>4338</v>
      </c>
      <c r="I3859">
        <v>3</v>
      </c>
    </row>
    <row r="3860" spans="7:9" x14ac:dyDescent="0.15">
      <c r="G3860">
        <v>58618</v>
      </c>
      <c r="H3860" t="s">
        <v>4337</v>
      </c>
      <c r="I3860">
        <v>3</v>
      </c>
    </row>
    <row r="3861" spans="7:9" x14ac:dyDescent="0.15">
      <c r="G3861">
        <v>58632</v>
      </c>
      <c r="H3861" t="s">
        <v>4337</v>
      </c>
      <c r="I3861">
        <v>3</v>
      </c>
    </row>
    <row r="3862" spans="7:9" x14ac:dyDescent="0.15">
      <c r="G3862">
        <v>58646</v>
      </c>
      <c r="H3862" t="s">
        <v>4337</v>
      </c>
      <c r="I3862">
        <v>3</v>
      </c>
    </row>
    <row r="3863" spans="7:9" x14ac:dyDescent="0.15">
      <c r="G3863">
        <v>58660</v>
      </c>
      <c r="H3863" t="s">
        <v>4337</v>
      </c>
      <c r="I3863">
        <v>3</v>
      </c>
    </row>
    <row r="3864" spans="7:9" x14ac:dyDescent="0.15">
      <c r="G3864">
        <v>58665</v>
      </c>
      <c r="H3864" t="s">
        <v>4339</v>
      </c>
      <c r="I3864">
        <v>3</v>
      </c>
    </row>
    <row r="3865" spans="7:9" x14ac:dyDescent="0.15">
      <c r="G3865">
        <v>58674</v>
      </c>
      <c r="H3865" t="s">
        <v>4340</v>
      </c>
      <c r="I3865">
        <v>2</v>
      </c>
    </row>
    <row r="3866" spans="7:9" x14ac:dyDescent="0.15">
      <c r="G3866">
        <v>58688</v>
      </c>
      <c r="H3866" t="s">
        <v>4341</v>
      </c>
      <c r="I3866">
        <v>3</v>
      </c>
    </row>
    <row r="3867" spans="7:9" x14ac:dyDescent="0.15">
      <c r="G3867">
        <v>58695</v>
      </c>
      <c r="H3867" t="s">
        <v>4342</v>
      </c>
      <c r="I3867">
        <v>3</v>
      </c>
    </row>
    <row r="3868" spans="7:9" x14ac:dyDescent="0.15">
      <c r="G3868">
        <v>58702</v>
      </c>
      <c r="H3868" t="s">
        <v>4343</v>
      </c>
      <c r="I3868">
        <v>3</v>
      </c>
    </row>
    <row r="3869" spans="7:9" x14ac:dyDescent="0.15">
      <c r="G3869">
        <v>58730</v>
      </c>
      <c r="H3869" t="s">
        <v>4344</v>
      </c>
      <c r="I3869">
        <v>1</v>
      </c>
    </row>
    <row r="3870" spans="7:9" x14ac:dyDescent="0.15">
      <c r="G3870">
        <v>58758</v>
      </c>
      <c r="H3870" t="s">
        <v>4345</v>
      </c>
      <c r="I3870">
        <v>3</v>
      </c>
    </row>
    <row r="3871" spans="7:9" x14ac:dyDescent="0.15">
      <c r="G3871">
        <v>58772</v>
      </c>
      <c r="H3871" t="s">
        <v>4346</v>
      </c>
      <c r="I3871">
        <v>3</v>
      </c>
    </row>
    <row r="3872" spans="7:9" x14ac:dyDescent="0.15">
      <c r="G3872">
        <v>58786</v>
      </c>
      <c r="H3872" t="s">
        <v>4347</v>
      </c>
      <c r="I3872">
        <v>3</v>
      </c>
    </row>
    <row r="3873" spans="7:9" x14ac:dyDescent="0.15">
      <c r="G3873">
        <v>58800</v>
      </c>
      <c r="H3873" t="s">
        <v>4348</v>
      </c>
      <c r="I3873">
        <v>2</v>
      </c>
    </row>
    <row r="3874" spans="7:9" x14ac:dyDescent="0.15">
      <c r="G3874">
        <v>58814</v>
      </c>
      <c r="H3874" t="s">
        <v>4349</v>
      </c>
      <c r="I3874">
        <v>3</v>
      </c>
    </row>
    <row r="3875" spans="7:9" x14ac:dyDescent="0.15">
      <c r="G3875">
        <v>58820</v>
      </c>
      <c r="H3875" t="s">
        <v>4350</v>
      </c>
      <c r="I3875">
        <v>3</v>
      </c>
    </row>
    <row r="3876" spans="7:9" x14ac:dyDescent="0.15">
      <c r="G3876">
        <v>58828</v>
      </c>
      <c r="H3876" t="s">
        <v>988</v>
      </c>
      <c r="I3876">
        <v>1</v>
      </c>
    </row>
    <row r="3877" spans="7:9" x14ac:dyDescent="0.15">
      <c r="G3877">
        <v>58842</v>
      </c>
      <c r="H3877" t="s">
        <v>4351</v>
      </c>
      <c r="I3877">
        <v>3</v>
      </c>
    </row>
    <row r="3878" spans="7:9" x14ac:dyDescent="0.15">
      <c r="G3878">
        <v>58856</v>
      </c>
      <c r="H3878" t="s">
        <v>4352</v>
      </c>
      <c r="I3878">
        <v>2</v>
      </c>
    </row>
    <row r="3879" spans="7:9" x14ac:dyDescent="0.15">
      <c r="G3879">
        <v>58870</v>
      </c>
      <c r="H3879" t="s">
        <v>4353</v>
      </c>
      <c r="I3879">
        <v>3</v>
      </c>
    </row>
    <row r="3880" spans="7:9" x14ac:dyDescent="0.15">
      <c r="G3880">
        <v>58880</v>
      </c>
      <c r="H3880" t="s">
        <v>4354</v>
      </c>
      <c r="I3880">
        <v>3</v>
      </c>
    </row>
    <row r="3881" spans="7:9" x14ac:dyDescent="0.15">
      <c r="G3881">
        <v>58891</v>
      </c>
      <c r="H3881" t="s">
        <v>4355</v>
      </c>
      <c r="I3881">
        <v>3</v>
      </c>
    </row>
    <row r="3882" spans="7:9" x14ac:dyDescent="0.15">
      <c r="G3882">
        <v>58912</v>
      </c>
      <c r="H3882" t="s">
        <v>4356</v>
      </c>
      <c r="I3882">
        <v>2</v>
      </c>
    </row>
    <row r="3883" spans="7:9" x14ac:dyDescent="0.15">
      <c r="G3883">
        <v>58926</v>
      </c>
      <c r="H3883" t="s">
        <v>4357</v>
      </c>
      <c r="I3883">
        <v>3</v>
      </c>
    </row>
    <row r="3884" spans="7:9" x14ac:dyDescent="0.15">
      <c r="G3884">
        <v>58940</v>
      </c>
      <c r="H3884" t="s">
        <v>4358</v>
      </c>
      <c r="I3884">
        <v>2</v>
      </c>
    </row>
    <row r="3885" spans="7:9" x14ac:dyDescent="0.15">
      <c r="G3885">
        <v>58954</v>
      </c>
      <c r="H3885" t="s">
        <v>4359</v>
      </c>
      <c r="I3885">
        <v>3</v>
      </c>
    </row>
    <row r="3886" spans="7:9" x14ac:dyDescent="0.15">
      <c r="G3886">
        <v>58960</v>
      </c>
      <c r="H3886" t="s">
        <v>4359</v>
      </c>
      <c r="I3886">
        <v>3</v>
      </c>
    </row>
    <row r="3887" spans="7:9" x14ac:dyDescent="0.15">
      <c r="G3887">
        <v>58982</v>
      </c>
      <c r="H3887" t="s">
        <v>4360</v>
      </c>
      <c r="I3887">
        <v>2</v>
      </c>
    </row>
    <row r="3888" spans="7:9" x14ac:dyDescent="0.15">
      <c r="G3888">
        <v>58996</v>
      </c>
      <c r="H3888" t="s">
        <v>4361</v>
      </c>
      <c r="I3888">
        <v>3</v>
      </c>
    </row>
    <row r="3889" spans="7:9" x14ac:dyDescent="0.15">
      <c r="G3889">
        <v>59010</v>
      </c>
      <c r="H3889" t="s">
        <v>4362</v>
      </c>
      <c r="I3889">
        <v>2</v>
      </c>
    </row>
    <row r="3890" spans="7:9" x14ac:dyDescent="0.15">
      <c r="G3890">
        <v>59026</v>
      </c>
      <c r="H3890" t="s">
        <v>4363</v>
      </c>
      <c r="I3890">
        <v>3</v>
      </c>
    </row>
    <row r="3891" spans="7:9" x14ac:dyDescent="0.15">
      <c r="G3891">
        <v>59028</v>
      </c>
      <c r="H3891" t="s">
        <v>4364</v>
      </c>
      <c r="I3891">
        <v>3</v>
      </c>
    </row>
    <row r="3892" spans="7:9" x14ac:dyDescent="0.15">
      <c r="G3892">
        <v>59030</v>
      </c>
      <c r="H3892" t="s">
        <v>4364</v>
      </c>
      <c r="I3892">
        <v>3</v>
      </c>
    </row>
    <row r="3893" spans="7:9" x14ac:dyDescent="0.15">
      <c r="G3893">
        <v>59038</v>
      </c>
      <c r="H3893" t="s">
        <v>4365</v>
      </c>
      <c r="I3893">
        <v>3</v>
      </c>
    </row>
    <row r="3894" spans="7:9" x14ac:dyDescent="0.15">
      <c r="G3894">
        <v>59052</v>
      </c>
      <c r="H3894" t="s">
        <v>4366</v>
      </c>
      <c r="I3894">
        <v>2</v>
      </c>
    </row>
    <row r="3895" spans="7:9" x14ac:dyDescent="0.15">
      <c r="G3895">
        <v>59066</v>
      </c>
      <c r="H3895" t="s">
        <v>4367</v>
      </c>
      <c r="I3895">
        <v>2</v>
      </c>
    </row>
    <row r="3896" spans="7:9" x14ac:dyDescent="0.15">
      <c r="G3896">
        <v>59080</v>
      </c>
      <c r="H3896" t="s">
        <v>4368</v>
      </c>
      <c r="I3896">
        <v>3</v>
      </c>
    </row>
    <row r="3897" spans="7:9" x14ac:dyDescent="0.15">
      <c r="G3897">
        <v>59122</v>
      </c>
      <c r="H3897" t="s">
        <v>4369</v>
      </c>
      <c r="I3897">
        <v>3</v>
      </c>
    </row>
    <row r="3898" spans="7:9" x14ac:dyDescent="0.15">
      <c r="G3898">
        <v>59150</v>
      </c>
      <c r="H3898" t="s">
        <v>4370</v>
      </c>
      <c r="I3898">
        <v>3</v>
      </c>
    </row>
    <row r="3899" spans="7:9" x14ac:dyDescent="0.15">
      <c r="G3899">
        <v>59178</v>
      </c>
      <c r="H3899" t="s">
        <v>4371</v>
      </c>
      <c r="I3899">
        <v>3</v>
      </c>
    </row>
    <row r="3900" spans="7:9" x14ac:dyDescent="0.15">
      <c r="G3900">
        <v>59192</v>
      </c>
      <c r="H3900" t="s">
        <v>4372</v>
      </c>
      <c r="I3900">
        <v>3</v>
      </c>
    </row>
    <row r="3901" spans="7:9" x14ac:dyDescent="0.15">
      <c r="G3901">
        <v>59220</v>
      </c>
      <c r="H3901" t="s">
        <v>4373</v>
      </c>
      <c r="I3901">
        <v>2</v>
      </c>
    </row>
    <row r="3902" spans="7:9" x14ac:dyDescent="0.15">
      <c r="G3902">
        <v>59225</v>
      </c>
      <c r="H3902" t="s">
        <v>4373</v>
      </c>
      <c r="I3902">
        <v>3</v>
      </c>
    </row>
    <row r="3903" spans="7:9" x14ac:dyDescent="0.15">
      <c r="G3903">
        <v>59234</v>
      </c>
      <c r="H3903" t="s">
        <v>989</v>
      </c>
      <c r="I3903">
        <v>1</v>
      </c>
    </row>
    <row r="3904" spans="7:9" x14ac:dyDescent="0.15">
      <c r="G3904">
        <v>59241</v>
      </c>
      <c r="H3904" t="s">
        <v>4374</v>
      </c>
      <c r="I3904">
        <v>3</v>
      </c>
    </row>
    <row r="3905" spans="7:9" x14ac:dyDescent="0.15">
      <c r="G3905">
        <v>59248</v>
      </c>
      <c r="H3905" t="s">
        <v>4374</v>
      </c>
      <c r="I3905">
        <v>3</v>
      </c>
    </row>
    <row r="3906" spans="7:9" x14ac:dyDescent="0.15">
      <c r="G3906">
        <v>59262</v>
      </c>
      <c r="H3906" t="s">
        <v>4374</v>
      </c>
      <c r="I3906">
        <v>3</v>
      </c>
    </row>
    <row r="3907" spans="7:9" x14ac:dyDescent="0.15">
      <c r="G3907">
        <v>59276</v>
      </c>
      <c r="H3907" t="s">
        <v>4374</v>
      </c>
      <c r="I3907">
        <v>3</v>
      </c>
    </row>
    <row r="3908" spans="7:9" x14ac:dyDescent="0.15">
      <c r="G3908">
        <v>59290</v>
      </c>
      <c r="H3908" t="s">
        <v>4374</v>
      </c>
      <c r="I3908">
        <v>3</v>
      </c>
    </row>
    <row r="3909" spans="7:9" x14ac:dyDescent="0.15">
      <c r="G3909">
        <v>59304</v>
      </c>
      <c r="H3909" t="s">
        <v>4374</v>
      </c>
      <c r="I3909">
        <v>3</v>
      </c>
    </row>
    <row r="3910" spans="7:9" x14ac:dyDescent="0.15">
      <c r="G3910">
        <v>59318</v>
      </c>
      <c r="H3910" t="s">
        <v>4375</v>
      </c>
      <c r="I3910">
        <v>3</v>
      </c>
    </row>
    <row r="3911" spans="7:9" x14ac:dyDescent="0.15">
      <c r="G3911">
        <v>59332</v>
      </c>
      <c r="H3911" t="s">
        <v>4376</v>
      </c>
      <c r="I3911">
        <v>3</v>
      </c>
    </row>
    <row r="3912" spans="7:9" x14ac:dyDescent="0.15">
      <c r="G3912">
        <v>59340</v>
      </c>
      <c r="H3912" t="s">
        <v>4377</v>
      </c>
      <c r="I3912">
        <v>3</v>
      </c>
    </row>
    <row r="3913" spans="7:9" x14ac:dyDescent="0.15">
      <c r="G3913">
        <v>59346</v>
      </c>
      <c r="H3913" t="s">
        <v>4378</v>
      </c>
      <c r="I3913">
        <v>3</v>
      </c>
    </row>
    <row r="3914" spans="7:9" x14ac:dyDescent="0.15">
      <c r="G3914">
        <v>59360</v>
      </c>
      <c r="H3914" t="s">
        <v>4379</v>
      </c>
      <c r="I3914">
        <v>3</v>
      </c>
    </row>
    <row r="3915" spans="7:9" x14ac:dyDescent="0.15">
      <c r="G3915">
        <v>59365</v>
      </c>
      <c r="H3915" t="s">
        <v>4380</v>
      </c>
      <c r="I3915">
        <v>3</v>
      </c>
    </row>
    <row r="3916" spans="7:9" x14ac:dyDescent="0.15">
      <c r="G3916">
        <v>59388</v>
      </c>
      <c r="H3916" t="s">
        <v>4381</v>
      </c>
      <c r="I3916">
        <v>3</v>
      </c>
    </row>
    <row r="3917" spans="7:9" x14ac:dyDescent="0.15">
      <c r="G3917">
        <v>59395</v>
      </c>
      <c r="H3917" t="s">
        <v>4382</v>
      </c>
      <c r="I3917">
        <v>3</v>
      </c>
    </row>
    <row r="3918" spans="7:9" x14ac:dyDescent="0.15">
      <c r="G3918">
        <v>59416</v>
      </c>
      <c r="H3918" t="s">
        <v>4383</v>
      </c>
      <c r="I3918">
        <v>1</v>
      </c>
    </row>
    <row r="3919" spans="7:9" x14ac:dyDescent="0.15">
      <c r="G3919">
        <v>59430</v>
      </c>
      <c r="H3919" t="s">
        <v>4384</v>
      </c>
      <c r="I3919">
        <v>3</v>
      </c>
    </row>
    <row r="3920" spans="7:9" x14ac:dyDescent="0.15">
      <c r="G3920">
        <v>59458</v>
      </c>
      <c r="H3920" t="s">
        <v>4385</v>
      </c>
      <c r="I3920">
        <v>3</v>
      </c>
    </row>
    <row r="3921" spans="7:9" x14ac:dyDescent="0.15">
      <c r="G3921">
        <v>59486</v>
      </c>
      <c r="H3921" t="s">
        <v>1104</v>
      </c>
      <c r="I3921">
        <v>3</v>
      </c>
    </row>
    <row r="3922" spans="7:9" x14ac:dyDescent="0.15">
      <c r="G3922">
        <v>59500</v>
      </c>
      <c r="H3922" t="s">
        <v>1104</v>
      </c>
      <c r="I3922">
        <v>3</v>
      </c>
    </row>
    <row r="3923" spans="7:9" x14ac:dyDescent="0.15">
      <c r="G3923">
        <v>59514</v>
      </c>
      <c r="H3923" t="s">
        <v>1104</v>
      </c>
      <c r="I3923">
        <v>3</v>
      </c>
    </row>
    <row r="3924" spans="7:9" x14ac:dyDescent="0.15">
      <c r="G3924">
        <v>59528</v>
      </c>
      <c r="H3924" t="s">
        <v>1104</v>
      </c>
      <c r="I3924">
        <v>3</v>
      </c>
    </row>
    <row r="3925" spans="7:9" x14ac:dyDescent="0.15">
      <c r="G3925">
        <v>59542</v>
      </c>
      <c r="H3925" t="s">
        <v>1104</v>
      </c>
      <c r="I3925">
        <v>3</v>
      </c>
    </row>
    <row r="3926" spans="7:9" x14ac:dyDescent="0.15">
      <c r="G3926">
        <v>59556</v>
      </c>
      <c r="H3926" t="s">
        <v>1104</v>
      </c>
      <c r="I3926">
        <v>3</v>
      </c>
    </row>
    <row r="3927" spans="7:9" x14ac:dyDescent="0.15">
      <c r="G3927">
        <v>59570</v>
      </c>
      <c r="H3927" t="s">
        <v>4386</v>
      </c>
      <c r="I3927">
        <v>3</v>
      </c>
    </row>
    <row r="3928" spans="7:9" x14ac:dyDescent="0.15">
      <c r="G3928">
        <v>59584</v>
      </c>
      <c r="H3928" t="s">
        <v>4387</v>
      </c>
      <c r="I3928">
        <v>3</v>
      </c>
    </row>
    <row r="3929" spans="7:9" x14ac:dyDescent="0.15">
      <c r="G3929">
        <v>59587</v>
      </c>
      <c r="H3929" t="s">
        <v>4388</v>
      </c>
      <c r="I3929">
        <v>3</v>
      </c>
    </row>
    <row r="3930" spans="7:9" x14ac:dyDescent="0.15">
      <c r="G3930">
        <v>59591</v>
      </c>
      <c r="H3930" t="s">
        <v>4389</v>
      </c>
      <c r="I3930">
        <v>3</v>
      </c>
    </row>
    <row r="3931" spans="7:9" x14ac:dyDescent="0.15">
      <c r="G3931">
        <v>59598</v>
      </c>
      <c r="H3931" t="s">
        <v>4390</v>
      </c>
      <c r="I3931">
        <v>2</v>
      </c>
    </row>
    <row r="3932" spans="7:9" x14ac:dyDescent="0.15">
      <c r="G3932">
        <v>59612</v>
      </c>
      <c r="H3932" t="s">
        <v>4391</v>
      </c>
      <c r="I3932">
        <v>3</v>
      </c>
    </row>
    <row r="3933" spans="7:9" x14ac:dyDescent="0.15">
      <c r="G3933">
        <v>59626</v>
      </c>
      <c r="H3933" t="s">
        <v>4391</v>
      </c>
      <c r="I3933">
        <v>3</v>
      </c>
    </row>
    <row r="3934" spans="7:9" x14ac:dyDescent="0.15">
      <c r="G3934">
        <v>59640</v>
      </c>
      <c r="H3934" t="s">
        <v>4392</v>
      </c>
      <c r="I3934">
        <v>3</v>
      </c>
    </row>
    <row r="3935" spans="7:9" x14ac:dyDescent="0.15">
      <c r="G3935">
        <v>59654</v>
      </c>
      <c r="H3935" t="s">
        <v>4392</v>
      </c>
      <c r="I3935">
        <v>3</v>
      </c>
    </row>
    <row r="3936" spans="7:9" x14ac:dyDescent="0.15">
      <c r="G3936">
        <v>59668</v>
      </c>
      <c r="H3936" t="s">
        <v>4393</v>
      </c>
      <c r="I3936">
        <v>3</v>
      </c>
    </row>
    <row r="3937" spans="7:9" x14ac:dyDescent="0.15">
      <c r="G3937">
        <v>59696</v>
      </c>
      <c r="H3937" t="s">
        <v>4394</v>
      </c>
      <c r="I3937">
        <v>3</v>
      </c>
    </row>
    <row r="3938" spans="7:9" x14ac:dyDescent="0.15">
      <c r="G3938">
        <v>59724</v>
      </c>
      <c r="H3938" t="s">
        <v>4395</v>
      </c>
      <c r="I3938">
        <v>2</v>
      </c>
    </row>
    <row r="3939" spans="7:9" x14ac:dyDescent="0.15">
      <c r="G3939">
        <v>59738</v>
      </c>
      <c r="H3939" t="s">
        <v>4396</v>
      </c>
      <c r="I3939">
        <v>2</v>
      </c>
    </row>
    <row r="3940" spans="7:9" x14ac:dyDescent="0.15">
      <c r="G3940">
        <v>59742</v>
      </c>
      <c r="H3940" t="s">
        <v>4397</v>
      </c>
      <c r="I3940">
        <v>3</v>
      </c>
    </row>
    <row r="3941" spans="7:9" x14ac:dyDescent="0.15">
      <c r="G3941">
        <v>59748</v>
      </c>
      <c r="H3941" t="s">
        <v>4398</v>
      </c>
      <c r="I3941">
        <v>3</v>
      </c>
    </row>
    <row r="3942" spans="7:9" x14ac:dyDescent="0.15">
      <c r="G3942">
        <v>59752</v>
      </c>
      <c r="H3942" t="s">
        <v>4399</v>
      </c>
      <c r="I3942">
        <v>3</v>
      </c>
    </row>
    <row r="3943" spans="7:9" x14ac:dyDescent="0.15">
      <c r="G3943">
        <v>59766</v>
      </c>
      <c r="H3943" t="s">
        <v>4400</v>
      </c>
      <c r="I3943">
        <v>3</v>
      </c>
    </row>
    <row r="3944" spans="7:9" x14ac:dyDescent="0.15">
      <c r="G3944">
        <v>59780</v>
      </c>
      <c r="H3944" t="s">
        <v>4401</v>
      </c>
      <c r="I3944">
        <v>3</v>
      </c>
    </row>
    <row r="3945" spans="7:9" x14ac:dyDescent="0.15">
      <c r="G3945">
        <v>59822</v>
      </c>
      <c r="H3945" t="s">
        <v>4402</v>
      </c>
      <c r="I3945">
        <v>3</v>
      </c>
    </row>
    <row r="3946" spans="7:9" x14ac:dyDescent="0.15">
      <c r="G3946">
        <v>59836</v>
      </c>
      <c r="H3946" t="s">
        <v>4403</v>
      </c>
      <c r="I3946">
        <v>3</v>
      </c>
    </row>
    <row r="3947" spans="7:9" x14ac:dyDescent="0.15">
      <c r="G3947">
        <v>59850</v>
      </c>
      <c r="H3947" t="s">
        <v>4402</v>
      </c>
      <c r="I3947">
        <v>3</v>
      </c>
    </row>
    <row r="3948" spans="7:9" x14ac:dyDescent="0.15">
      <c r="G3948">
        <v>59864</v>
      </c>
      <c r="H3948" t="s">
        <v>4402</v>
      </c>
      <c r="I3948">
        <v>3</v>
      </c>
    </row>
    <row r="3949" spans="7:9" x14ac:dyDescent="0.15">
      <c r="G3949">
        <v>59906</v>
      </c>
      <c r="H3949" t="s">
        <v>4404</v>
      </c>
      <c r="I3949">
        <v>3</v>
      </c>
    </row>
    <row r="3950" spans="7:9" x14ac:dyDescent="0.15">
      <c r="G3950">
        <v>59920</v>
      </c>
      <c r="H3950" t="s">
        <v>4405</v>
      </c>
      <c r="I3950">
        <v>2</v>
      </c>
    </row>
    <row r="3951" spans="7:9" x14ac:dyDescent="0.15">
      <c r="G3951">
        <v>59934</v>
      </c>
      <c r="H3951" t="s">
        <v>4406</v>
      </c>
      <c r="I3951">
        <v>3</v>
      </c>
    </row>
    <row r="3952" spans="7:9" x14ac:dyDescent="0.15">
      <c r="G3952">
        <v>59948</v>
      </c>
      <c r="H3952" t="s">
        <v>4407</v>
      </c>
      <c r="I3952">
        <v>3</v>
      </c>
    </row>
    <row r="3953" spans="7:9" x14ac:dyDescent="0.15">
      <c r="G3953">
        <v>59962</v>
      </c>
      <c r="H3953" t="s">
        <v>4408</v>
      </c>
      <c r="I3953">
        <v>3</v>
      </c>
    </row>
    <row r="3954" spans="7:9" x14ac:dyDescent="0.15">
      <c r="G3954">
        <v>59976</v>
      </c>
      <c r="H3954" t="s">
        <v>4409</v>
      </c>
      <c r="I3954">
        <v>3</v>
      </c>
    </row>
    <row r="3955" spans="7:9" x14ac:dyDescent="0.15">
      <c r="G3955">
        <v>60005</v>
      </c>
      <c r="H3955" t="s">
        <v>4410</v>
      </c>
      <c r="I3955">
        <v>3</v>
      </c>
    </row>
    <row r="3956" spans="7:9" x14ac:dyDescent="0.15">
      <c r="G3956">
        <v>60018</v>
      </c>
      <c r="H3956" t="s">
        <v>1140</v>
      </c>
      <c r="I3956">
        <v>3</v>
      </c>
    </row>
    <row r="3957" spans="7:9" x14ac:dyDescent="0.15">
      <c r="G3957">
        <v>60046</v>
      </c>
      <c r="H3957" t="s">
        <v>4411</v>
      </c>
      <c r="I3957">
        <v>3</v>
      </c>
    </row>
    <row r="3958" spans="7:9" x14ac:dyDescent="0.15">
      <c r="G3958">
        <v>61000</v>
      </c>
      <c r="H3958" t="s">
        <v>4412</v>
      </c>
      <c r="I3958">
        <v>1</v>
      </c>
    </row>
    <row r="3959" spans="7:9" x14ac:dyDescent="0.15">
      <c r="G3959">
        <v>61028</v>
      </c>
      <c r="H3959" t="s">
        <v>4413</v>
      </c>
      <c r="I3959">
        <v>1</v>
      </c>
    </row>
    <row r="3960" spans="7:9" x14ac:dyDescent="0.15">
      <c r="G3960">
        <v>61056</v>
      </c>
      <c r="H3960" t="s">
        <v>4414</v>
      </c>
      <c r="I3960">
        <v>2</v>
      </c>
    </row>
    <row r="3961" spans="7:9" x14ac:dyDescent="0.15">
      <c r="G3961">
        <v>61070</v>
      </c>
      <c r="H3961" t="s">
        <v>4415</v>
      </c>
      <c r="I3961">
        <v>3</v>
      </c>
    </row>
    <row r="3962" spans="7:9" x14ac:dyDescent="0.15">
      <c r="G3962">
        <v>61084</v>
      </c>
      <c r="H3962" t="s">
        <v>4416</v>
      </c>
      <c r="I3962">
        <v>3</v>
      </c>
    </row>
    <row r="3963" spans="7:9" x14ac:dyDescent="0.15">
      <c r="G3963">
        <v>61098</v>
      </c>
      <c r="H3963" t="s">
        <v>4417</v>
      </c>
      <c r="I3963">
        <v>3</v>
      </c>
    </row>
    <row r="3964" spans="7:9" x14ac:dyDescent="0.15">
      <c r="G3964">
        <v>61112</v>
      </c>
      <c r="H3964" t="s">
        <v>4418</v>
      </c>
      <c r="I3964">
        <v>1</v>
      </c>
    </row>
    <row r="3965" spans="7:9" x14ac:dyDescent="0.15">
      <c r="G3965">
        <v>61140</v>
      </c>
      <c r="H3965" t="s">
        <v>4419</v>
      </c>
      <c r="I3965">
        <v>3</v>
      </c>
    </row>
    <row r="3966" spans="7:9" x14ac:dyDescent="0.15">
      <c r="G3966">
        <v>61154</v>
      </c>
      <c r="H3966" t="s">
        <v>4420</v>
      </c>
      <c r="I3966">
        <v>3</v>
      </c>
    </row>
    <row r="3967" spans="7:9" x14ac:dyDescent="0.15">
      <c r="G3967">
        <v>61160</v>
      </c>
      <c r="H3967" t="s">
        <v>4421</v>
      </c>
      <c r="I3967">
        <v>3</v>
      </c>
    </row>
    <row r="3968" spans="7:9" x14ac:dyDescent="0.15">
      <c r="G3968">
        <v>61168</v>
      </c>
      <c r="H3968" t="s">
        <v>4422</v>
      </c>
      <c r="I3968">
        <v>3</v>
      </c>
    </row>
    <row r="3969" spans="7:9" x14ac:dyDescent="0.15">
      <c r="G3969">
        <v>61182</v>
      </c>
      <c r="H3969" t="s">
        <v>4423</v>
      </c>
      <c r="I3969">
        <v>2</v>
      </c>
    </row>
    <row r="3970" spans="7:9" x14ac:dyDescent="0.15">
      <c r="G3970">
        <v>61196</v>
      </c>
      <c r="H3970" t="s">
        <v>4424</v>
      </c>
      <c r="I3970">
        <v>3</v>
      </c>
    </row>
    <row r="3971" spans="7:9" x14ac:dyDescent="0.15">
      <c r="G3971">
        <v>61238</v>
      </c>
      <c r="H3971" t="s">
        <v>4425</v>
      </c>
      <c r="I3971">
        <v>3</v>
      </c>
    </row>
    <row r="3972" spans="7:9" x14ac:dyDescent="0.15">
      <c r="G3972">
        <v>61245</v>
      </c>
      <c r="H3972" t="s">
        <v>4426</v>
      </c>
      <c r="I3972">
        <v>3</v>
      </c>
    </row>
    <row r="3973" spans="7:9" x14ac:dyDescent="0.15">
      <c r="G3973">
        <v>61252</v>
      </c>
      <c r="H3973" t="s">
        <v>4427</v>
      </c>
      <c r="I3973">
        <v>2</v>
      </c>
    </row>
    <row r="3974" spans="7:9" x14ac:dyDescent="0.15">
      <c r="G3974">
        <v>61266</v>
      </c>
      <c r="H3974" t="s">
        <v>4428</v>
      </c>
      <c r="I3974">
        <v>3</v>
      </c>
    </row>
    <row r="3975" spans="7:9" x14ac:dyDescent="0.15">
      <c r="G3975">
        <v>61280</v>
      </c>
      <c r="H3975" t="s">
        <v>4429</v>
      </c>
      <c r="I3975">
        <v>3</v>
      </c>
    </row>
    <row r="3976" spans="7:9" x14ac:dyDescent="0.15">
      <c r="G3976">
        <v>61294</v>
      </c>
      <c r="H3976" t="s">
        <v>4430</v>
      </c>
      <c r="I3976">
        <v>3</v>
      </c>
    </row>
    <row r="3977" spans="7:9" x14ac:dyDescent="0.15">
      <c r="G3977">
        <v>61308</v>
      </c>
      <c r="H3977" t="s">
        <v>4431</v>
      </c>
      <c r="I3977">
        <v>3</v>
      </c>
    </row>
    <row r="3978" spans="7:9" x14ac:dyDescent="0.15">
      <c r="G3978">
        <v>61322</v>
      </c>
      <c r="H3978" t="s">
        <v>4432</v>
      </c>
      <c r="I3978">
        <v>2</v>
      </c>
    </row>
    <row r="3979" spans="7:9" x14ac:dyDescent="0.15">
      <c r="G3979">
        <v>61335</v>
      </c>
      <c r="H3979" t="s">
        <v>4433</v>
      </c>
      <c r="I3979">
        <v>3</v>
      </c>
    </row>
    <row r="3980" spans="7:9" x14ac:dyDescent="0.15">
      <c r="G3980">
        <v>61378</v>
      </c>
      <c r="H3980" t="s">
        <v>4434</v>
      </c>
      <c r="I3980">
        <v>3</v>
      </c>
    </row>
    <row r="3981" spans="7:9" x14ac:dyDescent="0.15">
      <c r="G3981">
        <v>61392</v>
      </c>
      <c r="H3981" t="s">
        <v>4435</v>
      </c>
      <c r="I3981">
        <v>3</v>
      </c>
    </row>
    <row r="3982" spans="7:9" x14ac:dyDescent="0.15">
      <c r="G3982">
        <v>61398</v>
      </c>
      <c r="H3982" t="s">
        <v>4436</v>
      </c>
      <c r="I3982">
        <v>3</v>
      </c>
    </row>
    <row r="3983" spans="7:9" x14ac:dyDescent="0.15">
      <c r="G3983">
        <v>61402</v>
      </c>
      <c r="H3983" t="s">
        <v>4437</v>
      </c>
      <c r="I3983">
        <v>3</v>
      </c>
    </row>
    <row r="3984" spans="7:9" x14ac:dyDescent="0.15">
      <c r="G3984">
        <v>61406</v>
      </c>
      <c r="H3984" t="s">
        <v>4438</v>
      </c>
      <c r="I3984">
        <v>3</v>
      </c>
    </row>
    <row r="3985" spans="7:9" x14ac:dyDescent="0.15">
      <c r="G3985">
        <v>61420</v>
      </c>
      <c r="H3985" t="s">
        <v>4439</v>
      </c>
      <c r="I3985">
        <v>2</v>
      </c>
    </row>
    <row r="3986" spans="7:9" x14ac:dyDescent="0.15">
      <c r="G3986">
        <v>61434</v>
      </c>
      <c r="H3986" t="s">
        <v>4440</v>
      </c>
      <c r="I3986">
        <v>3</v>
      </c>
    </row>
    <row r="3987" spans="7:9" x14ac:dyDescent="0.15">
      <c r="G3987">
        <v>61448</v>
      </c>
      <c r="H3987" t="s">
        <v>4441</v>
      </c>
      <c r="I3987">
        <v>3</v>
      </c>
    </row>
    <row r="3988" spans="7:9" x14ac:dyDescent="0.15">
      <c r="G3988">
        <v>61462</v>
      </c>
      <c r="H3988" t="s">
        <v>4441</v>
      </c>
      <c r="I3988">
        <v>3</v>
      </c>
    </row>
    <row r="3989" spans="7:9" x14ac:dyDescent="0.15">
      <c r="G3989">
        <v>61476</v>
      </c>
      <c r="H3989" t="s">
        <v>4441</v>
      </c>
      <c r="I3989">
        <v>3</v>
      </c>
    </row>
    <row r="3990" spans="7:9" x14ac:dyDescent="0.15">
      <c r="G3990">
        <v>61490</v>
      </c>
      <c r="H3990" t="s">
        <v>4442</v>
      </c>
      <c r="I3990">
        <v>3</v>
      </c>
    </row>
    <row r="3991" spans="7:9" x14ac:dyDescent="0.15">
      <c r="G3991">
        <v>61504</v>
      </c>
      <c r="H3991" t="s">
        <v>4443</v>
      </c>
      <c r="I3991">
        <v>2</v>
      </c>
    </row>
    <row r="3992" spans="7:9" x14ac:dyDescent="0.15">
      <c r="G3992">
        <v>61518</v>
      </c>
      <c r="H3992" t="s">
        <v>4444</v>
      </c>
      <c r="I3992">
        <v>3</v>
      </c>
    </row>
    <row r="3993" spans="7:9" x14ac:dyDescent="0.15">
      <c r="G3993">
        <v>61532</v>
      </c>
      <c r="H3993" t="s">
        <v>4445</v>
      </c>
      <c r="I3993">
        <v>3</v>
      </c>
    </row>
    <row r="3994" spans="7:9" x14ac:dyDescent="0.15">
      <c r="G3994">
        <v>61545</v>
      </c>
      <c r="H3994" t="s">
        <v>4446</v>
      </c>
      <c r="I3994">
        <v>3</v>
      </c>
    </row>
    <row r="3995" spans="7:9" x14ac:dyDescent="0.15">
      <c r="G3995">
        <v>61560</v>
      </c>
      <c r="H3995" t="s">
        <v>4447</v>
      </c>
      <c r="I3995">
        <v>3</v>
      </c>
    </row>
    <row r="3996" spans="7:9" x14ac:dyDescent="0.15">
      <c r="G3996">
        <v>61574</v>
      </c>
      <c r="H3996" t="s">
        <v>4448</v>
      </c>
      <c r="I3996">
        <v>2</v>
      </c>
    </row>
    <row r="3997" spans="7:9" x14ac:dyDescent="0.15">
      <c r="G3997">
        <v>61588</v>
      </c>
      <c r="H3997" t="s">
        <v>4449</v>
      </c>
      <c r="I3997">
        <v>3</v>
      </c>
    </row>
    <row r="3998" spans="7:9" x14ac:dyDescent="0.15">
      <c r="G3998">
        <v>61602</v>
      </c>
      <c r="H3998" t="s">
        <v>4449</v>
      </c>
      <c r="I3998">
        <v>3</v>
      </c>
    </row>
    <row r="3999" spans="7:9" x14ac:dyDescent="0.15">
      <c r="G3999">
        <v>61616</v>
      </c>
      <c r="H3999" t="s">
        <v>4450</v>
      </c>
      <c r="I3999">
        <v>3</v>
      </c>
    </row>
    <row r="4000" spans="7:9" x14ac:dyDescent="0.15">
      <c r="G4000">
        <v>61644</v>
      </c>
      <c r="H4000" t="s">
        <v>4451</v>
      </c>
      <c r="I4000">
        <v>3</v>
      </c>
    </row>
    <row r="4001" spans="7:9" x14ac:dyDescent="0.15">
      <c r="G4001">
        <v>61672</v>
      </c>
      <c r="H4001" t="s">
        <v>4351</v>
      </c>
      <c r="I4001">
        <v>3</v>
      </c>
    </row>
    <row r="4002" spans="7:9" x14ac:dyDescent="0.15">
      <c r="G4002">
        <v>61686</v>
      </c>
      <c r="H4002" t="s">
        <v>4452</v>
      </c>
      <c r="I4002">
        <v>1</v>
      </c>
    </row>
    <row r="4003" spans="7:9" x14ac:dyDescent="0.15">
      <c r="G4003">
        <v>61700</v>
      </c>
      <c r="H4003" t="s">
        <v>4453</v>
      </c>
      <c r="I4003">
        <v>3</v>
      </c>
    </row>
    <row r="4004" spans="7:9" x14ac:dyDescent="0.15">
      <c r="G4004">
        <v>61714</v>
      </c>
      <c r="H4004" t="s">
        <v>4454</v>
      </c>
      <c r="I4004">
        <v>3</v>
      </c>
    </row>
    <row r="4005" spans="7:9" x14ac:dyDescent="0.15">
      <c r="G4005">
        <v>61728</v>
      </c>
      <c r="H4005" t="s">
        <v>4455</v>
      </c>
      <c r="I4005">
        <v>3</v>
      </c>
    </row>
    <row r="4006" spans="7:9" x14ac:dyDescent="0.15">
      <c r="G4006">
        <v>61742</v>
      </c>
      <c r="H4006" t="s">
        <v>4456</v>
      </c>
      <c r="I4006">
        <v>3</v>
      </c>
    </row>
    <row r="4007" spans="7:9" x14ac:dyDescent="0.15">
      <c r="G4007">
        <v>61756</v>
      </c>
      <c r="H4007" t="s">
        <v>4456</v>
      </c>
      <c r="I4007">
        <v>3</v>
      </c>
    </row>
    <row r="4008" spans="7:9" x14ac:dyDescent="0.15">
      <c r="G4008">
        <v>61770</v>
      </c>
      <c r="H4008" t="s">
        <v>4456</v>
      </c>
      <c r="I4008">
        <v>3</v>
      </c>
    </row>
    <row r="4009" spans="7:9" x14ac:dyDescent="0.15">
      <c r="G4009">
        <v>61784</v>
      </c>
      <c r="H4009" t="s">
        <v>4456</v>
      </c>
      <c r="I4009">
        <v>3</v>
      </c>
    </row>
    <row r="4010" spans="7:9" x14ac:dyDescent="0.15">
      <c r="G4010">
        <v>61798</v>
      </c>
      <c r="H4010" t="s">
        <v>4456</v>
      </c>
      <c r="I4010">
        <v>3</v>
      </c>
    </row>
    <row r="4011" spans="7:9" x14ac:dyDescent="0.15">
      <c r="G4011">
        <v>61812</v>
      </c>
      <c r="H4011" t="s">
        <v>4456</v>
      </c>
      <c r="I4011">
        <v>3</v>
      </c>
    </row>
    <row r="4012" spans="7:9" x14ac:dyDescent="0.15">
      <c r="G4012">
        <v>61826</v>
      </c>
      <c r="H4012" t="s">
        <v>4456</v>
      </c>
      <c r="I4012">
        <v>3</v>
      </c>
    </row>
    <row r="4013" spans="7:9" x14ac:dyDescent="0.15">
      <c r="G4013">
        <v>61840</v>
      </c>
      <c r="H4013" t="s">
        <v>4456</v>
      </c>
      <c r="I4013">
        <v>3</v>
      </c>
    </row>
    <row r="4014" spans="7:9" x14ac:dyDescent="0.15">
      <c r="G4014">
        <v>61854</v>
      </c>
      <c r="H4014" t="s">
        <v>4456</v>
      </c>
      <c r="I4014">
        <v>3</v>
      </c>
    </row>
    <row r="4015" spans="7:9" x14ac:dyDescent="0.15">
      <c r="G4015">
        <v>61868</v>
      </c>
      <c r="H4015" t="s">
        <v>4456</v>
      </c>
      <c r="I4015">
        <v>3</v>
      </c>
    </row>
    <row r="4016" spans="7:9" x14ac:dyDescent="0.15">
      <c r="G4016">
        <v>61882</v>
      </c>
      <c r="H4016" t="s">
        <v>4457</v>
      </c>
      <c r="I4016">
        <v>2</v>
      </c>
    </row>
    <row r="4017" spans="7:9" x14ac:dyDescent="0.15">
      <c r="G4017">
        <v>61896</v>
      </c>
      <c r="H4017" t="s">
        <v>4456</v>
      </c>
      <c r="I4017">
        <v>3</v>
      </c>
    </row>
    <row r="4018" spans="7:9" x14ac:dyDescent="0.15">
      <c r="G4018">
        <v>61910</v>
      </c>
      <c r="H4018" t="s">
        <v>4456</v>
      </c>
      <c r="I4018">
        <v>3</v>
      </c>
    </row>
    <row r="4019" spans="7:9" x14ac:dyDescent="0.15">
      <c r="G4019">
        <v>61924</v>
      </c>
      <c r="H4019" t="s">
        <v>4456</v>
      </c>
      <c r="I4019">
        <v>3</v>
      </c>
    </row>
    <row r="4020" spans="7:9" x14ac:dyDescent="0.15">
      <c r="G4020">
        <v>61938</v>
      </c>
      <c r="H4020" t="s">
        <v>4456</v>
      </c>
      <c r="I4020">
        <v>3</v>
      </c>
    </row>
    <row r="4021" spans="7:9" x14ac:dyDescent="0.15">
      <c r="G4021">
        <v>61945</v>
      </c>
      <c r="H4021" t="s">
        <v>4456</v>
      </c>
      <c r="I4021">
        <v>3</v>
      </c>
    </row>
    <row r="4022" spans="7:9" x14ac:dyDescent="0.15">
      <c r="G4022">
        <v>61952</v>
      </c>
      <c r="H4022" t="s">
        <v>4456</v>
      </c>
      <c r="I4022">
        <v>3</v>
      </c>
    </row>
    <row r="4023" spans="7:9" x14ac:dyDescent="0.15">
      <c r="G4023">
        <v>61966</v>
      </c>
      <c r="H4023" t="s">
        <v>4456</v>
      </c>
      <c r="I4023">
        <v>3</v>
      </c>
    </row>
    <row r="4024" spans="7:9" x14ac:dyDescent="0.15">
      <c r="G4024">
        <v>61980</v>
      </c>
      <c r="H4024" t="s">
        <v>4456</v>
      </c>
      <c r="I4024">
        <v>3</v>
      </c>
    </row>
    <row r="4025" spans="7:9" x14ac:dyDescent="0.15">
      <c r="G4025">
        <v>61994</v>
      </c>
      <c r="H4025" t="s">
        <v>4456</v>
      </c>
      <c r="I4025">
        <v>3</v>
      </c>
    </row>
    <row r="4026" spans="7:9" x14ac:dyDescent="0.15">
      <c r="G4026">
        <v>62008</v>
      </c>
      <c r="H4026" t="s">
        <v>4456</v>
      </c>
      <c r="I4026">
        <v>3</v>
      </c>
    </row>
    <row r="4027" spans="7:9" x14ac:dyDescent="0.15">
      <c r="G4027">
        <v>62022</v>
      </c>
      <c r="H4027" t="s">
        <v>4456</v>
      </c>
      <c r="I4027">
        <v>3</v>
      </c>
    </row>
    <row r="4028" spans="7:9" x14ac:dyDescent="0.15">
      <c r="G4028">
        <v>62036</v>
      </c>
      <c r="H4028" t="s">
        <v>4456</v>
      </c>
      <c r="I4028">
        <v>3</v>
      </c>
    </row>
    <row r="4029" spans="7:9" x14ac:dyDescent="0.15">
      <c r="G4029">
        <v>62050</v>
      </c>
      <c r="H4029" t="s">
        <v>4456</v>
      </c>
      <c r="I4029">
        <v>3</v>
      </c>
    </row>
    <row r="4030" spans="7:9" x14ac:dyDescent="0.15">
      <c r="G4030">
        <v>62064</v>
      </c>
      <c r="H4030" t="s">
        <v>4456</v>
      </c>
      <c r="I4030">
        <v>3</v>
      </c>
    </row>
    <row r="4031" spans="7:9" x14ac:dyDescent="0.15">
      <c r="G4031">
        <v>62078</v>
      </c>
      <c r="H4031" t="s">
        <v>4456</v>
      </c>
      <c r="I4031">
        <v>3</v>
      </c>
    </row>
    <row r="4032" spans="7:9" x14ac:dyDescent="0.15">
      <c r="G4032">
        <v>62092</v>
      </c>
      <c r="H4032" t="s">
        <v>4456</v>
      </c>
      <c r="I4032">
        <v>3</v>
      </c>
    </row>
    <row r="4033" spans="7:9" x14ac:dyDescent="0.15">
      <c r="G4033">
        <v>62106</v>
      </c>
      <c r="H4033" t="s">
        <v>4456</v>
      </c>
      <c r="I4033">
        <v>3</v>
      </c>
    </row>
    <row r="4034" spans="7:9" x14ac:dyDescent="0.15">
      <c r="G4034">
        <v>62120</v>
      </c>
      <c r="H4034" t="s">
        <v>4458</v>
      </c>
      <c r="I4034">
        <v>3</v>
      </c>
    </row>
    <row r="4035" spans="7:9" x14ac:dyDescent="0.15">
      <c r="G4035">
        <v>62125</v>
      </c>
      <c r="H4035" t="s">
        <v>4459</v>
      </c>
      <c r="I4035">
        <v>3</v>
      </c>
    </row>
    <row r="4036" spans="7:9" x14ac:dyDescent="0.15">
      <c r="G4036">
        <v>62134</v>
      </c>
      <c r="H4036" t="s">
        <v>4460</v>
      </c>
      <c r="I4036">
        <v>1</v>
      </c>
    </row>
    <row r="4037" spans="7:9" x14ac:dyDescent="0.15">
      <c r="G4037">
        <v>62148</v>
      </c>
      <c r="H4037" t="s">
        <v>4461</v>
      </c>
      <c r="I4037">
        <v>1</v>
      </c>
    </row>
    <row r="4038" spans="7:9" x14ac:dyDescent="0.15">
      <c r="G4038">
        <v>62162</v>
      </c>
      <c r="H4038" t="s">
        <v>4462</v>
      </c>
      <c r="I4038">
        <v>3</v>
      </c>
    </row>
    <row r="4039" spans="7:9" x14ac:dyDescent="0.15">
      <c r="G4039">
        <v>62190</v>
      </c>
      <c r="H4039" t="s">
        <v>4463</v>
      </c>
      <c r="I4039">
        <v>2</v>
      </c>
    </row>
    <row r="4040" spans="7:9" x14ac:dyDescent="0.15">
      <c r="G4040">
        <v>62204</v>
      </c>
      <c r="H4040" t="s">
        <v>4463</v>
      </c>
      <c r="I4040">
        <v>3</v>
      </c>
    </row>
    <row r="4041" spans="7:9" x14ac:dyDescent="0.15">
      <c r="G4041">
        <v>62218</v>
      </c>
      <c r="H4041" t="s">
        <v>4464</v>
      </c>
      <c r="I4041">
        <v>3</v>
      </c>
    </row>
    <row r="4042" spans="7:9" x14ac:dyDescent="0.15">
      <c r="G4042">
        <v>62232</v>
      </c>
      <c r="H4042" t="s">
        <v>4465</v>
      </c>
      <c r="I4042">
        <v>3</v>
      </c>
    </row>
    <row r="4043" spans="7:9" x14ac:dyDescent="0.15">
      <c r="G4043">
        <v>62246</v>
      </c>
      <c r="H4043" t="s">
        <v>4466</v>
      </c>
      <c r="I4043">
        <v>3</v>
      </c>
    </row>
    <row r="4044" spans="7:9" x14ac:dyDescent="0.15">
      <c r="G4044">
        <v>62260</v>
      </c>
      <c r="H4044" t="s">
        <v>4466</v>
      </c>
      <c r="I4044">
        <v>3</v>
      </c>
    </row>
    <row r="4045" spans="7:9" x14ac:dyDescent="0.15">
      <c r="G4045">
        <v>62288</v>
      </c>
      <c r="H4045" t="s">
        <v>4467</v>
      </c>
      <c r="I4045">
        <v>3</v>
      </c>
    </row>
    <row r="4046" spans="7:9" x14ac:dyDescent="0.15">
      <c r="G4046">
        <v>62302</v>
      </c>
      <c r="H4046" t="s">
        <v>4467</v>
      </c>
      <c r="I4046">
        <v>3</v>
      </c>
    </row>
    <row r="4047" spans="7:9" x14ac:dyDescent="0.15">
      <c r="G4047">
        <v>62310</v>
      </c>
      <c r="H4047" t="s">
        <v>4468</v>
      </c>
      <c r="I4047">
        <v>3</v>
      </c>
    </row>
    <row r="4048" spans="7:9" x14ac:dyDescent="0.15">
      <c r="G4048">
        <v>62316</v>
      </c>
      <c r="H4048" t="s">
        <v>4469</v>
      </c>
      <c r="I4048">
        <v>3</v>
      </c>
    </row>
    <row r="4049" spans="7:9" x14ac:dyDescent="0.15">
      <c r="G4049">
        <v>62330</v>
      </c>
      <c r="H4049" t="s">
        <v>4470</v>
      </c>
      <c r="I4049">
        <v>3</v>
      </c>
    </row>
    <row r="4050" spans="7:9" x14ac:dyDescent="0.15">
      <c r="G4050">
        <v>62344</v>
      </c>
      <c r="H4050" t="s">
        <v>4471</v>
      </c>
      <c r="I4050">
        <v>2</v>
      </c>
    </row>
    <row r="4051" spans="7:9" x14ac:dyDescent="0.15">
      <c r="G4051">
        <v>62372</v>
      </c>
      <c r="H4051" t="s">
        <v>4472</v>
      </c>
      <c r="I4051">
        <v>3</v>
      </c>
    </row>
    <row r="4052" spans="7:9" x14ac:dyDescent="0.15">
      <c r="G4052">
        <v>62400</v>
      </c>
      <c r="H4052" t="s">
        <v>4473</v>
      </c>
      <c r="I4052">
        <v>3</v>
      </c>
    </row>
    <row r="4053" spans="7:9" x14ac:dyDescent="0.15">
      <c r="G4053">
        <v>62404</v>
      </c>
      <c r="H4053" t="s">
        <v>4474</v>
      </c>
      <c r="I4053">
        <v>2</v>
      </c>
    </row>
    <row r="4054" spans="7:9" x14ac:dyDescent="0.15">
      <c r="G4054">
        <v>62407</v>
      </c>
      <c r="H4054" t="s">
        <v>4475</v>
      </c>
      <c r="I4054">
        <v>3</v>
      </c>
    </row>
    <row r="4055" spans="7:9" x14ac:dyDescent="0.15">
      <c r="G4055">
        <v>62414</v>
      </c>
      <c r="H4055" t="s">
        <v>4476</v>
      </c>
      <c r="I4055">
        <v>2</v>
      </c>
    </row>
    <row r="4056" spans="7:9" x14ac:dyDescent="0.15">
      <c r="G4056">
        <v>62442</v>
      </c>
      <c r="H4056" t="s">
        <v>4477</v>
      </c>
      <c r="I4056">
        <v>2</v>
      </c>
    </row>
    <row r="4057" spans="7:9" x14ac:dyDescent="0.15">
      <c r="G4057">
        <v>62456</v>
      </c>
      <c r="H4057" t="s">
        <v>4478</v>
      </c>
      <c r="I4057">
        <v>3</v>
      </c>
    </row>
    <row r="4058" spans="7:9" x14ac:dyDescent="0.15">
      <c r="G4058">
        <v>62470</v>
      </c>
      <c r="H4058" t="s">
        <v>4479</v>
      </c>
      <c r="I4058">
        <v>3</v>
      </c>
    </row>
    <row r="4059" spans="7:9" x14ac:dyDescent="0.15">
      <c r="G4059">
        <v>62484</v>
      </c>
      <c r="H4059" t="s">
        <v>4480</v>
      </c>
      <c r="I4059">
        <v>3</v>
      </c>
    </row>
    <row r="4060" spans="7:9" x14ac:dyDescent="0.15">
      <c r="G4060">
        <v>62498</v>
      </c>
      <c r="H4060" t="s">
        <v>4481</v>
      </c>
      <c r="I4060">
        <v>1</v>
      </c>
    </row>
    <row r="4061" spans="7:9" x14ac:dyDescent="0.15">
      <c r="G4061">
        <v>62512</v>
      </c>
      <c r="H4061" t="s">
        <v>4482</v>
      </c>
      <c r="I4061">
        <v>3</v>
      </c>
    </row>
    <row r="4062" spans="7:9" x14ac:dyDescent="0.15">
      <c r="G4062">
        <v>62526</v>
      </c>
      <c r="H4062" t="s">
        <v>4483</v>
      </c>
      <c r="I4062">
        <v>3</v>
      </c>
    </row>
    <row r="4063" spans="7:9" x14ac:dyDescent="0.15">
      <c r="G4063">
        <v>62540</v>
      </c>
      <c r="H4063" t="s">
        <v>4484</v>
      </c>
      <c r="I4063">
        <v>3</v>
      </c>
    </row>
    <row r="4064" spans="7:9" x14ac:dyDescent="0.15">
      <c r="G4064">
        <v>62554</v>
      </c>
      <c r="H4064" t="s">
        <v>4485</v>
      </c>
      <c r="I4064">
        <v>3</v>
      </c>
    </row>
    <row r="4065" spans="7:9" x14ac:dyDescent="0.15">
      <c r="G4065">
        <v>62568</v>
      </c>
      <c r="H4065" t="s">
        <v>4486</v>
      </c>
      <c r="I4065">
        <v>3</v>
      </c>
    </row>
    <row r="4066" spans="7:9" x14ac:dyDescent="0.15">
      <c r="G4066">
        <v>62578</v>
      </c>
      <c r="H4066" t="s">
        <v>4487</v>
      </c>
      <c r="I4066">
        <v>2</v>
      </c>
    </row>
    <row r="4067" spans="7:9" x14ac:dyDescent="0.15">
      <c r="G4067">
        <v>62582</v>
      </c>
      <c r="H4067" t="s">
        <v>4488</v>
      </c>
      <c r="I4067">
        <v>3</v>
      </c>
    </row>
    <row r="4068" spans="7:9" x14ac:dyDescent="0.15">
      <c r="G4068">
        <v>62588</v>
      </c>
      <c r="H4068" t="s">
        <v>4489</v>
      </c>
      <c r="I4068">
        <v>3</v>
      </c>
    </row>
    <row r="4069" spans="7:9" x14ac:dyDescent="0.15">
      <c r="G4069">
        <v>62592</v>
      </c>
      <c r="H4069" t="s">
        <v>4490</v>
      </c>
      <c r="I4069">
        <v>3</v>
      </c>
    </row>
    <row r="4070" spans="7:9" x14ac:dyDescent="0.15">
      <c r="G4070">
        <v>62596</v>
      </c>
      <c r="H4070" t="s">
        <v>4491</v>
      </c>
      <c r="I4070">
        <v>3</v>
      </c>
    </row>
    <row r="4071" spans="7:9" x14ac:dyDescent="0.15">
      <c r="G4071">
        <v>62610</v>
      </c>
      <c r="H4071" t="s">
        <v>4491</v>
      </c>
      <c r="I4071">
        <v>3</v>
      </c>
    </row>
    <row r="4072" spans="7:9" x14ac:dyDescent="0.15">
      <c r="G4072">
        <v>62624</v>
      </c>
      <c r="H4072" t="s">
        <v>4491</v>
      </c>
      <c r="I4072">
        <v>3</v>
      </c>
    </row>
    <row r="4073" spans="7:9" x14ac:dyDescent="0.15">
      <c r="G4073">
        <v>62638</v>
      </c>
      <c r="H4073" t="s">
        <v>4491</v>
      </c>
      <c r="I4073">
        <v>3</v>
      </c>
    </row>
    <row r="4074" spans="7:9" x14ac:dyDescent="0.15">
      <c r="G4074">
        <v>62652</v>
      </c>
      <c r="H4074" t="s">
        <v>4491</v>
      </c>
      <c r="I4074">
        <v>3</v>
      </c>
    </row>
    <row r="4075" spans="7:9" x14ac:dyDescent="0.15">
      <c r="G4075">
        <v>62666</v>
      </c>
      <c r="H4075" t="s">
        <v>4491</v>
      </c>
      <c r="I4075">
        <v>3</v>
      </c>
    </row>
    <row r="4076" spans="7:9" x14ac:dyDescent="0.15">
      <c r="G4076">
        <v>62680</v>
      </c>
      <c r="H4076" t="s">
        <v>4491</v>
      </c>
      <c r="I4076">
        <v>3</v>
      </c>
    </row>
    <row r="4077" spans="7:9" x14ac:dyDescent="0.15">
      <c r="G4077">
        <v>62694</v>
      </c>
      <c r="H4077" t="s">
        <v>4491</v>
      </c>
      <c r="I4077">
        <v>3</v>
      </c>
    </row>
    <row r="4078" spans="7:9" x14ac:dyDescent="0.15">
      <c r="G4078">
        <v>62708</v>
      </c>
      <c r="H4078" t="s">
        <v>4492</v>
      </c>
      <c r="I4078">
        <v>2</v>
      </c>
    </row>
    <row r="4079" spans="7:9" x14ac:dyDescent="0.15">
      <c r="G4079">
        <v>62722</v>
      </c>
      <c r="H4079" t="s">
        <v>4493</v>
      </c>
      <c r="I4079">
        <v>3</v>
      </c>
    </row>
    <row r="4080" spans="7:9" x14ac:dyDescent="0.15">
      <c r="G4080">
        <v>62728</v>
      </c>
      <c r="H4080" t="s">
        <v>4494</v>
      </c>
      <c r="I4080">
        <v>3</v>
      </c>
    </row>
    <row r="4081" spans="7:9" x14ac:dyDescent="0.15">
      <c r="G4081">
        <v>62732</v>
      </c>
      <c r="H4081" t="s">
        <v>4495</v>
      </c>
      <c r="I4081">
        <v>3</v>
      </c>
    </row>
    <row r="4082" spans="7:9" x14ac:dyDescent="0.15">
      <c r="G4082">
        <v>62736</v>
      </c>
      <c r="H4082" t="s">
        <v>4495</v>
      </c>
      <c r="I4082">
        <v>3</v>
      </c>
    </row>
    <row r="4083" spans="7:9" x14ac:dyDescent="0.15">
      <c r="G4083">
        <v>62750</v>
      </c>
      <c r="H4083" t="s">
        <v>4496</v>
      </c>
      <c r="I4083">
        <v>3</v>
      </c>
    </row>
    <row r="4084" spans="7:9" x14ac:dyDescent="0.15">
      <c r="G4084">
        <v>62764</v>
      </c>
      <c r="H4084" t="s">
        <v>4497</v>
      </c>
      <c r="I4084">
        <v>3</v>
      </c>
    </row>
    <row r="4085" spans="7:9" x14ac:dyDescent="0.15">
      <c r="G4085">
        <v>62778</v>
      </c>
      <c r="H4085" t="s">
        <v>4498</v>
      </c>
      <c r="I4085">
        <v>3</v>
      </c>
    </row>
    <row r="4086" spans="7:9" x14ac:dyDescent="0.15">
      <c r="G4086">
        <v>62792</v>
      </c>
      <c r="H4086" t="s">
        <v>4499</v>
      </c>
      <c r="I4086">
        <v>3</v>
      </c>
    </row>
    <row r="4087" spans="7:9" x14ac:dyDescent="0.15">
      <c r="G4087">
        <v>62798</v>
      </c>
      <c r="H4087" t="s">
        <v>4500</v>
      </c>
      <c r="I4087">
        <v>3</v>
      </c>
    </row>
    <row r="4088" spans="7:9" x14ac:dyDescent="0.15">
      <c r="G4088">
        <v>62802</v>
      </c>
      <c r="H4088" t="s">
        <v>4501</v>
      </c>
      <c r="I4088">
        <v>3</v>
      </c>
    </row>
    <row r="4089" spans="7:9" x14ac:dyDescent="0.15">
      <c r="G4089">
        <v>62806</v>
      </c>
      <c r="H4089" t="s">
        <v>4502</v>
      </c>
      <c r="I4089">
        <v>3</v>
      </c>
    </row>
    <row r="4090" spans="7:9" x14ac:dyDescent="0.15">
      <c r="G4090">
        <v>62834</v>
      </c>
      <c r="H4090" t="s">
        <v>4503</v>
      </c>
      <c r="I4090">
        <v>2</v>
      </c>
    </row>
    <row r="4091" spans="7:9" x14ac:dyDescent="0.15">
      <c r="G4091">
        <v>62845</v>
      </c>
      <c r="H4091" t="s">
        <v>4504</v>
      </c>
      <c r="I4091">
        <v>3</v>
      </c>
    </row>
    <row r="4092" spans="7:9" x14ac:dyDescent="0.15">
      <c r="G4092">
        <v>62848</v>
      </c>
      <c r="H4092" t="s">
        <v>990</v>
      </c>
      <c r="I4092">
        <v>1</v>
      </c>
    </row>
    <row r="4093" spans="7:9" x14ac:dyDescent="0.15">
      <c r="G4093">
        <v>62862</v>
      </c>
      <c r="H4093" t="s">
        <v>4505</v>
      </c>
      <c r="I4093">
        <v>3</v>
      </c>
    </row>
    <row r="4094" spans="7:9" x14ac:dyDescent="0.15">
      <c r="G4094">
        <v>62876</v>
      </c>
      <c r="H4094" t="s">
        <v>4506</v>
      </c>
      <c r="I4094">
        <v>3</v>
      </c>
    </row>
    <row r="4095" spans="7:9" x14ac:dyDescent="0.15">
      <c r="G4095">
        <v>62890</v>
      </c>
      <c r="H4095" t="s">
        <v>4507</v>
      </c>
      <c r="I4095">
        <v>2</v>
      </c>
    </row>
    <row r="4096" spans="7:9" x14ac:dyDescent="0.15">
      <c r="G4096">
        <v>62904</v>
      </c>
      <c r="H4096" t="s">
        <v>4508</v>
      </c>
      <c r="I4096">
        <v>3</v>
      </c>
    </row>
    <row r="4097" spans="7:9" x14ac:dyDescent="0.15">
      <c r="G4097">
        <v>62932</v>
      </c>
      <c r="H4097" t="s">
        <v>4509</v>
      </c>
      <c r="I4097">
        <v>3</v>
      </c>
    </row>
    <row r="4098" spans="7:9" x14ac:dyDescent="0.15">
      <c r="G4098">
        <v>62946</v>
      </c>
      <c r="H4098" t="s">
        <v>4510</v>
      </c>
      <c r="I4098">
        <v>3</v>
      </c>
    </row>
    <row r="4099" spans="7:9" x14ac:dyDescent="0.15">
      <c r="G4099">
        <v>62960</v>
      </c>
      <c r="H4099" t="s">
        <v>4511</v>
      </c>
      <c r="I4099">
        <v>3</v>
      </c>
    </row>
    <row r="4100" spans="7:9" x14ac:dyDescent="0.15">
      <c r="G4100">
        <v>62965</v>
      </c>
      <c r="H4100" t="s">
        <v>4512</v>
      </c>
      <c r="I4100">
        <v>3</v>
      </c>
    </row>
    <row r="4101" spans="7:9" x14ac:dyDescent="0.15">
      <c r="G4101">
        <v>62974</v>
      </c>
      <c r="H4101" t="s">
        <v>4513</v>
      </c>
      <c r="I4101">
        <v>3</v>
      </c>
    </row>
    <row r="4102" spans="7:9" x14ac:dyDescent="0.15">
      <c r="G4102">
        <v>62988</v>
      </c>
      <c r="H4102" t="s">
        <v>4513</v>
      </c>
      <c r="I4102">
        <v>3</v>
      </c>
    </row>
    <row r="4103" spans="7:9" x14ac:dyDescent="0.15">
      <c r="G4103">
        <v>62995</v>
      </c>
      <c r="H4103" t="s">
        <v>4513</v>
      </c>
      <c r="I4103">
        <v>3</v>
      </c>
    </row>
    <row r="4104" spans="7:9" x14ac:dyDescent="0.15">
      <c r="G4104">
        <v>63002</v>
      </c>
      <c r="H4104" t="s">
        <v>4513</v>
      </c>
      <c r="I4104">
        <v>3</v>
      </c>
    </row>
    <row r="4105" spans="7:9" x14ac:dyDescent="0.15">
      <c r="G4105">
        <v>63030</v>
      </c>
      <c r="H4105" t="s">
        <v>4514</v>
      </c>
      <c r="I4105">
        <v>2</v>
      </c>
    </row>
    <row r="4106" spans="7:9" x14ac:dyDescent="0.15">
      <c r="G4106">
        <v>63044</v>
      </c>
      <c r="H4106" t="s">
        <v>4515</v>
      </c>
      <c r="I4106">
        <v>2</v>
      </c>
    </row>
    <row r="4107" spans="7:9" x14ac:dyDescent="0.15">
      <c r="G4107">
        <v>63058</v>
      </c>
      <c r="H4107" t="s">
        <v>4516</v>
      </c>
      <c r="I4107">
        <v>3</v>
      </c>
    </row>
    <row r="4108" spans="7:9" x14ac:dyDescent="0.15">
      <c r="G4108">
        <v>63072</v>
      </c>
      <c r="H4108" t="s">
        <v>4517</v>
      </c>
      <c r="I4108">
        <v>2</v>
      </c>
    </row>
    <row r="4109" spans="7:9" x14ac:dyDescent="0.15">
      <c r="G4109">
        <v>63086</v>
      </c>
      <c r="H4109" t="s">
        <v>4518</v>
      </c>
      <c r="I4109">
        <v>3</v>
      </c>
    </row>
    <row r="4110" spans="7:9" x14ac:dyDescent="0.15">
      <c r="G4110">
        <v>63100</v>
      </c>
      <c r="H4110" t="s">
        <v>4519</v>
      </c>
      <c r="I4110">
        <v>3</v>
      </c>
    </row>
    <row r="4111" spans="7:9" x14ac:dyDescent="0.15">
      <c r="G4111">
        <v>63105</v>
      </c>
      <c r="H4111" t="s">
        <v>4520</v>
      </c>
      <c r="I4111">
        <v>3</v>
      </c>
    </row>
    <row r="4112" spans="7:9" x14ac:dyDescent="0.15">
      <c r="G4112">
        <v>63128</v>
      </c>
      <c r="H4112" t="s">
        <v>4521</v>
      </c>
      <c r="I4112">
        <v>3</v>
      </c>
    </row>
    <row r="4113" spans="7:9" x14ac:dyDescent="0.15">
      <c r="G4113">
        <v>63142</v>
      </c>
      <c r="H4113" t="s">
        <v>4522</v>
      </c>
      <c r="I4113">
        <v>3</v>
      </c>
    </row>
    <row r="4114" spans="7:9" x14ac:dyDescent="0.15">
      <c r="G4114">
        <v>63149</v>
      </c>
      <c r="H4114" t="s">
        <v>4523</v>
      </c>
      <c r="I4114">
        <v>3</v>
      </c>
    </row>
    <row r="4115" spans="7:9" x14ac:dyDescent="0.15">
      <c r="G4115">
        <v>63156</v>
      </c>
      <c r="H4115" t="s">
        <v>4524</v>
      </c>
      <c r="I4115">
        <v>3</v>
      </c>
    </row>
    <row r="4116" spans="7:9" x14ac:dyDescent="0.15">
      <c r="G4116">
        <v>63170</v>
      </c>
      <c r="H4116" t="s">
        <v>4525</v>
      </c>
      <c r="I4116">
        <v>3</v>
      </c>
    </row>
    <row r="4117" spans="7:9" x14ac:dyDescent="0.15">
      <c r="G4117">
        <v>63212</v>
      </c>
      <c r="H4117" t="s">
        <v>4526</v>
      </c>
      <c r="I4117">
        <v>3</v>
      </c>
    </row>
    <row r="4118" spans="7:9" x14ac:dyDescent="0.15">
      <c r="G4118">
        <v>63226</v>
      </c>
      <c r="H4118" t="s">
        <v>4526</v>
      </c>
      <c r="I4118">
        <v>3</v>
      </c>
    </row>
    <row r="4119" spans="7:9" x14ac:dyDescent="0.15">
      <c r="G4119">
        <v>63240</v>
      </c>
      <c r="H4119" t="s">
        <v>4526</v>
      </c>
      <c r="I4119">
        <v>3</v>
      </c>
    </row>
    <row r="4120" spans="7:9" x14ac:dyDescent="0.15">
      <c r="G4120">
        <v>63254</v>
      </c>
      <c r="H4120" t="s">
        <v>4526</v>
      </c>
      <c r="I4120">
        <v>3</v>
      </c>
    </row>
    <row r="4121" spans="7:9" x14ac:dyDescent="0.15">
      <c r="G4121">
        <v>63268</v>
      </c>
      <c r="H4121" t="s">
        <v>4526</v>
      </c>
      <c r="I4121">
        <v>3</v>
      </c>
    </row>
    <row r="4122" spans="7:9" x14ac:dyDescent="0.15">
      <c r="G4122">
        <v>63282</v>
      </c>
      <c r="H4122" t="s">
        <v>4526</v>
      </c>
      <c r="I4122">
        <v>3</v>
      </c>
    </row>
    <row r="4123" spans="7:9" x14ac:dyDescent="0.15">
      <c r="G4123">
        <v>63296</v>
      </c>
      <c r="H4123" t="s">
        <v>4526</v>
      </c>
      <c r="I4123">
        <v>3</v>
      </c>
    </row>
    <row r="4124" spans="7:9" x14ac:dyDescent="0.15">
      <c r="G4124">
        <v>63310</v>
      </c>
      <c r="H4124" t="s">
        <v>4526</v>
      </c>
      <c r="I4124">
        <v>3</v>
      </c>
    </row>
    <row r="4125" spans="7:9" x14ac:dyDescent="0.15">
      <c r="G4125">
        <v>63324</v>
      </c>
      <c r="H4125" t="s">
        <v>4526</v>
      </c>
      <c r="I4125">
        <v>3</v>
      </c>
    </row>
    <row r="4126" spans="7:9" x14ac:dyDescent="0.15">
      <c r="G4126">
        <v>63338</v>
      </c>
      <c r="H4126" t="s">
        <v>4526</v>
      </c>
      <c r="I4126">
        <v>3</v>
      </c>
    </row>
    <row r="4127" spans="7:9" x14ac:dyDescent="0.15">
      <c r="G4127">
        <v>63352</v>
      </c>
      <c r="H4127" t="s">
        <v>4526</v>
      </c>
      <c r="I4127">
        <v>3</v>
      </c>
    </row>
    <row r="4128" spans="7:9" x14ac:dyDescent="0.15">
      <c r="G4128">
        <v>63366</v>
      </c>
      <c r="H4128" t="s">
        <v>4526</v>
      </c>
      <c r="I4128">
        <v>3</v>
      </c>
    </row>
    <row r="4129" spans="7:9" x14ac:dyDescent="0.15">
      <c r="G4129">
        <v>63380</v>
      </c>
      <c r="H4129" t="s">
        <v>4526</v>
      </c>
      <c r="I4129">
        <v>3</v>
      </c>
    </row>
    <row r="4130" spans="7:9" x14ac:dyDescent="0.15">
      <c r="G4130">
        <v>63394</v>
      </c>
      <c r="H4130" t="s">
        <v>4526</v>
      </c>
      <c r="I4130">
        <v>3</v>
      </c>
    </row>
    <row r="4131" spans="7:9" x14ac:dyDescent="0.15">
      <c r="G4131">
        <v>63408</v>
      </c>
      <c r="H4131" t="s">
        <v>4526</v>
      </c>
      <c r="I4131">
        <v>3</v>
      </c>
    </row>
    <row r="4132" spans="7:9" x14ac:dyDescent="0.15">
      <c r="G4132">
        <v>63422</v>
      </c>
      <c r="H4132" t="s">
        <v>4527</v>
      </c>
      <c r="I4132">
        <v>3</v>
      </c>
    </row>
    <row r="4133" spans="7:9" x14ac:dyDescent="0.15">
      <c r="G4133">
        <v>63436</v>
      </c>
      <c r="H4133" t="s">
        <v>4528</v>
      </c>
      <c r="I4133">
        <v>2</v>
      </c>
    </row>
    <row r="4134" spans="7:9" x14ac:dyDescent="0.15">
      <c r="G4134">
        <v>63450</v>
      </c>
      <c r="H4134" t="s">
        <v>4529</v>
      </c>
      <c r="I4134">
        <v>3</v>
      </c>
    </row>
    <row r="4135" spans="7:9" x14ac:dyDescent="0.15">
      <c r="G4135">
        <v>63464</v>
      </c>
      <c r="H4135" t="s">
        <v>4530</v>
      </c>
      <c r="I4135">
        <v>3</v>
      </c>
    </row>
    <row r="4136" spans="7:9" x14ac:dyDescent="0.15">
      <c r="G4136">
        <v>63478</v>
      </c>
      <c r="H4136" t="s">
        <v>4530</v>
      </c>
      <c r="I4136">
        <v>2</v>
      </c>
    </row>
    <row r="4137" spans="7:9" x14ac:dyDescent="0.15">
      <c r="G4137">
        <v>63485</v>
      </c>
      <c r="H4137" t="s">
        <v>4531</v>
      </c>
      <c r="I4137">
        <v>3</v>
      </c>
    </row>
    <row r="4138" spans="7:9" x14ac:dyDescent="0.15">
      <c r="G4138">
        <v>63515</v>
      </c>
      <c r="H4138" t="s">
        <v>4532</v>
      </c>
      <c r="I4138">
        <v>3</v>
      </c>
    </row>
    <row r="4139" spans="7:9" x14ac:dyDescent="0.15">
      <c r="G4139">
        <v>63520</v>
      </c>
      <c r="H4139" t="s">
        <v>4532</v>
      </c>
      <c r="I4139">
        <v>3</v>
      </c>
    </row>
    <row r="4140" spans="7:9" x14ac:dyDescent="0.15">
      <c r="G4140">
        <v>63534</v>
      </c>
      <c r="H4140" t="s">
        <v>4532</v>
      </c>
      <c r="I4140">
        <v>2</v>
      </c>
    </row>
    <row r="4141" spans="7:9" x14ac:dyDescent="0.15">
      <c r="G4141">
        <v>63548</v>
      </c>
      <c r="H4141" t="s">
        <v>4533</v>
      </c>
      <c r="I4141">
        <v>2</v>
      </c>
    </row>
    <row r="4142" spans="7:9" x14ac:dyDescent="0.15">
      <c r="G4142">
        <v>63562</v>
      </c>
      <c r="H4142" t="s">
        <v>4534</v>
      </c>
      <c r="I4142">
        <v>3</v>
      </c>
    </row>
    <row r="4143" spans="7:9" x14ac:dyDescent="0.15">
      <c r="G4143">
        <v>63570</v>
      </c>
      <c r="H4143" t="s">
        <v>4535</v>
      </c>
      <c r="I4143">
        <v>3</v>
      </c>
    </row>
    <row r="4144" spans="7:9" x14ac:dyDescent="0.15">
      <c r="G4144">
        <v>63576</v>
      </c>
      <c r="H4144" t="s">
        <v>4536</v>
      </c>
      <c r="I4144">
        <v>2</v>
      </c>
    </row>
    <row r="4145" spans="7:9" x14ac:dyDescent="0.15">
      <c r="G4145">
        <v>63590</v>
      </c>
      <c r="H4145" t="s">
        <v>4537</v>
      </c>
      <c r="I4145">
        <v>3</v>
      </c>
    </row>
    <row r="4146" spans="7:9" x14ac:dyDescent="0.15">
      <c r="G4146">
        <v>63604</v>
      </c>
      <c r="H4146" t="s">
        <v>4538</v>
      </c>
      <c r="I4146">
        <v>2</v>
      </c>
    </row>
    <row r="4147" spans="7:9" x14ac:dyDescent="0.15">
      <c r="G4147">
        <v>63618</v>
      </c>
      <c r="H4147" t="s">
        <v>4539</v>
      </c>
      <c r="I4147">
        <v>2</v>
      </c>
    </row>
    <row r="4148" spans="7:9" x14ac:dyDescent="0.15">
      <c r="G4148">
        <v>63632</v>
      </c>
      <c r="H4148" t="s">
        <v>4540</v>
      </c>
      <c r="I4148">
        <v>3</v>
      </c>
    </row>
    <row r="4149" spans="7:9" x14ac:dyDescent="0.15">
      <c r="G4149">
        <v>63660</v>
      </c>
      <c r="H4149" t="s">
        <v>4540</v>
      </c>
      <c r="I4149">
        <v>3</v>
      </c>
    </row>
    <row r="4150" spans="7:9" x14ac:dyDescent="0.15">
      <c r="G4150">
        <v>63688</v>
      </c>
      <c r="H4150" t="s">
        <v>4541</v>
      </c>
      <c r="I4150">
        <v>3</v>
      </c>
    </row>
    <row r="4151" spans="7:9" x14ac:dyDescent="0.15">
      <c r="G4151">
        <v>63710</v>
      </c>
      <c r="H4151" t="s">
        <v>4541</v>
      </c>
      <c r="I4151">
        <v>3</v>
      </c>
    </row>
    <row r="4152" spans="7:9" x14ac:dyDescent="0.15">
      <c r="G4152">
        <v>63716</v>
      </c>
      <c r="H4152" t="s">
        <v>4542</v>
      </c>
      <c r="I4152">
        <v>2</v>
      </c>
    </row>
    <row r="4153" spans="7:9" x14ac:dyDescent="0.15">
      <c r="G4153">
        <v>63758</v>
      </c>
      <c r="H4153" t="s">
        <v>4543</v>
      </c>
      <c r="I4153">
        <v>2</v>
      </c>
    </row>
    <row r="4154" spans="7:9" x14ac:dyDescent="0.15">
      <c r="G4154">
        <v>63772</v>
      </c>
      <c r="H4154" t="s">
        <v>4544</v>
      </c>
      <c r="I4154">
        <v>3</v>
      </c>
    </row>
    <row r="4155" spans="7:9" x14ac:dyDescent="0.15">
      <c r="G4155">
        <v>63800</v>
      </c>
      <c r="H4155" t="s">
        <v>4545</v>
      </c>
      <c r="I4155">
        <v>2</v>
      </c>
    </row>
    <row r="4156" spans="7:9" x14ac:dyDescent="0.15">
      <c r="G4156">
        <v>63814</v>
      </c>
      <c r="H4156" t="s">
        <v>4544</v>
      </c>
      <c r="I4156">
        <v>3</v>
      </c>
    </row>
    <row r="4157" spans="7:9" x14ac:dyDescent="0.15">
      <c r="G4157">
        <v>63828</v>
      </c>
      <c r="H4157" t="s">
        <v>4546</v>
      </c>
      <c r="I4157">
        <v>3</v>
      </c>
    </row>
    <row r="4158" spans="7:9" x14ac:dyDescent="0.15">
      <c r="G4158">
        <v>63842</v>
      </c>
      <c r="H4158" t="s">
        <v>4547</v>
      </c>
      <c r="I4158">
        <v>3</v>
      </c>
    </row>
    <row r="4159" spans="7:9" x14ac:dyDescent="0.15">
      <c r="G4159">
        <v>63850</v>
      </c>
      <c r="H4159" t="s">
        <v>4548</v>
      </c>
      <c r="I4159">
        <v>3</v>
      </c>
    </row>
    <row r="4160" spans="7:9" x14ac:dyDescent="0.15">
      <c r="G4160">
        <v>63856</v>
      </c>
      <c r="H4160" t="s">
        <v>4549</v>
      </c>
      <c r="I4160">
        <v>3</v>
      </c>
    </row>
    <row r="4161" spans="7:9" x14ac:dyDescent="0.15">
      <c r="G4161">
        <v>63898</v>
      </c>
      <c r="H4161" t="s">
        <v>4550</v>
      </c>
      <c r="I4161">
        <v>3</v>
      </c>
    </row>
    <row r="4162" spans="7:9" x14ac:dyDescent="0.15">
      <c r="G4162">
        <v>63926</v>
      </c>
      <c r="H4162" t="s">
        <v>4551</v>
      </c>
      <c r="I4162">
        <v>3</v>
      </c>
    </row>
    <row r="4163" spans="7:9" x14ac:dyDescent="0.15">
      <c r="G4163">
        <v>63940</v>
      </c>
      <c r="H4163" t="s">
        <v>4552</v>
      </c>
      <c r="I4163">
        <v>3</v>
      </c>
    </row>
    <row r="4164" spans="7:9" x14ac:dyDescent="0.15">
      <c r="G4164">
        <v>63945</v>
      </c>
      <c r="H4164" t="s">
        <v>4553</v>
      </c>
      <c r="I4164">
        <v>3</v>
      </c>
    </row>
    <row r="4165" spans="7:9" x14ac:dyDescent="0.15">
      <c r="G4165">
        <v>63950</v>
      </c>
      <c r="H4165" t="s">
        <v>4554</v>
      </c>
      <c r="I4165">
        <v>3</v>
      </c>
    </row>
    <row r="4166" spans="7:9" x14ac:dyDescent="0.15">
      <c r="G4166">
        <v>63954</v>
      </c>
      <c r="H4166" t="s">
        <v>4555</v>
      </c>
      <c r="I4166">
        <v>2</v>
      </c>
    </row>
    <row r="4167" spans="7:9" x14ac:dyDescent="0.15">
      <c r="G4167">
        <v>63968</v>
      </c>
      <c r="H4167" t="s">
        <v>4556</v>
      </c>
      <c r="I4167">
        <v>3</v>
      </c>
    </row>
    <row r="4168" spans="7:9" x14ac:dyDescent="0.15">
      <c r="G4168">
        <v>63982</v>
      </c>
      <c r="H4168" t="s">
        <v>4557</v>
      </c>
      <c r="I4168">
        <v>3</v>
      </c>
    </row>
    <row r="4169" spans="7:9" x14ac:dyDescent="0.15">
      <c r="G4169">
        <v>63996</v>
      </c>
      <c r="H4169" t="s">
        <v>4558</v>
      </c>
      <c r="I4169">
        <v>2</v>
      </c>
    </row>
    <row r="4170" spans="7:9" x14ac:dyDescent="0.15">
      <c r="G4170">
        <v>64010</v>
      </c>
      <c r="H4170" t="s">
        <v>4559</v>
      </c>
      <c r="I4170">
        <v>3</v>
      </c>
    </row>
    <row r="4171" spans="7:9" x14ac:dyDescent="0.15">
      <c r="G4171">
        <v>64017</v>
      </c>
      <c r="H4171" t="s">
        <v>4560</v>
      </c>
      <c r="I4171">
        <v>3</v>
      </c>
    </row>
    <row r="4172" spans="7:9" x14ac:dyDescent="0.15">
      <c r="G4172">
        <v>64020</v>
      </c>
      <c r="H4172" t="s">
        <v>4561</v>
      </c>
      <c r="I4172">
        <v>3</v>
      </c>
    </row>
    <row r="4173" spans="7:9" x14ac:dyDescent="0.15">
      <c r="G4173">
        <v>64024</v>
      </c>
      <c r="H4173" t="s">
        <v>1026</v>
      </c>
      <c r="I4173">
        <v>2</v>
      </c>
    </row>
    <row r="4174" spans="7:9" x14ac:dyDescent="0.15">
      <c r="G4174">
        <v>64038</v>
      </c>
      <c r="H4174" t="s">
        <v>4562</v>
      </c>
      <c r="I4174">
        <v>3</v>
      </c>
    </row>
    <row r="4175" spans="7:9" x14ac:dyDescent="0.15">
      <c r="G4175">
        <v>64045</v>
      </c>
      <c r="H4175" t="s">
        <v>4563</v>
      </c>
      <c r="I4175">
        <v>3</v>
      </c>
    </row>
    <row r="4176" spans="7:9" x14ac:dyDescent="0.15">
      <c r="G4176">
        <v>64052</v>
      </c>
      <c r="H4176" t="s">
        <v>4564</v>
      </c>
      <c r="I4176">
        <v>3</v>
      </c>
    </row>
    <row r="4177" spans="7:9" x14ac:dyDescent="0.15">
      <c r="G4177">
        <v>64060</v>
      </c>
      <c r="H4177" t="s">
        <v>4565</v>
      </c>
      <c r="I4177">
        <v>3</v>
      </c>
    </row>
    <row r="4178" spans="7:9" x14ac:dyDescent="0.15">
      <c r="G4178">
        <v>64066</v>
      </c>
      <c r="H4178" t="s">
        <v>4566</v>
      </c>
      <c r="I4178">
        <v>3</v>
      </c>
    </row>
    <row r="4179" spans="7:9" x14ac:dyDescent="0.15">
      <c r="G4179">
        <v>64080</v>
      </c>
      <c r="H4179" t="s">
        <v>4566</v>
      </c>
      <c r="I4179">
        <v>3</v>
      </c>
    </row>
    <row r="4180" spans="7:9" x14ac:dyDescent="0.15">
      <c r="G4180">
        <v>64108</v>
      </c>
      <c r="H4180" t="s">
        <v>4567</v>
      </c>
      <c r="I4180">
        <v>2</v>
      </c>
    </row>
    <row r="4181" spans="7:9" x14ac:dyDescent="0.15">
      <c r="G4181">
        <v>64122</v>
      </c>
      <c r="H4181" t="s">
        <v>4566</v>
      </c>
      <c r="I4181">
        <v>3</v>
      </c>
    </row>
    <row r="4182" spans="7:9" x14ac:dyDescent="0.15">
      <c r="G4182">
        <v>64136</v>
      </c>
      <c r="H4182" t="s">
        <v>4568</v>
      </c>
      <c r="I4182">
        <v>1</v>
      </c>
    </row>
    <row r="4183" spans="7:9" x14ac:dyDescent="0.15">
      <c r="G4183">
        <v>64150</v>
      </c>
      <c r="H4183" t="s">
        <v>991</v>
      </c>
      <c r="I4183">
        <v>1</v>
      </c>
    </row>
    <row r="4184" spans="7:9" x14ac:dyDescent="0.15">
      <c r="G4184">
        <v>64178</v>
      </c>
      <c r="H4184" t="s">
        <v>4569</v>
      </c>
      <c r="I4184">
        <v>3</v>
      </c>
    </row>
    <row r="4185" spans="7:9" x14ac:dyDescent="0.15">
      <c r="G4185">
        <v>64192</v>
      </c>
      <c r="H4185" t="s">
        <v>4570</v>
      </c>
      <c r="I4185">
        <v>3</v>
      </c>
    </row>
    <row r="4186" spans="7:9" x14ac:dyDescent="0.15">
      <c r="G4186">
        <v>64206</v>
      </c>
      <c r="H4186" t="s">
        <v>4569</v>
      </c>
      <c r="I4186">
        <v>3</v>
      </c>
    </row>
    <row r="4187" spans="7:9" x14ac:dyDescent="0.15">
      <c r="G4187">
        <v>64220</v>
      </c>
      <c r="H4187" t="s">
        <v>4571</v>
      </c>
      <c r="I4187">
        <v>3</v>
      </c>
    </row>
    <row r="4188" spans="7:9" x14ac:dyDescent="0.15">
      <c r="G4188">
        <v>64234</v>
      </c>
      <c r="H4188" t="s">
        <v>4572</v>
      </c>
      <c r="I4188">
        <v>3</v>
      </c>
    </row>
    <row r="4189" spans="7:9" x14ac:dyDescent="0.15">
      <c r="G4189">
        <v>64248</v>
      </c>
      <c r="H4189" t="s">
        <v>4573</v>
      </c>
      <c r="I4189">
        <v>3</v>
      </c>
    </row>
    <row r="4190" spans="7:9" x14ac:dyDescent="0.15">
      <c r="G4190">
        <v>64262</v>
      </c>
      <c r="H4190" t="s">
        <v>4574</v>
      </c>
      <c r="I4190">
        <v>2</v>
      </c>
    </row>
    <row r="4191" spans="7:9" x14ac:dyDescent="0.15">
      <c r="G4191">
        <v>64290</v>
      </c>
      <c r="H4191" t="s">
        <v>4575</v>
      </c>
      <c r="I4191">
        <v>3</v>
      </c>
    </row>
    <row r="4192" spans="7:9" x14ac:dyDescent="0.15">
      <c r="G4192">
        <v>64304</v>
      </c>
      <c r="H4192" t="s">
        <v>992</v>
      </c>
      <c r="I4192">
        <v>1</v>
      </c>
    </row>
    <row r="4193" spans="7:9" x14ac:dyDescent="0.15">
      <c r="G4193">
        <v>64332</v>
      </c>
      <c r="H4193" t="s">
        <v>4576</v>
      </c>
      <c r="I4193">
        <v>3</v>
      </c>
    </row>
    <row r="4194" spans="7:9" x14ac:dyDescent="0.15">
      <c r="G4194">
        <v>64346</v>
      </c>
      <c r="H4194" t="s">
        <v>1123</v>
      </c>
      <c r="I4194">
        <v>2</v>
      </c>
    </row>
    <row r="4195" spans="7:9" x14ac:dyDescent="0.15">
      <c r="G4195">
        <v>64360</v>
      </c>
      <c r="H4195" t="s">
        <v>4577</v>
      </c>
      <c r="I4195">
        <v>2</v>
      </c>
    </row>
    <row r="4196" spans="7:9" x14ac:dyDescent="0.15">
      <c r="G4196">
        <v>64380</v>
      </c>
      <c r="H4196" t="s">
        <v>4578</v>
      </c>
      <c r="I4196">
        <v>3</v>
      </c>
    </row>
    <row r="4197" spans="7:9" x14ac:dyDescent="0.15">
      <c r="G4197">
        <v>64416</v>
      </c>
      <c r="H4197" t="s">
        <v>4579</v>
      </c>
      <c r="I4197">
        <v>3</v>
      </c>
    </row>
    <row r="4198" spans="7:9" x14ac:dyDescent="0.15">
      <c r="G4198">
        <v>64430</v>
      </c>
      <c r="H4198" t="s">
        <v>4580</v>
      </c>
      <c r="I4198">
        <v>2</v>
      </c>
    </row>
    <row r="4199" spans="7:9" x14ac:dyDescent="0.15">
      <c r="G4199">
        <v>64444</v>
      </c>
      <c r="H4199" t="s">
        <v>4581</v>
      </c>
      <c r="I4199">
        <v>3</v>
      </c>
    </row>
    <row r="4200" spans="7:9" x14ac:dyDescent="0.15">
      <c r="G4200">
        <v>64472</v>
      </c>
      <c r="H4200" t="s">
        <v>4582</v>
      </c>
      <c r="I4200">
        <v>2</v>
      </c>
    </row>
    <row r="4201" spans="7:9" x14ac:dyDescent="0.15">
      <c r="G4201">
        <v>64478</v>
      </c>
      <c r="H4201" t="s">
        <v>4583</v>
      </c>
      <c r="I4201">
        <v>3</v>
      </c>
    </row>
    <row r="4202" spans="7:9" x14ac:dyDescent="0.15">
      <c r="G4202">
        <v>64482</v>
      </c>
      <c r="H4202" t="s">
        <v>4584</v>
      </c>
      <c r="I4202">
        <v>3</v>
      </c>
    </row>
    <row r="4203" spans="7:9" x14ac:dyDescent="0.15">
      <c r="G4203">
        <v>64486</v>
      </c>
      <c r="H4203" t="s">
        <v>4584</v>
      </c>
      <c r="I4203">
        <v>1</v>
      </c>
    </row>
    <row r="4204" spans="7:9" x14ac:dyDescent="0.15">
      <c r="G4204">
        <v>64500</v>
      </c>
      <c r="H4204" t="s">
        <v>4585</v>
      </c>
      <c r="I4204">
        <v>3</v>
      </c>
    </row>
    <row r="4205" spans="7:9" x14ac:dyDescent="0.15">
      <c r="G4205">
        <v>64514</v>
      </c>
      <c r="H4205" t="s">
        <v>4586</v>
      </c>
      <c r="I4205">
        <v>3</v>
      </c>
    </row>
    <row r="4206" spans="7:9" x14ac:dyDescent="0.15">
      <c r="G4206">
        <v>64542</v>
      </c>
      <c r="H4206" t="s">
        <v>4587</v>
      </c>
      <c r="I4206">
        <v>2</v>
      </c>
    </row>
    <row r="4207" spans="7:9" x14ac:dyDescent="0.15">
      <c r="G4207">
        <v>64556</v>
      </c>
      <c r="H4207" t="s">
        <v>4588</v>
      </c>
      <c r="I4207">
        <v>3</v>
      </c>
    </row>
    <row r="4208" spans="7:9" x14ac:dyDescent="0.15">
      <c r="G4208">
        <v>64570</v>
      </c>
      <c r="H4208" t="s">
        <v>1105</v>
      </c>
      <c r="I4208">
        <v>3</v>
      </c>
    </row>
    <row r="4209" spans="7:9" x14ac:dyDescent="0.15">
      <c r="G4209">
        <v>64584</v>
      </c>
      <c r="H4209" t="s">
        <v>1105</v>
      </c>
      <c r="I4209">
        <v>3</v>
      </c>
    </row>
    <row r="4210" spans="7:9" x14ac:dyDescent="0.15">
      <c r="G4210">
        <v>64598</v>
      </c>
      <c r="H4210" t="s">
        <v>4589</v>
      </c>
      <c r="I4210">
        <v>3</v>
      </c>
    </row>
    <row r="4211" spans="7:9" x14ac:dyDescent="0.15">
      <c r="G4211">
        <v>64612</v>
      </c>
      <c r="H4211" t="s">
        <v>4590</v>
      </c>
      <c r="I4211">
        <v>3</v>
      </c>
    </row>
    <row r="4212" spans="7:9" x14ac:dyDescent="0.15">
      <c r="G4212">
        <v>64626</v>
      </c>
      <c r="H4212" t="s">
        <v>4591</v>
      </c>
      <c r="I4212">
        <v>3</v>
      </c>
    </row>
    <row r="4213" spans="7:9" x14ac:dyDescent="0.15">
      <c r="G4213">
        <v>64640</v>
      </c>
      <c r="H4213" t="s">
        <v>4592</v>
      </c>
      <c r="I4213">
        <v>3</v>
      </c>
    </row>
    <row r="4214" spans="7:9" x14ac:dyDescent="0.15">
      <c r="G4214">
        <v>64654</v>
      </c>
      <c r="H4214" t="s">
        <v>4593</v>
      </c>
      <c r="I4214">
        <v>3</v>
      </c>
    </row>
    <row r="4215" spans="7:9" x14ac:dyDescent="0.15">
      <c r="G4215">
        <v>64668</v>
      </c>
      <c r="H4215" t="s">
        <v>4594</v>
      </c>
      <c r="I4215">
        <v>3</v>
      </c>
    </row>
    <row r="4216" spans="7:9" x14ac:dyDescent="0.15">
      <c r="G4216">
        <v>64682</v>
      </c>
      <c r="H4216" t="s">
        <v>4595</v>
      </c>
      <c r="I4216">
        <v>3</v>
      </c>
    </row>
    <row r="4217" spans="7:9" x14ac:dyDescent="0.15">
      <c r="G4217">
        <v>64696</v>
      </c>
      <c r="H4217" t="s">
        <v>4596</v>
      </c>
      <c r="I4217">
        <v>3</v>
      </c>
    </row>
    <row r="4218" spans="7:9" x14ac:dyDescent="0.15">
      <c r="G4218">
        <v>64710</v>
      </c>
      <c r="H4218" t="s">
        <v>4596</v>
      </c>
      <c r="I4218">
        <v>3</v>
      </c>
    </row>
    <row r="4219" spans="7:9" x14ac:dyDescent="0.15">
      <c r="G4219">
        <v>64724</v>
      </c>
      <c r="H4219" t="s">
        <v>4597</v>
      </c>
      <c r="I4219">
        <v>3</v>
      </c>
    </row>
    <row r="4220" spans="7:9" x14ac:dyDescent="0.15">
      <c r="G4220">
        <v>64731</v>
      </c>
      <c r="H4220" t="s">
        <v>4598</v>
      </c>
      <c r="I4220">
        <v>3</v>
      </c>
    </row>
    <row r="4221" spans="7:9" x14ac:dyDescent="0.15">
      <c r="G4221">
        <v>64738</v>
      </c>
      <c r="H4221" t="s">
        <v>4599</v>
      </c>
      <c r="I4221">
        <v>3</v>
      </c>
    </row>
    <row r="4222" spans="7:9" x14ac:dyDescent="0.15">
      <c r="G4222">
        <v>64745</v>
      </c>
      <c r="H4222" t="s">
        <v>4600</v>
      </c>
      <c r="I4222">
        <v>3</v>
      </c>
    </row>
    <row r="4223" spans="7:9" x14ac:dyDescent="0.15">
      <c r="G4223">
        <v>64766</v>
      </c>
      <c r="H4223" t="s">
        <v>4601</v>
      </c>
      <c r="I4223">
        <v>2</v>
      </c>
    </row>
    <row r="4224" spans="7:9" x14ac:dyDescent="0.15">
      <c r="G4224">
        <v>64780</v>
      </c>
      <c r="H4224" t="s">
        <v>4602</v>
      </c>
      <c r="I4224">
        <v>2</v>
      </c>
    </row>
    <row r="4225" spans="7:9" x14ac:dyDescent="0.15">
      <c r="G4225">
        <v>64794</v>
      </c>
      <c r="H4225" t="s">
        <v>4603</v>
      </c>
      <c r="I4225">
        <v>3</v>
      </c>
    </row>
    <row r="4226" spans="7:9" x14ac:dyDescent="0.15">
      <c r="G4226">
        <v>64836</v>
      </c>
      <c r="H4226" t="s">
        <v>4604</v>
      </c>
      <c r="I4226">
        <v>3</v>
      </c>
    </row>
    <row r="4227" spans="7:9" x14ac:dyDescent="0.15">
      <c r="G4227">
        <v>64850</v>
      </c>
      <c r="H4227" t="s">
        <v>4605</v>
      </c>
      <c r="I4227">
        <v>3</v>
      </c>
    </row>
    <row r="4228" spans="7:9" x14ac:dyDescent="0.15">
      <c r="G4228">
        <v>64906</v>
      </c>
      <c r="H4228" t="s">
        <v>4606</v>
      </c>
      <c r="I4228">
        <v>2</v>
      </c>
    </row>
    <row r="4229" spans="7:9" x14ac:dyDescent="0.15">
      <c r="G4229">
        <v>64920</v>
      </c>
      <c r="H4229" t="s">
        <v>4607</v>
      </c>
      <c r="I4229">
        <v>3</v>
      </c>
    </row>
    <row r="4230" spans="7:9" x14ac:dyDescent="0.15">
      <c r="G4230">
        <v>64934</v>
      </c>
      <c r="H4230" t="s">
        <v>4608</v>
      </c>
      <c r="I4230">
        <v>3</v>
      </c>
    </row>
    <row r="4231" spans="7:9" x14ac:dyDescent="0.15">
      <c r="G4231">
        <v>64962</v>
      </c>
      <c r="H4231" t="s">
        <v>4609</v>
      </c>
      <c r="I4231">
        <v>3</v>
      </c>
    </row>
    <row r="4232" spans="7:9" x14ac:dyDescent="0.15">
      <c r="G4232">
        <v>64985</v>
      </c>
      <c r="H4232" t="s">
        <v>4610</v>
      </c>
      <c r="I4232">
        <v>3</v>
      </c>
    </row>
    <row r="4233" spans="7:9" x14ac:dyDescent="0.15">
      <c r="G4233">
        <v>65004</v>
      </c>
      <c r="H4233" t="s">
        <v>4611</v>
      </c>
      <c r="I4233">
        <v>3</v>
      </c>
    </row>
    <row r="4234" spans="7:9" x14ac:dyDescent="0.15">
      <c r="G4234">
        <v>65018</v>
      </c>
      <c r="H4234" t="s">
        <v>4612</v>
      </c>
      <c r="I4234">
        <v>3</v>
      </c>
    </row>
    <row r="4235" spans="7:9" x14ac:dyDescent="0.15">
      <c r="G4235">
        <v>65032</v>
      </c>
      <c r="H4235" t="s">
        <v>4613</v>
      </c>
      <c r="I4235">
        <v>2</v>
      </c>
    </row>
    <row r="4236" spans="7:9" x14ac:dyDescent="0.15">
      <c r="G4236">
        <v>65046</v>
      </c>
      <c r="H4236" t="s">
        <v>4614</v>
      </c>
      <c r="I4236">
        <v>3</v>
      </c>
    </row>
    <row r="4237" spans="7:9" x14ac:dyDescent="0.15">
      <c r="G4237">
        <v>65088</v>
      </c>
      <c r="H4237" t="s">
        <v>4615</v>
      </c>
      <c r="I4237">
        <v>3</v>
      </c>
    </row>
    <row r="4238" spans="7:9" x14ac:dyDescent="0.15">
      <c r="G4238">
        <v>65102</v>
      </c>
      <c r="H4238" t="s">
        <v>4616</v>
      </c>
      <c r="I4238">
        <v>3</v>
      </c>
    </row>
    <row r="4239" spans="7:9" x14ac:dyDescent="0.15">
      <c r="G4239">
        <v>65116</v>
      </c>
      <c r="H4239" t="s">
        <v>4617</v>
      </c>
      <c r="I4239">
        <v>2</v>
      </c>
    </row>
    <row r="4240" spans="7:9" x14ac:dyDescent="0.15">
      <c r="G4240">
        <v>65144</v>
      </c>
      <c r="H4240" t="s">
        <v>4618</v>
      </c>
      <c r="I4240">
        <v>3</v>
      </c>
    </row>
    <row r="4241" spans="7:9" x14ac:dyDescent="0.15">
      <c r="G4241">
        <v>65172</v>
      </c>
      <c r="H4241" t="s">
        <v>4619</v>
      </c>
      <c r="I4241">
        <v>3</v>
      </c>
    </row>
    <row r="4242" spans="7:9" x14ac:dyDescent="0.15">
      <c r="G4242">
        <v>65180</v>
      </c>
      <c r="H4242" t="s">
        <v>4620</v>
      </c>
      <c r="I4242">
        <v>3</v>
      </c>
    </row>
    <row r="4243" spans="7:9" x14ac:dyDescent="0.15">
      <c r="G4243">
        <v>65200</v>
      </c>
      <c r="H4243" t="s">
        <v>4621</v>
      </c>
      <c r="I4243">
        <v>2</v>
      </c>
    </row>
    <row r="4244" spans="7:9" x14ac:dyDescent="0.15">
      <c r="G4244">
        <v>65228</v>
      </c>
      <c r="H4244" t="s">
        <v>4622</v>
      </c>
      <c r="I4244">
        <v>3</v>
      </c>
    </row>
    <row r="4245" spans="7:9" x14ac:dyDescent="0.15">
      <c r="G4245">
        <v>65242</v>
      </c>
      <c r="H4245" t="s">
        <v>4623</v>
      </c>
      <c r="I4245">
        <v>3</v>
      </c>
    </row>
    <row r="4246" spans="7:9" x14ac:dyDescent="0.15">
      <c r="G4246">
        <v>65256</v>
      </c>
      <c r="H4246" t="s">
        <v>4624</v>
      </c>
      <c r="I4246">
        <v>2</v>
      </c>
    </row>
    <row r="4247" spans="7:9" x14ac:dyDescent="0.15">
      <c r="G4247">
        <v>65270</v>
      </c>
      <c r="H4247" t="s">
        <v>4625</v>
      </c>
      <c r="I4247">
        <v>3</v>
      </c>
    </row>
    <row r="4248" spans="7:9" x14ac:dyDescent="0.15">
      <c r="G4248">
        <v>65298</v>
      </c>
      <c r="H4248" t="s">
        <v>4626</v>
      </c>
      <c r="I4248">
        <v>2</v>
      </c>
    </row>
    <row r="4249" spans="7:9" x14ac:dyDescent="0.15">
      <c r="G4249">
        <v>65312</v>
      </c>
      <c r="H4249" t="s">
        <v>4627</v>
      </c>
      <c r="I4249">
        <v>3</v>
      </c>
    </row>
    <row r="4250" spans="7:9" x14ac:dyDescent="0.15">
      <c r="G4250">
        <v>65326</v>
      </c>
      <c r="H4250" t="s">
        <v>4628</v>
      </c>
      <c r="I4250">
        <v>3</v>
      </c>
    </row>
    <row r="4251" spans="7:9" x14ac:dyDescent="0.15">
      <c r="G4251">
        <v>65340</v>
      </c>
      <c r="H4251" t="s">
        <v>4629</v>
      </c>
      <c r="I4251">
        <v>3</v>
      </c>
    </row>
    <row r="4252" spans="7:9" x14ac:dyDescent="0.15">
      <c r="G4252">
        <v>65345</v>
      </c>
      <c r="H4252" t="s">
        <v>4630</v>
      </c>
      <c r="I4252">
        <v>3</v>
      </c>
    </row>
    <row r="4253" spans="7:9" x14ac:dyDescent="0.15">
      <c r="G4253">
        <v>65350</v>
      </c>
      <c r="H4253" t="s">
        <v>4631</v>
      </c>
      <c r="I4253">
        <v>3</v>
      </c>
    </row>
    <row r="4254" spans="7:9" x14ac:dyDescent="0.15">
      <c r="G4254">
        <v>65354</v>
      </c>
      <c r="H4254" t="s">
        <v>4632</v>
      </c>
      <c r="I4254">
        <v>3</v>
      </c>
    </row>
    <row r="4255" spans="7:9" x14ac:dyDescent="0.15">
      <c r="G4255">
        <v>65382</v>
      </c>
      <c r="H4255" t="s">
        <v>4633</v>
      </c>
      <c r="I4255">
        <v>3</v>
      </c>
    </row>
    <row r="4256" spans="7:9" x14ac:dyDescent="0.15">
      <c r="G4256">
        <v>65410</v>
      </c>
      <c r="H4256" t="s">
        <v>4634</v>
      </c>
      <c r="I4256">
        <v>3</v>
      </c>
    </row>
    <row r="4257" spans="7:9" x14ac:dyDescent="0.15">
      <c r="G4257">
        <v>65415</v>
      </c>
      <c r="H4257" t="s">
        <v>4635</v>
      </c>
      <c r="I4257">
        <v>3</v>
      </c>
    </row>
    <row r="4258" spans="7:9" x14ac:dyDescent="0.15">
      <c r="G4258">
        <v>65424</v>
      </c>
      <c r="H4258" t="s">
        <v>4636</v>
      </c>
      <c r="I4258">
        <v>3</v>
      </c>
    </row>
    <row r="4259" spans="7:9" x14ac:dyDescent="0.15">
      <c r="G4259">
        <v>65438</v>
      </c>
      <c r="H4259" t="s">
        <v>4637</v>
      </c>
      <c r="I4259">
        <v>3</v>
      </c>
    </row>
    <row r="4260" spans="7:9" x14ac:dyDescent="0.15">
      <c r="G4260">
        <v>65452</v>
      </c>
      <c r="H4260" t="s">
        <v>4638</v>
      </c>
      <c r="I4260">
        <v>3</v>
      </c>
    </row>
    <row r="4261" spans="7:9" x14ac:dyDescent="0.15">
      <c r="G4261">
        <v>65466</v>
      </c>
      <c r="H4261" t="s">
        <v>4639</v>
      </c>
      <c r="I4261">
        <v>3</v>
      </c>
    </row>
    <row r="4262" spans="7:9" x14ac:dyDescent="0.15">
      <c r="G4262">
        <v>65480</v>
      </c>
      <c r="H4262" t="s">
        <v>4640</v>
      </c>
      <c r="I4262">
        <v>3</v>
      </c>
    </row>
    <row r="4263" spans="7:9" x14ac:dyDescent="0.15">
      <c r="G4263">
        <v>65494</v>
      </c>
      <c r="H4263" t="s">
        <v>4641</v>
      </c>
      <c r="I4263">
        <v>3</v>
      </c>
    </row>
    <row r="4264" spans="7:9" x14ac:dyDescent="0.15">
      <c r="G4264">
        <v>65500</v>
      </c>
      <c r="H4264" t="s">
        <v>4642</v>
      </c>
      <c r="I4264">
        <v>3</v>
      </c>
    </row>
    <row r="4265" spans="7:9" x14ac:dyDescent="0.15">
      <c r="G4265">
        <v>65508</v>
      </c>
      <c r="H4265" t="s">
        <v>4643</v>
      </c>
      <c r="I4265">
        <v>2</v>
      </c>
    </row>
    <row r="4266" spans="7:9" x14ac:dyDescent="0.15">
      <c r="G4266">
        <v>65522</v>
      </c>
      <c r="H4266" t="s">
        <v>4644</v>
      </c>
      <c r="I4266">
        <v>3</v>
      </c>
    </row>
    <row r="4267" spans="7:9" x14ac:dyDescent="0.15">
      <c r="G4267">
        <v>65530</v>
      </c>
      <c r="H4267" t="s">
        <v>4645</v>
      </c>
      <c r="I4267">
        <v>3</v>
      </c>
    </row>
    <row r="4268" spans="7:9" x14ac:dyDescent="0.15">
      <c r="G4268">
        <v>65536</v>
      </c>
      <c r="H4268" t="s">
        <v>4646</v>
      </c>
      <c r="I4268">
        <v>3</v>
      </c>
    </row>
    <row r="4269" spans="7:9" x14ac:dyDescent="0.15">
      <c r="G4269">
        <v>65550</v>
      </c>
      <c r="H4269" t="s">
        <v>4647</v>
      </c>
      <c r="I4269">
        <v>3</v>
      </c>
    </row>
    <row r="4270" spans="7:9" x14ac:dyDescent="0.15">
      <c r="G4270">
        <v>65564</v>
      </c>
      <c r="H4270" t="s">
        <v>4647</v>
      </c>
      <c r="I4270">
        <v>3</v>
      </c>
    </row>
    <row r="4271" spans="7:9" x14ac:dyDescent="0.15">
      <c r="G4271">
        <v>65592</v>
      </c>
      <c r="H4271" t="s">
        <v>4648</v>
      </c>
      <c r="I4271">
        <v>1</v>
      </c>
    </row>
    <row r="4272" spans="7:9" x14ac:dyDescent="0.15">
      <c r="G4272">
        <v>65606</v>
      </c>
      <c r="H4272" t="s">
        <v>4649</v>
      </c>
      <c r="I4272">
        <v>3</v>
      </c>
    </row>
    <row r="4273" spans="7:9" x14ac:dyDescent="0.15">
      <c r="G4273">
        <v>65634</v>
      </c>
      <c r="H4273" t="s">
        <v>4650</v>
      </c>
      <c r="I4273">
        <v>2</v>
      </c>
    </row>
    <row r="4274" spans="7:9" x14ac:dyDescent="0.15">
      <c r="G4274">
        <v>65648</v>
      </c>
      <c r="H4274" t="s">
        <v>1143</v>
      </c>
      <c r="I4274">
        <v>3</v>
      </c>
    </row>
    <row r="4275" spans="7:9" x14ac:dyDescent="0.15">
      <c r="G4275">
        <v>65662</v>
      </c>
      <c r="H4275" t="s">
        <v>4651</v>
      </c>
      <c r="I4275">
        <v>2</v>
      </c>
    </row>
    <row r="4276" spans="7:9" x14ac:dyDescent="0.15">
      <c r="G4276">
        <v>65676</v>
      </c>
      <c r="H4276" t="s">
        <v>4652</v>
      </c>
      <c r="I4276">
        <v>2</v>
      </c>
    </row>
    <row r="4277" spans="7:9" x14ac:dyDescent="0.15">
      <c r="G4277">
        <v>65704</v>
      </c>
      <c r="H4277" t="s">
        <v>4653</v>
      </c>
      <c r="I4277">
        <v>3</v>
      </c>
    </row>
    <row r="4278" spans="7:9" x14ac:dyDescent="0.15">
      <c r="G4278">
        <v>65708</v>
      </c>
      <c r="H4278" t="s">
        <v>4653</v>
      </c>
      <c r="I4278">
        <v>3</v>
      </c>
    </row>
    <row r="4279" spans="7:9" x14ac:dyDescent="0.15">
      <c r="G4279">
        <v>65718</v>
      </c>
      <c r="H4279" t="s">
        <v>4654</v>
      </c>
      <c r="I4279">
        <v>3</v>
      </c>
    </row>
    <row r="4280" spans="7:9" x14ac:dyDescent="0.15">
      <c r="G4280">
        <v>65732</v>
      </c>
      <c r="H4280" t="s">
        <v>4654</v>
      </c>
      <c r="I4280">
        <v>1</v>
      </c>
    </row>
    <row r="4281" spans="7:9" x14ac:dyDescent="0.15">
      <c r="G4281">
        <v>65760</v>
      </c>
      <c r="H4281" t="s">
        <v>4655</v>
      </c>
      <c r="I4281">
        <v>3</v>
      </c>
    </row>
    <row r="4282" spans="7:9" x14ac:dyDescent="0.15">
      <c r="G4282">
        <v>65781</v>
      </c>
      <c r="H4282" t="s">
        <v>4656</v>
      </c>
      <c r="I4282">
        <v>3</v>
      </c>
    </row>
    <row r="4283" spans="7:9" x14ac:dyDescent="0.15">
      <c r="G4283">
        <v>65788</v>
      </c>
      <c r="H4283" t="s">
        <v>4657</v>
      </c>
      <c r="I4283">
        <v>3</v>
      </c>
    </row>
    <row r="4284" spans="7:9" x14ac:dyDescent="0.15">
      <c r="G4284">
        <v>65802</v>
      </c>
      <c r="H4284" t="s">
        <v>4658</v>
      </c>
      <c r="I4284">
        <v>3</v>
      </c>
    </row>
    <row r="4285" spans="7:9" x14ac:dyDescent="0.15">
      <c r="G4285">
        <v>65810</v>
      </c>
      <c r="H4285" t="s">
        <v>4659</v>
      </c>
      <c r="I4285">
        <v>3</v>
      </c>
    </row>
    <row r="4286" spans="7:9" x14ac:dyDescent="0.15">
      <c r="G4286">
        <v>65830</v>
      </c>
      <c r="H4286" t="s">
        <v>4660</v>
      </c>
      <c r="I4286">
        <v>3</v>
      </c>
    </row>
    <row r="4287" spans="7:9" x14ac:dyDescent="0.15">
      <c r="G4287">
        <v>65844</v>
      </c>
      <c r="H4287" t="s">
        <v>4661</v>
      </c>
      <c r="I4287">
        <v>3</v>
      </c>
    </row>
    <row r="4288" spans="7:9" x14ac:dyDescent="0.15">
      <c r="G4288">
        <v>65872</v>
      </c>
      <c r="H4288" t="s">
        <v>4662</v>
      </c>
      <c r="I4288">
        <v>3</v>
      </c>
    </row>
    <row r="4289" spans="7:9" x14ac:dyDescent="0.15">
      <c r="G4289">
        <v>65886</v>
      </c>
      <c r="H4289" t="s">
        <v>4663</v>
      </c>
      <c r="I4289">
        <v>3</v>
      </c>
    </row>
    <row r="4290" spans="7:9" x14ac:dyDescent="0.15">
      <c r="G4290">
        <v>65900</v>
      </c>
      <c r="H4290" t="s">
        <v>4664</v>
      </c>
      <c r="I4290">
        <v>3</v>
      </c>
    </row>
    <row r="4291" spans="7:9" x14ac:dyDescent="0.15">
      <c r="G4291">
        <v>65914</v>
      </c>
      <c r="H4291" t="s">
        <v>4665</v>
      </c>
      <c r="I4291">
        <v>3</v>
      </c>
    </row>
    <row r="4292" spans="7:9" x14ac:dyDescent="0.15">
      <c r="G4292">
        <v>65928</v>
      </c>
      <c r="H4292" t="s">
        <v>4666</v>
      </c>
      <c r="I4292">
        <v>3</v>
      </c>
    </row>
    <row r="4293" spans="7:9" x14ac:dyDescent="0.15">
      <c r="G4293">
        <v>65942</v>
      </c>
      <c r="H4293" t="s">
        <v>4667</v>
      </c>
      <c r="I4293">
        <v>3</v>
      </c>
    </row>
    <row r="4294" spans="7:9" x14ac:dyDescent="0.15">
      <c r="G4294">
        <v>65950</v>
      </c>
      <c r="H4294" t="s">
        <v>4668</v>
      </c>
      <c r="I4294">
        <v>3</v>
      </c>
    </row>
    <row r="4295" spans="7:9" x14ac:dyDescent="0.15">
      <c r="G4295">
        <v>65956</v>
      </c>
      <c r="H4295" t="s">
        <v>4669</v>
      </c>
      <c r="I4295">
        <v>3</v>
      </c>
    </row>
    <row r="4296" spans="7:9" x14ac:dyDescent="0.15">
      <c r="G4296">
        <v>65970</v>
      </c>
      <c r="H4296" t="s">
        <v>4670</v>
      </c>
      <c r="I4296">
        <v>3</v>
      </c>
    </row>
    <row r="4297" spans="7:9" x14ac:dyDescent="0.15">
      <c r="G4297">
        <v>65984</v>
      </c>
      <c r="H4297" t="s">
        <v>4671</v>
      </c>
      <c r="I4297">
        <v>3</v>
      </c>
    </row>
    <row r="4298" spans="7:9" x14ac:dyDescent="0.15">
      <c r="G4298">
        <v>65998</v>
      </c>
      <c r="H4298" t="s">
        <v>4672</v>
      </c>
      <c r="I4298">
        <v>3</v>
      </c>
    </row>
    <row r="4299" spans="7:9" x14ac:dyDescent="0.15">
      <c r="G4299">
        <v>66012</v>
      </c>
      <c r="H4299" t="s">
        <v>4673</v>
      </c>
      <c r="I4299">
        <v>3</v>
      </c>
    </row>
    <row r="4300" spans="7:9" x14ac:dyDescent="0.15">
      <c r="G4300">
        <v>66054</v>
      </c>
      <c r="H4300" t="s">
        <v>4674</v>
      </c>
      <c r="I4300">
        <v>3</v>
      </c>
    </row>
    <row r="4301" spans="7:9" x14ac:dyDescent="0.15">
      <c r="G4301">
        <v>66057</v>
      </c>
      <c r="H4301" t="s">
        <v>4675</v>
      </c>
      <c r="I4301">
        <v>3</v>
      </c>
    </row>
    <row r="4302" spans="7:9" x14ac:dyDescent="0.15">
      <c r="G4302">
        <v>66060</v>
      </c>
      <c r="H4302" t="s">
        <v>4676</v>
      </c>
      <c r="I4302">
        <v>3</v>
      </c>
    </row>
    <row r="4303" spans="7:9" x14ac:dyDescent="0.15">
      <c r="G4303">
        <v>66064</v>
      </c>
      <c r="H4303" t="s">
        <v>4677</v>
      </c>
      <c r="I4303">
        <v>3</v>
      </c>
    </row>
    <row r="4304" spans="7:9" x14ac:dyDescent="0.15">
      <c r="G4304">
        <v>66068</v>
      </c>
      <c r="H4304" t="s">
        <v>4678</v>
      </c>
      <c r="I4304">
        <v>3</v>
      </c>
    </row>
    <row r="4305" spans="7:9" x14ac:dyDescent="0.15">
      <c r="G4305">
        <v>66082</v>
      </c>
      <c r="H4305" t="s">
        <v>4679</v>
      </c>
      <c r="I4305">
        <v>3</v>
      </c>
    </row>
    <row r="4306" spans="7:9" x14ac:dyDescent="0.15">
      <c r="G4306">
        <v>66096</v>
      </c>
      <c r="H4306" t="s">
        <v>4680</v>
      </c>
      <c r="I4306">
        <v>3</v>
      </c>
    </row>
    <row r="4307" spans="7:9" x14ac:dyDescent="0.15">
      <c r="G4307">
        <v>66110</v>
      </c>
      <c r="H4307" t="s">
        <v>4681</v>
      </c>
      <c r="I4307">
        <v>3</v>
      </c>
    </row>
    <row r="4308" spans="7:9" x14ac:dyDescent="0.15">
      <c r="G4308">
        <v>66138</v>
      </c>
      <c r="H4308" t="s">
        <v>4682</v>
      </c>
      <c r="I4308">
        <v>3</v>
      </c>
    </row>
    <row r="4309" spans="7:9" x14ac:dyDescent="0.15">
      <c r="G4309">
        <v>66152</v>
      </c>
      <c r="H4309" t="s">
        <v>4683</v>
      </c>
      <c r="I4309">
        <v>2</v>
      </c>
    </row>
    <row r="4310" spans="7:9" x14ac:dyDescent="0.15">
      <c r="G4310">
        <v>66180</v>
      </c>
      <c r="H4310" t="s">
        <v>4684</v>
      </c>
      <c r="I4310">
        <v>2</v>
      </c>
    </row>
    <row r="4311" spans="7:9" x14ac:dyDescent="0.15">
      <c r="G4311">
        <v>66194</v>
      </c>
      <c r="H4311" t="s">
        <v>4685</v>
      </c>
      <c r="I4311">
        <v>3</v>
      </c>
    </row>
    <row r="4312" spans="7:9" x14ac:dyDescent="0.15">
      <c r="G4312">
        <v>66208</v>
      </c>
      <c r="H4312" t="s">
        <v>4686</v>
      </c>
      <c r="I4312">
        <v>3</v>
      </c>
    </row>
    <row r="4313" spans="7:9" x14ac:dyDescent="0.15">
      <c r="G4313">
        <v>66222</v>
      </c>
      <c r="H4313" t="s">
        <v>4687</v>
      </c>
      <c r="I4313">
        <v>2</v>
      </c>
    </row>
    <row r="4314" spans="7:9" x14ac:dyDescent="0.15">
      <c r="G4314">
        <v>66230</v>
      </c>
      <c r="H4314" t="s">
        <v>4688</v>
      </c>
      <c r="I4314">
        <v>3</v>
      </c>
    </row>
    <row r="4315" spans="7:9" x14ac:dyDescent="0.15">
      <c r="G4315">
        <v>66236</v>
      </c>
      <c r="H4315" t="s">
        <v>4689</v>
      </c>
      <c r="I4315">
        <v>3</v>
      </c>
    </row>
    <row r="4316" spans="7:9" x14ac:dyDescent="0.15">
      <c r="G4316">
        <v>66250</v>
      </c>
      <c r="H4316" t="s">
        <v>4690</v>
      </c>
      <c r="I4316">
        <v>2</v>
      </c>
    </row>
    <row r="4317" spans="7:9" x14ac:dyDescent="0.15">
      <c r="G4317">
        <v>66264</v>
      </c>
      <c r="H4317" t="s">
        <v>4691</v>
      </c>
      <c r="I4317">
        <v>3</v>
      </c>
    </row>
    <row r="4318" spans="7:9" x14ac:dyDescent="0.15">
      <c r="G4318">
        <v>66292</v>
      </c>
      <c r="H4318" t="s">
        <v>4692</v>
      </c>
      <c r="I4318">
        <v>3</v>
      </c>
    </row>
    <row r="4319" spans="7:9" x14ac:dyDescent="0.15">
      <c r="G4319">
        <v>66320</v>
      </c>
      <c r="H4319" t="s">
        <v>4693</v>
      </c>
      <c r="I4319">
        <v>2</v>
      </c>
    </row>
    <row r="4320" spans="7:9" x14ac:dyDescent="0.15">
      <c r="G4320">
        <v>66334</v>
      </c>
      <c r="H4320" t="s">
        <v>4694</v>
      </c>
      <c r="I4320">
        <v>3</v>
      </c>
    </row>
    <row r="4321" spans="7:9" x14ac:dyDescent="0.15">
      <c r="G4321">
        <v>66348</v>
      </c>
      <c r="H4321" t="s">
        <v>4695</v>
      </c>
      <c r="I4321">
        <v>3</v>
      </c>
    </row>
    <row r="4322" spans="7:9" x14ac:dyDescent="0.15">
      <c r="G4322">
        <v>66362</v>
      </c>
      <c r="H4322" t="s">
        <v>4696</v>
      </c>
      <c r="I4322">
        <v>3</v>
      </c>
    </row>
    <row r="4323" spans="7:9" x14ac:dyDescent="0.15">
      <c r="G4323">
        <v>66376</v>
      </c>
      <c r="H4323" t="s">
        <v>4697</v>
      </c>
      <c r="I4323">
        <v>3</v>
      </c>
    </row>
    <row r="4324" spans="7:9" x14ac:dyDescent="0.15">
      <c r="G4324">
        <v>66385</v>
      </c>
      <c r="H4324" t="s">
        <v>4698</v>
      </c>
      <c r="I4324">
        <v>3</v>
      </c>
    </row>
    <row r="4325" spans="7:9" x14ac:dyDescent="0.15">
      <c r="G4325">
        <v>66390</v>
      </c>
      <c r="H4325" t="s">
        <v>4699</v>
      </c>
      <c r="I4325">
        <v>1</v>
      </c>
    </row>
    <row r="4326" spans="7:9" x14ac:dyDescent="0.15">
      <c r="G4326">
        <v>66396</v>
      </c>
      <c r="H4326" t="s">
        <v>4700</v>
      </c>
      <c r="I4326">
        <v>3</v>
      </c>
    </row>
    <row r="4327" spans="7:9" x14ac:dyDescent="0.15">
      <c r="G4327">
        <v>66404</v>
      </c>
      <c r="H4327" t="s">
        <v>4701</v>
      </c>
      <c r="I4327">
        <v>3</v>
      </c>
    </row>
    <row r="4328" spans="7:9" x14ac:dyDescent="0.15">
      <c r="G4328">
        <v>66432</v>
      </c>
      <c r="H4328" t="s">
        <v>4702</v>
      </c>
      <c r="I4328">
        <v>3</v>
      </c>
    </row>
    <row r="4329" spans="7:9" x14ac:dyDescent="0.15">
      <c r="G4329">
        <v>66446</v>
      </c>
      <c r="H4329" t="s">
        <v>4703</v>
      </c>
      <c r="I4329">
        <v>3</v>
      </c>
    </row>
    <row r="4330" spans="7:9" x14ac:dyDescent="0.15">
      <c r="G4330">
        <v>66460</v>
      </c>
      <c r="H4330" t="s">
        <v>4704</v>
      </c>
      <c r="I4330">
        <v>3</v>
      </c>
    </row>
    <row r="4331" spans="7:9" x14ac:dyDescent="0.15">
      <c r="G4331">
        <v>66474</v>
      </c>
      <c r="H4331" t="s">
        <v>4705</v>
      </c>
      <c r="I4331">
        <v>3</v>
      </c>
    </row>
    <row r="4332" spans="7:9" x14ac:dyDescent="0.15">
      <c r="G4332">
        <v>66480</v>
      </c>
      <c r="H4332" t="s">
        <v>4706</v>
      </c>
      <c r="I4332">
        <v>3</v>
      </c>
    </row>
    <row r="4333" spans="7:9" x14ac:dyDescent="0.15">
      <c r="G4333">
        <v>66495</v>
      </c>
      <c r="H4333" t="s">
        <v>4707</v>
      </c>
      <c r="I4333">
        <v>3</v>
      </c>
    </row>
    <row r="4334" spans="7:9" x14ac:dyDescent="0.15">
      <c r="G4334">
        <v>66502</v>
      </c>
      <c r="H4334" t="s">
        <v>4708</v>
      </c>
      <c r="I4334">
        <v>3</v>
      </c>
    </row>
    <row r="4335" spans="7:9" x14ac:dyDescent="0.15">
      <c r="G4335">
        <v>66516</v>
      </c>
      <c r="H4335" t="s">
        <v>4708</v>
      </c>
      <c r="I4335">
        <v>3</v>
      </c>
    </row>
    <row r="4336" spans="7:9" x14ac:dyDescent="0.15">
      <c r="G4336">
        <v>66530</v>
      </c>
      <c r="H4336" t="s">
        <v>4709</v>
      </c>
      <c r="I4336">
        <v>2</v>
      </c>
    </row>
    <row r="4337" spans="7:9" x14ac:dyDescent="0.15">
      <c r="G4337">
        <v>66544</v>
      </c>
      <c r="H4337" t="s">
        <v>4708</v>
      </c>
      <c r="I4337">
        <v>3</v>
      </c>
    </row>
    <row r="4338" spans="7:9" x14ac:dyDescent="0.15">
      <c r="G4338">
        <v>66558</v>
      </c>
      <c r="H4338" t="s">
        <v>4710</v>
      </c>
      <c r="I4338">
        <v>3</v>
      </c>
    </row>
    <row r="4339" spans="7:9" x14ac:dyDescent="0.15">
      <c r="G4339">
        <v>66572</v>
      </c>
      <c r="H4339" t="s">
        <v>4711</v>
      </c>
      <c r="I4339">
        <v>3</v>
      </c>
    </row>
    <row r="4340" spans="7:9" x14ac:dyDescent="0.15">
      <c r="G4340">
        <v>66586</v>
      </c>
      <c r="H4340" t="s">
        <v>4712</v>
      </c>
      <c r="I4340">
        <v>3</v>
      </c>
    </row>
    <row r="4341" spans="7:9" x14ac:dyDescent="0.15">
      <c r="G4341">
        <v>66600</v>
      </c>
      <c r="H4341" t="s">
        <v>4713</v>
      </c>
      <c r="I4341">
        <v>3</v>
      </c>
    </row>
    <row r="4342" spans="7:9" x14ac:dyDescent="0.15">
      <c r="G4342">
        <v>66614</v>
      </c>
      <c r="H4342" t="s">
        <v>1115</v>
      </c>
      <c r="I4342">
        <v>3</v>
      </c>
    </row>
    <row r="4343" spans="7:9" x14ac:dyDescent="0.15">
      <c r="G4343">
        <v>66628</v>
      </c>
      <c r="H4343" t="s">
        <v>1115</v>
      </c>
      <c r="I4343">
        <v>3</v>
      </c>
    </row>
    <row r="4344" spans="7:9" x14ac:dyDescent="0.15">
      <c r="G4344">
        <v>66642</v>
      </c>
      <c r="H4344" t="s">
        <v>1115</v>
      </c>
      <c r="I4344">
        <v>3</v>
      </c>
    </row>
    <row r="4345" spans="7:9" x14ac:dyDescent="0.15">
      <c r="G4345">
        <v>66656</v>
      </c>
      <c r="H4345" t="s">
        <v>1115</v>
      </c>
      <c r="I4345">
        <v>3</v>
      </c>
    </row>
    <row r="4346" spans="7:9" x14ac:dyDescent="0.15">
      <c r="G4346">
        <v>66670</v>
      </c>
      <c r="H4346" t="s">
        <v>1115</v>
      </c>
      <c r="I4346">
        <v>3</v>
      </c>
    </row>
    <row r="4347" spans="7:9" x14ac:dyDescent="0.15">
      <c r="G4347">
        <v>66684</v>
      </c>
      <c r="H4347" t="s">
        <v>1115</v>
      </c>
      <c r="I4347">
        <v>3</v>
      </c>
    </row>
    <row r="4348" spans="7:9" x14ac:dyDescent="0.15">
      <c r="G4348">
        <v>66698</v>
      </c>
      <c r="H4348" t="s">
        <v>1115</v>
      </c>
      <c r="I4348">
        <v>3</v>
      </c>
    </row>
    <row r="4349" spans="7:9" x14ac:dyDescent="0.15">
      <c r="G4349">
        <v>66712</v>
      </c>
      <c r="H4349" t="s">
        <v>1115</v>
      </c>
      <c r="I4349">
        <v>3</v>
      </c>
    </row>
    <row r="4350" spans="7:9" x14ac:dyDescent="0.15">
      <c r="G4350">
        <v>66740</v>
      </c>
      <c r="H4350" t="s">
        <v>1115</v>
      </c>
      <c r="I4350">
        <v>3</v>
      </c>
    </row>
    <row r="4351" spans="7:9" x14ac:dyDescent="0.15">
      <c r="G4351">
        <v>66754</v>
      </c>
      <c r="H4351" t="s">
        <v>1115</v>
      </c>
      <c r="I4351">
        <v>3</v>
      </c>
    </row>
    <row r="4352" spans="7:9" x14ac:dyDescent="0.15">
      <c r="G4352">
        <v>66760</v>
      </c>
      <c r="H4352" t="s">
        <v>4714</v>
      </c>
      <c r="I4352">
        <v>3</v>
      </c>
    </row>
    <row r="4353" spans="7:9" x14ac:dyDescent="0.15">
      <c r="G4353">
        <v>66768</v>
      </c>
      <c r="H4353" t="s">
        <v>1115</v>
      </c>
      <c r="I4353">
        <v>3</v>
      </c>
    </row>
    <row r="4354" spans="7:9" x14ac:dyDescent="0.15">
      <c r="G4354">
        <v>66782</v>
      </c>
      <c r="H4354" t="s">
        <v>1115</v>
      </c>
      <c r="I4354">
        <v>3</v>
      </c>
    </row>
    <row r="4355" spans="7:9" x14ac:dyDescent="0.15">
      <c r="G4355">
        <v>66796</v>
      </c>
      <c r="H4355" t="s">
        <v>4715</v>
      </c>
      <c r="I4355">
        <v>3</v>
      </c>
    </row>
    <row r="4356" spans="7:9" x14ac:dyDescent="0.15">
      <c r="G4356">
        <v>66810</v>
      </c>
      <c r="H4356" t="s">
        <v>4715</v>
      </c>
      <c r="I4356">
        <v>3</v>
      </c>
    </row>
    <row r="4357" spans="7:9" x14ac:dyDescent="0.15">
      <c r="G4357">
        <v>66824</v>
      </c>
      <c r="H4357" t="s">
        <v>4716</v>
      </c>
      <c r="I4357">
        <v>2</v>
      </c>
    </row>
    <row r="4358" spans="7:9" x14ac:dyDescent="0.15">
      <c r="G4358">
        <v>66866</v>
      </c>
      <c r="H4358" t="s">
        <v>4717</v>
      </c>
      <c r="I4358">
        <v>3</v>
      </c>
    </row>
    <row r="4359" spans="7:9" x14ac:dyDescent="0.15">
      <c r="G4359">
        <v>66880</v>
      </c>
      <c r="H4359" t="s">
        <v>4718</v>
      </c>
      <c r="I4359">
        <v>2</v>
      </c>
    </row>
    <row r="4360" spans="7:9" x14ac:dyDescent="0.15">
      <c r="G4360">
        <v>66894</v>
      </c>
      <c r="H4360" t="s">
        <v>4719</v>
      </c>
      <c r="I4360">
        <v>1</v>
      </c>
    </row>
    <row r="4361" spans="7:9" x14ac:dyDescent="0.15">
      <c r="G4361">
        <v>66922</v>
      </c>
      <c r="H4361" t="s">
        <v>4720</v>
      </c>
      <c r="I4361">
        <v>2</v>
      </c>
    </row>
    <row r="4362" spans="7:9" x14ac:dyDescent="0.15">
      <c r="G4362">
        <v>66936</v>
      </c>
      <c r="H4362" t="s">
        <v>4721</v>
      </c>
      <c r="I4362">
        <v>2</v>
      </c>
    </row>
    <row r="4363" spans="7:9" x14ac:dyDescent="0.15">
      <c r="G4363">
        <v>66945</v>
      </c>
      <c r="H4363" t="s">
        <v>4722</v>
      </c>
      <c r="I4363">
        <v>3</v>
      </c>
    </row>
    <row r="4364" spans="7:9" x14ac:dyDescent="0.15">
      <c r="G4364">
        <v>66978</v>
      </c>
      <c r="H4364" t="s">
        <v>4723</v>
      </c>
      <c r="I4364">
        <v>3</v>
      </c>
    </row>
    <row r="4365" spans="7:9" x14ac:dyDescent="0.15">
      <c r="G4365">
        <v>66992</v>
      </c>
      <c r="H4365" t="s">
        <v>4723</v>
      </c>
      <c r="I4365">
        <v>3</v>
      </c>
    </row>
    <row r="4366" spans="7:9" x14ac:dyDescent="0.15">
      <c r="G4366">
        <v>67006</v>
      </c>
      <c r="H4366" t="s">
        <v>4724</v>
      </c>
      <c r="I4366">
        <v>3</v>
      </c>
    </row>
    <row r="4367" spans="7:9" x14ac:dyDescent="0.15">
      <c r="G4367">
        <v>67020</v>
      </c>
      <c r="H4367" t="s">
        <v>4725</v>
      </c>
      <c r="I4367">
        <v>3</v>
      </c>
    </row>
    <row r="4368" spans="7:9" x14ac:dyDescent="0.15">
      <c r="G4368">
        <v>67034</v>
      </c>
      <c r="H4368" t="s">
        <v>4726</v>
      </c>
      <c r="I4368">
        <v>3</v>
      </c>
    </row>
    <row r="4369" spans="7:9" x14ac:dyDescent="0.15">
      <c r="G4369">
        <v>67062</v>
      </c>
      <c r="H4369" t="s">
        <v>4727</v>
      </c>
      <c r="I4369">
        <v>3</v>
      </c>
    </row>
    <row r="4370" spans="7:9" x14ac:dyDescent="0.15">
      <c r="G4370">
        <v>67090</v>
      </c>
      <c r="H4370" t="s">
        <v>4728</v>
      </c>
      <c r="I4370">
        <v>3</v>
      </c>
    </row>
    <row r="4371" spans="7:9" x14ac:dyDescent="0.15">
      <c r="G4371">
        <v>67104</v>
      </c>
      <c r="H4371" t="s">
        <v>4729</v>
      </c>
      <c r="I4371">
        <v>2</v>
      </c>
    </row>
    <row r="4372" spans="7:9" x14ac:dyDescent="0.15">
      <c r="G4372">
        <v>67118</v>
      </c>
      <c r="H4372" t="s">
        <v>4730</v>
      </c>
      <c r="I4372">
        <v>2</v>
      </c>
    </row>
    <row r="4373" spans="7:9" x14ac:dyDescent="0.15">
      <c r="G4373">
        <v>67146</v>
      </c>
      <c r="H4373" t="s">
        <v>4731</v>
      </c>
      <c r="I4373">
        <v>3</v>
      </c>
    </row>
    <row r="4374" spans="7:9" x14ac:dyDescent="0.15">
      <c r="G4374">
        <v>67155</v>
      </c>
      <c r="H4374" t="s">
        <v>4732</v>
      </c>
      <c r="I4374">
        <v>3</v>
      </c>
    </row>
    <row r="4375" spans="7:9" x14ac:dyDescent="0.15">
      <c r="G4375">
        <v>67165</v>
      </c>
      <c r="H4375" t="s">
        <v>4733</v>
      </c>
      <c r="I4375">
        <v>3</v>
      </c>
    </row>
    <row r="4376" spans="7:9" x14ac:dyDescent="0.15">
      <c r="G4376">
        <v>67174</v>
      </c>
      <c r="H4376" t="s">
        <v>4734</v>
      </c>
      <c r="I4376">
        <v>3</v>
      </c>
    </row>
    <row r="4377" spans="7:9" x14ac:dyDescent="0.15">
      <c r="G4377">
        <v>67188</v>
      </c>
      <c r="H4377" t="s">
        <v>4734</v>
      </c>
      <c r="I4377">
        <v>3</v>
      </c>
    </row>
    <row r="4378" spans="7:9" x14ac:dyDescent="0.15">
      <c r="G4378">
        <v>67202</v>
      </c>
      <c r="H4378" t="s">
        <v>4735</v>
      </c>
      <c r="I4378">
        <v>3</v>
      </c>
    </row>
    <row r="4379" spans="7:9" x14ac:dyDescent="0.15">
      <c r="G4379">
        <v>67216</v>
      </c>
      <c r="H4379" t="s">
        <v>4736</v>
      </c>
      <c r="I4379">
        <v>3</v>
      </c>
    </row>
    <row r="4380" spans="7:9" x14ac:dyDescent="0.15">
      <c r="G4380">
        <v>67230</v>
      </c>
      <c r="H4380" t="s">
        <v>4737</v>
      </c>
      <c r="I4380">
        <v>3</v>
      </c>
    </row>
    <row r="4381" spans="7:9" x14ac:dyDescent="0.15">
      <c r="G4381">
        <v>67258</v>
      </c>
      <c r="H4381" t="s">
        <v>4738</v>
      </c>
      <c r="I4381">
        <v>2</v>
      </c>
    </row>
    <row r="4382" spans="7:9" x14ac:dyDescent="0.15">
      <c r="G4382">
        <v>67272</v>
      </c>
      <c r="H4382" t="s">
        <v>4739</v>
      </c>
      <c r="I4382">
        <v>2</v>
      </c>
    </row>
    <row r="4383" spans="7:9" x14ac:dyDescent="0.15">
      <c r="G4383">
        <v>67286</v>
      </c>
      <c r="H4383" t="s">
        <v>1109</v>
      </c>
      <c r="I4383">
        <v>3</v>
      </c>
    </row>
    <row r="4384" spans="7:9" x14ac:dyDescent="0.15">
      <c r="G4384">
        <v>67300</v>
      </c>
      <c r="H4384" t="s">
        <v>1109</v>
      </c>
      <c r="I4384">
        <v>3</v>
      </c>
    </row>
    <row r="4385" spans="7:9" x14ac:dyDescent="0.15">
      <c r="G4385">
        <v>67314</v>
      </c>
      <c r="H4385" t="s">
        <v>4740</v>
      </c>
      <c r="I4385">
        <v>2</v>
      </c>
    </row>
    <row r="4386" spans="7:9" x14ac:dyDescent="0.15">
      <c r="G4386">
        <v>67342</v>
      </c>
      <c r="H4386" t="s">
        <v>4741</v>
      </c>
      <c r="I4386">
        <v>3</v>
      </c>
    </row>
    <row r="4387" spans="7:9" x14ac:dyDescent="0.15">
      <c r="G4387">
        <v>67356</v>
      </c>
      <c r="H4387" t="s">
        <v>4742</v>
      </c>
      <c r="I4387">
        <v>1</v>
      </c>
    </row>
    <row r="4388" spans="7:9" x14ac:dyDescent="0.15">
      <c r="G4388">
        <v>67370</v>
      </c>
      <c r="H4388" t="s">
        <v>4743</v>
      </c>
      <c r="I4388">
        <v>3</v>
      </c>
    </row>
    <row r="4389" spans="7:9" x14ac:dyDescent="0.15">
      <c r="G4389">
        <v>67384</v>
      </c>
      <c r="H4389" t="s">
        <v>4744</v>
      </c>
      <c r="I4389">
        <v>3</v>
      </c>
    </row>
    <row r="4390" spans="7:9" x14ac:dyDescent="0.15">
      <c r="G4390">
        <v>67398</v>
      </c>
      <c r="H4390" t="s">
        <v>4744</v>
      </c>
      <c r="I4390">
        <v>3</v>
      </c>
    </row>
    <row r="4391" spans="7:9" x14ac:dyDescent="0.15">
      <c r="G4391">
        <v>67412</v>
      </c>
      <c r="H4391" t="s">
        <v>4745</v>
      </c>
      <c r="I4391">
        <v>3</v>
      </c>
    </row>
    <row r="4392" spans="7:9" x14ac:dyDescent="0.15">
      <c r="G4392">
        <v>67426</v>
      </c>
      <c r="H4392" t="s">
        <v>4746</v>
      </c>
      <c r="I4392">
        <v>3</v>
      </c>
    </row>
    <row r="4393" spans="7:9" x14ac:dyDescent="0.15">
      <c r="G4393">
        <v>67440</v>
      </c>
      <c r="H4393" t="s">
        <v>4747</v>
      </c>
      <c r="I4393">
        <v>2</v>
      </c>
    </row>
    <row r="4394" spans="7:9" x14ac:dyDescent="0.15">
      <c r="G4394">
        <v>67454</v>
      </c>
      <c r="H4394" t="s">
        <v>4748</v>
      </c>
      <c r="I4394">
        <v>3</v>
      </c>
    </row>
    <row r="4395" spans="7:9" x14ac:dyDescent="0.15">
      <c r="G4395">
        <v>67468</v>
      </c>
      <c r="H4395" t="s">
        <v>4748</v>
      </c>
      <c r="I4395">
        <v>1</v>
      </c>
    </row>
    <row r="4396" spans="7:9" x14ac:dyDescent="0.15">
      <c r="G4396">
        <v>67496</v>
      </c>
      <c r="H4396" t="s">
        <v>4749</v>
      </c>
      <c r="I4396">
        <v>3</v>
      </c>
    </row>
    <row r="4397" spans="7:9" x14ac:dyDescent="0.15">
      <c r="G4397">
        <v>67510</v>
      </c>
      <c r="H4397" t="s">
        <v>4750</v>
      </c>
      <c r="I4397">
        <v>3</v>
      </c>
    </row>
    <row r="4398" spans="7:9" x14ac:dyDescent="0.15">
      <c r="G4398">
        <v>67524</v>
      </c>
      <c r="H4398" t="s">
        <v>4751</v>
      </c>
      <c r="I4398">
        <v>3</v>
      </c>
    </row>
    <row r="4399" spans="7:9" x14ac:dyDescent="0.15">
      <c r="G4399">
        <v>67530</v>
      </c>
      <c r="H4399" t="s">
        <v>4751</v>
      </c>
      <c r="I4399">
        <v>3</v>
      </c>
    </row>
    <row r="4400" spans="7:9" x14ac:dyDescent="0.15">
      <c r="G4400">
        <v>67538</v>
      </c>
      <c r="H4400" t="s">
        <v>4751</v>
      </c>
      <c r="I4400">
        <v>3</v>
      </c>
    </row>
    <row r="4401" spans="7:9" x14ac:dyDescent="0.15">
      <c r="G4401">
        <v>67545</v>
      </c>
      <c r="H4401" t="s">
        <v>4752</v>
      </c>
      <c r="I4401">
        <v>3</v>
      </c>
    </row>
    <row r="4402" spans="7:9" x14ac:dyDescent="0.15">
      <c r="G4402">
        <v>67560</v>
      </c>
      <c r="H4402" t="s">
        <v>4753</v>
      </c>
      <c r="I4402">
        <v>3</v>
      </c>
    </row>
    <row r="4403" spans="7:9" x14ac:dyDescent="0.15">
      <c r="G4403">
        <v>67566</v>
      </c>
      <c r="H4403" t="s">
        <v>4754</v>
      </c>
      <c r="I4403">
        <v>3</v>
      </c>
    </row>
    <row r="4404" spans="7:9" x14ac:dyDescent="0.15">
      <c r="G4404">
        <v>67580</v>
      </c>
      <c r="H4404" t="s">
        <v>4755</v>
      </c>
      <c r="I4404">
        <v>3</v>
      </c>
    </row>
    <row r="4405" spans="7:9" x14ac:dyDescent="0.15">
      <c r="G4405">
        <v>67587</v>
      </c>
      <c r="H4405" t="s">
        <v>4756</v>
      </c>
      <c r="I4405">
        <v>3</v>
      </c>
    </row>
    <row r="4406" spans="7:9" x14ac:dyDescent="0.15">
      <c r="G4406">
        <v>67594</v>
      </c>
      <c r="H4406" t="s">
        <v>4757</v>
      </c>
      <c r="I4406">
        <v>3</v>
      </c>
    </row>
    <row r="4407" spans="7:9" x14ac:dyDescent="0.15">
      <c r="G4407">
        <v>67600</v>
      </c>
      <c r="H4407" t="s">
        <v>4758</v>
      </c>
      <c r="I4407">
        <v>2</v>
      </c>
    </row>
    <row r="4408" spans="7:9" x14ac:dyDescent="0.15">
      <c r="G4408">
        <v>67608</v>
      </c>
      <c r="H4408" t="s">
        <v>4759</v>
      </c>
      <c r="I4408">
        <v>3</v>
      </c>
    </row>
    <row r="4409" spans="7:9" x14ac:dyDescent="0.15">
      <c r="G4409">
        <v>67650</v>
      </c>
      <c r="H4409" t="s">
        <v>4760</v>
      </c>
      <c r="I4409">
        <v>3</v>
      </c>
    </row>
    <row r="4410" spans="7:9" x14ac:dyDescent="0.15">
      <c r="G4410">
        <v>67655</v>
      </c>
      <c r="H4410" t="s">
        <v>4761</v>
      </c>
      <c r="I4410">
        <v>3</v>
      </c>
    </row>
    <row r="4411" spans="7:9" x14ac:dyDescent="0.15">
      <c r="G4411">
        <v>67664</v>
      </c>
      <c r="H4411" t="s">
        <v>4762</v>
      </c>
      <c r="I4411">
        <v>2</v>
      </c>
    </row>
    <row r="4412" spans="7:9" x14ac:dyDescent="0.15">
      <c r="G4412">
        <v>67678</v>
      </c>
      <c r="H4412" t="s">
        <v>4763</v>
      </c>
      <c r="I4412">
        <v>3</v>
      </c>
    </row>
    <row r="4413" spans="7:9" x14ac:dyDescent="0.15">
      <c r="G4413">
        <v>67720</v>
      </c>
      <c r="H4413" t="s">
        <v>4764</v>
      </c>
      <c r="I4413">
        <v>3</v>
      </c>
    </row>
    <row r="4414" spans="7:9" x14ac:dyDescent="0.15">
      <c r="G4414">
        <v>67734</v>
      </c>
      <c r="H4414" t="s">
        <v>4765</v>
      </c>
      <c r="I4414">
        <v>3</v>
      </c>
    </row>
    <row r="4415" spans="7:9" x14ac:dyDescent="0.15">
      <c r="G4415">
        <v>67755</v>
      </c>
      <c r="H4415" t="s">
        <v>4766</v>
      </c>
      <c r="I4415">
        <v>3</v>
      </c>
    </row>
    <row r="4416" spans="7:9" x14ac:dyDescent="0.15">
      <c r="G4416">
        <v>67762</v>
      </c>
      <c r="H4416" t="s">
        <v>4766</v>
      </c>
      <c r="I4416">
        <v>2</v>
      </c>
    </row>
    <row r="4417" spans="7:9" x14ac:dyDescent="0.15">
      <c r="G4417">
        <v>67776</v>
      </c>
      <c r="H4417" t="s">
        <v>4767</v>
      </c>
      <c r="I4417">
        <v>3</v>
      </c>
    </row>
    <row r="4418" spans="7:9" x14ac:dyDescent="0.15">
      <c r="G4418">
        <v>67794</v>
      </c>
      <c r="H4418" t="s">
        <v>4768</v>
      </c>
      <c r="I4418">
        <v>3</v>
      </c>
    </row>
    <row r="4419" spans="7:9" x14ac:dyDescent="0.15">
      <c r="G4419">
        <v>67797</v>
      </c>
      <c r="H4419" t="s">
        <v>4769</v>
      </c>
      <c r="I4419">
        <v>3</v>
      </c>
    </row>
    <row r="4420" spans="7:9" x14ac:dyDescent="0.15">
      <c r="G4420">
        <v>67804</v>
      </c>
      <c r="H4420" t="s">
        <v>4770</v>
      </c>
      <c r="I4420">
        <v>2</v>
      </c>
    </row>
    <row r="4421" spans="7:9" x14ac:dyDescent="0.15">
      <c r="G4421">
        <v>67818</v>
      </c>
      <c r="H4421" t="s">
        <v>4771</v>
      </c>
      <c r="I4421">
        <v>3</v>
      </c>
    </row>
    <row r="4422" spans="7:9" x14ac:dyDescent="0.15">
      <c r="G4422">
        <v>67832</v>
      </c>
      <c r="H4422" t="s">
        <v>4771</v>
      </c>
      <c r="I4422">
        <v>3</v>
      </c>
    </row>
    <row r="4423" spans="7:9" x14ac:dyDescent="0.15">
      <c r="G4423">
        <v>67846</v>
      </c>
      <c r="H4423" t="s">
        <v>4772</v>
      </c>
      <c r="I4423">
        <v>2</v>
      </c>
    </row>
    <row r="4424" spans="7:9" x14ac:dyDescent="0.15">
      <c r="G4424">
        <v>67855</v>
      </c>
      <c r="H4424" t="s">
        <v>4773</v>
      </c>
      <c r="I4424">
        <v>3</v>
      </c>
    </row>
    <row r="4425" spans="7:9" x14ac:dyDescent="0.15">
      <c r="G4425">
        <v>67860</v>
      </c>
      <c r="H4425" t="s">
        <v>4774</v>
      </c>
      <c r="I4425">
        <v>3</v>
      </c>
    </row>
    <row r="4426" spans="7:9" x14ac:dyDescent="0.15">
      <c r="G4426">
        <v>67874</v>
      </c>
      <c r="H4426" t="s">
        <v>4775</v>
      </c>
      <c r="I4426">
        <v>2</v>
      </c>
    </row>
    <row r="4427" spans="7:9" x14ac:dyDescent="0.15">
      <c r="G4427">
        <v>67878</v>
      </c>
      <c r="H4427" t="s">
        <v>4775</v>
      </c>
      <c r="I4427">
        <v>3</v>
      </c>
    </row>
    <row r="4428" spans="7:9" x14ac:dyDescent="0.15">
      <c r="G4428">
        <v>67882</v>
      </c>
      <c r="H4428" t="s">
        <v>4776</v>
      </c>
      <c r="I4428">
        <v>3</v>
      </c>
    </row>
    <row r="4429" spans="7:9" x14ac:dyDescent="0.15">
      <c r="G4429">
        <v>67888</v>
      </c>
      <c r="H4429" t="s">
        <v>4777</v>
      </c>
      <c r="I4429">
        <v>3</v>
      </c>
    </row>
    <row r="4430" spans="7:9" x14ac:dyDescent="0.15">
      <c r="G4430">
        <v>67902</v>
      </c>
      <c r="H4430" t="s">
        <v>4778</v>
      </c>
      <c r="I4430">
        <v>3</v>
      </c>
    </row>
    <row r="4431" spans="7:9" x14ac:dyDescent="0.15">
      <c r="G4431">
        <v>67910</v>
      </c>
      <c r="H4431" t="s">
        <v>4779</v>
      </c>
      <c r="I4431">
        <v>3</v>
      </c>
    </row>
    <row r="4432" spans="7:9" x14ac:dyDescent="0.15">
      <c r="G4432">
        <v>67916</v>
      </c>
      <c r="H4432" t="s">
        <v>4780</v>
      </c>
      <c r="I4432">
        <v>3</v>
      </c>
    </row>
    <row r="4433" spans="7:9" x14ac:dyDescent="0.15">
      <c r="G4433">
        <v>67930</v>
      </c>
      <c r="H4433" t="s">
        <v>4781</v>
      </c>
      <c r="I4433">
        <v>3</v>
      </c>
    </row>
    <row r="4434" spans="7:9" x14ac:dyDescent="0.15">
      <c r="G4434">
        <v>67945</v>
      </c>
      <c r="H4434" t="s">
        <v>4782</v>
      </c>
      <c r="I4434">
        <v>3</v>
      </c>
    </row>
    <row r="4435" spans="7:9" x14ac:dyDescent="0.15">
      <c r="G4435">
        <v>67958</v>
      </c>
      <c r="H4435" t="s">
        <v>4783</v>
      </c>
      <c r="I4435">
        <v>3</v>
      </c>
    </row>
    <row r="4436" spans="7:9" x14ac:dyDescent="0.15">
      <c r="G4436">
        <v>67965</v>
      </c>
      <c r="H4436" t="s">
        <v>4783</v>
      </c>
      <c r="I4436">
        <v>3</v>
      </c>
    </row>
    <row r="4437" spans="7:9" x14ac:dyDescent="0.15">
      <c r="G4437">
        <v>67972</v>
      </c>
      <c r="H4437" t="s">
        <v>4784</v>
      </c>
      <c r="I4437">
        <v>3</v>
      </c>
    </row>
    <row r="4438" spans="7:9" x14ac:dyDescent="0.15">
      <c r="G4438">
        <v>67986</v>
      </c>
      <c r="H4438" t="s">
        <v>4785</v>
      </c>
      <c r="I4438">
        <v>3</v>
      </c>
    </row>
    <row r="4439" spans="7:9" x14ac:dyDescent="0.15">
      <c r="G4439">
        <v>68004</v>
      </c>
      <c r="H4439" t="s">
        <v>4786</v>
      </c>
      <c r="I4439">
        <v>2</v>
      </c>
    </row>
    <row r="4440" spans="7:9" x14ac:dyDescent="0.15">
      <c r="G4440">
        <v>68014</v>
      </c>
      <c r="H4440" t="s">
        <v>4787</v>
      </c>
      <c r="I4440">
        <v>3</v>
      </c>
    </row>
    <row r="4441" spans="7:9" x14ac:dyDescent="0.15">
      <c r="G4441">
        <v>68042</v>
      </c>
      <c r="H4441" t="s">
        <v>4788</v>
      </c>
      <c r="I4441">
        <v>2</v>
      </c>
    </row>
    <row r="4442" spans="7:9" x14ac:dyDescent="0.15">
      <c r="G4442">
        <v>68056</v>
      </c>
      <c r="H4442" t="s">
        <v>4789</v>
      </c>
      <c r="I4442">
        <v>1</v>
      </c>
    </row>
    <row r="4443" spans="7:9" x14ac:dyDescent="0.15">
      <c r="G4443">
        <v>68070</v>
      </c>
      <c r="H4443" t="s">
        <v>4790</v>
      </c>
      <c r="I4443">
        <v>3</v>
      </c>
    </row>
    <row r="4444" spans="7:9" x14ac:dyDescent="0.15">
      <c r="G4444">
        <v>68084</v>
      </c>
      <c r="H4444" t="s">
        <v>4791</v>
      </c>
      <c r="I4444">
        <v>2</v>
      </c>
    </row>
    <row r="4445" spans="7:9" x14ac:dyDescent="0.15">
      <c r="G4445">
        <v>68098</v>
      </c>
      <c r="H4445" t="s">
        <v>4792</v>
      </c>
      <c r="I4445">
        <v>3</v>
      </c>
    </row>
    <row r="4446" spans="7:9" x14ac:dyDescent="0.15">
      <c r="G4446">
        <v>68112</v>
      </c>
      <c r="H4446" t="s">
        <v>4793</v>
      </c>
      <c r="I4446">
        <v>3</v>
      </c>
    </row>
    <row r="4447" spans="7:9" x14ac:dyDescent="0.15">
      <c r="G4447">
        <v>68126</v>
      </c>
      <c r="H4447" t="s">
        <v>4794</v>
      </c>
      <c r="I4447">
        <v>3</v>
      </c>
    </row>
    <row r="4448" spans="7:9" x14ac:dyDescent="0.15">
      <c r="G4448">
        <v>68150</v>
      </c>
      <c r="H4448" t="s">
        <v>4795</v>
      </c>
      <c r="I4448">
        <v>3</v>
      </c>
    </row>
    <row r="4449" spans="7:9" x14ac:dyDescent="0.15">
      <c r="G4449">
        <v>68196</v>
      </c>
      <c r="H4449" t="s">
        <v>4796</v>
      </c>
      <c r="I4449">
        <v>2</v>
      </c>
    </row>
    <row r="4450" spans="7:9" x14ac:dyDescent="0.15">
      <c r="G4450">
        <v>68210</v>
      </c>
      <c r="H4450" t="s">
        <v>4796</v>
      </c>
      <c r="I4450">
        <v>3</v>
      </c>
    </row>
    <row r="4451" spans="7:9" x14ac:dyDescent="0.15">
      <c r="G4451">
        <v>68224</v>
      </c>
      <c r="H4451" t="s">
        <v>4797</v>
      </c>
      <c r="I4451">
        <v>3</v>
      </c>
    </row>
    <row r="4452" spans="7:9" x14ac:dyDescent="0.15">
      <c r="G4452">
        <v>68238</v>
      </c>
      <c r="H4452" t="s">
        <v>4797</v>
      </c>
      <c r="I4452">
        <v>3</v>
      </c>
    </row>
    <row r="4453" spans="7:9" x14ac:dyDescent="0.15">
      <c r="G4453">
        <v>68245</v>
      </c>
      <c r="H4453" t="s">
        <v>4796</v>
      </c>
      <c r="I4453">
        <v>3</v>
      </c>
    </row>
    <row r="4454" spans="7:9" x14ac:dyDescent="0.15">
      <c r="G4454">
        <v>68266</v>
      </c>
      <c r="H4454" t="s">
        <v>4796</v>
      </c>
      <c r="I4454">
        <v>3</v>
      </c>
    </row>
    <row r="4455" spans="7:9" x14ac:dyDescent="0.15">
      <c r="G4455">
        <v>68280</v>
      </c>
      <c r="H4455" t="s">
        <v>4797</v>
      </c>
      <c r="I4455">
        <v>3</v>
      </c>
    </row>
    <row r="4456" spans="7:9" x14ac:dyDescent="0.15">
      <c r="G4456">
        <v>68294</v>
      </c>
      <c r="H4456" t="s">
        <v>4796</v>
      </c>
      <c r="I4456">
        <v>3</v>
      </c>
    </row>
    <row r="4457" spans="7:9" x14ac:dyDescent="0.15">
      <c r="G4457">
        <v>68310</v>
      </c>
      <c r="H4457" t="s">
        <v>4798</v>
      </c>
      <c r="I4457">
        <v>3</v>
      </c>
    </row>
    <row r="4458" spans="7:9" x14ac:dyDescent="0.15">
      <c r="G4458">
        <v>68322</v>
      </c>
      <c r="H4458" t="s">
        <v>4799</v>
      </c>
      <c r="I4458">
        <v>3</v>
      </c>
    </row>
    <row r="4459" spans="7:9" x14ac:dyDescent="0.15">
      <c r="G4459">
        <v>68378</v>
      </c>
      <c r="H4459" t="s">
        <v>4800</v>
      </c>
      <c r="I4459">
        <v>3</v>
      </c>
    </row>
    <row r="4460" spans="7:9" x14ac:dyDescent="0.15">
      <c r="G4460">
        <v>68392</v>
      </c>
      <c r="H4460" t="s">
        <v>4801</v>
      </c>
      <c r="I4460">
        <v>3</v>
      </c>
    </row>
    <row r="4461" spans="7:9" x14ac:dyDescent="0.15">
      <c r="G4461">
        <v>68406</v>
      </c>
      <c r="H4461" t="s">
        <v>4802</v>
      </c>
      <c r="I4461">
        <v>3</v>
      </c>
    </row>
    <row r="4462" spans="7:9" x14ac:dyDescent="0.15">
      <c r="G4462">
        <v>68420</v>
      </c>
      <c r="H4462" t="s">
        <v>4803</v>
      </c>
      <c r="I4462">
        <v>3</v>
      </c>
    </row>
    <row r="4463" spans="7:9" x14ac:dyDescent="0.15">
      <c r="G4463">
        <v>68427</v>
      </c>
      <c r="H4463" t="s">
        <v>4804</v>
      </c>
      <c r="I4463">
        <v>3</v>
      </c>
    </row>
    <row r="4464" spans="7:9" x14ac:dyDescent="0.15">
      <c r="G4464">
        <v>68434</v>
      </c>
      <c r="H4464" t="s">
        <v>4804</v>
      </c>
      <c r="I4464">
        <v>3</v>
      </c>
    </row>
    <row r="4465" spans="7:9" x14ac:dyDescent="0.15">
      <c r="G4465">
        <v>68448</v>
      </c>
      <c r="H4465" t="s">
        <v>4805</v>
      </c>
      <c r="I4465">
        <v>3</v>
      </c>
    </row>
    <row r="4466" spans="7:9" x14ac:dyDescent="0.15">
      <c r="G4466">
        <v>68476</v>
      </c>
      <c r="H4466" t="s">
        <v>4806</v>
      </c>
      <c r="I4466">
        <v>3</v>
      </c>
    </row>
    <row r="4467" spans="7:9" x14ac:dyDescent="0.15">
      <c r="G4467">
        <v>68490</v>
      </c>
      <c r="H4467" t="s">
        <v>4807</v>
      </c>
      <c r="I4467">
        <v>3</v>
      </c>
    </row>
    <row r="4468" spans="7:9" x14ac:dyDescent="0.15">
      <c r="G4468">
        <v>68495</v>
      </c>
      <c r="H4468" t="s">
        <v>4808</v>
      </c>
      <c r="I4468">
        <v>3</v>
      </c>
    </row>
    <row r="4469" spans="7:9" x14ac:dyDescent="0.15">
      <c r="G4469">
        <v>68504</v>
      </c>
      <c r="H4469" t="s">
        <v>4809</v>
      </c>
      <c r="I4469">
        <v>3</v>
      </c>
    </row>
    <row r="4470" spans="7:9" x14ac:dyDescent="0.15">
      <c r="G4470">
        <v>68518</v>
      </c>
      <c r="H4470" t="s">
        <v>4810</v>
      </c>
      <c r="I4470">
        <v>3</v>
      </c>
    </row>
    <row r="4471" spans="7:9" x14ac:dyDescent="0.15">
      <c r="G4471">
        <v>68532</v>
      </c>
      <c r="H4471" t="s">
        <v>4811</v>
      </c>
      <c r="I4471">
        <v>3</v>
      </c>
    </row>
    <row r="4472" spans="7:9" x14ac:dyDescent="0.15">
      <c r="G4472">
        <v>68540</v>
      </c>
      <c r="H4472" t="s">
        <v>4812</v>
      </c>
      <c r="I4472">
        <v>3</v>
      </c>
    </row>
    <row r="4473" spans="7:9" x14ac:dyDescent="0.15">
      <c r="G4473">
        <v>68546</v>
      </c>
      <c r="H4473" t="s">
        <v>4813</v>
      </c>
      <c r="I4473">
        <v>2</v>
      </c>
    </row>
    <row r="4474" spans="7:9" x14ac:dyDescent="0.15">
      <c r="G4474">
        <v>68560</v>
      </c>
      <c r="H4474" t="s">
        <v>4814</v>
      </c>
      <c r="I4474">
        <v>2</v>
      </c>
    </row>
    <row r="4475" spans="7:9" x14ac:dyDescent="0.15">
      <c r="G4475">
        <v>68574</v>
      </c>
      <c r="H4475" t="s">
        <v>4815</v>
      </c>
      <c r="I4475">
        <v>2</v>
      </c>
    </row>
    <row r="4476" spans="7:9" x14ac:dyDescent="0.15">
      <c r="G4476">
        <v>68602</v>
      </c>
      <c r="H4476" t="s">
        <v>4816</v>
      </c>
      <c r="I4476">
        <v>2</v>
      </c>
    </row>
    <row r="4477" spans="7:9" x14ac:dyDescent="0.15">
      <c r="G4477">
        <v>68616</v>
      </c>
      <c r="H4477" t="s">
        <v>4817</v>
      </c>
      <c r="I4477">
        <v>3</v>
      </c>
    </row>
    <row r="4478" spans="7:9" x14ac:dyDescent="0.15">
      <c r="G4478">
        <v>68630</v>
      </c>
      <c r="H4478" t="s">
        <v>4817</v>
      </c>
      <c r="I4478">
        <v>3</v>
      </c>
    </row>
    <row r="4479" spans="7:9" x14ac:dyDescent="0.15">
      <c r="G4479">
        <v>68644</v>
      </c>
      <c r="H4479" t="s">
        <v>4817</v>
      </c>
      <c r="I4479">
        <v>3</v>
      </c>
    </row>
    <row r="4480" spans="7:9" x14ac:dyDescent="0.15">
      <c r="G4480">
        <v>68672</v>
      </c>
      <c r="H4480" t="s">
        <v>4818</v>
      </c>
      <c r="I4480">
        <v>2</v>
      </c>
    </row>
    <row r="4481" spans="7:9" x14ac:dyDescent="0.15">
      <c r="G4481">
        <v>68680</v>
      </c>
      <c r="H4481" t="s">
        <v>4819</v>
      </c>
      <c r="I4481">
        <v>3</v>
      </c>
    </row>
    <row r="4482" spans="7:9" x14ac:dyDescent="0.15">
      <c r="G4482">
        <v>68686</v>
      </c>
      <c r="H4482" t="s">
        <v>4820</v>
      </c>
      <c r="I4482">
        <v>1</v>
      </c>
    </row>
    <row r="4483" spans="7:9" x14ac:dyDescent="0.15">
      <c r="G4483">
        <v>68714</v>
      </c>
      <c r="H4483" t="s">
        <v>4821</v>
      </c>
      <c r="I4483">
        <v>2</v>
      </c>
    </row>
    <row r="4484" spans="7:9" x14ac:dyDescent="0.15">
      <c r="G4484">
        <v>68742</v>
      </c>
      <c r="H4484" t="s">
        <v>4822</v>
      </c>
      <c r="I4484">
        <v>2</v>
      </c>
    </row>
    <row r="4485" spans="7:9" x14ac:dyDescent="0.15">
      <c r="G4485">
        <v>68756</v>
      </c>
      <c r="H4485" t="s">
        <v>4823</v>
      </c>
      <c r="I4485">
        <v>3</v>
      </c>
    </row>
    <row r="4486" spans="7:9" x14ac:dyDescent="0.15">
      <c r="G4486">
        <v>68770</v>
      </c>
      <c r="H4486" t="s">
        <v>4824</v>
      </c>
      <c r="I4486">
        <v>3</v>
      </c>
    </row>
    <row r="4487" spans="7:9" x14ac:dyDescent="0.15">
      <c r="G4487">
        <v>68784</v>
      </c>
      <c r="H4487" t="s">
        <v>4825</v>
      </c>
      <c r="I4487">
        <v>3</v>
      </c>
    </row>
    <row r="4488" spans="7:9" x14ac:dyDescent="0.15">
      <c r="G4488">
        <v>68798</v>
      </c>
      <c r="H4488" t="s">
        <v>4826</v>
      </c>
      <c r="I4488">
        <v>3</v>
      </c>
    </row>
    <row r="4489" spans="7:9" x14ac:dyDescent="0.15">
      <c r="G4489">
        <v>68802</v>
      </c>
      <c r="H4489" t="s">
        <v>4827</v>
      </c>
      <c r="I4489">
        <v>3</v>
      </c>
    </row>
    <row r="4490" spans="7:9" x14ac:dyDescent="0.15">
      <c r="G4490">
        <v>68808</v>
      </c>
      <c r="H4490" t="s">
        <v>4828</v>
      </c>
      <c r="I4490">
        <v>3</v>
      </c>
    </row>
    <row r="4491" spans="7:9" x14ac:dyDescent="0.15">
      <c r="G4491">
        <v>68812</v>
      </c>
      <c r="H4491" t="s">
        <v>4829</v>
      </c>
      <c r="I4491">
        <v>3</v>
      </c>
    </row>
    <row r="4492" spans="7:9" x14ac:dyDescent="0.15">
      <c r="G4492">
        <v>68826</v>
      </c>
      <c r="H4492" t="s">
        <v>4830</v>
      </c>
      <c r="I4492">
        <v>3</v>
      </c>
    </row>
    <row r="4493" spans="7:9" x14ac:dyDescent="0.15">
      <c r="G4493">
        <v>68840</v>
      </c>
      <c r="H4493" t="s">
        <v>4831</v>
      </c>
      <c r="I4493">
        <v>3</v>
      </c>
    </row>
    <row r="4494" spans="7:9" x14ac:dyDescent="0.15">
      <c r="G4494">
        <v>68854</v>
      </c>
      <c r="H4494" t="s">
        <v>4832</v>
      </c>
      <c r="I4494">
        <v>3</v>
      </c>
    </row>
    <row r="4495" spans="7:9" x14ac:dyDescent="0.15">
      <c r="G4495">
        <v>68882</v>
      </c>
      <c r="H4495" t="s">
        <v>4833</v>
      </c>
      <c r="I4495">
        <v>3</v>
      </c>
    </row>
    <row r="4496" spans="7:9" x14ac:dyDescent="0.15">
      <c r="G4496">
        <v>68896</v>
      </c>
      <c r="H4496" t="s">
        <v>4834</v>
      </c>
      <c r="I4496">
        <v>3</v>
      </c>
    </row>
    <row r="4497" spans="7:9" x14ac:dyDescent="0.15">
      <c r="G4497">
        <v>68910</v>
      </c>
      <c r="H4497" t="s">
        <v>4835</v>
      </c>
      <c r="I4497">
        <v>3</v>
      </c>
    </row>
    <row r="4498" spans="7:9" x14ac:dyDescent="0.15">
      <c r="G4498">
        <v>68924</v>
      </c>
      <c r="H4498" t="s">
        <v>4836</v>
      </c>
      <c r="I4498">
        <v>3</v>
      </c>
    </row>
    <row r="4499" spans="7:9" x14ac:dyDescent="0.15">
      <c r="G4499">
        <v>68938</v>
      </c>
      <c r="H4499" t="s">
        <v>4837</v>
      </c>
      <c r="I4499">
        <v>2</v>
      </c>
    </row>
    <row r="4500" spans="7:9" x14ac:dyDescent="0.15">
      <c r="G4500">
        <v>68952</v>
      </c>
      <c r="H4500" t="s">
        <v>4838</v>
      </c>
      <c r="I4500">
        <v>3</v>
      </c>
    </row>
    <row r="4501" spans="7:9" x14ac:dyDescent="0.15">
      <c r="G4501">
        <v>68966</v>
      </c>
      <c r="H4501" t="s">
        <v>4839</v>
      </c>
      <c r="I4501">
        <v>3</v>
      </c>
    </row>
    <row r="4502" spans="7:9" x14ac:dyDescent="0.15">
      <c r="G4502">
        <v>68980</v>
      </c>
      <c r="H4502" t="s">
        <v>4840</v>
      </c>
      <c r="I4502">
        <v>3</v>
      </c>
    </row>
    <row r="4503" spans="7:9" x14ac:dyDescent="0.15">
      <c r="G4503">
        <v>68994</v>
      </c>
      <c r="H4503" t="s">
        <v>4841</v>
      </c>
      <c r="I4503">
        <v>3</v>
      </c>
    </row>
    <row r="4504" spans="7:9" x14ac:dyDescent="0.15">
      <c r="G4504">
        <v>69008</v>
      </c>
      <c r="H4504" t="s">
        <v>4842</v>
      </c>
      <c r="I4504">
        <v>3</v>
      </c>
    </row>
    <row r="4505" spans="7:9" x14ac:dyDescent="0.15">
      <c r="G4505">
        <v>69040</v>
      </c>
      <c r="H4505" t="s">
        <v>4843</v>
      </c>
      <c r="I4505">
        <v>3</v>
      </c>
    </row>
    <row r="4506" spans="7:9" x14ac:dyDescent="0.15">
      <c r="G4506">
        <v>69045</v>
      </c>
      <c r="H4506" t="s">
        <v>4844</v>
      </c>
      <c r="I4506">
        <v>3</v>
      </c>
    </row>
    <row r="4507" spans="7:9" x14ac:dyDescent="0.15">
      <c r="G4507">
        <v>69050</v>
      </c>
      <c r="H4507" t="s">
        <v>1029</v>
      </c>
      <c r="I4507">
        <v>3</v>
      </c>
    </row>
    <row r="4508" spans="7:9" x14ac:dyDescent="0.15">
      <c r="G4508">
        <v>69064</v>
      </c>
      <c r="H4508" t="s">
        <v>4845</v>
      </c>
      <c r="I4508">
        <v>3</v>
      </c>
    </row>
    <row r="4509" spans="7:9" x14ac:dyDescent="0.15">
      <c r="G4509">
        <v>69078</v>
      </c>
      <c r="H4509" t="s">
        <v>4846</v>
      </c>
      <c r="I4509">
        <v>3</v>
      </c>
    </row>
    <row r="4510" spans="7:9" x14ac:dyDescent="0.15">
      <c r="G4510">
        <v>69092</v>
      </c>
      <c r="H4510" t="s">
        <v>4846</v>
      </c>
      <c r="I4510">
        <v>3</v>
      </c>
    </row>
    <row r="4511" spans="7:9" x14ac:dyDescent="0.15">
      <c r="G4511">
        <v>69106</v>
      </c>
      <c r="H4511" t="s">
        <v>4846</v>
      </c>
      <c r="I4511">
        <v>3</v>
      </c>
    </row>
    <row r="4512" spans="7:9" x14ac:dyDescent="0.15">
      <c r="G4512">
        <v>69120</v>
      </c>
      <c r="H4512" t="s">
        <v>4847</v>
      </c>
      <c r="I4512">
        <v>3</v>
      </c>
    </row>
    <row r="4513" spans="7:9" x14ac:dyDescent="0.15">
      <c r="G4513">
        <v>69134</v>
      </c>
      <c r="H4513" t="s">
        <v>4848</v>
      </c>
      <c r="I4513">
        <v>3</v>
      </c>
    </row>
    <row r="4514" spans="7:9" x14ac:dyDescent="0.15">
      <c r="G4514">
        <v>69148</v>
      </c>
      <c r="H4514" t="s">
        <v>4849</v>
      </c>
      <c r="I4514">
        <v>3</v>
      </c>
    </row>
    <row r="4515" spans="7:9" x14ac:dyDescent="0.15">
      <c r="G4515">
        <v>69162</v>
      </c>
      <c r="H4515" t="s">
        <v>4850</v>
      </c>
      <c r="I4515">
        <v>3</v>
      </c>
    </row>
    <row r="4516" spans="7:9" x14ac:dyDescent="0.15">
      <c r="G4516">
        <v>69176</v>
      </c>
      <c r="H4516" t="s">
        <v>4851</v>
      </c>
      <c r="I4516">
        <v>2</v>
      </c>
    </row>
    <row r="4517" spans="7:9" x14ac:dyDescent="0.15">
      <c r="G4517">
        <v>69190</v>
      </c>
      <c r="H4517" t="s">
        <v>4852</v>
      </c>
      <c r="I4517">
        <v>3</v>
      </c>
    </row>
    <row r="4518" spans="7:9" x14ac:dyDescent="0.15">
      <c r="G4518">
        <v>69204</v>
      </c>
      <c r="H4518" t="s">
        <v>4853</v>
      </c>
      <c r="I4518">
        <v>2</v>
      </c>
    </row>
    <row r="4519" spans="7:9" x14ac:dyDescent="0.15">
      <c r="G4519">
        <v>69220</v>
      </c>
      <c r="H4519" t="s">
        <v>4853</v>
      </c>
      <c r="I4519">
        <v>3</v>
      </c>
    </row>
    <row r="4520" spans="7:9" x14ac:dyDescent="0.15">
      <c r="G4520">
        <v>69232</v>
      </c>
      <c r="H4520" t="s">
        <v>4854</v>
      </c>
      <c r="I4520">
        <v>3</v>
      </c>
    </row>
    <row r="4521" spans="7:9" x14ac:dyDescent="0.15">
      <c r="G4521">
        <v>69246</v>
      </c>
      <c r="H4521" t="s">
        <v>4855</v>
      </c>
      <c r="I4521">
        <v>3</v>
      </c>
    </row>
    <row r="4522" spans="7:9" x14ac:dyDescent="0.15">
      <c r="G4522">
        <v>69255</v>
      </c>
      <c r="H4522" t="s">
        <v>4855</v>
      </c>
      <c r="I4522">
        <v>3</v>
      </c>
    </row>
    <row r="4523" spans="7:9" x14ac:dyDescent="0.15">
      <c r="G4523">
        <v>69260</v>
      </c>
      <c r="H4523" t="s">
        <v>4856</v>
      </c>
      <c r="I4523">
        <v>3</v>
      </c>
    </row>
    <row r="4524" spans="7:9" x14ac:dyDescent="0.15">
      <c r="G4524">
        <v>69288</v>
      </c>
      <c r="H4524" t="s">
        <v>4857</v>
      </c>
      <c r="I4524">
        <v>3</v>
      </c>
    </row>
    <row r="4525" spans="7:9" x14ac:dyDescent="0.15">
      <c r="G4525">
        <v>69302</v>
      </c>
      <c r="H4525" t="s">
        <v>1016</v>
      </c>
      <c r="I4525">
        <v>2</v>
      </c>
    </row>
    <row r="4526" spans="7:9" x14ac:dyDescent="0.15">
      <c r="G4526">
        <v>69316</v>
      </c>
      <c r="H4526" t="s">
        <v>4858</v>
      </c>
      <c r="I4526">
        <v>2</v>
      </c>
    </row>
    <row r="4527" spans="7:9" x14ac:dyDescent="0.15">
      <c r="G4527">
        <v>69344</v>
      </c>
      <c r="H4527" t="s">
        <v>4859</v>
      </c>
      <c r="I4527">
        <v>2</v>
      </c>
    </row>
    <row r="4528" spans="7:9" x14ac:dyDescent="0.15">
      <c r="G4528">
        <v>69358</v>
      </c>
      <c r="H4528" t="s">
        <v>4860</v>
      </c>
      <c r="I4528">
        <v>2</v>
      </c>
    </row>
    <row r="4529" spans="7:9" x14ac:dyDescent="0.15">
      <c r="G4529">
        <v>69372</v>
      </c>
      <c r="H4529" t="s">
        <v>4861</v>
      </c>
      <c r="I4529">
        <v>3</v>
      </c>
    </row>
    <row r="4530" spans="7:9" x14ac:dyDescent="0.15">
      <c r="G4530">
        <v>69380</v>
      </c>
      <c r="H4530" t="s">
        <v>4862</v>
      </c>
      <c r="I4530">
        <v>3</v>
      </c>
    </row>
    <row r="4531" spans="7:9" x14ac:dyDescent="0.15">
      <c r="G4531">
        <v>69386</v>
      </c>
      <c r="H4531" t="s">
        <v>4863</v>
      </c>
      <c r="I4531">
        <v>3</v>
      </c>
    </row>
    <row r="4532" spans="7:9" x14ac:dyDescent="0.15">
      <c r="G4532">
        <v>69400</v>
      </c>
      <c r="H4532" t="s">
        <v>4864</v>
      </c>
      <c r="I4532">
        <v>2</v>
      </c>
    </row>
    <row r="4533" spans="7:9" x14ac:dyDescent="0.15">
      <c r="G4533">
        <v>69414</v>
      </c>
      <c r="H4533" t="s">
        <v>4865</v>
      </c>
      <c r="I4533">
        <v>3</v>
      </c>
    </row>
    <row r="4534" spans="7:9" x14ac:dyDescent="0.15">
      <c r="G4534">
        <v>69428</v>
      </c>
      <c r="H4534" t="s">
        <v>4866</v>
      </c>
      <c r="I4534">
        <v>3</v>
      </c>
    </row>
    <row r="4535" spans="7:9" x14ac:dyDescent="0.15">
      <c r="G4535">
        <v>69456</v>
      </c>
      <c r="H4535" t="s">
        <v>4867</v>
      </c>
      <c r="I4535">
        <v>3</v>
      </c>
    </row>
    <row r="4536" spans="7:9" x14ac:dyDescent="0.15">
      <c r="G4536">
        <v>69470</v>
      </c>
      <c r="H4536" t="s">
        <v>4868</v>
      </c>
      <c r="I4536">
        <v>2</v>
      </c>
    </row>
    <row r="4537" spans="7:9" x14ac:dyDescent="0.15">
      <c r="G4537">
        <v>69490</v>
      </c>
      <c r="H4537" t="s">
        <v>4869</v>
      </c>
      <c r="I4537">
        <v>3</v>
      </c>
    </row>
    <row r="4538" spans="7:9" x14ac:dyDescent="0.15">
      <c r="G4538">
        <v>69498</v>
      </c>
      <c r="H4538" t="s">
        <v>4870</v>
      </c>
      <c r="I4538">
        <v>3</v>
      </c>
    </row>
    <row r="4539" spans="7:9" x14ac:dyDescent="0.15">
      <c r="G4539">
        <v>69512</v>
      </c>
      <c r="H4539" t="s">
        <v>4870</v>
      </c>
      <c r="I4539">
        <v>3</v>
      </c>
    </row>
    <row r="4540" spans="7:9" x14ac:dyDescent="0.15">
      <c r="G4540">
        <v>69526</v>
      </c>
      <c r="H4540" t="s">
        <v>4871</v>
      </c>
      <c r="I4540">
        <v>1</v>
      </c>
    </row>
    <row r="4541" spans="7:9" x14ac:dyDescent="0.15">
      <c r="G4541">
        <v>69540</v>
      </c>
      <c r="H4541" t="s">
        <v>4872</v>
      </c>
      <c r="I4541">
        <v>2</v>
      </c>
    </row>
    <row r="4542" spans="7:9" x14ac:dyDescent="0.15">
      <c r="G4542">
        <v>69554</v>
      </c>
      <c r="H4542" t="s">
        <v>4873</v>
      </c>
      <c r="I4542">
        <v>3</v>
      </c>
    </row>
    <row r="4543" spans="7:9" x14ac:dyDescent="0.15">
      <c r="G4543">
        <v>69568</v>
      </c>
      <c r="H4543" t="s">
        <v>4874</v>
      </c>
      <c r="I4543">
        <v>3</v>
      </c>
    </row>
    <row r="4544" spans="7:9" x14ac:dyDescent="0.15">
      <c r="G4544">
        <v>69596</v>
      </c>
      <c r="H4544" t="s">
        <v>4875</v>
      </c>
      <c r="I4544">
        <v>2</v>
      </c>
    </row>
    <row r="4545" spans="7:9" x14ac:dyDescent="0.15">
      <c r="G4545">
        <v>69600</v>
      </c>
      <c r="H4545" t="s">
        <v>4875</v>
      </c>
      <c r="I4545">
        <v>3</v>
      </c>
    </row>
    <row r="4546" spans="7:9" x14ac:dyDescent="0.15">
      <c r="G4546">
        <v>69610</v>
      </c>
      <c r="H4546" t="s">
        <v>4876</v>
      </c>
      <c r="I4546">
        <v>3</v>
      </c>
    </row>
    <row r="4547" spans="7:9" x14ac:dyDescent="0.15">
      <c r="G4547">
        <v>69624</v>
      </c>
      <c r="H4547" t="s">
        <v>4876</v>
      </c>
      <c r="I4547">
        <v>3</v>
      </c>
    </row>
    <row r="4548" spans="7:9" x14ac:dyDescent="0.15">
      <c r="G4548">
        <v>69638</v>
      </c>
      <c r="H4548" t="s">
        <v>4877</v>
      </c>
      <c r="I4548">
        <v>3</v>
      </c>
    </row>
    <row r="4549" spans="7:9" x14ac:dyDescent="0.15">
      <c r="G4549">
        <v>69652</v>
      </c>
      <c r="H4549" t="s">
        <v>4878</v>
      </c>
      <c r="I4549">
        <v>2</v>
      </c>
    </row>
    <row r="4550" spans="7:9" x14ac:dyDescent="0.15">
      <c r="G4550">
        <v>69666</v>
      </c>
      <c r="H4550" t="s">
        <v>4879</v>
      </c>
      <c r="I4550">
        <v>2</v>
      </c>
    </row>
    <row r="4551" spans="7:9" x14ac:dyDescent="0.15">
      <c r="G4551">
        <v>69680</v>
      </c>
      <c r="H4551" t="s">
        <v>4880</v>
      </c>
      <c r="I4551">
        <v>1</v>
      </c>
    </row>
    <row r="4552" spans="7:9" x14ac:dyDescent="0.15">
      <c r="G4552">
        <v>69694</v>
      </c>
      <c r="H4552" t="s">
        <v>4881</v>
      </c>
      <c r="I4552">
        <v>3</v>
      </c>
    </row>
    <row r="4553" spans="7:9" x14ac:dyDescent="0.15">
      <c r="G4553">
        <v>69708</v>
      </c>
      <c r="H4553" t="s">
        <v>4882</v>
      </c>
      <c r="I4553">
        <v>2</v>
      </c>
    </row>
    <row r="4554" spans="7:9" x14ac:dyDescent="0.15">
      <c r="G4554">
        <v>69722</v>
      </c>
      <c r="H4554" t="s">
        <v>4883</v>
      </c>
      <c r="I4554">
        <v>3</v>
      </c>
    </row>
    <row r="4555" spans="7:9" x14ac:dyDescent="0.15">
      <c r="G4555">
        <v>69736</v>
      </c>
      <c r="H4555" t="s">
        <v>4884</v>
      </c>
      <c r="I4555">
        <v>3</v>
      </c>
    </row>
    <row r="4556" spans="7:9" x14ac:dyDescent="0.15">
      <c r="G4556">
        <v>69750</v>
      </c>
      <c r="H4556" t="s">
        <v>4885</v>
      </c>
      <c r="I4556">
        <v>3</v>
      </c>
    </row>
    <row r="4557" spans="7:9" x14ac:dyDescent="0.15">
      <c r="G4557">
        <v>69778</v>
      </c>
      <c r="H4557" t="s">
        <v>4886</v>
      </c>
      <c r="I4557">
        <v>3</v>
      </c>
    </row>
    <row r="4558" spans="7:9" x14ac:dyDescent="0.15">
      <c r="G4558">
        <v>69806</v>
      </c>
      <c r="H4558" t="s">
        <v>4887</v>
      </c>
      <c r="I4558">
        <v>3</v>
      </c>
    </row>
    <row r="4559" spans="7:9" x14ac:dyDescent="0.15">
      <c r="G4559">
        <v>69820</v>
      </c>
      <c r="H4559" t="s">
        <v>4887</v>
      </c>
      <c r="I4559">
        <v>3</v>
      </c>
    </row>
    <row r="4560" spans="7:9" x14ac:dyDescent="0.15">
      <c r="G4560">
        <v>69834</v>
      </c>
      <c r="H4560" t="s">
        <v>994</v>
      </c>
      <c r="I4560">
        <v>1</v>
      </c>
    </row>
    <row r="4561" spans="7:9" x14ac:dyDescent="0.15">
      <c r="G4561">
        <v>69848</v>
      </c>
      <c r="H4561" t="s">
        <v>4887</v>
      </c>
      <c r="I4561">
        <v>3</v>
      </c>
    </row>
    <row r="4562" spans="7:9" x14ac:dyDescent="0.15">
      <c r="G4562">
        <v>69862</v>
      </c>
      <c r="H4562" t="s">
        <v>4887</v>
      </c>
      <c r="I4562">
        <v>3</v>
      </c>
    </row>
    <row r="4563" spans="7:9" x14ac:dyDescent="0.15">
      <c r="G4563">
        <v>69876</v>
      </c>
      <c r="H4563" t="s">
        <v>4887</v>
      </c>
      <c r="I4563">
        <v>3</v>
      </c>
    </row>
    <row r="4564" spans="7:9" x14ac:dyDescent="0.15">
      <c r="G4564">
        <v>69904</v>
      </c>
      <c r="H4564" t="s">
        <v>4887</v>
      </c>
      <c r="I4564">
        <v>3</v>
      </c>
    </row>
    <row r="4565" spans="7:9" x14ac:dyDescent="0.15">
      <c r="G4565">
        <v>69918</v>
      </c>
      <c r="H4565" t="s">
        <v>4887</v>
      </c>
      <c r="I4565">
        <v>3</v>
      </c>
    </row>
    <row r="4566" spans="7:9" x14ac:dyDescent="0.15">
      <c r="G4566">
        <v>69932</v>
      </c>
      <c r="H4566" t="s">
        <v>4887</v>
      </c>
      <c r="I4566">
        <v>3</v>
      </c>
    </row>
    <row r="4567" spans="7:9" x14ac:dyDescent="0.15">
      <c r="G4567">
        <v>69946</v>
      </c>
      <c r="H4567" t="s">
        <v>4887</v>
      </c>
      <c r="I4567">
        <v>3</v>
      </c>
    </row>
    <row r="4568" spans="7:9" x14ac:dyDescent="0.15">
      <c r="G4568">
        <v>69955</v>
      </c>
      <c r="H4568" t="s">
        <v>994</v>
      </c>
      <c r="I4568">
        <v>3</v>
      </c>
    </row>
    <row r="4569" spans="7:9" x14ac:dyDescent="0.15">
      <c r="G4569">
        <v>69960</v>
      </c>
      <c r="H4569" t="s">
        <v>4887</v>
      </c>
      <c r="I4569">
        <v>3</v>
      </c>
    </row>
    <row r="4570" spans="7:9" x14ac:dyDescent="0.15">
      <c r="G4570">
        <v>69974</v>
      </c>
      <c r="H4570" t="s">
        <v>4887</v>
      </c>
      <c r="I4570">
        <v>3</v>
      </c>
    </row>
    <row r="4571" spans="7:9" x14ac:dyDescent="0.15">
      <c r="G4571">
        <v>69988</v>
      </c>
      <c r="H4571" t="s">
        <v>4887</v>
      </c>
      <c r="I4571">
        <v>3</v>
      </c>
    </row>
    <row r="4572" spans="7:9" x14ac:dyDescent="0.15">
      <c r="G4572">
        <v>70002</v>
      </c>
      <c r="H4572" t="s">
        <v>4887</v>
      </c>
      <c r="I4572">
        <v>3</v>
      </c>
    </row>
    <row r="4573" spans="7:9" x14ac:dyDescent="0.15">
      <c r="G4573">
        <v>70016</v>
      </c>
      <c r="H4573" t="s">
        <v>4887</v>
      </c>
      <c r="I4573">
        <v>3</v>
      </c>
    </row>
    <row r="4574" spans="7:9" x14ac:dyDescent="0.15">
      <c r="G4574">
        <v>70030</v>
      </c>
      <c r="H4574" t="s">
        <v>4888</v>
      </c>
      <c r="I4574">
        <v>3</v>
      </c>
    </row>
    <row r="4575" spans="7:9" x14ac:dyDescent="0.15">
      <c r="G4575">
        <v>70044</v>
      </c>
      <c r="H4575" t="s">
        <v>4889</v>
      </c>
      <c r="I4575">
        <v>3</v>
      </c>
    </row>
    <row r="4576" spans="7:9" x14ac:dyDescent="0.15">
      <c r="G4576">
        <v>70050</v>
      </c>
      <c r="H4576" t="s">
        <v>4889</v>
      </c>
      <c r="I4576">
        <v>2</v>
      </c>
    </row>
    <row r="4577" spans="7:9" x14ac:dyDescent="0.15">
      <c r="G4577">
        <v>70072</v>
      </c>
      <c r="H4577" t="s">
        <v>4890</v>
      </c>
      <c r="I4577">
        <v>2</v>
      </c>
    </row>
    <row r="4578" spans="7:9" x14ac:dyDescent="0.15">
      <c r="G4578">
        <v>70086</v>
      </c>
      <c r="H4578" t="s">
        <v>4891</v>
      </c>
      <c r="I4578">
        <v>3</v>
      </c>
    </row>
    <row r="4579" spans="7:9" x14ac:dyDescent="0.15">
      <c r="G4579">
        <v>70100</v>
      </c>
      <c r="H4579" t="s">
        <v>4892</v>
      </c>
      <c r="I4579">
        <v>2</v>
      </c>
    </row>
    <row r="4580" spans="7:9" x14ac:dyDescent="0.15">
      <c r="G4580">
        <v>70114</v>
      </c>
      <c r="H4580" t="s">
        <v>4893</v>
      </c>
      <c r="I4580">
        <v>3</v>
      </c>
    </row>
    <row r="4581" spans="7:9" x14ac:dyDescent="0.15">
      <c r="G4581">
        <v>70120</v>
      </c>
      <c r="H4581" t="s">
        <v>4894</v>
      </c>
      <c r="I4581">
        <v>3</v>
      </c>
    </row>
    <row r="4582" spans="7:9" x14ac:dyDescent="0.15">
      <c r="G4582">
        <v>70128</v>
      </c>
      <c r="H4582" t="s">
        <v>4895</v>
      </c>
      <c r="I4582">
        <v>3</v>
      </c>
    </row>
    <row r="4583" spans="7:9" x14ac:dyDescent="0.15">
      <c r="G4583">
        <v>70142</v>
      </c>
      <c r="H4583" t="s">
        <v>1103</v>
      </c>
      <c r="I4583">
        <v>3</v>
      </c>
    </row>
    <row r="4584" spans="7:9" x14ac:dyDescent="0.15">
      <c r="G4584">
        <v>70156</v>
      </c>
      <c r="H4584" t="s">
        <v>1103</v>
      </c>
      <c r="I4584">
        <v>3</v>
      </c>
    </row>
    <row r="4585" spans="7:9" x14ac:dyDescent="0.15">
      <c r="G4585">
        <v>70170</v>
      </c>
      <c r="H4585" t="s">
        <v>1103</v>
      </c>
      <c r="I4585">
        <v>3</v>
      </c>
    </row>
    <row r="4586" spans="7:9" x14ac:dyDescent="0.15">
      <c r="G4586">
        <v>70184</v>
      </c>
      <c r="H4586" t="s">
        <v>4896</v>
      </c>
      <c r="I4586">
        <v>3</v>
      </c>
    </row>
    <row r="4587" spans="7:9" x14ac:dyDescent="0.15">
      <c r="G4587">
        <v>70198</v>
      </c>
      <c r="H4587" t="s">
        <v>1103</v>
      </c>
      <c r="I4587">
        <v>3</v>
      </c>
    </row>
    <row r="4588" spans="7:9" x14ac:dyDescent="0.15">
      <c r="G4588">
        <v>70205</v>
      </c>
      <c r="H4588" t="s">
        <v>4897</v>
      </c>
      <c r="I4588">
        <v>3</v>
      </c>
    </row>
    <row r="4589" spans="7:9" x14ac:dyDescent="0.15">
      <c r="G4589">
        <v>70212</v>
      </c>
      <c r="H4589" t="s">
        <v>4897</v>
      </c>
      <c r="I4589">
        <v>3</v>
      </c>
    </row>
    <row r="4590" spans="7:9" x14ac:dyDescent="0.15">
      <c r="G4590">
        <v>70226</v>
      </c>
      <c r="H4590" t="s">
        <v>4898</v>
      </c>
      <c r="I4590">
        <v>3</v>
      </c>
    </row>
    <row r="4591" spans="7:9" x14ac:dyDescent="0.15">
      <c r="G4591">
        <v>70240</v>
      </c>
      <c r="H4591" t="s">
        <v>4899</v>
      </c>
      <c r="I4591">
        <v>3</v>
      </c>
    </row>
    <row r="4592" spans="7:9" x14ac:dyDescent="0.15">
      <c r="G4592">
        <v>70254</v>
      </c>
      <c r="H4592" t="s">
        <v>4900</v>
      </c>
      <c r="I4592">
        <v>3</v>
      </c>
    </row>
    <row r="4593" spans="7:9" x14ac:dyDescent="0.15">
      <c r="G4593">
        <v>70268</v>
      </c>
      <c r="H4593" t="s">
        <v>4901</v>
      </c>
      <c r="I4593">
        <v>3</v>
      </c>
    </row>
    <row r="4594" spans="7:9" x14ac:dyDescent="0.15">
      <c r="G4594">
        <v>70275</v>
      </c>
      <c r="H4594" t="s">
        <v>4902</v>
      </c>
      <c r="I4594">
        <v>3</v>
      </c>
    </row>
    <row r="4595" spans="7:9" x14ac:dyDescent="0.15">
      <c r="G4595">
        <v>70282</v>
      </c>
      <c r="H4595" t="s">
        <v>4903</v>
      </c>
      <c r="I4595">
        <v>3</v>
      </c>
    </row>
    <row r="4596" spans="7:9" x14ac:dyDescent="0.15">
      <c r="G4596">
        <v>70288</v>
      </c>
      <c r="H4596" t="s">
        <v>4904</v>
      </c>
      <c r="I4596">
        <v>3</v>
      </c>
    </row>
    <row r="4597" spans="7:9" x14ac:dyDescent="0.15">
      <c r="G4597">
        <v>70292</v>
      </c>
      <c r="H4597" t="s">
        <v>4905</v>
      </c>
      <c r="I4597">
        <v>3</v>
      </c>
    </row>
    <row r="4598" spans="7:9" x14ac:dyDescent="0.15">
      <c r="G4598">
        <v>70296</v>
      </c>
      <c r="H4598" t="s">
        <v>4906</v>
      </c>
      <c r="I4598">
        <v>3</v>
      </c>
    </row>
    <row r="4599" spans="7:9" x14ac:dyDescent="0.15">
      <c r="G4599">
        <v>70310</v>
      </c>
      <c r="H4599" t="s">
        <v>4906</v>
      </c>
      <c r="I4599">
        <v>3</v>
      </c>
    </row>
    <row r="4600" spans="7:9" x14ac:dyDescent="0.15">
      <c r="G4600">
        <v>70324</v>
      </c>
      <c r="H4600" t="s">
        <v>4907</v>
      </c>
      <c r="I4600">
        <v>3</v>
      </c>
    </row>
    <row r="4601" spans="7:9" x14ac:dyDescent="0.15">
      <c r="G4601">
        <v>70352</v>
      </c>
      <c r="H4601" t="s">
        <v>4908</v>
      </c>
      <c r="I4601">
        <v>3</v>
      </c>
    </row>
    <row r="4602" spans="7:9" x14ac:dyDescent="0.15">
      <c r="G4602">
        <v>70360</v>
      </c>
      <c r="H4602" t="s">
        <v>4909</v>
      </c>
      <c r="I4602">
        <v>3</v>
      </c>
    </row>
    <row r="4603" spans="7:9" x14ac:dyDescent="0.15">
      <c r="G4603">
        <v>70366</v>
      </c>
      <c r="H4603" t="s">
        <v>4910</v>
      </c>
      <c r="I4603">
        <v>3</v>
      </c>
    </row>
    <row r="4604" spans="7:9" x14ac:dyDescent="0.15">
      <c r="G4604">
        <v>70380</v>
      </c>
      <c r="H4604" t="s">
        <v>947</v>
      </c>
      <c r="I4604">
        <v>1</v>
      </c>
    </row>
    <row r="4605" spans="7:9" x14ac:dyDescent="0.15">
      <c r="G4605">
        <v>70394</v>
      </c>
      <c r="H4605" t="s">
        <v>4910</v>
      </c>
      <c r="I4605">
        <v>3</v>
      </c>
    </row>
    <row r="4606" spans="7:9" x14ac:dyDescent="0.15">
      <c r="G4606">
        <v>70408</v>
      </c>
      <c r="H4606" t="s">
        <v>4910</v>
      </c>
      <c r="I4606">
        <v>3</v>
      </c>
    </row>
    <row r="4607" spans="7:9" x14ac:dyDescent="0.15">
      <c r="G4607">
        <v>70422</v>
      </c>
      <c r="H4607" t="s">
        <v>4911</v>
      </c>
      <c r="I4607">
        <v>3</v>
      </c>
    </row>
    <row r="4608" spans="7:9" x14ac:dyDescent="0.15">
      <c r="G4608">
        <v>70436</v>
      </c>
      <c r="H4608" t="s">
        <v>4912</v>
      </c>
      <c r="I4608">
        <v>3</v>
      </c>
    </row>
    <row r="4609" spans="7:9" x14ac:dyDescent="0.15">
      <c r="G4609">
        <v>70443</v>
      </c>
      <c r="H4609" t="s">
        <v>4912</v>
      </c>
      <c r="I4609">
        <v>3</v>
      </c>
    </row>
    <row r="4610" spans="7:9" x14ac:dyDescent="0.15">
      <c r="G4610">
        <v>70446</v>
      </c>
      <c r="H4610" t="s">
        <v>4913</v>
      </c>
      <c r="I4610">
        <v>3</v>
      </c>
    </row>
    <row r="4611" spans="7:9" x14ac:dyDescent="0.15">
      <c r="G4611">
        <v>70448</v>
      </c>
      <c r="H4611" t="s">
        <v>4914</v>
      </c>
      <c r="I4611">
        <v>3</v>
      </c>
    </row>
    <row r="4612" spans="7:9" x14ac:dyDescent="0.15">
      <c r="G4612">
        <v>70450</v>
      </c>
      <c r="H4612" t="s">
        <v>4915</v>
      </c>
      <c r="I4612">
        <v>3</v>
      </c>
    </row>
    <row r="4613" spans="7:9" x14ac:dyDescent="0.15">
      <c r="G4613">
        <v>70464</v>
      </c>
      <c r="H4613" t="s">
        <v>4916</v>
      </c>
      <c r="I4613">
        <v>2</v>
      </c>
    </row>
    <row r="4614" spans="7:9" x14ac:dyDescent="0.15">
      <c r="G4614">
        <v>70478</v>
      </c>
      <c r="H4614" t="s">
        <v>4917</v>
      </c>
      <c r="I4614">
        <v>3</v>
      </c>
    </row>
    <row r="4615" spans="7:9" x14ac:dyDescent="0.15">
      <c r="G4615">
        <v>70492</v>
      </c>
      <c r="H4615" t="s">
        <v>4918</v>
      </c>
      <c r="I4615">
        <v>3</v>
      </c>
    </row>
    <row r="4616" spans="7:9" x14ac:dyDescent="0.15">
      <c r="G4616">
        <v>70506</v>
      </c>
      <c r="H4616" t="s">
        <v>4919</v>
      </c>
      <c r="I4616">
        <v>3</v>
      </c>
    </row>
    <row r="4617" spans="7:9" x14ac:dyDescent="0.15">
      <c r="G4617">
        <v>70520</v>
      </c>
      <c r="H4617" t="s">
        <v>4920</v>
      </c>
      <c r="I4617">
        <v>2</v>
      </c>
    </row>
    <row r="4618" spans="7:9" x14ac:dyDescent="0.15">
      <c r="G4618">
        <v>70534</v>
      </c>
      <c r="H4618" t="s">
        <v>4921</v>
      </c>
      <c r="I4618">
        <v>2</v>
      </c>
    </row>
    <row r="4619" spans="7:9" x14ac:dyDescent="0.15">
      <c r="G4619">
        <v>70548</v>
      </c>
      <c r="H4619" t="s">
        <v>4922</v>
      </c>
      <c r="I4619">
        <v>2</v>
      </c>
    </row>
    <row r="4620" spans="7:9" x14ac:dyDescent="0.15">
      <c r="G4620">
        <v>70562</v>
      </c>
      <c r="H4620" t="s">
        <v>4923</v>
      </c>
      <c r="I4620">
        <v>3</v>
      </c>
    </row>
    <row r="4621" spans="7:9" x14ac:dyDescent="0.15">
      <c r="G4621">
        <v>70568</v>
      </c>
      <c r="H4621" t="s">
        <v>4924</v>
      </c>
      <c r="I4621">
        <v>3</v>
      </c>
    </row>
    <row r="4622" spans="7:9" x14ac:dyDescent="0.15">
      <c r="G4622">
        <v>70572</v>
      </c>
      <c r="H4622" t="s">
        <v>4925</v>
      </c>
      <c r="I4622">
        <v>3</v>
      </c>
    </row>
    <row r="4623" spans="7:9" x14ac:dyDescent="0.15">
      <c r="G4623">
        <v>70576</v>
      </c>
      <c r="H4623" t="s">
        <v>4926</v>
      </c>
      <c r="I4623">
        <v>2</v>
      </c>
    </row>
    <row r="4624" spans="7:9" x14ac:dyDescent="0.15">
      <c r="G4624">
        <v>70604</v>
      </c>
      <c r="H4624" t="s">
        <v>4927</v>
      </c>
      <c r="I4624">
        <v>3</v>
      </c>
    </row>
    <row r="4625" spans="7:9" x14ac:dyDescent="0.15">
      <c r="G4625">
        <v>70618</v>
      </c>
      <c r="H4625" t="s">
        <v>4928</v>
      </c>
      <c r="I4625">
        <v>2</v>
      </c>
    </row>
    <row r="4626" spans="7:9" x14ac:dyDescent="0.15">
      <c r="G4626">
        <v>70632</v>
      </c>
      <c r="H4626" t="s">
        <v>4929</v>
      </c>
      <c r="I4626">
        <v>3</v>
      </c>
    </row>
    <row r="4627" spans="7:9" x14ac:dyDescent="0.15">
      <c r="G4627">
        <v>70646</v>
      </c>
      <c r="H4627" t="s">
        <v>4930</v>
      </c>
      <c r="I4627">
        <v>3</v>
      </c>
    </row>
    <row r="4628" spans="7:9" x14ac:dyDescent="0.15">
      <c r="G4628">
        <v>70655</v>
      </c>
      <c r="H4628" t="s">
        <v>4931</v>
      </c>
      <c r="I4628">
        <v>3</v>
      </c>
    </row>
    <row r="4629" spans="7:9" x14ac:dyDescent="0.15">
      <c r="G4629">
        <v>70660</v>
      </c>
      <c r="H4629" t="s">
        <v>4932</v>
      </c>
      <c r="I4629">
        <v>3</v>
      </c>
    </row>
    <row r="4630" spans="7:9" x14ac:dyDescent="0.15">
      <c r="G4630">
        <v>70674</v>
      </c>
      <c r="H4630" t="s">
        <v>4933</v>
      </c>
      <c r="I4630">
        <v>3</v>
      </c>
    </row>
    <row r="4631" spans="7:9" x14ac:dyDescent="0.15">
      <c r="G4631">
        <v>70700</v>
      </c>
      <c r="H4631" t="s">
        <v>4934</v>
      </c>
      <c r="I4631">
        <v>3</v>
      </c>
    </row>
    <row r="4632" spans="7:9" x14ac:dyDescent="0.15">
      <c r="G4632">
        <v>70730</v>
      </c>
      <c r="H4632" t="s">
        <v>4935</v>
      </c>
      <c r="I4632">
        <v>3</v>
      </c>
    </row>
    <row r="4633" spans="7:9" x14ac:dyDescent="0.15">
      <c r="G4633">
        <v>70744</v>
      </c>
      <c r="H4633" t="s">
        <v>4936</v>
      </c>
      <c r="I4633">
        <v>3</v>
      </c>
    </row>
    <row r="4634" spans="7:9" x14ac:dyDescent="0.15">
      <c r="G4634">
        <v>70758</v>
      </c>
      <c r="H4634" t="s">
        <v>4937</v>
      </c>
      <c r="I4634">
        <v>3</v>
      </c>
    </row>
    <row r="4635" spans="7:9" x14ac:dyDescent="0.15">
      <c r="G4635">
        <v>70772</v>
      </c>
      <c r="H4635" t="s">
        <v>4938</v>
      </c>
      <c r="I4635">
        <v>3</v>
      </c>
    </row>
    <row r="4636" spans="7:9" x14ac:dyDescent="0.15">
      <c r="G4636">
        <v>70786</v>
      </c>
      <c r="H4636" t="s">
        <v>4939</v>
      </c>
      <c r="I4636">
        <v>3</v>
      </c>
    </row>
    <row r="4637" spans="7:9" x14ac:dyDescent="0.15">
      <c r="G4637">
        <v>70793</v>
      </c>
      <c r="H4637" t="s">
        <v>4940</v>
      </c>
      <c r="I4637">
        <v>3</v>
      </c>
    </row>
    <row r="4638" spans="7:9" x14ac:dyDescent="0.15">
      <c r="G4638">
        <v>70800</v>
      </c>
      <c r="H4638" t="s">
        <v>4941</v>
      </c>
      <c r="I4638">
        <v>3</v>
      </c>
    </row>
    <row r="4639" spans="7:9" x14ac:dyDescent="0.15">
      <c r="G4639">
        <v>70814</v>
      </c>
      <c r="H4639" t="s">
        <v>4942</v>
      </c>
      <c r="I4639">
        <v>2</v>
      </c>
    </row>
    <row r="4640" spans="7:9" x14ac:dyDescent="0.15">
      <c r="G4640">
        <v>70828</v>
      </c>
      <c r="H4640" t="s">
        <v>4943</v>
      </c>
      <c r="I4640">
        <v>3</v>
      </c>
    </row>
    <row r="4641" spans="7:9" x14ac:dyDescent="0.15">
      <c r="G4641">
        <v>70842</v>
      </c>
      <c r="H4641" t="s">
        <v>4944</v>
      </c>
      <c r="I4641">
        <v>3</v>
      </c>
    </row>
    <row r="4642" spans="7:9" x14ac:dyDescent="0.15">
      <c r="G4642">
        <v>70856</v>
      </c>
      <c r="H4642" t="s">
        <v>4944</v>
      </c>
      <c r="I4642">
        <v>3</v>
      </c>
    </row>
    <row r="4643" spans="7:9" x14ac:dyDescent="0.15">
      <c r="G4643">
        <v>70870</v>
      </c>
      <c r="H4643" t="s">
        <v>4944</v>
      </c>
      <c r="I4643">
        <v>3</v>
      </c>
    </row>
    <row r="4644" spans="7:9" x14ac:dyDescent="0.15">
      <c r="G4644">
        <v>70884</v>
      </c>
      <c r="H4644" t="s">
        <v>4944</v>
      </c>
      <c r="I4644">
        <v>3</v>
      </c>
    </row>
    <row r="4645" spans="7:9" x14ac:dyDescent="0.15">
      <c r="G4645">
        <v>70898</v>
      </c>
      <c r="H4645" t="s">
        <v>4944</v>
      </c>
      <c r="I4645">
        <v>3</v>
      </c>
    </row>
    <row r="4646" spans="7:9" x14ac:dyDescent="0.15">
      <c r="G4646">
        <v>70912</v>
      </c>
      <c r="H4646" t="s">
        <v>4945</v>
      </c>
      <c r="I4646">
        <v>2</v>
      </c>
    </row>
    <row r="4647" spans="7:9" x14ac:dyDescent="0.15">
      <c r="G4647">
        <v>70926</v>
      </c>
      <c r="H4647" t="s">
        <v>4946</v>
      </c>
      <c r="I4647">
        <v>3</v>
      </c>
    </row>
    <row r="4648" spans="7:9" x14ac:dyDescent="0.15">
      <c r="G4648">
        <v>70954</v>
      </c>
      <c r="H4648" t="s">
        <v>4947</v>
      </c>
      <c r="I4648">
        <v>3</v>
      </c>
    </row>
    <row r="4649" spans="7:9" x14ac:dyDescent="0.15">
      <c r="G4649">
        <v>70968</v>
      </c>
      <c r="H4649" t="s">
        <v>4948</v>
      </c>
      <c r="I4649">
        <v>3</v>
      </c>
    </row>
    <row r="4650" spans="7:9" x14ac:dyDescent="0.15">
      <c r="G4650">
        <v>70996</v>
      </c>
      <c r="H4650" t="s">
        <v>4949</v>
      </c>
      <c r="I4650">
        <v>3</v>
      </c>
    </row>
    <row r="4651" spans="7:9" x14ac:dyDescent="0.15">
      <c r="G4651">
        <v>71010</v>
      </c>
      <c r="H4651" t="s">
        <v>4798</v>
      </c>
      <c r="I4651">
        <v>3</v>
      </c>
    </row>
    <row r="4652" spans="7:9" x14ac:dyDescent="0.15">
      <c r="G4652">
        <v>71024</v>
      </c>
      <c r="H4652" t="s">
        <v>4949</v>
      </c>
      <c r="I4652">
        <v>3</v>
      </c>
    </row>
    <row r="4653" spans="7:9" x14ac:dyDescent="0.15">
      <c r="G4653">
        <v>71038</v>
      </c>
      <c r="H4653" t="s">
        <v>4950</v>
      </c>
      <c r="I4653">
        <v>3</v>
      </c>
    </row>
    <row r="4654" spans="7:9" x14ac:dyDescent="0.15">
      <c r="G4654">
        <v>71045</v>
      </c>
      <c r="H4654" t="s">
        <v>4951</v>
      </c>
      <c r="I4654">
        <v>3</v>
      </c>
    </row>
    <row r="4655" spans="7:9" x14ac:dyDescent="0.15">
      <c r="G4655">
        <v>71052</v>
      </c>
      <c r="H4655" t="s">
        <v>4952</v>
      </c>
      <c r="I4655">
        <v>3</v>
      </c>
    </row>
    <row r="4656" spans="7:9" x14ac:dyDescent="0.15">
      <c r="G4656">
        <v>71066</v>
      </c>
      <c r="H4656" t="s">
        <v>4952</v>
      </c>
      <c r="I4656">
        <v>3</v>
      </c>
    </row>
    <row r="4657" spans="7:9" x14ac:dyDescent="0.15">
      <c r="G4657">
        <v>71073</v>
      </c>
      <c r="H4657" t="s">
        <v>4952</v>
      </c>
      <c r="I4657">
        <v>3</v>
      </c>
    </row>
    <row r="4658" spans="7:9" x14ac:dyDescent="0.15">
      <c r="G4658">
        <v>71080</v>
      </c>
      <c r="H4658" t="s">
        <v>4953</v>
      </c>
      <c r="I4658">
        <v>2</v>
      </c>
    </row>
    <row r="4659" spans="7:9" x14ac:dyDescent="0.15">
      <c r="G4659">
        <v>71087</v>
      </c>
      <c r="H4659" t="s">
        <v>4952</v>
      </c>
      <c r="I4659">
        <v>3</v>
      </c>
    </row>
    <row r="4660" spans="7:9" x14ac:dyDescent="0.15">
      <c r="G4660">
        <v>71090</v>
      </c>
      <c r="H4660" t="s">
        <v>4954</v>
      </c>
      <c r="I4660">
        <v>3</v>
      </c>
    </row>
    <row r="4661" spans="7:9" x14ac:dyDescent="0.15">
      <c r="G4661">
        <v>71094</v>
      </c>
      <c r="H4661" t="s">
        <v>4955</v>
      </c>
      <c r="I4661">
        <v>3</v>
      </c>
    </row>
    <row r="4662" spans="7:9" x14ac:dyDescent="0.15">
      <c r="G4662">
        <v>71108</v>
      </c>
      <c r="H4662" t="s">
        <v>4956</v>
      </c>
      <c r="I4662">
        <v>3</v>
      </c>
    </row>
    <row r="4663" spans="7:9" x14ac:dyDescent="0.15">
      <c r="G4663">
        <v>71150</v>
      </c>
      <c r="H4663" t="s">
        <v>4957</v>
      </c>
      <c r="I4663">
        <v>3</v>
      </c>
    </row>
    <row r="4664" spans="7:9" x14ac:dyDescent="0.15">
      <c r="G4664">
        <v>71164</v>
      </c>
      <c r="H4664" t="s">
        <v>4958</v>
      </c>
      <c r="I4664">
        <v>3</v>
      </c>
    </row>
    <row r="4665" spans="7:9" x14ac:dyDescent="0.15">
      <c r="G4665">
        <v>71168</v>
      </c>
      <c r="H4665" t="s">
        <v>4959</v>
      </c>
      <c r="I4665">
        <v>3</v>
      </c>
    </row>
    <row r="4666" spans="7:9" x14ac:dyDescent="0.15">
      <c r="G4666">
        <v>71171</v>
      </c>
      <c r="H4666" t="s">
        <v>4960</v>
      </c>
      <c r="I4666">
        <v>3</v>
      </c>
    </row>
    <row r="4667" spans="7:9" x14ac:dyDescent="0.15">
      <c r="G4667">
        <v>71178</v>
      </c>
      <c r="H4667" t="s">
        <v>4961</v>
      </c>
      <c r="I4667">
        <v>3</v>
      </c>
    </row>
    <row r="4668" spans="7:9" x14ac:dyDescent="0.15">
      <c r="G4668">
        <v>71206</v>
      </c>
      <c r="H4668" t="s">
        <v>4962</v>
      </c>
      <c r="I4668">
        <v>2</v>
      </c>
    </row>
    <row r="4669" spans="7:9" x14ac:dyDescent="0.15">
      <c r="G4669">
        <v>71210</v>
      </c>
      <c r="H4669" t="s">
        <v>4963</v>
      </c>
      <c r="I4669">
        <v>3</v>
      </c>
    </row>
    <row r="4670" spans="7:9" x14ac:dyDescent="0.15">
      <c r="G4670">
        <v>71215</v>
      </c>
      <c r="H4670" t="s">
        <v>4964</v>
      </c>
      <c r="I4670">
        <v>3</v>
      </c>
    </row>
    <row r="4671" spans="7:9" x14ac:dyDescent="0.15">
      <c r="G4671">
        <v>71220</v>
      </c>
      <c r="H4671" t="s">
        <v>4965</v>
      </c>
      <c r="I4671">
        <v>2</v>
      </c>
    </row>
    <row r="4672" spans="7:9" x14ac:dyDescent="0.15">
      <c r="G4672">
        <v>71276</v>
      </c>
      <c r="H4672" t="s">
        <v>4966</v>
      </c>
      <c r="I4672">
        <v>3</v>
      </c>
    </row>
    <row r="4673" spans="7:9" x14ac:dyDescent="0.15">
      <c r="G4673">
        <v>71297</v>
      </c>
      <c r="H4673" t="s">
        <v>4967</v>
      </c>
      <c r="I4673">
        <v>3</v>
      </c>
    </row>
    <row r="4674" spans="7:9" x14ac:dyDescent="0.15">
      <c r="G4674">
        <v>71307</v>
      </c>
      <c r="H4674" t="s">
        <v>4968</v>
      </c>
      <c r="I4674">
        <v>3</v>
      </c>
    </row>
    <row r="4675" spans="7:9" x14ac:dyDescent="0.15">
      <c r="G4675">
        <v>71346</v>
      </c>
      <c r="H4675" t="s">
        <v>4969</v>
      </c>
      <c r="I4675">
        <v>3</v>
      </c>
    </row>
    <row r="4676" spans="7:9" x14ac:dyDescent="0.15">
      <c r="G4676">
        <v>71347</v>
      </c>
      <c r="H4676" t="s">
        <v>4970</v>
      </c>
      <c r="I4676">
        <v>3</v>
      </c>
    </row>
    <row r="4677" spans="7:9" x14ac:dyDescent="0.15">
      <c r="G4677">
        <v>71349</v>
      </c>
      <c r="H4677" t="s">
        <v>4971</v>
      </c>
      <c r="I4677">
        <v>3</v>
      </c>
    </row>
    <row r="4678" spans="7:9" x14ac:dyDescent="0.15">
      <c r="G4678">
        <v>71352</v>
      </c>
      <c r="H4678" t="s">
        <v>4971</v>
      </c>
      <c r="I4678">
        <v>3</v>
      </c>
    </row>
    <row r="4679" spans="7:9" x14ac:dyDescent="0.15">
      <c r="G4679">
        <v>71355</v>
      </c>
      <c r="H4679" t="s">
        <v>4971</v>
      </c>
      <c r="I4679">
        <v>3</v>
      </c>
    </row>
    <row r="4680" spans="7:9" x14ac:dyDescent="0.15">
      <c r="G4680">
        <v>71360</v>
      </c>
      <c r="H4680" t="s">
        <v>4972</v>
      </c>
      <c r="I4680">
        <v>2</v>
      </c>
    </row>
    <row r="4681" spans="7:9" x14ac:dyDescent="0.15">
      <c r="G4681">
        <v>71374</v>
      </c>
      <c r="H4681" t="s">
        <v>4973</v>
      </c>
      <c r="I4681">
        <v>3</v>
      </c>
    </row>
    <row r="4682" spans="7:9" x14ac:dyDescent="0.15">
      <c r="G4682">
        <v>71388</v>
      </c>
      <c r="H4682" t="s">
        <v>4974</v>
      </c>
      <c r="I4682">
        <v>3</v>
      </c>
    </row>
    <row r="4683" spans="7:9" x14ac:dyDescent="0.15">
      <c r="G4683">
        <v>71416</v>
      </c>
      <c r="H4683" t="s">
        <v>4975</v>
      </c>
      <c r="I4683">
        <v>1</v>
      </c>
    </row>
    <row r="4684" spans="7:9" x14ac:dyDescent="0.15">
      <c r="G4684">
        <v>71444</v>
      </c>
      <c r="H4684" t="s">
        <v>4976</v>
      </c>
      <c r="I4684">
        <v>2</v>
      </c>
    </row>
    <row r="4685" spans="7:9" x14ac:dyDescent="0.15">
      <c r="G4685">
        <v>71486</v>
      </c>
      <c r="H4685" t="s">
        <v>1020</v>
      </c>
      <c r="I4685">
        <v>2</v>
      </c>
    </row>
    <row r="4686" spans="7:9" x14ac:dyDescent="0.15">
      <c r="G4686">
        <v>71488</v>
      </c>
      <c r="H4686" t="s">
        <v>4977</v>
      </c>
      <c r="I4686">
        <v>3</v>
      </c>
    </row>
    <row r="4687" spans="7:9" x14ac:dyDescent="0.15">
      <c r="G4687">
        <v>71500</v>
      </c>
      <c r="H4687" t="s">
        <v>4978</v>
      </c>
      <c r="I4687">
        <v>3</v>
      </c>
    </row>
    <row r="4688" spans="7:9" x14ac:dyDescent="0.15">
      <c r="G4688">
        <v>71514</v>
      </c>
      <c r="H4688" t="s">
        <v>4979</v>
      </c>
      <c r="I4688">
        <v>3</v>
      </c>
    </row>
    <row r="4689" spans="7:9" x14ac:dyDescent="0.15">
      <c r="G4689">
        <v>71520</v>
      </c>
      <c r="H4689" t="s">
        <v>4980</v>
      </c>
      <c r="I4689">
        <v>3</v>
      </c>
    </row>
    <row r="4690" spans="7:9" x14ac:dyDescent="0.15">
      <c r="G4690">
        <v>71528</v>
      </c>
      <c r="H4690" t="s">
        <v>4981</v>
      </c>
      <c r="I4690">
        <v>3</v>
      </c>
    </row>
    <row r="4691" spans="7:9" x14ac:dyDescent="0.15">
      <c r="G4691">
        <v>71542</v>
      </c>
      <c r="H4691" t="s">
        <v>4982</v>
      </c>
      <c r="I4691">
        <v>3</v>
      </c>
    </row>
    <row r="4692" spans="7:9" x14ac:dyDescent="0.15">
      <c r="G4692">
        <v>71565</v>
      </c>
      <c r="H4692" t="s">
        <v>4983</v>
      </c>
      <c r="I4692">
        <v>3</v>
      </c>
    </row>
    <row r="4693" spans="7:9" x14ac:dyDescent="0.15">
      <c r="G4693">
        <v>71570</v>
      </c>
      <c r="H4693" t="s">
        <v>4984</v>
      </c>
      <c r="I4693">
        <v>3</v>
      </c>
    </row>
    <row r="4694" spans="7:9" x14ac:dyDescent="0.15">
      <c r="G4694">
        <v>71575</v>
      </c>
      <c r="H4694" t="s">
        <v>4985</v>
      </c>
      <c r="I4694">
        <v>3</v>
      </c>
    </row>
    <row r="4695" spans="7:9" x14ac:dyDescent="0.15">
      <c r="G4695">
        <v>71584</v>
      </c>
      <c r="H4695" t="s">
        <v>4986</v>
      </c>
      <c r="I4695">
        <v>3</v>
      </c>
    </row>
    <row r="4696" spans="7:9" x14ac:dyDescent="0.15">
      <c r="G4696">
        <v>71626</v>
      </c>
      <c r="H4696" t="s">
        <v>4987</v>
      </c>
      <c r="I4696">
        <v>3</v>
      </c>
    </row>
    <row r="4697" spans="7:9" x14ac:dyDescent="0.15">
      <c r="G4697">
        <v>71640</v>
      </c>
      <c r="H4697" t="s">
        <v>4988</v>
      </c>
      <c r="I4697">
        <v>2</v>
      </c>
    </row>
    <row r="4698" spans="7:9" x14ac:dyDescent="0.15">
      <c r="G4698">
        <v>71682</v>
      </c>
      <c r="H4698" t="s">
        <v>4989</v>
      </c>
      <c r="I4698">
        <v>1</v>
      </c>
    </row>
    <row r="4699" spans="7:9" x14ac:dyDescent="0.15">
      <c r="G4699">
        <v>71724</v>
      </c>
      <c r="H4699" t="s">
        <v>4990</v>
      </c>
      <c r="I4699">
        <v>3</v>
      </c>
    </row>
    <row r="4700" spans="7:9" x14ac:dyDescent="0.15">
      <c r="G4700">
        <v>71731</v>
      </c>
      <c r="H4700" t="s">
        <v>4991</v>
      </c>
      <c r="I4700">
        <v>3</v>
      </c>
    </row>
    <row r="4701" spans="7:9" x14ac:dyDescent="0.15">
      <c r="G4701">
        <v>71738</v>
      </c>
      <c r="H4701" t="s">
        <v>4992</v>
      </c>
      <c r="I4701">
        <v>3</v>
      </c>
    </row>
    <row r="4702" spans="7:9" x14ac:dyDescent="0.15">
      <c r="G4702">
        <v>71752</v>
      </c>
      <c r="H4702" t="s">
        <v>4993</v>
      </c>
      <c r="I4702">
        <v>3</v>
      </c>
    </row>
    <row r="4703" spans="7:9" x14ac:dyDescent="0.15">
      <c r="G4703">
        <v>71760</v>
      </c>
      <c r="H4703" t="s">
        <v>4994</v>
      </c>
      <c r="I4703">
        <v>3</v>
      </c>
    </row>
    <row r="4704" spans="7:9" x14ac:dyDescent="0.15">
      <c r="G4704">
        <v>71766</v>
      </c>
      <c r="H4704" t="s">
        <v>4995</v>
      </c>
      <c r="I4704">
        <v>3</v>
      </c>
    </row>
    <row r="4705" spans="7:9" x14ac:dyDescent="0.15">
      <c r="G4705">
        <v>71780</v>
      </c>
      <c r="H4705" t="s">
        <v>4996</v>
      </c>
      <c r="I4705">
        <v>3</v>
      </c>
    </row>
    <row r="4706" spans="7:9" x14ac:dyDescent="0.15">
      <c r="G4706">
        <v>71784</v>
      </c>
      <c r="H4706" t="s">
        <v>4996</v>
      </c>
      <c r="I4706">
        <v>3</v>
      </c>
    </row>
    <row r="4707" spans="7:9" x14ac:dyDescent="0.15">
      <c r="G4707">
        <v>71787</v>
      </c>
      <c r="H4707" t="s">
        <v>4997</v>
      </c>
      <c r="I4707">
        <v>3</v>
      </c>
    </row>
    <row r="4708" spans="7:9" x14ac:dyDescent="0.15">
      <c r="G4708">
        <v>71794</v>
      </c>
      <c r="H4708" t="s">
        <v>4998</v>
      </c>
      <c r="I4708">
        <v>3</v>
      </c>
    </row>
    <row r="4709" spans="7:9" x14ac:dyDescent="0.15">
      <c r="G4709">
        <v>71801</v>
      </c>
      <c r="H4709" t="s">
        <v>4997</v>
      </c>
      <c r="I4709">
        <v>3</v>
      </c>
    </row>
    <row r="4710" spans="7:9" x14ac:dyDescent="0.15">
      <c r="G4710">
        <v>71822</v>
      </c>
      <c r="H4710" t="s">
        <v>4998</v>
      </c>
      <c r="I4710">
        <v>3</v>
      </c>
    </row>
    <row r="4711" spans="7:9" x14ac:dyDescent="0.15">
      <c r="G4711">
        <v>71826</v>
      </c>
      <c r="H4711" t="s">
        <v>4997</v>
      </c>
      <c r="I4711">
        <v>3</v>
      </c>
    </row>
    <row r="4712" spans="7:9" x14ac:dyDescent="0.15">
      <c r="G4712">
        <v>71830</v>
      </c>
      <c r="H4712" t="s">
        <v>4997</v>
      </c>
      <c r="I4712">
        <v>3</v>
      </c>
    </row>
    <row r="4713" spans="7:9" x14ac:dyDescent="0.15">
      <c r="G4713">
        <v>71836</v>
      </c>
      <c r="H4713" t="s">
        <v>4999</v>
      </c>
      <c r="I4713">
        <v>3</v>
      </c>
    </row>
    <row r="4714" spans="7:9" x14ac:dyDescent="0.15">
      <c r="G4714">
        <v>71892</v>
      </c>
      <c r="H4714" t="s">
        <v>5000</v>
      </c>
      <c r="I4714">
        <v>1</v>
      </c>
    </row>
    <row r="4715" spans="7:9" x14ac:dyDescent="0.15">
      <c r="G4715">
        <v>71915</v>
      </c>
      <c r="H4715" t="s">
        <v>5001</v>
      </c>
      <c r="I4715">
        <v>3</v>
      </c>
    </row>
    <row r="4716" spans="7:9" x14ac:dyDescent="0.15">
      <c r="G4716">
        <v>71920</v>
      </c>
      <c r="H4716" t="s">
        <v>5002</v>
      </c>
      <c r="I4716">
        <v>3</v>
      </c>
    </row>
    <row r="4717" spans="7:9" x14ac:dyDescent="0.15">
      <c r="G4717">
        <v>71923</v>
      </c>
      <c r="H4717" t="s">
        <v>5002</v>
      </c>
      <c r="I4717">
        <v>3</v>
      </c>
    </row>
    <row r="4718" spans="7:9" x14ac:dyDescent="0.15">
      <c r="G4718">
        <v>71930</v>
      </c>
      <c r="H4718" t="s">
        <v>5003</v>
      </c>
      <c r="I4718">
        <v>3</v>
      </c>
    </row>
    <row r="4719" spans="7:9" x14ac:dyDescent="0.15">
      <c r="G4719">
        <v>71948</v>
      </c>
      <c r="H4719" t="s">
        <v>5004</v>
      </c>
      <c r="I4719">
        <v>3</v>
      </c>
    </row>
    <row r="4720" spans="7:9" x14ac:dyDescent="0.15">
      <c r="G4720">
        <v>71955</v>
      </c>
      <c r="H4720" t="s">
        <v>5005</v>
      </c>
      <c r="I4720">
        <v>3</v>
      </c>
    </row>
    <row r="4721" spans="7:9" x14ac:dyDescent="0.15">
      <c r="G4721">
        <v>71958</v>
      </c>
      <c r="H4721" t="s">
        <v>5006</v>
      </c>
      <c r="I4721">
        <v>2</v>
      </c>
    </row>
    <row r="4722" spans="7:9" x14ac:dyDescent="0.15">
      <c r="G4722">
        <v>71962</v>
      </c>
      <c r="H4722" t="s">
        <v>5006</v>
      </c>
      <c r="I4722">
        <v>2</v>
      </c>
    </row>
    <row r="4723" spans="7:9" x14ac:dyDescent="0.15">
      <c r="G4723">
        <v>71976</v>
      </c>
      <c r="H4723" t="s">
        <v>5007</v>
      </c>
      <c r="I4723">
        <v>2</v>
      </c>
    </row>
    <row r="4724" spans="7:9" x14ac:dyDescent="0.15">
      <c r="G4724">
        <v>71983</v>
      </c>
      <c r="H4724" t="s">
        <v>5007</v>
      </c>
      <c r="I4724">
        <v>2</v>
      </c>
    </row>
    <row r="4725" spans="7:9" x14ac:dyDescent="0.15">
      <c r="G4725">
        <v>72018</v>
      </c>
      <c r="H4725" t="s">
        <v>5008</v>
      </c>
      <c r="I4725">
        <v>3</v>
      </c>
    </row>
    <row r="4726" spans="7:9" x14ac:dyDescent="0.15">
      <c r="G4726">
        <v>72025</v>
      </c>
      <c r="H4726" t="s">
        <v>5008</v>
      </c>
      <c r="I4726">
        <v>3</v>
      </c>
    </row>
    <row r="4727" spans="7:9" x14ac:dyDescent="0.15">
      <c r="G4727">
        <v>72046</v>
      </c>
      <c r="H4727" t="s">
        <v>5009</v>
      </c>
      <c r="I4727">
        <v>3</v>
      </c>
    </row>
    <row r="4728" spans="7:9" x14ac:dyDescent="0.15">
      <c r="G4728">
        <v>72053</v>
      </c>
      <c r="H4728" t="s">
        <v>5010</v>
      </c>
      <c r="I4728">
        <v>3</v>
      </c>
    </row>
    <row r="4729" spans="7:9" x14ac:dyDescent="0.15">
      <c r="G4729">
        <v>72060</v>
      </c>
      <c r="H4729" t="s">
        <v>5011</v>
      </c>
      <c r="I4729">
        <v>2</v>
      </c>
    </row>
    <row r="4730" spans="7:9" x14ac:dyDescent="0.15">
      <c r="G4730">
        <v>72067</v>
      </c>
      <c r="H4730" t="s">
        <v>5010</v>
      </c>
      <c r="I4730">
        <v>3</v>
      </c>
    </row>
    <row r="4731" spans="7:9" x14ac:dyDescent="0.15">
      <c r="G4731">
        <v>72070</v>
      </c>
      <c r="H4731" t="s">
        <v>5012</v>
      </c>
      <c r="I4731">
        <v>3</v>
      </c>
    </row>
    <row r="4732" spans="7:9" x14ac:dyDescent="0.15">
      <c r="G4732">
        <v>72088</v>
      </c>
      <c r="H4732" t="s">
        <v>5013</v>
      </c>
      <c r="I4732">
        <v>1</v>
      </c>
    </row>
    <row r="4733" spans="7:9" x14ac:dyDescent="0.15">
      <c r="G4733">
        <v>72102</v>
      </c>
      <c r="H4733" t="s">
        <v>995</v>
      </c>
      <c r="I4733">
        <v>1</v>
      </c>
    </row>
    <row r="4734" spans="7:9" x14ac:dyDescent="0.15">
      <c r="G4734">
        <v>72130</v>
      </c>
      <c r="H4734" t="s">
        <v>5014</v>
      </c>
      <c r="I4734">
        <v>3</v>
      </c>
    </row>
    <row r="4735" spans="7:9" x14ac:dyDescent="0.15">
      <c r="G4735">
        <v>72144</v>
      </c>
      <c r="H4735" t="s">
        <v>5015</v>
      </c>
      <c r="I4735">
        <v>3</v>
      </c>
    </row>
    <row r="4736" spans="7:9" x14ac:dyDescent="0.15">
      <c r="G4736">
        <v>72165</v>
      </c>
      <c r="H4736" t="s">
        <v>5016</v>
      </c>
      <c r="I4736">
        <v>3</v>
      </c>
    </row>
    <row r="4737" spans="7:9" x14ac:dyDescent="0.15">
      <c r="G4737">
        <v>72186</v>
      </c>
      <c r="H4737" t="s">
        <v>5017</v>
      </c>
      <c r="I4737">
        <v>3</v>
      </c>
    </row>
    <row r="4738" spans="7:9" x14ac:dyDescent="0.15">
      <c r="G4738">
        <v>72193</v>
      </c>
      <c r="H4738" t="s">
        <v>5018</v>
      </c>
      <c r="I4738">
        <v>3</v>
      </c>
    </row>
    <row r="4739" spans="7:9" x14ac:dyDescent="0.15">
      <c r="G4739">
        <v>72220</v>
      </c>
      <c r="H4739" t="s">
        <v>5019</v>
      </c>
      <c r="I4739">
        <v>3</v>
      </c>
    </row>
    <row r="4740" spans="7:9" x14ac:dyDescent="0.15">
      <c r="G4740">
        <v>72228</v>
      </c>
      <c r="H4740" t="s">
        <v>5020</v>
      </c>
      <c r="I4740">
        <v>3</v>
      </c>
    </row>
    <row r="4741" spans="7:9" x14ac:dyDescent="0.15">
      <c r="G4741">
        <v>72242</v>
      </c>
      <c r="H4741" t="s">
        <v>5021</v>
      </c>
      <c r="I4741">
        <v>2</v>
      </c>
    </row>
    <row r="4742" spans="7:9" x14ac:dyDescent="0.15">
      <c r="G4742">
        <v>72258</v>
      </c>
      <c r="H4742" t="s">
        <v>5022</v>
      </c>
      <c r="I4742">
        <v>2</v>
      </c>
    </row>
    <row r="4743" spans="7:9" x14ac:dyDescent="0.15">
      <c r="G4743">
        <v>72256</v>
      </c>
      <c r="H4743" t="s">
        <v>5022</v>
      </c>
      <c r="I4743">
        <v>2</v>
      </c>
    </row>
    <row r="4744" spans="7:9" x14ac:dyDescent="0.15">
      <c r="G4744">
        <v>72260</v>
      </c>
      <c r="H4744" t="s">
        <v>5023</v>
      </c>
      <c r="I4744">
        <v>3</v>
      </c>
    </row>
    <row r="4745" spans="7:9" x14ac:dyDescent="0.15">
      <c r="G4745">
        <v>72265</v>
      </c>
      <c r="H4745" t="s">
        <v>5024</v>
      </c>
      <c r="I4745">
        <v>3</v>
      </c>
    </row>
    <row r="4746" spans="7:9" x14ac:dyDescent="0.15">
      <c r="G4746">
        <v>72270</v>
      </c>
      <c r="H4746" t="s">
        <v>5025</v>
      </c>
      <c r="I4746">
        <v>3</v>
      </c>
    </row>
    <row r="4747" spans="7:9" x14ac:dyDescent="0.15">
      <c r="G4747">
        <v>72275</v>
      </c>
      <c r="H4747" t="s">
        <v>5025</v>
      </c>
      <c r="I4747">
        <v>3</v>
      </c>
    </row>
    <row r="4748" spans="7:9" x14ac:dyDescent="0.15">
      <c r="G4748">
        <v>72284</v>
      </c>
      <c r="H4748" t="s">
        <v>5025</v>
      </c>
      <c r="I4748">
        <v>3</v>
      </c>
    </row>
    <row r="4749" spans="7:9" x14ac:dyDescent="0.15">
      <c r="G4749">
        <v>72298</v>
      </c>
      <c r="H4749" t="s">
        <v>5025</v>
      </c>
      <c r="I4749">
        <v>2</v>
      </c>
    </row>
    <row r="4750" spans="7:9" x14ac:dyDescent="0.15">
      <c r="G4750">
        <v>72305</v>
      </c>
      <c r="H4750" t="s">
        <v>5026</v>
      </c>
      <c r="I4750">
        <v>3</v>
      </c>
    </row>
    <row r="4751" spans="7:9" x14ac:dyDescent="0.15">
      <c r="G4751">
        <v>72312</v>
      </c>
      <c r="H4751" t="s">
        <v>5027</v>
      </c>
      <c r="I4751">
        <v>3</v>
      </c>
    </row>
    <row r="4752" spans="7:9" x14ac:dyDescent="0.15">
      <c r="G4752">
        <v>72315</v>
      </c>
      <c r="H4752" t="s">
        <v>5028</v>
      </c>
      <c r="I4752">
        <v>3</v>
      </c>
    </row>
    <row r="4753" spans="7:9" x14ac:dyDescent="0.15">
      <c r="G4753">
        <v>72318</v>
      </c>
      <c r="H4753" t="s">
        <v>5029</v>
      </c>
      <c r="I4753">
        <v>3</v>
      </c>
    </row>
    <row r="4754" spans="7:9" x14ac:dyDescent="0.15">
      <c r="G4754">
        <v>72322</v>
      </c>
      <c r="H4754" t="s">
        <v>5030</v>
      </c>
      <c r="I4754">
        <v>3</v>
      </c>
    </row>
    <row r="4755" spans="7:9" x14ac:dyDescent="0.15">
      <c r="G4755">
        <v>72345</v>
      </c>
      <c r="H4755" t="s">
        <v>5031</v>
      </c>
      <c r="I4755">
        <v>3</v>
      </c>
    </row>
    <row r="4756" spans="7:9" x14ac:dyDescent="0.15">
      <c r="G4756">
        <v>72361</v>
      </c>
      <c r="H4756" t="s">
        <v>5032</v>
      </c>
      <c r="I4756">
        <v>3</v>
      </c>
    </row>
    <row r="4757" spans="7:9" x14ac:dyDescent="0.15">
      <c r="G4757">
        <v>72382</v>
      </c>
      <c r="H4757" t="s">
        <v>5033</v>
      </c>
      <c r="I4757">
        <v>3</v>
      </c>
    </row>
    <row r="4758" spans="7:9" x14ac:dyDescent="0.15">
      <c r="G4758">
        <v>72396</v>
      </c>
      <c r="H4758" t="s">
        <v>5034</v>
      </c>
      <c r="I4758">
        <v>2</v>
      </c>
    </row>
    <row r="4759" spans="7:9" x14ac:dyDescent="0.15">
      <c r="G4759">
        <v>72400</v>
      </c>
      <c r="H4759" t="s">
        <v>5035</v>
      </c>
      <c r="I4759">
        <v>3</v>
      </c>
    </row>
    <row r="4760" spans="7:9" x14ac:dyDescent="0.15">
      <c r="G4760">
        <v>72405</v>
      </c>
      <c r="H4760" t="s">
        <v>5036</v>
      </c>
      <c r="I4760">
        <v>3</v>
      </c>
    </row>
    <row r="4761" spans="7:9" x14ac:dyDescent="0.15">
      <c r="G4761">
        <v>72424</v>
      </c>
      <c r="H4761" t="s">
        <v>996</v>
      </c>
      <c r="I4761">
        <v>1</v>
      </c>
    </row>
    <row r="4762" spans="7:9" x14ac:dyDescent="0.15">
      <c r="G4762">
        <v>72438</v>
      </c>
      <c r="H4762" t="s">
        <v>5037</v>
      </c>
      <c r="I4762">
        <v>3</v>
      </c>
    </row>
    <row r="4763" spans="7:9" x14ac:dyDescent="0.15">
      <c r="G4763">
        <v>72452</v>
      </c>
      <c r="H4763" t="s">
        <v>5038</v>
      </c>
      <c r="I4763">
        <v>3</v>
      </c>
    </row>
    <row r="4764" spans="7:9" x14ac:dyDescent="0.15">
      <c r="G4764">
        <v>72466</v>
      </c>
      <c r="H4764" t="s">
        <v>5039</v>
      </c>
      <c r="I4764">
        <v>3</v>
      </c>
    </row>
    <row r="4765" spans="7:9" x14ac:dyDescent="0.15">
      <c r="G4765">
        <v>72473</v>
      </c>
      <c r="H4765" t="s">
        <v>5040</v>
      </c>
      <c r="I4765">
        <v>3</v>
      </c>
    </row>
    <row r="4766" spans="7:9" x14ac:dyDescent="0.15">
      <c r="G4766">
        <v>72480</v>
      </c>
      <c r="H4766" t="s">
        <v>5041</v>
      </c>
      <c r="I4766">
        <v>3</v>
      </c>
    </row>
    <row r="4767" spans="7:9" x14ac:dyDescent="0.15">
      <c r="G4767">
        <v>72494</v>
      </c>
      <c r="H4767" t="s">
        <v>5042</v>
      </c>
      <c r="I4767">
        <v>2</v>
      </c>
    </row>
    <row r="4768" spans="7:9" x14ac:dyDescent="0.15">
      <c r="G4768">
        <v>72515</v>
      </c>
      <c r="H4768" t="s">
        <v>5043</v>
      </c>
      <c r="I4768">
        <v>3</v>
      </c>
    </row>
    <row r="4769" spans="7:9" x14ac:dyDescent="0.15">
      <c r="G4769">
        <v>72522</v>
      </c>
      <c r="H4769" t="s">
        <v>5044</v>
      </c>
      <c r="I4769">
        <v>2</v>
      </c>
    </row>
    <row r="4770" spans="7:9" x14ac:dyDescent="0.15">
      <c r="G4770">
        <v>72536</v>
      </c>
      <c r="H4770" t="s">
        <v>5045</v>
      </c>
      <c r="I4770">
        <v>3</v>
      </c>
    </row>
    <row r="4771" spans="7:9" x14ac:dyDescent="0.15">
      <c r="G4771">
        <v>72578</v>
      </c>
      <c r="H4771" t="s">
        <v>5046</v>
      </c>
      <c r="I4771">
        <v>2</v>
      </c>
    </row>
    <row r="4772" spans="7:9" x14ac:dyDescent="0.15">
      <c r="G4772">
        <v>72580</v>
      </c>
      <c r="H4772" t="s">
        <v>5047</v>
      </c>
      <c r="I4772">
        <v>3</v>
      </c>
    </row>
    <row r="4773" spans="7:9" x14ac:dyDescent="0.15">
      <c r="G4773">
        <v>72582</v>
      </c>
      <c r="H4773" t="s">
        <v>5048</v>
      </c>
      <c r="I4773">
        <v>3</v>
      </c>
    </row>
    <row r="4774" spans="7:9" x14ac:dyDescent="0.15">
      <c r="G4774">
        <v>72588</v>
      </c>
      <c r="H4774" t="s">
        <v>5049</v>
      </c>
      <c r="I4774">
        <v>3</v>
      </c>
    </row>
    <row r="4775" spans="7:9" x14ac:dyDescent="0.15">
      <c r="G4775">
        <v>72594</v>
      </c>
      <c r="H4775" t="s">
        <v>5050</v>
      </c>
      <c r="I4775">
        <v>3</v>
      </c>
    </row>
    <row r="4776" spans="7:9" x14ac:dyDescent="0.15">
      <c r="G4776">
        <v>72598</v>
      </c>
      <c r="H4776" t="s">
        <v>5051</v>
      </c>
      <c r="I4776">
        <v>3</v>
      </c>
    </row>
    <row r="4777" spans="7:9" x14ac:dyDescent="0.15">
      <c r="G4777">
        <v>72602</v>
      </c>
      <c r="H4777" t="s">
        <v>5052</v>
      </c>
      <c r="I4777">
        <v>3</v>
      </c>
    </row>
    <row r="4778" spans="7:9" x14ac:dyDescent="0.15">
      <c r="G4778">
        <v>72608</v>
      </c>
      <c r="H4778" t="s">
        <v>5053</v>
      </c>
      <c r="I4778">
        <v>3</v>
      </c>
    </row>
    <row r="4779" spans="7:9" x14ac:dyDescent="0.15">
      <c r="G4779">
        <v>72612</v>
      </c>
      <c r="H4779" t="s">
        <v>5054</v>
      </c>
      <c r="I4779">
        <v>3</v>
      </c>
    </row>
    <row r="4780" spans="7:9" x14ac:dyDescent="0.15">
      <c r="G4780">
        <v>72620</v>
      </c>
      <c r="H4780" t="s">
        <v>5055</v>
      </c>
      <c r="I4780">
        <v>2</v>
      </c>
    </row>
    <row r="4781" spans="7:9" x14ac:dyDescent="0.15">
      <c r="G4781">
        <v>72630</v>
      </c>
      <c r="H4781" t="s">
        <v>5056</v>
      </c>
      <c r="I4781">
        <v>3</v>
      </c>
    </row>
    <row r="4782" spans="7:9" x14ac:dyDescent="0.15">
      <c r="G4782">
        <v>72635</v>
      </c>
      <c r="H4782" t="s">
        <v>5057</v>
      </c>
      <c r="I4782">
        <v>3</v>
      </c>
    </row>
    <row r="4783" spans="7:9" x14ac:dyDescent="0.15">
      <c r="G4783">
        <v>72648</v>
      </c>
      <c r="H4783" t="s">
        <v>5058</v>
      </c>
      <c r="I4783">
        <v>2</v>
      </c>
    </row>
    <row r="4784" spans="7:9" x14ac:dyDescent="0.15">
      <c r="G4784">
        <v>72662</v>
      </c>
      <c r="H4784" t="s">
        <v>5059</v>
      </c>
      <c r="I4784">
        <v>3</v>
      </c>
    </row>
    <row r="4785" spans="7:9" x14ac:dyDescent="0.15">
      <c r="G4785">
        <v>72676</v>
      </c>
      <c r="H4785" t="s">
        <v>5060</v>
      </c>
      <c r="I4785">
        <v>3</v>
      </c>
    </row>
    <row r="4786" spans="7:9" x14ac:dyDescent="0.15">
      <c r="G4786">
        <v>72680</v>
      </c>
      <c r="H4786" t="s">
        <v>5061</v>
      </c>
      <c r="I4786">
        <v>3</v>
      </c>
    </row>
    <row r="4787" spans="7:9" x14ac:dyDescent="0.15">
      <c r="G4787">
        <v>72685</v>
      </c>
      <c r="H4787" t="s">
        <v>5062</v>
      </c>
      <c r="I4787">
        <v>3</v>
      </c>
    </row>
    <row r="4788" spans="7:9" x14ac:dyDescent="0.15">
      <c r="G4788">
        <v>72690</v>
      </c>
      <c r="H4788" t="s">
        <v>5063</v>
      </c>
      <c r="I4788">
        <v>3</v>
      </c>
    </row>
    <row r="4789" spans="7:9" x14ac:dyDescent="0.15">
      <c r="G4789">
        <v>72718</v>
      </c>
      <c r="H4789" t="s">
        <v>5064</v>
      </c>
      <c r="I4789">
        <v>3</v>
      </c>
    </row>
    <row r="4790" spans="7:9" x14ac:dyDescent="0.15">
      <c r="G4790">
        <v>72725</v>
      </c>
      <c r="H4790" t="s">
        <v>5065</v>
      </c>
      <c r="I4790">
        <v>3</v>
      </c>
    </row>
    <row r="4791" spans="7:9" x14ac:dyDescent="0.15">
      <c r="G4791">
        <v>72732</v>
      </c>
      <c r="H4791" t="s">
        <v>5066</v>
      </c>
      <c r="I4791">
        <v>3</v>
      </c>
    </row>
    <row r="4792" spans="7:9" x14ac:dyDescent="0.15">
      <c r="G4792">
        <v>72734</v>
      </c>
      <c r="H4792" t="s">
        <v>5067</v>
      </c>
      <c r="I4792">
        <v>3</v>
      </c>
    </row>
    <row r="4793" spans="7:9" x14ac:dyDescent="0.15">
      <c r="G4793">
        <v>72736</v>
      </c>
      <c r="H4793" t="s">
        <v>5068</v>
      </c>
      <c r="I4793">
        <v>3</v>
      </c>
    </row>
    <row r="4794" spans="7:9" x14ac:dyDescent="0.15">
      <c r="G4794">
        <v>72740</v>
      </c>
      <c r="H4794" t="s">
        <v>5068</v>
      </c>
      <c r="I4794">
        <v>3</v>
      </c>
    </row>
    <row r="4795" spans="7:9" x14ac:dyDescent="0.15">
      <c r="G4795">
        <v>72746</v>
      </c>
      <c r="H4795" t="s">
        <v>5069</v>
      </c>
      <c r="I4795">
        <v>3</v>
      </c>
    </row>
    <row r="4796" spans="7:9" x14ac:dyDescent="0.15">
      <c r="G4796">
        <v>72760</v>
      </c>
      <c r="H4796" t="s">
        <v>5070</v>
      </c>
      <c r="I4796">
        <v>2</v>
      </c>
    </row>
    <row r="4797" spans="7:9" x14ac:dyDescent="0.15">
      <c r="G4797">
        <v>72767</v>
      </c>
      <c r="H4797" t="s">
        <v>5071</v>
      </c>
      <c r="I4797">
        <v>3</v>
      </c>
    </row>
    <row r="4798" spans="7:9" x14ac:dyDescent="0.15">
      <c r="G4798">
        <v>72780</v>
      </c>
      <c r="H4798" t="s">
        <v>5072</v>
      </c>
      <c r="I4798">
        <v>3</v>
      </c>
    </row>
    <row r="4799" spans="7:9" x14ac:dyDescent="0.15">
      <c r="G4799">
        <v>72788</v>
      </c>
      <c r="H4799" t="s">
        <v>5073</v>
      </c>
      <c r="I4799">
        <v>2</v>
      </c>
    </row>
    <row r="4800" spans="7:9" x14ac:dyDescent="0.15">
      <c r="G4800">
        <v>72816</v>
      </c>
      <c r="H4800" t="s">
        <v>5073</v>
      </c>
      <c r="I4800">
        <v>3</v>
      </c>
    </row>
    <row r="4801" spans="7:9" x14ac:dyDescent="0.15">
      <c r="G4801">
        <v>72820</v>
      </c>
      <c r="H4801" t="s">
        <v>5074</v>
      </c>
      <c r="I4801">
        <v>3</v>
      </c>
    </row>
    <row r="4802" spans="7:9" x14ac:dyDescent="0.15">
      <c r="G4802">
        <v>72825</v>
      </c>
      <c r="H4802" t="s">
        <v>5075</v>
      </c>
      <c r="I4802">
        <v>3</v>
      </c>
    </row>
    <row r="4803" spans="7:9" x14ac:dyDescent="0.15">
      <c r="G4803">
        <v>72830</v>
      </c>
      <c r="H4803" t="s">
        <v>5076</v>
      </c>
      <c r="I4803">
        <v>3</v>
      </c>
    </row>
    <row r="4804" spans="7:9" x14ac:dyDescent="0.15">
      <c r="G4804">
        <v>72844</v>
      </c>
      <c r="H4804" t="s">
        <v>5077</v>
      </c>
      <c r="I4804">
        <v>3</v>
      </c>
    </row>
    <row r="4805" spans="7:9" x14ac:dyDescent="0.15">
      <c r="G4805">
        <v>72858</v>
      </c>
      <c r="H4805" t="s">
        <v>5078</v>
      </c>
      <c r="I4805">
        <v>3</v>
      </c>
    </row>
    <row r="4806" spans="7:9" x14ac:dyDescent="0.15">
      <c r="G4806">
        <v>72862</v>
      </c>
      <c r="H4806" t="s">
        <v>5079</v>
      </c>
      <c r="I4806">
        <v>3</v>
      </c>
    </row>
    <row r="4807" spans="7:9" x14ac:dyDescent="0.15">
      <c r="G4807">
        <v>72868</v>
      </c>
      <c r="H4807" t="s">
        <v>5080</v>
      </c>
      <c r="I4807">
        <v>3</v>
      </c>
    </row>
    <row r="4808" spans="7:9" x14ac:dyDescent="0.15">
      <c r="G4808">
        <v>72872</v>
      </c>
      <c r="H4808" t="s">
        <v>5081</v>
      </c>
      <c r="I4808">
        <v>3</v>
      </c>
    </row>
    <row r="4809" spans="7:9" x14ac:dyDescent="0.15">
      <c r="G4809">
        <v>72886</v>
      </c>
      <c r="H4809" t="s">
        <v>5082</v>
      </c>
      <c r="I4809">
        <v>3</v>
      </c>
    </row>
    <row r="4810" spans="7:9" x14ac:dyDescent="0.15">
      <c r="G4810">
        <v>72900</v>
      </c>
      <c r="H4810" t="s">
        <v>5083</v>
      </c>
      <c r="I4810">
        <v>3</v>
      </c>
    </row>
    <row r="4811" spans="7:9" x14ac:dyDescent="0.15">
      <c r="G4811">
        <v>72905</v>
      </c>
      <c r="H4811" t="s">
        <v>5084</v>
      </c>
      <c r="I4811">
        <v>3</v>
      </c>
    </row>
    <row r="4812" spans="7:9" x14ac:dyDescent="0.15">
      <c r="G4812">
        <v>72928</v>
      </c>
      <c r="H4812" t="s">
        <v>5085</v>
      </c>
      <c r="I4812">
        <v>1</v>
      </c>
    </row>
    <row r="4813" spans="7:9" x14ac:dyDescent="0.15">
      <c r="G4813">
        <v>72956</v>
      </c>
      <c r="H4813" t="s">
        <v>5086</v>
      </c>
      <c r="I4813">
        <v>3</v>
      </c>
    </row>
    <row r="4814" spans="7:9" x14ac:dyDescent="0.15">
      <c r="G4814">
        <v>72960</v>
      </c>
      <c r="H4814" t="s">
        <v>5087</v>
      </c>
      <c r="I4814">
        <v>3</v>
      </c>
    </row>
    <row r="4815" spans="7:9" x14ac:dyDescent="0.15">
      <c r="G4815">
        <v>72964</v>
      </c>
      <c r="H4815" t="s">
        <v>5088</v>
      </c>
      <c r="I4815">
        <v>3</v>
      </c>
    </row>
    <row r="4816" spans="7:9" x14ac:dyDescent="0.15">
      <c r="G4816">
        <v>72970</v>
      </c>
      <c r="H4816" t="s">
        <v>5089</v>
      </c>
      <c r="I4816">
        <v>3</v>
      </c>
    </row>
    <row r="4817" spans="7:9" x14ac:dyDescent="0.15">
      <c r="G4817">
        <v>72977</v>
      </c>
      <c r="H4817" t="s">
        <v>5090</v>
      </c>
      <c r="I4817">
        <v>2</v>
      </c>
    </row>
    <row r="4818" spans="7:9" x14ac:dyDescent="0.15">
      <c r="G4818">
        <v>72984</v>
      </c>
      <c r="H4818" t="s">
        <v>5091</v>
      </c>
      <c r="I4818">
        <v>3</v>
      </c>
    </row>
    <row r="4819" spans="7:9" x14ac:dyDescent="0.15">
      <c r="G4819">
        <v>72998</v>
      </c>
      <c r="H4819" t="s">
        <v>5092</v>
      </c>
      <c r="I4819">
        <v>2</v>
      </c>
    </row>
    <row r="4820" spans="7:9" x14ac:dyDescent="0.15">
      <c r="G4820">
        <v>73012</v>
      </c>
      <c r="H4820" t="s">
        <v>5093</v>
      </c>
      <c r="I4820">
        <v>3</v>
      </c>
    </row>
    <row r="4821" spans="7:9" x14ac:dyDescent="0.15">
      <c r="G4821">
        <v>73026</v>
      </c>
      <c r="H4821" t="s">
        <v>5094</v>
      </c>
      <c r="I4821">
        <v>3</v>
      </c>
    </row>
    <row r="4822" spans="7:9" x14ac:dyDescent="0.15">
      <c r="G4822">
        <v>73040</v>
      </c>
      <c r="H4822" t="s">
        <v>5095</v>
      </c>
      <c r="I4822">
        <v>2</v>
      </c>
    </row>
    <row r="4823" spans="7:9" x14ac:dyDescent="0.15">
      <c r="G4823">
        <v>73056</v>
      </c>
      <c r="H4823" t="s">
        <v>5096</v>
      </c>
      <c r="I4823">
        <v>3</v>
      </c>
    </row>
    <row r="4824" spans="7:9" x14ac:dyDescent="0.15">
      <c r="G4824">
        <v>73058</v>
      </c>
      <c r="H4824" t="s">
        <v>5097</v>
      </c>
      <c r="I4824">
        <v>3</v>
      </c>
    </row>
    <row r="4825" spans="7:9" x14ac:dyDescent="0.15">
      <c r="G4825">
        <v>73061</v>
      </c>
      <c r="H4825" t="s">
        <v>5098</v>
      </c>
      <c r="I4825">
        <v>3</v>
      </c>
    </row>
    <row r="4826" spans="7:9" x14ac:dyDescent="0.15">
      <c r="G4826">
        <v>73068</v>
      </c>
      <c r="H4826" t="s">
        <v>5099</v>
      </c>
      <c r="I4826">
        <v>2</v>
      </c>
    </row>
    <row r="4827" spans="7:9" x14ac:dyDescent="0.15">
      <c r="G4827">
        <v>73082</v>
      </c>
      <c r="H4827" t="s">
        <v>5100</v>
      </c>
      <c r="I4827">
        <v>3</v>
      </c>
    </row>
    <row r="4828" spans="7:9" x14ac:dyDescent="0.15">
      <c r="G4828">
        <v>73110</v>
      </c>
      <c r="H4828" t="s">
        <v>5101</v>
      </c>
      <c r="I4828">
        <v>3</v>
      </c>
    </row>
    <row r="4829" spans="7:9" x14ac:dyDescent="0.15">
      <c r="G4829">
        <v>73118</v>
      </c>
      <c r="H4829" t="s">
        <v>5102</v>
      </c>
      <c r="I4829">
        <v>2</v>
      </c>
    </row>
    <row r="4830" spans="7:9" x14ac:dyDescent="0.15">
      <c r="G4830">
        <v>73124</v>
      </c>
      <c r="H4830" t="s">
        <v>5103</v>
      </c>
      <c r="I4830">
        <v>2</v>
      </c>
    </row>
    <row r="4831" spans="7:9" x14ac:dyDescent="0.15">
      <c r="G4831">
        <v>73138</v>
      </c>
      <c r="H4831" t="s">
        <v>5104</v>
      </c>
      <c r="I4831">
        <v>3</v>
      </c>
    </row>
    <row r="4832" spans="7:9" x14ac:dyDescent="0.15">
      <c r="G4832">
        <v>73166</v>
      </c>
      <c r="H4832" t="s">
        <v>5105</v>
      </c>
      <c r="I4832">
        <v>3</v>
      </c>
    </row>
    <row r="4833" spans="7:9" x14ac:dyDescent="0.15">
      <c r="G4833">
        <v>73200</v>
      </c>
      <c r="H4833" t="s">
        <v>5106</v>
      </c>
      <c r="I4833">
        <v>3</v>
      </c>
    </row>
    <row r="4834" spans="7:9" x14ac:dyDescent="0.15">
      <c r="G4834">
        <v>73264</v>
      </c>
      <c r="H4834" t="s">
        <v>5107</v>
      </c>
      <c r="I4834">
        <v>1</v>
      </c>
    </row>
    <row r="4835" spans="7:9" x14ac:dyDescent="0.15">
      <c r="G4835">
        <v>73278</v>
      </c>
      <c r="H4835" t="s">
        <v>5108</v>
      </c>
      <c r="I4835">
        <v>3</v>
      </c>
    </row>
    <row r="4836" spans="7:9" x14ac:dyDescent="0.15">
      <c r="G4836">
        <v>73348</v>
      </c>
      <c r="H4836" t="s">
        <v>5109</v>
      </c>
      <c r="I4836">
        <v>3</v>
      </c>
    </row>
    <row r="4837" spans="7:9" x14ac:dyDescent="0.15">
      <c r="G4837">
        <v>73362</v>
      </c>
      <c r="H4837" t="s">
        <v>5110</v>
      </c>
      <c r="I4837">
        <v>3</v>
      </c>
    </row>
    <row r="4838" spans="7:9" x14ac:dyDescent="0.15">
      <c r="G4838">
        <v>73376</v>
      </c>
      <c r="H4838" t="s">
        <v>5111</v>
      </c>
      <c r="I4838">
        <v>3</v>
      </c>
    </row>
    <row r="4839" spans="7:9" x14ac:dyDescent="0.15">
      <c r="G4839">
        <v>73390</v>
      </c>
      <c r="H4839" t="s">
        <v>5112</v>
      </c>
      <c r="I4839">
        <v>3</v>
      </c>
    </row>
    <row r="4840" spans="7:9" x14ac:dyDescent="0.15">
      <c r="G4840">
        <v>73397</v>
      </c>
      <c r="H4840" t="s">
        <v>5113</v>
      </c>
      <c r="I4840">
        <v>3</v>
      </c>
    </row>
    <row r="4841" spans="7:9" x14ac:dyDescent="0.15">
      <c r="G4841">
        <v>73446</v>
      </c>
      <c r="H4841" t="s">
        <v>5114</v>
      </c>
      <c r="I4841">
        <v>2</v>
      </c>
    </row>
    <row r="4842" spans="7:9" x14ac:dyDescent="0.15">
      <c r="G4842">
        <v>73460</v>
      </c>
      <c r="H4842" t="s">
        <v>5115</v>
      </c>
      <c r="I4842">
        <v>3</v>
      </c>
    </row>
    <row r="4843" spans="7:9" x14ac:dyDescent="0.15">
      <c r="G4843">
        <v>73488</v>
      </c>
      <c r="H4843" t="s">
        <v>5116</v>
      </c>
      <c r="I4843">
        <v>3</v>
      </c>
    </row>
    <row r="4844" spans="7:9" x14ac:dyDescent="0.15">
      <c r="G4844">
        <v>73502</v>
      </c>
      <c r="H4844" t="s">
        <v>5117</v>
      </c>
      <c r="I4844">
        <v>3</v>
      </c>
    </row>
    <row r="4845" spans="7:9" x14ac:dyDescent="0.15">
      <c r="G4845">
        <v>73510</v>
      </c>
      <c r="H4845" t="s">
        <v>5118</v>
      </c>
      <c r="I4845">
        <v>3</v>
      </c>
    </row>
    <row r="4846" spans="7:9" x14ac:dyDescent="0.15">
      <c r="G4846">
        <v>73516</v>
      </c>
      <c r="H4846" t="s">
        <v>5119</v>
      </c>
      <c r="I4846">
        <v>3</v>
      </c>
    </row>
    <row r="4847" spans="7:9" x14ac:dyDescent="0.15">
      <c r="G4847">
        <v>73530</v>
      </c>
      <c r="H4847" t="s">
        <v>5120</v>
      </c>
      <c r="I4847">
        <v>3</v>
      </c>
    </row>
    <row r="4848" spans="7:9" x14ac:dyDescent="0.15">
      <c r="G4848">
        <v>73558</v>
      </c>
      <c r="H4848" t="s">
        <v>5121</v>
      </c>
      <c r="I4848">
        <v>3</v>
      </c>
    </row>
    <row r="4849" spans="7:9" x14ac:dyDescent="0.15">
      <c r="G4849">
        <v>73586</v>
      </c>
      <c r="H4849" t="s">
        <v>5122</v>
      </c>
      <c r="I4849">
        <v>3</v>
      </c>
    </row>
    <row r="4850" spans="7:9" x14ac:dyDescent="0.15">
      <c r="G4850">
        <v>73628</v>
      </c>
      <c r="H4850" t="s">
        <v>5123</v>
      </c>
      <c r="I4850">
        <v>3</v>
      </c>
    </row>
    <row r="4851" spans="7:9" x14ac:dyDescent="0.15">
      <c r="G4851">
        <v>73642</v>
      </c>
      <c r="H4851" t="s">
        <v>5124</v>
      </c>
      <c r="I4851">
        <v>3</v>
      </c>
    </row>
    <row r="4852" spans="7:9" x14ac:dyDescent="0.15">
      <c r="G4852">
        <v>73656</v>
      </c>
      <c r="H4852" t="s">
        <v>5125</v>
      </c>
      <c r="I4852">
        <v>3</v>
      </c>
    </row>
    <row r="4853" spans="7:9" x14ac:dyDescent="0.15">
      <c r="G4853">
        <v>73670</v>
      </c>
      <c r="H4853" t="s">
        <v>5126</v>
      </c>
      <c r="I4853">
        <v>2</v>
      </c>
    </row>
    <row r="4854" spans="7:9" x14ac:dyDescent="0.15">
      <c r="G4854">
        <v>73684</v>
      </c>
      <c r="H4854" t="s">
        <v>5127</v>
      </c>
      <c r="I4854">
        <v>2</v>
      </c>
    </row>
    <row r="4855" spans="7:9" x14ac:dyDescent="0.15">
      <c r="G4855">
        <v>73698</v>
      </c>
      <c r="H4855" t="s">
        <v>5128</v>
      </c>
      <c r="I4855">
        <v>2</v>
      </c>
    </row>
    <row r="4856" spans="7:9" x14ac:dyDescent="0.15">
      <c r="G4856">
        <v>73712</v>
      </c>
      <c r="H4856" t="s">
        <v>5129</v>
      </c>
      <c r="I4856">
        <v>3</v>
      </c>
    </row>
    <row r="4857" spans="7:9" x14ac:dyDescent="0.15">
      <c r="G4857">
        <v>73740</v>
      </c>
      <c r="H4857" t="s">
        <v>5130</v>
      </c>
      <c r="I4857">
        <v>3</v>
      </c>
    </row>
    <row r="4858" spans="7:9" x14ac:dyDescent="0.15">
      <c r="G4858">
        <v>73754</v>
      </c>
      <c r="H4858" t="s">
        <v>5130</v>
      </c>
      <c r="I4858">
        <v>3</v>
      </c>
    </row>
    <row r="4859" spans="7:9" x14ac:dyDescent="0.15">
      <c r="G4859">
        <v>73768</v>
      </c>
      <c r="H4859" t="s">
        <v>5131</v>
      </c>
      <c r="I4859">
        <v>2</v>
      </c>
    </row>
    <row r="4860" spans="7:9" x14ac:dyDescent="0.15">
      <c r="G4860">
        <v>73796</v>
      </c>
      <c r="H4860" t="s">
        <v>5132</v>
      </c>
      <c r="I4860">
        <v>2</v>
      </c>
    </row>
    <row r="4861" spans="7:9" x14ac:dyDescent="0.15">
      <c r="G4861">
        <v>73810</v>
      </c>
      <c r="H4861" t="s">
        <v>5133</v>
      </c>
      <c r="I4861">
        <v>3</v>
      </c>
    </row>
    <row r="4862" spans="7:9" x14ac:dyDescent="0.15">
      <c r="G4862">
        <v>73824</v>
      </c>
      <c r="H4862" t="s">
        <v>5134</v>
      </c>
      <c r="I4862">
        <v>2</v>
      </c>
    </row>
    <row r="4863" spans="7:9" x14ac:dyDescent="0.15">
      <c r="G4863">
        <v>73866</v>
      </c>
      <c r="H4863" t="s">
        <v>5135</v>
      </c>
      <c r="I4863">
        <v>3</v>
      </c>
    </row>
    <row r="4864" spans="7:9" x14ac:dyDescent="0.15">
      <c r="G4864">
        <v>73880</v>
      </c>
      <c r="H4864" t="s">
        <v>5136</v>
      </c>
      <c r="I4864">
        <v>3</v>
      </c>
    </row>
    <row r="4865" spans="7:9" x14ac:dyDescent="0.15">
      <c r="G4865">
        <v>73894</v>
      </c>
      <c r="H4865" t="s">
        <v>5137</v>
      </c>
      <c r="I4865">
        <v>2</v>
      </c>
    </row>
    <row r="4866" spans="7:9" x14ac:dyDescent="0.15">
      <c r="G4866">
        <v>73930</v>
      </c>
      <c r="H4866" t="s">
        <v>5138</v>
      </c>
      <c r="I4866">
        <v>3</v>
      </c>
    </row>
    <row r="4867" spans="7:9" x14ac:dyDescent="0.15">
      <c r="G4867">
        <v>73936</v>
      </c>
      <c r="H4867" t="s">
        <v>5139</v>
      </c>
      <c r="I4867">
        <v>3</v>
      </c>
    </row>
    <row r="4868" spans="7:9" x14ac:dyDescent="0.15">
      <c r="G4868">
        <v>73950</v>
      </c>
      <c r="H4868" t="s">
        <v>5140</v>
      </c>
      <c r="I4868">
        <v>2</v>
      </c>
    </row>
    <row r="4869" spans="7:9" x14ac:dyDescent="0.15">
      <c r="G4869">
        <v>73970</v>
      </c>
      <c r="H4869" t="s">
        <v>5141</v>
      </c>
      <c r="I4869">
        <v>3</v>
      </c>
    </row>
    <row r="4870" spans="7:9" x14ac:dyDescent="0.15">
      <c r="G4870">
        <v>73978</v>
      </c>
      <c r="H4870" t="s">
        <v>5142</v>
      </c>
      <c r="I4870">
        <v>3</v>
      </c>
    </row>
    <row r="4871" spans="7:9" x14ac:dyDescent="0.15">
      <c r="G4871">
        <v>73980</v>
      </c>
      <c r="H4871" t="s">
        <v>5143</v>
      </c>
      <c r="I4871">
        <v>3</v>
      </c>
    </row>
    <row r="4872" spans="7:9" x14ac:dyDescent="0.15">
      <c r="G4872">
        <v>73982</v>
      </c>
      <c r="H4872" t="s">
        <v>5144</v>
      </c>
      <c r="I4872">
        <v>3</v>
      </c>
    </row>
    <row r="4873" spans="7:9" x14ac:dyDescent="0.15">
      <c r="G4873">
        <v>73986</v>
      </c>
      <c r="H4873" t="s">
        <v>5144</v>
      </c>
      <c r="I4873">
        <v>3</v>
      </c>
    </row>
    <row r="4874" spans="7:9" x14ac:dyDescent="0.15">
      <c r="G4874">
        <v>73990</v>
      </c>
      <c r="H4874" t="s">
        <v>5144</v>
      </c>
      <c r="I4874">
        <v>3</v>
      </c>
    </row>
    <row r="4875" spans="7:9" x14ac:dyDescent="0.15">
      <c r="G4875">
        <v>73992</v>
      </c>
      <c r="H4875" t="s">
        <v>5145</v>
      </c>
      <c r="I4875">
        <v>2</v>
      </c>
    </row>
    <row r="4876" spans="7:9" x14ac:dyDescent="0.15">
      <c r="G4876">
        <v>73999</v>
      </c>
      <c r="H4876" t="s">
        <v>5144</v>
      </c>
      <c r="I4876">
        <v>3</v>
      </c>
    </row>
    <row r="4877" spans="7:9" x14ac:dyDescent="0.15">
      <c r="G4877">
        <v>74006</v>
      </c>
      <c r="H4877" t="s">
        <v>5145</v>
      </c>
      <c r="I4877">
        <v>3</v>
      </c>
    </row>
    <row r="4878" spans="7:9" x14ac:dyDescent="0.15">
      <c r="G4878">
        <v>74034</v>
      </c>
      <c r="H4878" t="s">
        <v>5146</v>
      </c>
      <c r="I4878">
        <v>2</v>
      </c>
    </row>
    <row r="4879" spans="7:9" x14ac:dyDescent="0.15">
      <c r="G4879">
        <v>74040</v>
      </c>
      <c r="H4879" t="s">
        <v>5147</v>
      </c>
      <c r="I4879">
        <v>3</v>
      </c>
    </row>
    <row r="4880" spans="7:9" x14ac:dyDescent="0.15">
      <c r="G4880">
        <v>74062</v>
      </c>
      <c r="H4880" t="s">
        <v>5148</v>
      </c>
      <c r="I4880">
        <v>3</v>
      </c>
    </row>
    <row r="4881" spans="7:9" x14ac:dyDescent="0.15">
      <c r="G4881">
        <v>74063</v>
      </c>
      <c r="H4881" t="s">
        <v>5149</v>
      </c>
      <c r="I4881">
        <v>3</v>
      </c>
    </row>
    <row r="4882" spans="7:9" x14ac:dyDescent="0.15">
      <c r="G4882">
        <v>74065</v>
      </c>
      <c r="H4882" t="s">
        <v>5150</v>
      </c>
      <c r="I4882">
        <v>3</v>
      </c>
    </row>
    <row r="4883" spans="7:9" x14ac:dyDescent="0.15">
      <c r="G4883">
        <v>74067</v>
      </c>
      <c r="H4883" t="s">
        <v>5151</v>
      </c>
      <c r="I4883">
        <v>3</v>
      </c>
    </row>
    <row r="4884" spans="7:9" x14ac:dyDescent="0.15">
      <c r="G4884">
        <v>74069</v>
      </c>
      <c r="H4884" t="s">
        <v>5152</v>
      </c>
      <c r="I4884">
        <v>3</v>
      </c>
    </row>
    <row r="4885" spans="7:9" x14ac:dyDescent="0.15">
      <c r="G4885">
        <v>74076</v>
      </c>
      <c r="H4885" t="s">
        <v>5153</v>
      </c>
      <c r="I4885">
        <v>1</v>
      </c>
    </row>
    <row r="4886" spans="7:9" x14ac:dyDescent="0.15">
      <c r="G4886">
        <v>74090</v>
      </c>
      <c r="H4886" t="s">
        <v>5154</v>
      </c>
      <c r="I4886">
        <v>3</v>
      </c>
    </row>
    <row r="4887" spans="7:9" x14ac:dyDescent="0.15">
      <c r="G4887">
        <v>74097</v>
      </c>
      <c r="H4887" t="s">
        <v>5155</v>
      </c>
      <c r="I4887">
        <v>3</v>
      </c>
    </row>
    <row r="4888" spans="7:9" x14ac:dyDescent="0.15">
      <c r="G4888">
        <v>74104</v>
      </c>
      <c r="H4888" t="s">
        <v>5156</v>
      </c>
      <c r="I4888">
        <v>1</v>
      </c>
    </row>
    <row r="4889" spans="7:9" x14ac:dyDescent="0.15">
      <c r="G4889">
        <v>74118</v>
      </c>
      <c r="H4889" t="s">
        <v>942</v>
      </c>
      <c r="I4889">
        <v>1</v>
      </c>
    </row>
    <row r="4890" spans="7:9" x14ac:dyDescent="0.15">
      <c r="G4890">
        <v>74119</v>
      </c>
      <c r="H4890" t="s">
        <v>5157</v>
      </c>
      <c r="I4890">
        <v>3</v>
      </c>
    </row>
    <row r="4891" spans="7:9" x14ac:dyDescent="0.15">
      <c r="G4891">
        <v>74120</v>
      </c>
      <c r="H4891" t="s">
        <v>5157</v>
      </c>
      <c r="I4891">
        <v>3</v>
      </c>
    </row>
    <row r="4892" spans="7:9" x14ac:dyDescent="0.15">
      <c r="G4892">
        <v>74121</v>
      </c>
      <c r="H4892" t="s">
        <v>5157</v>
      </c>
      <c r="I4892">
        <v>3</v>
      </c>
    </row>
    <row r="4893" spans="7:9" x14ac:dyDescent="0.15">
      <c r="G4893">
        <v>74122</v>
      </c>
      <c r="H4893" t="s">
        <v>5157</v>
      </c>
      <c r="I4893">
        <v>3</v>
      </c>
    </row>
    <row r="4894" spans="7:9" x14ac:dyDescent="0.15">
      <c r="G4894">
        <v>74123</v>
      </c>
      <c r="H4894" t="s">
        <v>5157</v>
      </c>
      <c r="I4894">
        <v>3</v>
      </c>
    </row>
    <row r="4895" spans="7:9" x14ac:dyDescent="0.15">
      <c r="G4895">
        <v>74124</v>
      </c>
      <c r="H4895" t="s">
        <v>5157</v>
      </c>
      <c r="I4895">
        <v>3</v>
      </c>
    </row>
    <row r="4896" spans="7:9" x14ac:dyDescent="0.15">
      <c r="G4896">
        <v>74125</v>
      </c>
      <c r="H4896" t="s">
        <v>5157</v>
      </c>
      <c r="I4896">
        <v>3</v>
      </c>
    </row>
    <row r="4897" spans="7:9" x14ac:dyDescent="0.15">
      <c r="G4897">
        <v>74128</v>
      </c>
      <c r="H4897" t="s">
        <v>5157</v>
      </c>
      <c r="I4897">
        <v>3</v>
      </c>
    </row>
    <row r="4898" spans="7:9" x14ac:dyDescent="0.15">
      <c r="G4898">
        <v>74129</v>
      </c>
      <c r="H4898" t="s">
        <v>5157</v>
      </c>
      <c r="I4898">
        <v>3</v>
      </c>
    </row>
    <row r="4899" spans="7:9" x14ac:dyDescent="0.15">
      <c r="G4899">
        <v>74130</v>
      </c>
      <c r="H4899" t="s">
        <v>5157</v>
      </c>
      <c r="I4899">
        <v>3</v>
      </c>
    </row>
    <row r="4900" spans="7:9" x14ac:dyDescent="0.15">
      <c r="G4900">
        <v>74131</v>
      </c>
      <c r="H4900" t="s">
        <v>5157</v>
      </c>
      <c r="I4900">
        <v>3</v>
      </c>
    </row>
    <row r="4901" spans="7:9" x14ac:dyDescent="0.15">
      <c r="G4901">
        <v>74135</v>
      </c>
      <c r="H4901" t="s">
        <v>5158</v>
      </c>
      <c r="I4901">
        <v>3</v>
      </c>
    </row>
    <row r="4902" spans="7:9" x14ac:dyDescent="0.15">
      <c r="G4902">
        <v>74146</v>
      </c>
      <c r="H4902" t="s">
        <v>5159</v>
      </c>
      <c r="I4902">
        <v>3</v>
      </c>
    </row>
    <row r="4903" spans="7:9" x14ac:dyDescent="0.15">
      <c r="G4903">
        <v>74160</v>
      </c>
      <c r="H4903" t="s">
        <v>5160</v>
      </c>
      <c r="I4903">
        <v>3</v>
      </c>
    </row>
    <row r="4904" spans="7:9" x14ac:dyDescent="0.15">
      <c r="G4904">
        <v>74174</v>
      </c>
      <c r="H4904" t="s">
        <v>5161</v>
      </c>
      <c r="I4904">
        <v>3</v>
      </c>
    </row>
    <row r="4905" spans="7:9" x14ac:dyDescent="0.15">
      <c r="G4905">
        <v>74202</v>
      </c>
      <c r="H4905" t="s">
        <v>5162</v>
      </c>
      <c r="I4905">
        <v>3</v>
      </c>
    </row>
    <row r="4906" spans="7:9" x14ac:dyDescent="0.15">
      <c r="G4906">
        <v>74210</v>
      </c>
      <c r="H4906" t="s">
        <v>5163</v>
      </c>
      <c r="I4906">
        <v>3</v>
      </c>
    </row>
    <row r="4907" spans="7:9" x14ac:dyDescent="0.15">
      <c r="G4907">
        <v>74216</v>
      </c>
      <c r="H4907" t="s">
        <v>5163</v>
      </c>
      <c r="I4907">
        <v>2</v>
      </c>
    </row>
    <row r="4908" spans="7:9" x14ac:dyDescent="0.15">
      <c r="G4908">
        <v>74223</v>
      </c>
      <c r="H4908" t="s">
        <v>5164</v>
      </c>
      <c r="I4908">
        <v>3</v>
      </c>
    </row>
    <row r="4909" spans="7:9" x14ac:dyDescent="0.15">
      <c r="G4909">
        <v>74244</v>
      </c>
      <c r="H4909" t="s">
        <v>5163</v>
      </c>
      <c r="I4909">
        <v>3</v>
      </c>
    </row>
    <row r="4910" spans="7:9" x14ac:dyDescent="0.15">
      <c r="G4910">
        <v>74258</v>
      </c>
      <c r="H4910" t="s">
        <v>5165</v>
      </c>
      <c r="I4910">
        <v>3</v>
      </c>
    </row>
    <row r="4911" spans="7:9" x14ac:dyDescent="0.15">
      <c r="G4911">
        <v>74272</v>
      </c>
      <c r="H4911" t="s">
        <v>5165</v>
      </c>
      <c r="I4911">
        <v>3</v>
      </c>
    </row>
    <row r="4912" spans="7:9" x14ac:dyDescent="0.15">
      <c r="G4912">
        <v>74290</v>
      </c>
      <c r="H4912" t="s">
        <v>5166</v>
      </c>
      <c r="I4912">
        <v>3</v>
      </c>
    </row>
    <row r="4913" spans="7:9" x14ac:dyDescent="0.15">
      <c r="G4913">
        <v>74293</v>
      </c>
      <c r="H4913" t="s">
        <v>5167</v>
      </c>
      <c r="I4913">
        <v>3</v>
      </c>
    </row>
    <row r="4914" spans="7:9" x14ac:dyDescent="0.15">
      <c r="G4914">
        <v>74296</v>
      </c>
      <c r="H4914" t="s">
        <v>5168</v>
      </c>
      <c r="I4914">
        <v>3</v>
      </c>
    </row>
    <row r="4915" spans="7:9" x14ac:dyDescent="0.15">
      <c r="G4915">
        <v>74300</v>
      </c>
      <c r="H4915" t="s">
        <v>5169</v>
      </c>
      <c r="I4915">
        <v>2</v>
      </c>
    </row>
    <row r="4916" spans="7:9" x14ac:dyDescent="0.15">
      <c r="G4916">
        <v>74314</v>
      </c>
      <c r="H4916" t="s">
        <v>5170</v>
      </c>
      <c r="I4916">
        <v>3</v>
      </c>
    </row>
    <row r="4917" spans="7:9" x14ac:dyDescent="0.15">
      <c r="G4917">
        <v>74328</v>
      </c>
      <c r="H4917" t="s">
        <v>5171</v>
      </c>
      <c r="I4917">
        <v>3</v>
      </c>
    </row>
    <row r="4918" spans="7:9" x14ac:dyDescent="0.15">
      <c r="G4918">
        <v>74342</v>
      </c>
      <c r="H4918" t="s">
        <v>5172</v>
      </c>
      <c r="I4918">
        <v>3</v>
      </c>
    </row>
    <row r="4919" spans="7:9" x14ac:dyDescent="0.15">
      <c r="G4919">
        <v>74346</v>
      </c>
      <c r="H4919" t="s">
        <v>5173</v>
      </c>
      <c r="I4919">
        <v>3</v>
      </c>
    </row>
    <row r="4920" spans="7:9" x14ac:dyDescent="0.15">
      <c r="G4920">
        <v>74350</v>
      </c>
      <c r="H4920" t="s">
        <v>5174</v>
      </c>
      <c r="I4920">
        <v>3</v>
      </c>
    </row>
    <row r="4921" spans="7:9" x14ac:dyDescent="0.15">
      <c r="G4921">
        <v>74356</v>
      </c>
      <c r="H4921" t="s">
        <v>5175</v>
      </c>
      <c r="I4921">
        <v>3</v>
      </c>
    </row>
    <row r="4922" spans="7:9" x14ac:dyDescent="0.15">
      <c r="G4922">
        <v>74384</v>
      </c>
      <c r="H4922" t="s">
        <v>5176</v>
      </c>
      <c r="I4922">
        <v>3</v>
      </c>
    </row>
    <row r="4923" spans="7:9" x14ac:dyDescent="0.15">
      <c r="G4923">
        <v>74388</v>
      </c>
      <c r="H4923" t="s">
        <v>5177</v>
      </c>
      <c r="I4923">
        <v>3</v>
      </c>
    </row>
    <row r="4924" spans="7:9" x14ac:dyDescent="0.15">
      <c r="G4924">
        <v>74392</v>
      </c>
      <c r="H4924" t="s">
        <v>5178</v>
      </c>
      <c r="I4924">
        <v>3</v>
      </c>
    </row>
    <row r="4925" spans="7:9" x14ac:dyDescent="0.15">
      <c r="G4925">
        <v>74398</v>
      </c>
      <c r="H4925" t="s">
        <v>5179</v>
      </c>
      <c r="I4925">
        <v>3</v>
      </c>
    </row>
    <row r="4926" spans="7:9" x14ac:dyDescent="0.15">
      <c r="G4926">
        <v>74405</v>
      </c>
      <c r="H4926" t="s">
        <v>5180</v>
      </c>
      <c r="I4926">
        <v>3</v>
      </c>
    </row>
    <row r="4927" spans="7:9" x14ac:dyDescent="0.15">
      <c r="G4927">
        <v>74408</v>
      </c>
      <c r="H4927" t="s">
        <v>5181</v>
      </c>
      <c r="I4927">
        <v>3</v>
      </c>
    </row>
    <row r="4928" spans="7:9" x14ac:dyDescent="0.15">
      <c r="G4928">
        <v>74426</v>
      </c>
      <c r="H4928" t="s">
        <v>5182</v>
      </c>
      <c r="I4928">
        <v>3</v>
      </c>
    </row>
    <row r="4929" spans="7:9" x14ac:dyDescent="0.15">
      <c r="G4929">
        <v>74447</v>
      </c>
      <c r="H4929" t="s">
        <v>5183</v>
      </c>
      <c r="I4929">
        <v>3</v>
      </c>
    </row>
    <row r="4930" spans="7:9" x14ac:dyDescent="0.15">
      <c r="G4930">
        <v>74454</v>
      </c>
      <c r="H4930" t="s">
        <v>5184</v>
      </c>
      <c r="I4930">
        <v>3</v>
      </c>
    </row>
    <row r="4931" spans="7:9" x14ac:dyDescent="0.15">
      <c r="G4931">
        <v>74468</v>
      </c>
      <c r="H4931" t="s">
        <v>5184</v>
      </c>
      <c r="I4931">
        <v>3</v>
      </c>
    </row>
    <row r="4932" spans="7:9" x14ac:dyDescent="0.15">
      <c r="G4932">
        <v>74475</v>
      </c>
      <c r="H4932" t="s">
        <v>5185</v>
      </c>
      <c r="I4932">
        <v>3</v>
      </c>
    </row>
    <row r="4933" spans="7:9" x14ac:dyDescent="0.15">
      <c r="G4933">
        <v>74479</v>
      </c>
      <c r="H4933" t="s">
        <v>5186</v>
      </c>
      <c r="I4933">
        <v>3</v>
      </c>
    </row>
    <row r="4934" spans="7:9" x14ac:dyDescent="0.15">
      <c r="G4934">
        <v>74482</v>
      </c>
      <c r="H4934" t="s">
        <v>5187</v>
      </c>
      <c r="I4934">
        <v>3</v>
      </c>
    </row>
    <row r="4935" spans="7:9" x14ac:dyDescent="0.15">
      <c r="G4935">
        <v>74490</v>
      </c>
      <c r="H4935" t="s">
        <v>5188</v>
      </c>
      <c r="I4935">
        <v>3</v>
      </c>
    </row>
    <row r="4936" spans="7:9" x14ac:dyDescent="0.15">
      <c r="G4936">
        <v>74500</v>
      </c>
      <c r="H4936" t="s">
        <v>5189</v>
      </c>
      <c r="I4936">
        <v>3</v>
      </c>
    </row>
    <row r="4937" spans="7:9" x14ac:dyDescent="0.15">
      <c r="G4937">
        <v>74505</v>
      </c>
      <c r="H4937" t="s">
        <v>5190</v>
      </c>
      <c r="I4937">
        <v>3</v>
      </c>
    </row>
    <row r="4938" spans="7:9" x14ac:dyDescent="0.15">
      <c r="G4938">
        <v>74510</v>
      </c>
      <c r="H4938" t="s">
        <v>5191</v>
      </c>
      <c r="I4938">
        <v>3</v>
      </c>
    </row>
    <row r="4939" spans="7:9" x14ac:dyDescent="0.15">
      <c r="G4939">
        <v>74524</v>
      </c>
      <c r="H4939" t="s">
        <v>5192</v>
      </c>
      <c r="I4939">
        <v>3</v>
      </c>
    </row>
    <row r="4940" spans="7:9" x14ac:dyDescent="0.15">
      <c r="G4940">
        <v>74538</v>
      </c>
      <c r="H4940" t="s">
        <v>5193</v>
      </c>
      <c r="I4940">
        <v>3</v>
      </c>
    </row>
    <row r="4941" spans="7:9" x14ac:dyDescent="0.15">
      <c r="G4941">
        <v>74552</v>
      </c>
      <c r="H4941" t="s">
        <v>5194</v>
      </c>
      <c r="I4941">
        <v>3</v>
      </c>
    </row>
    <row r="4942" spans="7:9" x14ac:dyDescent="0.15">
      <c r="G4942">
        <v>74555</v>
      </c>
      <c r="H4942" t="s">
        <v>5195</v>
      </c>
      <c r="I4942">
        <v>3</v>
      </c>
    </row>
    <row r="4943" spans="7:9" x14ac:dyDescent="0.15">
      <c r="G4943">
        <v>74559</v>
      </c>
      <c r="H4943" t="s">
        <v>5196</v>
      </c>
      <c r="I4943">
        <v>3</v>
      </c>
    </row>
    <row r="4944" spans="7:9" x14ac:dyDescent="0.15">
      <c r="G4944">
        <v>74566</v>
      </c>
      <c r="H4944" t="s">
        <v>5197</v>
      </c>
      <c r="I4944">
        <v>2</v>
      </c>
    </row>
    <row r="4945" spans="7:9" x14ac:dyDescent="0.15">
      <c r="G4945">
        <v>74594</v>
      </c>
      <c r="H4945" t="s">
        <v>5198</v>
      </c>
      <c r="I4945">
        <v>3</v>
      </c>
    </row>
    <row r="4946" spans="7:9" x14ac:dyDescent="0.15">
      <c r="G4946">
        <v>74608</v>
      </c>
      <c r="H4946" t="s">
        <v>5199</v>
      </c>
      <c r="I4946">
        <v>1</v>
      </c>
    </row>
    <row r="4947" spans="7:9" x14ac:dyDescent="0.15">
      <c r="G4947">
        <v>74615</v>
      </c>
      <c r="H4947" t="s">
        <v>5200</v>
      </c>
      <c r="I4947">
        <v>3</v>
      </c>
    </row>
    <row r="4948" spans="7:9" x14ac:dyDescent="0.15">
      <c r="G4948">
        <v>74622</v>
      </c>
      <c r="H4948" t="s">
        <v>5201</v>
      </c>
      <c r="I4948">
        <v>2</v>
      </c>
    </row>
    <row r="4949" spans="7:9" x14ac:dyDescent="0.15">
      <c r="G4949">
        <v>74650</v>
      </c>
      <c r="H4949" t="s">
        <v>5202</v>
      </c>
      <c r="I4949">
        <v>3</v>
      </c>
    </row>
    <row r="4950" spans="7:9" x14ac:dyDescent="0.15">
      <c r="G4950">
        <v>74678</v>
      </c>
      <c r="H4950" t="s">
        <v>5203</v>
      </c>
      <c r="I4950">
        <v>3</v>
      </c>
    </row>
    <row r="4951" spans="7:9" x14ac:dyDescent="0.15">
      <c r="G4951">
        <v>74692</v>
      </c>
      <c r="H4951" t="s">
        <v>5204</v>
      </c>
      <c r="I4951">
        <v>3</v>
      </c>
    </row>
    <row r="4952" spans="7:9" x14ac:dyDescent="0.15">
      <c r="G4952">
        <v>74706</v>
      </c>
      <c r="H4952" t="s">
        <v>5205</v>
      </c>
      <c r="I4952">
        <v>3</v>
      </c>
    </row>
    <row r="4953" spans="7:9" x14ac:dyDescent="0.15">
      <c r="G4953">
        <v>74724</v>
      </c>
      <c r="H4953" t="s">
        <v>5206</v>
      </c>
      <c r="I4953">
        <v>3</v>
      </c>
    </row>
    <row r="4954" spans="7:9" x14ac:dyDescent="0.15">
      <c r="G4954">
        <v>74728</v>
      </c>
      <c r="H4954" t="s">
        <v>5206</v>
      </c>
      <c r="I4954">
        <v>3</v>
      </c>
    </row>
    <row r="4955" spans="7:9" x14ac:dyDescent="0.15">
      <c r="G4955">
        <v>74734</v>
      </c>
      <c r="H4955" t="s">
        <v>5207</v>
      </c>
      <c r="I4955">
        <v>2</v>
      </c>
    </row>
    <row r="4956" spans="7:9" x14ac:dyDescent="0.15">
      <c r="G4956">
        <v>74740</v>
      </c>
      <c r="H4956" t="s">
        <v>5208</v>
      </c>
      <c r="I4956">
        <v>3</v>
      </c>
    </row>
    <row r="4957" spans="7:9" x14ac:dyDescent="0.15">
      <c r="G4957">
        <v>74748</v>
      </c>
      <c r="H4957" t="s">
        <v>5209</v>
      </c>
      <c r="I4957">
        <v>2</v>
      </c>
    </row>
    <row r="4958" spans="7:9" x14ac:dyDescent="0.15">
      <c r="G4958">
        <v>74762</v>
      </c>
      <c r="H4958" t="s">
        <v>5210</v>
      </c>
      <c r="I4958">
        <v>3</v>
      </c>
    </row>
    <row r="4959" spans="7:9" x14ac:dyDescent="0.15">
      <c r="G4959">
        <v>74780</v>
      </c>
      <c r="H4959" t="s">
        <v>5211</v>
      </c>
      <c r="I4959">
        <v>3</v>
      </c>
    </row>
    <row r="4960" spans="7:9" x14ac:dyDescent="0.15">
      <c r="G4960">
        <v>74784</v>
      </c>
      <c r="H4960" t="s">
        <v>5211</v>
      </c>
      <c r="I4960">
        <v>3</v>
      </c>
    </row>
    <row r="4961" spans="7:9" x14ac:dyDescent="0.15">
      <c r="G4961">
        <v>74790</v>
      </c>
      <c r="H4961" t="s">
        <v>5212</v>
      </c>
      <c r="I4961">
        <v>3</v>
      </c>
    </row>
    <row r="4962" spans="7:9" x14ac:dyDescent="0.15">
      <c r="G4962">
        <v>74804</v>
      </c>
      <c r="H4962" t="s">
        <v>5213</v>
      </c>
      <c r="I4962">
        <v>2</v>
      </c>
    </row>
    <row r="4963" spans="7:9" x14ac:dyDescent="0.15">
      <c r="G4963">
        <v>74818</v>
      </c>
      <c r="H4963" t="s">
        <v>5214</v>
      </c>
      <c r="I4963">
        <v>3</v>
      </c>
    </row>
    <row r="4964" spans="7:9" x14ac:dyDescent="0.15">
      <c r="G4964">
        <v>74825</v>
      </c>
      <c r="H4964" t="s">
        <v>5215</v>
      </c>
      <c r="I4964">
        <v>3</v>
      </c>
    </row>
    <row r="4965" spans="7:9" x14ac:dyDescent="0.15">
      <c r="G4965">
        <v>74828</v>
      </c>
      <c r="H4965" t="s">
        <v>5216</v>
      </c>
      <c r="I4965">
        <v>3</v>
      </c>
    </row>
    <row r="4966" spans="7:9" x14ac:dyDescent="0.15">
      <c r="G4966">
        <v>74830</v>
      </c>
      <c r="H4966" t="s">
        <v>5217</v>
      </c>
      <c r="I4966">
        <v>3</v>
      </c>
    </row>
    <row r="4967" spans="7:9" x14ac:dyDescent="0.15">
      <c r="G4967">
        <v>74832</v>
      </c>
      <c r="H4967" t="s">
        <v>5218</v>
      </c>
      <c r="I4967">
        <v>2</v>
      </c>
    </row>
    <row r="4968" spans="7:9" x14ac:dyDescent="0.15">
      <c r="G4968">
        <v>74840</v>
      </c>
      <c r="H4968" t="s">
        <v>5219</v>
      </c>
      <c r="I4968">
        <v>3</v>
      </c>
    </row>
    <row r="4969" spans="7:9" x14ac:dyDescent="0.15">
      <c r="G4969">
        <v>74846</v>
      </c>
      <c r="H4969" t="s">
        <v>5219</v>
      </c>
      <c r="I4969">
        <v>2</v>
      </c>
    </row>
    <row r="4970" spans="7:9" x14ac:dyDescent="0.15">
      <c r="G4970">
        <v>74865</v>
      </c>
      <c r="H4970" t="s">
        <v>5220</v>
      </c>
      <c r="I4970">
        <v>3</v>
      </c>
    </row>
    <row r="4971" spans="7:9" x14ac:dyDescent="0.15">
      <c r="G4971">
        <v>74874</v>
      </c>
      <c r="H4971" t="s">
        <v>5221</v>
      </c>
      <c r="I4971">
        <v>3</v>
      </c>
    </row>
    <row r="4972" spans="7:9" x14ac:dyDescent="0.15">
      <c r="G4972">
        <v>74888</v>
      </c>
      <c r="H4972" t="s">
        <v>5222</v>
      </c>
      <c r="I4972">
        <v>3</v>
      </c>
    </row>
    <row r="4973" spans="7:9" x14ac:dyDescent="0.15">
      <c r="G4973">
        <v>74902</v>
      </c>
      <c r="H4973" t="s">
        <v>5223</v>
      </c>
      <c r="I4973">
        <v>2</v>
      </c>
    </row>
    <row r="4974" spans="7:9" x14ac:dyDescent="0.15">
      <c r="G4974">
        <v>74916</v>
      </c>
      <c r="H4974" t="s">
        <v>5224</v>
      </c>
      <c r="I4974">
        <v>2</v>
      </c>
    </row>
    <row r="4975" spans="7:9" x14ac:dyDescent="0.15">
      <c r="G4975">
        <v>74930</v>
      </c>
      <c r="H4975" t="s">
        <v>5225</v>
      </c>
      <c r="I4975">
        <v>3</v>
      </c>
    </row>
    <row r="4976" spans="7:9" x14ac:dyDescent="0.15">
      <c r="G4976">
        <v>74944</v>
      </c>
      <c r="H4976" t="s">
        <v>5226</v>
      </c>
      <c r="I4976">
        <v>1</v>
      </c>
    </row>
    <row r="4977" spans="7:9" x14ac:dyDescent="0.15">
      <c r="G4977">
        <v>74950</v>
      </c>
      <c r="H4977" t="s">
        <v>5227</v>
      </c>
      <c r="I4977">
        <v>3</v>
      </c>
    </row>
    <row r="4978" spans="7:9" x14ac:dyDescent="0.15">
      <c r="G4978">
        <v>74958</v>
      </c>
      <c r="H4978" t="s">
        <v>5228</v>
      </c>
      <c r="I4978">
        <v>2</v>
      </c>
    </row>
    <row r="4979" spans="7:9" x14ac:dyDescent="0.15">
      <c r="G4979">
        <v>74972</v>
      </c>
      <c r="H4979" t="s">
        <v>5229</v>
      </c>
      <c r="I4979">
        <v>3</v>
      </c>
    </row>
    <row r="4980" spans="7:9" x14ac:dyDescent="0.15">
      <c r="G4980">
        <v>74986</v>
      </c>
      <c r="H4980" t="s">
        <v>5230</v>
      </c>
      <c r="I4980">
        <v>3</v>
      </c>
    </row>
    <row r="4981" spans="7:9" x14ac:dyDescent="0.15">
      <c r="G4981">
        <v>75000</v>
      </c>
      <c r="H4981" t="s">
        <v>5231</v>
      </c>
      <c r="I4981">
        <v>2</v>
      </c>
    </row>
    <row r="4982" spans="7:9" x14ac:dyDescent="0.15">
      <c r="G4982">
        <v>75014</v>
      </c>
      <c r="H4982" t="s">
        <v>5232</v>
      </c>
      <c r="I4982">
        <v>1</v>
      </c>
    </row>
    <row r="4983" spans="7:9" x14ac:dyDescent="0.15">
      <c r="G4983">
        <v>75028</v>
      </c>
      <c r="H4983" t="s">
        <v>5233</v>
      </c>
      <c r="I4983">
        <v>3</v>
      </c>
    </row>
    <row r="4984" spans="7:9" x14ac:dyDescent="0.15">
      <c r="G4984">
        <v>75042</v>
      </c>
      <c r="H4984" t="s">
        <v>5234</v>
      </c>
      <c r="I4984">
        <v>3</v>
      </c>
    </row>
    <row r="4985" spans="7:9" x14ac:dyDescent="0.15">
      <c r="G4985">
        <v>75056</v>
      </c>
      <c r="H4985" t="s">
        <v>5234</v>
      </c>
      <c r="I4985">
        <v>3</v>
      </c>
    </row>
    <row r="4986" spans="7:9" x14ac:dyDescent="0.15">
      <c r="G4986">
        <v>75070</v>
      </c>
      <c r="H4986" t="s">
        <v>5234</v>
      </c>
      <c r="I4986">
        <v>3</v>
      </c>
    </row>
    <row r="4987" spans="7:9" x14ac:dyDescent="0.15">
      <c r="G4987">
        <v>75072</v>
      </c>
      <c r="H4987" t="s">
        <v>5234</v>
      </c>
      <c r="I4987">
        <v>3</v>
      </c>
    </row>
    <row r="4988" spans="7:9" x14ac:dyDescent="0.15">
      <c r="G4988">
        <v>75075</v>
      </c>
      <c r="H4988" t="s">
        <v>5234</v>
      </c>
      <c r="I4988">
        <v>3</v>
      </c>
    </row>
    <row r="4989" spans="7:9" x14ac:dyDescent="0.15">
      <c r="G4989">
        <v>75077</v>
      </c>
      <c r="H4989" t="s">
        <v>5234</v>
      </c>
      <c r="I4989">
        <v>3</v>
      </c>
    </row>
    <row r="4990" spans="7:9" x14ac:dyDescent="0.15">
      <c r="G4990">
        <v>75080</v>
      </c>
      <c r="H4990" t="s">
        <v>5234</v>
      </c>
      <c r="I4990">
        <v>3</v>
      </c>
    </row>
    <row r="4991" spans="7:9" x14ac:dyDescent="0.15">
      <c r="G4991">
        <v>75084</v>
      </c>
      <c r="H4991" t="s">
        <v>5234</v>
      </c>
      <c r="I4991">
        <v>3</v>
      </c>
    </row>
    <row r="4992" spans="7:9" x14ac:dyDescent="0.15">
      <c r="G4992">
        <v>75090</v>
      </c>
      <c r="H4992" t="s">
        <v>5234</v>
      </c>
      <c r="I4992">
        <v>3</v>
      </c>
    </row>
    <row r="4993" spans="7:9" x14ac:dyDescent="0.15">
      <c r="G4993">
        <v>75098</v>
      </c>
      <c r="H4993" t="s">
        <v>5235</v>
      </c>
      <c r="I4993">
        <v>1</v>
      </c>
    </row>
    <row r="4994" spans="7:9" x14ac:dyDescent="0.15">
      <c r="G4994">
        <v>75120</v>
      </c>
      <c r="H4994" t="s">
        <v>5236</v>
      </c>
      <c r="I4994">
        <v>3</v>
      </c>
    </row>
    <row r="4995" spans="7:9" x14ac:dyDescent="0.15">
      <c r="G4995">
        <v>75126</v>
      </c>
      <c r="H4995" t="s">
        <v>5237</v>
      </c>
      <c r="I4995">
        <v>1</v>
      </c>
    </row>
    <row r="4996" spans="7:9" x14ac:dyDescent="0.15">
      <c r="G4996">
        <v>75140</v>
      </c>
      <c r="H4996" t="s">
        <v>5238</v>
      </c>
      <c r="I4996">
        <v>2</v>
      </c>
    </row>
    <row r="4997" spans="7:9" x14ac:dyDescent="0.15">
      <c r="G4997">
        <v>75160</v>
      </c>
      <c r="H4997" t="s">
        <v>5239</v>
      </c>
      <c r="I4997">
        <v>3</v>
      </c>
    </row>
    <row r="4998" spans="7:9" x14ac:dyDescent="0.15">
      <c r="G4998">
        <v>75182</v>
      </c>
      <c r="H4998" t="s">
        <v>5240</v>
      </c>
      <c r="I4998">
        <v>3</v>
      </c>
    </row>
    <row r="4999" spans="7:9" x14ac:dyDescent="0.15">
      <c r="G4999">
        <v>75189</v>
      </c>
      <c r="H4999" t="s">
        <v>5241</v>
      </c>
      <c r="I4999">
        <v>3</v>
      </c>
    </row>
    <row r="5000" spans="7:9" x14ac:dyDescent="0.15">
      <c r="G5000">
        <v>75196</v>
      </c>
      <c r="H5000" t="s">
        <v>5242</v>
      </c>
      <c r="I5000">
        <v>2</v>
      </c>
    </row>
    <row r="5001" spans="7:9" x14ac:dyDescent="0.15">
      <c r="G5001">
        <v>75199</v>
      </c>
      <c r="H5001" t="s">
        <v>5243</v>
      </c>
      <c r="I5001">
        <v>3</v>
      </c>
    </row>
    <row r="5002" spans="7:9" x14ac:dyDescent="0.15">
      <c r="G5002">
        <v>75200</v>
      </c>
      <c r="H5002" t="s">
        <v>5244</v>
      </c>
      <c r="I5002">
        <v>3</v>
      </c>
    </row>
    <row r="5003" spans="7:9" x14ac:dyDescent="0.15">
      <c r="G5003">
        <v>75201</v>
      </c>
      <c r="H5003" t="s">
        <v>5245</v>
      </c>
      <c r="I5003">
        <v>3</v>
      </c>
    </row>
    <row r="5004" spans="7:9" x14ac:dyDescent="0.15">
      <c r="G5004">
        <v>75206</v>
      </c>
      <c r="H5004" t="s">
        <v>5243</v>
      </c>
      <c r="I5004">
        <v>3</v>
      </c>
    </row>
    <row r="5005" spans="7:9" x14ac:dyDescent="0.15">
      <c r="G5005">
        <v>75208</v>
      </c>
      <c r="H5005" t="s">
        <v>5243</v>
      </c>
      <c r="I5005">
        <v>3</v>
      </c>
    </row>
    <row r="5006" spans="7:9" x14ac:dyDescent="0.15">
      <c r="G5006">
        <v>75210</v>
      </c>
      <c r="H5006" t="s">
        <v>5246</v>
      </c>
      <c r="I5006">
        <v>2</v>
      </c>
    </row>
    <row r="5007" spans="7:9" x14ac:dyDescent="0.15">
      <c r="G5007">
        <v>75217</v>
      </c>
      <c r="H5007" t="s">
        <v>5243</v>
      </c>
      <c r="I5007">
        <v>3</v>
      </c>
    </row>
    <row r="5008" spans="7:9" x14ac:dyDescent="0.15">
      <c r="G5008">
        <v>75231</v>
      </c>
      <c r="H5008" t="s">
        <v>5243</v>
      </c>
      <c r="I5008">
        <v>3</v>
      </c>
    </row>
    <row r="5009" spans="7:9" x14ac:dyDescent="0.15">
      <c r="G5009">
        <v>75252</v>
      </c>
      <c r="H5009" t="s">
        <v>5247</v>
      </c>
      <c r="I5009">
        <v>2</v>
      </c>
    </row>
    <row r="5010" spans="7:9" x14ac:dyDescent="0.15">
      <c r="G5010">
        <v>75266</v>
      </c>
      <c r="H5010" t="s">
        <v>5247</v>
      </c>
      <c r="I5010">
        <v>3</v>
      </c>
    </row>
    <row r="5011" spans="7:9" x14ac:dyDescent="0.15">
      <c r="G5011">
        <v>75275</v>
      </c>
      <c r="H5011" t="s">
        <v>5247</v>
      </c>
      <c r="I5011">
        <v>3</v>
      </c>
    </row>
    <row r="5012" spans="7:9" x14ac:dyDescent="0.15">
      <c r="G5012">
        <v>75280</v>
      </c>
      <c r="H5012" t="s">
        <v>5247</v>
      </c>
      <c r="I5012">
        <v>3</v>
      </c>
    </row>
    <row r="5013" spans="7:9" x14ac:dyDescent="0.15">
      <c r="G5013">
        <v>75308</v>
      </c>
      <c r="H5013" t="s">
        <v>5248</v>
      </c>
      <c r="I5013">
        <v>3</v>
      </c>
    </row>
    <row r="5014" spans="7:9" x14ac:dyDescent="0.15">
      <c r="G5014">
        <v>75322</v>
      </c>
      <c r="H5014" t="s">
        <v>5249</v>
      </c>
      <c r="I5014">
        <v>3</v>
      </c>
    </row>
    <row r="5015" spans="7:9" x14ac:dyDescent="0.15">
      <c r="G5015">
        <v>75336</v>
      </c>
      <c r="H5015" t="s">
        <v>5250</v>
      </c>
      <c r="I5015">
        <v>3</v>
      </c>
    </row>
    <row r="5016" spans="7:9" x14ac:dyDescent="0.15">
      <c r="G5016">
        <v>75345</v>
      </c>
      <c r="H5016" t="s">
        <v>5251</v>
      </c>
      <c r="I5016">
        <v>3</v>
      </c>
    </row>
    <row r="5017" spans="7:9" x14ac:dyDescent="0.15">
      <c r="G5017">
        <v>75350</v>
      </c>
      <c r="H5017" t="s">
        <v>5252</v>
      </c>
      <c r="I5017">
        <v>3</v>
      </c>
    </row>
    <row r="5018" spans="7:9" x14ac:dyDescent="0.15">
      <c r="G5018">
        <v>75357</v>
      </c>
      <c r="H5018" t="s">
        <v>5253</v>
      </c>
      <c r="I5018">
        <v>3</v>
      </c>
    </row>
    <row r="5019" spans="7:9" x14ac:dyDescent="0.15">
      <c r="G5019">
        <v>75364</v>
      </c>
      <c r="H5019" t="s">
        <v>5254</v>
      </c>
      <c r="I5019">
        <v>3</v>
      </c>
    </row>
    <row r="5020" spans="7:9" x14ac:dyDescent="0.15">
      <c r="G5020">
        <v>75378</v>
      </c>
      <c r="H5020" t="s">
        <v>5255</v>
      </c>
      <c r="I5020">
        <v>3</v>
      </c>
    </row>
    <row r="5021" spans="7:9" x14ac:dyDescent="0.15">
      <c r="G5021">
        <v>75392</v>
      </c>
      <c r="H5021" t="s">
        <v>5256</v>
      </c>
      <c r="I5021">
        <v>2</v>
      </c>
    </row>
    <row r="5022" spans="7:9" x14ac:dyDescent="0.15">
      <c r="G5022">
        <v>75400</v>
      </c>
      <c r="H5022" t="s">
        <v>5256</v>
      </c>
      <c r="I5022">
        <v>3</v>
      </c>
    </row>
    <row r="5023" spans="7:9" x14ac:dyDescent="0.15">
      <c r="G5023">
        <v>75406</v>
      </c>
      <c r="H5023" t="s">
        <v>5257</v>
      </c>
      <c r="I5023">
        <v>2</v>
      </c>
    </row>
    <row r="5024" spans="7:9" x14ac:dyDescent="0.15">
      <c r="G5024">
        <v>75420</v>
      </c>
      <c r="H5024" t="s">
        <v>5258</v>
      </c>
      <c r="I5024">
        <v>3</v>
      </c>
    </row>
    <row r="5025" spans="7:9" x14ac:dyDescent="0.15">
      <c r="G5025">
        <v>75434</v>
      </c>
      <c r="H5025" t="s">
        <v>5259</v>
      </c>
      <c r="I5025">
        <v>1</v>
      </c>
    </row>
    <row r="5026" spans="7:9" x14ac:dyDescent="0.15">
      <c r="G5026">
        <v>75448</v>
      </c>
      <c r="H5026" t="s">
        <v>5260</v>
      </c>
      <c r="I5026">
        <v>3</v>
      </c>
    </row>
    <row r="5027" spans="7:9" x14ac:dyDescent="0.15">
      <c r="G5027">
        <v>75462</v>
      </c>
      <c r="H5027" t="s">
        <v>5261</v>
      </c>
      <c r="I5027">
        <v>3</v>
      </c>
    </row>
    <row r="5028" spans="7:9" x14ac:dyDescent="0.15">
      <c r="G5028">
        <v>75480</v>
      </c>
      <c r="H5028" t="s">
        <v>5262</v>
      </c>
      <c r="I5028">
        <v>3</v>
      </c>
    </row>
    <row r="5029" spans="7:9" x14ac:dyDescent="0.15">
      <c r="G5029">
        <v>75497</v>
      </c>
      <c r="H5029" t="s">
        <v>5263</v>
      </c>
      <c r="I5029">
        <v>3</v>
      </c>
    </row>
    <row r="5030" spans="7:9" x14ac:dyDescent="0.15">
      <c r="G5030">
        <v>75532</v>
      </c>
      <c r="H5030" t="s">
        <v>5262</v>
      </c>
      <c r="I5030">
        <v>3</v>
      </c>
    </row>
    <row r="5031" spans="7:9" x14ac:dyDescent="0.15">
      <c r="G5031">
        <v>75540</v>
      </c>
      <c r="H5031" t="s">
        <v>5264</v>
      </c>
      <c r="I5031">
        <v>3</v>
      </c>
    </row>
    <row r="5032" spans="7:9" x14ac:dyDescent="0.15">
      <c r="G5032">
        <v>75560</v>
      </c>
      <c r="H5032" t="s">
        <v>5265</v>
      </c>
      <c r="I5032">
        <v>3</v>
      </c>
    </row>
    <row r="5033" spans="7:9" x14ac:dyDescent="0.15">
      <c r="G5033">
        <v>75574</v>
      </c>
      <c r="H5033" t="s">
        <v>5266</v>
      </c>
      <c r="I5033">
        <v>2</v>
      </c>
    </row>
    <row r="5034" spans="7:9" x14ac:dyDescent="0.15">
      <c r="G5034">
        <v>75588</v>
      </c>
      <c r="H5034" t="s">
        <v>5267</v>
      </c>
      <c r="I5034">
        <v>3</v>
      </c>
    </row>
    <row r="5035" spans="7:9" x14ac:dyDescent="0.15">
      <c r="G5035">
        <v>75595</v>
      </c>
      <c r="H5035" t="s">
        <v>5268</v>
      </c>
      <c r="I5035">
        <v>3</v>
      </c>
    </row>
    <row r="5036" spans="7:9" x14ac:dyDescent="0.15">
      <c r="G5036">
        <v>75602</v>
      </c>
      <c r="H5036" t="s">
        <v>5269</v>
      </c>
      <c r="I5036">
        <v>2</v>
      </c>
    </row>
    <row r="5037" spans="7:9" x14ac:dyDescent="0.15">
      <c r="G5037">
        <v>75616</v>
      </c>
      <c r="H5037" t="s">
        <v>5269</v>
      </c>
      <c r="I5037">
        <v>3</v>
      </c>
    </row>
    <row r="5038" spans="7:9" x14ac:dyDescent="0.15">
      <c r="G5038">
        <v>75620</v>
      </c>
      <c r="H5038" t="s">
        <v>5270</v>
      </c>
      <c r="I5038">
        <v>3</v>
      </c>
    </row>
    <row r="5039" spans="7:9" x14ac:dyDescent="0.15">
      <c r="G5039">
        <v>75625</v>
      </c>
      <c r="H5039" t="s">
        <v>5271</v>
      </c>
      <c r="I5039">
        <v>3</v>
      </c>
    </row>
    <row r="5040" spans="7:9" x14ac:dyDescent="0.15">
      <c r="G5040">
        <v>75630</v>
      </c>
      <c r="H5040" t="s">
        <v>5271</v>
      </c>
      <c r="I5040">
        <v>3</v>
      </c>
    </row>
    <row r="5041" spans="7:9" x14ac:dyDescent="0.15">
      <c r="G5041">
        <v>75637</v>
      </c>
      <c r="H5041" t="s">
        <v>5272</v>
      </c>
      <c r="I5041">
        <v>3</v>
      </c>
    </row>
    <row r="5042" spans="7:9" x14ac:dyDescent="0.15">
      <c r="G5042">
        <v>75658</v>
      </c>
      <c r="H5042" t="s">
        <v>5273</v>
      </c>
      <c r="I5042">
        <v>3</v>
      </c>
    </row>
    <row r="5043" spans="7:9" x14ac:dyDescent="0.15">
      <c r="G5043">
        <v>75678</v>
      </c>
      <c r="H5043" t="s">
        <v>5274</v>
      </c>
      <c r="I5043">
        <v>3</v>
      </c>
    </row>
    <row r="5044" spans="7:9" x14ac:dyDescent="0.15">
      <c r="G5044">
        <v>75682</v>
      </c>
      <c r="H5044" t="s">
        <v>5275</v>
      </c>
      <c r="I5044">
        <v>3</v>
      </c>
    </row>
    <row r="5045" spans="7:9" x14ac:dyDescent="0.15">
      <c r="G5045">
        <v>75686</v>
      </c>
      <c r="H5045" t="s">
        <v>5276</v>
      </c>
      <c r="I5045">
        <v>3</v>
      </c>
    </row>
    <row r="5046" spans="7:9" x14ac:dyDescent="0.15">
      <c r="G5046">
        <v>75695</v>
      </c>
      <c r="H5046" t="s">
        <v>5277</v>
      </c>
      <c r="I5046">
        <v>3</v>
      </c>
    </row>
    <row r="5047" spans="7:9" x14ac:dyDescent="0.15">
      <c r="G5047">
        <v>75705</v>
      </c>
      <c r="H5047" t="s">
        <v>5278</v>
      </c>
      <c r="I5047">
        <v>3</v>
      </c>
    </row>
    <row r="5048" spans="7:9" x14ac:dyDescent="0.15">
      <c r="G5048">
        <v>75714</v>
      </c>
      <c r="H5048" t="s">
        <v>5279</v>
      </c>
      <c r="I5048">
        <v>3</v>
      </c>
    </row>
    <row r="5049" spans="7:9" x14ac:dyDescent="0.15">
      <c r="G5049">
        <v>75756</v>
      </c>
      <c r="H5049" t="s">
        <v>5280</v>
      </c>
      <c r="I5049">
        <v>3</v>
      </c>
    </row>
    <row r="5050" spans="7:9" x14ac:dyDescent="0.15">
      <c r="G5050">
        <v>75819</v>
      </c>
      <c r="H5050" t="s">
        <v>5281</v>
      </c>
      <c r="I5050">
        <v>3</v>
      </c>
    </row>
    <row r="5051" spans="7:9" x14ac:dyDescent="0.15">
      <c r="G5051">
        <v>75847</v>
      </c>
      <c r="H5051" t="s">
        <v>5282</v>
      </c>
      <c r="I5051">
        <v>3</v>
      </c>
    </row>
    <row r="5052" spans="7:9" x14ac:dyDescent="0.15">
      <c r="G5052">
        <v>75854</v>
      </c>
      <c r="H5052" t="s">
        <v>5283</v>
      </c>
      <c r="I5052">
        <v>3</v>
      </c>
    </row>
    <row r="5053" spans="7:9" x14ac:dyDescent="0.15">
      <c r="G5053">
        <v>75861</v>
      </c>
      <c r="H5053" t="s">
        <v>5284</v>
      </c>
      <c r="I5053">
        <v>3</v>
      </c>
    </row>
    <row r="5054" spans="7:9" x14ac:dyDescent="0.15">
      <c r="G5054">
        <v>75864</v>
      </c>
      <c r="H5054" t="s">
        <v>5285</v>
      </c>
      <c r="I5054">
        <v>3</v>
      </c>
    </row>
    <row r="5055" spans="7:9" x14ac:dyDescent="0.15">
      <c r="G5055">
        <v>75866</v>
      </c>
      <c r="H5055" t="s">
        <v>5286</v>
      </c>
      <c r="I5055">
        <v>3</v>
      </c>
    </row>
    <row r="5056" spans="7:9" x14ac:dyDescent="0.15">
      <c r="G5056">
        <v>75868</v>
      </c>
      <c r="H5056" t="s">
        <v>5287</v>
      </c>
      <c r="I5056">
        <v>3</v>
      </c>
    </row>
    <row r="5057" spans="7:9" x14ac:dyDescent="0.15">
      <c r="G5057">
        <v>75882</v>
      </c>
      <c r="H5057" t="s">
        <v>5288</v>
      </c>
      <c r="I5057">
        <v>3</v>
      </c>
    </row>
    <row r="5058" spans="7:9" x14ac:dyDescent="0.15">
      <c r="G5058">
        <v>75888</v>
      </c>
      <c r="H5058" t="s">
        <v>5289</v>
      </c>
      <c r="I5058">
        <v>3</v>
      </c>
    </row>
    <row r="5059" spans="7:9" x14ac:dyDescent="0.15">
      <c r="G5059">
        <v>75892</v>
      </c>
      <c r="H5059" t="s">
        <v>5290</v>
      </c>
      <c r="I5059">
        <v>3</v>
      </c>
    </row>
    <row r="5060" spans="7:9" x14ac:dyDescent="0.15">
      <c r="G5060">
        <v>75896</v>
      </c>
      <c r="H5060" t="s">
        <v>5291</v>
      </c>
      <c r="I5060">
        <v>2</v>
      </c>
    </row>
    <row r="5061" spans="7:9" x14ac:dyDescent="0.15">
      <c r="G5061">
        <v>75903</v>
      </c>
      <c r="H5061" t="s">
        <v>5292</v>
      </c>
      <c r="I5061">
        <v>3</v>
      </c>
    </row>
    <row r="5062" spans="7:9" x14ac:dyDescent="0.15">
      <c r="G5062">
        <v>75904</v>
      </c>
      <c r="H5062" t="s">
        <v>5293</v>
      </c>
      <c r="I5062">
        <v>3</v>
      </c>
    </row>
    <row r="5063" spans="7:9" x14ac:dyDescent="0.15">
      <c r="G5063">
        <v>75908</v>
      </c>
      <c r="H5063" t="s">
        <v>5294</v>
      </c>
      <c r="I5063">
        <v>3</v>
      </c>
    </row>
    <row r="5064" spans="7:9" x14ac:dyDescent="0.15">
      <c r="G5064">
        <v>75924</v>
      </c>
      <c r="H5064" t="s">
        <v>5295</v>
      </c>
      <c r="I5064">
        <v>3</v>
      </c>
    </row>
    <row r="5065" spans="7:9" x14ac:dyDescent="0.15">
      <c r="G5065">
        <v>75941</v>
      </c>
      <c r="H5065" t="s">
        <v>5296</v>
      </c>
      <c r="I5065">
        <v>3</v>
      </c>
    </row>
    <row r="5066" spans="7:9" x14ac:dyDescent="0.15">
      <c r="G5066">
        <v>75945</v>
      </c>
      <c r="H5066" t="s">
        <v>5297</v>
      </c>
      <c r="I5066">
        <v>3</v>
      </c>
    </row>
    <row r="5067" spans="7:9" x14ac:dyDescent="0.15">
      <c r="G5067">
        <v>75952</v>
      </c>
      <c r="H5067" t="s">
        <v>5298</v>
      </c>
      <c r="I5067">
        <v>3</v>
      </c>
    </row>
    <row r="5068" spans="7:9" x14ac:dyDescent="0.15">
      <c r="G5068">
        <v>75966</v>
      </c>
      <c r="H5068" t="s">
        <v>5299</v>
      </c>
      <c r="I5068">
        <v>3</v>
      </c>
    </row>
    <row r="5069" spans="7:9" x14ac:dyDescent="0.15">
      <c r="G5069">
        <v>75973</v>
      </c>
      <c r="H5069" t="s">
        <v>5300</v>
      </c>
      <c r="I5069">
        <v>3</v>
      </c>
    </row>
    <row r="5070" spans="7:9" x14ac:dyDescent="0.15">
      <c r="G5070">
        <v>75980</v>
      </c>
      <c r="H5070" t="s">
        <v>5299</v>
      </c>
      <c r="I5070">
        <v>2</v>
      </c>
    </row>
    <row r="5071" spans="7:9" x14ac:dyDescent="0.15">
      <c r="G5071">
        <v>75987</v>
      </c>
      <c r="H5071" t="s">
        <v>5300</v>
      </c>
      <c r="I5071">
        <v>3</v>
      </c>
    </row>
    <row r="5072" spans="7:9" x14ac:dyDescent="0.15">
      <c r="G5072">
        <v>75994</v>
      </c>
      <c r="H5072" t="s">
        <v>5301</v>
      </c>
      <c r="I5072">
        <v>3</v>
      </c>
    </row>
    <row r="5073" spans="7:9" x14ac:dyDescent="0.15">
      <c r="G5073">
        <v>76022</v>
      </c>
      <c r="H5073" t="s">
        <v>5302</v>
      </c>
      <c r="I5073">
        <v>1</v>
      </c>
    </row>
    <row r="5074" spans="7:9" x14ac:dyDescent="0.15">
      <c r="G5074">
        <v>76025</v>
      </c>
      <c r="H5074" t="s">
        <v>5303</v>
      </c>
      <c r="I5074">
        <v>3</v>
      </c>
    </row>
    <row r="5075" spans="7:9" x14ac:dyDescent="0.15">
      <c r="G5075">
        <v>76028</v>
      </c>
      <c r="H5075" t="s">
        <v>5304</v>
      </c>
      <c r="I5075">
        <v>3</v>
      </c>
    </row>
    <row r="5076" spans="7:9" x14ac:dyDescent="0.15">
      <c r="G5076">
        <v>76031</v>
      </c>
      <c r="H5076" t="s">
        <v>5304</v>
      </c>
      <c r="I5076">
        <v>3</v>
      </c>
    </row>
    <row r="5077" spans="7:9" x14ac:dyDescent="0.15">
      <c r="G5077">
        <v>76036</v>
      </c>
      <c r="H5077" t="s">
        <v>5305</v>
      </c>
      <c r="I5077">
        <v>3</v>
      </c>
    </row>
    <row r="5078" spans="7:9" x14ac:dyDescent="0.15">
      <c r="G5078">
        <v>76050</v>
      </c>
      <c r="H5078" t="s">
        <v>5306</v>
      </c>
      <c r="I5078">
        <v>2</v>
      </c>
    </row>
    <row r="5079" spans="7:9" x14ac:dyDescent="0.15">
      <c r="G5079">
        <v>76055</v>
      </c>
      <c r="H5079" t="s">
        <v>5307</v>
      </c>
      <c r="I5079">
        <v>3</v>
      </c>
    </row>
    <row r="5080" spans="7:9" x14ac:dyDescent="0.15">
      <c r="G5080">
        <v>76064</v>
      </c>
      <c r="H5080" t="s">
        <v>5308</v>
      </c>
      <c r="I5080">
        <v>3</v>
      </c>
    </row>
    <row r="5081" spans="7:9" x14ac:dyDescent="0.15">
      <c r="G5081">
        <v>76078</v>
      </c>
      <c r="H5081" t="s">
        <v>5309</v>
      </c>
      <c r="I5081">
        <v>3</v>
      </c>
    </row>
    <row r="5082" spans="7:9" x14ac:dyDescent="0.15">
      <c r="G5082">
        <v>76100</v>
      </c>
      <c r="H5082" t="s">
        <v>5310</v>
      </c>
      <c r="I5082">
        <v>3</v>
      </c>
    </row>
    <row r="5083" spans="7:9" x14ac:dyDescent="0.15">
      <c r="G5083">
        <v>76106</v>
      </c>
      <c r="H5083" t="s">
        <v>5311</v>
      </c>
      <c r="I5083">
        <v>1</v>
      </c>
    </row>
    <row r="5084" spans="7:9" x14ac:dyDescent="0.15">
      <c r="G5084">
        <v>76120</v>
      </c>
      <c r="H5084" t="s">
        <v>5312</v>
      </c>
      <c r="I5084">
        <v>3</v>
      </c>
    </row>
    <row r="5085" spans="7:9" x14ac:dyDescent="0.15">
      <c r="G5085">
        <v>76125</v>
      </c>
      <c r="H5085" t="s">
        <v>5313</v>
      </c>
      <c r="I5085">
        <v>3</v>
      </c>
    </row>
    <row r="5086" spans="7:9" x14ac:dyDescent="0.15">
      <c r="G5086">
        <v>76134</v>
      </c>
      <c r="H5086" t="s">
        <v>5314</v>
      </c>
      <c r="I5086">
        <v>3</v>
      </c>
    </row>
    <row r="5087" spans="7:9" x14ac:dyDescent="0.15">
      <c r="G5087">
        <v>76148</v>
      </c>
      <c r="H5087" t="s">
        <v>5315</v>
      </c>
      <c r="I5087">
        <v>2</v>
      </c>
    </row>
    <row r="5088" spans="7:9" x14ac:dyDescent="0.15">
      <c r="G5088">
        <v>76155</v>
      </c>
      <c r="H5088" t="s">
        <v>5316</v>
      </c>
      <c r="I5088">
        <v>3</v>
      </c>
    </row>
    <row r="5089" spans="7:9" x14ac:dyDescent="0.15">
      <c r="G5089">
        <v>76176</v>
      </c>
      <c r="H5089" t="s">
        <v>5317</v>
      </c>
      <c r="I5089">
        <v>3</v>
      </c>
    </row>
    <row r="5090" spans="7:9" x14ac:dyDescent="0.15">
      <c r="G5090">
        <v>76194</v>
      </c>
      <c r="H5090" t="s">
        <v>5318</v>
      </c>
      <c r="I5090">
        <v>3</v>
      </c>
    </row>
    <row r="5091" spans="7:9" x14ac:dyDescent="0.15">
      <c r="G5091">
        <v>76196</v>
      </c>
      <c r="H5091" t="s">
        <v>5319</v>
      </c>
      <c r="I5091">
        <v>3</v>
      </c>
    </row>
    <row r="5092" spans="7:9" x14ac:dyDescent="0.15">
      <c r="G5092">
        <v>76197</v>
      </c>
      <c r="H5092" t="s">
        <v>5320</v>
      </c>
      <c r="I5092">
        <v>2</v>
      </c>
    </row>
    <row r="5093" spans="7:9" x14ac:dyDescent="0.15">
      <c r="G5093">
        <v>76198</v>
      </c>
      <c r="H5093" t="s">
        <v>5321</v>
      </c>
      <c r="I5093">
        <v>3</v>
      </c>
    </row>
    <row r="5094" spans="7:9" x14ac:dyDescent="0.15">
      <c r="G5094">
        <v>76218</v>
      </c>
      <c r="H5094" t="s">
        <v>5322</v>
      </c>
      <c r="I5094">
        <v>3</v>
      </c>
    </row>
    <row r="5095" spans="7:9" x14ac:dyDescent="0.15">
      <c r="G5095">
        <v>76232</v>
      </c>
      <c r="H5095" t="s">
        <v>5323</v>
      </c>
      <c r="I5095">
        <v>3</v>
      </c>
    </row>
    <row r="5096" spans="7:9" x14ac:dyDescent="0.15">
      <c r="G5096">
        <v>76246</v>
      </c>
      <c r="H5096" t="s">
        <v>5324</v>
      </c>
      <c r="I5096">
        <v>3</v>
      </c>
    </row>
    <row r="5097" spans="7:9" x14ac:dyDescent="0.15">
      <c r="G5097">
        <v>76260</v>
      </c>
      <c r="H5097" t="s">
        <v>5325</v>
      </c>
      <c r="I5097">
        <v>3</v>
      </c>
    </row>
    <row r="5098" spans="7:9" x14ac:dyDescent="0.15">
      <c r="G5098">
        <v>76288</v>
      </c>
      <c r="H5098" t="s">
        <v>5326</v>
      </c>
      <c r="I5098">
        <v>3</v>
      </c>
    </row>
    <row r="5099" spans="7:9" x14ac:dyDescent="0.15">
      <c r="G5099">
        <v>76302</v>
      </c>
      <c r="H5099" t="s">
        <v>5326</v>
      </c>
      <c r="I5099">
        <v>3</v>
      </c>
    </row>
    <row r="5100" spans="7:9" x14ac:dyDescent="0.15">
      <c r="G5100">
        <v>76310</v>
      </c>
      <c r="H5100" t="s">
        <v>5327</v>
      </c>
      <c r="I5100">
        <v>3</v>
      </c>
    </row>
    <row r="5101" spans="7:9" x14ac:dyDescent="0.15">
      <c r="G5101">
        <v>76358</v>
      </c>
      <c r="H5101" t="s">
        <v>5328</v>
      </c>
      <c r="I5101">
        <v>2</v>
      </c>
    </row>
    <row r="5102" spans="7:9" x14ac:dyDescent="0.15">
      <c r="G5102">
        <v>76372</v>
      </c>
      <c r="H5102" t="s">
        <v>5329</v>
      </c>
      <c r="I5102">
        <v>3</v>
      </c>
    </row>
    <row r="5103" spans="7:9" x14ac:dyDescent="0.15">
      <c r="G5103">
        <v>76386</v>
      </c>
      <c r="H5103" t="s">
        <v>5330</v>
      </c>
      <c r="I5103">
        <v>3</v>
      </c>
    </row>
    <row r="5104" spans="7:9" x14ac:dyDescent="0.15">
      <c r="G5104">
        <v>76395</v>
      </c>
      <c r="H5104" t="s">
        <v>5331</v>
      </c>
      <c r="I5104">
        <v>3</v>
      </c>
    </row>
    <row r="5105" spans="7:9" x14ac:dyDescent="0.15">
      <c r="G5105">
        <v>76400</v>
      </c>
      <c r="H5105" t="s">
        <v>5332</v>
      </c>
      <c r="I5105">
        <v>3</v>
      </c>
    </row>
    <row r="5106" spans="7:9" x14ac:dyDescent="0.15">
      <c r="G5106">
        <v>76428</v>
      </c>
      <c r="H5106" t="s">
        <v>5333</v>
      </c>
      <c r="I5106">
        <v>2</v>
      </c>
    </row>
    <row r="5107" spans="7:9" x14ac:dyDescent="0.15">
      <c r="G5107">
        <v>76442</v>
      </c>
      <c r="H5107" t="s">
        <v>5334</v>
      </c>
      <c r="I5107">
        <v>3</v>
      </c>
    </row>
    <row r="5108" spans="7:9" x14ac:dyDescent="0.15">
      <c r="G5108">
        <v>76463</v>
      </c>
      <c r="H5108" t="s">
        <v>5335</v>
      </c>
      <c r="I5108">
        <v>3</v>
      </c>
    </row>
    <row r="5109" spans="7:9" x14ac:dyDescent="0.15">
      <c r="G5109">
        <v>76470</v>
      </c>
      <c r="H5109" t="s">
        <v>5336</v>
      </c>
      <c r="I5109">
        <v>3</v>
      </c>
    </row>
    <row r="5110" spans="7:9" x14ac:dyDescent="0.15">
      <c r="G5110">
        <v>76484</v>
      </c>
      <c r="H5110" t="s">
        <v>5337</v>
      </c>
      <c r="I5110">
        <v>3</v>
      </c>
    </row>
    <row r="5111" spans="7:9" x14ac:dyDescent="0.15">
      <c r="G5111">
        <v>76498</v>
      </c>
      <c r="H5111" t="s">
        <v>5338</v>
      </c>
      <c r="I5111">
        <v>3</v>
      </c>
    </row>
    <row r="5112" spans="7:9" x14ac:dyDescent="0.15">
      <c r="G5112">
        <v>76540</v>
      </c>
      <c r="H5112" t="s">
        <v>5339</v>
      </c>
      <c r="I5112">
        <v>3</v>
      </c>
    </row>
    <row r="5113" spans="7:9" x14ac:dyDescent="0.15">
      <c r="G5113">
        <v>76550</v>
      </c>
      <c r="H5113" t="s">
        <v>5340</v>
      </c>
      <c r="I5113">
        <v>3</v>
      </c>
    </row>
    <row r="5114" spans="7:9" x14ac:dyDescent="0.15">
      <c r="G5114">
        <v>76558</v>
      </c>
      <c r="H5114" t="s">
        <v>5341</v>
      </c>
      <c r="I5114">
        <v>3</v>
      </c>
    </row>
    <row r="5115" spans="7:9" x14ac:dyDescent="0.15">
      <c r="G5115">
        <v>76562</v>
      </c>
      <c r="H5115" t="s">
        <v>5342</v>
      </c>
      <c r="I5115">
        <v>3</v>
      </c>
    </row>
    <row r="5116" spans="7:9" x14ac:dyDescent="0.15">
      <c r="G5116">
        <v>76564</v>
      </c>
      <c r="H5116" t="s">
        <v>5343</v>
      </c>
      <c r="I5116">
        <v>3</v>
      </c>
    </row>
    <row r="5117" spans="7:9" x14ac:dyDescent="0.15">
      <c r="G5117">
        <v>76568</v>
      </c>
      <c r="H5117" t="s">
        <v>5344</v>
      </c>
      <c r="I5117">
        <v>2</v>
      </c>
    </row>
    <row r="5118" spans="7:9" x14ac:dyDescent="0.15">
      <c r="G5118">
        <v>76575</v>
      </c>
      <c r="H5118" t="s">
        <v>5345</v>
      </c>
      <c r="I5118">
        <v>3</v>
      </c>
    </row>
    <row r="5119" spans="7:9" x14ac:dyDescent="0.15">
      <c r="G5119">
        <v>76582</v>
      </c>
      <c r="H5119" t="s">
        <v>5346</v>
      </c>
      <c r="I5119">
        <v>1</v>
      </c>
    </row>
    <row r="5120" spans="7:9" x14ac:dyDescent="0.15">
      <c r="G5120">
        <v>76596</v>
      </c>
      <c r="H5120" t="s">
        <v>5347</v>
      </c>
      <c r="I5120">
        <v>3</v>
      </c>
    </row>
    <row r="5121" spans="7:9" x14ac:dyDescent="0.15">
      <c r="G5121">
        <v>76610</v>
      </c>
      <c r="H5121" t="s">
        <v>5348</v>
      </c>
      <c r="I5121">
        <v>3</v>
      </c>
    </row>
    <row r="5122" spans="7:9" x14ac:dyDescent="0.15">
      <c r="G5122">
        <v>76617</v>
      </c>
      <c r="H5122" t="s">
        <v>5349</v>
      </c>
      <c r="I5122">
        <v>3</v>
      </c>
    </row>
    <row r="5123" spans="7:9" x14ac:dyDescent="0.15">
      <c r="G5123">
        <v>76624</v>
      </c>
      <c r="H5123" t="s">
        <v>5350</v>
      </c>
      <c r="I5123">
        <v>3</v>
      </c>
    </row>
    <row r="5124" spans="7:9" x14ac:dyDescent="0.15">
      <c r="G5124">
        <v>76628</v>
      </c>
      <c r="H5124" t="s">
        <v>5349</v>
      </c>
      <c r="I5124">
        <v>3</v>
      </c>
    </row>
    <row r="5125" spans="7:9" x14ac:dyDescent="0.15">
      <c r="G5125">
        <v>76632</v>
      </c>
      <c r="H5125" t="s">
        <v>5349</v>
      </c>
      <c r="I5125">
        <v>3</v>
      </c>
    </row>
    <row r="5126" spans="7:9" x14ac:dyDescent="0.15">
      <c r="G5126">
        <v>76659</v>
      </c>
      <c r="H5126" t="s">
        <v>5351</v>
      </c>
      <c r="I5126">
        <v>3</v>
      </c>
    </row>
    <row r="5127" spans="7:9" x14ac:dyDescent="0.15">
      <c r="G5127">
        <v>76666</v>
      </c>
      <c r="H5127" t="s">
        <v>5352</v>
      </c>
      <c r="I5127">
        <v>2</v>
      </c>
    </row>
    <row r="5128" spans="7:9" x14ac:dyDescent="0.15">
      <c r="G5128">
        <v>76680</v>
      </c>
      <c r="H5128" t="s">
        <v>5353</v>
      </c>
      <c r="I5128">
        <v>2</v>
      </c>
    </row>
    <row r="5129" spans="7:9" x14ac:dyDescent="0.15">
      <c r="G5129">
        <v>76722</v>
      </c>
      <c r="H5129" t="s">
        <v>5354</v>
      </c>
      <c r="I5129">
        <v>3</v>
      </c>
    </row>
    <row r="5130" spans="7:9" x14ac:dyDescent="0.15">
      <c r="G5130">
        <v>76728</v>
      </c>
      <c r="H5130" t="s">
        <v>5355</v>
      </c>
      <c r="I5130">
        <v>3</v>
      </c>
    </row>
    <row r="5131" spans="7:9" x14ac:dyDescent="0.15">
      <c r="G5131">
        <v>76732</v>
      </c>
      <c r="H5131" t="s">
        <v>5356</v>
      </c>
      <c r="I5131">
        <v>3</v>
      </c>
    </row>
    <row r="5132" spans="7:9" x14ac:dyDescent="0.15">
      <c r="G5132">
        <v>76736</v>
      </c>
      <c r="H5132" t="s">
        <v>5357</v>
      </c>
      <c r="I5132">
        <v>3</v>
      </c>
    </row>
    <row r="5133" spans="7:9" x14ac:dyDescent="0.15">
      <c r="G5133">
        <v>76750</v>
      </c>
      <c r="H5133" t="s">
        <v>5358</v>
      </c>
      <c r="I5133">
        <v>2</v>
      </c>
    </row>
    <row r="5134" spans="7:9" x14ac:dyDescent="0.15">
      <c r="G5134">
        <v>76764</v>
      </c>
      <c r="H5134" t="s">
        <v>5359</v>
      </c>
      <c r="I5134">
        <v>2</v>
      </c>
    </row>
    <row r="5135" spans="7:9" x14ac:dyDescent="0.15">
      <c r="G5135">
        <v>76765</v>
      </c>
      <c r="H5135" t="s">
        <v>5360</v>
      </c>
      <c r="I5135">
        <v>3</v>
      </c>
    </row>
    <row r="5136" spans="7:9" x14ac:dyDescent="0.15">
      <c r="G5136">
        <v>76767</v>
      </c>
      <c r="H5136" t="s">
        <v>5361</v>
      </c>
      <c r="I5136">
        <v>3</v>
      </c>
    </row>
    <row r="5137" spans="7:9" x14ac:dyDescent="0.15">
      <c r="G5137">
        <v>76768</v>
      </c>
      <c r="H5137" t="s">
        <v>5362</v>
      </c>
      <c r="I5137">
        <v>3</v>
      </c>
    </row>
    <row r="5138" spans="7:9" x14ac:dyDescent="0.15">
      <c r="G5138">
        <v>76772</v>
      </c>
      <c r="H5138" t="s">
        <v>5362</v>
      </c>
      <c r="I5138">
        <v>3</v>
      </c>
    </row>
    <row r="5139" spans="7:9" x14ac:dyDescent="0.15">
      <c r="G5139">
        <v>76778</v>
      </c>
      <c r="H5139" t="s">
        <v>997</v>
      </c>
      <c r="I5139">
        <v>1</v>
      </c>
    </row>
    <row r="5140" spans="7:9" x14ac:dyDescent="0.15">
      <c r="G5140">
        <v>76800</v>
      </c>
      <c r="H5140" t="s">
        <v>5363</v>
      </c>
      <c r="I5140">
        <v>3</v>
      </c>
    </row>
    <row r="5141" spans="7:9" x14ac:dyDescent="0.15">
      <c r="G5141">
        <v>76806</v>
      </c>
      <c r="H5141" t="s">
        <v>5364</v>
      </c>
      <c r="I5141">
        <v>2</v>
      </c>
    </row>
    <row r="5142" spans="7:9" x14ac:dyDescent="0.15">
      <c r="G5142">
        <v>76834</v>
      </c>
      <c r="H5142" t="s">
        <v>5365</v>
      </c>
      <c r="I5142">
        <v>2</v>
      </c>
    </row>
    <row r="5143" spans="7:9" x14ac:dyDescent="0.15">
      <c r="G5143">
        <v>76848</v>
      </c>
      <c r="H5143" t="s">
        <v>5366</v>
      </c>
      <c r="I5143">
        <v>3</v>
      </c>
    </row>
    <row r="5144" spans="7:9" x14ac:dyDescent="0.15">
      <c r="G5144">
        <v>76876</v>
      </c>
      <c r="H5144" t="s">
        <v>5367</v>
      </c>
      <c r="I5144">
        <v>1</v>
      </c>
    </row>
    <row r="5145" spans="7:9" x14ac:dyDescent="0.15">
      <c r="G5145">
        <v>76890</v>
      </c>
      <c r="H5145" t="s">
        <v>5368</v>
      </c>
      <c r="I5145">
        <v>2</v>
      </c>
    </row>
    <row r="5146" spans="7:9" x14ac:dyDescent="0.15">
      <c r="G5146">
        <v>76918</v>
      </c>
      <c r="H5146" t="s">
        <v>5369</v>
      </c>
      <c r="I5146">
        <v>3</v>
      </c>
    </row>
    <row r="5147" spans="7:9" x14ac:dyDescent="0.15">
      <c r="G5147">
        <v>76932</v>
      </c>
      <c r="H5147" t="s">
        <v>5370</v>
      </c>
      <c r="I5147">
        <v>2</v>
      </c>
    </row>
    <row r="5148" spans="7:9" x14ac:dyDescent="0.15">
      <c r="G5148">
        <v>76953</v>
      </c>
      <c r="H5148" t="s">
        <v>5371</v>
      </c>
      <c r="I5148">
        <v>3</v>
      </c>
    </row>
    <row r="5149" spans="7:9" x14ac:dyDescent="0.15">
      <c r="G5149">
        <v>76954</v>
      </c>
      <c r="H5149" t="s">
        <v>5372</v>
      </c>
      <c r="I5149">
        <v>3</v>
      </c>
    </row>
    <row r="5150" spans="7:9" x14ac:dyDescent="0.15">
      <c r="G5150">
        <v>76956</v>
      </c>
      <c r="H5150" t="s">
        <v>5373</v>
      </c>
      <c r="I5150">
        <v>3</v>
      </c>
    </row>
    <row r="5151" spans="7:9" x14ac:dyDescent="0.15">
      <c r="G5151">
        <v>76958</v>
      </c>
      <c r="H5151" t="s">
        <v>5374</v>
      </c>
      <c r="I5151">
        <v>3</v>
      </c>
    </row>
    <row r="5152" spans="7:9" x14ac:dyDescent="0.15">
      <c r="G5152">
        <v>76960</v>
      </c>
      <c r="H5152" t="s">
        <v>5375</v>
      </c>
      <c r="I5152">
        <v>3</v>
      </c>
    </row>
    <row r="5153" spans="7:9" x14ac:dyDescent="0.15">
      <c r="G5153">
        <v>76967</v>
      </c>
      <c r="H5153" t="s">
        <v>5376</v>
      </c>
      <c r="I5153">
        <v>3</v>
      </c>
    </row>
    <row r="5154" spans="7:9" x14ac:dyDescent="0.15">
      <c r="G5154">
        <v>76974</v>
      </c>
      <c r="H5154" t="s">
        <v>5377</v>
      </c>
      <c r="I5154">
        <v>3</v>
      </c>
    </row>
    <row r="5155" spans="7:9" x14ac:dyDescent="0.15">
      <c r="G5155">
        <v>77000</v>
      </c>
      <c r="H5155" t="s">
        <v>943</v>
      </c>
      <c r="I5155">
        <v>1</v>
      </c>
    </row>
    <row r="5156" spans="7:9" x14ac:dyDescent="0.15">
      <c r="G5156">
        <v>77035</v>
      </c>
      <c r="H5156" t="s">
        <v>5378</v>
      </c>
      <c r="I5156">
        <v>3</v>
      </c>
    </row>
    <row r="5157" spans="7:9" x14ac:dyDescent="0.15">
      <c r="G5157">
        <v>77050</v>
      </c>
      <c r="H5157" t="s">
        <v>5379</v>
      </c>
      <c r="I5157">
        <v>3</v>
      </c>
    </row>
    <row r="5158" spans="7:9" x14ac:dyDescent="0.15">
      <c r="G5158">
        <v>77056</v>
      </c>
      <c r="H5158" t="s">
        <v>5380</v>
      </c>
      <c r="I5158">
        <v>3</v>
      </c>
    </row>
    <row r="5159" spans="7:9" x14ac:dyDescent="0.15">
      <c r="G5159">
        <v>77070</v>
      </c>
      <c r="H5159" t="s">
        <v>5381</v>
      </c>
      <c r="I5159">
        <v>2</v>
      </c>
    </row>
    <row r="5160" spans="7:9" x14ac:dyDescent="0.15">
      <c r="G5160">
        <v>77074</v>
      </c>
      <c r="H5160" t="s">
        <v>5382</v>
      </c>
      <c r="I5160">
        <v>3</v>
      </c>
    </row>
    <row r="5161" spans="7:9" x14ac:dyDescent="0.15">
      <c r="G5161">
        <v>77078</v>
      </c>
      <c r="H5161" t="s">
        <v>5383</v>
      </c>
      <c r="I5161">
        <v>3</v>
      </c>
    </row>
    <row r="5162" spans="7:9" x14ac:dyDescent="0.15">
      <c r="G5162">
        <v>77082</v>
      </c>
      <c r="H5162" t="s">
        <v>5384</v>
      </c>
      <c r="I5162">
        <v>3</v>
      </c>
    </row>
    <row r="5163" spans="7:9" x14ac:dyDescent="0.15">
      <c r="G5163">
        <v>77084</v>
      </c>
      <c r="H5163" t="s">
        <v>5385</v>
      </c>
      <c r="I5163">
        <v>3</v>
      </c>
    </row>
    <row r="5164" spans="7:9" x14ac:dyDescent="0.15">
      <c r="G5164">
        <v>77112</v>
      </c>
      <c r="H5164" t="s">
        <v>5386</v>
      </c>
      <c r="I5164">
        <v>1</v>
      </c>
    </row>
    <row r="5165" spans="7:9" x14ac:dyDescent="0.15">
      <c r="G5165">
        <v>77158</v>
      </c>
      <c r="H5165" t="s">
        <v>5387</v>
      </c>
      <c r="I5165">
        <v>3</v>
      </c>
    </row>
    <row r="5166" spans="7:9" x14ac:dyDescent="0.15">
      <c r="G5166">
        <v>77162</v>
      </c>
      <c r="H5166" t="s">
        <v>5387</v>
      </c>
      <c r="I5166">
        <v>3</v>
      </c>
    </row>
    <row r="5167" spans="7:9" x14ac:dyDescent="0.15">
      <c r="G5167">
        <v>77182</v>
      </c>
      <c r="H5167" t="s">
        <v>5388</v>
      </c>
      <c r="I5167">
        <v>3</v>
      </c>
    </row>
    <row r="5168" spans="7:9" x14ac:dyDescent="0.15">
      <c r="G5168">
        <v>77224</v>
      </c>
      <c r="H5168" t="s">
        <v>5389</v>
      </c>
      <c r="I5168">
        <v>3</v>
      </c>
    </row>
    <row r="5169" spans="7:9" x14ac:dyDescent="0.15">
      <c r="G5169">
        <v>77238</v>
      </c>
      <c r="H5169" t="s">
        <v>5390</v>
      </c>
      <c r="I5169">
        <v>3</v>
      </c>
    </row>
    <row r="5170" spans="7:9" x14ac:dyDescent="0.15">
      <c r="G5170">
        <v>77266</v>
      </c>
      <c r="H5170" t="s">
        <v>5391</v>
      </c>
      <c r="I5170">
        <v>3</v>
      </c>
    </row>
    <row r="5171" spans="7:9" x14ac:dyDescent="0.15">
      <c r="G5171">
        <v>77294</v>
      </c>
      <c r="H5171" t="s">
        <v>5392</v>
      </c>
      <c r="I5171">
        <v>3</v>
      </c>
    </row>
    <row r="5172" spans="7:9" x14ac:dyDescent="0.15">
      <c r="G5172">
        <v>77308</v>
      </c>
      <c r="H5172" t="s">
        <v>5393</v>
      </c>
      <c r="I5172">
        <v>2</v>
      </c>
    </row>
    <row r="5173" spans="7:9" x14ac:dyDescent="0.15">
      <c r="G5173">
        <v>77322</v>
      </c>
      <c r="H5173" t="s">
        <v>5394</v>
      </c>
      <c r="I5173">
        <v>1</v>
      </c>
    </row>
    <row r="5174" spans="7:9" x14ac:dyDescent="0.15">
      <c r="G5174">
        <v>77336</v>
      </c>
      <c r="H5174" t="s">
        <v>5395</v>
      </c>
      <c r="I5174">
        <v>3</v>
      </c>
    </row>
    <row r="5175" spans="7:9" x14ac:dyDescent="0.15">
      <c r="G5175">
        <v>77364</v>
      </c>
      <c r="H5175" t="s">
        <v>5396</v>
      </c>
      <c r="I5175">
        <v>3</v>
      </c>
    </row>
    <row r="5176" spans="7:9" x14ac:dyDescent="0.15">
      <c r="G5176">
        <v>77392</v>
      </c>
      <c r="H5176" t="s">
        <v>5397</v>
      </c>
      <c r="I5176">
        <v>3</v>
      </c>
    </row>
    <row r="5177" spans="7:9" x14ac:dyDescent="0.15">
      <c r="G5177">
        <v>77406</v>
      </c>
      <c r="H5177" t="s">
        <v>5398</v>
      </c>
      <c r="I5177">
        <v>2</v>
      </c>
    </row>
    <row r="5178" spans="7:9" x14ac:dyDescent="0.15">
      <c r="G5178">
        <v>77420</v>
      </c>
      <c r="H5178" t="s">
        <v>5399</v>
      </c>
      <c r="I5178">
        <v>3</v>
      </c>
    </row>
    <row r="5179" spans="7:9" x14ac:dyDescent="0.15">
      <c r="G5179">
        <v>77434</v>
      </c>
      <c r="H5179" t="s">
        <v>5400</v>
      </c>
      <c r="I5179">
        <v>2</v>
      </c>
    </row>
    <row r="5180" spans="7:9" x14ac:dyDescent="0.15">
      <c r="G5180">
        <v>77455</v>
      </c>
      <c r="H5180" t="s">
        <v>5401</v>
      </c>
      <c r="I5180">
        <v>3</v>
      </c>
    </row>
    <row r="5181" spans="7:9" x14ac:dyDescent="0.15">
      <c r="G5181">
        <v>77490</v>
      </c>
      <c r="H5181" t="s">
        <v>5402</v>
      </c>
      <c r="I5181">
        <v>3</v>
      </c>
    </row>
    <row r="5182" spans="7:9" x14ac:dyDescent="0.15">
      <c r="G5182">
        <v>77495</v>
      </c>
      <c r="H5182" t="s">
        <v>5403</v>
      </c>
      <c r="I5182">
        <v>3</v>
      </c>
    </row>
    <row r="5183" spans="7:9" x14ac:dyDescent="0.15">
      <c r="G5183">
        <v>77504</v>
      </c>
      <c r="H5183" t="s">
        <v>5404</v>
      </c>
      <c r="I5183">
        <v>1</v>
      </c>
    </row>
    <row r="5184" spans="7:9" x14ac:dyDescent="0.15">
      <c r="G5184">
        <v>77518</v>
      </c>
      <c r="H5184" t="s">
        <v>5405</v>
      </c>
      <c r="I5184">
        <v>3</v>
      </c>
    </row>
    <row r="5185" spans="7:9" x14ac:dyDescent="0.15">
      <c r="G5185">
        <v>77532</v>
      </c>
      <c r="H5185" t="s">
        <v>5406</v>
      </c>
      <c r="I5185">
        <v>3</v>
      </c>
    </row>
    <row r="5186" spans="7:9" x14ac:dyDescent="0.15">
      <c r="G5186">
        <v>77546</v>
      </c>
      <c r="H5186" t="s">
        <v>5406</v>
      </c>
      <c r="I5186">
        <v>3</v>
      </c>
    </row>
    <row r="5187" spans="7:9" x14ac:dyDescent="0.15">
      <c r="G5187">
        <v>77560</v>
      </c>
      <c r="H5187" t="s">
        <v>5406</v>
      </c>
      <c r="I5187">
        <v>3</v>
      </c>
    </row>
    <row r="5188" spans="7:9" x14ac:dyDescent="0.15">
      <c r="G5188">
        <v>77574</v>
      </c>
      <c r="H5188" t="s">
        <v>5406</v>
      </c>
      <c r="I5188">
        <v>3</v>
      </c>
    </row>
    <row r="5189" spans="7:9" x14ac:dyDescent="0.15">
      <c r="G5189">
        <v>77588</v>
      </c>
      <c r="H5189" t="s">
        <v>5407</v>
      </c>
      <c r="I5189">
        <v>1</v>
      </c>
    </row>
    <row r="5190" spans="7:9" x14ac:dyDescent="0.15">
      <c r="G5190">
        <v>77602</v>
      </c>
      <c r="H5190" t="s">
        <v>5406</v>
      </c>
      <c r="I5190">
        <v>3</v>
      </c>
    </row>
    <row r="5191" spans="7:9" x14ac:dyDescent="0.15">
      <c r="G5191">
        <v>77616</v>
      </c>
      <c r="H5191" t="s">
        <v>5406</v>
      </c>
      <c r="I5191">
        <v>3</v>
      </c>
    </row>
    <row r="5192" spans="7:9" x14ac:dyDescent="0.15">
      <c r="G5192">
        <v>77630</v>
      </c>
      <c r="H5192" t="s">
        <v>5406</v>
      </c>
      <c r="I5192">
        <v>3</v>
      </c>
    </row>
    <row r="5193" spans="7:9" x14ac:dyDescent="0.15">
      <c r="G5193">
        <v>77644</v>
      </c>
      <c r="H5193" t="s">
        <v>5408</v>
      </c>
      <c r="I5193">
        <v>3</v>
      </c>
    </row>
    <row r="5194" spans="7:9" x14ac:dyDescent="0.15">
      <c r="G5194">
        <v>77658</v>
      </c>
      <c r="H5194" t="s">
        <v>5409</v>
      </c>
      <c r="I5194">
        <v>3</v>
      </c>
    </row>
    <row r="5195" spans="7:9" x14ac:dyDescent="0.15">
      <c r="G5195">
        <v>77672</v>
      </c>
      <c r="H5195" t="s">
        <v>5410</v>
      </c>
      <c r="I5195">
        <v>3</v>
      </c>
    </row>
    <row r="5196" spans="7:9" x14ac:dyDescent="0.15">
      <c r="G5196">
        <v>77686</v>
      </c>
      <c r="H5196" t="s">
        <v>5411</v>
      </c>
      <c r="I5196">
        <v>3</v>
      </c>
    </row>
    <row r="5197" spans="7:9" x14ac:dyDescent="0.15">
      <c r="G5197">
        <v>77700</v>
      </c>
      <c r="H5197" t="s">
        <v>5412</v>
      </c>
      <c r="I5197">
        <v>3</v>
      </c>
    </row>
    <row r="5198" spans="7:9" x14ac:dyDescent="0.15">
      <c r="G5198">
        <v>77714</v>
      </c>
      <c r="H5198" t="s">
        <v>5413</v>
      </c>
      <c r="I5198">
        <v>3</v>
      </c>
    </row>
    <row r="5199" spans="7:9" x14ac:dyDescent="0.15">
      <c r="G5199">
        <v>77728</v>
      </c>
      <c r="H5199" t="s">
        <v>5414</v>
      </c>
      <c r="I5199">
        <v>3</v>
      </c>
    </row>
    <row r="5200" spans="7:9" x14ac:dyDescent="0.15">
      <c r="G5200">
        <v>77735</v>
      </c>
      <c r="H5200" t="s">
        <v>5415</v>
      </c>
      <c r="I5200">
        <v>3</v>
      </c>
    </row>
    <row r="5201" spans="7:9" x14ac:dyDescent="0.15">
      <c r="G5201">
        <v>77742</v>
      </c>
      <c r="H5201" t="s">
        <v>5416</v>
      </c>
      <c r="I5201">
        <v>3</v>
      </c>
    </row>
    <row r="5202" spans="7:9" x14ac:dyDescent="0.15">
      <c r="G5202">
        <v>77756</v>
      </c>
      <c r="H5202" t="s">
        <v>5416</v>
      </c>
      <c r="I5202">
        <v>3</v>
      </c>
    </row>
    <row r="5203" spans="7:9" x14ac:dyDescent="0.15">
      <c r="G5203">
        <v>77784</v>
      </c>
      <c r="H5203" t="s">
        <v>5417</v>
      </c>
      <c r="I5203">
        <v>3</v>
      </c>
    </row>
    <row r="5204" spans="7:9" x14ac:dyDescent="0.15">
      <c r="G5204">
        <v>77812</v>
      </c>
      <c r="H5204" t="s">
        <v>5418</v>
      </c>
      <c r="I5204">
        <v>2</v>
      </c>
    </row>
    <row r="5205" spans="7:9" x14ac:dyDescent="0.15">
      <c r="G5205">
        <v>77840</v>
      </c>
      <c r="H5205" t="s">
        <v>5419</v>
      </c>
      <c r="I5205">
        <v>1</v>
      </c>
    </row>
    <row r="5206" spans="7:9" x14ac:dyDescent="0.15">
      <c r="G5206">
        <v>77854</v>
      </c>
      <c r="H5206" t="s">
        <v>5420</v>
      </c>
      <c r="I5206">
        <v>3</v>
      </c>
    </row>
    <row r="5207" spans="7:9" x14ac:dyDescent="0.15">
      <c r="G5207">
        <v>77868</v>
      </c>
      <c r="H5207" t="s">
        <v>5421</v>
      </c>
      <c r="I5207">
        <v>3</v>
      </c>
    </row>
    <row r="5208" spans="7:9" x14ac:dyDescent="0.15">
      <c r="G5208">
        <v>77896</v>
      </c>
      <c r="H5208" t="s">
        <v>5422</v>
      </c>
      <c r="I5208">
        <v>3</v>
      </c>
    </row>
    <row r="5209" spans="7:9" x14ac:dyDescent="0.15">
      <c r="G5209">
        <v>77910</v>
      </c>
      <c r="H5209" t="s">
        <v>5422</v>
      </c>
      <c r="I5209">
        <v>3</v>
      </c>
    </row>
    <row r="5210" spans="7:9" x14ac:dyDescent="0.15">
      <c r="G5210">
        <v>77924</v>
      </c>
      <c r="H5210" t="s">
        <v>5423</v>
      </c>
      <c r="I5210">
        <v>2</v>
      </c>
    </row>
    <row r="5211" spans="7:9" x14ac:dyDescent="0.15">
      <c r="G5211">
        <v>77934</v>
      </c>
      <c r="H5211" t="s">
        <v>5424</v>
      </c>
      <c r="I5211">
        <v>3</v>
      </c>
    </row>
    <row r="5212" spans="7:9" x14ac:dyDescent="0.15">
      <c r="G5212">
        <v>77952</v>
      </c>
      <c r="H5212" t="s">
        <v>5425</v>
      </c>
      <c r="I5212">
        <v>3</v>
      </c>
    </row>
    <row r="5213" spans="7:9" x14ac:dyDescent="0.15">
      <c r="G5213">
        <v>77966</v>
      </c>
      <c r="H5213" t="s">
        <v>5426</v>
      </c>
      <c r="I5213">
        <v>3</v>
      </c>
    </row>
    <row r="5214" spans="7:9" x14ac:dyDescent="0.15">
      <c r="G5214">
        <v>77980</v>
      </c>
      <c r="H5214" t="s">
        <v>5427</v>
      </c>
      <c r="I5214">
        <v>3</v>
      </c>
    </row>
    <row r="5215" spans="7:9" x14ac:dyDescent="0.15">
      <c r="G5215">
        <v>77994</v>
      </c>
      <c r="H5215" t="s">
        <v>5427</v>
      </c>
      <c r="I5215">
        <v>3</v>
      </c>
    </row>
    <row r="5216" spans="7:9" x14ac:dyDescent="0.15">
      <c r="G5216">
        <v>78008</v>
      </c>
      <c r="H5216" t="s">
        <v>5427</v>
      </c>
      <c r="I5216">
        <v>3</v>
      </c>
    </row>
    <row r="5217" spans="7:9" x14ac:dyDescent="0.15">
      <c r="G5217">
        <v>78036</v>
      </c>
      <c r="H5217" t="s">
        <v>5428</v>
      </c>
      <c r="I5217">
        <v>3</v>
      </c>
    </row>
    <row r="5218" spans="7:9" x14ac:dyDescent="0.15">
      <c r="G5218">
        <v>78050</v>
      </c>
      <c r="H5218" t="s">
        <v>5429</v>
      </c>
      <c r="I5218">
        <v>1</v>
      </c>
    </row>
    <row r="5219" spans="7:9" x14ac:dyDescent="0.15">
      <c r="G5219">
        <v>78064</v>
      </c>
      <c r="H5219" t="s">
        <v>5430</v>
      </c>
      <c r="I5219">
        <v>3</v>
      </c>
    </row>
    <row r="5220" spans="7:9" x14ac:dyDescent="0.15">
      <c r="G5220">
        <v>78078</v>
      </c>
      <c r="H5220" t="s">
        <v>5431</v>
      </c>
      <c r="I5220">
        <v>2</v>
      </c>
    </row>
    <row r="5221" spans="7:9" x14ac:dyDescent="0.15">
      <c r="G5221">
        <v>78106</v>
      </c>
      <c r="H5221" t="s">
        <v>5432</v>
      </c>
      <c r="I5221">
        <v>3</v>
      </c>
    </row>
    <row r="5222" spans="7:9" x14ac:dyDescent="0.15">
      <c r="G5222">
        <v>78120</v>
      </c>
      <c r="H5222" t="s">
        <v>5433</v>
      </c>
      <c r="I5222">
        <v>3</v>
      </c>
    </row>
    <row r="5223" spans="7:9" x14ac:dyDescent="0.15">
      <c r="G5223">
        <v>78125</v>
      </c>
      <c r="H5223" t="s">
        <v>5434</v>
      </c>
      <c r="I5223">
        <v>3</v>
      </c>
    </row>
    <row r="5224" spans="7:9" x14ac:dyDescent="0.15">
      <c r="G5224">
        <v>78134</v>
      </c>
      <c r="H5224" t="s">
        <v>5435</v>
      </c>
      <c r="I5224">
        <v>3</v>
      </c>
    </row>
    <row r="5225" spans="7:9" x14ac:dyDescent="0.15">
      <c r="G5225">
        <v>78141</v>
      </c>
      <c r="H5225" t="s">
        <v>5436</v>
      </c>
      <c r="I5225">
        <v>3</v>
      </c>
    </row>
    <row r="5226" spans="7:9" x14ac:dyDescent="0.15">
      <c r="G5226">
        <v>78148</v>
      </c>
      <c r="H5226" t="s">
        <v>5437</v>
      </c>
      <c r="I5226">
        <v>3</v>
      </c>
    </row>
    <row r="5227" spans="7:9" x14ac:dyDescent="0.15">
      <c r="G5227">
        <v>78155</v>
      </c>
      <c r="H5227" t="s">
        <v>5438</v>
      </c>
      <c r="I5227">
        <v>3</v>
      </c>
    </row>
    <row r="5228" spans="7:9" x14ac:dyDescent="0.15">
      <c r="G5228">
        <v>78162</v>
      </c>
      <c r="H5228" t="s">
        <v>5439</v>
      </c>
      <c r="I5228">
        <v>3</v>
      </c>
    </row>
    <row r="5229" spans="7:9" x14ac:dyDescent="0.15">
      <c r="G5229">
        <v>78176</v>
      </c>
      <c r="H5229" t="s">
        <v>5440</v>
      </c>
      <c r="I5229">
        <v>1</v>
      </c>
    </row>
    <row r="5230" spans="7:9" x14ac:dyDescent="0.15">
      <c r="G5230">
        <v>78204</v>
      </c>
      <c r="H5230" t="s">
        <v>5441</v>
      </c>
      <c r="I5230">
        <v>3</v>
      </c>
    </row>
    <row r="5231" spans="7:9" x14ac:dyDescent="0.15">
      <c r="G5231">
        <v>78218</v>
      </c>
      <c r="H5231" t="s">
        <v>5441</v>
      </c>
      <c r="I5231">
        <v>3</v>
      </c>
    </row>
    <row r="5232" spans="7:9" x14ac:dyDescent="0.15">
      <c r="G5232">
        <v>78232</v>
      </c>
      <c r="H5232" t="s">
        <v>5441</v>
      </c>
      <c r="I5232">
        <v>3</v>
      </c>
    </row>
    <row r="5233" spans="7:9" x14ac:dyDescent="0.15">
      <c r="G5233">
        <v>83146</v>
      </c>
      <c r="H5233" t="s">
        <v>5442</v>
      </c>
      <c r="I5233">
        <v>3</v>
      </c>
    </row>
    <row r="5234" spans="7:9" x14ac:dyDescent="0.15">
      <c r="G5234">
        <v>78260</v>
      </c>
      <c r="H5234" t="s">
        <v>5441</v>
      </c>
      <c r="I5234">
        <v>3</v>
      </c>
    </row>
    <row r="5235" spans="7:9" x14ac:dyDescent="0.15">
      <c r="G5235">
        <v>78274</v>
      </c>
      <c r="H5235" t="s">
        <v>5441</v>
      </c>
      <c r="I5235">
        <v>3</v>
      </c>
    </row>
    <row r="5236" spans="7:9" x14ac:dyDescent="0.15">
      <c r="G5236">
        <v>78288</v>
      </c>
      <c r="H5236" t="s">
        <v>5441</v>
      </c>
      <c r="I5236">
        <v>3</v>
      </c>
    </row>
    <row r="5237" spans="7:9" x14ac:dyDescent="0.15">
      <c r="G5237">
        <v>78302</v>
      </c>
      <c r="H5237" t="s">
        <v>5441</v>
      </c>
      <c r="I5237">
        <v>3</v>
      </c>
    </row>
    <row r="5238" spans="7:9" x14ac:dyDescent="0.15">
      <c r="G5238">
        <v>78316</v>
      </c>
      <c r="H5238" t="s">
        <v>5441</v>
      </c>
      <c r="I5238">
        <v>3</v>
      </c>
    </row>
    <row r="5239" spans="7:9" x14ac:dyDescent="0.15">
      <c r="G5239">
        <v>78330</v>
      </c>
      <c r="H5239" t="s">
        <v>5441</v>
      </c>
      <c r="I5239">
        <v>3</v>
      </c>
    </row>
    <row r="5240" spans="7:9" x14ac:dyDescent="0.15">
      <c r="G5240">
        <v>78344</v>
      </c>
      <c r="H5240" t="s">
        <v>5441</v>
      </c>
      <c r="I5240">
        <v>3</v>
      </c>
    </row>
    <row r="5241" spans="7:9" x14ac:dyDescent="0.15">
      <c r="G5241">
        <v>78358</v>
      </c>
      <c r="H5241" t="s">
        <v>5441</v>
      </c>
      <c r="I5241">
        <v>3</v>
      </c>
    </row>
    <row r="5242" spans="7:9" x14ac:dyDescent="0.15">
      <c r="G5242">
        <v>78372</v>
      </c>
      <c r="H5242" t="s">
        <v>5441</v>
      </c>
      <c r="I5242">
        <v>3</v>
      </c>
    </row>
    <row r="5243" spans="7:9" x14ac:dyDescent="0.15">
      <c r="G5243">
        <v>78400</v>
      </c>
      <c r="H5243" t="s">
        <v>5441</v>
      </c>
      <c r="I5243">
        <v>3</v>
      </c>
    </row>
    <row r="5244" spans="7:9" x14ac:dyDescent="0.15">
      <c r="G5244">
        <v>78414</v>
      </c>
      <c r="H5244" t="s">
        <v>5441</v>
      </c>
      <c r="I5244">
        <v>3</v>
      </c>
    </row>
    <row r="5245" spans="7:9" x14ac:dyDescent="0.15">
      <c r="G5245">
        <v>78428</v>
      </c>
      <c r="H5245" t="s">
        <v>5441</v>
      </c>
      <c r="I5245">
        <v>3</v>
      </c>
    </row>
    <row r="5246" spans="7:9" x14ac:dyDescent="0.15">
      <c r="G5246">
        <v>78442</v>
      </c>
      <c r="H5246" t="s">
        <v>5441</v>
      </c>
      <c r="I5246">
        <v>3</v>
      </c>
    </row>
    <row r="5247" spans="7:9" x14ac:dyDescent="0.15">
      <c r="G5247">
        <v>78456</v>
      </c>
      <c r="H5247" t="s">
        <v>5441</v>
      </c>
      <c r="I5247">
        <v>3</v>
      </c>
    </row>
    <row r="5248" spans="7:9" x14ac:dyDescent="0.15">
      <c r="G5248">
        <v>78470</v>
      </c>
      <c r="H5248" t="s">
        <v>5443</v>
      </c>
      <c r="I5248">
        <v>1</v>
      </c>
    </row>
    <row r="5249" spans="7:9" x14ac:dyDescent="0.15">
      <c r="G5249">
        <v>78475</v>
      </c>
      <c r="H5249" t="s">
        <v>5441</v>
      </c>
      <c r="I5249">
        <v>3</v>
      </c>
    </row>
    <row r="5250" spans="7:9" x14ac:dyDescent="0.15">
      <c r="G5250">
        <v>78484</v>
      </c>
      <c r="H5250" t="s">
        <v>5441</v>
      </c>
      <c r="I5250">
        <v>3</v>
      </c>
    </row>
    <row r="5251" spans="7:9" x14ac:dyDescent="0.15">
      <c r="G5251">
        <v>78498</v>
      </c>
      <c r="H5251" t="s">
        <v>5441</v>
      </c>
      <c r="I5251">
        <v>3</v>
      </c>
    </row>
    <row r="5252" spans="7:9" x14ac:dyDescent="0.15">
      <c r="G5252">
        <v>78512</v>
      </c>
      <c r="H5252" t="s">
        <v>5441</v>
      </c>
      <c r="I5252">
        <v>3</v>
      </c>
    </row>
    <row r="5253" spans="7:9" x14ac:dyDescent="0.15">
      <c r="G5253">
        <v>78526</v>
      </c>
      <c r="H5253" t="s">
        <v>5441</v>
      </c>
      <c r="I5253">
        <v>3</v>
      </c>
    </row>
    <row r="5254" spans="7:9" x14ac:dyDescent="0.15">
      <c r="G5254">
        <v>78540</v>
      </c>
      <c r="H5254" t="s">
        <v>5441</v>
      </c>
      <c r="I5254">
        <v>3</v>
      </c>
    </row>
    <row r="5255" spans="7:9" x14ac:dyDescent="0.15">
      <c r="G5255">
        <v>78554</v>
      </c>
      <c r="H5255" t="s">
        <v>5441</v>
      </c>
      <c r="I5255">
        <v>3</v>
      </c>
    </row>
    <row r="5256" spans="7:9" x14ac:dyDescent="0.15">
      <c r="G5256">
        <v>78568</v>
      </c>
      <c r="H5256" t="s">
        <v>5441</v>
      </c>
      <c r="I5256">
        <v>3</v>
      </c>
    </row>
    <row r="5257" spans="7:9" x14ac:dyDescent="0.15">
      <c r="G5257">
        <v>78582</v>
      </c>
      <c r="H5257" t="s">
        <v>5441</v>
      </c>
      <c r="I5257">
        <v>3</v>
      </c>
    </row>
    <row r="5258" spans="7:9" x14ac:dyDescent="0.15">
      <c r="G5258">
        <v>78596</v>
      </c>
      <c r="H5258" t="s">
        <v>5441</v>
      </c>
      <c r="I5258">
        <v>3</v>
      </c>
    </row>
    <row r="5259" spans="7:9" x14ac:dyDescent="0.15">
      <c r="G5259">
        <v>78610</v>
      </c>
      <c r="H5259" t="s">
        <v>5441</v>
      </c>
      <c r="I5259">
        <v>3</v>
      </c>
    </row>
    <row r="5260" spans="7:9" x14ac:dyDescent="0.15">
      <c r="G5260">
        <v>78624</v>
      </c>
      <c r="H5260" t="s">
        <v>1017</v>
      </c>
      <c r="I5260">
        <v>2</v>
      </c>
    </row>
    <row r="5261" spans="7:9" x14ac:dyDescent="0.15">
      <c r="G5261">
        <v>78625</v>
      </c>
      <c r="H5261" t="s">
        <v>5444</v>
      </c>
      <c r="I5261">
        <v>3</v>
      </c>
    </row>
    <row r="5262" spans="7:9" x14ac:dyDescent="0.15">
      <c r="G5262">
        <v>78628</v>
      </c>
      <c r="H5262" t="s">
        <v>5445</v>
      </c>
      <c r="I5262">
        <v>3</v>
      </c>
    </row>
    <row r="5263" spans="7:9" x14ac:dyDescent="0.15">
      <c r="G5263">
        <v>78638</v>
      </c>
      <c r="H5263" t="s">
        <v>5446</v>
      </c>
      <c r="I5263">
        <v>3</v>
      </c>
    </row>
    <row r="5264" spans="7:9" x14ac:dyDescent="0.15">
      <c r="G5264">
        <v>78680</v>
      </c>
      <c r="H5264" t="s">
        <v>5447</v>
      </c>
      <c r="I5264">
        <v>3</v>
      </c>
    </row>
    <row r="5265" spans="7:9" x14ac:dyDescent="0.15">
      <c r="G5265">
        <v>78685</v>
      </c>
      <c r="H5265" t="s">
        <v>5448</v>
      </c>
      <c r="I5265">
        <v>3</v>
      </c>
    </row>
    <row r="5266" spans="7:9" x14ac:dyDescent="0.15">
      <c r="G5266">
        <v>78708</v>
      </c>
      <c r="H5266" t="s">
        <v>5449</v>
      </c>
      <c r="I5266">
        <v>3</v>
      </c>
    </row>
    <row r="5267" spans="7:9" x14ac:dyDescent="0.15">
      <c r="G5267">
        <v>78736</v>
      </c>
      <c r="H5267" t="s">
        <v>5449</v>
      </c>
      <c r="I5267">
        <v>2</v>
      </c>
    </row>
    <row r="5268" spans="7:9" x14ac:dyDescent="0.15">
      <c r="G5268">
        <v>78750</v>
      </c>
      <c r="H5268" t="s">
        <v>5450</v>
      </c>
      <c r="I5268">
        <v>3</v>
      </c>
    </row>
    <row r="5269" spans="7:9" x14ac:dyDescent="0.15">
      <c r="G5269">
        <v>78778</v>
      </c>
      <c r="H5269" t="s">
        <v>5451</v>
      </c>
      <c r="I5269">
        <v>3</v>
      </c>
    </row>
    <row r="5270" spans="7:9" x14ac:dyDescent="0.15">
      <c r="G5270">
        <v>78785</v>
      </c>
      <c r="H5270" t="s">
        <v>5451</v>
      </c>
      <c r="I5270">
        <v>3</v>
      </c>
    </row>
    <row r="5271" spans="7:9" x14ac:dyDescent="0.15">
      <c r="G5271">
        <v>78792</v>
      </c>
      <c r="H5271" t="s">
        <v>5451</v>
      </c>
      <c r="I5271">
        <v>3</v>
      </c>
    </row>
    <row r="5272" spans="7:9" x14ac:dyDescent="0.15">
      <c r="G5272">
        <v>78820</v>
      </c>
      <c r="H5272" t="s">
        <v>5451</v>
      </c>
      <c r="I5272">
        <v>3</v>
      </c>
    </row>
    <row r="5273" spans="7:9" x14ac:dyDescent="0.15">
      <c r="G5273">
        <v>78834</v>
      </c>
      <c r="H5273" t="s">
        <v>5452</v>
      </c>
      <c r="I5273">
        <v>2</v>
      </c>
    </row>
    <row r="5274" spans="7:9" x14ac:dyDescent="0.15">
      <c r="G5274">
        <v>78848</v>
      </c>
      <c r="H5274" t="s">
        <v>5453</v>
      </c>
      <c r="I5274">
        <v>2</v>
      </c>
    </row>
    <row r="5275" spans="7:9" x14ac:dyDescent="0.15">
      <c r="G5275">
        <v>78862</v>
      </c>
      <c r="H5275" t="s">
        <v>5454</v>
      </c>
      <c r="I5275">
        <v>3</v>
      </c>
    </row>
    <row r="5276" spans="7:9" x14ac:dyDescent="0.15">
      <c r="G5276">
        <v>78876</v>
      </c>
      <c r="H5276" t="s">
        <v>5454</v>
      </c>
      <c r="I5276">
        <v>3</v>
      </c>
    </row>
    <row r="5277" spans="7:9" x14ac:dyDescent="0.15">
      <c r="G5277">
        <v>78890</v>
      </c>
      <c r="H5277" t="s">
        <v>5455</v>
      </c>
      <c r="I5277">
        <v>3</v>
      </c>
    </row>
    <row r="5278" spans="7:9" x14ac:dyDescent="0.15">
      <c r="G5278">
        <v>78932</v>
      </c>
      <c r="H5278" t="s">
        <v>5456</v>
      </c>
      <c r="I5278">
        <v>1</v>
      </c>
    </row>
    <row r="5279" spans="7:9" x14ac:dyDescent="0.15">
      <c r="G5279">
        <v>78960</v>
      </c>
      <c r="H5279" t="s">
        <v>5457</v>
      </c>
      <c r="I5279">
        <v>3</v>
      </c>
    </row>
    <row r="5280" spans="7:9" x14ac:dyDescent="0.15">
      <c r="G5280">
        <v>78974</v>
      </c>
      <c r="H5280" t="s">
        <v>5458</v>
      </c>
      <c r="I5280">
        <v>3</v>
      </c>
    </row>
    <row r="5281" spans="7:9" x14ac:dyDescent="0.15">
      <c r="G5281">
        <v>78988</v>
      </c>
      <c r="H5281" t="s">
        <v>5459</v>
      </c>
      <c r="I5281">
        <v>3</v>
      </c>
    </row>
    <row r="5282" spans="7:9" x14ac:dyDescent="0.15">
      <c r="G5282">
        <v>79002</v>
      </c>
      <c r="H5282" t="s">
        <v>5459</v>
      </c>
      <c r="I5282">
        <v>1</v>
      </c>
    </row>
    <row r="5283" spans="7:9" x14ac:dyDescent="0.15">
      <c r="G5283">
        <v>79030</v>
      </c>
      <c r="H5283" t="s">
        <v>5460</v>
      </c>
      <c r="I5283">
        <v>3</v>
      </c>
    </row>
    <row r="5284" spans="7:9" x14ac:dyDescent="0.15">
      <c r="G5284">
        <v>79035</v>
      </c>
      <c r="H5284" t="s">
        <v>5461</v>
      </c>
      <c r="I5284">
        <v>3</v>
      </c>
    </row>
    <row r="5285" spans="7:9" x14ac:dyDescent="0.15">
      <c r="G5285">
        <v>79044</v>
      </c>
      <c r="H5285" t="s">
        <v>998</v>
      </c>
      <c r="I5285">
        <v>1</v>
      </c>
    </row>
    <row r="5286" spans="7:9" x14ac:dyDescent="0.15">
      <c r="G5286">
        <v>79050</v>
      </c>
      <c r="H5286" t="s">
        <v>5462</v>
      </c>
      <c r="I5286">
        <v>3</v>
      </c>
    </row>
    <row r="5287" spans="7:9" x14ac:dyDescent="0.15">
      <c r="G5287">
        <v>79072</v>
      </c>
      <c r="H5287" t="s">
        <v>999</v>
      </c>
      <c r="I5287">
        <v>1</v>
      </c>
    </row>
    <row r="5288" spans="7:9" x14ac:dyDescent="0.15">
      <c r="G5288">
        <v>79086</v>
      </c>
      <c r="H5288" t="s">
        <v>5463</v>
      </c>
      <c r="I5288">
        <v>3</v>
      </c>
    </row>
    <row r="5289" spans="7:9" x14ac:dyDescent="0.15">
      <c r="G5289">
        <v>79100</v>
      </c>
      <c r="H5289" t="s">
        <v>5464</v>
      </c>
      <c r="I5289">
        <v>2</v>
      </c>
    </row>
    <row r="5290" spans="7:9" x14ac:dyDescent="0.15">
      <c r="G5290">
        <v>79105</v>
      </c>
      <c r="H5290" t="s">
        <v>5465</v>
      </c>
      <c r="I5290">
        <v>3</v>
      </c>
    </row>
    <row r="5291" spans="7:9" x14ac:dyDescent="0.15">
      <c r="G5291">
        <v>79114</v>
      </c>
      <c r="H5291" t="s">
        <v>5466</v>
      </c>
      <c r="I5291">
        <v>2</v>
      </c>
    </row>
    <row r="5292" spans="7:9" x14ac:dyDescent="0.15">
      <c r="G5292">
        <v>79118</v>
      </c>
      <c r="H5292" t="s">
        <v>5466</v>
      </c>
      <c r="I5292">
        <v>3</v>
      </c>
    </row>
    <row r="5293" spans="7:9" x14ac:dyDescent="0.15">
      <c r="G5293">
        <v>79122</v>
      </c>
      <c r="H5293" t="s">
        <v>5467</v>
      </c>
      <c r="I5293">
        <v>3</v>
      </c>
    </row>
    <row r="5294" spans="7:9" x14ac:dyDescent="0.15">
      <c r="G5294">
        <v>79128</v>
      </c>
      <c r="H5294" t="s">
        <v>5468</v>
      </c>
      <c r="I5294">
        <v>3</v>
      </c>
    </row>
    <row r="5295" spans="7:9" x14ac:dyDescent="0.15">
      <c r="G5295">
        <v>79132</v>
      </c>
      <c r="H5295" t="s">
        <v>5469</v>
      </c>
      <c r="I5295">
        <v>3</v>
      </c>
    </row>
    <row r="5296" spans="7:9" x14ac:dyDescent="0.15">
      <c r="G5296">
        <v>79135</v>
      </c>
      <c r="H5296" t="s">
        <v>5470</v>
      </c>
      <c r="I5296">
        <v>3</v>
      </c>
    </row>
    <row r="5297" spans="7:9" x14ac:dyDescent="0.15">
      <c r="G5297">
        <v>79138</v>
      </c>
      <c r="H5297" t="s">
        <v>5471</v>
      </c>
      <c r="I5297">
        <v>3</v>
      </c>
    </row>
    <row r="5298" spans="7:9" x14ac:dyDescent="0.15">
      <c r="G5298">
        <v>79142</v>
      </c>
      <c r="H5298" t="s">
        <v>5472</v>
      </c>
      <c r="I5298">
        <v>3</v>
      </c>
    </row>
    <row r="5299" spans="7:9" x14ac:dyDescent="0.15">
      <c r="G5299">
        <v>79156</v>
      </c>
      <c r="H5299" t="s">
        <v>5473</v>
      </c>
      <c r="I5299">
        <v>3</v>
      </c>
    </row>
    <row r="5300" spans="7:9" x14ac:dyDescent="0.15">
      <c r="G5300">
        <v>79170</v>
      </c>
      <c r="H5300" t="s">
        <v>5473</v>
      </c>
      <c r="I5300">
        <v>3</v>
      </c>
    </row>
    <row r="5301" spans="7:9" x14ac:dyDescent="0.15">
      <c r="G5301">
        <v>79184</v>
      </c>
      <c r="H5301" t="s">
        <v>5474</v>
      </c>
      <c r="I5301">
        <v>3</v>
      </c>
    </row>
    <row r="5302" spans="7:9" x14ac:dyDescent="0.15">
      <c r="G5302">
        <v>79190</v>
      </c>
      <c r="H5302" t="s">
        <v>5475</v>
      </c>
      <c r="I5302">
        <v>3</v>
      </c>
    </row>
    <row r="5303" spans="7:9" x14ac:dyDescent="0.15">
      <c r="G5303">
        <v>79198</v>
      </c>
      <c r="H5303" t="s">
        <v>5476</v>
      </c>
      <c r="I5303">
        <v>3</v>
      </c>
    </row>
    <row r="5304" spans="7:9" x14ac:dyDescent="0.15">
      <c r="G5304">
        <v>79218</v>
      </c>
      <c r="H5304" t="s">
        <v>5477</v>
      </c>
      <c r="I5304">
        <v>3</v>
      </c>
    </row>
    <row r="5305" spans="7:9" x14ac:dyDescent="0.15">
      <c r="G5305">
        <v>79222</v>
      </c>
      <c r="H5305" t="s">
        <v>5478</v>
      </c>
      <c r="I5305">
        <v>3</v>
      </c>
    </row>
    <row r="5306" spans="7:9" x14ac:dyDescent="0.15">
      <c r="G5306">
        <v>79226</v>
      </c>
      <c r="H5306" t="s">
        <v>5479</v>
      </c>
      <c r="I5306">
        <v>2</v>
      </c>
    </row>
    <row r="5307" spans="7:9" x14ac:dyDescent="0.15">
      <c r="G5307">
        <v>79240</v>
      </c>
      <c r="H5307" t="s">
        <v>5480</v>
      </c>
      <c r="I5307">
        <v>3</v>
      </c>
    </row>
    <row r="5308" spans="7:9" x14ac:dyDescent="0.15">
      <c r="G5308">
        <v>79268</v>
      </c>
      <c r="H5308" t="s">
        <v>5481</v>
      </c>
      <c r="I5308">
        <v>2</v>
      </c>
    </row>
    <row r="5309" spans="7:9" x14ac:dyDescent="0.15">
      <c r="G5309">
        <v>79282</v>
      </c>
      <c r="H5309" t="s">
        <v>5482</v>
      </c>
      <c r="I5309">
        <v>2</v>
      </c>
    </row>
    <row r="5310" spans="7:9" x14ac:dyDescent="0.15">
      <c r="G5310">
        <v>79296</v>
      </c>
      <c r="H5310" t="s">
        <v>5481</v>
      </c>
      <c r="I5310">
        <v>3</v>
      </c>
    </row>
    <row r="5311" spans="7:9" x14ac:dyDescent="0.15">
      <c r="G5311">
        <v>79310</v>
      </c>
      <c r="H5311" t="s">
        <v>5481</v>
      </c>
      <c r="I5311">
        <v>3</v>
      </c>
    </row>
    <row r="5312" spans="7:9" x14ac:dyDescent="0.15">
      <c r="G5312">
        <v>79324</v>
      </c>
      <c r="H5312" t="s">
        <v>5483</v>
      </c>
      <c r="I5312">
        <v>3</v>
      </c>
    </row>
    <row r="5313" spans="7:9" x14ac:dyDescent="0.15">
      <c r="G5313">
        <v>79352</v>
      </c>
      <c r="H5313" t="s">
        <v>5484</v>
      </c>
      <c r="I5313">
        <v>3</v>
      </c>
    </row>
    <row r="5314" spans="7:9" x14ac:dyDescent="0.15">
      <c r="G5314">
        <v>79354</v>
      </c>
      <c r="H5314" t="s">
        <v>5485</v>
      </c>
      <c r="I5314">
        <v>3</v>
      </c>
    </row>
    <row r="5315" spans="7:9" x14ac:dyDescent="0.15">
      <c r="G5315">
        <v>79357</v>
      </c>
      <c r="H5315" t="s">
        <v>1288</v>
      </c>
      <c r="I5315">
        <v>3</v>
      </c>
    </row>
    <row r="5316" spans="7:9" x14ac:dyDescent="0.15">
      <c r="G5316">
        <v>79366</v>
      </c>
      <c r="H5316" t="s">
        <v>5486</v>
      </c>
      <c r="I5316">
        <v>3</v>
      </c>
    </row>
    <row r="5317" spans="7:9" x14ac:dyDescent="0.15">
      <c r="G5317">
        <v>79380</v>
      </c>
      <c r="H5317" t="s">
        <v>5487</v>
      </c>
      <c r="I5317">
        <v>3</v>
      </c>
    </row>
    <row r="5318" spans="7:9" x14ac:dyDescent="0.15">
      <c r="G5318">
        <v>79394</v>
      </c>
      <c r="H5318" t="s">
        <v>5488</v>
      </c>
      <c r="I5318">
        <v>2</v>
      </c>
    </row>
    <row r="5319" spans="7:9" x14ac:dyDescent="0.15">
      <c r="G5319">
        <v>79408</v>
      </c>
      <c r="H5319" t="s">
        <v>5487</v>
      </c>
      <c r="I5319">
        <v>3</v>
      </c>
    </row>
    <row r="5320" spans="7:9" x14ac:dyDescent="0.15">
      <c r="G5320">
        <v>79450</v>
      </c>
      <c r="H5320" t="s">
        <v>5487</v>
      </c>
      <c r="I5320">
        <v>3</v>
      </c>
    </row>
    <row r="5321" spans="7:9" x14ac:dyDescent="0.15">
      <c r="G5321">
        <v>79464</v>
      </c>
      <c r="H5321" t="s">
        <v>5487</v>
      </c>
      <c r="I5321">
        <v>3</v>
      </c>
    </row>
    <row r="5322" spans="7:9" x14ac:dyDescent="0.15">
      <c r="G5322">
        <v>79492</v>
      </c>
      <c r="H5322" t="s">
        <v>5489</v>
      </c>
      <c r="I5322">
        <v>1</v>
      </c>
    </row>
    <row r="5323" spans="7:9" x14ac:dyDescent="0.15">
      <c r="G5323">
        <v>79525</v>
      </c>
      <c r="H5323" t="s">
        <v>5490</v>
      </c>
      <c r="I5323">
        <v>3</v>
      </c>
    </row>
    <row r="5324" spans="7:9" x14ac:dyDescent="0.15">
      <c r="G5324">
        <v>79530</v>
      </c>
      <c r="H5324" t="s">
        <v>5491</v>
      </c>
      <c r="I5324">
        <v>3</v>
      </c>
    </row>
    <row r="5325" spans="7:9" x14ac:dyDescent="0.15">
      <c r="G5325">
        <v>79534</v>
      </c>
      <c r="H5325" t="s">
        <v>5492</v>
      </c>
      <c r="I5325">
        <v>2</v>
      </c>
    </row>
    <row r="5326" spans="7:9" x14ac:dyDescent="0.15">
      <c r="G5326">
        <v>79548</v>
      </c>
      <c r="H5326" t="s">
        <v>5493</v>
      </c>
      <c r="I5326">
        <v>3</v>
      </c>
    </row>
    <row r="5327" spans="7:9" x14ac:dyDescent="0.15">
      <c r="G5327">
        <v>79562</v>
      </c>
      <c r="H5327" t="s">
        <v>1000</v>
      </c>
      <c r="I5327">
        <v>1</v>
      </c>
    </row>
    <row r="5328" spans="7:9" x14ac:dyDescent="0.15">
      <c r="G5328">
        <v>79576</v>
      </c>
      <c r="H5328" t="s">
        <v>5494</v>
      </c>
      <c r="I5328">
        <v>3</v>
      </c>
    </row>
    <row r="5329" spans="7:9" x14ac:dyDescent="0.15">
      <c r="G5329">
        <v>79590</v>
      </c>
      <c r="H5329" t="s">
        <v>5495</v>
      </c>
      <c r="I5329">
        <v>2</v>
      </c>
    </row>
    <row r="5330" spans="7:9" x14ac:dyDescent="0.15">
      <c r="G5330">
        <v>79618</v>
      </c>
      <c r="H5330" t="s">
        <v>5496</v>
      </c>
      <c r="I5330">
        <v>3</v>
      </c>
    </row>
    <row r="5331" spans="7:9" x14ac:dyDescent="0.15">
      <c r="G5331">
        <v>79632</v>
      </c>
      <c r="H5331" t="s">
        <v>5497</v>
      </c>
      <c r="I5331">
        <v>2</v>
      </c>
    </row>
    <row r="5332" spans="7:9" x14ac:dyDescent="0.15">
      <c r="G5332">
        <v>79660</v>
      </c>
      <c r="H5332" t="s">
        <v>5498</v>
      </c>
      <c r="I5332">
        <v>3</v>
      </c>
    </row>
    <row r="5333" spans="7:9" x14ac:dyDescent="0.15">
      <c r="G5333">
        <v>79674</v>
      </c>
      <c r="H5333" t="s">
        <v>5499</v>
      </c>
      <c r="I5333">
        <v>3</v>
      </c>
    </row>
    <row r="5334" spans="7:9" x14ac:dyDescent="0.15">
      <c r="G5334">
        <v>79688</v>
      </c>
      <c r="H5334" t="s">
        <v>5500</v>
      </c>
      <c r="I5334">
        <v>3</v>
      </c>
    </row>
    <row r="5335" spans="7:9" x14ac:dyDescent="0.15">
      <c r="G5335">
        <v>79702</v>
      </c>
      <c r="H5335" t="s">
        <v>5501</v>
      </c>
      <c r="I5335">
        <v>3</v>
      </c>
    </row>
    <row r="5336" spans="7:9" x14ac:dyDescent="0.15">
      <c r="G5336">
        <v>79716</v>
      </c>
      <c r="H5336" t="s">
        <v>5502</v>
      </c>
      <c r="I5336">
        <v>1</v>
      </c>
    </row>
    <row r="5337" spans="7:9" x14ac:dyDescent="0.15">
      <c r="G5337">
        <v>79730</v>
      </c>
      <c r="H5337" t="s">
        <v>5503</v>
      </c>
      <c r="I5337">
        <v>3</v>
      </c>
    </row>
    <row r="5338" spans="7:9" x14ac:dyDescent="0.15">
      <c r="G5338">
        <v>79744</v>
      </c>
      <c r="H5338" t="s">
        <v>5504</v>
      </c>
      <c r="I5338">
        <v>3</v>
      </c>
    </row>
    <row r="5339" spans="7:9" x14ac:dyDescent="0.15">
      <c r="G5339">
        <v>79758</v>
      </c>
      <c r="H5339" t="s">
        <v>5505</v>
      </c>
      <c r="I5339">
        <v>3</v>
      </c>
    </row>
    <row r="5340" spans="7:9" x14ac:dyDescent="0.15">
      <c r="G5340">
        <v>79765</v>
      </c>
      <c r="H5340" t="s">
        <v>5506</v>
      </c>
      <c r="I5340">
        <v>3</v>
      </c>
    </row>
    <row r="5341" spans="7:9" x14ac:dyDescent="0.15">
      <c r="G5341">
        <v>79772</v>
      </c>
      <c r="H5341" t="s">
        <v>5507</v>
      </c>
      <c r="I5341">
        <v>3</v>
      </c>
    </row>
    <row r="5342" spans="7:9" x14ac:dyDescent="0.15">
      <c r="G5342">
        <v>79786</v>
      </c>
      <c r="H5342" t="s">
        <v>5507</v>
      </c>
      <c r="I5342">
        <v>3</v>
      </c>
    </row>
    <row r="5343" spans="7:9" x14ac:dyDescent="0.15">
      <c r="G5343">
        <v>79800</v>
      </c>
      <c r="H5343" t="s">
        <v>5508</v>
      </c>
      <c r="I5343">
        <v>3</v>
      </c>
    </row>
    <row r="5344" spans="7:9" x14ac:dyDescent="0.15">
      <c r="G5344">
        <v>79828</v>
      </c>
      <c r="H5344" t="s">
        <v>5507</v>
      </c>
      <c r="I5344">
        <v>3</v>
      </c>
    </row>
    <row r="5345" spans="7:9" x14ac:dyDescent="0.15">
      <c r="G5345">
        <v>79842</v>
      </c>
      <c r="H5345" t="s">
        <v>5508</v>
      </c>
      <c r="I5345">
        <v>3</v>
      </c>
    </row>
    <row r="5346" spans="7:9" x14ac:dyDescent="0.15">
      <c r="G5346">
        <v>79856</v>
      </c>
      <c r="H5346" t="s">
        <v>5507</v>
      </c>
      <c r="I5346">
        <v>3</v>
      </c>
    </row>
    <row r="5347" spans="7:9" x14ac:dyDescent="0.15">
      <c r="G5347">
        <v>79898</v>
      </c>
      <c r="H5347" t="s">
        <v>5509</v>
      </c>
      <c r="I5347">
        <v>2</v>
      </c>
    </row>
    <row r="5348" spans="7:9" x14ac:dyDescent="0.15">
      <c r="G5348">
        <v>79912</v>
      </c>
      <c r="H5348" t="s">
        <v>5510</v>
      </c>
      <c r="I5348">
        <v>2</v>
      </c>
    </row>
    <row r="5349" spans="7:9" x14ac:dyDescent="0.15">
      <c r="G5349">
        <v>79935</v>
      </c>
      <c r="H5349" t="s">
        <v>5511</v>
      </c>
      <c r="I5349">
        <v>3</v>
      </c>
    </row>
    <row r="5350" spans="7:9" x14ac:dyDescent="0.15">
      <c r="G5350">
        <v>79954</v>
      </c>
      <c r="H5350" t="s">
        <v>5512</v>
      </c>
      <c r="I5350">
        <v>3</v>
      </c>
    </row>
    <row r="5351" spans="7:9" x14ac:dyDescent="0.15">
      <c r="G5351">
        <v>79982</v>
      </c>
      <c r="H5351" t="s">
        <v>5513</v>
      </c>
      <c r="I5351">
        <v>2</v>
      </c>
    </row>
    <row r="5352" spans="7:9" x14ac:dyDescent="0.15">
      <c r="G5352">
        <v>79996</v>
      </c>
      <c r="H5352" t="s">
        <v>5514</v>
      </c>
      <c r="I5352">
        <v>3</v>
      </c>
    </row>
    <row r="5353" spans="7:9" x14ac:dyDescent="0.15">
      <c r="G5353">
        <v>80015</v>
      </c>
      <c r="H5353" t="s">
        <v>5515</v>
      </c>
      <c r="I5353">
        <v>3</v>
      </c>
    </row>
    <row r="5354" spans="7:9" x14ac:dyDescent="0.15">
      <c r="G5354">
        <v>80038</v>
      </c>
      <c r="H5354" t="s">
        <v>5516</v>
      </c>
      <c r="I5354">
        <v>3</v>
      </c>
    </row>
    <row r="5355" spans="7:9" x14ac:dyDescent="0.15">
      <c r="G5355">
        <v>80052</v>
      </c>
      <c r="H5355" t="s">
        <v>5517</v>
      </c>
      <c r="I5355">
        <v>3</v>
      </c>
    </row>
    <row r="5356" spans="7:9" x14ac:dyDescent="0.15">
      <c r="G5356">
        <v>80066</v>
      </c>
      <c r="H5356" t="s">
        <v>5518</v>
      </c>
      <c r="I5356">
        <v>2</v>
      </c>
    </row>
    <row r="5357" spans="7:9" x14ac:dyDescent="0.15">
      <c r="G5357">
        <v>80080</v>
      </c>
      <c r="H5357" t="s">
        <v>5519</v>
      </c>
      <c r="I5357">
        <v>3</v>
      </c>
    </row>
    <row r="5358" spans="7:9" x14ac:dyDescent="0.15">
      <c r="G5358">
        <v>80094</v>
      </c>
      <c r="H5358" t="s">
        <v>5520</v>
      </c>
      <c r="I5358">
        <v>3</v>
      </c>
    </row>
    <row r="5359" spans="7:9" x14ac:dyDescent="0.15">
      <c r="G5359">
        <v>80108</v>
      </c>
      <c r="H5359" t="s">
        <v>5521</v>
      </c>
      <c r="I5359">
        <v>3</v>
      </c>
    </row>
    <row r="5360" spans="7:9" x14ac:dyDescent="0.15">
      <c r="G5360">
        <v>80122</v>
      </c>
      <c r="H5360" t="s">
        <v>5522</v>
      </c>
      <c r="I5360">
        <v>3</v>
      </c>
    </row>
    <row r="5361" spans="7:9" x14ac:dyDescent="0.15">
      <c r="G5361">
        <v>80136</v>
      </c>
      <c r="H5361" t="s">
        <v>5523</v>
      </c>
      <c r="I5361">
        <v>3</v>
      </c>
    </row>
    <row r="5362" spans="7:9" x14ac:dyDescent="0.15">
      <c r="G5362">
        <v>80150</v>
      </c>
      <c r="H5362" t="s">
        <v>5523</v>
      </c>
      <c r="I5362">
        <v>2</v>
      </c>
    </row>
    <row r="5363" spans="7:9" x14ac:dyDescent="0.15">
      <c r="G5363">
        <v>80178</v>
      </c>
      <c r="H5363" t="s">
        <v>5524</v>
      </c>
      <c r="I5363">
        <v>2</v>
      </c>
    </row>
    <row r="5364" spans="7:9" x14ac:dyDescent="0.15">
      <c r="G5364">
        <v>80192</v>
      </c>
      <c r="H5364" t="s">
        <v>5525</v>
      </c>
      <c r="I5364">
        <v>3</v>
      </c>
    </row>
    <row r="5365" spans="7:9" x14ac:dyDescent="0.15">
      <c r="G5365">
        <v>80206</v>
      </c>
      <c r="H5365" t="s">
        <v>5526</v>
      </c>
      <c r="I5365">
        <v>3</v>
      </c>
    </row>
    <row r="5366" spans="7:9" x14ac:dyDescent="0.15">
      <c r="G5366">
        <v>80220</v>
      </c>
      <c r="H5366" t="s">
        <v>5527</v>
      </c>
      <c r="I5366">
        <v>3</v>
      </c>
    </row>
    <row r="5367" spans="7:9" x14ac:dyDescent="0.15">
      <c r="G5367">
        <v>80225</v>
      </c>
      <c r="H5367" t="s">
        <v>5528</v>
      </c>
      <c r="I5367">
        <v>3</v>
      </c>
    </row>
    <row r="5368" spans="7:9" x14ac:dyDescent="0.15">
      <c r="G5368">
        <v>80234</v>
      </c>
      <c r="H5368" t="s">
        <v>5529</v>
      </c>
      <c r="I5368">
        <v>3</v>
      </c>
    </row>
    <row r="5369" spans="7:9" x14ac:dyDescent="0.15">
      <c r="G5369">
        <v>80248</v>
      </c>
      <c r="H5369" t="s">
        <v>5530</v>
      </c>
      <c r="I5369">
        <v>3</v>
      </c>
    </row>
    <row r="5370" spans="7:9" x14ac:dyDescent="0.15">
      <c r="G5370">
        <v>80262</v>
      </c>
      <c r="H5370" t="s">
        <v>5531</v>
      </c>
      <c r="I5370">
        <v>3</v>
      </c>
    </row>
    <row r="5371" spans="7:9" x14ac:dyDescent="0.15">
      <c r="G5371">
        <v>80270</v>
      </c>
      <c r="H5371" t="s">
        <v>5532</v>
      </c>
      <c r="I5371">
        <v>3</v>
      </c>
    </row>
    <row r="5372" spans="7:9" x14ac:dyDescent="0.15">
      <c r="G5372">
        <v>80276</v>
      </c>
      <c r="H5372" t="s">
        <v>5533</v>
      </c>
      <c r="I5372">
        <v>3</v>
      </c>
    </row>
    <row r="5373" spans="7:9" x14ac:dyDescent="0.15">
      <c r="G5373">
        <v>80290</v>
      </c>
      <c r="H5373" t="s">
        <v>5534</v>
      </c>
      <c r="I5373">
        <v>3</v>
      </c>
    </row>
    <row r="5374" spans="7:9" x14ac:dyDescent="0.15">
      <c r="G5374">
        <v>80304</v>
      </c>
      <c r="H5374" t="s">
        <v>5535</v>
      </c>
      <c r="I5374">
        <v>1</v>
      </c>
    </row>
    <row r="5375" spans="7:9" x14ac:dyDescent="0.15">
      <c r="G5375">
        <v>80318</v>
      </c>
      <c r="H5375" t="s">
        <v>5536</v>
      </c>
      <c r="I5375">
        <v>3</v>
      </c>
    </row>
    <row r="5376" spans="7:9" x14ac:dyDescent="0.15">
      <c r="G5376">
        <v>80360</v>
      </c>
      <c r="H5376" t="s">
        <v>5537</v>
      </c>
      <c r="I5376">
        <v>3</v>
      </c>
    </row>
    <row r="5377" spans="7:9" x14ac:dyDescent="0.15">
      <c r="G5377">
        <v>80374</v>
      </c>
      <c r="H5377" t="s">
        <v>5538</v>
      </c>
      <c r="I5377">
        <v>3</v>
      </c>
    </row>
    <row r="5378" spans="7:9" x14ac:dyDescent="0.15">
      <c r="G5378">
        <v>80380</v>
      </c>
      <c r="H5378" t="s">
        <v>5539</v>
      </c>
      <c r="I5378">
        <v>3</v>
      </c>
    </row>
    <row r="5379" spans="7:9" x14ac:dyDescent="0.15">
      <c r="G5379">
        <v>80388</v>
      </c>
      <c r="H5379" t="s">
        <v>5539</v>
      </c>
      <c r="I5379">
        <v>3</v>
      </c>
    </row>
    <row r="5380" spans="7:9" x14ac:dyDescent="0.15">
      <c r="G5380">
        <v>80402</v>
      </c>
      <c r="H5380" t="s">
        <v>5540</v>
      </c>
      <c r="I5380">
        <v>2</v>
      </c>
    </row>
    <row r="5381" spans="7:9" x14ac:dyDescent="0.15">
      <c r="G5381">
        <v>80430</v>
      </c>
      <c r="H5381" t="s">
        <v>5541</v>
      </c>
      <c r="I5381">
        <v>3</v>
      </c>
    </row>
    <row r="5382" spans="7:9" x14ac:dyDescent="0.15">
      <c r="G5382">
        <v>80435</v>
      </c>
      <c r="H5382" t="s">
        <v>5542</v>
      </c>
      <c r="I5382">
        <v>3</v>
      </c>
    </row>
    <row r="5383" spans="7:9" x14ac:dyDescent="0.15">
      <c r="G5383">
        <v>80444</v>
      </c>
      <c r="H5383" t="s">
        <v>5542</v>
      </c>
      <c r="I5383">
        <v>3</v>
      </c>
    </row>
    <row r="5384" spans="7:9" x14ac:dyDescent="0.15">
      <c r="G5384">
        <v>80458</v>
      </c>
      <c r="H5384" t="s">
        <v>5543</v>
      </c>
      <c r="I5384">
        <v>2</v>
      </c>
    </row>
    <row r="5385" spans="7:9" x14ac:dyDescent="0.15">
      <c r="G5385">
        <v>80472</v>
      </c>
      <c r="H5385" t="s">
        <v>5544</v>
      </c>
      <c r="I5385">
        <v>3</v>
      </c>
    </row>
    <row r="5386" spans="7:9" x14ac:dyDescent="0.15">
      <c r="G5386">
        <v>80486</v>
      </c>
      <c r="H5386" t="s">
        <v>5545</v>
      </c>
      <c r="I5386">
        <v>2</v>
      </c>
    </row>
    <row r="5387" spans="7:9" x14ac:dyDescent="0.15">
      <c r="G5387">
        <v>80500</v>
      </c>
      <c r="H5387" t="s">
        <v>5546</v>
      </c>
      <c r="I5387">
        <v>2</v>
      </c>
    </row>
    <row r="5388" spans="7:9" x14ac:dyDescent="0.15">
      <c r="G5388">
        <v>80514</v>
      </c>
      <c r="H5388" t="s">
        <v>5547</v>
      </c>
      <c r="I5388">
        <v>3</v>
      </c>
    </row>
    <row r="5389" spans="7:9" x14ac:dyDescent="0.15">
      <c r="G5389">
        <v>80520</v>
      </c>
      <c r="H5389" t="s">
        <v>5548</v>
      </c>
      <c r="I5389">
        <v>3</v>
      </c>
    </row>
    <row r="5390" spans="7:9" x14ac:dyDescent="0.15">
      <c r="G5390">
        <v>80528</v>
      </c>
      <c r="H5390" t="s">
        <v>5549</v>
      </c>
      <c r="I5390">
        <v>3</v>
      </c>
    </row>
    <row r="5391" spans="7:9" x14ac:dyDescent="0.15">
      <c r="G5391">
        <v>80542</v>
      </c>
      <c r="H5391" t="s">
        <v>5549</v>
      </c>
      <c r="I5391">
        <v>3</v>
      </c>
    </row>
    <row r="5392" spans="7:9" x14ac:dyDescent="0.15">
      <c r="G5392">
        <v>80556</v>
      </c>
      <c r="H5392" t="s">
        <v>5550</v>
      </c>
      <c r="I5392">
        <v>3</v>
      </c>
    </row>
    <row r="5393" spans="7:9" x14ac:dyDescent="0.15">
      <c r="G5393">
        <v>80565</v>
      </c>
      <c r="H5393" t="s">
        <v>5551</v>
      </c>
      <c r="I5393">
        <v>3</v>
      </c>
    </row>
    <row r="5394" spans="7:9" x14ac:dyDescent="0.15">
      <c r="G5394">
        <v>80570</v>
      </c>
      <c r="H5394" t="s">
        <v>5552</v>
      </c>
      <c r="I5394">
        <v>3</v>
      </c>
    </row>
    <row r="5395" spans="7:9" x14ac:dyDescent="0.15">
      <c r="G5395">
        <v>80584</v>
      </c>
      <c r="H5395" t="s">
        <v>5552</v>
      </c>
      <c r="I5395">
        <v>3</v>
      </c>
    </row>
    <row r="5396" spans="7:9" x14ac:dyDescent="0.15">
      <c r="G5396">
        <v>80598</v>
      </c>
      <c r="H5396" t="s">
        <v>5552</v>
      </c>
      <c r="I5396">
        <v>3</v>
      </c>
    </row>
    <row r="5397" spans="7:9" x14ac:dyDescent="0.15">
      <c r="G5397">
        <v>80612</v>
      </c>
      <c r="H5397" t="s">
        <v>5553</v>
      </c>
      <c r="I5397">
        <v>2</v>
      </c>
    </row>
    <row r="5398" spans="7:9" x14ac:dyDescent="0.15">
      <c r="G5398">
        <v>80626</v>
      </c>
      <c r="H5398" t="s">
        <v>1108</v>
      </c>
      <c r="I5398">
        <v>3</v>
      </c>
    </row>
    <row r="5399" spans="7:9" x14ac:dyDescent="0.15">
      <c r="G5399">
        <v>80635</v>
      </c>
      <c r="H5399" t="s">
        <v>5554</v>
      </c>
      <c r="I5399">
        <v>3</v>
      </c>
    </row>
    <row r="5400" spans="7:9" x14ac:dyDescent="0.15">
      <c r="G5400">
        <v>80640</v>
      </c>
      <c r="H5400" t="s">
        <v>5554</v>
      </c>
      <c r="I5400">
        <v>3</v>
      </c>
    </row>
    <row r="5401" spans="7:9" x14ac:dyDescent="0.15">
      <c r="G5401">
        <v>80654</v>
      </c>
      <c r="H5401" t="s">
        <v>5555</v>
      </c>
      <c r="I5401">
        <v>3</v>
      </c>
    </row>
    <row r="5402" spans="7:9" x14ac:dyDescent="0.15">
      <c r="G5402">
        <v>80696</v>
      </c>
      <c r="H5402" t="s">
        <v>5555</v>
      </c>
      <c r="I5402">
        <v>3</v>
      </c>
    </row>
    <row r="5403" spans="7:9" x14ac:dyDescent="0.15">
      <c r="G5403">
        <v>80715</v>
      </c>
      <c r="H5403" t="s">
        <v>5556</v>
      </c>
      <c r="I5403">
        <v>3</v>
      </c>
    </row>
    <row r="5404" spans="7:9" x14ac:dyDescent="0.15">
      <c r="G5404">
        <v>80720</v>
      </c>
      <c r="H5404" t="s">
        <v>5557</v>
      </c>
      <c r="I5404">
        <v>3</v>
      </c>
    </row>
    <row r="5405" spans="7:9" x14ac:dyDescent="0.15">
      <c r="G5405">
        <v>80738</v>
      </c>
      <c r="H5405" t="s">
        <v>5558</v>
      </c>
      <c r="I5405">
        <v>2</v>
      </c>
    </row>
    <row r="5406" spans="7:9" x14ac:dyDescent="0.15">
      <c r="G5406">
        <v>80752</v>
      </c>
      <c r="H5406" t="s">
        <v>5559</v>
      </c>
      <c r="I5406">
        <v>3</v>
      </c>
    </row>
    <row r="5407" spans="7:9" x14ac:dyDescent="0.15">
      <c r="G5407">
        <v>80766</v>
      </c>
      <c r="H5407" t="s">
        <v>1001</v>
      </c>
      <c r="I5407">
        <v>1</v>
      </c>
    </row>
    <row r="5408" spans="7:9" x14ac:dyDescent="0.15">
      <c r="G5408">
        <v>80780</v>
      </c>
      <c r="H5408" t="s">
        <v>5560</v>
      </c>
      <c r="I5408">
        <v>3</v>
      </c>
    </row>
    <row r="5409" spans="7:9" x14ac:dyDescent="0.15">
      <c r="G5409">
        <v>80822</v>
      </c>
      <c r="H5409" t="s">
        <v>5561</v>
      </c>
      <c r="I5409">
        <v>3</v>
      </c>
    </row>
    <row r="5410" spans="7:9" x14ac:dyDescent="0.15">
      <c r="G5410">
        <v>80836</v>
      </c>
      <c r="H5410" t="s">
        <v>5562</v>
      </c>
      <c r="I5410">
        <v>3</v>
      </c>
    </row>
    <row r="5411" spans="7:9" x14ac:dyDescent="0.15">
      <c r="G5411">
        <v>80850</v>
      </c>
      <c r="H5411" t="s">
        <v>5563</v>
      </c>
      <c r="I5411">
        <v>3</v>
      </c>
    </row>
    <row r="5412" spans="7:9" x14ac:dyDescent="0.15">
      <c r="G5412">
        <v>80864</v>
      </c>
      <c r="H5412" t="s">
        <v>5564</v>
      </c>
      <c r="I5412">
        <v>3</v>
      </c>
    </row>
    <row r="5413" spans="7:9" x14ac:dyDescent="0.15">
      <c r="G5413">
        <v>80878</v>
      </c>
      <c r="H5413" t="s">
        <v>5564</v>
      </c>
      <c r="I5413">
        <v>3</v>
      </c>
    </row>
    <row r="5414" spans="7:9" x14ac:dyDescent="0.15">
      <c r="G5414">
        <v>80892</v>
      </c>
      <c r="H5414" t="s">
        <v>5565</v>
      </c>
      <c r="I5414">
        <v>1</v>
      </c>
    </row>
    <row r="5415" spans="7:9" x14ac:dyDescent="0.15">
      <c r="G5415">
        <v>80906</v>
      </c>
      <c r="H5415" t="s">
        <v>5564</v>
      </c>
      <c r="I5415">
        <v>3</v>
      </c>
    </row>
    <row r="5416" spans="7:9" x14ac:dyDescent="0.15">
      <c r="G5416">
        <v>80920</v>
      </c>
      <c r="H5416" t="s">
        <v>5564</v>
      </c>
      <c r="I5416">
        <v>3</v>
      </c>
    </row>
    <row r="5417" spans="7:9" x14ac:dyDescent="0.15">
      <c r="G5417">
        <v>80934</v>
      </c>
      <c r="H5417" t="s">
        <v>5564</v>
      </c>
      <c r="I5417">
        <v>3</v>
      </c>
    </row>
    <row r="5418" spans="7:9" x14ac:dyDescent="0.15">
      <c r="G5418">
        <v>80948</v>
      </c>
      <c r="H5418" t="s">
        <v>5566</v>
      </c>
      <c r="I5418">
        <v>3</v>
      </c>
    </row>
    <row r="5419" spans="7:9" x14ac:dyDescent="0.15">
      <c r="G5419">
        <v>80983</v>
      </c>
      <c r="H5419" t="s">
        <v>5567</v>
      </c>
      <c r="I5419">
        <v>3</v>
      </c>
    </row>
    <row r="5420" spans="7:9" x14ac:dyDescent="0.15">
      <c r="G5420">
        <v>80990</v>
      </c>
      <c r="H5420" t="s">
        <v>5568</v>
      </c>
      <c r="I5420">
        <v>1</v>
      </c>
    </row>
    <row r="5421" spans="7:9" x14ac:dyDescent="0.15">
      <c r="G5421">
        <v>81004</v>
      </c>
      <c r="H5421" t="s">
        <v>5569</v>
      </c>
      <c r="I5421">
        <v>3</v>
      </c>
    </row>
    <row r="5422" spans="7:9" x14ac:dyDescent="0.15">
      <c r="G5422">
        <v>81010</v>
      </c>
      <c r="H5422" t="s">
        <v>5570</v>
      </c>
      <c r="I5422">
        <v>3</v>
      </c>
    </row>
    <row r="5423" spans="7:9" x14ac:dyDescent="0.15">
      <c r="G5423">
        <v>81032</v>
      </c>
      <c r="H5423" t="s">
        <v>5571</v>
      </c>
      <c r="I5423">
        <v>2</v>
      </c>
    </row>
    <row r="5424" spans="7:9" x14ac:dyDescent="0.15">
      <c r="G5424">
        <v>81040</v>
      </c>
      <c r="H5424" t="s">
        <v>5572</v>
      </c>
      <c r="I5424">
        <v>3</v>
      </c>
    </row>
    <row r="5425" spans="7:9" x14ac:dyDescent="0.15">
      <c r="G5425">
        <v>81046</v>
      </c>
      <c r="H5425" t="s">
        <v>5573</v>
      </c>
      <c r="I5425">
        <v>3</v>
      </c>
    </row>
    <row r="5426" spans="7:9" x14ac:dyDescent="0.15">
      <c r="G5426">
        <v>81060</v>
      </c>
      <c r="H5426" t="s">
        <v>5574</v>
      </c>
      <c r="I5426">
        <v>3</v>
      </c>
    </row>
    <row r="5427" spans="7:9" x14ac:dyDescent="0.15">
      <c r="G5427">
        <v>81074</v>
      </c>
      <c r="H5427" t="s">
        <v>1120</v>
      </c>
      <c r="I5427">
        <v>3</v>
      </c>
    </row>
    <row r="5428" spans="7:9" x14ac:dyDescent="0.15">
      <c r="G5428">
        <v>81088</v>
      </c>
      <c r="H5428" t="s">
        <v>1120</v>
      </c>
      <c r="I5428">
        <v>3</v>
      </c>
    </row>
    <row r="5429" spans="7:9" x14ac:dyDescent="0.15">
      <c r="G5429">
        <v>81102</v>
      </c>
      <c r="H5429" t="s">
        <v>1120</v>
      </c>
      <c r="I5429">
        <v>3</v>
      </c>
    </row>
    <row r="5430" spans="7:9" x14ac:dyDescent="0.15">
      <c r="G5430">
        <v>81116</v>
      </c>
      <c r="H5430" t="s">
        <v>1120</v>
      </c>
      <c r="I5430">
        <v>3</v>
      </c>
    </row>
    <row r="5431" spans="7:9" x14ac:dyDescent="0.15">
      <c r="G5431">
        <v>81130</v>
      </c>
      <c r="H5431" t="s">
        <v>1120</v>
      </c>
      <c r="I5431">
        <v>3</v>
      </c>
    </row>
    <row r="5432" spans="7:9" x14ac:dyDescent="0.15">
      <c r="G5432">
        <v>81144</v>
      </c>
      <c r="H5432" t="s">
        <v>1120</v>
      </c>
      <c r="I5432">
        <v>3</v>
      </c>
    </row>
    <row r="5433" spans="7:9" x14ac:dyDescent="0.15">
      <c r="G5433">
        <v>81158</v>
      </c>
      <c r="H5433" t="s">
        <v>1120</v>
      </c>
      <c r="I5433">
        <v>3</v>
      </c>
    </row>
    <row r="5434" spans="7:9" x14ac:dyDescent="0.15">
      <c r="G5434">
        <v>81172</v>
      </c>
      <c r="H5434" t="s">
        <v>1120</v>
      </c>
      <c r="I5434">
        <v>3</v>
      </c>
    </row>
    <row r="5435" spans="7:9" x14ac:dyDescent="0.15">
      <c r="G5435">
        <v>81186</v>
      </c>
      <c r="H5435" t="s">
        <v>1120</v>
      </c>
      <c r="I5435">
        <v>3</v>
      </c>
    </row>
    <row r="5436" spans="7:9" x14ac:dyDescent="0.15">
      <c r="G5436">
        <v>81200</v>
      </c>
      <c r="H5436" t="s">
        <v>1120</v>
      </c>
      <c r="I5436">
        <v>3</v>
      </c>
    </row>
    <row r="5437" spans="7:9" x14ac:dyDescent="0.15">
      <c r="G5437">
        <v>81203</v>
      </c>
      <c r="H5437" t="s">
        <v>1120</v>
      </c>
      <c r="I5437">
        <v>3</v>
      </c>
    </row>
    <row r="5438" spans="7:9" x14ac:dyDescent="0.15">
      <c r="G5438">
        <v>81718</v>
      </c>
      <c r="H5438" t="s">
        <v>5575</v>
      </c>
      <c r="I5438">
        <v>1</v>
      </c>
    </row>
    <row r="5439" spans="7:9" x14ac:dyDescent="0.15">
      <c r="G5439">
        <v>81242</v>
      </c>
      <c r="H5439" t="s">
        <v>1120</v>
      </c>
      <c r="I5439">
        <v>3</v>
      </c>
    </row>
    <row r="5440" spans="7:9" x14ac:dyDescent="0.15">
      <c r="G5440">
        <v>81256</v>
      </c>
      <c r="H5440" t="s">
        <v>1120</v>
      </c>
      <c r="I5440">
        <v>3</v>
      </c>
    </row>
    <row r="5441" spans="7:9" x14ac:dyDescent="0.15">
      <c r="G5441">
        <v>81284</v>
      </c>
      <c r="H5441" t="s">
        <v>1120</v>
      </c>
      <c r="I5441">
        <v>3</v>
      </c>
    </row>
    <row r="5442" spans="7:9" x14ac:dyDescent="0.15">
      <c r="G5442">
        <v>81298</v>
      </c>
      <c r="H5442" t="s">
        <v>1120</v>
      </c>
      <c r="I5442">
        <v>3</v>
      </c>
    </row>
    <row r="5443" spans="7:9" x14ac:dyDescent="0.15">
      <c r="G5443">
        <v>81312</v>
      </c>
      <c r="H5443" t="s">
        <v>1120</v>
      </c>
      <c r="I5443">
        <v>3</v>
      </c>
    </row>
    <row r="5444" spans="7:9" x14ac:dyDescent="0.15">
      <c r="G5444">
        <v>81326</v>
      </c>
      <c r="H5444" t="s">
        <v>1120</v>
      </c>
      <c r="I5444">
        <v>3</v>
      </c>
    </row>
    <row r="5445" spans="7:9" x14ac:dyDescent="0.15">
      <c r="G5445">
        <v>81340</v>
      </c>
      <c r="H5445" t="s">
        <v>1120</v>
      </c>
      <c r="I5445">
        <v>3</v>
      </c>
    </row>
    <row r="5446" spans="7:9" x14ac:dyDescent="0.15">
      <c r="G5446">
        <v>81354</v>
      </c>
      <c r="H5446" t="s">
        <v>1120</v>
      </c>
      <c r="I5446">
        <v>3</v>
      </c>
    </row>
    <row r="5447" spans="7:9" x14ac:dyDescent="0.15">
      <c r="G5447">
        <v>81368</v>
      </c>
      <c r="H5447" t="s">
        <v>1120</v>
      </c>
      <c r="I5447">
        <v>3</v>
      </c>
    </row>
    <row r="5448" spans="7:9" x14ac:dyDescent="0.15">
      <c r="G5448">
        <v>81382</v>
      </c>
      <c r="H5448" t="s">
        <v>1120</v>
      </c>
      <c r="I5448">
        <v>3</v>
      </c>
    </row>
    <row r="5449" spans="7:9" x14ac:dyDescent="0.15">
      <c r="G5449">
        <v>81396</v>
      </c>
      <c r="H5449" t="s">
        <v>1120</v>
      </c>
      <c r="I5449">
        <v>3</v>
      </c>
    </row>
    <row r="5450" spans="7:9" x14ac:dyDescent="0.15">
      <c r="G5450">
        <v>81410</v>
      </c>
      <c r="H5450" t="s">
        <v>1120</v>
      </c>
      <c r="I5450">
        <v>3</v>
      </c>
    </row>
    <row r="5451" spans="7:9" x14ac:dyDescent="0.15">
      <c r="G5451">
        <v>81424</v>
      </c>
      <c r="H5451" t="s">
        <v>1120</v>
      </c>
      <c r="I5451">
        <v>3</v>
      </c>
    </row>
    <row r="5452" spans="7:9" x14ac:dyDescent="0.15">
      <c r="G5452">
        <v>81438</v>
      </c>
      <c r="H5452" t="s">
        <v>1120</v>
      </c>
      <c r="I5452">
        <v>3</v>
      </c>
    </row>
    <row r="5453" spans="7:9" x14ac:dyDescent="0.15">
      <c r="G5453">
        <v>81452</v>
      </c>
      <c r="H5453" t="s">
        <v>1120</v>
      </c>
      <c r="I5453">
        <v>3</v>
      </c>
    </row>
    <row r="5454" spans="7:9" x14ac:dyDescent="0.15">
      <c r="G5454">
        <v>81466</v>
      </c>
      <c r="H5454" t="s">
        <v>1120</v>
      </c>
      <c r="I5454">
        <v>3</v>
      </c>
    </row>
    <row r="5455" spans="7:9" x14ac:dyDescent="0.15">
      <c r="G5455">
        <v>81480</v>
      </c>
      <c r="H5455" t="s">
        <v>1120</v>
      </c>
      <c r="I5455">
        <v>3</v>
      </c>
    </row>
    <row r="5456" spans="7:9" x14ac:dyDescent="0.15">
      <c r="G5456">
        <v>81494</v>
      </c>
      <c r="H5456" t="s">
        <v>1120</v>
      </c>
      <c r="I5456">
        <v>3</v>
      </c>
    </row>
    <row r="5457" spans="7:9" x14ac:dyDescent="0.15">
      <c r="G5457">
        <v>81508</v>
      </c>
      <c r="H5457" t="s">
        <v>1120</v>
      </c>
      <c r="I5457">
        <v>3</v>
      </c>
    </row>
    <row r="5458" spans="7:9" x14ac:dyDescent="0.15">
      <c r="G5458">
        <v>81522</v>
      </c>
      <c r="H5458" t="s">
        <v>1120</v>
      </c>
      <c r="I5458">
        <v>3</v>
      </c>
    </row>
    <row r="5459" spans="7:9" x14ac:dyDescent="0.15">
      <c r="G5459">
        <v>81536</v>
      </c>
      <c r="H5459" t="s">
        <v>1120</v>
      </c>
      <c r="I5459">
        <v>3</v>
      </c>
    </row>
    <row r="5460" spans="7:9" x14ac:dyDescent="0.15">
      <c r="G5460">
        <v>81550</v>
      </c>
      <c r="H5460" t="s">
        <v>1120</v>
      </c>
      <c r="I5460">
        <v>3</v>
      </c>
    </row>
    <row r="5461" spans="7:9" x14ac:dyDescent="0.15">
      <c r="G5461">
        <v>81564</v>
      </c>
      <c r="H5461" t="s">
        <v>1120</v>
      </c>
      <c r="I5461">
        <v>3</v>
      </c>
    </row>
    <row r="5462" spans="7:9" x14ac:dyDescent="0.15">
      <c r="G5462">
        <v>81578</v>
      </c>
      <c r="H5462" t="s">
        <v>1120</v>
      </c>
      <c r="I5462">
        <v>3</v>
      </c>
    </row>
    <row r="5463" spans="7:9" x14ac:dyDescent="0.15">
      <c r="G5463">
        <v>81592</v>
      </c>
      <c r="H5463" t="s">
        <v>1120</v>
      </c>
      <c r="I5463">
        <v>3</v>
      </c>
    </row>
    <row r="5464" spans="7:9" x14ac:dyDescent="0.15">
      <c r="G5464">
        <v>81606</v>
      </c>
      <c r="H5464" t="s">
        <v>1120</v>
      </c>
      <c r="I5464">
        <v>3</v>
      </c>
    </row>
    <row r="5465" spans="7:9" x14ac:dyDescent="0.15">
      <c r="G5465">
        <v>81620</v>
      </c>
      <c r="H5465" t="s">
        <v>1120</v>
      </c>
      <c r="I5465">
        <v>3</v>
      </c>
    </row>
    <row r="5466" spans="7:9" x14ac:dyDescent="0.15">
      <c r="G5466">
        <v>81634</v>
      </c>
      <c r="H5466" t="s">
        <v>1120</v>
      </c>
      <c r="I5466">
        <v>3</v>
      </c>
    </row>
    <row r="5467" spans="7:9" x14ac:dyDescent="0.15">
      <c r="G5467">
        <v>81648</v>
      </c>
      <c r="H5467" t="s">
        <v>1120</v>
      </c>
      <c r="I5467">
        <v>3</v>
      </c>
    </row>
    <row r="5468" spans="7:9" x14ac:dyDescent="0.15">
      <c r="G5468">
        <v>81662</v>
      </c>
      <c r="H5468" t="s">
        <v>1120</v>
      </c>
      <c r="I5468">
        <v>3</v>
      </c>
    </row>
    <row r="5469" spans="7:9" x14ac:dyDescent="0.15">
      <c r="G5469">
        <v>81676</v>
      </c>
      <c r="H5469" t="s">
        <v>1120</v>
      </c>
      <c r="I5469">
        <v>3</v>
      </c>
    </row>
    <row r="5470" spans="7:9" x14ac:dyDescent="0.15">
      <c r="G5470">
        <v>81690</v>
      </c>
      <c r="H5470" t="s">
        <v>1120</v>
      </c>
      <c r="I5470">
        <v>3</v>
      </c>
    </row>
    <row r="5471" spans="7:9" x14ac:dyDescent="0.15">
      <c r="G5471">
        <v>81704</v>
      </c>
      <c r="H5471" t="s">
        <v>1120</v>
      </c>
      <c r="I5471">
        <v>3</v>
      </c>
    </row>
    <row r="5472" spans="7:9" x14ac:dyDescent="0.15">
      <c r="G5472">
        <v>81722</v>
      </c>
      <c r="H5472" t="s">
        <v>5576</v>
      </c>
      <c r="I5472">
        <v>3</v>
      </c>
    </row>
    <row r="5473" spans="7:9" x14ac:dyDescent="0.15">
      <c r="G5473">
        <v>81728</v>
      </c>
      <c r="H5473" t="s">
        <v>5577</v>
      </c>
      <c r="I5473">
        <v>3</v>
      </c>
    </row>
    <row r="5474" spans="7:9" x14ac:dyDescent="0.15">
      <c r="G5474">
        <v>81732</v>
      </c>
      <c r="H5474" t="s">
        <v>5578</v>
      </c>
      <c r="I5474">
        <v>2</v>
      </c>
    </row>
    <row r="5475" spans="7:9" x14ac:dyDescent="0.15">
      <c r="G5475">
        <v>81738</v>
      </c>
      <c r="H5475" t="s">
        <v>5579</v>
      </c>
      <c r="I5475">
        <v>3</v>
      </c>
    </row>
    <row r="5476" spans="7:9" x14ac:dyDescent="0.15">
      <c r="G5476">
        <v>81742</v>
      </c>
      <c r="H5476" t="s">
        <v>5580</v>
      </c>
      <c r="I5476">
        <v>3</v>
      </c>
    </row>
    <row r="5477" spans="7:9" x14ac:dyDescent="0.15">
      <c r="G5477">
        <v>81746</v>
      </c>
      <c r="H5477" t="s">
        <v>5581</v>
      </c>
      <c r="I5477">
        <v>3</v>
      </c>
    </row>
    <row r="5478" spans="7:9" x14ac:dyDescent="0.15">
      <c r="G5478">
        <v>81760</v>
      </c>
      <c r="H5478" t="s">
        <v>5581</v>
      </c>
      <c r="I5478">
        <v>2</v>
      </c>
    </row>
    <row r="5479" spans="7:9" x14ac:dyDescent="0.15">
      <c r="G5479">
        <v>81774</v>
      </c>
      <c r="H5479" t="s">
        <v>5582</v>
      </c>
      <c r="I5479">
        <v>3</v>
      </c>
    </row>
    <row r="5480" spans="7:9" x14ac:dyDescent="0.15">
      <c r="G5480">
        <v>81777</v>
      </c>
      <c r="H5480" t="s">
        <v>5583</v>
      </c>
      <c r="I5480">
        <v>3</v>
      </c>
    </row>
    <row r="5481" spans="7:9" x14ac:dyDescent="0.15">
      <c r="G5481">
        <v>81780</v>
      </c>
      <c r="H5481" t="s">
        <v>5584</v>
      </c>
      <c r="I5481">
        <v>3</v>
      </c>
    </row>
    <row r="5482" spans="7:9" x14ac:dyDescent="0.15">
      <c r="G5482">
        <v>81800</v>
      </c>
      <c r="H5482" t="s">
        <v>5584</v>
      </c>
      <c r="I5482">
        <v>3</v>
      </c>
    </row>
    <row r="5483" spans="7:9" x14ac:dyDescent="0.15">
      <c r="G5483">
        <v>81802</v>
      </c>
      <c r="H5483" t="s">
        <v>5584</v>
      </c>
      <c r="I5483">
        <v>3</v>
      </c>
    </row>
    <row r="5484" spans="7:9" x14ac:dyDescent="0.15">
      <c r="G5484">
        <v>81830</v>
      </c>
      <c r="H5484" t="s">
        <v>5585</v>
      </c>
      <c r="I5484">
        <v>3</v>
      </c>
    </row>
    <row r="5485" spans="7:9" x14ac:dyDescent="0.15">
      <c r="G5485">
        <v>81844</v>
      </c>
      <c r="H5485" t="s">
        <v>5586</v>
      </c>
      <c r="I5485">
        <v>3</v>
      </c>
    </row>
    <row r="5486" spans="7:9" x14ac:dyDescent="0.15">
      <c r="G5486">
        <v>81858</v>
      </c>
      <c r="H5486" t="s">
        <v>5587</v>
      </c>
      <c r="I5486">
        <v>1</v>
      </c>
    </row>
    <row r="5487" spans="7:9" x14ac:dyDescent="0.15">
      <c r="G5487">
        <v>81872</v>
      </c>
      <c r="H5487" t="s">
        <v>5588</v>
      </c>
      <c r="I5487">
        <v>3</v>
      </c>
    </row>
    <row r="5488" spans="7:9" x14ac:dyDescent="0.15">
      <c r="G5488">
        <v>81880</v>
      </c>
      <c r="H5488" t="s">
        <v>5589</v>
      </c>
      <c r="I5488">
        <v>3</v>
      </c>
    </row>
    <row r="5489" spans="7:9" x14ac:dyDescent="0.15">
      <c r="G5489">
        <v>81886</v>
      </c>
      <c r="H5489" t="s">
        <v>5590</v>
      </c>
      <c r="I5489">
        <v>3</v>
      </c>
    </row>
    <row r="5490" spans="7:9" x14ac:dyDescent="0.15">
      <c r="G5490">
        <v>81900</v>
      </c>
      <c r="H5490" t="s">
        <v>5591</v>
      </c>
      <c r="I5490">
        <v>3</v>
      </c>
    </row>
    <row r="5491" spans="7:9" x14ac:dyDescent="0.15">
      <c r="G5491">
        <v>81914</v>
      </c>
      <c r="H5491" t="s">
        <v>5592</v>
      </c>
      <c r="I5491">
        <v>3</v>
      </c>
    </row>
    <row r="5492" spans="7:9" x14ac:dyDescent="0.15">
      <c r="G5492">
        <v>81928</v>
      </c>
      <c r="H5492" t="s">
        <v>1003</v>
      </c>
      <c r="I5492">
        <v>1</v>
      </c>
    </row>
    <row r="5493" spans="7:9" x14ac:dyDescent="0.15">
      <c r="G5493">
        <v>81935</v>
      </c>
      <c r="H5493" t="s">
        <v>1018</v>
      </c>
      <c r="I5493">
        <v>2</v>
      </c>
    </row>
    <row r="5494" spans="7:9" x14ac:dyDescent="0.15">
      <c r="G5494">
        <v>81942</v>
      </c>
      <c r="H5494" t="s">
        <v>5593</v>
      </c>
      <c r="I5494">
        <v>2</v>
      </c>
    </row>
    <row r="5495" spans="7:9" x14ac:dyDescent="0.15">
      <c r="G5495">
        <v>81956</v>
      </c>
      <c r="H5495" t="s">
        <v>5594</v>
      </c>
      <c r="I5495">
        <v>3</v>
      </c>
    </row>
    <row r="5496" spans="7:9" x14ac:dyDescent="0.15">
      <c r="G5496">
        <v>81970</v>
      </c>
      <c r="H5496" t="s">
        <v>1390</v>
      </c>
      <c r="I5496">
        <v>3</v>
      </c>
    </row>
    <row r="5497" spans="7:9" x14ac:dyDescent="0.15">
      <c r="G5497">
        <v>81998</v>
      </c>
      <c r="H5497" t="s">
        <v>5595</v>
      </c>
      <c r="I5497">
        <v>3</v>
      </c>
    </row>
    <row r="5498" spans="7:9" x14ac:dyDescent="0.15">
      <c r="G5498">
        <v>82012</v>
      </c>
      <c r="H5498" t="s">
        <v>5596</v>
      </c>
      <c r="I5498">
        <v>3</v>
      </c>
    </row>
    <row r="5499" spans="7:9" x14ac:dyDescent="0.15">
      <c r="G5499">
        <v>82026</v>
      </c>
      <c r="H5499" t="s">
        <v>5597</v>
      </c>
      <c r="I5499">
        <v>3</v>
      </c>
    </row>
    <row r="5500" spans="7:9" x14ac:dyDescent="0.15">
      <c r="G5500">
        <v>82040</v>
      </c>
      <c r="H5500" t="s">
        <v>5596</v>
      </c>
      <c r="I5500">
        <v>3</v>
      </c>
    </row>
    <row r="5501" spans="7:9" x14ac:dyDescent="0.15">
      <c r="G5501">
        <v>82054</v>
      </c>
      <c r="H5501" t="s">
        <v>5596</v>
      </c>
      <c r="I5501">
        <v>3</v>
      </c>
    </row>
    <row r="5502" spans="7:9" x14ac:dyDescent="0.15">
      <c r="G5502">
        <v>82068</v>
      </c>
      <c r="H5502" t="s">
        <v>5596</v>
      </c>
      <c r="I5502">
        <v>3</v>
      </c>
    </row>
    <row r="5503" spans="7:9" x14ac:dyDescent="0.15">
      <c r="G5503">
        <v>82082</v>
      </c>
      <c r="H5503" t="s">
        <v>5596</v>
      </c>
      <c r="I5503">
        <v>3</v>
      </c>
    </row>
    <row r="5504" spans="7:9" x14ac:dyDescent="0.15">
      <c r="G5504">
        <v>82096</v>
      </c>
      <c r="H5504" t="s">
        <v>5596</v>
      </c>
      <c r="I5504">
        <v>3</v>
      </c>
    </row>
    <row r="5505" spans="7:9" x14ac:dyDescent="0.15">
      <c r="G5505">
        <v>82110</v>
      </c>
      <c r="H5505" t="s">
        <v>5596</v>
      </c>
      <c r="I5505">
        <v>3</v>
      </c>
    </row>
    <row r="5506" spans="7:9" x14ac:dyDescent="0.15">
      <c r="G5506">
        <v>82124</v>
      </c>
      <c r="H5506" t="s">
        <v>5596</v>
      </c>
      <c r="I5506">
        <v>3</v>
      </c>
    </row>
    <row r="5507" spans="7:9" x14ac:dyDescent="0.15">
      <c r="G5507">
        <v>82138</v>
      </c>
      <c r="H5507" t="s">
        <v>5596</v>
      </c>
      <c r="I5507">
        <v>3</v>
      </c>
    </row>
    <row r="5508" spans="7:9" x14ac:dyDescent="0.15">
      <c r="G5508">
        <v>82152</v>
      </c>
      <c r="H5508" t="s">
        <v>5596</v>
      </c>
      <c r="I5508">
        <v>3</v>
      </c>
    </row>
    <row r="5509" spans="7:9" x14ac:dyDescent="0.15">
      <c r="G5509">
        <v>82166</v>
      </c>
      <c r="H5509" t="s">
        <v>5596</v>
      </c>
      <c r="I5509">
        <v>3</v>
      </c>
    </row>
    <row r="5510" spans="7:9" x14ac:dyDescent="0.15">
      <c r="G5510">
        <v>82180</v>
      </c>
      <c r="H5510" t="s">
        <v>5596</v>
      </c>
      <c r="I5510">
        <v>3</v>
      </c>
    </row>
    <row r="5511" spans="7:9" x14ac:dyDescent="0.15">
      <c r="G5511">
        <v>82194</v>
      </c>
      <c r="H5511" t="s">
        <v>5596</v>
      </c>
      <c r="I5511">
        <v>3</v>
      </c>
    </row>
    <row r="5512" spans="7:9" x14ac:dyDescent="0.15">
      <c r="G5512">
        <v>82206</v>
      </c>
      <c r="H5512" t="s">
        <v>5596</v>
      </c>
      <c r="I5512">
        <v>3</v>
      </c>
    </row>
    <row r="5513" spans="7:9" x14ac:dyDescent="0.15">
      <c r="G5513">
        <v>82208</v>
      </c>
      <c r="H5513" t="s">
        <v>5596</v>
      </c>
      <c r="I5513">
        <v>3</v>
      </c>
    </row>
    <row r="5514" spans="7:9" x14ac:dyDescent="0.15">
      <c r="G5514">
        <v>82222</v>
      </c>
      <c r="H5514" t="s">
        <v>5596</v>
      </c>
      <c r="I5514">
        <v>3</v>
      </c>
    </row>
    <row r="5515" spans="7:9" x14ac:dyDescent="0.15">
      <c r="G5515">
        <v>82236</v>
      </c>
      <c r="H5515" t="s">
        <v>5596</v>
      </c>
      <c r="I5515">
        <v>3</v>
      </c>
    </row>
    <row r="5516" spans="7:9" x14ac:dyDescent="0.15">
      <c r="G5516">
        <v>82250</v>
      </c>
      <c r="H5516" t="s">
        <v>5596</v>
      </c>
      <c r="I5516">
        <v>3</v>
      </c>
    </row>
    <row r="5517" spans="7:9" x14ac:dyDescent="0.15">
      <c r="G5517">
        <v>82264</v>
      </c>
      <c r="H5517" t="s">
        <v>5596</v>
      </c>
      <c r="I5517">
        <v>3</v>
      </c>
    </row>
    <row r="5518" spans="7:9" x14ac:dyDescent="0.15">
      <c r="G5518">
        <v>82292</v>
      </c>
      <c r="H5518" t="s">
        <v>5596</v>
      </c>
      <c r="I5518">
        <v>3</v>
      </c>
    </row>
    <row r="5519" spans="7:9" x14ac:dyDescent="0.15">
      <c r="G5519">
        <v>82306</v>
      </c>
      <c r="H5519" t="s">
        <v>5596</v>
      </c>
      <c r="I5519">
        <v>3</v>
      </c>
    </row>
    <row r="5520" spans="7:9" x14ac:dyDescent="0.15">
      <c r="G5520">
        <v>82320</v>
      </c>
      <c r="H5520" t="s">
        <v>5596</v>
      </c>
      <c r="I5520">
        <v>3</v>
      </c>
    </row>
    <row r="5521" spans="7:9" x14ac:dyDescent="0.15">
      <c r="G5521">
        <v>82334</v>
      </c>
      <c r="H5521" t="s">
        <v>5597</v>
      </c>
      <c r="I5521">
        <v>2</v>
      </c>
    </row>
    <row r="5522" spans="7:9" x14ac:dyDescent="0.15">
      <c r="G5522">
        <v>82348</v>
      </c>
      <c r="H5522" t="s">
        <v>5598</v>
      </c>
      <c r="I5522">
        <v>2</v>
      </c>
    </row>
    <row r="5523" spans="7:9" x14ac:dyDescent="0.15">
      <c r="G5523">
        <v>82362</v>
      </c>
      <c r="H5523" t="s">
        <v>5599</v>
      </c>
      <c r="I5523">
        <v>3</v>
      </c>
    </row>
    <row r="5524" spans="7:9" x14ac:dyDescent="0.15">
      <c r="G5524">
        <v>82376</v>
      </c>
      <c r="H5524" t="s">
        <v>5599</v>
      </c>
      <c r="I5524">
        <v>2</v>
      </c>
    </row>
    <row r="5525" spans="7:9" x14ac:dyDescent="0.15">
      <c r="G5525">
        <v>82390</v>
      </c>
      <c r="H5525" t="s">
        <v>5600</v>
      </c>
      <c r="I5525">
        <v>2</v>
      </c>
    </row>
    <row r="5526" spans="7:9" x14ac:dyDescent="0.15">
      <c r="G5526">
        <v>82418</v>
      </c>
      <c r="H5526" t="s">
        <v>5601</v>
      </c>
      <c r="I5526">
        <v>2</v>
      </c>
    </row>
    <row r="5527" spans="7:9" x14ac:dyDescent="0.15">
      <c r="G5527">
        <v>82446</v>
      </c>
      <c r="H5527" t="s">
        <v>5602</v>
      </c>
      <c r="I5527">
        <v>3</v>
      </c>
    </row>
    <row r="5528" spans="7:9" x14ac:dyDescent="0.15">
      <c r="G5528">
        <v>82465</v>
      </c>
      <c r="H5528" t="s">
        <v>5603</v>
      </c>
      <c r="I5528">
        <v>3</v>
      </c>
    </row>
    <row r="5529" spans="7:9" x14ac:dyDescent="0.15">
      <c r="G5529">
        <v>82488</v>
      </c>
      <c r="H5529" t="s">
        <v>5604</v>
      </c>
      <c r="I5529">
        <v>3</v>
      </c>
    </row>
    <row r="5530" spans="7:9" x14ac:dyDescent="0.15">
      <c r="G5530">
        <v>82502</v>
      </c>
      <c r="H5530" t="s">
        <v>5605</v>
      </c>
      <c r="I5530">
        <v>3</v>
      </c>
    </row>
    <row r="5531" spans="7:9" x14ac:dyDescent="0.15">
      <c r="G5531">
        <v>82516</v>
      </c>
      <c r="H5531" t="s">
        <v>5606</v>
      </c>
      <c r="I5531">
        <v>3</v>
      </c>
    </row>
    <row r="5532" spans="7:9" x14ac:dyDescent="0.15">
      <c r="G5532">
        <v>82530</v>
      </c>
      <c r="H5532" t="s">
        <v>5607</v>
      </c>
      <c r="I5532">
        <v>3</v>
      </c>
    </row>
    <row r="5533" spans="7:9" x14ac:dyDescent="0.15">
      <c r="G5533">
        <v>82544</v>
      </c>
      <c r="H5533" t="s">
        <v>5608</v>
      </c>
      <c r="I5533">
        <v>3</v>
      </c>
    </row>
    <row r="5534" spans="7:9" x14ac:dyDescent="0.15">
      <c r="G5534">
        <v>82572</v>
      </c>
      <c r="H5534" t="s">
        <v>5609</v>
      </c>
      <c r="I5534">
        <v>3</v>
      </c>
    </row>
    <row r="5535" spans="7:9" x14ac:dyDescent="0.15">
      <c r="G5535">
        <v>82610</v>
      </c>
      <c r="H5535" t="s">
        <v>5610</v>
      </c>
      <c r="I5535">
        <v>3</v>
      </c>
    </row>
    <row r="5536" spans="7:9" x14ac:dyDescent="0.15">
      <c r="G5536">
        <v>82628</v>
      </c>
      <c r="H5536" t="s">
        <v>5611</v>
      </c>
      <c r="I5536">
        <v>3</v>
      </c>
    </row>
    <row r="5537" spans="7:9" x14ac:dyDescent="0.15">
      <c r="G5537">
        <v>82642</v>
      </c>
      <c r="H5537" t="s">
        <v>5612</v>
      </c>
      <c r="I5537">
        <v>2</v>
      </c>
    </row>
    <row r="5538" spans="7:9" x14ac:dyDescent="0.15">
      <c r="G5538">
        <v>82656</v>
      </c>
      <c r="H5538" t="s">
        <v>5613</v>
      </c>
      <c r="I5538">
        <v>3</v>
      </c>
    </row>
    <row r="5539" spans="7:9" x14ac:dyDescent="0.15">
      <c r="G5539">
        <v>82684</v>
      </c>
      <c r="H5539" t="s">
        <v>5614</v>
      </c>
      <c r="I5539">
        <v>3</v>
      </c>
    </row>
    <row r="5540" spans="7:9" x14ac:dyDescent="0.15">
      <c r="G5540">
        <v>82698</v>
      </c>
      <c r="H5540" t="s">
        <v>5615</v>
      </c>
      <c r="I5540">
        <v>3</v>
      </c>
    </row>
    <row r="5541" spans="7:9" x14ac:dyDescent="0.15">
      <c r="G5541">
        <v>82712</v>
      </c>
      <c r="H5541" t="s">
        <v>5616</v>
      </c>
      <c r="I5541">
        <v>1</v>
      </c>
    </row>
    <row r="5542" spans="7:9" x14ac:dyDescent="0.15">
      <c r="G5542">
        <v>82740</v>
      </c>
      <c r="H5542" t="s">
        <v>5617</v>
      </c>
      <c r="I5542">
        <v>2</v>
      </c>
    </row>
    <row r="5543" spans="7:9" x14ac:dyDescent="0.15">
      <c r="G5543">
        <v>82760</v>
      </c>
      <c r="H5543" t="s">
        <v>5618</v>
      </c>
      <c r="I5543">
        <v>3</v>
      </c>
    </row>
    <row r="5544" spans="7:9" x14ac:dyDescent="0.15">
      <c r="G5544">
        <v>82768</v>
      </c>
      <c r="H5544" t="s">
        <v>5619</v>
      </c>
      <c r="I5544">
        <v>3</v>
      </c>
    </row>
    <row r="5545" spans="7:9" x14ac:dyDescent="0.15">
      <c r="G5545">
        <v>82782</v>
      </c>
      <c r="H5545" t="s">
        <v>5620</v>
      </c>
      <c r="I5545">
        <v>3</v>
      </c>
    </row>
    <row r="5546" spans="7:9" x14ac:dyDescent="0.15">
      <c r="G5546">
        <v>82790</v>
      </c>
      <c r="H5546" t="s">
        <v>5621</v>
      </c>
      <c r="I5546">
        <v>3</v>
      </c>
    </row>
    <row r="5547" spans="7:9" x14ac:dyDescent="0.15">
      <c r="G5547">
        <v>82796</v>
      </c>
      <c r="H5547" t="s">
        <v>5622</v>
      </c>
      <c r="I5547">
        <v>3</v>
      </c>
    </row>
    <row r="5548" spans="7:9" x14ac:dyDescent="0.15">
      <c r="G5548">
        <v>82830</v>
      </c>
      <c r="H5548" t="s">
        <v>5623</v>
      </c>
      <c r="I5548">
        <v>3</v>
      </c>
    </row>
    <row r="5549" spans="7:9" x14ac:dyDescent="0.15">
      <c r="G5549">
        <v>82838</v>
      </c>
      <c r="H5549" t="s">
        <v>5624</v>
      </c>
      <c r="I5549">
        <v>3</v>
      </c>
    </row>
    <row r="5550" spans="7:9" x14ac:dyDescent="0.15">
      <c r="G5550">
        <v>82852</v>
      </c>
      <c r="H5550" t="s">
        <v>5625</v>
      </c>
      <c r="I5550">
        <v>3</v>
      </c>
    </row>
    <row r="5551" spans="7:9" x14ac:dyDescent="0.15">
      <c r="G5551">
        <v>82866</v>
      </c>
      <c r="H5551" t="s">
        <v>5626</v>
      </c>
      <c r="I5551">
        <v>3</v>
      </c>
    </row>
    <row r="5552" spans="7:9" x14ac:dyDescent="0.15">
      <c r="G5552">
        <v>82880</v>
      </c>
      <c r="H5552" t="s">
        <v>5627</v>
      </c>
      <c r="I5552">
        <v>2</v>
      </c>
    </row>
    <row r="5553" spans="7:9" x14ac:dyDescent="0.15">
      <c r="G5553">
        <v>82908</v>
      </c>
      <c r="H5553" t="s">
        <v>5628</v>
      </c>
      <c r="I5553">
        <v>3</v>
      </c>
    </row>
    <row r="5554" spans="7:9" x14ac:dyDescent="0.15">
      <c r="G5554">
        <v>82922</v>
      </c>
      <c r="H5554" t="s">
        <v>5629</v>
      </c>
      <c r="I5554">
        <v>3</v>
      </c>
    </row>
    <row r="5555" spans="7:9" x14ac:dyDescent="0.15">
      <c r="G5555">
        <v>82950</v>
      </c>
      <c r="H5555" t="s">
        <v>5630</v>
      </c>
      <c r="I5555">
        <v>3</v>
      </c>
    </row>
    <row r="5556" spans="7:9" x14ac:dyDescent="0.15">
      <c r="G5556">
        <v>82955</v>
      </c>
      <c r="H5556" t="s">
        <v>5631</v>
      </c>
      <c r="I5556">
        <v>3</v>
      </c>
    </row>
    <row r="5557" spans="7:9" x14ac:dyDescent="0.15">
      <c r="G5557">
        <v>82964</v>
      </c>
      <c r="H5557" t="s">
        <v>5632</v>
      </c>
      <c r="I5557">
        <v>3</v>
      </c>
    </row>
    <row r="5558" spans="7:9" x14ac:dyDescent="0.15">
      <c r="G5558">
        <v>83006</v>
      </c>
      <c r="H5558" t="s">
        <v>5633</v>
      </c>
      <c r="I5558">
        <v>3</v>
      </c>
    </row>
    <row r="5559" spans="7:9" x14ac:dyDescent="0.15">
      <c r="G5559">
        <v>83020</v>
      </c>
      <c r="H5559" t="s">
        <v>5634</v>
      </c>
      <c r="I5559">
        <v>3</v>
      </c>
    </row>
    <row r="5560" spans="7:9" x14ac:dyDescent="0.15">
      <c r="G5560">
        <v>83034</v>
      </c>
      <c r="H5560" t="s">
        <v>5635</v>
      </c>
      <c r="I5560">
        <v>3</v>
      </c>
    </row>
    <row r="5561" spans="7:9" x14ac:dyDescent="0.15">
      <c r="G5561">
        <v>83040</v>
      </c>
      <c r="H5561" t="s">
        <v>5636</v>
      </c>
      <c r="I5561">
        <v>3</v>
      </c>
    </row>
    <row r="5562" spans="7:9" x14ac:dyDescent="0.15">
      <c r="G5562">
        <v>83048</v>
      </c>
      <c r="H5562" t="s">
        <v>5637</v>
      </c>
      <c r="I5562">
        <v>3</v>
      </c>
    </row>
    <row r="5563" spans="7:9" x14ac:dyDescent="0.15">
      <c r="G5563">
        <v>83090</v>
      </c>
      <c r="H5563" t="s">
        <v>5638</v>
      </c>
      <c r="I5563">
        <v>1</v>
      </c>
    </row>
    <row r="5564" spans="7:9" x14ac:dyDescent="0.15">
      <c r="G5564">
        <v>83111</v>
      </c>
      <c r="H5564" t="s">
        <v>5638</v>
      </c>
      <c r="I5564">
        <v>3</v>
      </c>
    </row>
    <row r="5565" spans="7:9" x14ac:dyDescent="0.15">
      <c r="G5565">
        <v>83118</v>
      </c>
      <c r="H5565" t="s">
        <v>5639</v>
      </c>
      <c r="I5565">
        <v>3</v>
      </c>
    </row>
    <row r="5566" spans="7:9" x14ac:dyDescent="0.15">
      <c r="G5566">
        <v>83150</v>
      </c>
      <c r="H5566" t="s">
        <v>5640</v>
      </c>
      <c r="I5566">
        <v>3</v>
      </c>
    </row>
    <row r="5567" spans="7:9" x14ac:dyDescent="0.15">
      <c r="G5567">
        <v>83160</v>
      </c>
      <c r="H5567" t="s">
        <v>5641</v>
      </c>
      <c r="I5567">
        <v>3</v>
      </c>
    </row>
    <row r="5568" spans="7:9" x14ac:dyDescent="0.15">
      <c r="G5568">
        <v>83188</v>
      </c>
      <c r="H5568" t="s">
        <v>5642</v>
      </c>
      <c r="I5568">
        <v>3</v>
      </c>
    </row>
    <row r="5569" spans="7:9" x14ac:dyDescent="0.15">
      <c r="G5569">
        <v>83204</v>
      </c>
      <c r="H5569" t="s">
        <v>5643</v>
      </c>
      <c r="I5569">
        <v>3</v>
      </c>
    </row>
    <row r="5570" spans="7:9" x14ac:dyDescent="0.15">
      <c r="G5570">
        <v>83206</v>
      </c>
      <c r="H5570" t="s">
        <v>5644</v>
      </c>
      <c r="I5570">
        <v>3</v>
      </c>
    </row>
    <row r="5571" spans="7:9" x14ac:dyDescent="0.15">
      <c r="G5571">
        <v>83209</v>
      </c>
      <c r="H5571" t="s">
        <v>5645</v>
      </c>
      <c r="I5571">
        <v>3</v>
      </c>
    </row>
    <row r="5572" spans="7:9" x14ac:dyDescent="0.15">
      <c r="G5572">
        <v>83216</v>
      </c>
      <c r="H5572" t="s">
        <v>5646</v>
      </c>
      <c r="I5572">
        <v>2</v>
      </c>
    </row>
    <row r="5573" spans="7:9" x14ac:dyDescent="0.15">
      <c r="G5573">
        <v>83314</v>
      </c>
      <c r="H5573" t="s">
        <v>5647</v>
      </c>
      <c r="I5573">
        <v>3</v>
      </c>
    </row>
    <row r="5574" spans="7:9" x14ac:dyDescent="0.15">
      <c r="G5574">
        <v>83328</v>
      </c>
      <c r="H5574" t="s">
        <v>5648</v>
      </c>
      <c r="I5574">
        <v>3</v>
      </c>
    </row>
    <row r="5575" spans="7:9" x14ac:dyDescent="0.15">
      <c r="G5575">
        <v>83342</v>
      </c>
      <c r="H5575" t="s">
        <v>5649</v>
      </c>
      <c r="I5575">
        <v>1</v>
      </c>
    </row>
    <row r="5576" spans="7:9" x14ac:dyDescent="0.15">
      <c r="G5576">
        <v>83349</v>
      </c>
      <c r="H5576" t="s">
        <v>5650</v>
      </c>
      <c r="I5576">
        <v>3</v>
      </c>
    </row>
    <row r="5577" spans="7:9" x14ac:dyDescent="0.15">
      <c r="G5577">
        <v>83375</v>
      </c>
      <c r="H5577" t="s">
        <v>5651</v>
      </c>
      <c r="I5577">
        <v>3</v>
      </c>
    </row>
    <row r="5578" spans="7:9" x14ac:dyDescent="0.15">
      <c r="G5578">
        <v>83384</v>
      </c>
      <c r="H5578" t="s">
        <v>5652</v>
      </c>
      <c r="I5578">
        <v>2</v>
      </c>
    </row>
    <row r="5579" spans="7:9" x14ac:dyDescent="0.15">
      <c r="G5579">
        <v>83426</v>
      </c>
      <c r="H5579" t="s">
        <v>5653</v>
      </c>
      <c r="I5579">
        <v>3</v>
      </c>
    </row>
    <row r="5580" spans="7:9" x14ac:dyDescent="0.15">
      <c r="G5580">
        <v>83440</v>
      </c>
      <c r="H5580" t="s">
        <v>5654</v>
      </c>
      <c r="I5580">
        <v>3</v>
      </c>
    </row>
    <row r="5581" spans="7:9" x14ac:dyDescent="0.15">
      <c r="G5581">
        <v>83454</v>
      </c>
      <c r="H5581" t="s">
        <v>5653</v>
      </c>
      <c r="I5581">
        <v>3</v>
      </c>
    </row>
    <row r="5582" spans="7:9" x14ac:dyDescent="0.15">
      <c r="G5582">
        <v>83468</v>
      </c>
      <c r="H5582" t="s">
        <v>5655</v>
      </c>
      <c r="I5582">
        <v>2</v>
      </c>
    </row>
    <row r="5583" spans="7:9" x14ac:dyDescent="0.15">
      <c r="G5583">
        <v>83482</v>
      </c>
      <c r="H5583" t="s">
        <v>5656</v>
      </c>
      <c r="I5583">
        <v>3</v>
      </c>
    </row>
    <row r="5584" spans="7:9" x14ac:dyDescent="0.15">
      <c r="G5584">
        <v>83510</v>
      </c>
      <c r="H5584" t="s">
        <v>5657</v>
      </c>
      <c r="I5584">
        <v>3</v>
      </c>
    </row>
    <row r="5585" spans="7:9" x14ac:dyDescent="0.15">
      <c r="G5585">
        <v>83541</v>
      </c>
      <c r="H5585" t="s">
        <v>5658</v>
      </c>
      <c r="I5585">
        <v>2</v>
      </c>
    </row>
    <row r="5586" spans="7:9" x14ac:dyDescent="0.15">
      <c r="G5586">
        <v>83545</v>
      </c>
      <c r="H5586" t="s">
        <v>5659</v>
      </c>
      <c r="I5586">
        <v>3</v>
      </c>
    </row>
    <row r="5587" spans="7:9" x14ac:dyDescent="0.15">
      <c r="G5587">
        <v>83552</v>
      </c>
      <c r="H5587" t="s">
        <v>5660</v>
      </c>
      <c r="I5587">
        <v>3</v>
      </c>
    </row>
    <row r="5588" spans="7:9" x14ac:dyDescent="0.15">
      <c r="G5588">
        <v>83566</v>
      </c>
      <c r="H5588" t="s">
        <v>5661</v>
      </c>
      <c r="I5588">
        <v>3</v>
      </c>
    </row>
    <row r="5589" spans="7:9" x14ac:dyDescent="0.15">
      <c r="G5589">
        <v>83570</v>
      </c>
      <c r="H5589" t="s">
        <v>5662</v>
      </c>
      <c r="I5589">
        <v>3</v>
      </c>
    </row>
    <row r="5590" spans="7:9" x14ac:dyDescent="0.15">
      <c r="G5590">
        <v>83580</v>
      </c>
      <c r="H5590" t="s">
        <v>5663</v>
      </c>
      <c r="I5590">
        <v>2</v>
      </c>
    </row>
    <row r="5591" spans="7:9" x14ac:dyDescent="0.15">
      <c r="G5591">
        <v>83594</v>
      </c>
      <c r="H5591" t="s">
        <v>5663</v>
      </c>
      <c r="I5591">
        <v>3</v>
      </c>
    </row>
    <row r="5592" spans="7:9" x14ac:dyDescent="0.15">
      <c r="G5592">
        <v>83600</v>
      </c>
      <c r="H5592" t="s">
        <v>5664</v>
      </c>
      <c r="I5592">
        <v>3</v>
      </c>
    </row>
    <row r="5593" spans="7:9" x14ac:dyDescent="0.15">
      <c r="G5593">
        <v>83608</v>
      </c>
      <c r="H5593" t="s">
        <v>5665</v>
      </c>
      <c r="I5593">
        <v>2</v>
      </c>
    </row>
    <row r="5594" spans="7:9" x14ac:dyDescent="0.15">
      <c r="G5594">
        <v>83622</v>
      </c>
      <c r="H5594" t="s">
        <v>5666</v>
      </c>
      <c r="I5594">
        <v>1</v>
      </c>
    </row>
    <row r="5595" spans="7:9" x14ac:dyDescent="0.15">
      <c r="G5595">
        <v>83650</v>
      </c>
      <c r="H5595" t="s">
        <v>5667</v>
      </c>
      <c r="I5595">
        <v>3</v>
      </c>
    </row>
    <row r="5596" spans="7:9" x14ac:dyDescent="0.15">
      <c r="G5596">
        <v>83664</v>
      </c>
      <c r="H5596" t="s">
        <v>5668</v>
      </c>
      <c r="I5596">
        <v>3</v>
      </c>
    </row>
    <row r="5597" spans="7:9" x14ac:dyDescent="0.15">
      <c r="G5597">
        <v>83670</v>
      </c>
      <c r="H5597" t="s">
        <v>5669</v>
      </c>
      <c r="I5597">
        <v>3</v>
      </c>
    </row>
    <row r="5598" spans="7:9" x14ac:dyDescent="0.15">
      <c r="G5598">
        <v>83692</v>
      </c>
      <c r="H5598" t="s">
        <v>5670</v>
      </c>
      <c r="I5598">
        <v>3</v>
      </c>
    </row>
    <row r="5599" spans="7:9" x14ac:dyDescent="0.15">
      <c r="G5599">
        <v>83706</v>
      </c>
      <c r="H5599" t="s">
        <v>5671</v>
      </c>
      <c r="I5599">
        <v>2</v>
      </c>
    </row>
    <row r="5600" spans="7:9" x14ac:dyDescent="0.15">
      <c r="G5600">
        <v>83720</v>
      </c>
      <c r="H5600" t="s">
        <v>5672</v>
      </c>
      <c r="I5600">
        <v>3</v>
      </c>
    </row>
    <row r="5601" spans="7:9" x14ac:dyDescent="0.15">
      <c r="G5601">
        <v>83734</v>
      </c>
      <c r="H5601" t="s">
        <v>5672</v>
      </c>
      <c r="I5601">
        <v>2</v>
      </c>
    </row>
    <row r="5602" spans="7:9" x14ac:dyDescent="0.15">
      <c r="G5602">
        <v>83748</v>
      </c>
      <c r="H5602" t="s">
        <v>5672</v>
      </c>
      <c r="I5602">
        <v>3</v>
      </c>
    </row>
    <row r="5603" spans="7:9" x14ac:dyDescent="0.15">
      <c r="G5603">
        <v>83762</v>
      </c>
      <c r="H5603" t="s">
        <v>5673</v>
      </c>
      <c r="I5603">
        <v>3</v>
      </c>
    </row>
    <row r="5604" spans="7:9" x14ac:dyDescent="0.15">
      <c r="G5604">
        <v>83776</v>
      </c>
      <c r="H5604" t="s">
        <v>5674</v>
      </c>
      <c r="I5604">
        <v>3</v>
      </c>
    </row>
    <row r="5605" spans="7:9" x14ac:dyDescent="0.15">
      <c r="G5605">
        <v>83804</v>
      </c>
      <c r="H5605" t="s">
        <v>5675</v>
      </c>
      <c r="I5605">
        <v>2</v>
      </c>
    </row>
    <row r="5606" spans="7:9" x14ac:dyDescent="0.15">
      <c r="G5606">
        <v>83818</v>
      </c>
      <c r="H5606" t="s">
        <v>5676</v>
      </c>
      <c r="I5606">
        <v>2</v>
      </c>
    </row>
    <row r="5607" spans="7:9" x14ac:dyDescent="0.15">
      <c r="G5607">
        <v>83832</v>
      </c>
      <c r="H5607" t="s">
        <v>5677</v>
      </c>
      <c r="I5607">
        <v>3</v>
      </c>
    </row>
    <row r="5608" spans="7:9" x14ac:dyDescent="0.15">
      <c r="G5608">
        <v>83860</v>
      </c>
      <c r="H5608" t="s">
        <v>5678</v>
      </c>
      <c r="I5608">
        <v>3</v>
      </c>
    </row>
    <row r="5609" spans="7:9" x14ac:dyDescent="0.15">
      <c r="G5609">
        <v>83874</v>
      </c>
      <c r="H5609" t="s">
        <v>5679</v>
      </c>
      <c r="I5609">
        <v>3</v>
      </c>
    </row>
    <row r="5610" spans="7:9" x14ac:dyDescent="0.15">
      <c r="G5610">
        <v>83888</v>
      </c>
      <c r="H5610" t="s">
        <v>5680</v>
      </c>
      <c r="I5610">
        <v>2</v>
      </c>
    </row>
    <row r="5611" spans="7:9" x14ac:dyDescent="0.15">
      <c r="G5611">
        <v>83902</v>
      </c>
      <c r="H5611" t="s">
        <v>5681</v>
      </c>
      <c r="I5611">
        <v>2</v>
      </c>
    </row>
    <row r="5612" spans="7:9" x14ac:dyDescent="0.15">
      <c r="G5612">
        <v>83916</v>
      </c>
      <c r="H5612" t="s">
        <v>5682</v>
      </c>
      <c r="I5612">
        <v>3</v>
      </c>
    </row>
    <row r="5613" spans="7:9" x14ac:dyDescent="0.15">
      <c r="G5613">
        <v>83930</v>
      </c>
      <c r="H5613" t="s">
        <v>5682</v>
      </c>
      <c r="I5613">
        <v>3</v>
      </c>
    </row>
    <row r="5614" spans="7:9" x14ac:dyDescent="0.15">
      <c r="G5614">
        <v>83944</v>
      </c>
      <c r="H5614" t="s">
        <v>5683</v>
      </c>
      <c r="I5614">
        <v>3</v>
      </c>
    </row>
    <row r="5615" spans="7:9" x14ac:dyDescent="0.15">
      <c r="G5615">
        <v>83972</v>
      </c>
      <c r="H5615" t="s">
        <v>5684</v>
      </c>
      <c r="I5615">
        <v>2</v>
      </c>
    </row>
    <row r="5616" spans="7:9" x14ac:dyDescent="0.15">
      <c r="G5616">
        <v>83986</v>
      </c>
      <c r="H5616" t="s">
        <v>5685</v>
      </c>
      <c r="I5616">
        <v>3</v>
      </c>
    </row>
    <row r="5617" spans="7:9" x14ac:dyDescent="0.15">
      <c r="G5617">
        <v>84056</v>
      </c>
      <c r="H5617" t="s">
        <v>5686</v>
      </c>
      <c r="I5617">
        <v>3</v>
      </c>
    </row>
    <row r="5618" spans="7:9" x14ac:dyDescent="0.15">
      <c r="G5618">
        <v>84084</v>
      </c>
      <c r="H5618" t="s">
        <v>5686</v>
      </c>
      <c r="I5618">
        <v>3</v>
      </c>
    </row>
    <row r="5619" spans="7:9" x14ac:dyDescent="0.15">
      <c r="G5619">
        <v>84112</v>
      </c>
      <c r="H5619" t="s">
        <v>5687</v>
      </c>
      <c r="I5619">
        <v>3</v>
      </c>
    </row>
    <row r="5620" spans="7:9" x14ac:dyDescent="0.15">
      <c r="G5620">
        <v>84126</v>
      </c>
      <c r="H5620" t="s">
        <v>5687</v>
      </c>
      <c r="I5620">
        <v>3</v>
      </c>
    </row>
    <row r="5621" spans="7:9" x14ac:dyDescent="0.15">
      <c r="G5621">
        <v>84140</v>
      </c>
      <c r="H5621" t="s">
        <v>5688</v>
      </c>
      <c r="I5621">
        <v>2</v>
      </c>
    </row>
    <row r="5622" spans="7:9" x14ac:dyDescent="0.15">
      <c r="G5622">
        <v>84168</v>
      </c>
      <c r="H5622" t="s">
        <v>5689</v>
      </c>
      <c r="I5622">
        <v>3</v>
      </c>
    </row>
    <row r="5623" spans="7:9" x14ac:dyDescent="0.15">
      <c r="G5623">
        <v>84182</v>
      </c>
      <c r="H5623" t="s">
        <v>5690</v>
      </c>
      <c r="I5623">
        <v>2</v>
      </c>
    </row>
    <row r="5624" spans="7:9" x14ac:dyDescent="0.15">
      <c r="G5624">
        <v>84196</v>
      </c>
      <c r="H5624" t="s">
        <v>5691</v>
      </c>
      <c r="I5624">
        <v>2</v>
      </c>
    </row>
    <row r="5625" spans="7:9" x14ac:dyDescent="0.15">
      <c r="G5625">
        <v>84224</v>
      </c>
      <c r="H5625" t="s">
        <v>5692</v>
      </c>
      <c r="I5625">
        <v>3</v>
      </c>
    </row>
    <row r="5626" spans="7:9" x14ac:dyDescent="0.15">
      <c r="G5626">
        <v>84238</v>
      </c>
      <c r="H5626" t="s">
        <v>5693</v>
      </c>
      <c r="I5626">
        <v>3</v>
      </c>
    </row>
    <row r="5627" spans="7:9" x14ac:dyDescent="0.15">
      <c r="G5627">
        <v>84245</v>
      </c>
      <c r="H5627" t="s">
        <v>5694</v>
      </c>
      <c r="I5627">
        <v>3</v>
      </c>
    </row>
    <row r="5628" spans="7:9" x14ac:dyDescent="0.15">
      <c r="G5628">
        <v>84266</v>
      </c>
      <c r="H5628" t="s">
        <v>5695</v>
      </c>
      <c r="I5628">
        <v>3</v>
      </c>
    </row>
    <row r="5629" spans="7:9" x14ac:dyDescent="0.15">
      <c r="G5629">
        <v>84294</v>
      </c>
      <c r="H5629" t="s">
        <v>5696</v>
      </c>
      <c r="I5629">
        <v>2</v>
      </c>
    </row>
    <row r="5630" spans="7:9" x14ac:dyDescent="0.15">
      <c r="G5630">
        <v>84308</v>
      </c>
      <c r="H5630" t="s">
        <v>5697</v>
      </c>
      <c r="I5630">
        <v>2</v>
      </c>
    </row>
    <row r="5631" spans="7:9" x14ac:dyDescent="0.15">
      <c r="G5631">
        <v>84322</v>
      </c>
      <c r="H5631" t="s">
        <v>5698</v>
      </c>
      <c r="I5631">
        <v>3</v>
      </c>
    </row>
    <row r="5632" spans="7:9" x14ac:dyDescent="0.15">
      <c r="G5632">
        <v>84350</v>
      </c>
      <c r="H5632" t="s">
        <v>5699</v>
      </c>
      <c r="I5632">
        <v>3</v>
      </c>
    </row>
    <row r="5633" spans="7:9" x14ac:dyDescent="0.15">
      <c r="G5633">
        <v>84364</v>
      </c>
      <c r="H5633" t="s">
        <v>5699</v>
      </c>
      <c r="I5633">
        <v>3</v>
      </c>
    </row>
    <row r="5634" spans="7:9" x14ac:dyDescent="0.15">
      <c r="G5634">
        <v>84406</v>
      </c>
      <c r="H5634" t="s">
        <v>5700</v>
      </c>
      <c r="I5634">
        <v>3</v>
      </c>
    </row>
    <row r="5635" spans="7:9" x14ac:dyDescent="0.15">
      <c r="G5635">
        <v>84420</v>
      </c>
      <c r="H5635" t="s">
        <v>5701</v>
      </c>
      <c r="I5635">
        <v>3</v>
      </c>
    </row>
    <row r="5636" spans="7:9" x14ac:dyDescent="0.15">
      <c r="G5636">
        <v>84448</v>
      </c>
      <c r="H5636" t="s">
        <v>5702</v>
      </c>
      <c r="I5636">
        <v>3</v>
      </c>
    </row>
    <row r="5637" spans="7:9" x14ac:dyDescent="0.15">
      <c r="G5637">
        <v>84490</v>
      </c>
      <c r="H5637" t="s">
        <v>5702</v>
      </c>
      <c r="I5637">
        <v>3</v>
      </c>
    </row>
    <row r="5638" spans="7:9" x14ac:dyDescent="0.15">
      <c r="G5638">
        <v>84528</v>
      </c>
      <c r="H5638" t="s">
        <v>5703</v>
      </c>
      <c r="I5638">
        <v>2</v>
      </c>
    </row>
    <row r="5639" spans="7:9" x14ac:dyDescent="0.15">
      <c r="G5639">
        <v>84532</v>
      </c>
      <c r="H5639" t="s">
        <v>5704</v>
      </c>
      <c r="I5639">
        <v>3</v>
      </c>
    </row>
    <row r="5640" spans="7:9" x14ac:dyDescent="0.15">
      <c r="G5640">
        <v>84546</v>
      </c>
      <c r="H5640" t="s">
        <v>5705</v>
      </c>
      <c r="I5640">
        <v>3</v>
      </c>
    </row>
    <row r="5641" spans="7:9" x14ac:dyDescent="0.15">
      <c r="G5641">
        <v>84560</v>
      </c>
      <c r="H5641" t="s">
        <v>5706</v>
      </c>
      <c r="I5641">
        <v>3</v>
      </c>
    </row>
    <row r="5642" spans="7:9" x14ac:dyDescent="0.15">
      <c r="G5642">
        <v>84574</v>
      </c>
      <c r="H5642" t="s">
        <v>5707</v>
      </c>
      <c r="I5642">
        <v>2</v>
      </c>
    </row>
    <row r="5643" spans="7:9" x14ac:dyDescent="0.15">
      <c r="G5643">
        <v>84578</v>
      </c>
      <c r="H5643" t="s">
        <v>5708</v>
      </c>
      <c r="I5643">
        <v>3</v>
      </c>
    </row>
    <row r="5644" spans="7:9" x14ac:dyDescent="0.15">
      <c r="G5644">
        <v>84582</v>
      </c>
      <c r="H5644" t="s">
        <v>5709</v>
      </c>
      <c r="I5644">
        <v>3</v>
      </c>
    </row>
    <row r="5645" spans="7:9" x14ac:dyDescent="0.15">
      <c r="G5645">
        <v>84588</v>
      </c>
      <c r="H5645" t="s">
        <v>5710</v>
      </c>
      <c r="I5645">
        <v>1</v>
      </c>
    </row>
    <row r="5646" spans="7:9" x14ac:dyDescent="0.15">
      <c r="G5646">
        <v>84595</v>
      </c>
      <c r="H5646" t="s">
        <v>5711</v>
      </c>
      <c r="I5646">
        <v>3</v>
      </c>
    </row>
    <row r="5647" spans="7:9" x14ac:dyDescent="0.15">
      <c r="G5647">
        <v>84602</v>
      </c>
      <c r="H5647" t="s">
        <v>5712</v>
      </c>
      <c r="I5647">
        <v>3</v>
      </c>
    </row>
    <row r="5648" spans="7:9" x14ac:dyDescent="0.15">
      <c r="G5648">
        <v>84616</v>
      </c>
      <c r="H5648" t="s">
        <v>5712</v>
      </c>
      <c r="I5648">
        <v>3</v>
      </c>
    </row>
    <row r="5649" spans="7:9" x14ac:dyDescent="0.15">
      <c r="G5649">
        <v>84630</v>
      </c>
      <c r="H5649" t="s">
        <v>5713</v>
      </c>
      <c r="I5649">
        <v>3</v>
      </c>
    </row>
    <row r="5650" spans="7:9" x14ac:dyDescent="0.15">
      <c r="G5650">
        <v>84635</v>
      </c>
      <c r="H5650" t="s">
        <v>5714</v>
      </c>
      <c r="I5650">
        <v>3</v>
      </c>
    </row>
    <row r="5651" spans="7:9" x14ac:dyDescent="0.15">
      <c r="G5651">
        <v>84644</v>
      </c>
      <c r="H5651" t="s">
        <v>5715</v>
      </c>
      <c r="I5651">
        <v>3</v>
      </c>
    </row>
    <row r="5652" spans="7:9" x14ac:dyDescent="0.15">
      <c r="G5652">
        <v>84658</v>
      </c>
      <c r="H5652" t="s">
        <v>5716</v>
      </c>
      <c r="I5652">
        <v>3</v>
      </c>
    </row>
    <row r="5653" spans="7:9" x14ac:dyDescent="0.15">
      <c r="G5653">
        <v>84672</v>
      </c>
      <c r="H5653" t="s">
        <v>5717</v>
      </c>
      <c r="I5653">
        <v>3</v>
      </c>
    </row>
    <row r="5654" spans="7:9" x14ac:dyDescent="0.15">
      <c r="G5654">
        <v>84680</v>
      </c>
      <c r="H5654" t="s">
        <v>5718</v>
      </c>
      <c r="I5654">
        <v>3</v>
      </c>
    </row>
    <row r="5655" spans="7:9" x14ac:dyDescent="0.15">
      <c r="G5655">
        <v>84686</v>
      </c>
      <c r="H5655" t="s">
        <v>5719</v>
      </c>
      <c r="I5655">
        <v>3</v>
      </c>
    </row>
    <row r="5656" spans="7:9" x14ac:dyDescent="0.15">
      <c r="G5656">
        <v>84700</v>
      </c>
      <c r="H5656" t="s">
        <v>5720</v>
      </c>
      <c r="I5656">
        <v>3</v>
      </c>
    </row>
    <row r="5657" spans="7:9" x14ac:dyDescent="0.15">
      <c r="G5657">
        <v>84714</v>
      </c>
      <c r="H5657" t="s">
        <v>5721</v>
      </c>
      <c r="I5657">
        <v>3</v>
      </c>
    </row>
    <row r="5658" spans="7:9" x14ac:dyDescent="0.15">
      <c r="G5658">
        <v>84728</v>
      </c>
      <c r="H5658" t="s">
        <v>5722</v>
      </c>
      <c r="I5658">
        <v>3</v>
      </c>
    </row>
    <row r="5659" spans="7:9" x14ac:dyDescent="0.15">
      <c r="G5659">
        <v>84742</v>
      </c>
      <c r="H5659" t="s">
        <v>5723</v>
      </c>
      <c r="I5659">
        <v>1</v>
      </c>
    </row>
    <row r="5660" spans="7:9" x14ac:dyDescent="0.15">
      <c r="G5660">
        <v>84770</v>
      </c>
      <c r="H5660" t="s">
        <v>5724</v>
      </c>
      <c r="I5660">
        <v>2</v>
      </c>
    </row>
    <row r="5661" spans="7:9" x14ac:dyDescent="0.15">
      <c r="G5661">
        <v>84784</v>
      </c>
      <c r="H5661" t="s">
        <v>5725</v>
      </c>
      <c r="I5661">
        <v>3</v>
      </c>
    </row>
    <row r="5662" spans="7:9" x14ac:dyDescent="0.15">
      <c r="G5662">
        <v>84798</v>
      </c>
      <c r="H5662" t="s">
        <v>5725</v>
      </c>
      <c r="I5662">
        <v>3</v>
      </c>
    </row>
    <row r="5663" spans="7:9" x14ac:dyDescent="0.15">
      <c r="G5663">
        <v>84812</v>
      </c>
      <c r="H5663" t="s">
        <v>5725</v>
      </c>
      <c r="I5663">
        <v>1</v>
      </c>
    </row>
    <row r="5664" spans="7:9" x14ac:dyDescent="0.15">
      <c r="G5664">
        <v>84826</v>
      </c>
      <c r="H5664" t="s">
        <v>5726</v>
      </c>
      <c r="I5664">
        <v>3</v>
      </c>
    </row>
    <row r="5665" spans="7:9" x14ac:dyDescent="0.15">
      <c r="G5665">
        <v>84831</v>
      </c>
      <c r="H5665" t="s">
        <v>5727</v>
      </c>
      <c r="I5665">
        <v>3</v>
      </c>
    </row>
    <row r="5666" spans="7:9" x14ac:dyDescent="0.15">
      <c r="G5666">
        <v>84840</v>
      </c>
      <c r="H5666" t="s">
        <v>5728</v>
      </c>
      <c r="I5666">
        <v>3</v>
      </c>
    </row>
    <row r="5667" spans="7:9" x14ac:dyDescent="0.15">
      <c r="G5667">
        <v>84860</v>
      </c>
      <c r="H5667" t="s">
        <v>5729</v>
      </c>
      <c r="I5667">
        <v>3</v>
      </c>
    </row>
    <row r="5668" spans="7:9" x14ac:dyDescent="0.15">
      <c r="G5668">
        <v>84864</v>
      </c>
      <c r="H5668" t="s">
        <v>5730</v>
      </c>
      <c r="I5668">
        <v>3</v>
      </c>
    </row>
    <row r="5669" spans="7:9" x14ac:dyDescent="0.15">
      <c r="G5669">
        <v>84875</v>
      </c>
      <c r="H5669" t="s">
        <v>5731</v>
      </c>
      <c r="I5669">
        <v>3</v>
      </c>
    </row>
    <row r="5670" spans="7:9" x14ac:dyDescent="0.15">
      <c r="G5670">
        <v>84882</v>
      </c>
      <c r="H5670" t="s">
        <v>5732</v>
      </c>
      <c r="I5670">
        <v>2</v>
      </c>
    </row>
    <row r="5671" spans="7:9" x14ac:dyDescent="0.15">
      <c r="G5671">
        <v>84896</v>
      </c>
      <c r="H5671" t="s">
        <v>5733</v>
      </c>
      <c r="I5671">
        <v>3</v>
      </c>
    </row>
    <row r="5672" spans="7:9" x14ac:dyDescent="0.15">
      <c r="G5672">
        <v>84900</v>
      </c>
      <c r="H5672" t="s">
        <v>5734</v>
      </c>
      <c r="I5672">
        <v>3</v>
      </c>
    </row>
    <row r="5673" spans="7:9" x14ac:dyDescent="0.15">
      <c r="G5673">
        <v>84910</v>
      </c>
      <c r="H5673" t="s">
        <v>5735</v>
      </c>
      <c r="I5673">
        <v>3</v>
      </c>
    </row>
    <row r="5674" spans="7:9" x14ac:dyDescent="0.15">
      <c r="G5674">
        <v>84938</v>
      </c>
      <c r="H5674" t="s">
        <v>5736</v>
      </c>
      <c r="I5674">
        <v>3</v>
      </c>
    </row>
    <row r="5675" spans="7:9" x14ac:dyDescent="0.15">
      <c r="G5675">
        <v>84966</v>
      </c>
      <c r="H5675" t="s">
        <v>5737</v>
      </c>
      <c r="I5675">
        <v>3</v>
      </c>
    </row>
    <row r="5676" spans="7:9" x14ac:dyDescent="0.15">
      <c r="G5676">
        <v>84980</v>
      </c>
      <c r="H5676" t="s">
        <v>5738</v>
      </c>
      <c r="I5676">
        <v>3</v>
      </c>
    </row>
    <row r="5677" spans="7:9" x14ac:dyDescent="0.15">
      <c r="G5677">
        <v>85008</v>
      </c>
      <c r="H5677" t="s">
        <v>5739</v>
      </c>
      <c r="I5677">
        <v>3</v>
      </c>
    </row>
    <row r="5678" spans="7:9" x14ac:dyDescent="0.15">
      <c r="G5678">
        <v>85036</v>
      </c>
      <c r="H5678" t="s">
        <v>5740</v>
      </c>
      <c r="I5678">
        <v>1</v>
      </c>
    </row>
    <row r="5679" spans="7:9" x14ac:dyDescent="0.15">
      <c r="G5679">
        <v>85050</v>
      </c>
      <c r="H5679" t="s">
        <v>5740</v>
      </c>
      <c r="I5679">
        <v>3</v>
      </c>
    </row>
    <row r="5680" spans="7:9" x14ac:dyDescent="0.15">
      <c r="G5680">
        <v>85064</v>
      </c>
      <c r="H5680" t="s">
        <v>5741</v>
      </c>
      <c r="I5680">
        <v>3</v>
      </c>
    </row>
    <row r="5681" spans="7:9" x14ac:dyDescent="0.15">
      <c r="G5681">
        <v>85078</v>
      </c>
      <c r="H5681" t="s">
        <v>5742</v>
      </c>
      <c r="I5681">
        <v>3</v>
      </c>
    </row>
    <row r="5682" spans="7:9" x14ac:dyDescent="0.15">
      <c r="G5682">
        <v>85085</v>
      </c>
      <c r="H5682" t="s">
        <v>5743</v>
      </c>
      <c r="I5682">
        <v>2</v>
      </c>
    </row>
    <row r="5683" spans="7:9" x14ac:dyDescent="0.15">
      <c r="G5683">
        <v>85092</v>
      </c>
      <c r="H5683" t="s">
        <v>5744</v>
      </c>
      <c r="I5683">
        <v>2</v>
      </c>
    </row>
    <row r="5684" spans="7:9" x14ac:dyDescent="0.15">
      <c r="G5684">
        <v>85106</v>
      </c>
      <c r="H5684" t="s">
        <v>5745</v>
      </c>
      <c r="I5684">
        <v>3</v>
      </c>
    </row>
    <row r="5685" spans="7:9" x14ac:dyDescent="0.15">
      <c r="G5685">
        <v>85134</v>
      </c>
      <c r="H5685" t="s">
        <v>5746</v>
      </c>
      <c r="I5685">
        <v>3</v>
      </c>
    </row>
    <row r="5686" spans="7:9" x14ac:dyDescent="0.15">
      <c r="G5686">
        <v>85148</v>
      </c>
      <c r="H5686" t="s">
        <v>5747</v>
      </c>
      <c r="I5686">
        <v>3</v>
      </c>
    </row>
    <row r="5687" spans="7:9" x14ac:dyDescent="0.15">
      <c r="G5687">
        <v>85176</v>
      </c>
      <c r="H5687" t="s">
        <v>5748</v>
      </c>
      <c r="I5687">
        <v>3</v>
      </c>
    </row>
    <row r="5688" spans="7:9" x14ac:dyDescent="0.15">
      <c r="G5688">
        <v>85180</v>
      </c>
      <c r="H5688" t="s">
        <v>5749</v>
      </c>
      <c r="I5688">
        <v>3</v>
      </c>
    </row>
    <row r="5689" spans="7:9" x14ac:dyDescent="0.15">
      <c r="G5689">
        <v>85190</v>
      </c>
      <c r="H5689" t="s">
        <v>5750</v>
      </c>
      <c r="I5689">
        <v>2</v>
      </c>
    </row>
    <row r="5690" spans="7:9" x14ac:dyDescent="0.15">
      <c r="G5690">
        <v>85204</v>
      </c>
      <c r="H5690" t="s">
        <v>5751</v>
      </c>
      <c r="I5690">
        <v>3</v>
      </c>
    </row>
    <row r="5691" spans="7:9" x14ac:dyDescent="0.15">
      <c r="G5691">
        <v>85210</v>
      </c>
      <c r="H5691" t="s">
        <v>5752</v>
      </c>
      <c r="I5691">
        <v>3</v>
      </c>
    </row>
    <row r="5692" spans="7:9" x14ac:dyDescent="0.15">
      <c r="G5692">
        <v>85225</v>
      </c>
      <c r="H5692" t="s">
        <v>5753</v>
      </c>
      <c r="I5692">
        <v>3</v>
      </c>
    </row>
    <row r="5693" spans="7:9" x14ac:dyDescent="0.15">
      <c r="G5693">
        <v>85232</v>
      </c>
      <c r="H5693" t="s">
        <v>1004</v>
      </c>
      <c r="I5693">
        <v>1</v>
      </c>
    </row>
    <row r="5694" spans="7:9" x14ac:dyDescent="0.15">
      <c r="G5694">
        <v>85260</v>
      </c>
      <c r="H5694" t="s">
        <v>5754</v>
      </c>
      <c r="I5694">
        <v>3</v>
      </c>
    </row>
    <row r="5695" spans="7:9" x14ac:dyDescent="0.15">
      <c r="G5695">
        <v>85288</v>
      </c>
      <c r="H5695" t="s">
        <v>5755</v>
      </c>
      <c r="I5695">
        <v>2</v>
      </c>
    </row>
    <row r="5696" spans="7:9" x14ac:dyDescent="0.15">
      <c r="G5696">
        <v>85302</v>
      </c>
      <c r="H5696" t="s">
        <v>5756</v>
      </c>
      <c r="I5696">
        <v>3</v>
      </c>
    </row>
    <row r="5697" spans="7:9" x14ac:dyDescent="0.15">
      <c r="G5697">
        <v>85316</v>
      </c>
      <c r="H5697" t="s">
        <v>5757</v>
      </c>
      <c r="I5697">
        <v>3</v>
      </c>
    </row>
    <row r="5698" spans="7:9" x14ac:dyDescent="0.15">
      <c r="G5698">
        <v>85330</v>
      </c>
      <c r="H5698" t="s">
        <v>5758</v>
      </c>
      <c r="I5698">
        <v>3</v>
      </c>
    </row>
    <row r="5699" spans="7:9" x14ac:dyDescent="0.15">
      <c r="G5699">
        <v>85344</v>
      </c>
      <c r="H5699" t="s">
        <v>5759</v>
      </c>
      <c r="I5699">
        <v>2</v>
      </c>
    </row>
    <row r="5700" spans="7:9" x14ac:dyDescent="0.15">
      <c r="G5700">
        <v>85358</v>
      </c>
      <c r="H5700" t="s">
        <v>5760</v>
      </c>
      <c r="I5700">
        <v>3</v>
      </c>
    </row>
    <row r="5701" spans="7:9" x14ac:dyDescent="0.15">
      <c r="G5701">
        <v>85372</v>
      </c>
      <c r="H5701" t="s">
        <v>5761</v>
      </c>
      <c r="I5701">
        <v>3</v>
      </c>
    </row>
    <row r="5702" spans="7:9" x14ac:dyDescent="0.15">
      <c r="G5702">
        <v>85385</v>
      </c>
      <c r="H5702" t="s">
        <v>5762</v>
      </c>
      <c r="I5702">
        <v>3</v>
      </c>
    </row>
    <row r="5703" spans="7:9" x14ac:dyDescent="0.15">
      <c r="G5703">
        <v>85400</v>
      </c>
      <c r="H5703" t="s">
        <v>5762</v>
      </c>
      <c r="I5703">
        <v>3</v>
      </c>
    </row>
    <row r="5704" spans="7:9" x14ac:dyDescent="0.15">
      <c r="G5704">
        <v>85414</v>
      </c>
      <c r="H5704" t="s">
        <v>5762</v>
      </c>
      <c r="I5704">
        <v>2</v>
      </c>
    </row>
    <row r="5705" spans="7:9" x14ac:dyDescent="0.15">
      <c r="G5705">
        <v>85428</v>
      </c>
      <c r="H5705" t="s">
        <v>5763</v>
      </c>
      <c r="I5705">
        <v>3</v>
      </c>
    </row>
    <row r="5706" spans="7:9" x14ac:dyDescent="0.15">
      <c r="G5706">
        <v>85442</v>
      </c>
      <c r="H5706" t="s">
        <v>5764</v>
      </c>
      <c r="I5706">
        <v>2</v>
      </c>
    </row>
    <row r="5707" spans="7:9" x14ac:dyDescent="0.15">
      <c r="G5707">
        <v>85484</v>
      </c>
      <c r="H5707" t="s">
        <v>5765</v>
      </c>
      <c r="I5707">
        <v>1</v>
      </c>
    </row>
    <row r="5708" spans="7:9" x14ac:dyDescent="0.15">
      <c r="G5708">
        <v>85512</v>
      </c>
      <c r="H5708" t="s">
        <v>5766</v>
      </c>
      <c r="I5708">
        <v>1</v>
      </c>
    </row>
    <row r="5709" spans="7:9" x14ac:dyDescent="0.15">
      <c r="G5709">
        <v>85540</v>
      </c>
      <c r="H5709" t="s">
        <v>5767</v>
      </c>
      <c r="I5709">
        <v>3</v>
      </c>
    </row>
    <row r="5710" spans="7:9" x14ac:dyDescent="0.15">
      <c r="G5710">
        <v>85568</v>
      </c>
      <c r="H5710" t="s">
        <v>5768</v>
      </c>
      <c r="I5710">
        <v>3</v>
      </c>
    </row>
    <row r="5711" spans="7:9" x14ac:dyDescent="0.15">
      <c r="G5711">
        <v>85582</v>
      </c>
      <c r="H5711" t="s">
        <v>5769</v>
      </c>
      <c r="I5711">
        <v>3</v>
      </c>
    </row>
    <row r="5712" spans="7:9" x14ac:dyDescent="0.15">
      <c r="G5712">
        <v>85638</v>
      </c>
      <c r="H5712" t="s">
        <v>5770</v>
      </c>
      <c r="I5712">
        <v>1</v>
      </c>
    </row>
    <row r="5713" spans="7:9" x14ac:dyDescent="0.15">
      <c r="G5713">
        <v>85680</v>
      </c>
      <c r="H5713" t="s">
        <v>5771</v>
      </c>
      <c r="I5713">
        <v>3</v>
      </c>
    </row>
    <row r="5714" spans="7:9" x14ac:dyDescent="0.15">
      <c r="G5714">
        <v>85694</v>
      </c>
      <c r="H5714" t="s">
        <v>5772</v>
      </c>
      <c r="I5714">
        <v>3</v>
      </c>
    </row>
    <row r="5715" spans="7:9" x14ac:dyDescent="0.15">
      <c r="G5715">
        <v>85708</v>
      </c>
      <c r="H5715" t="s">
        <v>5773</v>
      </c>
      <c r="I5715">
        <v>3</v>
      </c>
    </row>
    <row r="5716" spans="7:9" x14ac:dyDescent="0.15">
      <c r="G5716">
        <v>85722</v>
      </c>
      <c r="H5716" t="s">
        <v>5774</v>
      </c>
      <c r="I5716">
        <v>3</v>
      </c>
    </row>
    <row r="5717" spans="7:9" x14ac:dyDescent="0.15">
      <c r="G5717">
        <v>85736</v>
      </c>
      <c r="H5717" t="s">
        <v>5775</v>
      </c>
      <c r="I5717">
        <v>2</v>
      </c>
    </row>
    <row r="5718" spans="7:9" x14ac:dyDescent="0.15">
      <c r="G5718">
        <v>85750</v>
      </c>
      <c r="H5718" t="s">
        <v>5776</v>
      </c>
      <c r="I5718">
        <v>3</v>
      </c>
    </row>
    <row r="5719" spans="7:9" x14ac:dyDescent="0.15">
      <c r="G5719">
        <v>85778</v>
      </c>
      <c r="H5719" t="s">
        <v>5777</v>
      </c>
      <c r="I5719">
        <v>3</v>
      </c>
    </row>
    <row r="5720" spans="7:9" x14ac:dyDescent="0.15">
      <c r="G5720">
        <v>85792</v>
      </c>
      <c r="H5720" t="s">
        <v>1005</v>
      </c>
      <c r="I5720">
        <v>1</v>
      </c>
    </row>
    <row r="5721" spans="7:9" x14ac:dyDescent="0.15">
      <c r="G5721">
        <v>85806</v>
      </c>
      <c r="H5721" t="s">
        <v>5778</v>
      </c>
      <c r="I5721">
        <v>2</v>
      </c>
    </row>
    <row r="5722" spans="7:9" x14ac:dyDescent="0.15">
      <c r="G5722">
        <v>85820</v>
      </c>
      <c r="H5722" t="s">
        <v>5779</v>
      </c>
      <c r="I5722">
        <v>3</v>
      </c>
    </row>
    <row r="5723" spans="7:9" x14ac:dyDescent="0.15">
      <c r="G5723">
        <v>85834</v>
      </c>
      <c r="H5723" t="s">
        <v>5780</v>
      </c>
      <c r="I5723">
        <v>2</v>
      </c>
    </row>
    <row r="5724" spans="7:9" x14ac:dyDescent="0.15">
      <c r="G5724">
        <v>85862</v>
      </c>
      <c r="H5724" t="s">
        <v>5781</v>
      </c>
      <c r="I5724">
        <v>3</v>
      </c>
    </row>
    <row r="5725" spans="7:9" x14ac:dyDescent="0.15">
      <c r="G5725">
        <v>85876</v>
      </c>
      <c r="H5725" t="s">
        <v>5782</v>
      </c>
      <c r="I5725">
        <v>2</v>
      </c>
    </row>
    <row r="5726" spans="7:9" x14ac:dyDescent="0.15">
      <c r="G5726">
        <v>85890</v>
      </c>
      <c r="H5726" t="s">
        <v>5783</v>
      </c>
      <c r="I5726">
        <v>3</v>
      </c>
    </row>
    <row r="5727" spans="7:9" x14ac:dyDescent="0.15">
      <c r="G5727">
        <v>85904</v>
      </c>
      <c r="H5727" t="s">
        <v>5782</v>
      </c>
      <c r="I5727">
        <v>3</v>
      </c>
    </row>
    <row r="5728" spans="7:9" x14ac:dyDescent="0.15">
      <c r="G5728">
        <v>85932</v>
      </c>
      <c r="H5728" t="s">
        <v>5784</v>
      </c>
      <c r="I5728">
        <v>3</v>
      </c>
    </row>
    <row r="5729" spans="7:9" x14ac:dyDescent="0.15">
      <c r="G5729">
        <v>85946</v>
      </c>
      <c r="H5729" t="s">
        <v>5785</v>
      </c>
      <c r="I5729">
        <v>2</v>
      </c>
    </row>
    <row r="5730" spans="7:9" x14ac:dyDescent="0.15">
      <c r="G5730">
        <v>85960</v>
      </c>
      <c r="H5730" t="s">
        <v>5786</v>
      </c>
      <c r="I5730">
        <v>3</v>
      </c>
    </row>
    <row r="5731" spans="7:9" x14ac:dyDescent="0.15">
      <c r="G5731">
        <v>85974</v>
      </c>
      <c r="H5731" t="s">
        <v>5787</v>
      </c>
      <c r="I5731">
        <v>3</v>
      </c>
    </row>
    <row r="5732" spans="7:9" x14ac:dyDescent="0.15">
      <c r="G5732">
        <v>85988</v>
      </c>
      <c r="H5732" t="s">
        <v>5788</v>
      </c>
      <c r="I5732">
        <v>3</v>
      </c>
    </row>
    <row r="5733" spans="7:9" x14ac:dyDescent="0.15">
      <c r="G5733">
        <v>86002</v>
      </c>
      <c r="H5733" t="s">
        <v>5788</v>
      </c>
      <c r="I5733">
        <v>3</v>
      </c>
    </row>
    <row r="5734" spans="7:9" x14ac:dyDescent="0.15">
      <c r="G5734">
        <v>86016</v>
      </c>
      <c r="H5734" t="s">
        <v>5788</v>
      </c>
      <c r="I5734">
        <v>3</v>
      </c>
    </row>
    <row r="5735" spans="7:9" x14ac:dyDescent="0.15">
      <c r="G5735">
        <v>86030</v>
      </c>
      <c r="H5735" t="s">
        <v>5787</v>
      </c>
      <c r="I5735">
        <v>3</v>
      </c>
    </row>
    <row r="5736" spans="7:9" x14ac:dyDescent="0.15">
      <c r="G5736">
        <v>86044</v>
      </c>
      <c r="H5736" t="s">
        <v>5787</v>
      </c>
      <c r="I5736">
        <v>3</v>
      </c>
    </row>
    <row r="5737" spans="7:9" x14ac:dyDescent="0.15">
      <c r="G5737">
        <v>86058</v>
      </c>
      <c r="H5737" t="s">
        <v>5789</v>
      </c>
      <c r="I5737">
        <v>3</v>
      </c>
    </row>
    <row r="5738" spans="7:9" x14ac:dyDescent="0.15">
      <c r="G5738">
        <v>86072</v>
      </c>
      <c r="H5738" t="s">
        <v>5790</v>
      </c>
      <c r="I5738">
        <v>2</v>
      </c>
    </row>
    <row r="5739" spans="7:9" x14ac:dyDescent="0.15">
      <c r="G5739">
        <v>86086</v>
      </c>
      <c r="H5739" t="s">
        <v>5791</v>
      </c>
      <c r="I5739">
        <v>3</v>
      </c>
    </row>
    <row r="5740" spans="7:9" x14ac:dyDescent="0.15">
      <c r="G5740">
        <v>86100</v>
      </c>
      <c r="H5740" t="s">
        <v>5792</v>
      </c>
      <c r="I5740">
        <v>3</v>
      </c>
    </row>
    <row r="5741" spans="7:9" x14ac:dyDescent="0.15">
      <c r="G5741">
        <v>86114</v>
      </c>
      <c r="H5741" t="s">
        <v>5793</v>
      </c>
      <c r="I5741">
        <v>3</v>
      </c>
    </row>
    <row r="5742" spans="7:9" x14ac:dyDescent="0.15">
      <c r="G5742">
        <v>86132</v>
      </c>
      <c r="H5742" t="s">
        <v>5794</v>
      </c>
      <c r="I5742">
        <v>3</v>
      </c>
    </row>
    <row r="5743" spans="7:9" x14ac:dyDescent="0.15">
      <c r="G5743">
        <v>86138</v>
      </c>
      <c r="H5743" t="s">
        <v>5795</v>
      </c>
      <c r="I5743">
        <v>3</v>
      </c>
    </row>
    <row r="5744" spans="7:9" x14ac:dyDescent="0.15">
      <c r="G5744">
        <v>86142</v>
      </c>
      <c r="H5744" t="s">
        <v>5796</v>
      </c>
      <c r="I5744">
        <v>3</v>
      </c>
    </row>
    <row r="5745" spans="7:9" x14ac:dyDescent="0.15">
      <c r="G5745">
        <v>86156</v>
      </c>
      <c r="H5745" t="s">
        <v>5797</v>
      </c>
      <c r="I5745">
        <v>3</v>
      </c>
    </row>
    <row r="5746" spans="7:9" x14ac:dyDescent="0.15">
      <c r="G5746">
        <v>86170</v>
      </c>
      <c r="H5746" t="s">
        <v>5798</v>
      </c>
      <c r="I5746">
        <v>3</v>
      </c>
    </row>
    <row r="5747" spans="7:9" x14ac:dyDescent="0.15">
      <c r="G5747">
        <v>86184</v>
      </c>
      <c r="H5747" t="s">
        <v>5799</v>
      </c>
      <c r="I5747">
        <v>2</v>
      </c>
    </row>
    <row r="5748" spans="7:9" x14ac:dyDescent="0.15">
      <c r="G5748">
        <v>86190</v>
      </c>
      <c r="H5748" t="s">
        <v>5800</v>
      </c>
      <c r="I5748">
        <v>3</v>
      </c>
    </row>
    <row r="5749" spans="7:9" x14ac:dyDescent="0.15">
      <c r="G5749">
        <v>86226</v>
      </c>
      <c r="H5749" t="s">
        <v>5801</v>
      </c>
      <c r="I5749">
        <v>3</v>
      </c>
    </row>
    <row r="5750" spans="7:9" x14ac:dyDescent="0.15">
      <c r="G5750">
        <v>86235</v>
      </c>
      <c r="H5750" t="s">
        <v>5802</v>
      </c>
      <c r="I5750">
        <v>3</v>
      </c>
    </row>
    <row r="5751" spans="7:9" x14ac:dyDescent="0.15">
      <c r="G5751">
        <v>86240</v>
      </c>
      <c r="H5751" t="s">
        <v>5803</v>
      </c>
      <c r="I5751">
        <v>3</v>
      </c>
    </row>
    <row r="5752" spans="7:9" x14ac:dyDescent="0.15">
      <c r="G5752">
        <v>86254</v>
      </c>
      <c r="H5752" t="s">
        <v>5804</v>
      </c>
      <c r="I5752">
        <v>1</v>
      </c>
    </row>
    <row r="5753" spans="7:9" x14ac:dyDescent="0.15">
      <c r="G5753">
        <v>86260</v>
      </c>
      <c r="H5753" t="s">
        <v>5805</v>
      </c>
      <c r="I5753">
        <v>3</v>
      </c>
    </row>
    <row r="5754" spans="7:9" x14ac:dyDescent="0.15">
      <c r="G5754">
        <v>86268</v>
      </c>
      <c r="H5754" t="s">
        <v>5806</v>
      </c>
      <c r="I5754">
        <v>3</v>
      </c>
    </row>
    <row r="5755" spans="7:9" x14ac:dyDescent="0.15">
      <c r="G5755">
        <v>86272</v>
      </c>
      <c r="H5755" t="s">
        <v>5807</v>
      </c>
      <c r="I5755">
        <v>3</v>
      </c>
    </row>
    <row r="5756" spans="7:9" x14ac:dyDescent="0.15">
      <c r="G5756">
        <v>86278</v>
      </c>
      <c r="H5756" t="s">
        <v>5808</v>
      </c>
      <c r="I5756">
        <v>3</v>
      </c>
    </row>
    <row r="5757" spans="7:9" x14ac:dyDescent="0.15">
      <c r="G5757">
        <v>86282</v>
      </c>
      <c r="H5757" t="s">
        <v>5809</v>
      </c>
      <c r="I5757">
        <v>2</v>
      </c>
    </row>
    <row r="5758" spans="7:9" x14ac:dyDescent="0.15">
      <c r="G5758">
        <v>86290</v>
      </c>
      <c r="H5758" t="s">
        <v>5810</v>
      </c>
      <c r="I5758">
        <v>3</v>
      </c>
    </row>
    <row r="5759" spans="7:9" x14ac:dyDescent="0.15">
      <c r="G5759">
        <v>86296</v>
      </c>
      <c r="H5759" t="s">
        <v>5811</v>
      </c>
      <c r="I5759">
        <v>3</v>
      </c>
    </row>
    <row r="5760" spans="7:9" x14ac:dyDescent="0.15">
      <c r="G5760">
        <v>86324</v>
      </c>
      <c r="H5760" t="s">
        <v>5812</v>
      </c>
      <c r="I5760">
        <v>3</v>
      </c>
    </row>
    <row r="5761" spans="7:9" x14ac:dyDescent="0.15">
      <c r="G5761">
        <v>86331</v>
      </c>
      <c r="H5761" t="s">
        <v>5813</v>
      </c>
      <c r="I5761">
        <v>3</v>
      </c>
    </row>
    <row r="5762" spans="7:9" x14ac:dyDescent="0.15">
      <c r="G5762">
        <v>86338</v>
      </c>
      <c r="H5762" t="s">
        <v>5814</v>
      </c>
      <c r="I5762">
        <v>3</v>
      </c>
    </row>
    <row r="5763" spans="7:9" x14ac:dyDescent="0.15">
      <c r="G5763">
        <v>86352</v>
      </c>
      <c r="H5763" t="s">
        <v>5815</v>
      </c>
      <c r="I5763">
        <v>3</v>
      </c>
    </row>
    <row r="5764" spans="7:9" x14ac:dyDescent="0.15">
      <c r="G5764">
        <v>86360</v>
      </c>
      <c r="H5764" t="s">
        <v>5816</v>
      </c>
      <c r="I5764">
        <v>3</v>
      </c>
    </row>
    <row r="5765" spans="7:9" x14ac:dyDescent="0.15">
      <c r="G5765">
        <v>86366</v>
      </c>
      <c r="H5765" t="s">
        <v>5817</v>
      </c>
      <c r="I5765">
        <v>2</v>
      </c>
    </row>
    <row r="5766" spans="7:9" x14ac:dyDescent="0.15">
      <c r="G5766">
        <v>86385</v>
      </c>
      <c r="H5766" t="s">
        <v>5818</v>
      </c>
      <c r="I5766">
        <v>3</v>
      </c>
    </row>
    <row r="5767" spans="7:9" x14ac:dyDescent="0.15">
      <c r="G5767">
        <v>86394</v>
      </c>
      <c r="H5767" t="s">
        <v>5819</v>
      </c>
      <c r="I5767">
        <v>2</v>
      </c>
    </row>
    <row r="5768" spans="7:9" x14ac:dyDescent="0.15">
      <c r="G5768">
        <v>86422</v>
      </c>
      <c r="H5768" t="s">
        <v>5820</v>
      </c>
      <c r="I5768">
        <v>3</v>
      </c>
    </row>
    <row r="5769" spans="7:9" x14ac:dyDescent="0.15">
      <c r="G5769">
        <v>86436</v>
      </c>
      <c r="H5769" t="s">
        <v>5821</v>
      </c>
      <c r="I5769">
        <v>2</v>
      </c>
    </row>
    <row r="5770" spans="7:9" x14ac:dyDescent="0.15">
      <c r="G5770">
        <v>86450</v>
      </c>
      <c r="H5770" t="s">
        <v>5822</v>
      </c>
      <c r="I5770">
        <v>3</v>
      </c>
    </row>
    <row r="5771" spans="7:9" x14ac:dyDescent="0.15">
      <c r="G5771">
        <v>86478</v>
      </c>
      <c r="H5771" t="s">
        <v>5823</v>
      </c>
      <c r="I5771">
        <v>2</v>
      </c>
    </row>
    <row r="5772" spans="7:9" x14ac:dyDescent="0.15">
      <c r="G5772">
        <v>86482</v>
      </c>
      <c r="H5772" t="s">
        <v>5824</v>
      </c>
      <c r="I5772">
        <v>3</v>
      </c>
    </row>
    <row r="5773" spans="7:9" x14ac:dyDescent="0.15">
      <c r="G5773">
        <v>86488</v>
      </c>
      <c r="H5773" t="s">
        <v>5825</v>
      </c>
      <c r="I5773">
        <v>3</v>
      </c>
    </row>
    <row r="5774" spans="7:9" x14ac:dyDescent="0.15">
      <c r="G5774">
        <v>86492</v>
      </c>
      <c r="H5774" t="s">
        <v>5825</v>
      </c>
      <c r="I5774">
        <v>2</v>
      </c>
    </row>
    <row r="5775" spans="7:9" x14ac:dyDescent="0.15">
      <c r="G5775">
        <v>86506</v>
      </c>
      <c r="H5775" t="s">
        <v>5826</v>
      </c>
      <c r="I5775">
        <v>3</v>
      </c>
    </row>
    <row r="5776" spans="7:9" x14ac:dyDescent="0.15">
      <c r="G5776">
        <v>86520</v>
      </c>
      <c r="H5776" t="s">
        <v>5827</v>
      </c>
      <c r="I5776">
        <v>3</v>
      </c>
    </row>
    <row r="5777" spans="7:9" x14ac:dyDescent="0.15">
      <c r="G5777">
        <v>86534</v>
      </c>
      <c r="H5777" t="s">
        <v>5828</v>
      </c>
      <c r="I5777">
        <v>3</v>
      </c>
    </row>
    <row r="5778" spans="7:9" x14ac:dyDescent="0.15">
      <c r="G5778">
        <v>86548</v>
      </c>
      <c r="H5778" t="s">
        <v>1006</v>
      </c>
      <c r="I5778">
        <v>1</v>
      </c>
    </row>
    <row r="5779" spans="7:9" x14ac:dyDescent="0.15">
      <c r="G5779">
        <v>86562</v>
      </c>
      <c r="H5779" t="s">
        <v>5829</v>
      </c>
      <c r="I5779">
        <v>3</v>
      </c>
    </row>
    <row r="5780" spans="7:9" x14ac:dyDescent="0.15">
      <c r="G5780">
        <v>86576</v>
      </c>
      <c r="H5780" t="s">
        <v>5830</v>
      </c>
      <c r="I5780">
        <v>3</v>
      </c>
    </row>
    <row r="5781" spans="7:9" x14ac:dyDescent="0.15">
      <c r="G5781">
        <v>86590</v>
      </c>
      <c r="H5781" t="s">
        <v>5831</v>
      </c>
      <c r="I5781">
        <v>3</v>
      </c>
    </row>
    <row r="5782" spans="7:9" x14ac:dyDescent="0.15">
      <c r="G5782">
        <v>86604</v>
      </c>
      <c r="H5782" t="s">
        <v>5832</v>
      </c>
      <c r="I5782">
        <v>1</v>
      </c>
    </row>
    <row r="5783" spans="7:9" x14ac:dyDescent="0.15">
      <c r="G5783">
        <v>86618</v>
      </c>
      <c r="H5783" t="s">
        <v>5833</v>
      </c>
      <c r="I5783">
        <v>3</v>
      </c>
    </row>
    <row r="5784" spans="7:9" x14ac:dyDescent="0.15">
      <c r="G5784">
        <v>86625</v>
      </c>
      <c r="H5784" t="s">
        <v>5834</v>
      </c>
      <c r="I5784">
        <v>3</v>
      </c>
    </row>
    <row r="5785" spans="7:9" x14ac:dyDescent="0.15">
      <c r="G5785">
        <v>86632</v>
      </c>
      <c r="H5785" t="s">
        <v>5835</v>
      </c>
      <c r="I5785">
        <v>2</v>
      </c>
    </row>
    <row r="5786" spans="7:9" x14ac:dyDescent="0.15">
      <c r="G5786">
        <v>86660</v>
      </c>
      <c r="H5786" t="s">
        <v>5836</v>
      </c>
      <c r="I5786">
        <v>2</v>
      </c>
    </row>
    <row r="5787" spans="7:9" x14ac:dyDescent="0.15">
      <c r="G5787">
        <v>86665</v>
      </c>
      <c r="H5787" t="s">
        <v>5837</v>
      </c>
      <c r="I5787">
        <v>3</v>
      </c>
    </row>
    <row r="5788" spans="7:9" x14ac:dyDescent="0.15">
      <c r="G5788">
        <v>86674</v>
      </c>
      <c r="H5788" t="s">
        <v>5838</v>
      </c>
      <c r="I5788">
        <v>3</v>
      </c>
    </row>
    <row r="5789" spans="7:9" x14ac:dyDescent="0.15">
      <c r="G5789">
        <v>86710</v>
      </c>
      <c r="H5789" t="s">
        <v>5839</v>
      </c>
      <c r="I5789">
        <v>3</v>
      </c>
    </row>
    <row r="5790" spans="7:9" x14ac:dyDescent="0.15">
      <c r="G5790">
        <v>86716</v>
      </c>
      <c r="H5790" t="s">
        <v>5840</v>
      </c>
      <c r="I5790">
        <v>3</v>
      </c>
    </row>
    <row r="5791" spans="7:9" x14ac:dyDescent="0.15">
      <c r="G5791">
        <v>86730</v>
      </c>
      <c r="H5791" t="s">
        <v>5841</v>
      </c>
      <c r="I5791">
        <v>1</v>
      </c>
    </row>
    <row r="5792" spans="7:9" x14ac:dyDescent="0.15">
      <c r="G5792">
        <v>86744</v>
      </c>
      <c r="H5792" t="s">
        <v>5842</v>
      </c>
      <c r="I5792">
        <v>3</v>
      </c>
    </row>
    <row r="5793" spans="7:9" x14ac:dyDescent="0.15">
      <c r="G5793">
        <v>86772</v>
      </c>
      <c r="H5793" t="s">
        <v>5843</v>
      </c>
      <c r="I5793">
        <v>1</v>
      </c>
    </row>
    <row r="5794" spans="7:9" x14ac:dyDescent="0.15">
      <c r="G5794">
        <v>86786</v>
      </c>
      <c r="H5794" t="s">
        <v>5844</v>
      </c>
      <c r="I5794">
        <v>3</v>
      </c>
    </row>
    <row r="5795" spans="7:9" x14ac:dyDescent="0.15">
      <c r="G5795">
        <v>86814</v>
      </c>
      <c r="H5795" t="s">
        <v>5845</v>
      </c>
      <c r="I5795">
        <v>3</v>
      </c>
    </row>
    <row r="5796" spans="7:9" x14ac:dyDescent="0.15">
      <c r="G5796">
        <v>86828</v>
      </c>
      <c r="H5796" t="s">
        <v>5846</v>
      </c>
      <c r="I5796">
        <v>3</v>
      </c>
    </row>
    <row r="5797" spans="7:9" x14ac:dyDescent="0.15">
      <c r="G5797">
        <v>86842</v>
      </c>
      <c r="H5797" t="s">
        <v>5847</v>
      </c>
      <c r="I5797">
        <v>3</v>
      </c>
    </row>
    <row r="5798" spans="7:9" x14ac:dyDescent="0.15">
      <c r="G5798">
        <v>86856</v>
      </c>
      <c r="H5798" t="s">
        <v>5848</v>
      </c>
      <c r="I5798">
        <v>2</v>
      </c>
    </row>
    <row r="5799" spans="7:9" x14ac:dyDescent="0.15">
      <c r="G5799">
        <v>86870</v>
      </c>
      <c r="H5799" t="s">
        <v>5849</v>
      </c>
      <c r="I5799">
        <v>3</v>
      </c>
    </row>
    <row r="5800" spans="7:9" x14ac:dyDescent="0.15">
      <c r="G5800">
        <v>86872</v>
      </c>
      <c r="H5800" t="s">
        <v>5849</v>
      </c>
      <c r="I5800">
        <v>3</v>
      </c>
    </row>
    <row r="5801" spans="7:9" x14ac:dyDescent="0.15">
      <c r="G5801">
        <v>86875</v>
      </c>
      <c r="H5801" t="s">
        <v>5849</v>
      </c>
      <c r="I5801">
        <v>3</v>
      </c>
    </row>
    <row r="5802" spans="7:9" x14ac:dyDescent="0.15">
      <c r="G5802">
        <v>86877</v>
      </c>
      <c r="H5802" t="s">
        <v>5850</v>
      </c>
      <c r="I5802">
        <v>3</v>
      </c>
    </row>
    <row r="5803" spans="7:9" x14ac:dyDescent="0.15">
      <c r="G5803">
        <v>86880</v>
      </c>
      <c r="H5803" t="s">
        <v>5851</v>
      </c>
      <c r="I5803">
        <v>3</v>
      </c>
    </row>
    <row r="5804" spans="7:9" x14ac:dyDescent="0.15">
      <c r="G5804">
        <v>86884</v>
      </c>
      <c r="H5804" t="s">
        <v>5852</v>
      </c>
      <c r="I5804">
        <v>3</v>
      </c>
    </row>
    <row r="5805" spans="7:9" x14ac:dyDescent="0.15">
      <c r="G5805">
        <v>86898</v>
      </c>
      <c r="H5805" t="s">
        <v>5853</v>
      </c>
      <c r="I5805">
        <v>3</v>
      </c>
    </row>
    <row r="5806" spans="7:9" x14ac:dyDescent="0.15">
      <c r="G5806">
        <v>86912</v>
      </c>
      <c r="H5806" t="s">
        <v>5854</v>
      </c>
      <c r="I5806">
        <v>3</v>
      </c>
    </row>
    <row r="5807" spans="7:9" x14ac:dyDescent="0.15">
      <c r="G5807">
        <v>86926</v>
      </c>
      <c r="H5807" t="s">
        <v>5855</v>
      </c>
      <c r="I5807">
        <v>3</v>
      </c>
    </row>
    <row r="5808" spans="7:9" x14ac:dyDescent="0.15">
      <c r="G5808">
        <v>86940</v>
      </c>
      <c r="H5808" t="s">
        <v>5856</v>
      </c>
      <c r="I5808">
        <v>2</v>
      </c>
    </row>
    <row r="5809" spans="7:9" x14ac:dyDescent="0.15">
      <c r="G5809">
        <v>86945</v>
      </c>
      <c r="H5809" t="s">
        <v>5857</v>
      </c>
      <c r="I5809">
        <v>3</v>
      </c>
    </row>
    <row r="5810" spans="7:9" x14ac:dyDescent="0.15">
      <c r="G5810">
        <v>86954</v>
      </c>
      <c r="H5810" t="s">
        <v>5858</v>
      </c>
      <c r="I5810">
        <v>3</v>
      </c>
    </row>
    <row r="5811" spans="7:9" x14ac:dyDescent="0.15">
      <c r="G5811">
        <v>86968</v>
      </c>
      <c r="H5811" t="s">
        <v>5859</v>
      </c>
      <c r="I5811">
        <v>3</v>
      </c>
    </row>
    <row r="5812" spans="7:9" x14ac:dyDescent="0.15">
      <c r="G5812">
        <v>86975</v>
      </c>
      <c r="H5812" t="s">
        <v>5860</v>
      </c>
      <c r="I5812">
        <v>3</v>
      </c>
    </row>
    <row r="5813" spans="7:9" x14ac:dyDescent="0.15">
      <c r="G5813">
        <v>86982</v>
      </c>
      <c r="H5813" t="s">
        <v>5861</v>
      </c>
      <c r="I5813">
        <v>3</v>
      </c>
    </row>
    <row r="5814" spans="7:9" x14ac:dyDescent="0.15">
      <c r="G5814">
        <v>86996</v>
      </c>
      <c r="H5814" t="s">
        <v>5861</v>
      </c>
      <c r="I5814">
        <v>3</v>
      </c>
    </row>
    <row r="5815" spans="7:9" x14ac:dyDescent="0.15">
      <c r="G5815">
        <v>87010</v>
      </c>
      <c r="H5815" t="s">
        <v>5861</v>
      </c>
      <c r="I5815">
        <v>3</v>
      </c>
    </row>
    <row r="5816" spans="7:9" x14ac:dyDescent="0.15">
      <c r="G5816">
        <v>87024</v>
      </c>
      <c r="H5816" t="s">
        <v>5861</v>
      </c>
      <c r="I5816">
        <v>3</v>
      </c>
    </row>
    <row r="5817" spans="7:9" x14ac:dyDescent="0.15">
      <c r="G5817">
        <v>87038</v>
      </c>
      <c r="H5817" t="s">
        <v>5862</v>
      </c>
      <c r="I5817">
        <v>3</v>
      </c>
    </row>
    <row r="5818" spans="7:9" x14ac:dyDescent="0.15">
      <c r="G5818">
        <v>87052</v>
      </c>
      <c r="H5818" t="s">
        <v>5861</v>
      </c>
      <c r="I5818">
        <v>3</v>
      </c>
    </row>
    <row r="5819" spans="7:9" x14ac:dyDescent="0.15">
      <c r="G5819">
        <v>87066</v>
      </c>
      <c r="H5819" t="s">
        <v>5861</v>
      </c>
      <c r="I5819">
        <v>3</v>
      </c>
    </row>
    <row r="5820" spans="7:9" x14ac:dyDescent="0.15">
      <c r="G5820">
        <v>87080</v>
      </c>
      <c r="H5820" t="s">
        <v>5861</v>
      </c>
      <c r="I5820">
        <v>3</v>
      </c>
    </row>
    <row r="5821" spans="7:9" x14ac:dyDescent="0.15">
      <c r="G5821">
        <v>87094</v>
      </c>
      <c r="H5821" t="s">
        <v>5861</v>
      </c>
      <c r="I5821">
        <v>3</v>
      </c>
    </row>
    <row r="5822" spans="7:9" x14ac:dyDescent="0.15">
      <c r="G5822">
        <v>87122</v>
      </c>
      <c r="H5822" t="s">
        <v>5861</v>
      </c>
      <c r="I5822">
        <v>3</v>
      </c>
    </row>
    <row r="5823" spans="7:9" x14ac:dyDescent="0.15">
      <c r="G5823">
        <v>87136</v>
      </c>
      <c r="H5823" t="s">
        <v>5861</v>
      </c>
      <c r="I5823">
        <v>3</v>
      </c>
    </row>
    <row r="5824" spans="7:9" x14ac:dyDescent="0.15">
      <c r="G5824">
        <v>87150</v>
      </c>
      <c r="H5824" t="s">
        <v>5863</v>
      </c>
      <c r="I5824">
        <v>3</v>
      </c>
    </row>
    <row r="5825" spans="7:9" x14ac:dyDescent="0.15">
      <c r="G5825">
        <v>87164</v>
      </c>
      <c r="H5825" t="s">
        <v>5864</v>
      </c>
      <c r="I5825">
        <v>2</v>
      </c>
    </row>
    <row r="5826" spans="7:9" x14ac:dyDescent="0.15">
      <c r="G5826">
        <v>87170</v>
      </c>
      <c r="H5826" t="s">
        <v>5865</v>
      </c>
      <c r="I5826">
        <v>3</v>
      </c>
    </row>
    <row r="5827" spans="7:9" x14ac:dyDescent="0.15">
      <c r="G5827">
        <v>87178</v>
      </c>
      <c r="H5827" t="s">
        <v>5866</v>
      </c>
      <c r="I5827">
        <v>2</v>
      </c>
    </row>
    <row r="5828" spans="7:9" x14ac:dyDescent="0.15">
      <c r="G5828">
        <v>87185</v>
      </c>
      <c r="H5828" t="s">
        <v>5867</v>
      </c>
      <c r="I5828">
        <v>3</v>
      </c>
    </row>
    <row r="5829" spans="7:9" x14ac:dyDescent="0.15">
      <c r="G5829">
        <v>87192</v>
      </c>
      <c r="H5829" t="s">
        <v>5868</v>
      </c>
      <c r="I5829">
        <v>3</v>
      </c>
    </row>
    <row r="5830" spans="7:9" x14ac:dyDescent="0.15">
      <c r="G5830">
        <v>87206</v>
      </c>
      <c r="H5830" t="s">
        <v>5869</v>
      </c>
      <c r="I5830">
        <v>3</v>
      </c>
    </row>
    <row r="5831" spans="7:9" x14ac:dyDescent="0.15">
      <c r="G5831">
        <v>87220</v>
      </c>
      <c r="H5831" t="s">
        <v>5870</v>
      </c>
      <c r="I5831">
        <v>3</v>
      </c>
    </row>
    <row r="5832" spans="7:9" x14ac:dyDescent="0.15">
      <c r="G5832">
        <v>87234</v>
      </c>
      <c r="H5832" t="s">
        <v>5871</v>
      </c>
      <c r="I5832">
        <v>3</v>
      </c>
    </row>
    <row r="5833" spans="7:9" x14ac:dyDescent="0.15">
      <c r="G5833">
        <v>88000</v>
      </c>
      <c r="H5833" t="s">
        <v>5872</v>
      </c>
      <c r="I5833">
        <v>1</v>
      </c>
    </row>
    <row r="5834" spans="7:9" x14ac:dyDescent="0.15">
      <c r="G5834">
        <v>88014</v>
      </c>
      <c r="H5834" t="s">
        <v>5873</v>
      </c>
      <c r="I5834">
        <v>3</v>
      </c>
    </row>
    <row r="5835" spans="7:9" x14ac:dyDescent="0.15">
      <c r="G5835">
        <v>88020</v>
      </c>
      <c r="H5835" t="s">
        <v>5874</v>
      </c>
      <c r="I5835">
        <v>3</v>
      </c>
    </row>
    <row r="5836" spans="7:9" x14ac:dyDescent="0.15">
      <c r="G5836">
        <v>88028</v>
      </c>
      <c r="H5836" t="s">
        <v>5875</v>
      </c>
      <c r="I5836">
        <v>2</v>
      </c>
    </row>
    <row r="5837" spans="7:9" x14ac:dyDescent="0.15">
      <c r="G5837">
        <v>88042</v>
      </c>
      <c r="H5837" t="s">
        <v>5876</v>
      </c>
      <c r="I5837">
        <v>3</v>
      </c>
    </row>
    <row r="5838" spans="7:9" x14ac:dyDescent="0.15">
      <c r="G5838">
        <v>88070</v>
      </c>
      <c r="H5838" t="s">
        <v>5877</v>
      </c>
      <c r="I5838">
        <v>2</v>
      </c>
    </row>
    <row r="5839" spans="7:9" x14ac:dyDescent="0.15">
      <c r="G5839">
        <v>88084</v>
      </c>
      <c r="H5839" t="s">
        <v>1007</v>
      </c>
      <c r="I5839">
        <v>1</v>
      </c>
    </row>
    <row r="5840" spans="7:9" x14ac:dyDescent="0.15">
      <c r="G5840">
        <v>88090</v>
      </c>
      <c r="H5840" t="s">
        <v>5878</v>
      </c>
      <c r="I5840">
        <v>3</v>
      </c>
    </row>
    <row r="5841" spans="7:9" x14ac:dyDescent="0.15">
      <c r="G5841">
        <v>88112</v>
      </c>
      <c r="H5841" t="s">
        <v>5879</v>
      </c>
      <c r="I5841">
        <v>3</v>
      </c>
    </row>
    <row r="5842" spans="7:9" x14ac:dyDescent="0.15">
      <c r="G5842">
        <v>88135</v>
      </c>
      <c r="H5842" t="s">
        <v>5880</v>
      </c>
      <c r="I5842">
        <v>3</v>
      </c>
    </row>
    <row r="5843" spans="7:9" x14ac:dyDescent="0.15">
      <c r="G5843">
        <v>88140</v>
      </c>
      <c r="H5843" t="s">
        <v>5881</v>
      </c>
      <c r="I5843">
        <v>3</v>
      </c>
    </row>
    <row r="5844" spans="7:9" x14ac:dyDescent="0.15">
      <c r="G5844">
        <v>88160</v>
      </c>
      <c r="H5844" t="s">
        <v>5882</v>
      </c>
      <c r="I5844">
        <v>3</v>
      </c>
    </row>
    <row r="5845" spans="7:9" x14ac:dyDescent="0.15">
      <c r="G5845">
        <v>88168</v>
      </c>
      <c r="H5845" t="s">
        <v>5883</v>
      </c>
      <c r="I5845">
        <v>2</v>
      </c>
    </row>
    <row r="5846" spans="7:9" x14ac:dyDescent="0.15">
      <c r="G5846">
        <v>88182</v>
      </c>
      <c r="H5846" t="s">
        <v>5883</v>
      </c>
      <c r="I5846">
        <v>3</v>
      </c>
    </row>
    <row r="5847" spans="7:9" x14ac:dyDescent="0.15">
      <c r="G5847">
        <v>88196</v>
      </c>
      <c r="H5847" t="s">
        <v>5884</v>
      </c>
      <c r="I5847">
        <v>3</v>
      </c>
    </row>
    <row r="5848" spans="7:9" x14ac:dyDescent="0.15">
      <c r="G5848">
        <v>88210</v>
      </c>
      <c r="H5848" t="s">
        <v>5885</v>
      </c>
      <c r="I5848">
        <v>3</v>
      </c>
    </row>
    <row r="5849" spans="7:9" x14ac:dyDescent="0.15">
      <c r="G5849">
        <v>88225</v>
      </c>
      <c r="H5849" t="s">
        <v>5886</v>
      </c>
      <c r="I5849">
        <v>3</v>
      </c>
    </row>
    <row r="5850" spans="7:9" x14ac:dyDescent="0.15">
      <c r="G5850">
        <v>99035</v>
      </c>
      <c r="H5850" t="s">
        <v>5887</v>
      </c>
      <c r="I5850">
        <v>3</v>
      </c>
    </row>
    <row r="5851" spans="7:9" x14ac:dyDescent="0.15">
      <c r="G5851">
        <v>99055</v>
      </c>
      <c r="H5851" t="s">
        <v>5888</v>
      </c>
      <c r="I5851">
        <v>3</v>
      </c>
    </row>
    <row r="5852" spans="7:9" x14ac:dyDescent="0.15">
      <c r="G5852">
        <v>99085</v>
      </c>
      <c r="H5852" t="s">
        <v>5889</v>
      </c>
      <c r="I5852">
        <v>3</v>
      </c>
    </row>
    <row r="5853" spans="7:9" x14ac:dyDescent="0.15">
      <c r="G5853">
        <v>99093</v>
      </c>
      <c r="H5853" t="s">
        <v>5890</v>
      </c>
      <c r="I5853">
        <v>3</v>
      </c>
    </row>
    <row r="5854" spans="7:9" x14ac:dyDescent="0.15">
      <c r="G5854">
        <v>99103</v>
      </c>
      <c r="H5854" t="s">
        <v>5891</v>
      </c>
      <c r="I5854">
        <v>3</v>
      </c>
    </row>
    <row r="5855" spans="7:9" x14ac:dyDescent="0.15">
      <c r="G5855">
        <v>99133</v>
      </c>
      <c r="H5855" t="s">
        <v>5892</v>
      </c>
      <c r="I5855">
        <v>3</v>
      </c>
    </row>
    <row r="5856" spans="7:9" x14ac:dyDescent="0.15">
      <c r="G5856">
        <v>99153</v>
      </c>
      <c r="H5856" t="s">
        <v>5893</v>
      </c>
      <c r="I5856">
        <v>3</v>
      </c>
    </row>
    <row r="5857" spans="7:9" x14ac:dyDescent="0.15">
      <c r="G5857">
        <v>99001</v>
      </c>
      <c r="H5857" t="s">
        <v>5894</v>
      </c>
      <c r="I5857">
        <v>3</v>
      </c>
    </row>
    <row r="5858" spans="7:9" x14ac:dyDescent="0.15">
      <c r="G5858">
        <v>99003</v>
      </c>
      <c r="H5858" t="s">
        <v>5895</v>
      </c>
      <c r="I5858">
        <v>3</v>
      </c>
    </row>
    <row r="5859" spans="7:9" x14ac:dyDescent="0.15">
      <c r="G5859">
        <v>99005</v>
      </c>
      <c r="H5859" t="s">
        <v>1144</v>
      </c>
      <c r="I5859">
        <v>3</v>
      </c>
    </row>
    <row r="5860" spans="7:9" x14ac:dyDescent="0.15">
      <c r="G5860">
        <v>99007</v>
      </c>
      <c r="H5860" t="s">
        <v>5896</v>
      </c>
      <c r="I5860">
        <v>3</v>
      </c>
    </row>
    <row r="5861" spans="7:9" x14ac:dyDescent="0.15">
      <c r="G5861">
        <v>99009</v>
      </c>
      <c r="H5861" t="s">
        <v>5897</v>
      </c>
      <c r="I5861">
        <v>3</v>
      </c>
    </row>
    <row r="5862" spans="7:9" x14ac:dyDescent="0.15">
      <c r="G5862">
        <v>99011</v>
      </c>
      <c r="H5862" t="s">
        <v>5898</v>
      </c>
      <c r="I5862">
        <v>3</v>
      </c>
    </row>
    <row r="5863" spans="7:9" x14ac:dyDescent="0.15">
      <c r="G5863">
        <v>99013</v>
      </c>
      <c r="H5863" t="s">
        <v>5899</v>
      </c>
      <c r="I5863">
        <v>3</v>
      </c>
    </row>
    <row r="5864" spans="7:9" x14ac:dyDescent="0.15">
      <c r="G5864">
        <v>99015</v>
      </c>
      <c r="H5864" t="s">
        <v>5900</v>
      </c>
      <c r="I5864">
        <v>3</v>
      </c>
    </row>
    <row r="5865" spans="7:9" x14ac:dyDescent="0.15">
      <c r="G5865">
        <v>99017</v>
      </c>
      <c r="H5865" t="s">
        <v>5901</v>
      </c>
      <c r="I5865">
        <v>3</v>
      </c>
    </row>
    <row r="5866" spans="7:9" x14ac:dyDescent="0.15">
      <c r="G5866">
        <v>99019</v>
      </c>
      <c r="H5866" t="s">
        <v>5902</v>
      </c>
      <c r="I5866">
        <v>3</v>
      </c>
    </row>
    <row r="5867" spans="7:9" x14ac:dyDescent="0.15">
      <c r="G5867">
        <v>99021</v>
      </c>
      <c r="H5867" t="s">
        <v>5903</v>
      </c>
      <c r="I5867">
        <v>3</v>
      </c>
    </row>
    <row r="5868" spans="7:9" x14ac:dyDescent="0.15">
      <c r="G5868">
        <v>99023</v>
      </c>
      <c r="H5868" t="s">
        <v>5904</v>
      </c>
      <c r="I5868">
        <v>3</v>
      </c>
    </row>
    <row r="5869" spans="7:9" x14ac:dyDescent="0.15">
      <c r="G5869">
        <v>99025</v>
      </c>
      <c r="H5869" t="s">
        <v>5905</v>
      </c>
      <c r="I5869">
        <v>3</v>
      </c>
    </row>
    <row r="5870" spans="7:9" x14ac:dyDescent="0.15">
      <c r="G5870">
        <v>99027</v>
      </c>
      <c r="H5870" t="s">
        <v>5906</v>
      </c>
      <c r="I5870">
        <v>3</v>
      </c>
    </row>
    <row r="5871" spans="7:9" x14ac:dyDescent="0.15">
      <c r="G5871">
        <v>99029</v>
      </c>
      <c r="H5871" t="s">
        <v>5907</v>
      </c>
      <c r="I5871">
        <v>3</v>
      </c>
    </row>
    <row r="5872" spans="7:9" x14ac:dyDescent="0.15">
      <c r="G5872">
        <v>99031</v>
      </c>
      <c r="H5872" t="s">
        <v>5908</v>
      </c>
      <c r="I5872">
        <v>3</v>
      </c>
    </row>
    <row r="5873" spans="7:9" x14ac:dyDescent="0.15">
      <c r="G5873">
        <v>99033</v>
      </c>
      <c r="H5873" t="s">
        <v>5909</v>
      </c>
      <c r="I5873">
        <v>3</v>
      </c>
    </row>
    <row r="5874" spans="7:9" x14ac:dyDescent="0.15">
      <c r="G5874">
        <v>99037</v>
      </c>
      <c r="H5874" t="s">
        <v>5910</v>
      </c>
      <c r="I5874">
        <v>3</v>
      </c>
    </row>
    <row r="5875" spans="7:9" x14ac:dyDescent="0.15">
      <c r="G5875">
        <v>99039</v>
      </c>
      <c r="H5875" t="s">
        <v>5911</v>
      </c>
      <c r="I5875">
        <v>3</v>
      </c>
    </row>
    <row r="5876" spans="7:9" x14ac:dyDescent="0.15">
      <c r="G5876">
        <v>99041</v>
      </c>
      <c r="H5876" t="s">
        <v>5912</v>
      </c>
      <c r="I5876">
        <v>3</v>
      </c>
    </row>
    <row r="5877" spans="7:9" x14ac:dyDescent="0.15">
      <c r="G5877">
        <v>99043</v>
      </c>
      <c r="H5877" t="s">
        <v>5913</v>
      </c>
      <c r="I5877">
        <v>3</v>
      </c>
    </row>
    <row r="5878" spans="7:9" x14ac:dyDescent="0.15">
      <c r="G5878">
        <v>99045</v>
      </c>
      <c r="H5878" t="s">
        <v>5914</v>
      </c>
      <c r="I5878">
        <v>3</v>
      </c>
    </row>
    <row r="5879" spans="7:9" x14ac:dyDescent="0.15">
      <c r="G5879">
        <v>99047</v>
      </c>
      <c r="H5879" t="s">
        <v>5915</v>
      </c>
      <c r="I5879">
        <v>3</v>
      </c>
    </row>
    <row r="5880" spans="7:9" x14ac:dyDescent="0.15">
      <c r="G5880">
        <v>99049</v>
      </c>
      <c r="H5880" t="s">
        <v>5916</v>
      </c>
      <c r="I5880">
        <v>3</v>
      </c>
    </row>
    <row r="5881" spans="7:9" x14ac:dyDescent="0.15">
      <c r="G5881">
        <v>99051</v>
      </c>
      <c r="H5881" t="s">
        <v>5917</v>
      </c>
      <c r="I5881">
        <v>3</v>
      </c>
    </row>
    <row r="5882" spans="7:9" x14ac:dyDescent="0.15">
      <c r="G5882">
        <v>99053</v>
      </c>
      <c r="H5882" t="s">
        <v>5918</v>
      </c>
      <c r="I5882">
        <v>3</v>
      </c>
    </row>
    <row r="5883" spans="7:9" x14ac:dyDescent="0.15">
      <c r="G5883">
        <v>99057</v>
      </c>
      <c r="H5883" t="s">
        <v>5919</v>
      </c>
      <c r="I5883">
        <v>3</v>
      </c>
    </row>
    <row r="5884" spans="7:9" x14ac:dyDescent="0.15">
      <c r="G5884">
        <v>99059</v>
      </c>
      <c r="H5884" t="s">
        <v>5920</v>
      </c>
      <c r="I5884">
        <v>3</v>
      </c>
    </row>
    <row r="5885" spans="7:9" x14ac:dyDescent="0.15">
      <c r="G5885">
        <v>99061</v>
      </c>
      <c r="H5885" t="s">
        <v>5921</v>
      </c>
      <c r="I5885">
        <v>3</v>
      </c>
    </row>
    <row r="5886" spans="7:9" x14ac:dyDescent="0.15">
      <c r="G5886">
        <v>99063</v>
      </c>
      <c r="H5886" t="s">
        <v>5922</v>
      </c>
      <c r="I5886">
        <v>3</v>
      </c>
    </row>
    <row r="5887" spans="7:9" x14ac:dyDescent="0.15">
      <c r="G5887">
        <v>99065</v>
      </c>
      <c r="H5887" t="s">
        <v>5923</v>
      </c>
      <c r="I5887">
        <v>3</v>
      </c>
    </row>
    <row r="5888" spans="7:9" x14ac:dyDescent="0.15">
      <c r="G5888">
        <v>99067</v>
      </c>
      <c r="H5888" t="s">
        <v>5924</v>
      </c>
      <c r="I5888">
        <v>3</v>
      </c>
    </row>
    <row r="5889" spans="7:9" x14ac:dyDescent="0.15">
      <c r="G5889">
        <v>99069</v>
      </c>
      <c r="H5889" t="s">
        <v>5925</v>
      </c>
      <c r="I5889">
        <v>3</v>
      </c>
    </row>
    <row r="5890" spans="7:9" x14ac:dyDescent="0.15">
      <c r="G5890">
        <v>99071</v>
      </c>
      <c r="H5890" t="s">
        <v>5926</v>
      </c>
      <c r="I5890">
        <v>3</v>
      </c>
    </row>
    <row r="5891" spans="7:9" x14ac:dyDescent="0.15">
      <c r="G5891">
        <v>99073</v>
      </c>
      <c r="H5891" t="s">
        <v>5927</v>
      </c>
      <c r="I5891">
        <v>3</v>
      </c>
    </row>
    <row r="5892" spans="7:9" x14ac:dyDescent="0.15">
      <c r="G5892">
        <v>99075</v>
      </c>
      <c r="H5892" t="s">
        <v>1118</v>
      </c>
      <c r="I5892">
        <v>3</v>
      </c>
    </row>
    <row r="5893" spans="7:9" x14ac:dyDescent="0.15">
      <c r="G5893">
        <v>99077</v>
      </c>
      <c r="H5893" t="s">
        <v>5928</v>
      </c>
      <c r="I5893">
        <v>3</v>
      </c>
    </row>
    <row r="5894" spans="7:9" x14ac:dyDescent="0.15">
      <c r="G5894">
        <v>99079</v>
      </c>
      <c r="H5894" t="s">
        <v>5929</v>
      </c>
      <c r="I5894">
        <v>3</v>
      </c>
    </row>
    <row r="5895" spans="7:9" x14ac:dyDescent="0.15">
      <c r="G5895">
        <v>99081</v>
      </c>
      <c r="H5895" t="s">
        <v>5930</v>
      </c>
      <c r="I5895">
        <v>3</v>
      </c>
    </row>
    <row r="5896" spans="7:9" x14ac:dyDescent="0.15">
      <c r="G5896">
        <v>99083</v>
      </c>
      <c r="H5896" t="s">
        <v>5931</v>
      </c>
      <c r="I5896">
        <v>3</v>
      </c>
    </row>
    <row r="5897" spans="7:9" x14ac:dyDescent="0.15">
      <c r="G5897">
        <v>99087</v>
      </c>
      <c r="H5897" t="s">
        <v>5932</v>
      </c>
      <c r="I5897">
        <v>3</v>
      </c>
    </row>
    <row r="5898" spans="7:9" x14ac:dyDescent="0.15">
      <c r="G5898">
        <v>99089</v>
      </c>
      <c r="H5898" t="s">
        <v>5933</v>
      </c>
      <c r="I5898">
        <v>3</v>
      </c>
    </row>
    <row r="5899" spans="7:9" x14ac:dyDescent="0.15">
      <c r="G5899">
        <v>99091</v>
      </c>
      <c r="H5899" t="s">
        <v>5934</v>
      </c>
      <c r="I5899">
        <v>3</v>
      </c>
    </row>
    <row r="5900" spans="7:9" x14ac:dyDescent="0.15">
      <c r="G5900">
        <v>99095</v>
      </c>
      <c r="H5900" t="s">
        <v>5935</v>
      </c>
      <c r="I5900">
        <v>3</v>
      </c>
    </row>
    <row r="5901" spans="7:9" x14ac:dyDescent="0.15">
      <c r="G5901">
        <v>99097</v>
      </c>
      <c r="H5901" t="s">
        <v>5936</v>
      </c>
      <c r="I5901">
        <v>3</v>
      </c>
    </row>
    <row r="5902" spans="7:9" x14ac:dyDescent="0.15">
      <c r="G5902">
        <v>99099</v>
      </c>
      <c r="H5902" t="s">
        <v>5937</v>
      </c>
      <c r="I5902">
        <v>3</v>
      </c>
    </row>
    <row r="5903" spans="7:9" x14ac:dyDescent="0.15">
      <c r="G5903">
        <v>99101</v>
      </c>
      <c r="H5903" t="s">
        <v>5938</v>
      </c>
      <c r="I5903">
        <v>3</v>
      </c>
    </row>
    <row r="5904" spans="7:9" x14ac:dyDescent="0.15">
      <c r="G5904">
        <v>99105</v>
      </c>
      <c r="H5904" t="s">
        <v>5939</v>
      </c>
      <c r="I5904">
        <v>3</v>
      </c>
    </row>
    <row r="5905" spans="7:9" x14ac:dyDescent="0.15">
      <c r="G5905">
        <v>99107</v>
      </c>
      <c r="H5905" t="s">
        <v>5940</v>
      </c>
      <c r="I5905">
        <v>3</v>
      </c>
    </row>
    <row r="5906" spans="7:9" x14ac:dyDescent="0.15">
      <c r="G5906">
        <v>99109</v>
      </c>
      <c r="H5906" t="s">
        <v>5941</v>
      </c>
      <c r="I5906">
        <v>3</v>
      </c>
    </row>
    <row r="5907" spans="7:9" x14ac:dyDescent="0.15">
      <c r="G5907">
        <v>99111</v>
      </c>
      <c r="H5907" t="s">
        <v>5942</v>
      </c>
      <c r="I5907">
        <v>3</v>
      </c>
    </row>
    <row r="5908" spans="7:9" x14ac:dyDescent="0.15">
      <c r="G5908">
        <v>99113</v>
      </c>
      <c r="H5908" t="s">
        <v>5943</v>
      </c>
      <c r="I5908">
        <v>3</v>
      </c>
    </row>
    <row r="5909" spans="7:9" x14ac:dyDescent="0.15">
      <c r="G5909">
        <v>99115</v>
      </c>
      <c r="H5909" t="s">
        <v>5944</v>
      </c>
      <c r="I5909">
        <v>3</v>
      </c>
    </row>
    <row r="5910" spans="7:9" x14ac:dyDescent="0.15">
      <c r="G5910">
        <v>99117</v>
      </c>
      <c r="H5910" t="s">
        <v>5945</v>
      </c>
      <c r="I5910">
        <v>3</v>
      </c>
    </row>
    <row r="5911" spans="7:9" x14ac:dyDescent="0.15">
      <c r="G5911">
        <v>99119</v>
      </c>
      <c r="H5911" t="s">
        <v>5946</v>
      </c>
      <c r="I5911">
        <v>3</v>
      </c>
    </row>
    <row r="5912" spans="7:9" x14ac:dyDescent="0.15">
      <c r="G5912">
        <v>99121</v>
      </c>
      <c r="H5912" t="s">
        <v>5947</v>
      </c>
      <c r="I5912">
        <v>3</v>
      </c>
    </row>
    <row r="5913" spans="7:9" x14ac:dyDescent="0.15">
      <c r="G5913">
        <v>99123</v>
      </c>
      <c r="H5913" t="s">
        <v>5948</v>
      </c>
      <c r="I5913">
        <v>3</v>
      </c>
    </row>
    <row r="5914" spans="7:9" x14ac:dyDescent="0.15">
      <c r="G5914">
        <v>99125</v>
      </c>
      <c r="H5914" t="s">
        <v>5949</v>
      </c>
      <c r="I5914">
        <v>3</v>
      </c>
    </row>
    <row r="5915" spans="7:9" x14ac:dyDescent="0.15">
      <c r="G5915">
        <v>99127</v>
      </c>
      <c r="H5915" t="s">
        <v>5950</v>
      </c>
      <c r="I5915">
        <v>3</v>
      </c>
    </row>
    <row r="5916" spans="7:9" x14ac:dyDescent="0.15">
      <c r="G5916">
        <v>99129</v>
      </c>
      <c r="H5916" t="s">
        <v>5951</v>
      </c>
      <c r="I5916">
        <v>3</v>
      </c>
    </row>
    <row r="5917" spans="7:9" x14ac:dyDescent="0.15">
      <c r="G5917">
        <v>99131</v>
      </c>
      <c r="H5917" t="s">
        <v>5952</v>
      </c>
      <c r="I5917">
        <v>3</v>
      </c>
    </row>
    <row r="5918" spans="7:9" x14ac:dyDescent="0.15">
      <c r="G5918">
        <v>99135</v>
      </c>
      <c r="H5918" t="s">
        <v>5953</v>
      </c>
      <c r="I5918">
        <v>3</v>
      </c>
    </row>
    <row r="5919" spans="7:9" x14ac:dyDescent="0.15">
      <c r="G5919">
        <v>99137</v>
      </c>
      <c r="H5919" t="s">
        <v>5954</v>
      </c>
      <c r="I5919">
        <v>3</v>
      </c>
    </row>
    <row r="5920" spans="7:9" x14ac:dyDescent="0.15">
      <c r="G5920">
        <v>99139</v>
      </c>
      <c r="H5920" t="s">
        <v>5955</v>
      </c>
      <c r="I5920">
        <v>3</v>
      </c>
    </row>
    <row r="5921" spans="7:9" x14ac:dyDescent="0.15">
      <c r="G5921">
        <v>99141</v>
      </c>
      <c r="H5921" t="s">
        <v>5956</v>
      </c>
      <c r="I5921">
        <v>3</v>
      </c>
    </row>
    <row r="5922" spans="7:9" x14ac:dyDescent="0.15">
      <c r="G5922">
        <v>99143</v>
      </c>
      <c r="H5922" t="s">
        <v>5957</v>
      </c>
      <c r="I5922">
        <v>3</v>
      </c>
    </row>
    <row r="5923" spans="7:9" x14ac:dyDescent="0.15">
      <c r="G5923">
        <v>99145</v>
      </c>
      <c r="H5923" t="s">
        <v>5958</v>
      </c>
      <c r="I5923">
        <v>3</v>
      </c>
    </row>
    <row r="5924" spans="7:9" x14ac:dyDescent="0.15">
      <c r="G5924">
        <v>99147</v>
      </c>
      <c r="H5924" t="s">
        <v>5959</v>
      </c>
      <c r="I5924">
        <v>3</v>
      </c>
    </row>
    <row r="5925" spans="7:9" x14ac:dyDescent="0.15">
      <c r="G5925">
        <v>99149</v>
      </c>
      <c r="H5925" t="s">
        <v>5960</v>
      </c>
      <c r="I5925">
        <v>3</v>
      </c>
    </row>
    <row r="5926" spans="7:9" x14ac:dyDescent="0.15">
      <c r="G5926">
        <v>99151</v>
      </c>
      <c r="H5926" t="s">
        <v>5961</v>
      </c>
      <c r="I5926">
        <v>3</v>
      </c>
    </row>
    <row r="5927" spans="7:9" x14ac:dyDescent="0.15">
      <c r="G5927">
        <v>99155</v>
      </c>
      <c r="H5927" t="s">
        <v>5962</v>
      </c>
      <c r="I5927">
        <v>3</v>
      </c>
    </row>
    <row r="5928" spans="7:9" x14ac:dyDescent="0.15">
      <c r="G5928">
        <v>99157</v>
      </c>
      <c r="H5928" t="s">
        <v>5963</v>
      </c>
      <c r="I5928">
        <v>3</v>
      </c>
    </row>
    <row r="5929" spans="7:9" x14ac:dyDescent="0.15">
      <c r="G5929">
        <v>99159</v>
      </c>
      <c r="H5929" t="s">
        <v>5964</v>
      </c>
      <c r="I5929">
        <v>3</v>
      </c>
    </row>
    <row r="5930" spans="7:9" x14ac:dyDescent="0.15">
      <c r="G5930">
        <v>99161</v>
      </c>
      <c r="H5930" t="s">
        <v>5965</v>
      </c>
      <c r="I5930">
        <v>3</v>
      </c>
    </row>
    <row r="5931" spans="7:9" x14ac:dyDescent="0.15">
      <c r="G5931">
        <v>99163</v>
      </c>
      <c r="H5931" t="s">
        <v>5966</v>
      </c>
      <c r="I5931">
        <v>3</v>
      </c>
    </row>
    <row r="5932" spans="7:9" x14ac:dyDescent="0.15">
      <c r="G5932">
        <v>99165</v>
      </c>
      <c r="H5932" t="s">
        <v>5967</v>
      </c>
      <c r="I5932">
        <v>3</v>
      </c>
    </row>
    <row r="5933" spans="7:9" x14ac:dyDescent="0.15">
      <c r="G5933">
        <v>99167</v>
      </c>
      <c r="H5933" t="s">
        <v>5968</v>
      </c>
      <c r="I5933">
        <v>3</v>
      </c>
    </row>
    <row r="5934" spans="7:9" x14ac:dyDescent="0.15">
      <c r="G5934">
        <v>99169</v>
      </c>
      <c r="H5934" t="s">
        <v>5969</v>
      </c>
      <c r="I5934">
        <v>3</v>
      </c>
    </row>
    <row r="5935" spans="7:9" x14ac:dyDescent="0.15">
      <c r="G5935">
        <v>99171</v>
      </c>
      <c r="H5935" t="s">
        <v>5970</v>
      </c>
      <c r="I5935">
        <v>3</v>
      </c>
    </row>
    <row r="5936" spans="7:9" x14ac:dyDescent="0.15">
      <c r="G5936">
        <v>99173</v>
      </c>
      <c r="H5936" t="s">
        <v>5971</v>
      </c>
      <c r="I5936">
        <v>3</v>
      </c>
    </row>
    <row r="5937" spans="7:9" x14ac:dyDescent="0.15">
      <c r="G5937">
        <v>99175</v>
      </c>
      <c r="H5937" t="s">
        <v>5972</v>
      </c>
      <c r="I5937">
        <v>3</v>
      </c>
    </row>
  </sheetData>
  <sheetProtection algorithmName="SHA-512" hashValue="S72TFYgbGsQIuOVNNNvDxSHi/loJa+4dT9Qd9qlX2e2QpRl+yY9vVAdGgoC+3sV4AtIq5rOBZCrbEpeTLWlueQ==" saltValue="JB+WiPWCdhg4Y2YM9Pu17Q==" spinCount="100000" sheet="1" objects="1" scenarios="1"/>
  <autoFilter ref="A1:E636" xr:uid="{00000000-0009-0000-0000-00000A000000}"/>
  <sortState xmlns:xlrd2="http://schemas.microsoft.com/office/spreadsheetml/2017/richdata2" ref="A2:D573">
    <sortCondition ref="A2:A573"/>
    <sortCondition ref="B2:B573"/>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ortOrder xmlns="6fd8e848-80a6-4381-9ac6-eea0ede866b5" xsi:nil="true"/>
    <Category xmlns="6fd8e848-80a6-4381-9ac6-eea0ede866b5">CAM</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0F78CE72816245A92E82C7F8B4FFD3" ma:contentTypeVersion="9" ma:contentTypeDescription="Create a new document." ma:contentTypeScope="" ma:versionID="951bc44dc05895de9288a5c252f8ad3b">
  <xsd:schema xmlns:xsd="http://www.w3.org/2001/XMLSchema" xmlns:xs="http://www.w3.org/2001/XMLSchema" xmlns:p="http://schemas.microsoft.com/office/2006/metadata/properties" xmlns:ns2="6fd8e848-80a6-4381-9ac6-eea0ede866b5" xmlns:ns3="cdf5cfbf-cf86-4eb7-ac31-a9fd0075546e" targetNamespace="http://schemas.microsoft.com/office/2006/metadata/properties" ma:root="true" ma:fieldsID="998272d84addfb2e3709e6802fff7955" ns2:_="" ns3:_="">
    <xsd:import namespace="6fd8e848-80a6-4381-9ac6-eea0ede866b5"/>
    <xsd:import namespace="cdf5cfbf-cf86-4eb7-ac31-a9fd0075546e"/>
    <xsd:element name="properties">
      <xsd:complexType>
        <xsd:sequence>
          <xsd:element name="documentManagement">
            <xsd:complexType>
              <xsd:all>
                <xsd:element ref="ns2:Category" minOccurs="0"/>
                <xsd:element ref="ns2:SortOrde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d8e848-80a6-4381-9ac6-eea0ede866b5" elementFormDefault="qualified">
    <xsd:import namespace="http://schemas.microsoft.com/office/2006/documentManagement/types"/>
    <xsd:import namespace="http://schemas.microsoft.com/office/infopath/2007/PartnerControls"/>
    <xsd:element name="Category" ma:index="8" nillable="true" ma:displayName="Category" ma:default="CAM" ma:format="Dropdown" ma:internalName="Category">
      <xsd:simpleType>
        <xsd:restriction base="dms:Choice">
          <xsd:enumeration value="CAM"/>
          <xsd:enumeration value="GCAT"/>
        </xsd:restriction>
      </xsd:simpleType>
    </xsd:element>
    <xsd:element name="SortOrder" ma:index="9" nillable="true" ma:displayName="SortOrder" ma:internalName="SortOrde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c 3 e e c 9 b c - 9 d 5 6 - 4 f 3 8 - a 3 5 4 - 8 3 c 3 0 8 7 6 3 1 1 8 "   x m l n s = " h t t p : / / s c h e m a s . m i c r o s o f t . c o m / D a t a M a s h u p " > A A A A A G h A A A B Q S w M E F A A C A A g A w 0 7 e W r 2 5 b e G l A A A A 9 g A A A B I A H A B D b 2 5 m a W c v U G F j a 2 F n Z S 5 4 b W w g o h g A K K A U A A A A A A A A A A A A A A A A A A A A A A A A A A A A h Y 9 L D o I w G I S v Q r q n D z B q y E 9 Z u J X E h G j c N r V C I x R D i + V u L j y S V x C j q D u X M / N N M n O / 3 i A b m j q 4 q M 7 q 1 q S I Y Y o C Z W R 7 0 K Z M U e + O 4 R J l H D Z C n k S p g h E 2 N h m s T l H l 3 D k h x H u P f Y z b r i Q R p Y z s 8 3 U h K 9 W I U B v r h J E K f V q H / y 3 E Y f c a w y P M Z j F m i z m m Q C Y T c m 2 + Q D T u f a Y / J q z 6 2 v W d 4 s q E 2 w L I J I G 8 P / A H U E s D B B Q A A g A I A M N O 3 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D T t 5 a D w K R D m E 9 A A A Q 1 A E A E w A c A E Z v c m 1 1 b G F z L 1 N l Y 3 R p b 2 4 x L m 0 g o h g A K K A U A A A A A A A A A A A A A A A A A A A A A A A A A A A A 7 X 3 r b u M 4 t u 7 v G W D e Q a e A P Z U 6 u 1 K p O J e q w t 6 9 A Z U t J + 7 x b W Q 5 m e x G w 1 A c J d G U Y 2 V k O 9 W Z w Q D n H c 4 b n i c 5 i 5 Q W d e O y S M r u B j a m g Z l y J H 4 f J X K R X B 8 v W q t g v g 6 j p T V J / j 3 + j z / 8 / g + / X z 3 6 c X B n j S 6 P Z 2 1 7 4 E X R 4 s + b I H 6 1 f r A W w f o P v 7 f g v 2 c / 9 p 8 8 / 3 Y R w F X n l 3 m w + N D e x H G w X F 9 H 8 b f b K P p 2 8 O 4 f P w 3 9 p + C H N 2 O W N l g H M U / / 5 u d / / t S O l m t I + v P 7 h G z Y 7 f c 6 w P P m 7 R v r j 9 Z B x v 3 T l d 2 f O j / / 4 + M / 3 8 E N u J 0 C 2 l 5 / 9 t W 5 6 A 1 n w 6 8 u A L 3 g l / W H b h w 9 S b D H / 3 y X Q z n D j g K m J T B J L j d 1 g B M B Y B n U J j / l y X / 3 5 6 n d 7 3 W d u t T n g n w S b e I 5 K / H J 3 x Y f O v 7 a v / V X w c G b z s i 7 t l 3 n c j S d O G O 3 8 + a 9 9 U b 8 D X 8 k 2 J 9 4 H f 7 w Z h U s o K 7 T i 7 9 r d z 5 0 R u 3 p w B l 6 r F z e H x 6 2 Y 3 / 1 a P U 6 8 H z s b t u 1 J 5 f w R u + t w 8 O b w I / T y / 1 R 2 + 7 P X G c 8 c g E 4 H X x 1 3 F m v w x L 1 o 7 m / s N z g O Y r X 1 n D z d B t w z N u 3 l r 2 y p q s g n n W C + 3 A Z 3 L 1 n p g Z k 9 s S x r i + d o S V y m z h X j t v z b m Z t Z h V v j 9 9 a H r v / 9 u D 4 n d W F t 1 6 8 Z c D t o J Y A t d 6 B d c d h t F l Z v e V f N 2 D H k 8 3 q G c o g u F P g O R E 8 J + + s Q b i M Y h O W U 8 F y + g 7 x 4 2 i 1 C q G a E 7 j T h 2 J 4 e 3 D 2 z h p 3 R k f D K E 3 1 l h m U Z U 8 s Q f j 1 Z u b d j B 0 g Z q U 9 C V 7 g 3 d a v Z F m m a e E h P q a P M F 1 + W 0 b f l 7 K n z h I f p 4 k v A x 8 6 g p r E r T S x C / Z h O U t p g W S p T 9 L U X / 3 5 t 3 D 5 s D 3 x a Z p 4 E t 4 F q + / h c 2 A d W o M g W N c C z y T A s Q 8 l X g c 8 T 4 H 2 8 g H r h k r 6 K U 0 K H d w 3 6 C + v g s d w X o f 5 j J g A n m s d h 3 5 N 2 X 4 R j x M + y Q 0 / V 2 l Y x V 7 s h 3 U V f J w 9 i L + Y v 8 K D r 2 o Q W M 2 j 9 W M Q W 8 N o e a j 0 x s d Y 4 d 3 w F z a q 3 P 4 V W k 0 N 5 L S Q l R I E K 7 z r L x Z Q y R b r T K 0 R a 6 1 q F X O M F T + C F r X e x M t a S z n + V C m Q d g S Z r 2 A g r U G i F f S D + 7 X l Q W Y 1 6 d E K 3 P D h M Q V g x 1 B I y 7 q E p A P 3 X p 8 D x j m / + 9 D p T T y 3 1 8 Y O f g T D h d U J m f H N 1 2 m S Y b 8 7 a 4 + m Q 9 5 h c Z J o s 1 y / W u 0 7 S c f C C G Z J t m w Y 8 H q j Y b H T G E Z r y 1 5 C y c O Y v 0 o c i + L 7 k Q x o Y l 0 Y 6 A 6 v / V c T D j Q 3 7 9 A A j I Z 3 Y w I + y 5 r f / X 0 4 t 9 p h D G Z 3 5 E J Z 3 v m 3 0 W a t y I O W e M b s d x D F A Y w V 4 X J t U h j C R J e W 6 z 8 9 K 6 L Q P E f 3 9 z o w t N J 2 D E N b B M 1 I E S f 6 r U 4 c v g T f / d c j e 7 E I X i 1 7 P g 9 W K 1 U S t D 7 X D x d x B M P W R e z f B R Z / m E p b p m n Q B C f c C T 4 E j w X G j f X j i t U F 6 1 c X q / y A z Z u + a I t y V m x z S c N k / h G r w K R h 9 S b D a b 9 / A E 8 E T R A c q L d v 3 1 n J r 8 N D / m 8 + k T 3 x L J Y 0 b a n 9 0 Q X 3 Z S H j K 9 t t X 9 r u O 4 4 v 3 n 4 v Y 5 h 4 t u f M P H f q k C z V J B W H j b 8 u v O j M H U 0 h L f j w v Y k 1 h D d l m S X F 2 B 4 N o R w O S i n H r t P t / Y V 3 N R W O y q X J t J s k f s d y 5 8 U O 3 d n g o E p t d 2 a d n s t p 3 1 p v C 0 R w a z h w + H W r f E N k U L n N 2 L L s k / y h p n 0 w h i H H v i 8 W i O 3 N B r 0 + O M U T D 3 x j 8 O y d Y d s h C + X t Y A w P K c X w r J D S 7 n R c Z z L Z x i h L J S j 4 6 8 B l x W r K U p a r K c 9 R u a R S T S x 1 t Y b Y 1 Y v e l T M s l D + 7 K q 8 Z Z J H X D B R F W j P F 9 p V U K r R J b 9 p x u D l / f G d V L 6 Z t t Q 9 t d L 2 5 C 2 Q c o + G F h K R w F V m i 5 Q N F 0 + 2 N J + z N W F s r X E i x 7 E 8 J r M 0 0 w F W v 3 7 c v o H V e j 7 l Z C w 7 p 3 R y h x R S 5 C i s 8 x 0 e K s / i M V v s K u r Y o e U f O B 6 / h j T y Q h 1 0 b / r / n 9 Z x J W i h c v I X r M F i l i X t g G 2 O 7 P e s N f 5 y 6 W b q C X s t S D 6 H V E Y g h n 8 O Q o q B l T X p f + 0 4 Z g v q r m k u S 8 i a V t 0 5 H 5 F F O O h 1 C k / N c u z e c j d r t 6 d g e e h N I O F 3 G z L f 3 m c q 1 R v P 5 5 t l f r g V 9 I p Z H 3 d l 0 2 P P E 8 3 O h b E X 3 1 n Q Z J m k L Q 8 M M H g i t J f d n O k h Y P 8 J T r e 7 C e T K w S E y 2 2 v M K m 5 H d R F 5 w X d a B 8 C V z o w i j 7 t r t X p 8 Z B z q q 5 S G k n I B b w D w E C 3 i t c H Y + 2 K 5 j g x P a S c w 5 + w v K M 7 7 1 l 5 Y d B 7 7 E G + 1 O h 2 0 2 0 I K 9 t f v 2 Z F J 0 R R O X a e 3 D W / B 3 K X o B c m x R 5 3 T j g L k k K w u U v / P L M 9 T s i v 2 p Q n R S I B r H 4 X I e P v s L e B N 4 q J D N k o C b o s S E b m k y A a G P R 8 9 0 4 P 8 V 8 E y l g B c J v 5 Q J z g s P I C V I H K J 0 + o d f R r d I Q s l M Y b P k 9 g r J 2 w t Q 5 h W H 6 F L 0 j + l P s M r L i V y O d H p X 0 J 7 Y / / e G f M b l B m d c b o L C 8 w 2 j o r d W A E I O n f A l v I N m e / n 9 l R h B h m k P 0 h L D x 1 D 0 K b x X z N p y 3 1 8 G p b Y 8 G k P j t 9 t t N l T D 0 O i 5 o z 5 7 t V M g k 9 8 B 0 u c g 9 t O S S l x i i 0 2 g x t F C 1 h x c x 7 m 2 b z S K I Y d g t Z K Y u 4 S 5 N / Q c N / E K 1 c m L I O D P G i S l L A f Q n X r w P + h 3 L 6 9 1 X o R A Y 7 U M o D 9 e 8 z 5 Z k j O H O U M b / K a Z P f U u R z h 5 l + t L S i z F Z r O N A D u U V F R f g o i H I r b s h 2 A 5 f 1 W n E c I 2 + r 5 c P Y b P x k S i N 9 k s w 6 R H M m U S o m v C u 1 g 2 E f b e 6 k Z s + H v P O k w 3 W A X x C z d e f W 4 s t q R L 2 S l 3 6 7 j Q N S d P r 0 1 y V i B J H l O b B H t W G B 5 e 2 F M c R J x t / e g z y Z 5 I 2 X c a f J 9 K M l j D v o q V 6 U E n b 9 m b 9 W P E J p g 1 a I r 1 Z k p z + r E 4 e m 5 u F + E c H D B w r D Z P w Z I 7 k q / W Q f D h 4 Q O I q D B m 6 w 3 v r c n 8 M Y o W 7 5 k X 9 Q L 9 D C T R K L u z j 8 J r u A u h + L 0 4 v A 3 A Z a 7 O t 2 x j O S 8 + e D e 4 g + 5 b 3 z D O s R i / b s D x 2 b D h J H 0 s + / 7 e D + O V B t V J h a o b r h 4 t f 3 l n X Y e L u 0 V 4 H 2 i w Y f c x / T D 5 k D Z I 5 n u / h H M d F r T 7 I Q 5 t r I E b 8 K C 9 e 8 E S B t t V E F h X f j J 7 p G 9 z 5 5 8 r B d V n h T T w l / 5 D w K x O g + t L h c s N 5 g v / S d O c P n 0 U o 0 f 8 v G I 0 D o j K Z R D o W M A n N C Z o K K z K d E r 4 0 4 m o q Z f X o 4 E P b m x 5 q W A r H M 3 F j p 9 e 6 a k z i g J G b z 7 k B k t / O Q + y S i 0 s T 3 b A v 2 C + m 9 y r G I A z d c k E F 0 9 c X F H 8 e P z O + t F f b v y 4 b C Y V U L a i + B F c v 2 5 w G 6 u g s v X D j 2 w B 0 Y / n j 3 W Q b L H w I 7 i F 9 n M c L u o g Z x n k j O V S + 1 j n G e A c S m C z L B t E B f E p Q 3 x i i E V t H p 8 z x G d 4 j 8 3 D Z l V u P x X M l w z z h a 3 b P q 8 D 5 k z X w Y 4 / Z m v E b N 4 C t I k K K r e y D H Y w j F 7 U M s s s 4 R g s o R P M E 5 g l b J l B m O G C l / 6 Y G m T n w + V o 6 g o e u H s Z b W K J t X a 4 K z 6 7 d p w / F a U s W / 2 e s J W E U s F X A N j W 2 c o 3 P E I 9 A B s 4 W + L 2 N s G q H o F t m i 1 n X w d 3 S x U M e k t s j d t 7 3 M Q K E B w j D s B G u 3 F Y D 8 D B 4 A B M d O K v N z G D Y L U U U / P + 4 t U K l / A C w T d J R V w 7 N p C 5 T I t 1 i j X R X g R + y U q q i Y X T v 4 g 2 d 6 9 1 q c U a a f Q A T s x T + v / f g j o c V o R b W f C t p h V L 4 o s g A F f p 0 i / 3 K 1 U I V s B k G X 2 v S 4 t l z 7 c k p O s u 3 8 N l e X 6 h C h S D 7 i L 6 z l Z u J z D k w u t H I f h x n Z B 7 d Q r Z 4 3 D L B O z f G Q 0 r k q N O H P 7 9 7 8 U 9 F s V x p 0 Q E V n E d + N x x A 4 1 9 F 2 Y r N Q X b 4 O s G H D J 2 e w P b v S k a S K c 8 L h D p 0 U a u g 7 V S + h O y O g g A m k e v P O A T 6 Y W J 8 C o Y b O 6 w B k a s M i 5 i / y V Y K B G h 4 V z D k B x b B 6 A o o D C X Y N W D 6 A X + f a d E I i x q s V k 9 0 l U o Q 0 M 9 s j m o r Z X Y 7 1 1 c e t t q 0 X 9 d s P X 2 4 r N S q J Z A f Q e z 2 6 y + q c F O B A y 8 3 0 O r z z I M 7 v g E 2 v d y d 0 d x n B Y 5 U q z F l u F T P j W e s y J P u l F I 8 H E u s Z I q q w k p M V Q F R y o 1 K G / E J 7 Z z t T B h E + k M 3 g 9 I 4 8 t Q r T K K L w L X o b A S 2 p v 4 J V D L 6 L Q A U c o F e y j c g F W 2 3 z R l z n T X c h e h e 3 l t z 9 z O 9 c 2 s 4 4 x t 1 5 u 6 8 i k 5 i 5 j w k 8 P T f F l N d 4 J n n + 2 B I e f o k m k 9 h 8 / q z l y n r z t L J 8 P j P F 1 + l w N I p g X 0 I P J d K O P J z O 6 3 R 5 c j v e y L M M j V X s y j x 2 h R z M s q Z D Y 9 n v U m M z D o 3 o 9 T e 2 j P J t P J G J 7 e 4 Q p H J d s M m u T J Z N R f N y A r 6 9 6 w 4 0 4 v d F 8 P M c z F i T c P d V l M 2 p c j K I z / H g 1 1 Z n Z l U L Z 0 x y d g r P + O l k F d v o O R N 3 L b N + 2 + d r Z F J P e 0 1 y B q 2 S Y 2 M J + X a P G y 5 W 3 H j t P R f k 8 E s T d 8 D l g H X V O m z r A 3 c q E m e l d s Z 6 x m b m U w X x J d h l F s 8 R 0 y 8 f a X h P Z 1 M 5 o O L 0 x y l 2 C x X d 5 E G / C q k g e g X v t 6 5 P 7 J y J A K Q O a E R T A E q R g R W 7 1 k T r 3 A F w a P r 8 E 9 2 z 7 V D e P V 2 s o 4 r 3 2 + v c + a h A + J 1 6 x A K W Z Q 7 l 7 4 T A R y s G V J V Q 4 x g x / 7 y 1 W Y z F x r w M V M C v S N L 2 z 2 U w c s N q c F 8 V O 4 9 L P M + S i R 1 A q O + F H M n Q e m j b D M i t U l y Q L 3 f n P i P J K q O b 4 o D H q Y q D q 2 d m a B e F r B M F R 9 R w L c y o M n j + H 9 + q i 4 G U 2 F B G u J v 8 F o C T z R Z n H H V v R i a x D c 4 Z Z d F S r h f 7 M x 7 S l c s 1 M P n I Z 7 w b y M l L k K q w 1 v D S p N x s t q j S 3 F s 3 n F b T X G 9 5 D a b M T T 7 1 W k W L 7 U y j Z J s B 3 0 h V 4 l v + D K d s T Q G 1 6 o u 6 z D G k / o D S + p A e O G s d Q N E X s i y N s p 7 y h x i T m 1 N Y 6 D + / C X b T k U n r d w V c K 3 j S j b D V W l y + 7 J H n K y u a c f s r C V q k h d v C V j B n U Y 4 C r + 1 l z k 2 0 + I m / m c Z B t Q K r w 9 K W G v y p Q d S C G 5 y G I u 3 i w z k 2 + f b l e T W F n l T s p p r 1 U M L N s 2 V y B M L k m Y C A r J 6 x Y v y x 6 q 7 m U p V q l B F Z i V D E q 2 R b G Q D 2 F Q P K c t B l X Y 4 C g h 7 F W Z S I O S 7 I y U U c p L Y 6 t B V X Z 6 Z r z V W 8 h 6 d 8 d 2 L o E 3 d R / E A f g v E t 7 q N t S M W H I v Z R 6 E C 7 Y / H f y r H L f c K 2 V v P R 6 B 9 p t N J 0 5 p T r V m b 7 s M i o O 9 e A J F H I 7 v l 9 F m h R W o C B X H k f g K e T 8 s L 5 u Q Q B y 8 0 y 0 g G k i c S R O 7 P r 7 y 4 w T l G U Y S / 0 n k z J b I E / e s H 4 I v o o j H W Q v c m 6 8 I + y h K K g 4 C 7 v M k V n 0 d r s G d y h m L I p 8 4 N 7 X w 5 0 H S V V S p 8 h M e 5 V k W S 0 6 N Z i x I e N / A D i r K J M f 0 e G Z 7 s 6 4 9 7 X t b H K A F m F X e A S q h + A 7 R c A 2 m D 2 2 9 6 2 8 W 7 G T H n V g n g t S 8 y b H t o e m 2 s j Q 5 f 1 D + e 3 g r k 2 C A z I a T r j s a F J v Y M I r X j w V 3 k w C I S T Q o X S U A t i j H T x t h T X p s R t e B W v q z / B s E i p m c 5 0 H f F X P 6 l H 9 1 1 Z w + 5 0 E i J 7 k Z y i i y G h a j X 3 J 8 T X r 8 q s D g j b T q G J M r 1 j A m V 6 t f T K 1 W u 5 h a o 2 4 R o l G z C N G o V 4 Q Y 1 y o n k N W p F 5 E 1 6 k 3 d 9 A D S 2 7 6 H P U r x d K A 8 t S t S 5 8 4 G 0 s m n I v k 0 S 4 q K r X i w M A N m 7 8 I S 0 O / g 2 u D L t H O b V 3 O G C d 7 O s G N / B Z + n 2 O F T O L R Q P E v H p m r K 5 1 8 p 7 E k J 2 1 3 4 q 8 f K f h k K n Y 3 x 0 X M 2 Q 1 Q L Q z u + C Y P F X Q 4 n C j f d s 7 s q F H C F K V f W e I o w w d H F n s p 6 P l 4 U y p y d d w 6 W D 2 w t s 7 x e L c W 1 K r g r f 2 k d D M J l + O I v 3 y k w i A V K f v p / u k 7 2 + k v P 3 0 r x W P b j c P 5 t 8 6 w A E H 6 V H z 9 E 7 H E V M N h 9 8 J f 7 c n h 8 Z k 0 C f 7 1 S e T / s R n L z z a 3 D 6 8 c g W J T X 2 K T w z 1 X 4 i Q Z c n A X f r C O O V s C I s 5 W D 6 D m 4 S + a e I P P w 7 / D H 1 1 C Z B U 3 K X i w s L 4 j Z 2 R a s V u v A 9 q 6 O p t 6 V S g G K T b 0 X 0 e K e m e V a B Z R f 9 3 6 K b k O 1 Z 8 6 + H c C O 8 i e O k x d v 5 t 9 U w G I l P H g K D z 0 2 T R W p N C F x i r z r x 0 + W 8 7 d N + F z d N i h H F m z r M X p S e k d x k D x 8 i q y D P p t F E + 1 N q T 6 y X Y o r 6 + D 4 / N 8 t 0 f i V G k S r u N l V v a W 3 c l + Y e H n V K q m W m I r n 3 0 T g O s B y w 3 S G N r 3 Y i f 3 v x M l / O S n a W P Z h h q P J N 7 Z 7 Q Q U s X B 7 W l u e P f h h D q 1 g m p 5 y U i r G 4 l Z x 9 S i B p p m V R K 0 e j 0 a k 3 a L F N P P e p i O J 0 8 i i 2 L s M 1 l E H 4 X B i x i l S 5 4 Y r J p l F y f o 0 c q 9 i q a Y + d D E x P B J X G e v + X s O y 7 y B H C I W X H k O J o C c M k M w C L H d r G H Q q 1 J K J / S J Y s + a I M G 7 f U 0 G e 5 h v P / / s / / t d I 1 n a N 2 9 P S 0 W Z e W G 0 i W 8 x J L G 1 4 A w E d e t F F k + F R i 4 B M p c 9 z 2 X A v / X I J P H j f r 9 S J Q A 3 8 p g b O l i V q o G J f s p 9 v N w s e J g H o c 9 h v d M F a F 5 C a K w j X O n N T D R I 8 Q L U L l x x M e T H J e I X W B F M H Z L B E / 5 p C o h m L X W E + S H 4 E U I d n Q 8 1 2 5 9 Y i h h w 3 K l h s 8 R S + p f 1 4 P R b v x N P I T I 8 3 E v w / A q U x P C r C P M 4 B 3 r M i B x j P w w w X z P u J Q 1 V 6 / f M n 3 0 E f 5 j y i h h 5 9 b b 5 P T Z J 3 l 5 D m Y s w O c e A Z S d J i l I 7 b A w z v a Z P + B 7 D M N l R R Z J v y f Z L c C n y + S s b M 5 X c B t 5 S + n y X J g k 6 7 A n s t D 1 u m P Q R j z b f p 2 3 g b K G 7 V s k O V V J 1 i K F S d j Z F + Q o k B i j 9 e j z 8 5 P P C S H M 9 W w 4 n N E 7 N N A P s v z S P o t K Q q f H b / 9 x n e m F p V 6 L f y 8 C C c + G k S h P x X R 0 0 N 1 K D Z x h 4 0 p D I y a l J W d G g U 2 m z 6 4 e W Y M Y q R I P r O l C B L 2 l W 4 q H r F T f t E z 0 0 C 9 J T 6 F I p f Y 2 s l X q R e V b 9 K Q Q H F y J n i I 1 q G / 5 v t F L L 5 l U J H h t F w D 8 B 7 4 R Z u k F 7 k P 4 Z V w 4 4 U i K 9 r j t b / 4 x n f l u p v l k v / 4 M X p 4 4 D / G C / 9 V 2 b 7 F m M O 2 E K i j x P f T N q t H 9 j 6 U t y 5 H o 3 H a z 8 9 x 5 M 8 f 0 9 J B Q 9 M j + y K 6 o 2 S j s m J H V F Q / W 9 1 2 O c F x K V 9 r t F m v m C f b C V f s G 5 C l r 8 r J N t 1 K u X N 9 d B z M + Y e H 7 O J I w 3 v p / A O y O a h Z u + f K N 0 P z 4 a 3 8 T n K I + I g X D L K b m B 0 k t f i k m C I c G 4 3 L D s A y 2 6 7 u w S a x p z k s P X 8 n x 2 K j m C 5 X 4 G E k g 5 o i F M 2 / 9 w S m + A y W I O 1 i 5 d h P o o O E X h 3 0 U z t Y y k S n H I x t o B s t 0 n 7 O i y K + a y p Y v B 7 Z 7 Y 6 t S P S l / A b J 9 i s 2 V q p W + 3 G Z g h o i C X h 2 e C J 6 Y U r y n u 8 K U E W 3 y r n f E s 4 B g T 8 p 4 6 F F x u t k G S b 9 v i N 4 O 6 G 0 k y U o 8 x P J b N w Z x c j U W y y C B 3 9 R P k J H U 4 n Z q O / M 6 + X V b N k v U a h c P K K D B r H M 9 j 2 W d 6 v T S L T P K / 5 d Q 2 t 0 K 5 S J K o P 4 m l z y H Q u 2 i T S 4 Z 0 s i U M 3 0 v A 9 B J v w J t m O E 7 / B j 3 l j 6 0 c e j y X P I f 6 j 2 V B / L t S 7 / W h x N I H Y r s s G S e R b S g x s 0 v i W 6 1 z X r 8 u d B v M y + C V s P P 8 m K l m 9 G 7 U T 8 + 7 T r q P g c u W H D E q + a j A f 5 Y U S S S T a O s G U I 9 k V D 9 h 2 b J x D R 5 B z P 6 O u P T h s E i e d O 2 3 9 i a 0 7 i b C a 8 J B + l J 2 v p L G w F 2 B L H W u G h / T l o B L a B c u P D C H u U f E y v z T w H i S V W q c S B 1 6 9 x e P c A / Q t 4 c k x x J A + z x k 2 m 2 0 k + l U j G I f s 6 K R T l 7 W Y t N e I q x e c y h R / 7 z + X j X 1 L k l x L S r Z z f k 8 F O R O l f b P z 4 j n 3 A 0 O r 6 5 W 0 X U u R x F V n 5 u K 8 U K M 7 H j i O Q S + w T W 1 9 z U n s 7 V p y X T n b a g k j X w 5 + W 8 N m z q 3 O c l Z 8 h W s 7 j Y K 3 z G O c l i q T t q e O F p e X X P y W b n K R g Y W O Z k W u g h Z 1 x x + u o v 2 H b x d l H z 6 z J 5 l n M j 2 7 l O B V G h 0 u A 4 0 j S q V V x w u T S j 3 5 E 7 F s v D M v 1 m 3 L 2 w g D b m w W T 7 A q Q k w w S 3 y q k F 3 b W C d f l I / 1 S g D A q 5 + n W X 3 5 T 6 y 5 O h R 1 1 q 3 u l p A B h O G y K 6 z b 6 R Q H y O b O 1 Q C U L Y S B s C t a 6 f I X m p f I u Z 8 I o s o M Y + U 8 7 c F f g k P 5 I t J R T G A x I 2 U W 6 / 2 s r Q J j G 1 0 2 4 k C q 9 K k b Y h g c y u X w 0 U I o 4 L d p x 9 a U I I V d g y m 3 8 4 s h 0 3 C R W V p w / s 2 U Z 5 8 o Z e p P Z M f M P 2 F c + 2 R c + R y 6 d J t u o V 5 k G l S U + z n U s 7 B v Z R y 4 T H u X D F R S 6 l b O b I + e X Z 5 A p O H j X Q T P 3 / I l 9 1 k c R h R 7 4 j 6 A F v i 3 x K z d 1 q M K e g i P h o V p 9 c A 1 5 P 8 S 8 T i U m 9 L o z D t T E B + y w + 9 L y o C T e W 1 9 j / 1 u A t 9 5 b z n r + T o k + O 3 H P g k Z w d Z 8 u w K 2 U 8 O i Y M 7 W M e i u Z n F S C f 5 H B m Y x V M y X x X R v m c s s O 1 p D I 4 w I y E c z g 9 Q f J G h Q M E q D T A u t O 7 L u K 7 q 1 1 d n S 9 l l 5 M 9 0 E N P Y K e Y L N j P v r S t e j i R x + r H 4 W v J R A r S M U I A b W 4 s w y X f t B f D X c u q j F c s M O / Y l u H 8 + H i A / / k 9 f J 9 + s 0 h N b M U k j F d i m e 1 I l 2 M k o I / V 8 G d Q L G D O f 5 S B c v X J K X d U 7 Z V h n 3 a E s s h m S 4 m l o a l P N n + K 6 7 2 C 3 R q D K 3 6 k V K 6 I i g l E 7 t n + P B h f X 2 1 U r n 8 X g h o t h b 2 P t k 9 8 Z p q t I A f J Y N n Z y 0 I M L b J e x T j O A y i F + 7 N p 8 O Z a B f J D o 7 8 I J k s R f N R U C 2 j M z E + 1 A v F W j K x K L 9 V K t b S f C r S S M V i L c n n E k l O L t Z i v x S x Q j D W D r b Y E C S S s R Z 7 X M G i a K y F i v 2 H M t l Y i 0 Y z J 4 V j L c N p k U E u H W t Z z k r P I R O P t S T n R Z K q f K x l y G 3 w k Q j I W r i Y t J N L y F q 8 m K f b J i J r / T c R s 6 g s I 2 u R x Q 9 8 0 k K y l k h 8 x y k n J W t B u Q + K 3 K o h x D d c h J y s h a C h l Q R l L U 5 s E A l k u 2 6 k k G w N O R O V t a D P w g I D x W z E N 5 z K w r L W Z f + 4 w w H z D G 2 H a 0 o l R P a t z p y o r E W J f e q Z r K z F F E f U i r D M 6 c o j y S G F K m d u T 0 r w N y Y f n B c o p x W b 8 K X 2 8 B U 4 W g p K s 6 W j N F u N l G b L X G m 2 j J R m y 0 h p t n a m N F v 7 V Z q t h k q z 1 U x p t h o p T T Q l f a W J y D 0 p T a Q 3 U 5 q I N l a a S K C r N B G n q z Q R t z u l i Y x G S h P B R k o T w W Z K E 7 u n p k o T e c y V J j L s R G k i 2 W + g N D H r v S t N z G g n S h P J G i p N p G m k N J H E R G k i V l t p 4 m B r o j Q R a 6 A 0 E W q m N B F t r j S R o Z n S R J Z G S h N J z J U m M h g q T Y S b K k 3 E N 1 O a 6 L / p K 0 1 E N l a a S K S l N B G k r j Q R o a E 0 E a K r N B G n o T Q R o q U 0 E a S u N B G h r z T R Z d + J 0 k Q y d a W J C D 2 l i S g d p Y m Y X S r N 1 h a l 2 V J U m i c K S v N E R 2 m e N F K a J + Z K 8 8 R I a Z 4 Y K c 2 T n S n N k / 0 q z Z O G S v O k m d I 8 a a Q 0 0 Z T 0 l S Y i 9 6 Q 0 k d 5 M a S L a W G k i g a 7 S R J y u 0 k T c 7 p Q m M h o p T Q Q b K U 0 E m y l N 7 J 6 a K k 3 k M V e a y L A T p Y l k v 4 H S x K z 3 r j Q x o 5 0 o T S R r q D S R p p H S R B I T p Y l Y b a W J g 6 2 J 0 k S s g d J E q J n S R L S 5 0 k S G Z k o T W R o p T S Q x V 5 r I Y K g 0 E W 6 q N B H f T G m i / 6 a v N B H Z W G k i k Z b S R J C 6 0 k S E h t J E i K 7 S R J y G 0 k S I l t J E k L r S R I S + 0 k S X f S d K E 8 n U l S Y i 9 J Q m o n S U J m J 2 q T R P t i j N E 0 W l e a q g N E 9 1 l O Z p I 6 V 5 a q 4 0 T 4 2 U 5 q m R 0 j z d m d I 8 3 a / S P G 2 o N E + b K c 3 T R k o T T U l f a S J y T 0 o T 6 c 2 U J q K N l S Y S 6 C p N x O k q T c T t T m k i o 5 H S R L C R 0 k S w m d L E 7 q m p 0 k Q e c 6 W J D D t R m k j 2 G y h N z H r v S h M z 2 o n S R L K G S h N p G i l N J D F R m o j V V p o 4 2 J o o T c Q a K E 2 E m i l N R J s r T W R o p j S R p Z H S R B J z p Y k M h k o T 4 a Z K E / H N l C b 6 b / p K E 5 G N l S Y S a S l N B K k r T U R o K E 2 E 6 C p N x G k o T Y R o K U 0 E q S t N R O g r T X T Z d 6 I 0 k U x d a S J C T 2 k i S k d p I m a X S v N 0 i 9 I 8 V V S a Z w p K 8 0 x H a Z 4 1 U p p n 5 k r z z E h p n h k p z b O d K c 2 z / S r N s 4 Z K 8 6 y Z 0 j x r p D T R l P S V J i L 3 p D S R 3 k x p I t p Y a S K B r t J E n K 7 S R N z u l C Y y G i l N B B s p T Q S b K U 3 s n p o q T e Q x V 5 r I s B O l i W S / g d L E r P e u N D G j n S h N J G u o N J G m k d J E E h O l i V h t p Y m D r Y n S R K y B 0 k S o m d J E t L n S R I Z m S h N Z G i l N J D F X m s h g q D Q R b q o 0 E d 9 M a a L / p q 8 0 E d l Y a S K R l t J E k L r S R I S G 0 k S I r t J E n I b S R I i W 0 k S Q u t J E h L 7 S R J d 9 J 0 o T y d S V J i L 0 l C a i d J Q m Y n a p N M + 2 K M 0 z R a V 5 r q A 0 z 3 W U 5 n k j p X l u r j T P j Z T m u Z H S P N + Z 0 j z f r 9 I 8 b 6 g 0 z 5 s p z f N G S h N N S V 9 p I n J P S h P p z Z Q m o o 2 V J h L o K k 3 E 6 S p N x O 1 O a S K j k d J E s J H S R L C Z 0 s T u q a n S R B 5 z p Y k M O 1 G a S P Y b K E 3 M e u 9 K E z P a i d J E s o Z K E 2 k a K U 0 k M V G a i N V W m j j Y m i h N x B o o T Y S a K U 1 E m y t N Z G i m N J G l k d J E E n O l i Q y G S h P h p k o T 8 c 2 U J v p v + k o T k Y 2 V J h J p K U 0 E q S t N R G g o T Y T o K k 3 E a S h N h G g p T Q S p K 0 1 E 6 C t N d N l 3 o j S R T F 1 p I k J P a S J K R 2 k i Z p d K 8 3 y L 0 j w n l e Z w N J w N R t 7 I 7 U 2 8 W X / U L i p D H p B u l T r e b B Q f J E 4 Q 9 9 W / + 4 t v 5 d e U 0 7 U o u u n y y Y j w h C K U + o d y D j E + h H e 3 i w h c K f P 3 O 8 t 6 Z 9 A l S f w N 8 T T F A D + 1 X K V 4 k F m w p V q k E J C P 0 W Z x B y b D J N w K w 0 X U w k V M O E C o v / q X w t B 2 J O I b 9 V Y L v + o p E N a G 7 Z 0 H a W K q x Z 7 P M V J T P V r E 4 X n 0 Y 6 i 7 6 Y o H l n t c M Q + Y C Z 6 F K l F u R m O 1 t t w A R M K S R S b 1 1 y A b 5 l A s I P k n 8 y C t j 5 r G K c k j a 5 0 g J C 2 M N s T s Y 0 s M O f v C o Y K 7 p b c y W h v 8 Q j K U 2 w U 8 m + M m r / q 2 m 3 2 b H K R V 9 c v h h c S D 7 L v k x W B G k t c W w O y p L g J e i l Q P 1 I E C c u 0 2 C 1 P 3 9 a b 8 s e o 0 t s a a B f G V h P S R Y k X I S B 9 E w 2 L x a m X B S 8 D 5 y o U d 5 e E + 4 U c y 2 d I J e E z C A y / 4 Z c 3 l l P f 6 z P / t h D 7 T V 9 V Y s N L c x T C Q x O e y g N m 3 L q E t r K w u D J 3 S T N W Y T y n m w 0 s W t t y c u B j A l s U W e W H u G d d x d q H E d F i x I x N B i d V g n w o P g 3 X P X q m 3 5 N G 1 v M e A D B A m Z f x M M m L A r g o l 8 Y n 3 K n 1 m 5 Z m V M n 2 N n + D j b I e H / 5 b 8 Z 7 H / W M h H s N G O 7 d n 8 b y u 9 K W s d r d m o M 5 4 k U S J Z J 4 C T w O k k L / 9 m f t I R i R 6 j D M n 1 G 7 z X S l + m l A z f o 2 W x y 0 n 4 S a I n q X s m 9 j g y V K f n O k m I s 6 4 7 G p S b e b w u + c l y A L b t S b R R A 4 h o w 3 5 Z 6 8 j T i 2 j Q g V r 6 s / w b B I q Z n O d B 3 x V z + p R / d d W c P u d B I i d J 7 1 2 0 j Q p V Z h 8 d M R H L 4 2 v J e / X m N u K N t C w E k y v a B y Z X s w 5 M r W Y b m F r D M h C i Y R c I 0 b A K h D S 2 C U 4 k s w g v 2 r E 9 e F M 3 j b b 4 t u + J 2 D a F G K r y 1 K 5 I X Q r Y K k 8 + F c m n W V K M D Z x c k Z R I S p C L o w 4 J o Q R E y a R / 7 7 R E X L v b 7 b V 5 v C 9 3 1 C 8 2 E n c 0 H X b s r y N 4 n e L I S O B E 8 P b c r J J f j p F C Y E 9 K 2 O 7 C X 8 F w W Q 6 v S q D z 8 f V k g R 4 J G L Y p H p M y h x N V x S K d x R F 4 / K K 6 r F x 9 V S g z I 8 b X S A l 2 X W s 3 Y 4 d J d Q 4 s V J n w j t i k f b U Q K r h W B X c F T u 3 B I F y G L / 6 y 7 K P K G M Q C A p s 1 w y D n h E c l w 4 s V r X D + b f O s A C i s w L L H V c B g T 8 h f 7 s v h 8 Z k 1 C f z 1 S u X 9 s o D o o K 8 S D d 0 6 v H 4 M g k V F Q M j g n 6 v w E w 2 4 W L P a r K N s 2 a 7 G F r K l K h Z r M o p T b f h 3 5 k u G y i x o U v Z i Y X l B z J b 6 s u U / 2 7 s 6 m n p X K g U o d P B F t L h n Z l k O 5 i Q F C b O C 8 e M p u g 3 V n l n 0 A y B o 4 D F 5 Y / Q k E Q a l Y B F Z M 3 g K D z 3 m f E c q T U i s k b J l T D K K p R R Z s K 3 H 6 E n p H d G i + u F T Z B 3 0 W R x q 0 d 6 U 6 k O s / G x W 1 s H x + b 9 b o v E r N Y h S p G P 1 l i 6 W P i 8 D / + V V q 6 T E m m e 6 d s u 1 p B u y e Q C + L s k v d m L / + 1 L n e d D G s s X 0 o 8 k 3 v x p y V w o W 3 h t r y / N H P 4 y h V S x f m c x X q o Z W U S Z v C R g t R Z f m 9 V Q g u U W f s D D Q p V 4 a W / 2 4 D N d Q B u G z 1 D 8 p U u Y G O 3 h l 3 F y y 4 5 F u M n b a P b s / 6 0 6 H + V j Z Y u r i l 7 D s h s k R w j P P J h + Y + V h s k q 8 y J U + R i N 5 l / h j B m E 4 s / F P o s 1 y z Y 7 O 5 H A 7 F z S d a 1 u V p Z o r l v M T S h h c A 8 J E X b R Q Z P p U Y + K T 3 H A Z t N f j n E n z y u F m v y w t v F P h L C S y Z X 6 e g Y l S z n 2 4 3 C 7 + y O k X i s N d h 6 0 a K E D H l x 5 w Z P 1 Y s G T F m j a N F q P x 4 w v / Z 3 A I K H S h F s P C F o q W I x U w t a J E k + f F L E Z I N X N + V W 4 8 Y u N i Q b r n B U / T i L x S h a D e e R n 5 i n J r 4 9 w G 4 p B M W L 3 v O J / P B I 1 f k Q O N h a 5 v M d 6 k u s Z O m / i X f v 4 s p / b w S X A a y b l Z C l 3 W 1 k + d g H s J Y 1 9 0 s k 8 p u 1 t 1 W F g h a C Q a e w e l I 1 w m K z 1 p M n D 0 m / w e e F T z O h t N + k i c c j y Z s y l T 1 G c v J s 6 d k C / / w h D t 5 z j J q 7 D p t 1 5 5 c z u y 8 H Q u Z C k M w m 0 e w 2 e 6 J y t g t x Y p V Z G k w e w I k t h o 8 + m y P 3 g N f / q t q a i l W L C a z n Q 0 + y / O I O Y r K e Y u t L h x r l S Z O a u H n R X h x l q Y W / a m I n h 6 q Q 7 G b c t i 4 y M C o 5 c X S a S 2 F 2 N 8 C j q 4 Z g x j t k m 2 C i i B h X w v e T / L t L O v o m a n A Z K M i e w p F L r H R l S 2 i x g t c P 6 0 H o s 0 N g 4 d o H S Y L Z b b V 3 s Q v q u 9 + W q 4 B e A + x E s x 7 w P s Q X q m w E F 7 P i v Z 4 n a x 3 v W c 7 d 5 f 8 x 4 / R w w P / M V 7 4 r 8 r 2 L c Z N t q 1 E H f V J j P c r v p e S 0 i t y t N g A + / w c R / 7 8 M S 0 d N D Q 9 s i + i O / K X k v j H V E d U 1 H 9 b h Y u c 4 L i U r 1 g 4 6 4 Q r t j H v r m b 1 r D Q P V 8 0 k 1 8 X H w Z z v 8 b R 3 M V x y V B 7 G p v 5 m 7 Z 4 L z 9 A b 2 O 5 N e Z F B 0 t z l E L F X I D 0 C 4 E U W n 5 R U h G O b Y 7 v t X d Y 0 x D 7 9 e u x p D k v P n 8 q x 2 K a m y x U 4 W c l I q g j F 1 t N 7 A k t + B k O S 9 t B y 7 C f R v 8 K g A M I z 2 e W v C M Y m 1 G W n U 7 5 D Y b F l h k W 0 C h a v R 3 a 7 Y y v S f C k / P 9 + m w w d a 1 U o / L l N Q 4 y s B P x Z d d P Q S i F M W q u h W O f d b w r M g 8 C d l P D T n e J 0 s 4 6 W b 2 8 f s s I W s h y Y o 8 9 P 4 b N A a x c j U W y y C B 7 b 7 Q p V K T O Z 9 Z 2 4 / G 4 M j y 3 6 J Q u X i E b 1 7 H L F R B / c 9 K S D R O q + S / e u j W y H N V B n E F g O x 0 6 Q T 3 L N F s Z f y d k U F M u G M s B M 4 u K f / K N 3 l f z R 5 D v k P 1 X 7 q Y 7 n W c W B W J U C j 7 b / y f V 1 L b r N 4 g E Y B 3 x K d K 9 / K M w / i Z X g r G f I I + E l W t E t e s F E U s y m Q q P g c u T H H E q + a j C H S M U i S W z Y I s U U g q x 2 C M c f h k x + / 7 n q O r L B v k + 9 S K Z 3 u k 6 a h T v c R i R V P 9 x F o l d N 9 B L T m d B + B q j n d R 6 A M T v c R T L s 6 3 U f Q K 5 / u I / C q p / s I u O L p P s q U 6 k / 3 U c g d n e 6 j 6 N V O 9 1 F o 5 d N 9 F E H d 6 T 4 K V 3 e 6 j 8 K Z n + 6 j G J V O 9 1 F g p d N 9 F F j t d B / V P e m e 7 q N 4 1 E / 3 U Q x G p / s o s l / h d B + V 9 c 5 P 9 1 E Z G Z 3 u o 8 g 0 T / d R N F q n + y g S l d N 9 F L b 2 d B 8 1 2 K q c 7 q O w C q f 7 K K j a 6 T 4 K r X 6 6 j 2 L Q O 9 1 H s W i d 7 q N I 1 E / 3 U Q y K p / s o u O r p P g q v d 7 q P 8 t / q T / d R S O 3 T f R T R 1 t N 9 F I g + 3 U c h t p z u o y B 1 p / s o 3 J b T f R R k 6 + k + C k S f 7 q M Q 9 a f 7 K J f d 6 H Q f R U a f 7 q M Q 2 0 / 3 U a h t p / s o j O n p v t L y Y o U 7 t 7 p Y O O V 3 v F e d 2 l L Q q S 0 d n Y r h u M 1 0 K o Y v N t C p G H 1 W T 6 d i + F E 9 n Y o R O Z v r 1 N Z + d W q r o U 5 t N d O p r U Y 6 F U 1 J X 6 c i c k 8 6 F e n N d C q i j X U q E u j q V M T p 6 l T E 7 U 6 n I q O R T k W w k U 5 F s J l O x e 6 p q U 5 F H n O d i g w 7 0 a l I 9 h v o V M x 6 7 z o V M 9 q J T k W y h j o V a R r p V C Q x 0 a m I 1 d a p O N i a 6 F T E G u h U h J r p V E S b 6 1 R k a K Z T k a W R T k U S c 5 2 K D I Y 6 F e G m O h X x z X Q q + m / 6 O h W R j X U q E m n p V A S p 6 1 R E a O h U h O j q V M R p 6 F S E a O l U B K n r V E T o 6 1 R 0 2 X e i U 5 F M X a c i Q k + n I k p H p y J m H z q 1 t U W n t v a q U 0 8 U d O q J j k 7 F Y N 5 m O h W D H x v o V I x d q 6 d T M X i p n k 7 F e J 7 N d e r J f n X q S U O d e t J M p 5 4 0 0 q l o S v o 6 F Z F 7 0 q l I b 6 Z T E W 2 s U 5 F A V 6 c i T l e n I m 5 3 O h U Z j X Q q g o 1 0 K o L N d C p 2 T 0 1 1 K v K Y 6 1 R k 2 I l O R b L f Q K d i 1 n v X q Z j R T n Q q k j X U q U j T S K c i i Y l O R a y 2 T s X B 1 k S n I t Z A p y L U T K c i 2 l y n I k M z n Y o s j X Q q k p j r V G Q w 1 K k I N 9 W p i G + m U 9 F / 0 9 e p i G y s U 5 F I S 6 c i S F 2 n I k J D p y J E V 6 c i T k O n I k R L p y J I X a c i Q l + n o s u + E 5 2 K Z O o 6 F R F 6 O h V R O j o V M f v Q q S d b d O r J X n X q q Y J O P d X R q R g K 3 E y n Y u h k A 5 2 K k W / 1 d C q G P t X T q R g N t L l O P d 2 v T j 1 t q F N P m + n U 0 0 Y 6 F U 1 J X 6 c i c k 8 6 F e n N d C q i j X U q E u j q V M T p 6 l T E 7 U 6 n I q O R T k W w k U 5 F s J l O x e 6 p q U 5 F H n O d i g w 7 0 a l I 9 h v o V M x 6 7 z o V M 9 q J T k W y h j o V a R r p V C Q x 0 a m I 1 d a p O N i a 6 F T E G u h U h J r p V E S b 6 1 R k a K Z T k a W R T k U S c 5 2 K D I Y 6 F e G m O h X x z X Q q + m / 6 O h W R j X U q E m n p V A S p 6 1 R E a O h U h O j q V M R p 6 F S E a O l U B K n r V E T o 6 1 R 0 2 X e i U 5 F M X a c i Q k + n I k p H p y J m H z r 1 d I t O P d 2 r T j 1 T 0 K l n O j o V A 4 m b 6 V Q M v G y g U z F u r p 5 O x c C p e j o V Y 4 k 2 1 6 l n + 9 W p Z w 1 1 6 l k z n X r W S K e i K e n r V E T u S a c i v Z l O R b S x T k U C X Z 2 K O F 2 d i r j d 6 V R k N N K p C D b S q Q g 2 0 6 n Y P T X V q c h j r l O R Y S c 6 F c l + A 5 2 K W e 9 d p 2 J G O 9 G p S N Z Q p y J N I 5 2 K J C Y 6 F b H a O h U H W x O d i l g D n Y p Q M 5 2 K a H O d i g z N d C q y N N K p S G K u U 5 H B U K c i 3 F S n I r 6 Z T k X / T V + n I r K x T k U i L Z 2 K I H W d i g g N n Y o Q X Z 2 K O A 2 d i h A t n Y o g d Z 2 K C H 2 d i i 7 7 T n Q q k q n r V E T o 6 V R E 6 e h U x O x D p 5 5 t 0 a l n e 9 W p 5 w o 6 9 V x H p 2 I Y c j O d i m G b D X Q q R t 3 V 0 6 k Y d l V P p 2 I k 0 u Y 6 9 X y / O v W 8 o U 4 9 b 6 Z T z x v p V D Q l f Z 2 K y D 3 p V K Q 3 0 6 m I N t a p S K C r U x G n q 1 M R t z u d i o x G O h X B R j o V w W Y 6 F b u n p j o V e c x 1 K j L s R K c i 2 W + g U z H r v e t U z G g n O h X J G u p U p G m k U 5 H E R K c i V l u n 4 m B r o l M R a 6 B T E W q m U x F t r l O R o Z l O R Z Z G O h V J z H U q M h j q V I S b 6 l T E N 9 O p 6 L / p 6 1 R E N t a p S K S l U x G k r l M R o a F T E a K r U x G n o V M R o q V T E a S u U x G h r 1 P R Z d + J T k U y d Z 2 K C D 2 d i i g d n Y q Y f e j U 8 y 0 6 9 X z H O p U I N 4 / D N 3 P l V 6 n b z n y A Q e J C c U / / u 7 / 4 V i 4 k O V 2 L o p s u n 4 w I T y h C q X c p 5 x C j S 3 h 3 u 4 j A E T N / v 7 O s b w d V k 3 y 8 X T x N M b R E L V c p F l s W 5 q M W K e T n Y 7 R Z 3 I H B M Q G 4 w m + N 1 8 J F R C V A q L / 6 l 8 L A e C Q i a / R W C 7 / q Z x D W h r 0 F D w / C N I 8 9 n 2 O M k H q 0 i A D x 6 M d Q d 9 M V D 8 v 0 u G L + M 5 N L C 1 W i 3 H z I a m 2 5 A U i M J Y s K 6 K 9 B d M y h W J Z r a z I P 0 v p Q b N q S v L K 2 D X L U w n g X z E 5 2 H 4 H J v n A U w h q l q b I H s 8 E / 3 X E Q o w v I z n G T o n 7 b f S s G P R C G 1 Q + u F x I P 3 o r h r h j G Y 0 u x C 4 L s n S 4 C X p u 7 j g o O s s h u s 6 B Q X 2 / K n z d P P y u / Z u E / J b E s p F g R L s 4 H w b R Y v F r Z d / v B 8 c y F H O S h / u B H M t H U C X g 8 s g M v + G X N p a T 3 + s z / 7 Y Q + 0 5 b V K J L S 3 M U Q m M S 1 s Y D Z t y 6 h J a + s L r g N 0 k z V m E 8 p 5 s N L F i / Z n L g Y + p J 9 V v + F u a Z c w 9 q F E t N h x W 5 Y h D N V g 3 0 q P A z W P X u l 3 p J H p f E e A z K w j p T x M 8 m I g W 4 q l N I Y N / l g 6 e V s 8 v H S 0 V r Z H E P 2 0 U b r 8 P D f k v 8 s 9 h 9 r J m A r H d u z + d 9 W e l P W s k 5 q W h b v u P g j i 2 6 r D M l 1 X v l X K S X D t z i x 2 O U k b B z R h 9 U 9 k 7 y 1 n x h G O C d w S h H O C a x i h H M C X R f h n I A 1 i X A u o 8 w q T C 3 C u X G t G U U 4 l + H 0 I p z L G H Q i n M v w W y O c y w B 1 E c 5 l G M U I 5 z K o R o R z G V w j w r k M X h f h X G o L 2 h H O p S w m E c 6 l R H U R z q W g 2 g j n U p R q h H M p W C H C u R S n F O F c i q y L c C 4 F 6 U Q 4 l x J o R D i X d h k q E c 6 l Q L U I 5 1 J o 0 w j n U l L V C O d S s E 6 E c y m B c o R z K X p 7 h H M p p F m E 8 w p l b r C r j 3 B u O t L p R j i n E F o R z i k S t Q j n F F o v w j n F o h 7 h n G J Q j H B O w Z U i n F N g h Q j n F L Q u w j m J o y O c k 5 D t E c 5 J 2 L Y I 5 y R I J c I 5 C d a J c E 6 S 0 B H O S c i 2 C O c k q D 7 C O Q n d F u G c 7 C Q 0 I p y T H P U R z k l T N 4 t w L q X L u l r F C O e m 3 a 1 5 X G 4 C u z 0 u N w F S i s t N Y J X j c h N 4 1 b j c B F w x L j e B V o n L T U B 1 4 n I T F B p x u S l L 2 R q X m w K Z x O W m u G r j c l N A 9 b j c F E O z u N w U q 3 F c b o p w e 1 x u C q U W l 5 t C G 8 X l p s h q 4 n J T H Z F y X G 6 K Y B d x u b N e n g 7 L f a I Y l t u 0 j 9 e O y k 1 B F K N y U 3 C V q N w U V i U q N 4 V V i M p N Q V W i c l N Y p a j c F F g z K j d F o x G V u 8 5 O a q J y k 3 C l q N w k W j E q N 4 k 3 j 8 p N U u p H 5 S a p V K N y k w S 1 U b l J p H J U b p L B J C o 3 S W Y U l Z v s p 1 S j c p M E i l G 5 S b x a V G 4 S v s u o 3 N k I t C U o 9 4 l q U G 7 j a Z 3 C 9 i B Z U G 5 p G u o w C Z F Y 8 T A J g V Y 5 T E J A a w 6 T E K i a w y Q E y u A w C c G 0 q 8 M k B L 3 y Y R I C r 3 q Y h I A r H i a h T K n + M A m F 3 N F h E o p e 7 T A J h V Y + T E I R 1 B 0 m o X B 1 h 0 k o n P l h E o p R 6 T A J B V Y 6 T E K B 1 Q 6 T U N 2 T 7 m E S i k f 9 M A n F Y H S Y h C L 7 F Q 6 T U F n v / D A J l Z H R Y R K K T P M w C U W j d Z i E I l E 5 T E J h a w + T U I O t y m E S C q t w m I S C q h 0 m o d D q h 0 k o B r 3 D J B S L 1 m E S i k T 9 M A n F o H i Y h I K r H i a h 8 H q H S S j / r f 4 w C Y X U P k x C E W 0 9 T E K B 6 M M k F G L L Y R I K U n e Y h M J t O U x C Q b Y e J q F A 9 G E S C l F / m I R y 2 Y 0 O k 1 B k 9 G E S C r H 9 M A m F 2 n a Y h M L s 4 j C J j D u 3 I K Y U l H s 3 O l U W l F u a R l W n 6 g X l J t A m O l U t K D e B 0 t S p 5 k G 5 C a Z 9 6 V T d o N w E 3 l S n 6 g X l p k x J X 6 f u O C g 3 R W + m U 7 W D c l M E u j p V N S g 3 h d u d T t U K y k 2 B j X S q X l B u q n t q q l P 1 g 3 J T D D v R q b 9 i U G 4 q 6 7 3 r 1 E Z B u S m y h j r V K C g 3 R W K i U 5 W D c l O D r Y l O 1 Q j K T U H N d K p + U G 6 K o Z l O N Q r K T Z G Y 6 1 T N o N w U 3 F S n m g X l p v w 3 f Z 1 q H J S b I t L S q f V B u S m E h k 5 V D c p N 4 T R 0 q l J Q b g q k r l P V g 3 J T L v t O d G p 9 U G 4 K o a d T V Y J y U 5 h 9 6 N R 8 U O 6 y T q W C c u 9 G p 8 q C c k v T q O p U v a D c B N p E p 6 o F 5 S Z Q m j r V P C g 3 w b Q v n a o b l J v A m + p U v a D c l C n p 6 9 Q d B + W m 6 M 1 0 q n Z Q b o p A V 6 e q B u W m c L v T q V p B u S m w k U 7 V C 8 p N d U 9 N d a p + U G 6 K Y S c 6 9 V c M y k 1 l v X e d 2 i g o N 0 X W U K c a B e W m S E x 0 q n J Q b m q w N d G p G k G 5 K a i Z T t U P y k 0 x N N O p R k G 5 K R J z n a o Z l J u C m + p U s 6 D c l P + m r 1 O N g 3 J T R F o 6 t T 4 o N 4 X Q 0 K m q Q b k p n I Z O V Q r K T Y H U d a p 6 U G 7 K Z d + J T q 0 P y k 0 h 9 H S q S l B u C r M P n Z o P y l 3 W q V R Q 7 t 3 o V F l Q b m k a V Z 2 q F 5 S b Q J v o V L W g 3 A R K U 6 e a B + U m m P a l U 3 W D c h N 4 U 5 2 q F 5 S b M i V 9 n b r j o N w U v Z l O 1 Q 7 K T R H o 6 l T V o N w U b n c 6 V S s o N w U 2 0 q l 6 Q b m p 7 q m p T t U P y k 0 x 7 E S n / o p B u a m s 9 6 5 T G w X l p s g a 6 l S j o N w U i Y l O V Q 7 K T Q 2 2 J j p V I y g 3 B T X T q f p B u S m G Z j r V K C g 3 R W K u U z W D c l N w U 5 1 q F p S b 8 t / 0 d a p x U G 6 K S E u n 1 g f l p h A a O l U 1 K D e F 0 9 C p S k G 5 K Z C 6 T l U P y k 2 5 7 D v R q f V B u S m E n k 5 V C c p N Y f a h U / N B u c s 6 l Q r K v R u d K g v K L U 2 j q l P 1 g n I T a B O d q h a U m 0 B p 6 l T z o N w E 0 7 5 0 q m 5 Q b g J v q l P 1 g n J T p q S v U 3 c c l J u i N 9 O p 2 k G 5 K Q J d n a o a l J v C 7 U 6 n a g X l p s B G O l U v K D f V P T X V q f p B u S m G n e j U X z E o N 5 X 1 3 n V q o 6 D c F F l D n W o U l J s i M d G p y k G 5 q c H W R K d q B O W m o G Y 6 V T 8 o N 8 X Q T K c a B e W m S M x 1 q m Z Q b g p u q l P N g n J T / p u + T j U O y k 0 R a e n U + q D c F E J D p 6 o G 5 a Z w G j p V K S g 3 B V L X q e p B u S m X f S c 6 t T 4 o N 4 X Q 0 6 k q Q b k p z D 5 0 a j 4 o d 1 m n U k G 5 d 6 N T Z U G 5 p W l U d a p e U G 4 C b a J T 1 Y J y E y h N n W o e l J t g 2 p d O 1 Q 3 K T e B N d a p e U G 7 K l P R 1 6 o 6 D c l P 0 Z j p V O y g 3 R a C r U 1 W D c l O 4 3 e l U r a D c F N h I p + o F 5 a a 6 p 6 Y 6 V T 8 o N 8 W w E 5 3 6 K w b l p r L e u 0 5 t F J S b I m u o U 4 2 C c l M k J j p V O S g 3 N d i a 6 F S N o N w U 1 E y n 6 g f l p h i a 6 V S j o N w U i b l O 1 Q z K T c F N d a p Z U G 7 K f 9 P X q c Z B u S k i L Z 1 a H 5 S b Q m j o V N W g 3 B R O Q 6 c q B e W m Q O o 6 V T 0 o N + W y 7 0 S n 1 g f l p h B 6 O l U l K D e F 2 Y d O z Q f l L u v U L C g 3 B u D t f O g N P c e d O M n n 6 n u d W X v q u k D E g + 9 S 9 w 4 P C w G t e 5 0 t l H 3 n A q B V u v R 6 i a o f P O S 5 0 k C b H N i + t I c X D m A q M Y K L t 5 F y z r 9 / X n m 4 i T 1 z 7 c E Y n y n 3 5 + H h x I Z x 9 e l Z h p k 4 F w N 4 9 R w s d 4 U j J 8 E D V 4 U M X B H 1 w 3 5 3 9 u M U A w V P 3 q Y 6 f m C z Z x / a w 7 Y z s 6 f e 5 c j t e f h R e h H n Z u 2 v C 8 E H W K i J x V u M W P n j J g 5 X d y E v v h k L 2 Q V P k 7 / G w 3 j 9 4 f d W 5 Z G S O A U 3 r v V f r Y + o 3 + 6 i + Q f X G Y 9 c b z a 2 v U u G S a 1 Q 5 J f A 0 k T 9 3 v B P k F / l G p 3 Z f 0 J m a Z P s j N o f O j 0 X 7 G E 2 6 o z o H C / D F Y v o A C / d e / I f A h Y z + / B Q c h G w L M Q r / + r 7 t e 0 6 l 6 P p x P n Q + T r 6 M L o 8 n r W h 8 P l D d B z P 7 v X h R d L I n / B f C E 0 2 t v 4 a g Y 9 c B E a P x 7 N 5 P I N i 2 T z x F g T P z C I C z + 8 + w K 8 p r 3 8 2 s f N D 8 j K 5 S 1 D i 6 X / f o f k G D M G D P 8 x e Y e h 3 v G s H C u C N 9 U f 4 f d E b s o L 5 I / x p w w v D R X j v 5 E p G w v 5 7 w 2 7 z 1 n A 1 A 3 u C h t A b W g e M Z N j t w 1 / A 8 K 6 I y A H 6 o w v + p P m 8 2 1 5 / l u T P 7 o g H S G 6 w h + C X e Z X 8 e W r 3 e 1 3 H t X 6 G L M J l k s 0 k 2 s T z 4 D + Y u a + S m O a s o N 3 e n z c s d u E P 1 i J Y J w n Z j M a T x 3 2 4 H y z n l 3 m w + A C D a Q w l y r r 4 2 y j 6 d v D u H z 8 N / a f g h z f M K X 4 C F y v m 6 d / 8 / M + f 2 E f L I e n P 7 x O y 5 G V / s N 6 8 Z e 9 w k H H / d G X 3 p 8 7 P / / j 4 z 3 f s Z d 6 + S Q H F 1 / z B Y q G n P z A r k W C P / / k u h 8 I y 2 I 5 p C Y y o z O 2 A E w F I a 3 p 7 8 l O e P K u C 7 a n P B X l S P Z B 8 8 r f F h 4 4 P X r i / C g 7 e Q F M T R j 5 2 O 2 / e W 2 / E 3 / B H g v 2 J 1 + E P b 1 Y B i 6 y X X v w d 6 8 W g u 0 v 6 k n y p Z p f S I k s u Y B f Z d 4 Y X 3 m X u + t T t 2 t D l 8 d C D f a f L 4 w 5 W 7 7 i 9 i 8 v q r e t e B 7 g Y y v p 3 q 3 i R A y x / V b y c w P v 2 E J O x K v 3 f F r s w 4 b 8 B 4 I 7 s z r V 9 k y V I 8 4 R S 6 b P 4 7 O O r T n p v N I X 3 8 V T f I 3 t Y k h B K E P k 6 v a t e x + n M L q 9 v 4 H J K N X A 6 P X t Y f j L o H l n X O B 5 M Z v I E 6 V X + a O K p 5 K / j y l 5 n W + H z e 9 t e C B l F G c v q 4 D 1 / z F 7 f s W H c b v f t y e R 9 a Z Q a T I e 9 W b c 3 n s z a o 0 5 S w n w i f O T l 5 t E l i X i X J W N I D K S O g q f K O L z r c e 1 D V N N Q e O I R J I l y Y + F 0 + K f h 6 H r 4 N u f 4 J Y m x e j z X c T w W f a j b + 8 s M B t X y n a E 9 c A o X J t M u S 1 p K x p C l O 4 m h w b g + H D g 8 i F 0 5 Q a m 6 x q P x t G + n L l 4 3 W / e o F r g k Z a n i c i k S c 1 Q i E 0 m z A v y Y K 7 h S 8 u Q l o A O 0 k 6 J H w 8 z i 9 D H L F G 8 7 d n u J k z a 5 m X j O Q F w f X k 4 K v 7 l P O h h 1 W M Q / u 9 3 r J 3 7 d + 6 x E u 9 D O b f C p c 2 E 6 + I O 0 2 w 7 L L g s + n t T P 2 I H 0 / d 4 g D S G f P H Q H q n w y v I D a t t 3 i Z W / k Q c 6 F S z d O k o h f u G d O 0 n c Y s x + j z S r 4 c H c b f Y D n m M x Y P w j P z q T E y L 3 J v A m o E 9 e x k v 5 f z e 3 I D Z / / J f M 2 e O W 8 w a T Z j f + U O i B v o p h F B b 5 9 t f J j U H E Q e q P g n I A v 8 R C s m F / 8 L y f l f 7 a T w s e b 0 c V 4 1 G P x c E b T I T R A V k x M w h R c F y o h O B d C q q L 7 g m j 0 c h g 2 a W p X o z 7 4 / t l F N t t d v p j + 2 b b H 0 C N A L i 7 r g C o d D p C J L i d x o s p P w V O 7 o 0 F J r H z 1 X N 5 x X D g T D k i 9 r 0 m D V q x c L j V N X M a j 1 d A l B C r N H d y j f 7 X z / 9 n t 3 J K 1 3 5 I w K d 9 W E i n j d m 5 M B a 9 8 2 q 4 M q + l V v r b l T d 3 C r d S V n w 7 x l 3 D o k z k P 1 o C 8 v 6 R + 8 t i + c v h D F N z 1 4 l W R m L s p x 7 n f r d z v k 9 z v 0 9 z v s 9 z v 8 9 z v T 7 n f n 3 O / v + T z + p j / I 5 / z c T 7 r 4 3 z e x / n M j / O 5 H + e z P / 4 k v J F i Z 8 a E D d S A t c P O S 9 E d I W 2 p W Y 9 V H H C K R m D d B a u 5 U n 8 W R 2 x 2 + F 9 9 2 r / 6 t K 1 9 W n / U T r Q Q 6 z m E c O E 6 Q 9 w S / d G 4 1 8 n 3 W 9 C b 9 d p e k a s P 0 u 9 y l I h A p B v 9 y G Z u C x e g J 7 S 9 6 S T X r 7 G L f c f z e s M L y b N c j 9 w / g T v k O R c g N p J b n m u 3 Z 1 7 P c S U Z X r j 2 A N T U o N e / o R 5 n A G J I X L R d 1 5 7 h n W w + Z T y C 5 + w N p n 1 4 U r s P r 5 d c 5 3 P Q 4 g a D J d d d 3 r H D c w 0 n P W m C q f u V T b T Q C W y o f h B 7 A 9 F / D 0 D G e T A k g K O W X Q b 3 T 3 4 j G X Q k l x L e w o 2 M Q r y v D S / f n r p p 6 o 5 X r C 4 o R E g A l i + 7 w 6 g L l 4 F + 3 J c C k j t 5 A J P X 3 h T 6 e D 3 D H V 4 k q O J l 5 C p c T Z 9 D S H I 2 l z Q p 3 E q q p n r 9 w h k 6 r F Z z d 5 I i 5 T N U u a u T / i D / Z 2 8 A L 3 s F p Q t D U / r y V w M 2 Q L s e + w d M e c b e I D N B d A 2 c W R d Y s k f / 6 l 7 w x j L r O J P U / g b 2 j y N 3 x m 9 c 4 x V W T K 4 z G R e S Q W F y 2 l y D S i 6 O 2 b v a 0 K 2 W U 4 9 x I l B 2 I 7 v W c U C z s J m Q t E F c u X 2 W E / O M c B a w 2 + W q Z X i B i O 6 M 6 Z b 0 Y o 6 L v Q e 7 2 8 5 Z I p a 6 P R 6 7 d m 8 C v 8 S t b n 8 E L w / i p d M r d k 7 X j u 0 y Z p y A z H o t X j h b u P P P W a b P 3 y v n k L + X Z C L H T c Y j b y b p a I v X s x J J W y s r L O f P s 0 n 3 x q J m Y p x + v 5 f 0 H 4 w H 3 r E 7 Y i m T h S S r 1 N F a / + s H t r t 1 C W P + I o 1 4 / T t / e W c V e g K 2 6 H i T 3 Z N 0 H + A V f f z w 8 e P H z I 3 i K X f h b v 1 g 7 G / 9 s E O H q 1 L 8 U n / r / w N Q S w E C L Q A U A A I A C A D D T t 5 a v b l t 4 a U A A A D 2 A A A A E g A A A A A A A A A A A A A A A A A A A A A A Q 2 9 u Z m l n L 1 B h Y 2 t h Z 2 U u e G 1 s U E s B A i 0 A F A A C A A g A w 0 7 e W g / K 6 a u k A A A A 6 Q A A A B M A A A A A A A A A A A A A A A A A 8 Q A A A F t D b 2 5 0 Z W 5 0 X 1 R 5 c G V z X S 5 4 b W x Q S w E C L Q A U A A I A C A D D T t 5 a D w K R D m E 9 A A A Q 1 A E A E w A A A A A A A A A A A A A A A A D i A Q A A R m 9 y b X V s Y X M v U 2 V j d G l v b j E u b V B L B Q Y A A A A A A w A D A M I A A A C Q P 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O 6 g A A A A A A A G z q 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T 0 g x X 0 N B T V R v b 2 x R d W V y e 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U Y X J n Z X Q i I F Z h b H V l P S J z T 0 g x X 0 N B T V R v b 2 x R d W V y e S I g L z 4 8 R W 5 0 c n k g V H l w Z T 0 i U X V l c n l J R C I g V m F s d W U 9 I n M w M z I 0 O G I 0 N i 0 0 N m Z m L T Q y M D Y t O W U x N S 1 m O G I 4 Y 2 I x N W Y 5 M D I i I C 8 + P E V u d H J 5 I F R 5 c G U 9 I k Z p b G x l Z E N v b X B s Z X R l U m V z d W x 0 V G 9 X b 3 J r c 2 h l Z X Q i I F Z h b H V l P S J s M S I g L z 4 8 R W 5 0 c n k g V H l w Z T 0 i R m l s b E V y c m 9 y Q 2 9 k Z S I g V m F s d W U 9 I n N V b m t u b 3 d u I i A v P j x F b n R y e S B U e X B l P S J G a W x s R X J y b 3 J D b 3 V u d C I g V m F s d W U 9 I m w w I i A v P j x F b n R y e S B U e X B l P S J G a W x s T G F z d F V w Z G F 0 Z W Q i I F Z h b H V l P S J k M j A y N S 0 w N i 0 z M F Q x M z o 1 M z o 0 M C 4 z M D E z O D c 5 W i I g L z 4 8 R W 5 0 c n k g V H l w Z T 0 i R m l s b E N v b H V t b l R 5 c G V z I i B W Y W x 1 Z T 0 i c 0 R 3 O E d C Z 1 l H R H d Z R 0 J n W U d C Z 1 l Q R H d Z R 0 R 3 O F B E d z h Q R H c 4 R 0 J n W U d C Z 1 l H R H c 4 R 0 J n W U d C d 1 l Q Q m d Z R 0 J n W U d C Z 1 l H Q m d Z R 0 J n W U d C Z 1 l H Q m d Z R 0 J n W U d C Z 1 l H Q m d Z R 0 J n W U d C Z 1 l H Q m d Z U E J n W U d C Z 1 l H Q m d Z R 0 J n W U d C Z 1 l H Q m d Z R 0 J n W U d C Z 1 l H Q m d Z R 0 J n W U d C Z 1 l H Q m d Z R 0 J n W U d C Z 1 l H Q m d Z R 0 J n W U d C Z 1 l H Q m d Z R 0 J n W U d C Z 1 l H Q m d Z P S I g L z 4 8 R W 5 0 c n k g V H l w Z T 0 i R m l s b E N v b H V t b k 5 h b W V z I i B W Y W x 1 Z T 0 i c 1 s m c X V v d D t E T 0 N V T U V O V F 9 O Q l I m c X V v d D s s J n F 1 b 3 Q 7 Q 1 J B U 0 h f W V I m c X V v d D s s J n F 1 b 3 Q 7 T E 9 D Q U x f U k V Q T 1 J U X 0 5 V T U J F U l 9 J R C Z x d W 9 0 O y w m c X V v d D t V c 2 V y X 0 R l Z m l u Z W Q m c X V v d D s s J n F 1 b 3 Q 7 U 0 V W R V J J V F l f Q l l f V F l Q R V 9 D R C Z x d W 9 0 O y w m c X V v d D t D U k F T S F 9 U W V B F X 0 N E J n F 1 b 3 Q 7 L C Z x d W 9 0 O 0 R J U 1 R S S U N U X 0 5 C U i Z x d W 9 0 O y w m c X V v d D t O T E Z f Q 0 9 V T l R Z X 0 N E J n F 1 b 3 Q 7 L C Z x d W 9 0 O 0 9 E T 1 R f Q 1 J B U 0 h f T E 9 D Q V R J T 0 5 f Q 0 Q m c X V v d D s s J n F 1 b 3 Q 7 T k x G S U Q m c X V v d D s s J n F 1 b 3 Q 7 Q 0 9 V T l R Z X 0 x P R 1 9 O Q l I m c X V v d D s s J n F 1 b 3 Q 7 U 1 R B V E V f V F J V R V 9 M T 0 d f T k J S J n F 1 b 3 Q 7 L C Z x d W 9 0 O 0 9 O X 1 J P Q U Q m c X V v d D s s J n F 1 b 3 Q 7 Q V R f U k 9 B R C Z x d W 9 0 O y w m c X V v d D t P R E 9 U X 0 x B V E l U V U R F X 0 5 C U i Z x d W 9 0 O y w m c X V v d D t P R E 9 U X 0 x P T k d J V F V E R V 9 O Q l I m c X V v d D s s J n F 1 b 3 Q 7 T 0 R P V F 9 G S V B T X 0 N E J n F 1 b 3 Q 7 L C Z x d W 9 0 O 0 9 E T 1 R f Q 0 l U W V 9 W S U x M Q U d F X 1 R X U F 9 O T U U m c X V v d D s s J n F 1 b 3 Q 7 T 0 R P V F 9 D S V R Z X 1 Z J T E x B R 0 V f V F d Q X 0 N E J n F 1 b 3 Q 7 L C Z x d W 9 0 O 0 9 E U F N f V E 9 U Q U x f R k F U Q U x J V E l F U 1 9 O Q l I m c X V v d D s s J n F 1 b 3 Q 7 S U 5 D Q V B B Q 1 9 J T k p V U k l F U 1 9 O Q l I m c X V v d D s s J n F 1 b 3 Q 7 T k 9 O X 0 l O Q 0 F Q Q U N f S U 5 K V V J J R V N f T k J S J n F 1 b 3 Q 7 L C Z x d W 9 0 O 1 B P U 1 N J Q k x F X 0 l O S l V S S U V T X 0 5 C U i Z x d W 9 0 O y w m c X V v d D t O T 1 9 J T k p V U l l f U k V Q T 1 J U R U R f T k J S J n F 1 b 3 Q 7 L C Z x d W 9 0 O 1 V O U k V T V F J B S U 5 f T 0 N D V V B B T l R T J n F 1 b 3 Q 7 L C Z x d W 9 0 O 0 5 V T U J F U l 9 P R l 9 V T k l U U 1 9 O Q l I m c X V v d D s s J n F 1 b 3 Q 7 T k x G X 0 p V U l 9 D R C Z x d W 9 0 O y w m c X V v d D t P R E 9 U X 0 x P Q 1 9 S T 1 V U R V 9 Q U k V G S V h f Q 0 Q m c X V v d D s s J n F 1 b 3 Q 7 R k F D S U x J V F l f V F l Q R V 9 D R C Z x d W 9 0 O y w m c X V v d D t B U k V B X 0 N P R E U m c X V v d D s s J n F 1 b 3 Q 7 R l V O Q 1 R J T 0 5 B T F 9 D T E F T U 1 9 D R C Z x d W 9 0 O y w m c X V v d D t O S F N f Q 0 Q m c X V v d D s s J n F 1 b 3 Q 7 T 0 R P V F 9 E S V Z f V U 5 E S V Z f S U 5 E J n F 1 b 3 Q 7 L C Z x d W 9 0 O 0 9 E T 1 R f T E F O R V N f T k J S J n F 1 b 3 Q 7 L C Z x d W 9 0 O 0 9 Q R V J f Q U N D R V N T X 0 N P T l R S T 0 x f Q 0 Q m c X V v d D s s J n F 1 b 3 Q 7 R l J F R V d B W V 9 J T k Q m c X V v d D s s J n F 1 b 3 Q 7 S U 5 U R V J T V E F U R V 9 J T k Q m c X V v d D s s J n F 1 b 3 Q 7 T 0 R P V F 9 N Q U l O V E F J T k V E X 0 h X W V 9 J T k Q m c X V v d D s s J n F 1 b 3 Q 7 T U F J T l R F T k F O Q 0 V f Q V V U S E 9 S S V R Z X 0 N E J n F 1 b 3 Q 7 L C Z x d W 9 0 O 0 N S Q V N I X 0 R B V E U m c X V v d D s s J n F 1 b 3 Q 7 T U 9 O V E g m c X V v d D s s J n F 1 b 3 Q 7 S E 9 V U l 9 P R l 9 D U k F T S C Z x d W 9 0 O y w m c X V v d D t E Q V l f S U 5 f V 0 V F S 1 9 D R C Z x d W 9 0 O y w m c X V v d D t X R U F U S E V S X 0 N P T k R f Q 0 Q m c X V v d D s s J n F 1 b 3 Q 7 U k 9 B R F 9 D T 0 5 E X 1 B S S U 1 B U l l f Q 0 Q m c X V v d D s s J n F 1 b 3 Q 7 T E l H S F R f Q 0 9 O R F 9 Q U k l N Q V J Z X 0 N E J n F 1 b 3 Q 7 L C Z x d W 9 0 O 1 J P Q U R f Q 0 9 O V E 9 V U l 9 D R C Z x d W 9 0 O y w m c X V v d D t G S F d B X 1 J E V 1 l f R E V Q Q V J U V V J F X 0 l O R C Z x d W 9 0 O y w m c X V v d D t P R E 9 U X 0 l O V E V S U 0 V D V E l P T l 9 S R U x f S U 5 E J n F 1 b 3 Q 7 L C Z x d W 9 0 O 0 9 E U F N f Q U x D T 0 h P T F 9 J T k Q m c X V v d D s s J n F 1 b 3 Q 7 T U F S S U p V Q U 5 B X 0 l O R C Z x d W 9 0 O y w m c X V v d D t P R F B T X 0 R S V U d f S U 5 E J n F 1 b 3 Q 7 L C Z x d W 9 0 O 0 9 E U F N f U 0 N I T 0 9 M X 1 p P T k V f S U 5 E J n F 1 b 3 Q 7 L C Z x d W 9 0 O 0 9 E U F N f T U 9 U T 1 J D W U N M R V 9 J T k Q m c X V v d D s s J n F 1 b 3 Q 7 T 0 R Q U 1 9 T U E V F R F 9 J T k Q m c X V v d D s s J n F 1 b 3 Q 7 T 0 R Q U 1 9 T R U 5 J T 1 J f R F J J V k V S X 0 l O R C Z x d W 9 0 O y w m c X V v d D t P R E 9 U X 1 l P V U 5 H X 0 R S S V Z F U l 9 J T k Q m c X V v d D s s J n F 1 b 3 Q 7 T 0 R Q U 1 9 X T 1 J L X 1 p P T k V f S U 5 E J n F 1 b 3 Q 7 L C Z x d W 9 0 O 0 9 E U F N f T E 9 D X 0 l O X 1 d P U k t f W k 9 O R V 9 D R C Z x d W 9 0 O y w m c X V v d D t P R F B T X 1 R Z U E V f T 0 Z f V 0 9 S S 1 9 a T 0 5 F X 0 N E J n F 1 b 3 Q 7 L C Z x d W 9 0 O 0 R J U 1 R S Q U N U R U R f R F J J V k V S X 0 l O R C Z x d W 9 0 O y w m c X V v d D t P R F B T X 0 N J V F l f V k l M T E F H R V 9 U V 1 B f T k 1 F J n F 1 b 3 Q 7 L C Z x d W 9 0 O 0 9 E U F N f T E 9 D X 1 J P Q U R f R E l S R U N U S U 9 O X 0 N E J n F 1 b 3 Q 7 L C Z x d W 9 0 O 0 9 E U F N f T E 9 D X 1 J P Q U R f T k 1 F J n F 1 b 3 Q 7 L C Z x d W 9 0 O 0 9 E U F N f T E 9 D X 1 J P Q U R f U 1 V G R k l Y X 0 N E J n F 1 b 3 Q 7 L C Z x d W 9 0 O 0 9 E U F N f T E 9 D X 0 R J U l 9 T V U Z G S V h f Q 0 Q m c X V v d D s s J n F 1 b 3 Q 7 T 0 R Q U 1 9 M T 0 N f U k 9 V V E V f U F J F R k l Y X 0 N E J n F 1 b 3 Q 7 L C Z x d W 9 0 O 0 9 E U F N f T E 9 D X 1 J P V V R F X 0 l E J n F 1 b 3 Q 7 L C Z x d W 9 0 O 0 9 E U F N f T E 9 D X 1 J P V V R F X 1 N V R k Z J W F 9 D R C Z x d W 9 0 O y w m c X V v d D t P R F B T X 1 J F R l 9 E S V J F Q 1 R J T 0 5 f Q 0 Q m c X V v d D s s J n F 1 b 3 Q 7 T 0 R Q U 1 9 S R U Z f R 0 l W R U 4 m c X V v d D s s J n F 1 b 3 Q 7 T 0 R Q U 1 9 S R U Z f U 1 V G R k l Y X 0 N E J n F 1 b 3 Q 7 L C Z x d W 9 0 O 0 9 E U F N f U k V G X 0 R J U l 9 T V U Z G S V h f Q 0 Q m c X V v d D s s J n F 1 b 3 Q 7 T 0 R Q U 1 9 S R U Z f U k 9 V V E V f U F J F R k l Y X 0 N E J n F 1 b 3 Q 7 L C Z x d W 9 0 O 0 9 E U F N f U k V G X 1 J P V V R F X 0 l E J n F 1 b 3 Q 7 L C Z x d W 9 0 O 0 9 E U F N f U k V G X 1 J P V V R F X 1 N V R k Z J W F 9 D R C Z x d W 9 0 O y w m c X V v d D t P R F B T X 0 F E R F J F U 1 N f U k V G R V J F T k N F J n F 1 b 3 Q 7 L C Z x d W 9 0 O 0 9 E U F N f T U l M R V B P U 1 R f U k V G R V J F T k N F J n F 1 b 3 Q 7 L C Z x d W 9 0 O 0 9 E T 1 R f U k V G X 1 B P S U 5 U X 1 V T R U R f Q 0 Q m c X V v d D s s J n F 1 b 3 Q 7 V T F f Q V R f R k F V T F R f S U 5 E J n F 1 b 3 Q 7 L C Z x d W 9 0 O 1 U x X 0 9 E U F N f V U 5 J V F 9 O Q l I m c X V v d D s s J n F 1 b 3 Q 7 V T F f R E l S R U N U S U 9 O X 0 Z S T 0 1 f Q 0 Q m c X V v d D s s J n F 1 b 3 Q 7 V T F f R E l S R U N U S U 9 O X 1 R P X 0 N E J n F 1 b 3 Q 7 L C Z x d W 9 0 O 1 U x X 1 R V U k 5 f Q 0 Q m c X V v d D s s J n F 1 b 3 Q 7 V T F f V F J B R k Z J Q 1 9 D T 0 5 U U k 9 M X 0 N E J n F 1 b 3 Q 7 L C Z x d W 9 0 O 1 U x X 1 R Z U E V f T 0 Z f V U 5 J V F 9 D R C Z x d W 9 0 O y w m c X V v d D t V M V 9 T U E V D S U F M X 0 Z V T k N U S U 9 O X 0 N E J n F 1 b 3 Q 7 L C Z x d W 9 0 O 1 U x X 1 V O S V R f U 1 B F R U R f T k J S J n F 1 b 3 Q 7 L C Z x d W 9 0 O 1 U x X 1 B P U 1 R F R F 9 T U E V F R F 9 O Q l I m c X V v d D s s J n F 1 b 3 Q 7 V T F f U F J F Q 1 J B U 0 h f Q U N U S U 9 O X 0 N E J n F 1 b 3 Q 7 L C Z x d W 9 0 O 1 U x X 0 N P T l R f Q 0 l S X 1 B S S U 1 B U l l f Q 0 Q m c X V v d D s s J n F 1 b 3 Q 7 V T F f T 0 J K R U N U X 1 N U U l V D S y Z x d W 9 0 O y w m c X V v d D t V M V 9 T R V F f T 0 Z f R V Z F T l R T X z F f Q 0 Q m c X V v d D s s J n F 1 b 3 Q 7 V T F f U 0 V R X 0 9 G X 0 V W R U 5 U U 1 8 y X 0 N E J n F 1 b 3 Q 7 L C Z x d W 9 0 O 1 U x X 1 N F U V 9 P R l 9 F V k V O V F N f M 1 9 D R C Z x d W 9 0 O y w m c X V v d D t V M V 9 T R V F f T 0 Z f R V Z F T l R T X z R f Q 0 Q m c X V v d D s s J n F 1 b 3 Q 7 V T F f U 0 V R X 0 9 G X 0 V W R U 5 U U 1 8 1 X 0 N E J n F 1 b 3 Q 7 L C Z x d W 9 0 O 1 U x X 1 N F U V 9 P R l 9 F V k V O V F N f N l 9 D R C Z x d W 9 0 O y w m c X V v d D t V M V 9 O T 0 5 f T U 9 U T 1 J J U 1 R f T E 9 D X 0 N E J n F 1 b 3 Q 7 L C Z x d W 9 0 O 1 U x X 0 F H R V 9 O Q l I m c X V v d D s s J n F 1 b 3 Q 7 V T F f R 0 V O R E V S X 0 N E J n F 1 b 3 Q 7 L C Z x d W 9 0 O 1 U x X 0 R J U 1 R S Q U N U R U R f Q l l f M V 9 D R C Z x d W 9 0 O y w m c X V v d D t V M l 9 P R F B T X 1 V O S V R f T k J S J n F 1 b 3 Q 7 L C Z x d W 9 0 O 1 U y X 0 R J U k V D V E l P T l 9 G U k 9 N X 0 N E J n F 1 b 3 Q 7 L C Z x d W 9 0 O 1 U y X 0 R J U k V D V E l P T l 9 U T 1 9 D R C Z x d W 9 0 O y w m c X V v d D t V M l 9 U V V J O X 0 N E J n F 1 b 3 Q 7 L C Z x d W 9 0 O 1 U y X 1 R S Q U Z G S U N f Q 0 9 O V F J P T F 9 D R C Z x d W 9 0 O y w m c X V v d D t V M l 9 U W V B F X 0 9 G X 1 V O S V R f Q 0 Q m c X V v d D s s J n F 1 b 3 Q 7 V T J f U 1 B F Q 0 l B T F 9 G V U 5 D V E l P T l 9 D R C Z x d W 9 0 O y w m c X V v d D t V M l 9 V T k l U X 1 N Q R U V E X 0 5 C U i Z x d W 9 0 O y w m c X V v d D t V M l 9 Q T 1 N U R U R f U 1 B F R U R f T k J S J n F 1 b 3 Q 7 L C Z x d W 9 0 O 1 U y X 1 B S R U N S Q V N I X 0 F D V E l P T l 9 D R C Z x d W 9 0 O y w m c X V v d D t V M l 9 D T 0 5 U X 0 N J U l 9 Q U k l N Q V J Z X 0 N E J n F 1 b 3 Q 7 L C Z x d W 9 0 O 1 U y X 1 N F U V 9 P R l 9 F V k V O V F N f M V 9 D R C Z x d W 9 0 O y w m c X V v d D t V M l 9 T R V F f T 0 Z f R V Z F T l R T X z J f Q 0 Q m c X V v d D s s J n F 1 b 3 Q 7 V T J f U 0 V R X 0 9 G X 0 V W R U 5 U U 1 8 z X 0 N E J n F 1 b 3 Q 7 L C Z x d W 9 0 O 1 U y X 1 N F U V 9 P R l 9 F V k V O V F N f N F 9 D R C Z x d W 9 0 O y w m c X V v d D t V M l 9 T R V F f T 0 Z f R V Z F T l R T X z V f Q 0 Q m c X V v d D s s J n F 1 b 3 Q 7 V T J f U 0 V R X 0 9 G X 0 V W R U 5 U U 1 8 2 X 0 N E J n F 1 b 3 Q 7 L C Z x d W 9 0 O 1 U y X 0 5 P T l 9 N T 1 R P U k l T V F 9 M T 0 N f Q 0 Q m c X V v d D s s J n F 1 b 3 Q 7 V T J f Q U d F X 0 5 C U i Z x d W 9 0 O y w m c X V v d D t V M l 9 H R U 5 E R V J f Q 0 Q m c X V v d D s s J n F 1 b 3 Q 7 V T J f R E l T V F J B Q 1 R F R F 9 C W V 8 x X 0 N E J n F 1 b 3 Q 7 L C Z x d W 9 0 O 1 U z X 0 9 E U F N f V U 5 J V F 9 O Q l I m c X V v d D s s J n F 1 b 3 Q 7 V T N f V F J B R k Z J Q 1 9 D T 0 5 U U k 9 M X 0 N E J n F 1 b 3 Q 7 L C Z x d W 9 0 O 1 U z X 1 R Z U E V f T 0 Z f V U 5 J V F 9 D R C Z x d W 9 0 O y w m c X V v d D t V M 1 9 T U E V D S U F M X 0 Z V T k N U S U 9 O X 0 N E J n F 1 b 3 Q 7 L C Z x d W 9 0 O 1 U z X 1 B S R U N S Q V N I X 0 F D V E l P T l 9 D R C Z x d W 9 0 O y w m c X V v d D t V M 1 9 D T 0 5 U X 0 N J U l 9 Q U k l N Q V J Z X 0 N E J n F 1 b 3 Q 7 L C Z x d W 9 0 O 1 U z X 1 N F U V 9 P R l 9 F V k V O V F N f M V 9 D R C Z x d W 9 0 O y w m c X V v d D t V M 1 9 T R V F f T 0 Z f R V Z F T l R T X z J f Q 0 Q m c X V v d D s s J n F 1 b 3 Q 7 V T N f U 0 V R X 0 9 G X 0 V W R U 5 U U 1 8 z X 0 N E J n F 1 b 3 Q 7 L C Z x d W 9 0 O 1 U z X 1 N F U V 9 P R l 9 F V k V O V F N f N F 9 D R C Z x d W 9 0 O y w m c X V v d D t V M 1 9 T R V F f T 0 Z f R V Z F T l R T X z V f Q 0 Q m c X V v d D s s J n F 1 b 3 Q 7 V T N f U 0 V R X 0 9 G X 0 V W R U 5 U U 1 8 2 X 0 N E J n F 1 b 3 Q 7 L C Z x d W 9 0 O 0 l O V E V S U 0 V D V E l P T l 9 J R F 9 D V V J S R U 5 U J n F 1 b 3 Q 7 L C Z x d W 9 0 O 0 l O V E V S U 0 V D V E l P T l 9 M R U d f S U Q m c X V v d D s s J n F 1 b 3 Q 7 S U 5 U R V J D S E F O R 0 V f S U Q m c X V v d D s s J n F 1 b 3 Q 7 U 0 F f U k F N U F 9 J R C Z x d W 9 0 O y w m c X V v d D t T Q V 9 T R U d N R U 5 U X 0 l E J n F 1 b 3 Q 7 L C Z x d W 9 0 O 0 p 1 c m l z Z G l j d G l v b l 9 U e X B l J n F 1 b 3 Q 7 L C Z x d W 9 0 O 0 N S Q V N I X 1 J F U E 9 S V F 9 M S U 5 L J n F 1 b 3 Q 7 L C Z x d W 9 0 O 0 h p c 3 R v c m l j Y W x J b W F n Z V B h d G g 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E 0 M y w m c X V v d D t r Z X l D b 2 x 1 b W 5 O Y W 1 l c y Z x d W 9 0 O z p b X S w m c X V v d D t x d W V y e V J l b G F 0 a W 9 u c 2 h p c H M m c X V v d D s 6 W 1 0 s J n F 1 b 3 Q 7 Y 2 9 s d W 1 u S W R l b n R p d G l l c y Z x d W 9 0 O z p b J n F 1 b 3 Q 7 U 2 V j d G l v b j E v T 0 g x X 0 N B T V R v b 2 x R d W V y e S 9 T b 3 V y Y 2 U u e 0 R P Q 1 V N R U 5 U X 0 5 C U i w w f S Z x d W 9 0 O y w m c X V v d D t T Z W N 0 a W 9 u M S 9 P S D F f Q 0 F N V G 9 v b F F 1 Z X J 5 L 1 N v d X J j Z S 5 7 Q 1 J B U 0 h f W V I s M X 0 m c X V v d D s s J n F 1 b 3 Q 7 U 2 V j d G l v b j E v T 0 g x X 0 N B T V R v b 2 x R d W V y e S 9 T b 3 V y Y 2 U u e 0 x P Q 0 F M X 1 J F U E 9 S V F 9 O V U 1 C R V J f S U Q s M n 0 m c X V v d D s s J n F 1 b 3 Q 7 U 2 V j d G l v b j E v T 0 g x X 0 N B T V R v b 2 x R d W V y e S 9 T b 3 V y Y 2 U u e 1 V z Z X J f R G V m a W 5 l Z C w z f S Z x d W 9 0 O y w m c X V v d D t T Z W N 0 a W 9 u M S 9 P S D F f Q 0 F N V G 9 v b F F 1 Z X J 5 L 1 N v d X J j Z S 5 7 U 0 V W R V J J V F l f Q l l f V F l Q R V 9 D R C w 0 f S Z x d W 9 0 O y w m c X V v d D t T Z W N 0 a W 9 u M S 9 P S D F f Q 0 F N V G 9 v b F F 1 Z X J 5 L 1 N v d X J j Z S 5 7 Q 1 J B U 0 h f V F l Q R V 9 D R C w 1 f S Z x d W 9 0 O y w m c X V v d D t T Z W N 0 a W 9 u M S 9 P S D F f Q 0 F N V G 9 v b F F 1 Z X J 5 L 1 N v d X J j Z S 5 7 R E l T V F J J Q 1 R f T k J S L D Z 9 J n F 1 b 3 Q 7 L C Z x d W 9 0 O 1 N l Y 3 R p b 2 4 x L 0 9 I M V 9 D Q U 1 U b 2 9 s U X V l c n k v U 2 9 1 c m N l L n t O T E Z f Q 0 9 V T l R Z X 0 N E L D d 9 J n F 1 b 3 Q 7 L C Z x d W 9 0 O 1 N l Y 3 R p b 2 4 x L 0 9 I M V 9 D Q U 1 U b 2 9 s U X V l c n k v U 2 9 1 c m N l L n t P R E 9 U X 0 N S Q V N I X 0 x P Q 0 F U S U 9 O X 0 N E L D h 9 J n F 1 b 3 Q 7 L C Z x d W 9 0 O 1 N l Y 3 R p b 2 4 x L 0 9 I M V 9 D Q U 1 U b 2 9 s U X V l c n k v U 2 9 1 c m N l L n t O T E Z J R C w 5 f S Z x d W 9 0 O y w m c X V v d D t T Z W N 0 a W 9 u M S 9 P S D F f Q 0 F N V G 9 v b F F 1 Z X J 5 L 1 N v d X J j Z S 5 7 Q 0 9 V T l R Z X 0 x P R 1 9 O Q l I s M T B 9 J n F 1 b 3 Q 7 L C Z x d W 9 0 O 1 N l Y 3 R p b 2 4 x L 0 9 I M V 9 D Q U 1 U b 2 9 s U X V l c n k v U 2 9 1 c m N l L n t T V E F U R V 9 U U l V F X 0 x P R 1 9 O Q l I s M T F 9 J n F 1 b 3 Q 7 L C Z x d W 9 0 O 1 N l Y 3 R p b 2 4 x L 0 9 I M V 9 D Q U 1 U b 2 9 s U X V l c n k v U 2 9 1 c m N l L n t P T l 9 S T 0 F E L D E y f S Z x d W 9 0 O y w m c X V v d D t T Z W N 0 a W 9 u M S 9 P S D F f Q 0 F N V G 9 v b F F 1 Z X J 5 L 1 N v d X J j Z S 5 7 Q V R f U k 9 B R C w x M 3 0 m c X V v d D s s J n F 1 b 3 Q 7 U 2 V j d G l v b j E v T 0 g x X 0 N B T V R v b 2 x R d W V y e S 9 T b 3 V y Y 2 U u e 0 9 E T 1 R f T E F U S V R V R E V f T k J S L D E 0 f S Z x d W 9 0 O y w m c X V v d D t T Z W N 0 a W 9 u M S 9 P S D F f Q 0 F N V G 9 v b F F 1 Z X J 5 L 1 N v d X J j Z S 5 7 T 0 R P V F 9 M T 0 5 H S V R V R E V f T k J S L D E 1 f S Z x d W 9 0 O y w m c X V v d D t T Z W N 0 a W 9 u M S 9 P S D F f Q 0 F N V G 9 v b F F 1 Z X J 5 L 1 N v d X J j Z S 5 7 T 0 R P V F 9 G S V B T X 0 N E L D E 2 f S Z x d W 9 0 O y w m c X V v d D t T Z W N 0 a W 9 u M S 9 P S D F f Q 0 F N V G 9 v b F F 1 Z X J 5 L 1 N v d X J j Z S 5 7 T 0 R P V F 9 D S V R Z X 1 Z J T E x B R 0 V f V F d Q X 0 5 N R S w x N 3 0 m c X V v d D s s J n F 1 b 3 Q 7 U 2 V j d G l v b j E v T 0 g x X 0 N B T V R v b 2 x R d W V y e S 9 T b 3 V y Y 2 U u e 0 9 E T 1 R f Q 0 l U W V 9 W S U x M Q U d F X 1 R X U F 9 D R C w x O H 0 m c X V v d D s s J n F 1 b 3 Q 7 U 2 V j d G l v b j E v T 0 g x X 0 N B T V R v b 2 x R d W V y e S 9 T b 3 V y Y 2 U u e 0 9 E U F N f V E 9 U Q U x f R k F U Q U x J V E l F U 1 9 O Q l I s M T l 9 J n F 1 b 3 Q 7 L C Z x d W 9 0 O 1 N l Y 3 R p b 2 4 x L 0 9 I M V 9 D Q U 1 U b 2 9 s U X V l c n k v U 2 9 1 c m N l L n t J T k N B U E F D X 0 l O S l V S S U V T X 0 5 C U i w y M H 0 m c X V v d D s s J n F 1 b 3 Q 7 U 2 V j d G l v b j E v T 0 g x X 0 N B T V R v b 2 x R d W V y e S 9 T b 3 V y Y 2 U u e 0 5 P T l 9 J T k N B U E F D X 0 l O S l V S S U V T X 0 5 C U i w y M X 0 m c X V v d D s s J n F 1 b 3 Q 7 U 2 V j d G l v b j E v T 0 g x X 0 N B T V R v b 2 x R d W V y e S 9 T b 3 V y Y 2 U u e 1 B P U 1 N J Q k x F X 0 l O S l V S S U V T X 0 5 C U i w y M n 0 m c X V v d D s s J n F 1 b 3 Q 7 U 2 V j d G l v b j E v T 0 g x X 0 N B T V R v b 2 x R d W V y e S 9 T b 3 V y Y 2 U u e 0 5 P X 0 l O S l V S W V 9 S R V B P U l R F R F 9 O Q l I s M j N 9 J n F 1 b 3 Q 7 L C Z x d W 9 0 O 1 N l Y 3 R p b 2 4 x L 0 9 I M V 9 D Q U 1 U b 2 9 s U X V l c n k v U 2 9 1 c m N l L n t V T l J F U 1 R S Q U l O X 0 9 D Q 1 V Q Q U 5 U U y w y N H 0 m c X V v d D s s J n F 1 b 3 Q 7 U 2 V j d G l v b j E v T 0 g x X 0 N B T V R v b 2 x R d W V y e S 9 T b 3 V y Y 2 U u e 0 5 V T U J F U l 9 P R l 9 V T k l U U 1 9 O Q l I s M j V 9 J n F 1 b 3 Q 7 L C Z x d W 9 0 O 1 N l Y 3 R p b 2 4 x L 0 9 I M V 9 D Q U 1 U b 2 9 s U X V l c n k v U 2 9 1 c m N l L n t O T E Z f S l V S X 0 N E L D I 2 f S Z x d W 9 0 O y w m c X V v d D t T Z W N 0 a W 9 u M S 9 P S D F f Q 0 F N V G 9 v b F F 1 Z X J 5 L 1 N v d X J j Z S 5 7 T 0 R P V F 9 M T 0 N f U k 9 V V E V f U F J F R k l Y X 0 N E L D I 3 f S Z x d W 9 0 O y w m c X V v d D t T Z W N 0 a W 9 u M S 9 P S D F f Q 0 F N V G 9 v b F F 1 Z X J 5 L 1 N v d X J j Z S 5 7 R k F D S U x J V F l f V F l Q R V 9 D R C w y O H 0 m c X V v d D s s J n F 1 b 3 Q 7 U 2 V j d G l v b j E v T 0 g x X 0 N B T V R v b 2 x R d W V y e S 9 T b 3 V y Y 2 U u e 0 F S R U F f Q 0 9 E R S w y O X 0 m c X V v d D s s J n F 1 b 3 Q 7 U 2 V j d G l v b j E v T 0 g x X 0 N B T V R v b 2 x R d W V y e S 9 T b 3 V y Y 2 U u e 0 Z V T k N U S U 9 O Q U x f Q 0 x B U 1 N f Q 0 Q s M z B 9 J n F 1 b 3 Q 7 L C Z x d W 9 0 O 1 N l Y 3 R p b 2 4 x L 0 9 I M V 9 D Q U 1 U b 2 9 s U X V l c n k v U 2 9 1 c m N l L n t O S F N f Q 0 Q s M z F 9 J n F 1 b 3 Q 7 L C Z x d W 9 0 O 1 N l Y 3 R p b 2 4 x L 0 9 I M V 9 D Q U 1 U b 2 9 s U X V l c n k v U 2 9 1 c m N l L n t P R E 9 U X 0 R J V l 9 V T k R J V l 9 J T k Q s M z J 9 J n F 1 b 3 Q 7 L C Z x d W 9 0 O 1 N l Y 3 R p b 2 4 x L 0 9 I M V 9 D Q U 1 U b 2 9 s U X V l c n k v U 2 9 1 c m N l L n t P R E 9 U X 0 x B T k V T X 0 5 C U i w z M 3 0 m c X V v d D s s J n F 1 b 3 Q 7 U 2 V j d G l v b j E v T 0 g x X 0 N B T V R v b 2 x R d W V y e S 9 T b 3 V y Y 2 U u e 0 9 Q R V J f Q U N D R V N T X 0 N P T l R S T 0 x f Q 0 Q s M z R 9 J n F 1 b 3 Q 7 L C Z x d W 9 0 O 1 N l Y 3 R p b 2 4 x L 0 9 I M V 9 D Q U 1 U b 2 9 s U X V l c n k v U 2 9 1 c m N l L n t G U k V F V 0 F Z X 0 l O R C w z N X 0 m c X V v d D s s J n F 1 b 3 Q 7 U 2 V j d G l v b j E v T 0 g x X 0 N B T V R v b 2 x R d W V y e S 9 T b 3 V y Y 2 U u e 0 l O V E V S U 1 R B V E V f S U 5 E L D M 2 f S Z x d W 9 0 O y w m c X V v d D t T Z W N 0 a W 9 u M S 9 P S D F f Q 0 F N V G 9 v b F F 1 Z X J 5 L 1 N v d X J j Z S 5 7 T 0 R P V F 9 N Q U l O V E F J T k V E X 0 h X W V 9 J T k Q s M z d 9 J n F 1 b 3 Q 7 L C Z x d W 9 0 O 1 N l Y 3 R p b 2 4 x L 0 9 I M V 9 D Q U 1 U b 2 9 s U X V l c n k v U 2 9 1 c m N l L n t N Q U l O V E V O Q U 5 D R V 9 B V V R I T 1 J J V F l f Q 0 Q s M z h 9 J n F 1 b 3 Q 7 L C Z x d W 9 0 O 1 N l Y 3 R p b 2 4 x L 0 9 I M V 9 D Q U 1 U b 2 9 s U X V l c n k v U 2 9 1 c m N l L n t D U k F T S F 9 E Q V R F L D M 5 f S Z x d W 9 0 O y w m c X V v d D t T Z W N 0 a W 9 u M S 9 P S D F f Q 0 F N V G 9 v b F F 1 Z X J 5 L 1 N v d X J j Z S 5 7 T U 9 O V E g s N D B 9 J n F 1 b 3 Q 7 L C Z x d W 9 0 O 1 N l Y 3 R p b 2 4 x L 0 9 I M V 9 D Q U 1 U b 2 9 s U X V l c n k v U 2 9 1 c m N l L n t I T 1 V S X 0 9 G X 0 N S Q V N I L D Q x f S Z x d W 9 0 O y w m c X V v d D t T Z W N 0 a W 9 u M S 9 P S D F f Q 0 F N V G 9 v b F F 1 Z X J 5 L 1 N v d X J j Z S 5 7 R E F Z X 0 l O X 1 d F R U t f Q 0 Q s N D J 9 J n F 1 b 3 Q 7 L C Z x d W 9 0 O 1 N l Y 3 R p b 2 4 x L 0 9 I M V 9 D Q U 1 U b 2 9 s U X V l c n k v U 2 9 1 c m N l L n t X R U F U S E V S X 0 N P T k R f Q 0 Q s N D N 9 J n F 1 b 3 Q 7 L C Z x d W 9 0 O 1 N l Y 3 R p b 2 4 x L 0 9 I M V 9 D Q U 1 U b 2 9 s U X V l c n k v U 2 9 1 c m N l L n t S T 0 F E X 0 N P T k R f U F J J T U F S W V 9 D R C w 0 N H 0 m c X V v d D s s J n F 1 b 3 Q 7 U 2 V j d G l v b j E v T 0 g x X 0 N B T V R v b 2 x R d W V y e S 9 T b 3 V y Y 2 U u e 0 x J R 0 h U X 0 N P T k R f U F J J T U F S W V 9 D R C w 0 N X 0 m c X V v d D s s J n F 1 b 3 Q 7 U 2 V j d G l v b j E v T 0 g x X 0 N B T V R v b 2 x R d W V y e S 9 T b 3 V y Y 2 U u e 1 J P Q U R f Q 0 9 O V E 9 V U l 9 D R C w 0 N n 0 m c X V v d D s s J n F 1 b 3 Q 7 U 2 V j d G l v b j E v T 0 g x X 0 N B T V R v b 2 x R d W V y e S 9 T b 3 V y Y 2 U u e 0 Z I V 0 F f U k R X W V 9 E R V B B U l R V U k V f S U 5 E L D Q 3 f S Z x d W 9 0 O y w m c X V v d D t T Z W N 0 a W 9 u M S 9 P S D F f Q 0 F N V G 9 v b F F 1 Z X J 5 L 1 N v d X J j Z S 5 7 T 0 R P V F 9 J T l R F U l N F Q 1 R J T 0 5 f U k V M X 0 l O R C w 0 O H 0 m c X V v d D s s J n F 1 b 3 Q 7 U 2 V j d G l v b j E v T 0 g x X 0 N B T V R v b 2 x R d W V y e S 9 T b 3 V y Y 2 U u e 0 9 E U F N f Q U x D T 0 h P T F 9 J T k Q s N D l 9 J n F 1 b 3 Q 7 L C Z x d W 9 0 O 1 N l Y 3 R p b 2 4 x L 0 9 I M V 9 D Q U 1 U b 2 9 s U X V l c n k v U 2 9 1 c m N l L n t N Q V J J S l V B T k F f S U 5 E L D U w f S Z x d W 9 0 O y w m c X V v d D t T Z W N 0 a W 9 u M S 9 P S D F f Q 0 F N V G 9 v b F F 1 Z X J 5 L 1 N v d X J j Z S 5 7 T 0 R Q U 1 9 E U l V H X 0 l O R C w 1 M X 0 m c X V v d D s s J n F 1 b 3 Q 7 U 2 V j d G l v b j E v T 0 g x X 0 N B T V R v b 2 x R d W V y e S 9 T b 3 V y Y 2 U u e 0 9 E U F N f U 0 N I T 0 9 M X 1 p P T k V f S U 5 E L D U y f S Z x d W 9 0 O y w m c X V v d D t T Z W N 0 a W 9 u M S 9 P S D F f Q 0 F N V G 9 v b F F 1 Z X J 5 L 1 N v d X J j Z S 5 7 T 0 R Q U 1 9 N T 1 R P U k N Z Q 0 x F X 0 l O R C w 1 M 3 0 m c X V v d D s s J n F 1 b 3 Q 7 U 2 V j d G l v b j E v T 0 g x X 0 N B T V R v b 2 x R d W V y e S 9 T b 3 V y Y 2 U u e 0 9 E U F N f U 1 B F R U R f S U 5 E L D U 0 f S Z x d W 9 0 O y w m c X V v d D t T Z W N 0 a W 9 u M S 9 P S D F f Q 0 F N V G 9 v b F F 1 Z X J 5 L 1 N v d X J j Z S 5 7 T 0 R Q U 1 9 T R U 5 J T 1 J f R F J J V k V S X 0 l O R C w 1 N X 0 m c X V v d D s s J n F 1 b 3 Q 7 U 2 V j d G l v b j E v T 0 g x X 0 N B T V R v b 2 x R d W V y e S 9 T b 3 V y Y 2 U u e 0 9 E T 1 R f W U 9 V T k d f R F J J V k V S X 0 l O R C w 1 N n 0 m c X V v d D s s J n F 1 b 3 Q 7 U 2 V j d G l v b j E v T 0 g x X 0 N B T V R v b 2 x R d W V y e S 9 T b 3 V y Y 2 U u e 0 9 E U F N f V 0 9 S S 1 9 a T 0 5 F X 0 l O R C w 1 N 3 0 m c X V v d D s s J n F 1 b 3 Q 7 U 2 V j d G l v b j E v T 0 g x X 0 N B T V R v b 2 x R d W V y e S 9 T b 3 V y Y 2 U u e 0 9 E U F N f T E 9 D X 0 l O X 1 d P U k t f W k 9 O R V 9 D R C w 1 O H 0 m c X V v d D s s J n F 1 b 3 Q 7 U 2 V j d G l v b j E v T 0 g x X 0 N B T V R v b 2 x R d W V y e S 9 T b 3 V y Y 2 U u e 0 9 E U F N f V F l Q R V 9 P R l 9 X T 1 J L X 1 p P T k V f Q 0 Q s N T l 9 J n F 1 b 3 Q 7 L C Z x d W 9 0 O 1 N l Y 3 R p b 2 4 x L 0 9 I M V 9 D Q U 1 U b 2 9 s U X V l c n k v U 2 9 1 c m N l L n t E S V N U U k F D V E V E X 0 R S S V Z F U l 9 J T k Q s N j B 9 J n F 1 b 3 Q 7 L C Z x d W 9 0 O 1 N l Y 3 R p b 2 4 x L 0 9 I M V 9 D Q U 1 U b 2 9 s U X V l c n k v U 2 9 1 c m N l L n t P R F B T X 0 N J V F l f V k l M T E F H R V 9 U V 1 B f T k 1 F L D Y x f S Z x d W 9 0 O y w m c X V v d D t T Z W N 0 a W 9 u M S 9 P S D F f Q 0 F N V G 9 v b F F 1 Z X J 5 L 1 N v d X J j Z S 5 7 T 0 R Q U 1 9 M T 0 N f U k 9 B R F 9 E S V J F Q 1 R J T 0 5 f Q 0 Q s N j J 9 J n F 1 b 3 Q 7 L C Z x d W 9 0 O 1 N l Y 3 R p b 2 4 x L 0 9 I M V 9 D Q U 1 U b 2 9 s U X V l c n k v U 2 9 1 c m N l L n t P R F B T X 0 x P Q 1 9 S T 0 F E X 0 5 N R S w 2 M 3 0 m c X V v d D s s J n F 1 b 3 Q 7 U 2 V j d G l v b j E v T 0 g x X 0 N B T V R v b 2 x R d W V y e S 9 T b 3 V y Y 2 U u e 0 9 E U F N f T E 9 D X 1 J P Q U R f U 1 V G R k l Y X 0 N E L D Y 0 f S Z x d W 9 0 O y w m c X V v d D t T Z W N 0 a W 9 u M S 9 P S D F f Q 0 F N V G 9 v b F F 1 Z X J 5 L 1 N v d X J j Z S 5 7 T 0 R Q U 1 9 M T 0 N f R E l S X 1 N V R k Z J W F 9 D R C w 2 N X 0 m c X V v d D s s J n F 1 b 3 Q 7 U 2 V j d G l v b j E v T 0 g x X 0 N B T V R v b 2 x R d W V y e S 9 T b 3 V y Y 2 U u e 0 9 E U F N f T E 9 D X 1 J P V V R F X 1 B S R U Z J W F 9 D R C w 2 N n 0 m c X V v d D s s J n F 1 b 3 Q 7 U 2 V j d G l v b j E v T 0 g x X 0 N B T V R v b 2 x R d W V y e S 9 T b 3 V y Y 2 U u e 0 9 E U F N f T E 9 D X 1 J P V V R F X 0 l E L D Y 3 f S Z x d W 9 0 O y w m c X V v d D t T Z W N 0 a W 9 u M S 9 P S D F f Q 0 F N V G 9 v b F F 1 Z X J 5 L 1 N v d X J j Z S 5 7 T 0 R Q U 1 9 M T 0 N f U k 9 V V E V f U 1 V G R k l Y X 0 N E L D Y 4 f S Z x d W 9 0 O y w m c X V v d D t T Z W N 0 a W 9 u M S 9 P S D F f Q 0 F N V G 9 v b F F 1 Z X J 5 L 1 N v d X J j Z S 5 7 T 0 R Q U 1 9 S R U Z f R E l S R U N U S U 9 O X 0 N E L D Y 5 f S Z x d W 9 0 O y w m c X V v d D t T Z W N 0 a W 9 u M S 9 P S D F f Q 0 F N V G 9 v b F F 1 Z X J 5 L 1 N v d X J j Z S 5 7 T 0 R Q U 1 9 S R U Z f R 0 l W R U 4 s N z B 9 J n F 1 b 3 Q 7 L C Z x d W 9 0 O 1 N l Y 3 R p b 2 4 x L 0 9 I M V 9 D Q U 1 U b 2 9 s U X V l c n k v U 2 9 1 c m N l L n t P R F B T X 1 J F R l 9 T V U Z G S V h f Q 0 Q s N z F 9 J n F 1 b 3 Q 7 L C Z x d W 9 0 O 1 N l Y 3 R p b 2 4 x L 0 9 I M V 9 D Q U 1 U b 2 9 s U X V l c n k v U 2 9 1 c m N l L n t P R F B T X 1 J F R l 9 E S V J f U 1 V G R k l Y X 0 N E L D c y f S Z x d W 9 0 O y w m c X V v d D t T Z W N 0 a W 9 u M S 9 P S D F f Q 0 F N V G 9 v b F F 1 Z X J 5 L 1 N v d X J j Z S 5 7 T 0 R Q U 1 9 S R U Z f U k 9 V V E V f U F J F R k l Y X 0 N E L D c z f S Z x d W 9 0 O y w m c X V v d D t T Z W N 0 a W 9 u M S 9 P S D F f Q 0 F N V G 9 v b F F 1 Z X J 5 L 1 N v d X J j Z S 5 7 T 0 R Q U 1 9 S R U Z f U k 9 V V E V f S U Q s N z R 9 J n F 1 b 3 Q 7 L C Z x d W 9 0 O 1 N l Y 3 R p b 2 4 x L 0 9 I M V 9 D Q U 1 U b 2 9 s U X V l c n k v U 2 9 1 c m N l L n t P R F B T X 1 J F R l 9 S T 1 V U R V 9 T V U Z G S V h f Q 0 Q s N z V 9 J n F 1 b 3 Q 7 L C Z x d W 9 0 O 1 N l Y 3 R p b 2 4 x L 0 9 I M V 9 D Q U 1 U b 2 9 s U X V l c n k v U 2 9 1 c m N l L n t P R F B T X 0 F E R F J F U 1 N f U k V G R V J F T k N F L D c 2 f S Z x d W 9 0 O y w m c X V v d D t T Z W N 0 a W 9 u M S 9 P S D F f Q 0 F N V G 9 v b F F 1 Z X J 5 L 1 N v d X J j Z S 5 7 T 0 R Q U 1 9 N S U x F U E 9 T V F 9 S R U Z F U k V O Q 0 U s N z d 9 J n F 1 b 3 Q 7 L C Z x d W 9 0 O 1 N l Y 3 R p b 2 4 x L 0 9 I M V 9 D Q U 1 U b 2 9 s U X V l c n k v U 2 9 1 c m N l L n t P R E 9 U X 1 J F R l 9 Q T 0 l O V F 9 V U 0 V E X 0 N E L D c 4 f S Z x d W 9 0 O y w m c X V v d D t T Z W N 0 a W 9 u M S 9 P S D F f Q 0 F N V G 9 v b F F 1 Z X J 5 L 1 N v d X J j Z S 5 7 V T F f Q V R f R k F V T F R f S U 5 E L D c 5 f S Z x d W 9 0 O y w m c X V v d D t T Z W N 0 a W 9 u M S 9 P S D F f Q 0 F N V G 9 v b F F 1 Z X J 5 L 1 N v d X J j Z S 5 7 V T F f T 0 R Q U 1 9 V T k l U X 0 5 C U i w 4 M H 0 m c X V v d D s s J n F 1 b 3 Q 7 U 2 V j d G l v b j E v T 0 g x X 0 N B T V R v b 2 x R d W V y e S 9 T b 3 V y Y 2 U u e 1 U x X 0 R J U k V D V E l P T l 9 G U k 9 N X 0 N E L D g x f S Z x d W 9 0 O y w m c X V v d D t T Z W N 0 a W 9 u M S 9 P S D F f Q 0 F N V G 9 v b F F 1 Z X J 5 L 1 N v d X J j Z S 5 7 V T F f R E l S R U N U S U 9 O X 1 R P X 0 N E L D g y f S Z x d W 9 0 O y w m c X V v d D t T Z W N 0 a W 9 u M S 9 P S D F f Q 0 F N V G 9 v b F F 1 Z X J 5 L 1 N v d X J j Z S 5 7 V T F f V F V S T l 9 D R C w 4 M 3 0 m c X V v d D s s J n F 1 b 3 Q 7 U 2 V j d G l v b j E v T 0 g x X 0 N B T V R v b 2 x R d W V y e S 9 T b 3 V y Y 2 U u e 1 U x X 1 R S Q U Z G S U N f Q 0 9 O V F J P T F 9 D R C w 4 N H 0 m c X V v d D s s J n F 1 b 3 Q 7 U 2 V j d G l v b j E v T 0 g x X 0 N B T V R v b 2 x R d W V y e S 9 T b 3 V y Y 2 U u e 1 U x X 1 R Z U E V f T 0 Z f V U 5 J V F 9 D R C w 4 N X 0 m c X V v d D s s J n F 1 b 3 Q 7 U 2 V j d G l v b j E v T 0 g x X 0 N B T V R v b 2 x R d W V y e S 9 T b 3 V y Y 2 U u e 1 U x X 1 N Q R U N J Q U x f R l V O Q 1 R J T 0 5 f Q 0 Q s O D Z 9 J n F 1 b 3 Q 7 L C Z x d W 9 0 O 1 N l Y 3 R p b 2 4 x L 0 9 I M V 9 D Q U 1 U b 2 9 s U X V l c n k v U 2 9 1 c m N l L n t V M V 9 V T k l U X 1 N Q R U V E X 0 5 C U i w 4 N 3 0 m c X V v d D s s J n F 1 b 3 Q 7 U 2 V j d G l v b j E v T 0 g x X 0 N B T V R v b 2 x R d W V y e S 9 T b 3 V y Y 2 U u e 1 U x X 1 B P U 1 R F R F 9 T U E V F R F 9 O Q l I s O D h 9 J n F 1 b 3 Q 7 L C Z x d W 9 0 O 1 N l Y 3 R p b 2 4 x L 0 9 I M V 9 D Q U 1 U b 2 9 s U X V l c n k v U 2 9 1 c m N l L n t V M V 9 Q U k V D U k F T S F 9 B Q 1 R J T 0 5 f Q 0 Q s O D l 9 J n F 1 b 3 Q 7 L C Z x d W 9 0 O 1 N l Y 3 R p b 2 4 x L 0 9 I M V 9 D Q U 1 U b 2 9 s U X V l c n k v U 2 9 1 c m N l L n t V M V 9 D T 0 5 U X 0 N J U l 9 Q U k l N Q V J Z X 0 N E L D k w f S Z x d W 9 0 O y w m c X V v d D t T Z W N 0 a W 9 u M S 9 P S D F f Q 0 F N V G 9 v b F F 1 Z X J 5 L 1 N v d X J j Z S 5 7 V T F f T 0 J K R U N U X 1 N U U l V D S y w 5 M X 0 m c X V v d D s s J n F 1 b 3 Q 7 U 2 V j d G l v b j E v T 0 g x X 0 N B T V R v b 2 x R d W V y e S 9 T b 3 V y Y 2 U u e 1 U x X 1 N F U V 9 P R l 9 F V k V O V F N f M V 9 D R C w 5 M n 0 m c X V v d D s s J n F 1 b 3 Q 7 U 2 V j d G l v b j E v T 0 g x X 0 N B T V R v b 2 x R d W V y e S 9 T b 3 V y Y 2 U u e 1 U x X 1 N F U V 9 P R l 9 F V k V O V F N f M l 9 D R C w 5 M 3 0 m c X V v d D s s J n F 1 b 3 Q 7 U 2 V j d G l v b j E v T 0 g x X 0 N B T V R v b 2 x R d W V y e S 9 T b 3 V y Y 2 U u e 1 U x X 1 N F U V 9 P R l 9 F V k V O V F N f M 1 9 D R C w 5 N H 0 m c X V v d D s s J n F 1 b 3 Q 7 U 2 V j d G l v b j E v T 0 g x X 0 N B T V R v b 2 x R d W V y e S 9 T b 3 V y Y 2 U u e 1 U x X 1 N F U V 9 P R l 9 F V k V O V F N f N F 9 D R C w 5 N X 0 m c X V v d D s s J n F 1 b 3 Q 7 U 2 V j d G l v b j E v T 0 g x X 0 N B T V R v b 2 x R d W V y e S 9 T b 3 V y Y 2 U u e 1 U x X 1 N F U V 9 P R l 9 F V k V O V F N f N V 9 D R C w 5 N n 0 m c X V v d D s s J n F 1 b 3 Q 7 U 2 V j d G l v b j E v T 0 g x X 0 N B T V R v b 2 x R d W V y e S 9 T b 3 V y Y 2 U u e 1 U x X 1 N F U V 9 P R l 9 F V k V O V F N f N l 9 D R C w 5 N 3 0 m c X V v d D s s J n F 1 b 3 Q 7 U 2 V j d G l v b j E v T 0 g x X 0 N B T V R v b 2 x R d W V y e S 9 T b 3 V y Y 2 U u e 1 U x X 0 5 P T l 9 N T 1 R P U k l T V F 9 M T 0 N f Q 0 Q s O T h 9 J n F 1 b 3 Q 7 L C Z x d W 9 0 O 1 N l Y 3 R p b 2 4 x L 0 9 I M V 9 D Q U 1 U b 2 9 s U X V l c n k v U 2 9 1 c m N l L n t V M V 9 B R 0 V f T k J S L D k 5 f S Z x d W 9 0 O y w m c X V v d D t T Z W N 0 a W 9 u M S 9 P S D F f Q 0 F N V G 9 v b F F 1 Z X J 5 L 1 N v d X J j Z S 5 7 V T F f R 0 V O R E V S X 0 N E L D E w M H 0 m c X V v d D s s J n F 1 b 3 Q 7 U 2 V j d G l v b j E v T 0 g x X 0 N B T V R v b 2 x R d W V y e S 9 T b 3 V y Y 2 U u e 1 U x X 0 R J U 1 R S Q U N U R U R f Q l l f M V 9 D R C w x M D F 9 J n F 1 b 3 Q 7 L C Z x d W 9 0 O 1 N l Y 3 R p b 2 4 x L 0 9 I M V 9 D Q U 1 U b 2 9 s U X V l c n k v U 2 9 1 c m N l L n t V M l 9 P R F B T X 1 V O S V R f T k J S L D E w M n 0 m c X V v d D s s J n F 1 b 3 Q 7 U 2 V j d G l v b j E v T 0 g x X 0 N B T V R v b 2 x R d W V y e S 9 T b 3 V y Y 2 U u e 1 U y X 0 R J U k V D V E l P T l 9 G U k 9 N X 0 N E L D E w M 3 0 m c X V v d D s s J n F 1 b 3 Q 7 U 2 V j d G l v b j E v T 0 g x X 0 N B T V R v b 2 x R d W V y e S 9 T b 3 V y Y 2 U u e 1 U y X 0 R J U k V D V E l P T l 9 U T 1 9 D R C w x M D R 9 J n F 1 b 3 Q 7 L C Z x d W 9 0 O 1 N l Y 3 R p b 2 4 x L 0 9 I M V 9 D Q U 1 U b 2 9 s U X V l c n k v U 2 9 1 c m N l L n t V M l 9 U V V J O X 0 N E L D E w N X 0 m c X V v d D s s J n F 1 b 3 Q 7 U 2 V j d G l v b j E v T 0 g x X 0 N B T V R v b 2 x R d W V y e S 9 T b 3 V y Y 2 U u e 1 U y X 1 R S Q U Z G S U N f Q 0 9 O V F J P T F 9 D R C w x M D Z 9 J n F 1 b 3 Q 7 L C Z x d W 9 0 O 1 N l Y 3 R p b 2 4 x L 0 9 I M V 9 D Q U 1 U b 2 9 s U X V l c n k v U 2 9 1 c m N l L n t V M l 9 U W V B F X 0 9 G X 1 V O S V R f Q 0 Q s M T A 3 f S Z x d W 9 0 O y w m c X V v d D t T Z W N 0 a W 9 u M S 9 P S D F f Q 0 F N V G 9 v b F F 1 Z X J 5 L 1 N v d X J j Z S 5 7 V T J f U 1 B F Q 0 l B T F 9 G V U 5 D V E l P T l 9 D R C w x M D h 9 J n F 1 b 3 Q 7 L C Z x d W 9 0 O 1 N l Y 3 R p b 2 4 x L 0 9 I M V 9 D Q U 1 U b 2 9 s U X V l c n k v U 2 9 1 c m N l L n t V M l 9 V T k l U X 1 N Q R U V E X 0 5 C U i w x M D l 9 J n F 1 b 3 Q 7 L C Z x d W 9 0 O 1 N l Y 3 R p b 2 4 x L 0 9 I M V 9 D Q U 1 U b 2 9 s U X V l c n k v U 2 9 1 c m N l L n t V M l 9 Q T 1 N U R U R f U 1 B F R U R f T k J S L D E x M H 0 m c X V v d D s s J n F 1 b 3 Q 7 U 2 V j d G l v b j E v T 0 g x X 0 N B T V R v b 2 x R d W V y e S 9 T b 3 V y Y 2 U u e 1 U y X 1 B S R U N S Q V N I X 0 F D V E l P T l 9 D R C w x M T F 9 J n F 1 b 3 Q 7 L C Z x d W 9 0 O 1 N l Y 3 R p b 2 4 x L 0 9 I M V 9 D Q U 1 U b 2 9 s U X V l c n k v U 2 9 1 c m N l L n t V M l 9 D T 0 5 U X 0 N J U l 9 Q U k l N Q V J Z X 0 N E L D E x M n 0 m c X V v d D s s J n F 1 b 3 Q 7 U 2 V j d G l v b j E v T 0 g x X 0 N B T V R v b 2 x R d W V y e S 9 T b 3 V y Y 2 U u e 1 U y X 1 N F U V 9 P R l 9 F V k V O V F N f M V 9 D R C w x M T N 9 J n F 1 b 3 Q 7 L C Z x d W 9 0 O 1 N l Y 3 R p b 2 4 x L 0 9 I M V 9 D Q U 1 U b 2 9 s U X V l c n k v U 2 9 1 c m N l L n t V M l 9 T R V F f T 0 Z f R V Z F T l R T X z J f Q 0 Q s M T E 0 f S Z x d W 9 0 O y w m c X V v d D t T Z W N 0 a W 9 u M S 9 P S D F f Q 0 F N V G 9 v b F F 1 Z X J 5 L 1 N v d X J j Z S 5 7 V T J f U 0 V R X 0 9 G X 0 V W R U 5 U U 1 8 z X 0 N E L D E x N X 0 m c X V v d D s s J n F 1 b 3 Q 7 U 2 V j d G l v b j E v T 0 g x X 0 N B T V R v b 2 x R d W V y e S 9 T b 3 V y Y 2 U u e 1 U y X 1 N F U V 9 P R l 9 F V k V O V F N f N F 9 D R C w x M T Z 9 J n F 1 b 3 Q 7 L C Z x d W 9 0 O 1 N l Y 3 R p b 2 4 x L 0 9 I M V 9 D Q U 1 U b 2 9 s U X V l c n k v U 2 9 1 c m N l L n t V M l 9 T R V F f T 0 Z f R V Z F T l R T X z V f Q 0 Q s M T E 3 f S Z x d W 9 0 O y w m c X V v d D t T Z W N 0 a W 9 u M S 9 P S D F f Q 0 F N V G 9 v b F F 1 Z X J 5 L 1 N v d X J j Z S 5 7 V T J f U 0 V R X 0 9 G X 0 V W R U 5 U U 1 8 2 X 0 N E L D E x O H 0 m c X V v d D s s J n F 1 b 3 Q 7 U 2 V j d G l v b j E v T 0 g x X 0 N B T V R v b 2 x R d W V y e S 9 T b 3 V y Y 2 U u e 1 U y X 0 5 P T l 9 N T 1 R P U k l T V F 9 M T 0 N f Q 0 Q s M T E 5 f S Z x d W 9 0 O y w m c X V v d D t T Z W N 0 a W 9 u M S 9 P S D F f Q 0 F N V G 9 v b F F 1 Z X J 5 L 1 N v d X J j Z S 5 7 V T J f Q U d F X 0 5 C U i w x M j B 9 J n F 1 b 3 Q 7 L C Z x d W 9 0 O 1 N l Y 3 R p b 2 4 x L 0 9 I M V 9 D Q U 1 U b 2 9 s U X V l c n k v U 2 9 1 c m N l L n t V M l 9 H R U 5 E R V J f Q 0 Q s M T I x f S Z x d W 9 0 O y w m c X V v d D t T Z W N 0 a W 9 u M S 9 P S D F f Q 0 F N V G 9 v b F F 1 Z X J 5 L 1 N v d X J j Z S 5 7 V T J f R E l T V F J B Q 1 R F R F 9 C W V 8 x X 0 N E L D E y M n 0 m c X V v d D s s J n F 1 b 3 Q 7 U 2 V j d G l v b j E v T 0 g x X 0 N B T V R v b 2 x R d W V y e S 9 T b 3 V y Y 2 U u e 1 U z X 0 9 E U F N f V U 5 J V F 9 O Q l I s M T I z f S Z x d W 9 0 O y w m c X V v d D t T Z W N 0 a W 9 u M S 9 P S D F f Q 0 F N V G 9 v b F F 1 Z X J 5 L 1 N v d X J j Z S 5 7 V T N f V F J B R k Z J Q 1 9 D T 0 5 U U k 9 M X 0 N E L D E y N H 0 m c X V v d D s s J n F 1 b 3 Q 7 U 2 V j d G l v b j E v T 0 g x X 0 N B T V R v b 2 x R d W V y e S 9 T b 3 V y Y 2 U u e 1 U z X 1 R Z U E V f T 0 Z f V U 5 J V F 9 D R C w x M j V 9 J n F 1 b 3 Q 7 L C Z x d W 9 0 O 1 N l Y 3 R p b 2 4 x L 0 9 I M V 9 D Q U 1 U b 2 9 s U X V l c n k v U 2 9 1 c m N l L n t V M 1 9 T U E V D S U F M X 0 Z V T k N U S U 9 O X 0 N E L D E y N n 0 m c X V v d D s s J n F 1 b 3 Q 7 U 2 V j d G l v b j E v T 0 g x X 0 N B T V R v b 2 x R d W V y e S 9 T b 3 V y Y 2 U u e 1 U z X 1 B S R U N S Q V N I X 0 F D V E l P T l 9 D R C w x M j d 9 J n F 1 b 3 Q 7 L C Z x d W 9 0 O 1 N l Y 3 R p b 2 4 x L 0 9 I M V 9 D Q U 1 U b 2 9 s U X V l c n k v U 2 9 1 c m N l L n t V M 1 9 D T 0 5 U X 0 N J U l 9 Q U k l N Q V J Z X 0 N E L D E y O H 0 m c X V v d D s s J n F 1 b 3 Q 7 U 2 V j d G l v b j E v T 0 g x X 0 N B T V R v b 2 x R d W V y e S 9 T b 3 V y Y 2 U u e 1 U z X 1 N F U V 9 P R l 9 F V k V O V F N f M V 9 D R C w x M j l 9 J n F 1 b 3 Q 7 L C Z x d W 9 0 O 1 N l Y 3 R p b 2 4 x L 0 9 I M V 9 D Q U 1 U b 2 9 s U X V l c n k v U 2 9 1 c m N l L n t V M 1 9 T R V F f T 0 Z f R V Z F T l R T X z J f Q 0 Q s M T M w f S Z x d W 9 0 O y w m c X V v d D t T Z W N 0 a W 9 u M S 9 P S D F f Q 0 F N V G 9 v b F F 1 Z X J 5 L 1 N v d X J j Z S 5 7 V T N f U 0 V R X 0 9 G X 0 V W R U 5 U U 1 8 z X 0 N E L D E z M X 0 m c X V v d D s s J n F 1 b 3 Q 7 U 2 V j d G l v b j E v T 0 g x X 0 N B T V R v b 2 x R d W V y e S 9 T b 3 V y Y 2 U u e 1 U z X 1 N F U V 9 P R l 9 F V k V O V F N f N F 9 D R C w x M z J 9 J n F 1 b 3 Q 7 L C Z x d W 9 0 O 1 N l Y 3 R p b 2 4 x L 0 9 I M V 9 D Q U 1 U b 2 9 s U X V l c n k v U 2 9 1 c m N l L n t V M 1 9 T R V F f T 0 Z f R V Z F T l R T X z V f Q 0 Q s M T M z f S Z x d W 9 0 O y w m c X V v d D t T Z W N 0 a W 9 u M S 9 P S D F f Q 0 F N V G 9 v b F F 1 Z X J 5 L 1 N v d X J j Z S 5 7 V T N f U 0 V R X 0 9 G X 0 V W R U 5 U U 1 8 2 X 0 N E L D E z N H 0 m c X V v d D s s J n F 1 b 3 Q 7 U 2 V j d G l v b j E v T 0 g x X 0 N B T V R v b 2 x R d W V y e S 9 T b 3 V y Y 2 U u e 0 l O V E V S U 0 V D V E l P T l 9 J R F 9 D V V J S R U 5 U L D E z N X 0 m c X V v d D s s J n F 1 b 3 Q 7 U 2 V j d G l v b j E v T 0 g x X 0 N B T V R v b 2 x R d W V y e S 9 T b 3 V y Y 2 U u e 0 l O V E V S U 0 V D V E l P T l 9 M R U d f S U Q s M T M 2 f S Z x d W 9 0 O y w m c X V v d D t T Z W N 0 a W 9 u M S 9 P S D F f Q 0 F N V G 9 v b F F 1 Z X J 5 L 1 N v d X J j Z S 5 7 S U 5 U R V J D S E F O R 0 V f S U Q s M T M 3 f S Z x d W 9 0 O y w m c X V v d D t T Z W N 0 a W 9 u M S 9 P S D F f Q 0 F N V G 9 v b F F 1 Z X J 5 L 1 N v d X J j Z S 5 7 U 0 F f U k F N U F 9 J R C w x M z h 9 J n F 1 b 3 Q 7 L C Z x d W 9 0 O 1 N l Y 3 R p b 2 4 x L 0 9 I M V 9 D Q U 1 U b 2 9 s U X V l c n k v U 2 9 1 c m N l L n t T Q V 9 T R U d N R U 5 U X 0 l E L D E z O X 0 m c X V v d D s s J n F 1 b 3 Q 7 U 2 V j d G l v b j E v T 0 g x X 0 N B T V R v b 2 x R d W V y e S 9 T b 3 V y Y 2 U u e 0 p 1 c m l z Z G l j d G l v b l 9 U e X B l L D E 0 M H 0 m c X V v d D s s J n F 1 b 3 Q 7 U 2 V j d G l v b j E v T 0 g x X 0 N B T V R v b 2 x R d W V y e S 9 T b 3 V y Y 2 U u e 0 N S Q V N I X 1 J F U E 9 S V F 9 M S U 5 L L D E 0 M X 0 m c X V v d D s s J n F 1 b 3 Q 7 U 2 V j d G l v b j E v T 0 g x X 0 N B T V R v b 2 x R d W V y e S 9 T b 3 V y Y 2 U u e 0 h p c 3 R v c m l j Y W x J b W F n Z V B h d G g s M T Q y f S Z x d W 9 0 O 1 0 s J n F 1 b 3 Q 7 Q 2 9 s d W 1 u Q 2 9 1 b n Q m c X V v d D s 6 M T Q z L C Z x d W 9 0 O 0 t l e U N v b H V t b k 5 h b W V z J n F 1 b 3 Q 7 O l t d L C Z x d W 9 0 O 0 N v b H V t b k l k Z W 5 0 a X R p Z X M m c X V v d D s 6 W y Z x d W 9 0 O 1 N l Y 3 R p b 2 4 x L 0 9 I M V 9 D Q U 1 U b 2 9 s U X V l c n k v U 2 9 1 c m N l L n t E T 0 N V T U V O V F 9 O Q l I s M H 0 m c X V v d D s s J n F 1 b 3 Q 7 U 2 V j d G l v b j E v T 0 g x X 0 N B T V R v b 2 x R d W V y e S 9 T b 3 V y Y 2 U u e 0 N S Q V N I X 1 l S L D F 9 J n F 1 b 3 Q 7 L C Z x d W 9 0 O 1 N l Y 3 R p b 2 4 x L 0 9 I M V 9 D Q U 1 U b 2 9 s U X V l c n k v U 2 9 1 c m N l L n t M T 0 N B T F 9 S R V B P U l R f T l V N Q k V S X 0 l E L D J 9 J n F 1 b 3 Q 7 L C Z x d W 9 0 O 1 N l Y 3 R p b 2 4 x L 0 9 I M V 9 D Q U 1 U b 2 9 s U X V l c n k v U 2 9 1 c m N l L n t V c 2 V y X 0 R l Z m l u Z W Q s M 3 0 m c X V v d D s s J n F 1 b 3 Q 7 U 2 V j d G l v b j E v T 0 g x X 0 N B T V R v b 2 x R d W V y e S 9 T b 3 V y Y 2 U u e 1 N F V k V S S V R Z X 0 J Z X 1 R Z U E V f Q 0 Q s N H 0 m c X V v d D s s J n F 1 b 3 Q 7 U 2 V j d G l v b j E v T 0 g x X 0 N B T V R v b 2 x R d W V y e S 9 T b 3 V y Y 2 U u e 0 N S Q V N I X 1 R Z U E V f Q 0 Q s N X 0 m c X V v d D s s J n F 1 b 3 Q 7 U 2 V j d G l v b j E v T 0 g x X 0 N B T V R v b 2 x R d W V y e S 9 T b 3 V y Y 2 U u e 0 R J U 1 R S S U N U X 0 5 C U i w 2 f S Z x d W 9 0 O y w m c X V v d D t T Z W N 0 a W 9 u M S 9 P S D F f Q 0 F N V G 9 v b F F 1 Z X J 5 L 1 N v d X J j Z S 5 7 T k x G X 0 N P V U 5 U W V 9 D R C w 3 f S Z x d W 9 0 O y w m c X V v d D t T Z W N 0 a W 9 u M S 9 P S D F f Q 0 F N V G 9 v b F F 1 Z X J 5 L 1 N v d X J j Z S 5 7 T 0 R P V F 9 D U k F T S F 9 M T 0 N B V E l P T l 9 D R C w 4 f S Z x d W 9 0 O y w m c X V v d D t T Z W N 0 a W 9 u M S 9 P S D F f Q 0 F N V G 9 v b F F 1 Z X J 5 L 1 N v d X J j Z S 5 7 T k x G S U Q s O X 0 m c X V v d D s s J n F 1 b 3 Q 7 U 2 V j d G l v b j E v T 0 g x X 0 N B T V R v b 2 x R d W V y e S 9 T b 3 V y Y 2 U u e 0 N P V U 5 U W V 9 M T 0 d f T k J S L D E w f S Z x d W 9 0 O y w m c X V v d D t T Z W N 0 a W 9 u M S 9 P S D F f Q 0 F N V G 9 v b F F 1 Z X J 5 L 1 N v d X J j Z S 5 7 U 1 R B V E V f V F J V R V 9 M T 0 d f T k J S L D E x f S Z x d W 9 0 O y w m c X V v d D t T Z W N 0 a W 9 u M S 9 P S D F f Q 0 F N V G 9 v b F F 1 Z X J 5 L 1 N v d X J j Z S 5 7 T 0 5 f U k 9 B R C w x M n 0 m c X V v d D s s J n F 1 b 3 Q 7 U 2 V j d G l v b j E v T 0 g x X 0 N B T V R v b 2 x R d W V y e S 9 T b 3 V y Y 2 U u e 0 F U X 1 J P Q U Q s M T N 9 J n F 1 b 3 Q 7 L C Z x d W 9 0 O 1 N l Y 3 R p b 2 4 x L 0 9 I M V 9 D Q U 1 U b 2 9 s U X V l c n k v U 2 9 1 c m N l L n t P R E 9 U X 0 x B V E l U V U R F X 0 5 C U i w x N H 0 m c X V v d D s s J n F 1 b 3 Q 7 U 2 V j d G l v b j E v T 0 g x X 0 N B T V R v b 2 x R d W V y e S 9 T b 3 V y Y 2 U u e 0 9 E T 1 R f T E 9 O R 0 l U V U R F X 0 5 C U i w x N X 0 m c X V v d D s s J n F 1 b 3 Q 7 U 2 V j d G l v b j E v T 0 g x X 0 N B T V R v b 2 x R d W V y e S 9 T b 3 V y Y 2 U u e 0 9 E T 1 R f R k l Q U 1 9 D R C w x N n 0 m c X V v d D s s J n F 1 b 3 Q 7 U 2 V j d G l v b j E v T 0 g x X 0 N B T V R v b 2 x R d W V y e S 9 T b 3 V y Y 2 U u e 0 9 E T 1 R f Q 0 l U W V 9 W S U x M Q U d F X 1 R X U F 9 O T U U s M T d 9 J n F 1 b 3 Q 7 L C Z x d W 9 0 O 1 N l Y 3 R p b 2 4 x L 0 9 I M V 9 D Q U 1 U b 2 9 s U X V l c n k v U 2 9 1 c m N l L n t P R E 9 U X 0 N J V F l f V k l M T E F H R V 9 U V 1 B f Q 0 Q s M T h 9 J n F 1 b 3 Q 7 L C Z x d W 9 0 O 1 N l Y 3 R p b 2 4 x L 0 9 I M V 9 D Q U 1 U b 2 9 s U X V l c n k v U 2 9 1 c m N l L n t P R F B T X 1 R P V E F M X 0 Z B V E F M S V R J R V N f T k J S L D E 5 f S Z x d W 9 0 O y w m c X V v d D t T Z W N 0 a W 9 u M S 9 P S D F f Q 0 F N V G 9 v b F F 1 Z X J 5 L 1 N v d X J j Z S 5 7 S U 5 D Q V B B Q 1 9 J T k p V U k l F U 1 9 O Q l I s M j B 9 J n F 1 b 3 Q 7 L C Z x d W 9 0 O 1 N l Y 3 R p b 2 4 x L 0 9 I M V 9 D Q U 1 U b 2 9 s U X V l c n k v U 2 9 1 c m N l L n t O T 0 5 f S U 5 D Q V B B Q 1 9 J T k p V U k l F U 1 9 O Q l I s M j F 9 J n F 1 b 3 Q 7 L C Z x d W 9 0 O 1 N l Y 3 R p b 2 4 x L 0 9 I M V 9 D Q U 1 U b 2 9 s U X V l c n k v U 2 9 1 c m N l L n t Q T 1 N T S U J M R V 9 J T k p V U k l F U 1 9 O Q l I s M j J 9 J n F 1 b 3 Q 7 L C Z x d W 9 0 O 1 N l Y 3 R p b 2 4 x L 0 9 I M V 9 D Q U 1 U b 2 9 s U X V l c n k v U 2 9 1 c m N l L n t O T 1 9 J T k p V U l l f U k V Q T 1 J U R U R f T k J S L D I z f S Z x d W 9 0 O y w m c X V v d D t T Z W N 0 a W 9 u M S 9 P S D F f Q 0 F N V G 9 v b F F 1 Z X J 5 L 1 N v d X J j Z S 5 7 V U 5 S R V N U U k F J T l 9 P Q 0 N V U E F O V F M s M j R 9 J n F 1 b 3 Q 7 L C Z x d W 9 0 O 1 N l Y 3 R p b 2 4 x L 0 9 I M V 9 D Q U 1 U b 2 9 s U X V l c n k v U 2 9 1 c m N l L n t O V U 1 C R V J f T 0 Z f V U 5 J V F N f T k J S L D I 1 f S Z x d W 9 0 O y w m c X V v d D t T Z W N 0 a W 9 u M S 9 P S D F f Q 0 F N V G 9 v b F F 1 Z X J 5 L 1 N v d X J j Z S 5 7 T k x G X 0 p V U l 9 D R C w y N n 0 m c X V v d D s s J n F 1 b 3 Q 7 U 2 V j d G l v b j E v T 0 g x X 0 N B T V R v b 2 x R d W V y e S 9 T b 3 V y Y 2 U u e 0 9 E T 1 R f T E 9 D X 1 J P V V R F X 1 B S R U Z J W F 9 D R C w y N 3 0 m c X V v d D s s J n F 1 b 3 Q 7 U 2 V j d G l v b j E v T 0 g x X 0 N B T V R v b 2 x R d W V y e S 9 T b 3 V y Y 2 U u e 0 Z B Q 0 l M S V R Z X 1 R Z U E V f Q 0 Q s M j h 9 J n F 1 b 3 Q 7 L C Z x d W 9 0 O 1 N l Y 3 R p b 2 4 x L 0 9 I M V 9 D Q U 1 U b 2 9 s U X V l c n k v U 2 9 1 c m N l L n t B U k V B X 0 N P R E U s M j l 9 J n F 1 b 3 Q 7 L C Z x d W 9 0 O 1 N l Y 3 R p b 2 4 x L 0 9 I M V 9 D Q U 1 U b 2 9 s U X V l c n k v U 2 9 1 c m N l L n t G V U 5 D V E l P T k F M X 0 N M Q V N T X 0 N E L D M w f S Z x d W 9 0 O y w m c X V v d D t T Z W N 0 a W 9 u M S 9 P S D F f Q 0 F N V G 9 v b F F 1 Z X J 5 L 1 N v d X J j Z S 5 7 T k h T X 0 N E L D M x f S Z x d W 9 0 O y w m c X V v d D t T Z W N 0 a W 9 u M S 9 P S D F f Q 0 F N V G 9 v b F F 1 Z X J 5 L 1 N v d X J j Z S 5 7 T 0 R P V F 9 E S V Z f V U 5 E S V Z f S U 5 E L D M y f S Z x d W 9 0 O y w m c X V v d D t T Z W N 0 a W 9 u M S 9 P S D F f Q 0 F N V G 9 v b F F 1 Z X J 5 L 1 N v d X J j Z S 5 7 T 0 R P V F 9 M Q U 5 F U 1 9 O Q l I s M z N 9 J n F 1 b 3 Q 7 L C Z x d W 9 0 O 1 N l Y 3 R p b 2 4 x L 0 9 I M V 9 D Q U 1 U b 2 9 s U X V l c n k v U 2 9 1 c m N l L n t P U E V S X 0 F D Q 0 V T U 1 9 D T 0 5 U U k 9 M X 0 N E L D M 0 f S Z x d W 9 0 O y w m c X V v d D t T Z W N 0 a W 9 u M S 9 P S D F f Q 0 F N V G 9 v b F F 1 Z X J 5 L 1 N v d X J j Z S 5 7 R l J F R V d B W V 9 J T k Q s M z V 9 J n F 1 b 3 Q 7 L C Z x d W 9 0 O 1 N l Y 3 R p b 2 4 x L 0 9 I M V 9 D Q U 1 U b 2 9 s U X V l c n k v U 2 9 1 c m N l L n t J T l R F U l N U Q V R F X 0 l O R C w z N n 0 m c X V v d D s s J n F 1 b 3 Q 7 U 2 V j d G l v b j E v T 0 g x X 0 N B T V R v b 2 x R d W V y e S 9 T b 3 V y Y 2 U u e 0 9 E T 1 R f T U F J T l R B S U 5 F R F 9 I V 1 l f S U 5 E L D M 3 f S Z x d W 9 0 O y w m c X V v d D t T Z W N 0 a W 9 u M S 9 P S D F f Q 0 F N V G 9 v b F F 1 Z X J 5 L 1 N v d X J j Z S 5 7 T U F J T l R F T k F O Q 0 V f Q V V U S E 9 S S V R Z X 0 N E L D M 4 f S Z x d W 9 0 O y w m c X V v d D t T Z W N 0 a W 9 u M S 9 P S D F f Q 0 F N V G 9 v b F F 1 Z X J 5 L 1 N v d X J j Z S 5 7 Q 1 J B U 0 h f R E F U R S w z O X 0 m c X V v d D s s J n F 1 b 3 Q 7 U 2 V j d G l v b j E v T 0 g x X 0 N B T V R v b 2 x R d W V y e S 9 T b 3 V y Y 2 U u e 0 1 P T l R I L D Q w f S Z x d W 9 0 O y w m c X V v d D t T Z W N 0 a W 9 u M S 9 P S D F f Q 0 F N V G 9 v b F F 1 Z X J 5 L 1 N v d X J j Z S 5 7 S E 9 V U l 9 P R l 9 D U k F T S C w 0 M X 0 m c X V v d D s s J n F 1 b 3 Q 7 U 2 V j d G l v b j E v T 0 g x X 0 N B T V R v b 2 x R d W V y e S 9 T b 3 V y Y 2 U u e 0 R B W V 9 J T l 9 X R U V L X 0 N E L D Q y f S Z x d W 9 0 O y w m c X V v d D t T Z W N 0 a W 9 u M S 9 P S D F f Q 0 F N V G 9 v b F F 1 Z X J 5 L 1 N v d X J j Z S 5 7 V 0 V B V E h F U l 9 D T 0 5 E X 0 N E L D Q z f S Z x d W 9 0 O y w m c X V v d D t T Z W N 0 a W 9 u M S 9 P S D F f Q 0 F N V G 9 v b F F 1 Z X J 5 L 1 N v d X J j Z S 5 7 U k 9 B R F 9 D T 0 5 E X 1 B S S U 1 B U l l f Q 0 Q s N D R 9 J n F 1 b 3 Q 7 L C Z x d W 9 0 O 1 N l Y 3 R p b 2 4 x L 0 9 I M V 9 D Q U 1 U b 2 9 s U X V l c n k v U 2 9 1 c m N l L n t M S U d I V F 9 D T 0 5 E X 1 B S S U 1 B U l l f Q 0 Q s N D V 9 J n F 1 b 3 Q 7 L C Z x d W 9 0 O 1 N l Y 3 R p b 2 4 x L 0 9 I M V 9 D Q U 1 U b 2 9 s U X V l c n k v U 2 9 1 c m N l L n t S T 0 F E X 0 N P T l R P V V J f Q 0 Q s N D Z 9 J n F 1 b 3 Q 7 L C Z x d W 9 0 O 1 N l Y 3 R p b 2 4 x L 0 9 I M V 9 D Q U 1 U b 2 9 s U X V l c n k v U 2 9 1 c m N l L n t G S F d B X 1 J E V 1 l f R E V Q Q V J U V V J F X 0 l O R C w 0 N 3 0 m c X V v d D s s J n F 1 b 3 Q 7 U 2 V j d G l v b j E v T 0 g x X 0 N B T V R v b 2 x R d W V y e S 9 T b 3 V y Y 2 U u e 0 9 E T 1 R f S U 5 U R V J T R U N U S U 9 O X 1 J F T F 9 J T k Q s N D h 9 J n F 1 b 3 Q 7 L C Z x d W 9 0 O 1 N l Y 3 R p b 2 4 x L 0 9 I M V 9 D Q U 1 U b 2 9 s U X V l c n k v U 2 9 1 c m N l L n t P R F B T X 0 F M Q 0 9 I T 0 x f S U 5 E L D Q 5 f S Z x d W 9 0 O y w m c X V v d D t T Z W N 0 a W 9 u M S 9 P S D F f Q 0 F N V G 9 v b F F 1 Z X J 5 L 1 N v d X J j Z S 5 7 T U F S S U p V Q U 5 B X 0 l O R C w 1 M H 0 m c X V v d D s s J n F 1 b 3 Q 7 U 2 V j d G l v b j E v T 0 g x X 0 N B T V R v b 2 x R d W V y e S 9 T b 3 V y Y 2 U u e 0 9 E U F N f R F J V R 1 9 J T k Q s N T F 9 J n F 1 b 3 Q 7 L C Z x d W 9 0 O 1 N l Y 3 R p b 2 4 x L 0 9 I M V 9 D Q U 1 U b 2 9 s U X V l c n k v U 2 9 1 c m N l L n t P R F B T X 1 N D S E 9 P T F 9 a T 0 5 F X 0 l O R C w 1 M n 0 m c X V v d D s s J n F 1 b 3 Q 7 U 2 V j d G l v b j E v T 0 g x X 0 N B T V R v b 2 x R d W V y e S 9 T b 3 V y Y 2 U u e 0 9 E U F N f T U 9 U T 1 J D W U N M R V 9 J T k Q s N T N 9 J n F 1 b 3 Q 7 L C Z x d W 9 0 O 1 N l Y 3 R p b 2 4 x L 0 9 I M V 9 D Q U 1 U b 2 9 s U X V l c n k v U 2 9 1 c m N l L n t P R F B T X 1 N Q R U V E X 0 l O R C w 1 N H 0 m c X V v d D s s J n F 1 b 3 Q 7 U 2 V j d G l v b j E v T 0 g x X 0 N B T V R v b 2 x R d W V y e S 9 T b 3 V y Y 2 U u e 0 9 E U F N f U 0 V O S U 9 S X 0 R S S V Z F U l 9 J T k Q s N T V 9 J n F 1 b 3 Q 7 L C Z x d W 9 0 O 1 N l Y 3 R p b 2 4 x L 0 9 I M V 9 D Q U 1 U b 2 9 s U X V l c n k v U 2 9 1 c m N l L n t P R E 9 U X 1 l P V U 5 H X 0 R S S V Z F U l 9 J T k Q s N T Z 9 J n F 1 b 3 Q 7 L C Z x d W 9 0 O 1 N l Y 3 R p b 2 4 x L 0 9 I M V 9 D Q U 1 U b 2 9 s U X V l c n k v U 2 9 1 c m N l L n t P R F B T X 1 d P U k t f W k 9 O R V 9 J T k Q s N T d 9 J n F 1 b 3 Q 7 L C Z x d W 9 0 O 1 N l Y 3 R p b 2 4 x L 0 9 I M V 9 D Q U 1 U b 2 9 s U X V l c n k v U 2 9 1 c m N l L n t P R F B T X 0 x P Q 1 9 J T l 9 X T 1 J L X 1 p P T k V f Q 0 Q s N T h 9 J n F 1 b 3 Q 7 L C Z x d W 9 0 O 1 N l Y 3 R p b 2 4 x L 0 9 I M V 9 D Q U 1 U b 2 9 s U X V l c n k v U 2 9 1 c m N l L n t P R F B T X 1 R Z U E V f T 0 Z f V 0 9 S S 1 9 a T 0 5 F X 0 N E L D U 5 f S Z x d W 9 0 O y w m c X V v d D t T Z W N 0 a W 9 u M S 9 P S D F f Q 0 F N V G 9 v b F F 1 Z X J 5 L 1 N v d X J j Z S 5 7 R E l T V F J B Q 1 R F R F 9 E U k l W R V J f S U 5 E L D Y w f S Z x d W 9 0 O y w m c X V v d D t T Z W N 0 a W 9 u M S 9 P S D F f Q 0 F N V G 9 v b F F 1 Z X J 5 L 1 N v d X J j Z S 5 7 T 0 R Q U 1 9 D S V R Z X 1 Z J T E x B R 0 V f V F d Q X 0 5 N R S w 2 M X 0 m c X V v d D s s J n F 1 b 3 Q 7 U 2 V j d G l v b j E v T 0 g x X 0 N B T V R v b 2 x R d W V y e S 9 T b 3 V y Y 2 U u e 0 9 E U F N f T E 9 D X 1 J P Q U R f R E l S R U N U S U 9 O X 0 N E L D Y y f S Z x d W 9 0 O y w m c X V v d D t T Z W N 0 a W 9 u M S 9 P S D F f Q 0 F N V G 9 v b F F 1 Z X J 5 L 1 N v d X J j Z S 5 7 T 0 R Q U 1 9 M T 0 N f U k 9 B R F 9 O T U U s N j N 9 J n F 1 b 3 Q 7 L C Z x d W 9 0 O 1 N l Y 3 R p b 2 4 x L 0 9 I M V 9 D Q U 1 U b 2 9 s U X V l c n k v U 2 9 1 c m N l L n t P R F B T X 0 x P Q 1 9 S T 0 F E X 1 N V R k Z J W F 9 D R C w 2 N H 0 m c X V v d D s s J n F 1 b 3 Q 7 U 2 V j d G l v b j E v T 0 g x X 0 N B T V R v b 2 x R d W V y e S 9 T b 3 V y Y 2 U u e 0 9 E U F N f T E 9 D X 0 R J U l 9 T V U Z G S V h f Q 0 Q s N j V 9 J n F 1 b 3 Q 7 L C Z x d W 9 0 O 1 N l Y 3 R p b 2 4 x L 0 9 I M V 9 D Q U 1 U b 2 9 s U X V l c n k v U 2 9 1 c m N l L n t P R F B T X 0 x P Q 1 9 S T 1 V U R V 9 Q U k V G S V h f Q 0 Q s N j Z 9 J n F 1 b 3 Q 7 L C Z x d W 9 0 O 1 N l Y 3 R p b 2 4 x L 0 9 I M V 9 D Q U 1 U b 2 9 s U X V l c n k v U 2 9 1 c m N l L n t P R F B T X 0 x P Q 1 9 S T 1 V U R V 9 J R C w 2 N 3 0 m c X V v d D s s J n F 1 b 3 Q 7 U 2 V j d G l v b j E v T 0 g x X 0 N B T V R v b 2 x R d W V y e S 9 T b 3 V y Y 2 U u e 0 9 E U F N f T E 9 D X 1 J P V V R F X 1 N V R k Z J W F 9 D R C w 2 O H 0 m c X V v d D s s J n F 1 b 3 Q 7 U 2 V j d G l v b j E v T 0 g x X 0 N B T V R v b 2 x R d W V y e S 9 T b 3 V y Y 2 U u e 0 9 E U F N f U k V G X 0 R J U k V D V E l P T l 9 D R C w 2 O X 0 m c X V v d D s s J n F 1 b 3 Q 7 U 2 V j d G l v b j E v T 0 g x X 0 N B T V R v b 2 x R d W V y e S 9 T b 3 V y Y 2 U u e 0 9 E U F N f U k V G X 0 d J V k V O L D c w f S Z x d W 9 0 O y w m c X V v d D t T Z W N 0 a W 9 u M S 9 P S D F f Q 0 F N V G 9 v b F F 1 Z X J 5 L 1 N v d X J j Z S 5 7 T 0 R Q U 1 9 S R U Z f U 1 V G R k l Y X 0 N E L D c x f S Z x d W 9 0 O y w m c X V v d D t T Z W N 0 a W 9 u M S 9 P S D F f Q 0 F N V G 9 v b F F 1 Z X J 5 L 1 N v d X J j Z S 5 7 T 0 R Q U 1 9 S R U Z f R E l S X 1 N V R k Z J W F 9 D R C w 3 M n 0 m c X V v d D s s J n F 1 b 3 Q 7 U 2 V j d G l v b j E v T 0 g x X 0 N B T V R v b 2 x R d W V y e S 9 T b 3 V y Y 2 U u e 0 9 E U F N f U k V G X 1 J P V V R F X 1 B S R U Z J W F 9 D R C w 3 M 3 0 m c X V v d D s s J n F 1 b 3 Q 7 U 2 V j d G l v b j E v T 0 g x X 0 N B T V R v b 2 x R d W V y e S 9 T b 3 V y Y 2 U u e 0 9 E U F N f U k V G X 1 J P V V R F X 0 l E L D c 0 f S Z x d W 9 0 O y w m c X V v d D t T Z W N 0 a W 9 u M S 9 P S D F f Q 0 F N V G 9 v b F F 1 Z X J 5 L 1 N v d X J j Z S 5 7 T 0 R Q U 1 9 S R U Z f U k 9 V V E V f U 1 V G R k l Y X 0 N E L D c 1 f S Z x d W 9 0 O y w m c X V v d D t T Z W N 0 a W 9 u M S 9 P S D F f Q 0 F N V G 9 v b F F 1 Z X J 5 L 1 N v d X J j Z S 5 7 T 0 R Q U 1 9 B R E R S R V N T X 1 J F R k V S R U 5 D R S w 3 N n 0 m c X V v d D s s J n F 1 b 3 Q 7 U 2 V j d G l v b j E v T 0 g x X 0 N B T V R v b 2 x R d W V y e S 9 T b 3 V y Y 2 U u e 0 9 E U F N f T U l M R V B P U 1 R f U k V G R V J F T k N F L D c 3 f S Z x d W 9 0 O y w m c X V v d D t T Z W N 0 a W 9 u M S 9 P S D F f Q 0 F N V G 9 v b F F 1 Z X J 5 L 1 N v d X J j Z S 5 7 T 0 R P V F 9 S R U Z f U E 9 J T l R f V V N F R F 9 D R C w 3 O H 0 m c X V v d D s s J n F 1 b 3 Q 7 U 2 V j d G l v b j E v T 0 g x X 0 N B T V R v b 2 x R d W V y e S 9 T b 3 V y Y 2 U u e 1 U x X 0 F U X 0 Z B V U x U X 0 l O R C w 3 O X 0 m c X V v d D s s J n F 1 b 3 Q 7 U 2 V j d G l v b j E v T 0 g x X 0 N B T V R v b 2 x R d W V y e S 9 T b 3 V y Y 2 U u e 1 U x X 0 9 E U F N f V U 5 J V F 9 O Q l I s O D B 9 J n F 1 b 3 Q 7 L C Z x d W 9 0 O 1 N l Y 3 R p b 2 4 x L 0 9 I M V 9 D Q U 1 U b 2 9 s U X V l c n k v U 2 9 1 c m N l L n t V M V 9 E S V J F Q 1 R J T 0 5 f R l J P T V 9 D R C w 4 M X 0 m c X V v d D s s J n F 1 b 3 Q 7 U 2 V j d G l v b j E v T 0 g x X 0 N B T V R v b 2 x R d W V y e S 9 T b 3 V y Y 2 U u e 1 U x X 0 R J U k V D V E l P T l 9 U T 1 9 D R C w 4 M n 0 m c X V v d D s s J n F 1 b 3 Q 7 U 2 V j d G l v b j E v T 0 g x X 0 N B T V R v b 2 x R d W V y e S 9 T b 3 V y Y 2 U u e 1 U x X 1 R V U k 5 f Q 0 Q s O D N 9 J n F 1 b 3 Q 7 L C Z x d W 9 0 O 1 N l Y 3 R p b 2 4 x L 0 9 I M V 9 D Q U 1 U b 2 9 s U X V l c n k v U 2 9 1 c m N l L n t V M V 9 U U k F G R k l D X 0 N P T l R S T 0 x f Q 0 Q s O D R 9 J n F 1 b 3 Q 7 L C Z x d W 9 0 O 1 N l Y 3 R p b 2 4 x L 0 9 I M V 9 D Q U 1 U b 2 9 s U X V l c n k v U 2 9 1 c m N l L n t V M V 9 U W V B F X 0 9 G X 1 V O S V R f Q 0 Q s O D V 9 J n F 1 b 3 Q 7 L C Z x d W 9 0 O 1 N l Y 3 R p b 2 4 x L 0 9 I M V 9 D Q U 1 U b 2 9 s U X V l c n k v U 2 9 1 c m N l L n t V M V 9 T U E V D S U F M X 0 Z V T k N U S U 9 O X 0 N E L D g 2 f S Z x d W 9 0 O y w m c X V v d D t T Z W N 0 a W 9 u M S 9 P S D F f Q 0 F N V G 9 v b F F 1 Z X J 5 L 1 N v d X J j Z S 5 7 V T F f V U 5 J V F 9 T U E V F R F 9 O Q l I s O D d 9 J n F 1 b 3 Q 7 L C Z x d W 9 0 O 1 N l Y 3 R p b 2 4 x L 0 9 I M V 9 D Q U 1 U b 2 9 s U X V l c n k v U 2 9 1 c m N l L n t V M V 9 Q T 1 N U R U R f U 1 B F R U R f T k J S L D g 4 f S Z x d W 9 0 O y w m c X V v d D t T Z W N 0 a W 9 u M S 9 P S D F f Q 0 F N V G 9 v b F F 1 Z X J 5 L 1 N v d X J j Z S 5 7 V T F f U F J F Q 1 J B U 0 h f Q U N U S U 9 O X 0 N E L D g 5 f S Z x d W 9 0 O y w m c X V v d D t T Z W N 0 a W 9 u M S 9 P S D F f Q 0 F N V G 9 v b F F 1 Z X J 5 L 1 N v d X J j Z S 5 7 V T F f Q 0 9 O V F 9 D S V J f U F J J T U F S W V 9 D R C w 5 M H 0 m c X V v d D s s J n F 1 b 3 Q 7 U 2 V j d G l v b j E v T 0 g x X 0 N B T V R v b 2 x R d W V y e S 9 T b 3 V y Y 2 U u e 1 U x X 0 9 C S k V D V F 9 T V F J V Q 0 s s O T F 9 J n F 1 b 3 Q 7 L C Z x d W 9 0 O 1 N l Y 3 R p b 2 4 x L 0 9 I M V 9 D Q U 1 U b 2 9 s U X V l c n k v U 2 9 1 c m N l L n t V M V 9 T R V F f T 0 Z f R V Z F T l R T X z F f Q 0 Q s O T J 9 J n F 1 b 3 Q 7 L C Z x d W 9 0 O 1 N l Y 3 R p b 2 4 x L 0 9 I M V 9 D Q U 1 U b 2 9 s U X V l c n k v U 2 9 1 c m N l L n t V M V 9 T R V F f T 0 Z f R V Z F T l R T X z J f Q 0 Q s O T N 9 J n F 1 b 3 Q 7 L C Z x d W 9 0 O 1 N l Y 3 R p b 2 4 x L 0 9 I M V 9 D Q U 1 U b 2 9 s U X V l c n k v U 2 9 1 c m N l L n t V M V 9 T R V F f T 0 Z f R V Z F T l R T X z N f Q 0 Q s O T R 9 J n F 1 b 3 Q 7 L C Z x d W 9 0 O 1 N l Y 3 R p b 2 4 x L 0 9 I M V 9 D Q U 1 U b 2 9 s U X V l c n k v U 2 9 1 c m N l L n t V M V 9 T R V F f T 0 Z f R V Z F T l R T X z R f Q 0 Q s O T V 9 J n F 1 b 3 Q 7 L C Z x d W 9 0 O 1 N l Y 3 R p b 2 4 x L 0 9 I M V 9 D Q U 1 U b 2 9 s U X V l c n k v U 2 9 1 c m N l L n t V M V 9 T R V F f T 0 Z f R V Z F T l R T X z V f Q 0 Q s O T Z 9 J n F 1 b 3 Q 7 L C Z x d W 9 0 O 1 N l Y 3 R p b 2 4 x L 0 9 I M V 9 D Q U 1 U b 2 9 s U X V l c n k v U 2 9 1 c m N l L n t V M V 9 T R V F f T 0 Z f R V Z F T l R T X z Z f Q 0 Q s O T d 9 J n F 1 b 3 Q 7 L C Z x d W 9 0 O 1 N l Y 3 R p b 2 4 x L 0 9 I M V 9 D Q U 1 U b 2 9 s U X V l c n k v U 2 9 1 c m N l L n t V M V 9 O T 0 5 f T U 9 U T 1 J J U 1 R f T E 9 D X 0 N E L D k 4 f S Z x d W 9 0 O y w m c X V v d D t T Z W N 0 a W 9 u M S 9 P S D F f Q 0 F N V G 9 v b F F 1 Z X J 5 L 1 N v d X J j Z S 5 7 V T F f Q U d F X 0 5 C U i w 5 O X 0 m c X V v d D s s J n F 1 b 3 Q 7 U 2 V j d G l v b j E v T 0 g x X 0 N B T V R v b 2 x R d W V y e S 9 T b 3 V y Y 2 U u e 1 U x X 0 d F T k R F U l 9 D R C w x M D B 9 J n F 1 b 3 Q 7 L C Z x d W 9 0 O 1 N l Y 3 R p b 2 4 x L 0 9 I M V 9 D Q U 1 U b 2 9 s U X V l c n k v U 2 9 1 c m N l L n t V M V 9 E S V N U U k F D V E V E X 0 J Z X z F f Q 0 Q s M T A x f S Z x d W 9 0 O y w m c X V v d D t T Z W N 0 a W 9 u M S 9 P S D F f Q 0 F N V G 9 v b F F 1 Z X J 5 L 1 N v d X J j Z S 5 7 V T J f T 0 R Q U 1 9 V T k l U X 0 5 C U i w x M D J 9 J n F 1 b 3 Q 7 L C Z x d W 9 0 O 1 N l Y 3 R p b 2 4 x L 0 9 I M V 9 D Q U 1 U b 2 9 s U X V l c n k v U 2 9 1 c m N l L n t V M l 9 E S V J F Q 1 R J T 0 5 f R l J P T V 9 D R C w x M D N 9 J n F 1 b 3 Q 7 L C Z x d W 9 0 O 1 N l Y 3 R p b 2 4 x L 0 9 I M V 9 D Q U 1 U b 2 9 s U X V l c n k v U 2 9 1 c m N l L n t V M l 9 E S V J F Q 1 R J T 0 5 f V E 9 f Q 0 Q s M T A 0 f S Z x d W 9 0 O y w m c X V v d D t T Z W N 0 a W 9 u M S 9 P S D F f Q 0 F N V G 9 v b F F 1 Z X J 5 L 1 N v d X J j Z S 5 7 V T J f V F V S T l 9 D R C w x M D V 9 J n F 1 b 3 Q 7 L C Z x d W 9 0 O 1 N l Y 3 R p b 2 4 x L 0 9 I M V 9 D Q U 1 U b 2 9 s U X V l c n k v U 2 9 1 c m N l L n t V M l 9 U U k F G R k l D X 0 N P T l R S T 0 x f Q 0 Q s M T A 2 f S Z x d W 9 0 O y w m c X V v d D t T Z W N 0 a W 9 u M S 9 P S D F f Q 0 F N V G 9 v b F F 1 Z X J 5 L 1 N v d X J j Z S 5 7 V T J f V F l Q R V 9 P R l 9 V T k l U X 0 N E L D E w N 3 0 m c X V v d D s s J n F 1 b 3 Q 7 U 2 V j d G l v b j E v T 0 g x X 0 N B T V R v b 2 x R d W V y e S 9 T b 3 V y Y 2 U u e 1 U y X 1 N Q R U N J Q U x f R l V O Q 1 R J T 0 5 f Q 0 Q s M T A 4 f S Z x d W 9 0 O y w m c X V v d D t T Z W N 0 a W 9 u M S 9 P S D F f Q 0 F N V G 9 v b F F 1 Z X J 5 L 1 N v d X J j Z S 5 7 V T J f V U 5 J V F 9 T U E V F R F 9 O Q l I s M T A 5 f S Z x d W 9 0 O y w m c X V v d D t T Z W N 0 a W 9 u M S 9 P S D F f Q 0 F N V G 9 v b F F 1 Z X J 5 L 1 N v d X J j Z S 5 7 V T J f U E 9 T V E V E X 1 N Q R U V E X 0 5 C U i w x M T B 9 J n F 1 b 3 Q 7 L C Z x d W 9 0 O 1 N l Y 3 R p b 2 4 x L 0 9 I M V 9 D Q U 1 U b 2 9 s U X V l c n k v U 2 9 1 c m N l L n t V M l 9 Q U k V D U k F T S F 9 B Q 1 R J T 0 5 f Q 0 Q s M T E x f S Z x d W 9 0 O y w m c X V v d D t T Z W N 0 a W 9 u M S 9 P S D F f Q 0 F N V G 9 v b F F 1 Z X J 5 L 1 N v d X J j Z S 5 7 V T J f Q 0 9 O V F 9 D S V J f U F J J T U F S W V 9 D R C w x M T J 9 J n F 1 b 3 Q 7 L C Z x d W 9 0 O 1 N l Y 3 R p b 2 4 x L 0 9 I M V 9 D Q U 1 U b 2 9 s U X V l c n k v U 2 9 1 c m N l L n t V M l 9 T R V F f T 0 Z f R V Z F T l R T X z F f Q 0 Q s M T E z f S Z x d W 9 0 O y w m c X V v d D t T Z W N 0 a W 9 u M S 9 P S D F f Q 0 F N V G 9 v b F F 1 Z X J 5 L 1 N v d X J j Z S 5 7 V T J f U 0 V R X 0 9 G X 0 V W R U 5 U U 1 8 y X 0 N E L D E x N H 0 m c X V v d D s s J n F 1 b 3 Q 7 U 2 V j d G l v b j E v T 0 g x X 0 N B T V R v b 2 x R d W V y e S 9 T b 3 V y Y 2 U u e 1 U y X 1 N F U V 9 P R l 9 F V k V O V F N f M 1 9 D R C w x M T V 9 J n F 1 b 3 Q 7 L C Z x d W 9 0 O 1 N l Y 3 R p b 2 4 x L 0 9 I M V 9 D Q U 1 U b 2 9 s U X V l c n k v U 2 9 1 c m N l L n t V M l 9 T R V F f T 0 Z f R V Z F T l R T X z R f Q 0 Q s M T E 2 f S Z x d W 9 0 O y w m c X V v d D t T Z W N 0 a W 9 u M S 9 P S D F f Q 0 F N V G 9 v b F F 1 Z X J 5 L 1 N v d X J j Z S 5 7 V T J f U 0 V R X 0 9 G X 0 V W R U 5 U U 1 8 1 X 0 N E L D E x N 3 0 m c X V v d D s s J n F 1 b 3 Q 7 U 2 V j d G l v b j E v T 0 g x X 0 N B T V R v b 2 x R d W V y e S 9 T b 3 V y Y 2 U u e 1 U y X 1 N F U V 9 P R l 9 F V k V O V F N f N l 9 D R C w x M T h 9 J n F 1 b 3 Q 7 L C Z x d W 9 0 O 1 N l Y 3 R p b 2 4 x L 0 9 I M V 9 D Q U 1 U b 2 9 s U X V l c n k v U 2 9 1 c m N l L n t V M l 9 O T 0 5 f T U 9 U T 1 J J U 1 R f T E 9 D X 0 N E L D E x O X 0 m c X V v d D s s J n F 1 b 3 Q 7 U 2 V j d G l v b j E v T 0 g x X 0 N B T V R v b 2 x R d W V y e S 9 T b 3 V y Y 2 U u e 1 U y X 0 F H R V 9 O Q l I s M T I w f S Z x d W 9 0 O y w m c X V v d D t T Z W N 0 a W 9 u M S 9 P S D F f Q 0 F N V G 9 v b F F 1 Z X J 5 L 1 N v d X J j Z S 5 7 V T J f R 0 V O R E V S X 0 N E L D E y M X 0 m c X V v d D s s J n F 1 b 3 Q 7 U 2 V j d G l v b j E v T 0 g x X 0 N B T V R v b 2 x R d W V y e S 9 T b 3 V y Y 2 U u e 1 U y X 0 R J U 1 R S Q U N U R U R f Q l l f M V 9 D R C w x M j J 9 J n F 1 b 3 Q 7 L C Z x d W 9 0 O 1 N l Y 3 R p b 2 4 x L 0 9 I M V 9 D Q U 1 U b 2 9 s U X V l c n k v U 2 9 1 c m N l L n t V M 1 9 P R F B T X 1 V O S V R f T k J S L D E y M 3 0 m c X V v d D s s J n F 1 b 3 Q 7 U 2 V j d G l v b j E v T 0 g x X 0 N B T V R v b 2 x R d W V y e S 9 T b 3 V y Y 2 U u e 1 U z X 1 R S Q U Z G S U N f Q 0 9 O V F J P T F 9 D R C w x M j R 9 J n F 1 b 3 Q 7 L C Z x d W 9 0 O 1 N l Y 3 R p b 2 4 x L 0 9 I M V 9 D Q U 1 U b 2 9 s U X V l c n k v U 2 9 1 c m N l L n t V M 1 9 U W V B F X 0 9 G X 1 V O S V R f Q 0 Q s M T I 1 f S Z x d W 9 0 O y w m c X V v d D t T Z W N 0 a W 9 u M S 9 P S D F f Q 0 F N V G 9 v b F F 1 Z X J 5 L 1 N v d X J j Z S 5 7 V T N f U 1 B F Q 0 l B T F 9 G V U 5 D V E l P T l 9 D R C w x M j Z 9 J n F 1 b 3 Q 7 L C Z x d W 9 0 O 1 N l Y 3 R p b 2 4 x L 0 9 I M V 9 D Q U 1 U b 2 9 s U X V l c n k v U 2 9 1 c m N l L n t V M 1 9 Q U k V D U k F T S F 9 B Q 1 R J T 0 5 f Q 0 Q s M T I 3 f S Z x d W 9 0 O y w m c X V v d D t T Z W N 0 a W 9 u M S 9 P S D F f Q 0 F N V G 9 v b F F 1 Z X J 5 L 1 N v d X J j Z S 5 7 V T N f Q 0 9 O V F 9 D S V J f U F J J T U F S W V 9 D R C w x M j h 9 J n F 1 b 3 Q 7 L C Z x d W 9 0 O 1 N l Y 3 R p b 2 4 x L 0 9 I M V 9 D Q U 1 U b 2 9 s U X V l c n k v U 2 9 1 c m N l L n t V M 1 9 T R V F f T 0 Z f R V Z F T l R T X z F f Q 0 Q s M T I 5 f S Z x d W 9 0 O y w m c X V v d D t T Z W N 0 a W 9 u M S 9 P S D F f Q 0 F N V G 9 v b F F 1 Z X J 5 L 1 N v d X J j Z S 5 7 V T N f U 0 V R X 0 9 G X 0 V W R U 5 U U 1 8 y X 0 N E L D E z M H 0 m c X V v d D s s J n F 1 b 3 Q 7 U 2 V j d G l v b j E v T 0 g x X 0 N B T V R v b 2 x R d W V y e S 9 T b 3 V y Y 2 U u e 1 U z X 1 N F U V 9 P R l 9 F V k V O V F N f M 1 9 D R C w x M z F 9 J n F 1 b 3 Q 7 L C Z x d W 9 0 O 1 N l Y 3 R p b 2 4 x L 0 9 I M V 9 D Q U 1 U b 2 9 s U X V l c n k v U 2 9 1 c m N l L n t V M 1 9 T R V F f T 0 Z f R V Z F T l R T X z R f Q 0 Q s M T M y f S Z x d W 9 0 O y w m c X V v d D t T Z W N 0 a W 9 u M S 9 P S D F f Q 0 F N V G 9 v b F F 1 Z X J 5 L 1 N v d X J j Z S 5 7 V T N f U 0 V R X 0 9 G X 0 V W R U 5 U U 1 8 1 X 0 N E L D E z M 3 0 m c X V v d D s s J n F 1 b 3 Q 7 U 2 V j d G l v b j E v T 0 g x X 0 N B T V R v b 2 x R d W V y e S 9 T b 3 V y Y 2 U u e 1 U z X 1 N F U V 9 P R l 9 F V k V O V F N f N l 9 D R C w x M z R 9 J n F 1 b 3 Q 7 L C Z x d W 9 0 O 1 N l Y 3 R p b 2 4 x L 0 9 I M V 9 D Q U 1 U b 2 9 s U X V l c n k v U 2 9 1 c m N l L n t J T l R F U l N F Q 1 R J T 0 5 f S U R f Q 1 V S U k V O V C w x M z V 9 J n F 1 b 3 Q 7 L C Z x d W 9 0 O 1 N l Y 3 R p b 2 4 x L 0 9 I M V 9 D Q U 1 U b 2 9 s U X V l c n k v U 2 9 1 c m N l L n t J T l R F U l N F Q 1 R J T 0 5 f T E V H X 0 l E L D E z N n 0 m c X V v d D s s J n F 1 b 3 Q 7 U 2 V j d G l v b j E v T 0 g x X 0 N B T V R v b 2 x R d W V y e S 9 T b 3 V y Y 2 U u e 0 l O V E V S Q 0 h B T k d F X 0 l E L D E z N 3 0 m c X V v d D s s J n F 1 b 3 Q 7 U 2 V j d G l v b j E v T 0 g x X 0 N B T V R v b 2 x R d W V y e S 9 T b 3 V y Y 2 U u e 1 N B X 1 J B T V B f S U Q s M T M 4 f S Z x d W 9 0 O y w m c X V v d D t T Z W N 0 a W 9 u M S 9 P S D F f Q 0 F N V G 9 v b F F 1 Z X J 5 L 1 N v d X J j Z S 5 7 U 0 F f U 0 V H T U V O V F 9 J R C w x M z l 9 J n F 1 b 3 Q 7 L C Z x d W 9 0 O 1 N l Y 3 R p b 2 4 x L 0 9 I M V 9 D Q U 1 U b 2 9 s U X V l c n k v U 2 9 1 c m N l L n t K d X J p c 2 R p Y 3 R p b 2 5 f V H l w Z S w x N D B 9 J n F 1 b 3 Q 7 L C Z x d W 9 0 O 1 N l Y 3 R p b 2 4 x L 0 9 I M V 9 D Q U 1 U b 2 9 s U X V l c n k v U 2 9 1 c m N l L n t D U k F T S F 9 S R V B P U l R f T E l O S y w x N D F 9 J n F 1 b 3 Q 7 L C Z x d W 9 0 O 1 N l Y 3 R p b 2 4 x L 0 9 I M V 9 D Q U 1 U b 2 9 s U X V l c n k v U 2 9 1 c m N l L n t I a X N 0 b 3 J p Y 2 F s S W 1 h Z 2 V Q Y X R o L D E 0 M n 0 m c X V v d D t d L C Z x d W 9 0 O 1 J l b G F 0 a W 9 u c 2 h p c E l u Z m 8 m c X V v d D s 6 W 1 1 9 I i A v P j w v U 3 R h Y m x l R W 5 0 c m l l c z 4 8 L 0 l 0 Z W 0 + P E l 0 Z W 0 + P E l 0 Z W 1 M b 2 N h d G l v b j 4 8 S X R l b V R 5 c G U + R m 9 y b X V s Y T w v S X R l b V R 5 c G U + P E l 0 Z W 1 Q Y X R o P l N l Y 3 R p b 2 4 x L 0 9 I M V 9 D Q U 1 U b 2 9 s U X V l c n k v c G F y Y W 1 U Y W J s Z T w v S X R l b V B h d G g + P C 9 J d G V t T G 9 j Y X R p b 2 4 + P F N 0 Y W J s Z U V u d H J p Z X M g L z 4 8 L 0 l 0 Z W 0 + P E l 0 Z W 0 + P E l 0 Z W 1 M b 2 N h d G l v b j 4 8 S X R l b V R 5 c G U + R m 9 y b X V s Y T w v S X R l b V R 5 c G U + P E l 0 Z W 1 Q Y X R o P l N l Y 3 R p b 2 4 x L 0 9 I M V 9 D Q U 1 U b 2 9 s U X V l c n k v T k Z M S U Q 8 L 0 l 0 Z W 1 Q Y X R o P j w v S X R l b U x v Y 2 F 0 a W 9 u P j x T d G F i b G V F b n R y a W V z I C 8 + P C 9 J d G V t P j x J d G V t P j x J d G V t T G 9 j Y X R p b 2 4 + P E l 0 Z W 1 U e X B l P k Z v c m 1 1 b G E 8 L 0 l 0 Z W 1 U e X B l P j x J d G V t U G F 0 a D 5 T Z W N 0 a W 9 u M S 9 P S D F f Q 0 F N V G 9 v b F F 1 Z X J 5 L 0 N U T F 9 C R U d J T l 9 O Q l I 8 L 0 l 0 Z W 1 Q Y X R o P j w v S X R l b U x v Y 2 F 0 a W 9 u P j x T d G F i b G V F b n R y a W V z I C 8 + P C 9 J d G V t P j x J d G V t P j x J d G V t T G 9 j Y X R p b 2 4 + P E l 0 Z W 1 U e X B l P k Z v c m 1 1 b G E 8 L 0 l 0 Z W 1 U e X B l P j x J d G V t U G F 0 a D 5 T Z W N 0 a W 9 u M S 9 P S D F f Q 0 F N V G 9 v b F F 1 Z X J 5 L 0 N U T F 9 F T k R f T k J S P C 9 J d G V t U G F 0 a D 4 8 L 0 l 0 Z W 1 M b 2 N h d G l v b j 4 8 U 3 R h Y m x l R W 5 0 c m l l c y A v P j w v S X R l b T 4 8 S X R l b T 4 8 S X R l b U x v Y 2 F 0 a W 9 u P j x J d G V t V H l w Z T 5 G b 3 J t d W x h P C 9 J d G V t V H l w Z T 4 8 S X R l b V B h d G g + U 2 V j d G l v b j E v T 0 g x X 0 N B T V R v b 2 x R d W V y e S 9 C R U d J T l 9 Z U j w v S X R l b V B h d G g + P C 9 J d G V t T G 9 j Y X R p b 2 4 + P F N 0 Y W J s Z U V u d H J p Z X M g L z 4 8 L 0 l 0 Z W 0 + P E l 0 Z W 0 + P E l 0 Z W 1 M b 2 N h d G l v b j 4 8 S X R l b V R 5 c G U + R m 9 y b X V s Y T w v S X R l b V R 5 c G U + P E l 0 Z W 1 Q Y X R o P l N l Y 3 R p b 2 4 x L 0 9 I M V 9 D Q U 1 U b 2 9 s U X V l c n k v R U 5 E X 1 l S P C 9 J d G V t U G F 0 a D 4 8 L 0 l 0 Z W 1 M b 2 N h d G l v b j 4 8 U 3 R h Y m x l R W 5 0 c m l l c y A v P j w v S X R l b T 4 8 S X R l b T 4 8 S X R l b U x v Y 2 F 0 a W 9 u P j x J d G V t V H l w Z T 5 G b 3 J t d W x h P C 9 J d G V t V H l w Z T 4 8 S X R l b V B h d G g + U 2 V j d G l v b j E v T 0 g x X 0 N B T V R v b 2 x R d W V y e S 9 R V U F M S U Z F U j w v S X R l b V B h d G g + P C 9 J d G V t T G 9 j Y X R p b 2 4 + P F N 0 Y W J s Z U V u d H J p Z X M g L z 4 8 L 0 l 0 Z W 0 + P E l 0 Z W 0 + P E l 0 Z W 1 M b 2 N h d G l v b j 4 8 S X R l b V R 5 c G U + R m 9 y b X V s Y T w v S X R l b V R 5 c G U + P E l 0 Z W 1 Q Y X R o P l N l Y 3 R p b 2 4 x L 0 9 I M V 9 D Q U 1 U b 2 9 s U X V l c n k v U 2 9 1 c m N l P C 9 J d G V t U G F 0 a D 4 8 L 0 l 0 Z W 1 M b 2 N h d G l v b j 4 8 U 3 R h Y m x l R W 5 0 c m l l c y A v P j w v S X R l b T 4 8 S X R l b T 4 8 S X R l b U x v Y 2 F 0 a W 9 u P j x J d G V t V H l w Z T 5 G b 3 J t d W x h P C 9 J d G V t V H l w Z T 4 8 S X R l b V B h d G g + U 2 V j d G l v b j E v T 0 g x X 1 J J U X V l c n 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V G F y Z 2 V 0 I i B W Y W x 1 Z T 0 i c 0 9 I M V 9 S S V F 1 Z X J 5 I i A v P j x F b n R y e S B U e X B l P S J R d W V y e U l E I i B W Y W x 1 Z T 0 i c z I 1 N z U z Y 2 Z l L W N l N T U t N D U 2 O C 0 4 N W Q 4 L T F j Z T U 2 Y j F j M D I w Z C I g L z 4 8 R W 5 0 c n k g V H l w Z T 0 i R m l s b G V k Q 2 9 t c G x l d G V S Z X N 1 b H R U b 1 d v c m t z a G V l d C I g V m F s d W U 9 I m w x I i A v P j x F b n R y e S B U e X B l P S J G a W x s Q 2 9 s d W 1 u T m F t Z X M i I F Z h b H V l P S J z W y Z x d W 9 0 O 0 5 M R l 9 J R C Z x d W 9 0 O y w m c X V v d D t D V E x f Q k V H S U 5 f T k J S J n F 1 b 3 Q 7 L C Z x d W 9 0 O 0 N U T F 9 F T k R f T k J S J n F 1 b 3 Q 7 L C Z x d W 9 0 O 1 N F R 0 1 F T l R f T E V O R 1 R I X 0 5 C U i Z x d W 9 0 O y w m c X V v d D t T V V J G Q U N F X 1 R Z U E V f T E V G V F 9 D R C Z x d W 9 0 O y w m c X V v d D t T V V J G Q U N F X 1 R Z U E V f U k l H S F R f Q 0 Q m c X V v d D s s J n F 1 b 3 Q 7 U 1 V S R k F D R V 9 X S U R U S C Z x d W 9 0 O y w m c X V v d D t S T 0 F E V 0 F Z X 1 d J R F R I X 0 5 C U i Z x d W 9 0 O y w m c X V v d D t T S E 9 V T E R F U l 9 Q V k R f V 0 l E V E h f T 1 V U X 0 x U J n F 1 b 3 Q 7 L C Z x d W 9 0 O 1 N V U k Z B Q 0 V f V F l Q R V 9 M R U Z U X 0 N E M i Z x d W 9 0 O y w m c X V v d D t T V V J G Q U N F X 1 d J R F R I X 0 x F R l Q m c X V v d D s s J n F 1 b 3 Q 7 U 0 h P V U x E R V J f U F Z E X 1 d J R F R I X 0 l O X 0 x U J n F 1 b 3 Q 7 L C Z x d W 9 0 O 0 R J V k l E R U R f S F d Z X 0 l O R C Z x d W 9 0 O y w m c X V v d D t N R U R J Q U 5 f V 0 l E V E h f T k J S J n F 1 b 3 Q 7 L C Z x d W 9 0 O 0 h Q T V N f T U V E S U F O X 1 d J R F R I X 0 5 C U i Z x d W 9 0 O y w m c X V v d D t N R U R J Q U 5 f V F l Q R V 9 D R C Z x d W 9 0 O y w m c X V v d D t T S E 9 V T E R F U l 9 Q V k R f V 0 l E V E h f T 1 V U X 1 J U J n F 1 b 3 Q 7 L C Z x d W 9 0 O 1 N V U k Z B Q 0 V f V F l Q R V 9 S S U d I V F 9 D R D I m c X V v d D s s J n F 1 b 3 Q 7 U 1 V S R k F D R V 9 X S U R U S F 9 S S U d I V C Z x d W 9 0 O y w m c X V v d D t T S E 9 V T E R F U l 9 Q V k R f V 0 l E V E h f S U 5 f U l Q m c X V v d D s s J n F 1 b 3 Q 7 T E F O R V N f T k J S J n F 1 b 3 Q 7 L C Z x d W 9 0 O 0 x B T k V f V 0 l E V E h f T k J S J n F 1 b 3 Q 7 L C Z x d W 9 0 O 0 1 J T E V B R 0 V f Q 0 x B U 1 M m c X V v d D s s J n F 1 b 3 Q 7 R k l Q U 1 9 D R C Z x d W 9 0 O y w m c X V v d D t T V F J F R V R f U F J F R k l Y X 0 R J U l 9 D R C Z x d W 9 0 O y w m c X V v d D t T V F J F R V R f T k F N R S Z x d W 9 0 O y w m c X V v d D t T V F J F R V R f U 1 V G R k l Y X 0 N E J n F 1 b 3 Q 7 L C Z x d W 9 0 O 1 N U U k V F V F 9 E S V J f U 1 V G R k l Y X 0 N E J n F 1 b 3 Q 7 L C Z x d W 9 0 O 1 J U X 0 5 N R V 9 T U E V D X 1 N V R k Z J W F 9 D R C Z x d W 9 0 O y w m c X V v d D t N V U 5 J X 1 B P U F V M Q V R J T 0 4 m c X V v d D s s J n F 1 b 3 Q 7 Q V J F Q V 9 D T 0 R F X 0 5 C U i Z x d W 9 0 O y w m c X V v d D t G V U 5 D V E l P T l 9 D T E F T U 1 9 D R C Z x d W 9 0 O y w m c X V v d D t Q U k l P U k l U W V 9 T W V N U R U 1 f Q 0 Q m c X V v d D s s J n F 1 b 3 Q 7 T k h T X 0 N E J n F 1 b 3 Q 7 L C Z x d W 9 0 O 0 5 I U 1 9 J T l R F U k 1 P R E F M X 0 Z B Q 0 l M S V R Z X 0 N E J n F 1 b 3 Q 7 L C Z x d W 9 0 O 0 Z F R F 9 B S U R f U F J J T U F S W V 9 D R C Z x d W 9 0 O y w m c X V v d D t B Q 0 N F U 1 N f Q 0 9 O V F J P T F 9 D R C Z x d W 9 0 O y w m c X V v d D t T U E V F R F 9 M S U 1 J V F 9 O Q l I m c X V v d D s s J n F 1 b 3 Q 7 Q U R U X 1 B T T k d S X 0 N B U l 9 O Q l I m c X V v d D s s J n F 1 b 3 Q 7 Q U R U X 1 R P V E F M X 0 5 C U i Z x d W 9 0 O y w m c X V v d D t B R F R f W U V B U l 9 O Q l I m c X V v d D t d I i A v P j x F b n R y e S B U e X B l P S J G a W x s Q 2 9 s d W 1 u V H l w Z X M i I F Z h b H V l P S J z Q m c 4 U E R 3 W U d E d z h Q Q m c 4 U E J n O E d E d z h H R H c 4 U E R 3 O E d C Z 1 l H Q m d Z U E J n O E d C Z 1 l H Q m c 4 U E R 3 O D 0 i I C 8 + P E V u d H J 5 I F R 5 c G U 9 I k Z p b G x M Y X N 0 V X B k Y X R l Z C I g V m F s d W U 9 I m Q y M D I 1 L T A 2 L T M w V D E z O j U z O j Q w L j U w N z M x N T F a I i A v P j x F b n R y e S B U e X B l P S J G a W x s R X J y b 3 J D b 3 V u d C I g V m F s d W U 9 I m w w I i A v P j x F b n R y e S B U e X B l P S J G a W x s R X J y b 3 J D b 2 R l I i B W Y W x 1 Z T 0 i c 1 V u a 2 5 v d 2 4 i I C 8 + P E V u d H J 5 I F R 5 c G U 9 I k Z p b G x D b 3 V u d C I g V m F s d W U 9 I m w w I i A v P j x F b n R y e S B U e X B l P S J G a W x s U 3 R h d H V z I i B W Y W x 1 Z T 0 i c 1 d h a X R p b m d G b 3 J F e G N l b F J l Z n J l c 2 g i I C 8 + P E V u d H J 5 I F R 5 c G U 9 I k F k Z G V k V G 9 E Y X R h T W 9 k Z W w i I F Z h b H V l P S J s M C I g L z 4 8 R W 5 0 c n k g V H l w Z T 0 i U m V s Y X R p b 2 5 z a G l w S W 5 m b 0 N v b n R h a W 5 l c i I g V m F s d W U 9 I n N 7 J n F 1 b 3 Q 7 Y 2 9 s d W 1 u Q 2 9 1 b n Q m c X V v d D s 6 N D E s J n F 1 b 3 Q 7 a 2 V 5 Q 2 9 s d W 1 u T m F t Z X M m c X V v d D s 6 W 1 0 s J n F 1 b 3 Q 7 c X V l c n l S Z W x h d G l v b n N o a X B z J n F 1 b 3 Q 7 O l t d L C Z x d W 9 0 O 2 N v b H V t b k l k Z W 5 0 a X R p Z X M m c X V v d D s 6 W y Z x d W 9 0 O 1 N l Y 3 R p b 2 4 x L 0 9 I M V 9 S S V F 1 Z X J 5 L 1 N v d X J j Z S 5 7 T k x G X 0 l E L D B 9 J n F 1 b 3 Q 7 L C Z x d W 9 0 O 1 N l Y 3 R p b 2 4 x L 0 9 I M V 9 S S V F 1 Z X J 5 L 1 N v d X J j Z S 5 7 Q 1 R M X 0 J F R 0 l O X 0 5 C U i w x f S Z x d W 9 0 O y w m c X V v d D t T Z W N 0 a W 9 u M S 9 P S D F f U k l R d W V y e S 9 T b 3 V y Y 2 U u e 0 N U T F 9 F T k R f T k J S L D J 9 J n F 1 b 3 Q 7 L C Z x d W 9 0 O 1 N l Y 3 R p b 2 4 x L 0 9 I M V 9 S S V F 1 Z X J 5 L 1 N v d X J j Z S 5 7 U 0 V H T U V O V F 9 M R U 5 H V E h f T k J S L D N 9 J n F 1 b 3 Q 7 L C Z x d W 9 0 O 1 N l Y 3 R p b 2 4 x L 0 9 I M V 9 S S V F 1 Z X J 5 L 1 N v d X J j Z S 5 7 U 1 V S R k F D R V 9 U W V B F X 0 x F R l R f Q 0 Q s N H 0 m c X V v d D s s J n F 1 b 3 Q 7 U 2 V j d G l v b j E v T 0 g x X 1 J J U X V l c n k v U 2 9 1 c m N l L n t T V V J G Q U N F X 1 R Z U E V f U k l H S F R f Q 0 Q s N X 0 m c X V v d D s s J n F 1 b 3 Q 7 U 2 V j d G l v b j E v T 0 g x X 1 J J U X V l c n k v U 2 9 1 c m N l L n t T V V J G Q U N F X 1 d J R F R I L D Z 9 J n F 1 b 3 Q 7 L C Z x d W 9 0 O 1 N l Y 3 R p b 2 4 x L 0 9 I M V 9 S S V F 1 Z X J 5 L 1 N v d X J j Z S 5 7 U k 9 B R F d B W V 9 X S U R U S F 9 O Q l I s N 3 0 m c X V v d D s s J n F 1 b 3 Q 7 U 2 V j d G l v b j E v T 0 g x X 1 J J U X V l c n k v U 2 9 1 c m N l L n t T S E 9 V T E R F U l 9 Q V k R f V 0 l E V E h f T 1 V U X 0 x U L D h 9 J n F 1 b 3 Q 7 L C Z x d W 9 0 O 1 N l Y 3 R p b 2 4 x L 0 9 I M V 9 S S V F 1 Z X J 5 L 1 N v d X J j Z S 5 7 U 1 V S R k F D R V 9 U W V B F X 0 x F R l R f Q 0 Q y L D l 9 J n F 1 b 3 Q 7 L C Z x d W 9 0 O 1 N l Y 3 R p b 2 4 x L 0 9 I M V 9 S S V F 1 Z X J 5 L 1 N v d X J j Z S 5 7 U 1 V S R k F D R V 9 X S U R U S F 9 M R U Z U L D E w f S Z x d W 9 0 O y w m c X V v d D t T Z W N 0 a W 9 u M S 9 P S D F f U k l R d W V y e S 9 T b 3 V y Y 2 U u e 1 N I T 1 V M R E V S X 1 B W R F 9 X S U R U S F 9 J T l 9 M V C w x M X 0 m c X V v d D s s J n F 1 b 3 Q 7 U 2 V j d G l v b j E v T 0 g x X 1 J J U X V l c n k v U 2 9 1 c m N l L n t E S V Z J R E V E X 0 h X W V 9 J T k Q s M T J 9 J n F 1 b 3 Q 7 L C Z x d W 9 0 O 1 N l Y 3 R p b 2 4 x L 0 9 I M V 9 S S V F 1 Z X J 5 L 1 N v d X J j Z S 5 7 T U V E S U F O X 1 d J R F R I X 0 5 C U i w x M 3 0 m c X V v d D s s J n F 1 b 3 Q 7 U 2 V j d G l v b j E v T 0 g x X 1 J J U X V l c n k v U 2 9 1 c m N l L n t I U E 1 T X 0 1 F R E l B T l 9 X S U R U S F 9 O Q l I s M T R 9 J n F 1 b 3 Q 7 L C Z x d W 9 0 O 1 N l Y 3 R p b 2 4 x L 0 9 I M V 9 S S V F 1 Z X J 5 L 1 N v d X J j Z S 5 7 T U V E S U F O X 1 R Z U E V f Q 0 Q s M T V 9 J n F 1 b 3 Q 7 L C Z x d W 9 0 O 1 N l Y 3 R p b 2 4 x L 0 9 I M V 9 S S V F 1 Z X J 5 L 1 N v d X J j Z S 5 7 U 0 h P V U x E R V J f U F Z E X 1 d J R F R I X 0 9 V V F 9 S V C w x N n 0 m c X V v d D s s J n F 1 b 3 Q 7 U 2 V j d G l v b j E v T 0 g x X 1 J J U X V l c n k v U 2 9 1 c m N l L n t T V V J G Q U N F X 1 R Z U E V f U k l H S F R f Q 0 Q y L D E 3 f S Z x d W 9 0 O y w m c X V v d D t T Z W N 0 a W 9 u M S 9 P S D F f U k l R d W V y e S 9 T b 3 V y Y 2 U u e 1 N V U k Z B Q 0 V f V 0 l E V E h f U k l H S F Q s M T h 9 J n F 1 b 3 Q 7 L C Z x d W 9 0 O 1 N l Y 3 R p b 2 4 x L 0 9 I M V 9 S S V F 1 Z X J 5 L 1 N v d X J j Z S 5 7 U 0 h P V U x E R V J f U F Z E X 1 d J R F R I X 0 l O X 1 J U L D E 5 f S Z x d W 9 0 O y w m c X V v d D t T Z W N 0 a W 9 u M S 9 P S D F f U k l R d W V y e S 9 T b 3 V y Y 2 U u e 0 x B T k V T X 0 5 C U i w y M H 0 m c X V v d D s s J n F 1 b 3 Q 7 U 2 V j d G l v b j E v T 0 g x X 1 J J U X V l c n k v U 2 9 1 c m N l L n t M Q U 5 F X 1 d J R F R I X 0 5 C U i w y M X 0 m c X V v d D s s J n F 1 b 3 Q 7 U 2 V j d G l v b j E v T 0 g x X 1 J J U X V l c n k v U 2 9 1 c m N l L n t N S U x F Q U d F X 0 N M Q V N T L D I y f S Z x d W 9 0 O y w m c X V v d D t T Z W N 0 a W 9 u M S 9 P S D F f U k l R d W V y e S 9 T b 3 V y Y 2 U u e 0 Z J U F N f Q 0 Q s M j N 9 J n F 1 b 3 Q 7 L C Z x d W 9 0 O 1 N l Y 3 R p b 2 4 x L 0 9 I M V 9 S S V F 1 Z X J 5 L 1 N v d X J j Z S 5 7 U 1 R S R U V U X 1 B S R U Z J W F 9 E S V J f Q 0 Q s M j R 9 J n F 1 b 3 Q 7 L C Z x d W 9 0 O 1 N l Y 3 R p b 2 4 x L 0 9 I M V 9 S S V F 1 Z X J 5 L 1 N v d X J j Z S 5 7 U 1 R S R U V U X 0 5 B T U U s M j V 9 J n F 1 b 3 Q 7 L C Z x d W 9 0 O 1 N l Y 3 R p b 2 4 x L 0 9 I M V 9 S S V F 1 Z X J 5 L 1 N v d X J j Z S 5 7 U 1 R S R U V U X 1 N V R k Z J W F 9 D R C w y N n 0 m c X V v d D s s J n F 1 b 3 Q 7 U 2 V j d G l v b j E v T 0 g x X 1 J J U X V l c n k v U 2 9 1 c m N l L n t T V F J F R V R f R E l S X 1 N V R k Z J W F 9 D R C w y N 3 0 m c X V v d D s s J n F 1 b 3 Q 7 U 2 V j d G l v b j E v T 0 g x X 1 J J U X V l c n k v U 2 9 1 c m N l L n t S V F 9 O T U V f U 1 B F Q 1 9 T V U Z G S V h f Q 0 Q s M j h 9 J n F 1 b 3 Q 7 L C Z x d W 9 0 O 1 N l Y 3 R p b 2 4 x L 0 9 I M V 9 S S V F 1 Z X J 5 L 1 N v d X J j Z S 5 7 T V V O S V 9 Q T 1 B V T E F U S U 9 O L D I 5 f S Z x d W 9 0 O y w m c X V v d D t T Z W N 0 a W 9 u M S 9 P S D F f U k l R d W V y e S 9 T b 3 V y Y 2 U u e 0 F S R U F f Q 0 9 E R V 9 O Q l I s M z B 9 J n F 1 b 3 Q 7 L C Z x d W 9 0 O 1 N l Y 3 R p b 2 4 x L 0 9 I M V 9 S S V F 1 Z X J 5 L 1 N v d X J j Z S 5 7 R l V O Q 1 R J T 0 5 f Q 0 x B U 1 N f Q 0 Q s M z F 9 J n F 1 b 3 Q 7 L C Z x d W 9 0 O 1 N l Y 3 R p b 2 4 x L 0 9 I M V 9 S S V F 1 Z X J 5 L 1 N v d X J j Z S 5 7 U F J J T 1 J J V F l f U 1 l T V E V N X 0 N E L D M y f S Z x d W 9 0 O y w m c X V v d D t T Z W N 0 a W 9 u M S 9 P S D F f U k l R d W V y e S 9 T b 3 V y Y 2 U u e 0 5 I U 1 9 D R C w z M 3 0 m c X V v d D s s J n F 1 b 3 Q 7 U 2 V j d G l v b j E v T 0 g x X 1 J J U X V l c n k v U 2 9 1 c m N l L n t O S F N f S U 5 U R V J N T 0 R B T F 9 G Q U N J T E l U W V 9 D R C w z N H 0 m c X V v d D s s J n F 1 b 3 Q 7 U 2 V j d G l v b j E v T 0 g x X 1 J J U X V l c n k v U 2 9 1 c m N l L n t G R U R f Q U l E X 1 B S S U 1 B U l l f Q 0 Q s M z V 9 J n F 1 b 3 Q 7 L C Z x d W 9 0 O 1 N l Y 3 R p b 2 4 x L 0 9 I M V 9 S S V F 1 Z X J 5 L 1 N v d X J j Z S 5 7 Q U N D R V N T X 0 N P T l R S T 0 x f Q 0 Q s M z Z 9 J n F 1 b 3 Q 7 L C Z x d W 9 0 O 1 N l Y 3 R p b 2 4 x L 0 9 I M V 9 S S V F 1 Z X J 5 L 1 N v d X J j Z S 5 7 U 1 B F R U R f T E l N S V R f T k J S L D M 3 f S Z x d W 9 0 O y w m c X V v d D t T Z W N 0 a W 9 u M S 9 P S D F f U k l R d W V y e S 9 T b 3 V y Y 2 U u e 0 F E V F 9 Q U 0 5 H U l 9 D Q V J f T k J S L D M 4 f S Z x d W 9 0 O y w m c X V v d D t T Z W N 0 a W 9 u M S 9 P S D F f U k l R d W V y e S 9 T b 3 V y Y 2 U u e 0 F E V F 9 U T 1 R B T F 9 O Q l I s M z l 9 J n F 1 b 3 Q 7 L C Z x d W 9 0 O 1 N l Y 3 R p b 2 4 x L 0 9 I M V 9 S S V F 1 Z X J 5 L 1 N v d X J j Z S 5 7 Q U R U X 1 l F Q V J f T k J S L D Q w f S Z x d W 9 0 O 1 0 s J n F 1 b 3 Q 7 Q 2 9 s d W 1 u Q 2 9 1 b n Q m c X V v d D s 6 N D E s J n F 1 b 3 Q 7 S 2 V 5 Q 2 9 s d W 1 u T m F t Z X M m c X V v d D s 6 W 1 0 s J n F 1 b 3 Q 7 Q 2 9 s d W 1 u S W R l b n R p d G l l c y Z x d W 9 0 O z p b J n F 1 b 3 Q 7 U 2 V j d G l v b j E v T 0 g x X 1 J J U X V l c n k v U 2 9 1 c m N l L n t O T E Z f S U Q s M H 0 m c X V v d D s s J n F 1 b 3 Q 7 U 2 V j d G l v b j E v T 0 g x X 1 J J U X V l c n k v U 2 9 1 c m N l L n t D V E x f Q k V H S U 5 f T k J S L D F 9 J n F 1 b 3 Q 7 L C Z x d W 9 0 O 1 N l Y 3 R p b 2 4 x L 0 9 I M V 9 S S V F 1 Z X J 5 L 1 N v d X J j Z S 5 7 Q 1 R M X 0 V O R F 9 O Q l I s M n 0 m c X V v d D s s J n F 1 b 3 Q 7 U 2 V j d G l v b j E v T 0 g x X 1 J J U X V l c n k v U 2 9 1 c m N l L n t T R U d N R U 5 U X 0 x F T k d U S F 9 O Q l I s M 3 0 m c X V v d D s s J n F 1 b 3 Q 7 U 2 V j d G l v b j E v T 0 g x X 1 J J U X V l c n k v U 2 9 1 c m N l L n t T V V J G Q U N F X 1 R Z U E V f T E V G V F 9 D R C w 0 f S Z x d W 9 0 O y w m c X V v d D t T Z W N 0 a W 9 u M S 9 P S D F f U k l R d W V y e S 9 T b 3 V y Y 2 U u e 1 N V U k Z B Q 0 V f V F l Q R V 9 S S U d I V F 9 D R C w 1 f S Z x d W 9 0 O y w m c X V v d D t T Z W N 0 a W 9 u M S 9 P S D F f U k l R d W V y e S 9 T b 3 V y Y 2 U u e 1 N V U k Z B Q 0 V f V 0 l E V E g s N n 0 m c X V v d D s s J n F 1 b 3 Q 7 U 2 V j d G l v b j E v T 0 g x X 1 J J U X V l c n k v U 2 9 1 c m N l L n t S T 0 F E V 0 F Z X 1 d J R F R I X 0 5 C U i w 3 f S Z x d W 9 0 O y w m c X V v d D t T Z W N 0 a W 9 u M S 9 P S D F f U k l R d W V y e S 9 T b 3 V y Y 2 U u e 1 N I T 1 V M R E V S X 1 B W R F 9 X S U R U S F 9 P V V R f T F Q s O H 0 m c X V v d D s s J n F 1 b 3 Q 7 U 2 V j d G l v b j E v T 0 g x X 1 J J U X V l c n k v U 2 9 1 c m N l L n t T V V J G Q U N F X 1 R Z U E V f T E V G V F 9 D R D I s O X 0 m c X V v d D s s J n F 1 b 3 Q 7 U 2 V j d G l v b j E v T 0 g x X 1 J J U X V l c n k v U 2 9 1 c m N l L n t T V V J G Q U N F X 1 d J R F R I X 0 x F R l Q s M T B 9 J n F 1 b 3 Q 7 L C Z x d W 9 0 O 1 N l Y 3 R p b 2 4 x L 0 9 I M V 9 S S V F 1 Z X J 5 L 1 N v d X J j Z S 5 7 U 0 h P V U x E R V J f U F Z E X 1 d J R F R I X 0 l O X 0 x U L D E x f S Z x d W 9 0 O y w m c X V v d D t T Z W N 0 a W 9 u M S 9 P S D F f U k l R d W V y e S 9 T b 3 V y Y 2 U u e 0 R J V k l E R U R f S F d Z X 0 l O R C w x M n 0 m c X V v d D s s J n F 1 b 3 Q 7 U 2 V j d G l v b j E v T 0 g x X 1 J J U X V l c n k v U 2 9 1 c m N l L n t N R U R J Q U 5 f V 0 l E V E h f T k J S L D E z f S Z x d W 9 0 O y w m c X V v d D t T Z W N 0 a W 9 u M S 9 P S D F f U k l R d W V y e S 9 T b 3 V y Y 2 U u e 0 h Q T V N f T U V E S U F O X 1 d J R F R I X 0 5 C U i w x N H 0 m c X V v d D s s J n F 1 b 3 Q 7 U 2 V j d G l v b j E v T 0 g x X 1 J J U X V l c n k v U 2 9 1 c m N l L n t N R U R J Q U 5 f V F l Q R V 9 D R C w x N X 0 m c X V v d D s s J n F 1 b 3 Q 7 U 2 V j d G l v b j E v T 0 g x X 1 J J U X V l c n k v U 2 9 1 c m N l L n t T S E 9 V T E R F U l 9 Q V k R f V 0 l E V E h f T 1 V U X 1 J U L D E 2 f S Z x d W 9 0 O y w m c X V v d D t T Z W N 0 a W 9 u M S 9 P S D F f U k l R d W V y e S 9 T b 3 V y Y 2 U u e 1 N V U k Z B Q 0 V f V F l Q R V 9 S S U d I V F 9 D R D I s M T d 9 J n F 1 b 3 Q 7 L C Z x d W 9 0 O 1 N l Y 3 R p b 2 4 x L 0 9 I M V 9 S S V F 1 Z X J 5 L 1 N v d X J j Z S 5 7 U 1 V S R k F D R V 9 X S U R U S F 9 S S U d I V C w x O H 0 m c X V v d D s s J n F 1 b 3 Q 7 U 2 V j d G l v b j E v T 0 g x X 1 J J U X V l c n k v U 2 9 1 c m N l L n t T S E 9 V T E R F U l 9 Q V k R f V 0 l E V E h f S U 5 f U l Q s M T l 9 J n F 1 b 3 Q 7 L C Z x d W 9 0 O 1 N l Y 3 R p b 2 4 x L 0 9 I M V 9 S S V F 1 Z X J 5 L 1 N v d X J j Z S 5 7 T E F O R V N f T k J S L D I w f S Z x d W 9 0 O y w m c X V v d D t T Z W N 0 a W 9 u M S 9 P S D F f U k l R d W V y e S 9 T b 3 V y Y 2 U u e 0 x B T k V f V 0 l E V E h f T k J S L D I x f S Z x d W 9 0 O y w m c X V v d D t T Z W N 0 a W 9 u M S 9 P S D F f U k l R d W V y e S 9 T b 3 V y Y 2 U u e 0 1 J T E V B R 0 V f Q 0 x B U 1 M s M j J 9 J n F 1 b 3 Q 7 L C Z x d W 9 0 O 1 N l Y 3 R p b 2 4 x L 0 9 I M V 9 S S V F 1 Z X J 5 L 1 N v d X J j Z S 5 7 R k l Q U 1 9 D R C w y M 3 0 m c X V v d D s s J n F 1 b 3 Q 7 U 2 V j d G l v b j E v T 0 g x X 1 J J U X V l c n k v U 2 9 1 c m N l L n t T V F J F R V R f U F J F R k l Y X 0 R J U l 9 D R C w y N H 0 m c X V v d D s s J n F 1 b 3 Q 7 U 2 V j d G l v b j E v T 0 g x X 1 J J U X V l c n k v U 2 9 1 c m N l L n t T V F J F R V R f T k F N R S w y N X 0 m c X V v d D s s J n F 1 b 3 Q 7 U 2 V j d G l v b j E v T 0 g x X 1 J J U X V l c n k v U 2 9 1 c m N l L n t T V F J F R V R f U 1 V G R k l Y X 0 N E L D I 2 f S Z x d W 9 0 O y w m c X V v d D t T Z W N 0 a W 9 u M S 9 P S D F f U k l R d W V y e S 9 T b 3 V y Y 2 U u e 1 N U U k V F V F 9 E S V J f U 1 V G R k l Y X 0 N E L D I 3 f S Z x d W 9 0 O y w m c X V v d D t T Z W N 0 a W 9 u M S 9 P S D F f U k l R d W V y e S 9 T b 3 V y Y 2 U u e 1 J U X 0 5 N R V 9 T U E V D X 1 N V R k Z J W F 9 D R C w y O H 0 m c X V v d D s s J n F 1 b 3 Q 7 U 2 V j d G l v b j E v T 0 g x X 1 J J U X V l c n k v U 2 9 1 c m N l L n t N V U 5 J X 1 B P U F V M Q V R J T 0 4 s M j l 9 J n F 1 b 3 Q 7 L C Z x d W 9 0 O 1 N l Y 3 R p b 2 4 x L 0 9 I M V 9 S S V F 1 Z X J 5 L 1 N v d X J j Z S 5 7 Q V J F Q V 9 D T 0 R F X 0 5 C U i w z M H 0 m c X V v d D s s J n F 1 b 3 Q 7 U 2 V j d G l v b j E v T 0 g x X 1 J J U X V l c n k v U 2 9 1 c m N l L n t G V U 5 D V E l P T l 9 D T E F T U 1 9 D R C w z M X 0 m c X V v d D s s J n F 1 b 3 Q 7 U 2 V j d G l v b j E v T 0 g x X 1 J J U X V l c n k v U 2 9 1 c m N l L n t Q U k l P U k l U W V 9 T W V N U R U 1 f Q 0 Q s M z J 9 J n F 1 b 3 Q 7 L C Z x d W 9 0 O 1 N l Y 3 R p b 2 4 x L 0 9 I M V 9 S S V F 1 Z X J 5 L 1 N v d X J j Z S 5 7 T k h T X 0 N E L D M z f S Z x d W 9 0 O y w m c X V v d D t T Z W N 0 a W 9 u M S 9 P S D F f U k l R d W V y e S 9 T b 3 V y Y 2 U u e 0 5 I U 1 9 J T l R F U k 1 P R E F M X 0 Z B Q 0 l M S V R Z X 0 N E L D M 0 f S Z x d W 9 0 O y w m c X V v d D t T Z W N 0 a W 9 u M S 9 P S D F f U k l R d W V y e S 9 T b 3 V y Y 2 U u e 0 Z F R F 9 B S U R f U F J J T U F S W V 9 D R C w z N X 0 m c X V v d D s s J n F 1 b 3 Q 7 U 2 V j d G l v b j E v T 0 g x X 1 J J U X V l c n k v U 2 9 1 c m N l L n t B Q 0 N F U 1 N f Q 0 9 O V F J P T F 9 D R C w z N n 0 m c X V v d D s s J n F 1 b 3 Q 7 U 2 V j d G l v b j E v T 0 g x X 1 J J U X V l c n k v U 2 9 1 c m N l L n t T U E V F R F 9 M S U 1 J V F 9 O Q l I s M z d 9 J n F 1 b 3 Q 7 L C Z x d W 9 0 O 1 N l Y 3 R p b 2 4 x L 0 9 I M V 9 S S V F 1 Z X J 5 L 1 N v d X J j Z S 5 7 Q U R U X 1 B T T k d S X 0 N B U l 9 O Q l I s M z h 9 J n F 1 b 3 Q 7 L C Z x d W 9 0 O 1 N l Y 3 R p b 2 4 x L 0 9 I M V 9 S S V F 1 Z X J 5 L 1 N v d X J j Z S 5 7 Q U R U X 1 R P V E F M X 0 5 C U i w z O X 0 m c X V v d D s s J n F 1 b 3 Q 7 U 2 V j d G l v b j E v T 0 g x X 1 J J U X V l c n k v U 2 9 1 c m N l L n t B R F R f W U V B U l 9 O Q l I s N D B 9 J n F 1 b 3 Q 7 X S w m c X V v d D t S Z W x h d G l v b n N o a X B J b m Z v J n F 1 b 3 Q 7 O l t d f S I g L z 4 8 L 1 N 0 Y W J s Z U V u d H J p Z X M + P C 9 J d G V t P j x J d G V t P j x J d G V t T G 9 j Y X R p b 2 4 + P E l 0 Z W 1 U e X B l P k Z v c m 1 1 b G E 8 L 0 l 0 Z W 1 U e X B l P j x J d G V t U G F 0 a D 5 T Z W N 0 a W 9 u M S 9 P S D F f U k l R d W V y e S 9 w Y X J h b V R h Y m x l P C 9 J d G V t U G F 0 a D 4 8 L 0 l 0 Z W 1 M b 2 N h d G l v b j 4 8 U 3 R h Y m x l R W 5 0 c m l l c y A v P j w v S X R l b T 4 8 S X R l b T 4 8 S X R l b U x v Y 2 F 0 a W 9 u P j x J d G V t V H l w Z T 5 G b 3 J t d W x h P C 9 J d G V t V H l w Z T 4 8 S X R l b V B h d G g + U 2 V j d G l v b j E v T 0 g x X 1 J J U X V l c n k v T k Z M S U Q 8 L 0 l 0 Z W 1 Q Y X R o P j w v S X R l b U x v Y 2 F 0 a W 9 u P j x T d G F i b G V F b n R y a W V z I C 8 + P C 9 J d G V t P j x J d G V t P j x J d G V t T G 9 j Y X R p b 2 4 + P E l 0 Z W 1 U e X B l P k Z v c m 1 1 b G E 8 L 0 l 0 Z W 1 U e X B l P j x J d G V t U G F 0 a D 5 T Z W N 0 a W 9 u M S 9 P S D F f U k l R d W V y e S 9 D V E x f Q k V H S U 5 f T k J S P C 9 J d G V t U G F 0 a D 4 8 L 0 l 0 Z W 1 M b 2 N h d G l v b j 4 8 U 3 R h Y m x l R W 5 0 c m l l c y A v P j w v S X R l b T 4 8 S X R l b T 4 8 S X R l b U x v Y 2 F 0 a W 9 u P j x J d G V t V H l w Z T 5 G b 3 J t d W x h P C 9 J d G V t V H l w Z T 4 8 S X R l b V B h d G g + U 2 V j d G l v b j E v T 0 g x X 1 J J U X V l c n k v Q 1 R M X 0 V O R F 9 O Q l I 8 L 0 l 0 Z W 1 Q Y X R o P j w v S X R l b U x v Y 2 F 0 a W 9 u P j x T d G F i b G V F b n R y a W V z I C 8 + P C 9 J d G V t P j x J d G V t P j x J d G V t T G 9 j Y X R p b 2 4 + P E l 0 Z W 1 U e X B l P k Z v c m 1 1 b G E 8 L 0 l 0 Z W 1 U e X B l P j x J d G V t U G F 0 a D 5 T Z W N 0 a W 9 u M S 9 P S D F f U k l R d W V y e S 9 C R U d J T l 9 Z U j w v S X R l b V B h d G g + P C 9 J d G V t T G 9 j Y X R p b 2 4 + P F N 0 Y W J s Z U V u d H J p Z X M g L z 4 8 L 0 l 0 Z W 0 + P E l 0 Z W 0 + P E l 0 Z W 1 M b 2 N h d G l v b j 4 8 S X R l b V R 5 c G U + R m 9 y b X V s Y T w v S X R l b V R 5 c G U + P E l 0 Z W 1 Q Y X R o P l N l Y 3 R p b 2 4 x L 0 9 I M V 9 S S V F 1 Z X J 5 L 0 V O R F 9 Z U j w v S X R l b V B h d G g + P C 9 J d G V t T G 9 j Y X R p b 2 4 + P F N 0 Y W J s Z U V u d H J p Z X M g L z 4 8 L 0 l 0 Z W 0 + P E l 0 Z W 0 + P E l 0 Z W 1 M b 2 N h d G l v b j 4 8 S X R l b V R 5 c G U + R m 9 y b X V s Y T w v S X R l b V R 5 c G U + P E l 0 Z W 1 Q Y X R o P l N l Y 3 R p b 2 4 x L 0 9 I M V 9 S S V F 1 Z X J 5 L 1 F V Q U x J R k V S P C 9 J d G V t U G F 0 a D 4 8 L 0 l 0 Z W 1 M b 2 N h d G l v b j 4 8 U 3 R h Y m x l R W 5 0 c m l l c y A v P j w v S X R l b T 4 8 S X R l b T 4 8 S X R l b U x v Y 2 F 0 a W 9 u P j x J d G V t V H l w Z T 5 G b 3 J t d W x h P C 9 J d G V t V H l w Z T 4 8 S X R l b V B h d G g + U 2 V j d G l v b j E v T 0 g x X 1 J J U X V l c n k v U 2 9 1 c m N l P C 9 J d G V t U G F 0 a D 4 8 L 0 l 0 Z W 1 M b 2 N h d G l v b j 4 8 U 3 R h Y m x l R W 5 0 c m l l c y A v P j w v S X R l b T 4 8 S X R l b T 4 8 S X R l b U x v Y 2 F 0 a W 9 u P j x J d G V t V H l w Z T 5 G b 3 J t d W x h P C 9 J d G V t V H l w Z T 4 8 S X R l b V B h d G g + U 2 V j d G l v b j E v T 0 g x X 0 N v b m d l c 3 R p b 2 5 R d W V y e 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U Y X J n Z X Q i I F Z h b H V l P S J z T 0 g x X 0 N v b m d l c 3 R p b 2 5 R d W V y e S I g L z 4 8 R W 5 0 c n k g V H l w Z T 0 i U X V l c n l J R C I g V m F s d W U 9 I n N m M T I 3 Z D E 5 N i 0 x Z j B h L T R i M z M t O T Y w N i 1 j O G I x M T U w M z l k N m Q i I C 8 + P E V u d H J 5 I F R 5 c G U 9 I k Z p b G x l Z E N v b X B s Z X R l U m V z d W x 0 V G 9 X b 3 J r c 2 h l Z X Q i I F Z h b H V l P S J s M S I g L z 4 8 R W 5 0 c n k g V H l w Z T 0 i R m l s b E N v b H V t b k 5 h b W V z I i B W Y W x 1 Z T 0 i c 1 s m c X V v d D t O T E Z f S U Q m c X V v d D s s J n F 1 b 3 Q 7 Q 1 R M X 0 J F R 0 l O X 0 5 C U i Z x d W 9 0 O y w m c X V v d D t D V E x f R U 5 E X 0 5 C U i Z x d W 9 0 O y w m c X V v d D t U T 1 R B T F 9 W T 0 x V T U V f T k J S J n F 1 b 3 Q 7 L C Z x d W 9 0 O 1 R S V U N L X 1 Z P T F V N R V 9 O Q l I m c X V v d D s s J n F 1 b 3 Q 7 V k 9 M V U 1 F X 0 N B U E F D S V R Z X 1 J B V E l P X 0 5 C U i Z x d W 9 0 O y w m c X V v d D t G V U 5 D V E l P T k F M X 0 N M Q V N T X 0 N E J n F 1 b 3 Q 7 L C Z x d W 9 0 O 1 N F Q 1 R J T 0 5 f T E V O R 1 R I X 0 5 C U i Z x d W 9 0 O 1 0 i I C 8 + P E V u d H J 5 I F R 5 c G U 9 I k Z p b G x D b 2 x 1 b W 5 U e X B l c y I g V m F s d W U 9 I n N C Z z h Q Q W d J U E J n O D 0 i I C 8 + P E V u d H J 5 I F R 5 c G U 9 I k Z p b G x M Y X N 0 V X B k Y X R l Z C I g V m F s d W U 9 I m Q y M D I 1 L T A 2 L T M w V D E z O j U z O j Q w L j c 4 M D M 3 N T J a I i A v P j x F b n R y e S B U e X B l P S J G a W x s R X J y b 3 J D b 3 V u d C I g V m F s d W U 9 I m w w I i A v P j x F b n R y e S B U e X B l P S J G a W x s R X J y b 3 J D b 2 R l I i B W Y W x 1 Z T 0 i c 1 V u a 2 5 v d 2 4 i I C 8 + P E V u d H J 5 I F R 5 c G U 9 I k Z p b G x D b 3 V u d C I g V m F s d W U 9 I m w w I i A v P j x F b n R y e S B U e X B l P S J G a W x s U 3 R h d H V z I i B W Y W x 1 Z T 0 i c 1 d h a X R p b m d G b 3 J F e G N l b F J l Z n J l c 2 g i I C 8 + P E V u d H J 5 I F R 5 c G U 9 I k F k Z G V k V G 9 E Y X R h T W 9 k Z W w i I F Z h b H V l P S J s M C I g L z 4 8 R W 5 0 c n k g V H l w Z T 0 i U m V s Y X R p b 2 5 z a G l w S W 5 m b 0 N v b n R h a W 5 l c i I g V m F s d W U 9 I n N 7 J n F 1 b 3 Q 7 Y 2 9 s d W 1 u Q 2 9 1 b n Q m c X V v d D s 6 O C w m c X V v d D t r Z X l D b 2 x 1 b W 5 O Y W 1 l c y Z x d W 9 0 O z p b X S w m c X V v d D t x d W V y e V J l b G F 0 a W 9 u c 2 h p c H M m c X V v d D s 6 W 1 0 s J n F 1 b 3 Q 7 Y 2 9 s d W 1 u S W R l b n R p d G l l c y Z x d W 9 0 O z p b J n F 1 b 3 Q 7 U 2 V j d G l v b j E v T 0 g x X 0 N v b m d l c 3 R p b 2 5 R d W V y e S 9 T b 3 V y Y 2 U u e 0 5 M R l 9 J R C w w f S Z x d W 9 0 O y w m c X V v d D t T Z W N 0 a W 9 u M S 9 P S D F f Q 2 9 u Z 2 V z d G l v b l F 1 Z X J 5 L 1 N v d X J j Z S 5 7 Q 1 R M X 0 J F R 0 l O X 0 5 C U i w x f S Z x d W 9 0 O y w m c X V v d D t T Z W N 0 a W 9 u M S 9 P S D F f Q 2 9 u Z 2 V z d G l v b l F 1 Z X J 5 L 1 N v d X J j Z S 5 7 Q 1 R M X 0 V O R F 9 O Q l I s M n 0 m c X V v d D s s J n F 1 b 3 Q 7 U 2 V j d G l v b j E v T 0 g x X 0 N v b m d l c 3 R p b 2 5 R d W V y e S 9 T b 3 V y Y 2 U u e 1 R P V E F M X 1 Z P T F V N R V 9 O Q l I s M 3 0 m c X V v d D s s J n F 1 b 3 Q 7 U 2 V j d G l v b j E v T 0 g x X 0 N v b m d l c 3 R p b 2 5 R d W V y e S 9 T b 3 V y Y 2 U u e 1 R S V U N L X 1 Z P T F V N R V 9 O Q l I s N H 0 m c X V v d D s s J n F 1 b 3 Q 7 U 2 V j d G l v b j E v T 0 g x X 0 N v b m d l c 3 R p b 2 5 R d W V y e S 9 T b 3 V y Y 2 U u e 1 Z P T F V N R V 9 D Q V B B Q 0 l U W V 9 S Q V R J T 1 9 O Q l I s N X 0 m c X V v d D s s J n F 1 b 3 Q 7 U 2 V j d G l v b j E v T 0 g x X 0 N v b m d l c 3 R p b 2 5 R d W V y e S 9 T b 3 V y Y 2 U u e 0 Z V T k N U S U 9 O Q U x f Q 0 x B U 1 N f Q 0 Q s N n 0 m c X V v d D s s J n F 1 b 3 Q 7 U 2 V j d G l v b j E v T 0 g x X 0 N v b m d l c 3 R p b 2 5 R d W V y e S 9 T b 3 V y Y 2 U u e 1 N F Q 1 R J T 0 5 f T E V O R 1 R I X 0 5 C U i w 3 f S Z x d W 9 0 O 1 0 s J n F 1 b 3 Q 7 Q 2 9 s d W 1 u Q 2 9 1 b n Q m c X V v d D s 6 O C w m c X V v d D t L Z X l D b 2 x 1 b W 5 O Y W 1 l c y Z x d W 9 0 O z p b X S w m c X V v d D t D b 2 x 1 b W 5 J Z G V u d G l 0 a W V z J n F 1 b 3 Q 7 O l s m c X V v d D t T Z W N 0 a W 9 u M S 9 P S D F f Q 2 9 u Z 2 V z d G l v b l F 1 Z X J 5 L 1 N v d X J j Z S 5 7 T k x G X 0 l E L D B 9 J n F 1 b 3 Q 7 L C Z x d W 9 0 O 1 N l Y 3 R p b 2 4 x L 0 9 I M V 9 D b 2 5 n Z X N 0 a W 9 u U X V l c n k v U 2 9 1 c m N l L n t D V E x f Q k V H S U 5 f T k J S L D F 9 J n F 1 b 3 Q 7 L C Z x d W 9 0 O 1 N l Y 3 R p b 2 4 x L 0 9 I M V 9 D b 2 5 n Z X N 0 a W 9 u U X V l c n k v U 2 9 1 c m N l L n t D V E x f R U 5 E X 0 5 C U i w y f S Z x d W 9 0 O y w m c X V v d D t T Z W N 0 a W 9 u M S 9 P S D F f Q 2 9 u Z 2 V z d G l v b l F 1 Z X J 5 L 1 N v d X J j Z S 5 7 V E 9 U Q U x f V k 9 M V U 1 F X 0 5 C U i w z f S Z x d W 9 0 O y w m c X V v d D t T Z W N 0 a W 9 u M S 9 P S D F f Q 2 9 u Z 2 V z d G l v b l F 1 Z X J 5 L 1 N v d X J j Z S 5 7 V F J V Q 0 t f V k 9 M V U 1 F X 0 5 C U i w 0 f S Z x d W 9 0 O y w m c X V v d D t T Z W N 0 a W 9 u M S 9 P S D F f Q 2 9 u Z 2 V z d G l v b l F 1 Z X J 5 L 1 N v d X J j Z S 5 7 V k 9 M V U 1 F X 0 N B U E F D S V R Z X 1 J B V E l P X 0 5 C U i w 1 f S Z x d W 9 0 O y w m c X V v d D t T Z W N 0 a W 9 u M S 9 P S D F f Q 2 9 u Z 2 V z d G l v b l F 1 Z X J 5 L 1 N v d X J j Z S 5 7 R l V O Q 1 R J T 0 5 B T F 9 D T E F T U 1 9 D R C w 2 f S Z x d W 9 0 O y w m c X V v d D t T Z W N 0 a W 9 u M S 9 P S D F f Q 2 9 u Z 2 V z d G l v b l F 1 Z X J 5 L 1 N v d X J j Z S 5 7 U 0 V D V E l P T l 9 M R U 5 H V E h f T k J S L D d 9 J n F 1 b 3 Q 7 X S w m c X V v d D t S Z W x h d G l v b n N o a X B J b m Z v J n F 1 b 3 Q 7 O l t d f S I g L z 4 8 L 1 N 0 Y W J s Z U V u d H J p Z X M + P C 9 J d G V t P j x J d G V t P j x J d G V t T G 9 j Y X R p b 2 4 + P E l 0 Z W 1 U e X B l P k Z v c m 1 1 b G E 8 L 0 l 0 Z W 1 U e X B l P j x J d G V t U G F 0 a D 5 T Z W N 0 a W 9 u M S 9 P S D F f Q 2 9 u Z 2 V z d G l v b l F 1 Z X J 5 L 3 B h c m F t V G F i b G U 8 L 0 l 0 Z W 1 Q Y X R o P j w v S X R l b U x v Y 2 F 0 a W 9 u P j x T d G F i b G V F b n R y a W V z I C 8 + P C 9 J d G V t P j x J d G V t P j x J d G V t T G 9 j Y X R p b 2 4 + P E l 0 Z W 1 U e X B l P k Z v c m 1 1 b G E 8 L 0 l 0 Z W 1 U e X B l P j x J d G V t U G F 0 a D 5 T Z W N 0 a W 9 u M S 9 P S D F f Q 2 9 u Z 2 V z d G l v b l F 1 Z X J 5 L 0 5 G T E l E P C 9 J d G V t U G F 0 a D 4 8 L 0 l 0 Z W 1 M b 2 N h d G l v b j 4 8 U 3 R h Y m x l R W 5 0 c m l l c y A v P j w v S X R l b T 4 8 S X R l b T 4 8 S X R l b U x v Y 2 F 0 a W 9 u P j x J d G V t V H l w Z T 5 G b 3 J t d W x h P C 9 J d G V t V H l w Z T 4 8 S X R l b V B h d G g + U 2 V j d G l v b j E v T 0 g x X 0 N v b m d l c 3 R p b 2 5 R d W V y e S 9 D V E x f Q k V H S U 5 f T k J S P C 9 J d G V t U G F 0 a D 4 8 L 0 l 0 Z W 1 M b 2 N h d G l v b j 4 8 U 3 R h Y m x l R W 5 0 c m l l c y A v P j w v S X R l b T 4 8 S X R l b T 4 8 S X R l b U x v Y 2 F 0 a W 9 u P j x J d G V t V H l w Z T 5 G b 3 J t d W x h P C 9 J d G V t V H l w Z T 4 8 S X R l b V B h d G g + U 2 V j d G l v b j E v T 0 g x X 0 N v b m d l c 3 R p b 2 5 R d W V y e S 9 D V E x f R U 5 E X 0 5 C U j w v S X R l b V B h d G g + P C 9 J d G V t T G 9 j Y X R p b 2 4 + P F N 0 Y W J s Z U V u d H J p Z X M g L z 4 8 L 0 l 0 Z W 0 + P E l 0 Z W 0 + P E l 0 Z W 1 M b 2 N h d G l v b j 4 8 S X R l b V R 5 c G U + R m 9 y b X V s Y T w v S X R l b V R 5 c G U + P E l 0 Z W 1 Q Y X R o P l N l Y 3 R p b 2 4 x L 0 9 I M V 9 D b 2 5 n Z X N 0 a W 9 u U X V l c n k v Q k V H S U 5 f W V I 8 L 0 l 0 Z W 1 Q Y X R o P j w v S X R l b U x v Y 2 F 0 a W 9 u P j x T d G F i b G V F b n R y a W V z I C 8 + P C 9 J d G V t P j x J d G V t P j x J d G V t T G 9 j Y X R p b 2 4 + P E l 0 Z W 1 U e X B l P k Z v c m 1 1 b G E 8 L 0 l 0 Z W 1 U e X B l P j x J d G V t U G F 0 a D 5 T Z W N 0 a W 9 u M S 9 P S D F f Q 2 9 u Z 2 V z d G l v b l F 1 Z X J 5 L 0 V O R F 9 Z U j w v S X R l b V B h d G g + P C 9 J d G V t T G 9 j Y X R p b 2 4 + P F N 0 Y W J s Z U V u d H J p Z X M g L z 4 8 L 0 l 0 Z W 0 + P E l 0 Z W 0 + P E l 0 Z W 1 M b 2 N h d G l v b j 4 8 S X R l b V R 5 c G U + R m 9 y b X V s Y T w v S X R l b V R 5 c G U + P E l 0 Z W 1 Q Y X R o P l N l Y 3 R p b 2 4 x L 0 9 I M V 9 D b 2 5 n Z X N 0 a W 9 u U X V l c n k v U V V B T E l G R V I 8 L 0 l 0 Z W 1 Q Y X R o P j w v S X R l b U x v Y 2 F 0 a W 9 u P j x T d G F i b G V F b n R y a W V z I C 8 + P C 9 J d G V t P j x J d G V t P j x J d G V t T G 9 j Y X R p b 2 4 + P E l 0 Z W 1 U e X B l P k Z v c m 1 1 b G E 8 L 0 l 0 Z W 1 U e X B l P j x J d G V t U G F 0 a D 5 T Z W N 0 a W 9 u M S 9 P S D F f Q 2 9 u Z 2 V z d G l v b l F 1 Z X J 5 L 1 N v d X J j Z T w v S X R l b V B h d G g + P C 9 J d G V t T G 9 j Y X R p b 2 4 + P F N 0 Y W J s Z U V u d H J p Z X M g L z 4 8 L 0 l 0 Z W 0 + P E l 0 Z W 0 + P E l 0 Z W 1 M b 2 N h d G l v b j 4 8 S X R l b V R 5 c G U + R m 9 y b X V s Y T w v S X R l b V R 5 c G U + P E l 0 Z W 1 Q Y X R o P l N l Y 3 R p b 2 4 x L 0 9 I M V 9 Q T V N R d W V y e 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U Y X J n Z X Q i I F Z h b H V l P S J z T 0 g x X 1 B N U 1 F 1 Z X J 5 I i A v P j x F b n R y e S B U e X B l P S J R d W V y e U l E I i B W Y W x 1 Z T 0 i c z c 1 O D U 3 Z j Y z L W I y M T k t N D M 3 M C 0 5 Z j A 2 L W Q x M D R j Z j k 3 N T A w Y i I g L z 4 8 R W 5 0 c n k g V H l w Z T 0 i R m l s b G V k Q 2 9 t c G x l d G V S Z X N 1 b H R U b 1 d v c m t z a G V l d C I g V m F s d W U 9 I m w x I i A v P j x F b n R y e S B U e X B l P S J G a W x s Q 2 9 1 b n Q i I F Z h b H V l P S J s M C I g L z 4 8 R W 5 0 c n k g V H l w Z T 0 i R m l s b E V y c m 9 y Q 2 9 k Z S I g V m F s d W U 9 I n N V b m t u b 3 d u I i A v P j x F b n R y e S B U e X B l P S J G a W x s R X J y b 3 J D b 3 V u d C I g V m F s d W U 9 I m w w I i A v P j x F b n R y e S B U e X B l P S J G a W x s T G F z d F V w Z G F 0 Z W Q i I F Z h b H V l P S J k M j A y N S 0 w N i 0 z M F Q x M z o 1 M z o 0 M C 4 5 M j M 1 N T Q x W i I g L z 4 8 R W 5 0 c n k g V H l w Z T 0 i R m l s b E N v b H V t b l R 5 c G V z I i B W Y W x 1 Z T 0 i c 0 J n O F B E d 0 l Q R H d Z R 0 J n W U d C Z 1 l H Q m d Z R 0 J n W U d C Z 1 l H Q m d Z R 0 J n P T 0 i I C 8 + P E V u d H J 5 I F R 5 c G U 9 I k Z p b G x D b 2 x 1 b W 5 O Y W 1 l c y I g V m F s d W U 9 I n N b J n F 1 b 3 Q 7 T k x G X 0 l E J n F 1 b 3 Q 7 L C Z x d W 9 0 O 0 x P R 1 B P S U 5 U X 0 N P V U 5 U W V 9 C R U d J T l 9 O Q l I m c X V v d D s s J n F 1 b 3 Q 7 T E 9 H U E 9 J T l R f Q 0 9 V T l R Z X 0 V O R F 9 O Q l I m c X V v d D s s J n F 1 b 3 Q 7 U 0 V H T U V O V F 9 M R U 5 H V E h f T k J S J n F 1 b 3 Q 7 L C Z x d W 9 0 O 1 B D U l 9 O Q l I m c X V v d D s s J n F 1 b 3 Q 7 R E V E V U N U X 1 R P V E F M X 0 5 C U i Z x d W 9 0 O y w m c X V v d D t E R U R V Q 1 R f U 1 R S V U N U V V J B T F 9 O Q l I m c X V v d D s s J n F 1 b 3 Q 7 R E l W S U R F R F 9 V T k R J V k l E R U R f S U 5 E J n F 1 b 3 Q 7 L C Z x d W 9 0 O 0 R J U k V D V E l P T l 9 U W F Q m c X V v d D s s J n F 1 b 3 Q 7 U E F W R U 1 F T l R f V F l Q R V 9 D R C Z x d W 9 0 O y w m c X V v d D t Q Q V Z F T U V O V F 9 U W V B F X 1 R Y V C Z x d W 9 0 O y w m c X V v d D t D T 0 R F X z E m c X V v d D s s J n F 1 b 3 Q 7 Q 0 9 E R V 8 y J n F 1 b 3 Q 7 L C Z x d W 9 0 O 0 N P R E V f M y Z x d W 9 0 O y w m c X V v d D t D T 0 R F X z Q m c X V v d D s s J n F 1 b 3 Q 7 Q 0 9 E R V 8 1 J n F 1 b 3 Q 7 L C Z x d W 9 0 O 0 N P R E V f N i Z x d W 9 0 O y w m c X V v d D t D T 0 R F X z c m c X V v d D s s J n F 1 b 3 Q 7 Q 0 9 E R V 8 4 J n F 1 b 3 Q 7 L C Z x d W 9 0 O 0 N P R E V f O S Z x d W 9 0 O y w m c X V v d D t D T 0 R F X z E w J n F 1 b 3 Q 7 L C Z x d W 9 0 O 0 N P R E V f M T E m c X V v d D s s J n F 1 b 3 Q 7 Q 0 9 E R V 8 x M i Z x d W 9 0 O y w m c X V v d D t D T 0 R F X z E z J n F 1 b 3 Q 7 L C Z x d W 9 0 O 0 N P R E V f M T Q m c X V v d D s s J n F 1 b 3 Q 7 Q 0 9 E R V 8 x N S Z x d W 9 0 O y w m c X V v d D t D T 0 R F X z E 2 J n F 1 b 3 Q 7 L C Z x d W 9 0 O 0 N P R E V f M T c m c X V v d D t d I i A v P j x F b n R y e S B U e X B l P S J G a W x s U 3 R h d H V z I i B W Y W x 1 Z T 0 i c 1 d h a X R p b m d G b 3 J F e G N l b F J l Z n J l c 2 g i I C 8 + P E V u d H J 5 I F R 5 c G U 9 I k F k Z G V k V G 9 E Y X R h T W 9 k Z W w i I F Z h b H V l P S J s M C I g L z 4 8 R W 5 0 c n k g V H l w Z T 0 i U m V s Y X R p b 2 5 z a G l w S W 5 m b 0 N v b n R h a W 5 l c i I g V m F s d W U 9 I n N 7 J n F 1 b 3 Q 7 Y 2 9 s d W 1 u Q 2 9 1 b n Q m c X V v d D s 6 M j g s J n F 1 b 3 Q 7 a 2 V 5 Q 2 9 s d W 1 u T m F t Z X M m c X V v d D s 6 W 1 0 s J n F 1 b 3 Q 7 c X V l c n l S Z W x h d G l v b n N o a X B z J n F 1 b 3 Q 7 O l t d L C Z x d W 9 0 O 2 N v b H V t b k l k Z W 5 0 a X R p Z X M m c X V v d D s 6 W y Z x d W 9 0 O 1 N l Y 3 R p b 2 4 x L 0 9 I M V 9 Q T V N R d W V y e S 9 T b 3 V y Y 2 U u e 0 5 M R l 9 J R C w w f S Z x d W 9 0 O y w m c X V v d D t T Z W N 0 a W 9 u M S 9 P S D F f U E 1 T U X V l c n k v U 2 9 1 c m N l L n t M T 0 d Q T 0 l O V F 9 D T 1 V O V F l f Q k V H S U 5 f T k J S L D F 9 J n F 1 b 3 Q 7 L C Z x d W 9 0 O 1 N l Y 3 R p b 2 4 x L 0 9 I M V 9 Q T V N R d W V y e S 9 T b 3 V y Y 2 U u e 0 x P R 1 B P S U 5 U X 0 N P V U 5 U W V 9 F T k R f T k J S L D J 9 J n F 1 b 3 Q 7 L C Z x d W 9 0 O 1 N l Y 3 R p b 2 4 x L 0 9 I M V 9 Q T V N R d W V y e S 9 T b 3 V y Y 2 U u e 1 N F R 0 1 F T l R f T E V O R 1 R I X 0 5 C U i w z f S Z x d W 9 0 O y w m c X V v d D t T Z W N 0 a W 9 u M S 9 P S D F f U E 1 T U X V l c n k v U 2 9 1 c m N l L n t Q Q 1 J f T k J S L D R 9 J n F 1 b 3 Q 7 L C Z x d W 9 0 O 1 N l Y 3 R p b 2 4 x L 0 9 I M V 9 Q T V N R d W V y e S 9 T b 3 V y Y 2 U u e 0 R F R F V D V F 9 U T 1 R B T F 9 O Q l I s N X 0 m c X V v d D s s J n F 1 b 3 Q 7 U 2 V j d G l v b j E v T 0 g x X 1 B N U 1 F 1 Z X J 5 L 1 N v d X J j Z S 5 7 R E V E V U N U X 1 N U U l V D V F V S Q U x f T k J S L D Z 9 J n F 1 b 3 Q 7 L C Z x d W 9 0 O 1 N l Y 3 R p b 2 4 x L 0 9 I M V 9 Q T V N R d W V y e S 9 T b 3 V y Y 2 U u e 0 R J V k l E R U R f V U 5 E S V Z J R E V E X 0 l O R C w 3 f S Z x d W 9 0 O y w m c X V v d D t T Z W N 0 a W 9 u M S 9 P S D F f U E 1 T U X V l c n k v U 2 9 1 c m N l L n t E S V J F Q 1 R J T 0 5 f V F h U L D h 9 J n F 1 b 3 Q 7 L C Z x d W 9 0 O 1 N l Y 3 R p b 2 4 x L 0 9 I M V 9 Q T V N R d W V y e S 9 T b 3 V y Y 2 U u e 1 B B V k V N R U 5 U X 1 R Z U E V f Q 0 Q s O X 0 m c X V v d D s s J n F 1 b 3 Q 7 U 2 V j d G l v b j E v T 0 g x X 1 B N U 1 F 1 Z X J 5 L 1 N v d X J j Z S 5 7 U E F W R U 1 F T l R f V F l Q R V 9 U W F Q s M T B 9 J n F 1 b 3 Q 7 L C Z x d W 9 0 O 1 N l Y 3 R p b 2 4 x L 0 9 I M V 9 Q T V N R d W V y e S 9 T b 3 V y Y 2 U u e 0 N P R E V f M S w x M X 0 m c X V v d D s s J n F 1 b 3 Q 7 U 2 V j d G l v b j E v T 0 g x X 1 B N U 1 F 1 Z X J 5 L 1 N v d X J j Z S 5 7 Q 0 9 E R V 8 y L D E y f S Z x d W 9 0 O y w m c X V v d D t T Z W N 0 a W 9 u M S 9 P S D F f U E 1 T U X V l c n k v U 2 9 1 c m N l L n t D T 0 R F X z M s M T N 9 J n F 1 b 3 Q 7 L C Z x d W 9 0 O 1 N l Y 3 R p b 2 4 x L 0 9 I M V 9 Q T V N R d W V y e S 9 T b 3 V y Y 2 U u e 0 N P R E V f N C w x N H 0 m c X V v d D s s J n F 1 b 3 Q 7 U 2 V j d G l v b j E v T 0 g x X 1 B N U 1 F 1 Z X J 5 L 1 N v d X J j Z S 5 7 Q 0 9 E R V 8 1 L D E 1 f S Z x d W 9 0 O y w m c X V v d D t T Z W N 0 a W 9 u M S 9 P S D F f U E 1 T U X V l c n k v U 2 9 1 c m N l L n t D T 0 R F X z Y s M T Z 9 J n F 1 b 3 Q 7 L C Z x d W 9 0 O 1 N l Y 3 R p b 2 4 x L 0 9 I M V 9 Q T V N R d W V y e S 9 T b 3 V y Y 2 U u e 0 N P R E V f N y w x N 3 0 m c X V v d D s s J n F 1 b 3 Q 7 U 2 V j d G l v b j E v T 0 g x X 1 B N U 1 F 1 Z X J 5 L 1 N v d X J j Z S 5 7 Q 0 9 E R V 8 4 L D E 4 f S Z x d W 9 0 O y w m c X V v d D t T Z W N 0 a W 9 u M S 9 P S D F f U E 1 T U X V l c n k v U 2 9 1 c m N l L n t D T 0 R F X z k s M T l 9 J n F 1 b 3 Q 7 L C Z x d W 9 0 O 1 N l Y 3 R p b 2 4 x L 0 9 I M V 9 Q T V N R d W V y e S 9 T b 3 V y Y 2 U u e 0 N P R E V f M T A s M j B 9 J n F 1 b 3 Q 7 L C Z x d W 9 0 O 1 N l Y 3 R p b 2 4 x L 0 9 I M V 9 Q T V N R d W V y e S 9 T b 3 V y Y 2 U u e 0 N P R E V f M T E s M j F 9 J n F 1 b 3 Q 7 L C Z x d W 9 0 O 1 N l Y 3 R p b 2 4 x L 0 9 I M V 9 Q T V N R d W V y e S 9 T b 3 V y Y 2 U u e 0 N P R E V f M T I s M j J 9 J n F 1 b 3 Q 7 L C Z x d W 9 0 O 1 N l Y 3 R p b 2 4 x L 0 9 I M V 9 Q T V N R d W V y e S 9 T b 3 V y Y 2 U u e 0 N P R E V f M T M s M j N 9 J n F 1 b 3 Q 7 L C Z x d W 9 0 O 1 N l Y 3 R p b 2 4 x L 0 9 I M V 9 Q T V N R d W V y e S 9 T b 3 V y Y 2 U u e 0 N P R E V f M T Q s M j R 9 J n F 1 b 3 Q 7 L C Z x d W 9 0 O 1 N l Y 3 R p b 2 4 x L 0 9 I M V 9 Q T V N R d W V y e S 9 T b 3 V y Y 2 U u e 0 N P R E V f M T U s M j V 9 J n F 1 b 3 Q 7 L C Z x d W 9 0 O 1 N l Y 3 R p b 2 4 x L 0 9 I M V 9 Q T V N R d W V y e S 9 T b 3 V y Y 2 U u e 0 N P R E V f M T Y s M j Z 9 J n F 1 b 3 Q 7 L C Z x d W 9 0 O 1 N l Y 3 R p b 2 4 x L 0 9 I M V 9 Q T V N R d W V y e S 9 T b 3 V y Y 2 U u e 0 N P R E V f M T c s M j d 9 J n F 1 b 3 Q 7 X S w m c X V v d D t D b 2 x 1 b W 5 D b 3 V u d C Z x d W 9 0 O z o y O C w m c X V v d D t L Z X l D b 2 x 1 b W 5 O Y W 1 l c y Z x d W 9 0 O z p b X S w m c X V v d D t D b 2 x 1 b W 5 J Z G V u d G l 0 a W V z J n F 1 b 3 Q 7 O l s m c X V v d D t T Z W N 0 a W 9 u M S 9 P S D F f U E 1 T U X V l c n k v U 2 9 1 c m N l L n t O T E Z f S U Q s M H 0 m c X V v d D s s J n F 1 b 3 Q 7 U 2 V j d G l v b j E v T 0 g x X 1 B N U 1 F 1 Z X J 5 L 1 N v d X J j Z S 5 7 T E 9 H U E 9 J T l R f Q 0 9 V T l R Z X 0 J F R 0 l O X 0 5 C U i w x f S Z x d W 9 0 O y w m c X V v d D t T Z W N 0 a W 9 u M S 9 P S D F f U E 1 T U X V l c n k v U 2 9 1 c m N l L n t M T 0 d Q T 0 l O V F 9 D T 1 V O V F l f R U 5 E X 0 5 C U i w y f S Z x d W 9 0 O y w m c X V v d D t T Z W N 0 a W 9 u M S 9 P S D F f U E 1 T U X V l c n k v U 2 9 1 c m N l L n t T R U d N R U 5 U X 0 x F T k d U S F 9 O Q l I s M 3 0 m c X V v d D s s J n F 1 b 3 Q 7 U 2 V j d G l v b j E v T 0 g x X 1 B N U 1 F 1 Z X J 5 L 1 N v d X J j Z S 5 7 U E N S X 0 5 C U i w 0 f S Z x d W 9 0 O y w m c X V v d D t T Z W N 0 a W 9 u M S 9 P S D F f U E 1 T U X V l c n k v U 2 9 1 c m N l L n t E R U R V Q 1 R f V E 9 U Q U x f T k J S L D V 9 J n F 1 b 3 Q 7 L C Z x d W 9 0 O 1 N l Y 3 R p b 2 4 x L 0 9 I M V 9 Q T V N R d W V y e S 9 T b 3 V y Y 2 U u e 0 R F R F V D V F 9 T V F J V Q 1 R V U k F M X 0 5 C U i w 2 f S Z x d W 9 0 O y w m c X V v d D t T Z W N 0 a W 9 u M S 9 P S D F f U E 1 T U X V l c n k v U 2 9 1 c m N l L n t E S V Z J R E V E X 1 V O R E l W S U R F R F 9 J T k Q s N 3 0 m c X V v d D s s J n F 1 b 3 Q 7 U 2 V j d G l v b j E v T 0 g x X 1 B N U 1 F 1 Z X J 5 L 1 N v d X J j Z S 5 7 R E l S R U N U S U 9 O X 1 R Y V C w 4 f S Z x d W 9 0 O y w m c X V v d D t T Z W N 0 a W 9 u M S 9 P S D F f U E 1 T U X V l c n k v U 2 9 1 c m N l L n t Q Q V Z F T U V O V F 9 U W V B F X 0 N E L D l 9 J n F 1 b 3 Q 7 L C Z x d W 9 0 O 1 N l Y 3 R p b 2 4 x L 0 9 I M V 9 Q T V N R d W V y e S 9 T b 3 V y Y 2 U u e 1 B B V k V N R U 5 U X 1 R Z U E V f V F h U L D E w f S Z x d W 9 0 O y w m c X V v d D t T Z W N 0 a W 9 u M S 9 P S D F f U E 1 T U X V l c n k v U 2 9 1 c m N l L n t D T 0 R F X z E s M T F 9 J n F 1 b 3 Q 7 L C Z x d W 9 0 O 1 N l Y 3 R p b 2 4 x L 0 9 I M V 9 Q T V N R d W V y e S 9 T b 3 V y Y 2 U u e 0 N P R E V f M i w x M n 0 m c X V v d D s s J n F 1 b 3 Q 7 U 2 V j d G l v b j E v T 0 g x X 1 B N U 1 F 1 Z X J 5 L 1 N v d X J j Z S 5 7 Q 0 9 E R V 8 z L D E z f S Z x d W 9 0 O y w m c X V v d D t T Z W N 0 a W 9 u M S 9 P S D F f U E 1 T U X V l c n k v U 2 9 1 c m N l L n t D T 0 R F X z Q s M T R 9 J n F 1 b 3 Q 7 L C Z x d W 9 0 O 1 N l Y 3 R p b 2 4 x L 0 9 I M V 9 Q T V N R d W V y e S 9 T b 3 V y Y 2 U u e 0 N P R E V f N S w x N X 0 m c X V v d D s s J n F 1 b 3 Q 7 U 2 V j d G l v b j E v T 0 g x X 1 B N U 1 F 1 Z X J 5 L 1 N v d X J j Z S 5 7 Q 0 9 E R V 8 2 L D E 2 f S Z x d W 9 0 O y w m c X V v d D t T Z W N 0 a W 9 u M S 9 P S D F f U E 1 T U X V l c n k v U 2 9 1 c m N l L n t D T 0 R F X z c s M T d 9 J n F 1 b 3 Q 7 L C Z x d W 9 0 O 1 N l Y 3 R p b 2 4 x L 0 9 I M V 9 Q T V N R d W V y e S 9 T b 3 V y Y 2 U u e 0 N P R E V f O C w x O H 0 m c X V v d D s s J n F 1 b 3 Q 7 U 2 V j d G l v b j E v T 0 g x X 1 B N U 1 F 1 Z X J 5 L 1 N v d X J j Z S 5 7 Q 0 9 E R V 8 5 L D E 5 f S Z x d W 9 0 O y w m c X V v d D t T Z W N 0 a W 9 u M S 9 P S D F f U E 1 T U X V l c n k v U 2 9 1 c m N l L n t D T 0 R F X z E w L D I w f S Z x d W 9 0 O y w m c X V v d D t T Z W N 0 a W 9 u M S 9 P S D F f U E 1 T U X V l c n k v U 2 9 1 c m N l L n t D T 0 R F X z E x L D I x f S Z x d W 9 0 O y w m c X V v d D t T Z W N 0 a W 9 u M S 9 P S D F f U E 1 T U X V l c n k v U 2 9 1 c m N l L n t D T 0 R F X z E y L D I y f S Z x d W 9 0 O y w m c X V v d D t T Z W N 0 a W 9 u M S 9 P S D F f U E 1 T U X V l c n k v U 2 9 1 c m N l L n t D T 0 R F X z E z L D I z f S Z x d W 9 0 O y w m c X V v d D t T Z W N 0 a W 9 u M S 9 P S D F f U E 1 T U X V l c n k v U 2 9 1 c m N l L n t D T 0 R F X z E 0 L D I 0 f S Z x d W 9 0 O y w m c X V v d D t T Z W N 0 a W 9 u M S 9 P S D F f U E 1 T U X V l c n k v U 2 9 1 c m N l L n t D T 0 R F X z E 1 L D I 1 f S Z x d W 9 0 O y w m c X V v d D t T Z W N 0 a W 9 u M S 9 P S D F f U E 1 T U X V l c n k v U 2 9 1 c m N l L n t D T 0 R F X z E 2 L D I 2 f S Z x d W 9 0 O y w m c X V v d D t T Z W N 0 a W 9 u M S 9 P S D F f U E 1 T U X V l c n k v U 2 9 1 c m N l L n t D T 0 R F X z E 3 L D I 3 f S Z x d W 9 0 O 1 0 s J n F 1 b 3 Q 7 U m V s Y X R p b 2 5 z a G l w S W 5 m b y Z x d W 9 0 O z p b X X 0 i I C 8 + P C 9 T d G F i b G V F b n R y a W V z P j w v S X R l b T 4 8 S X R l b T 4 8 S X R l b U x v Y 2 F 0 a W 9 u P j x J d G V t V H l w Z T 5 G b 3 J t d W x h P C 9 J d G V t V H l w Z T 4 8 S X R l b V B h d G g + U 2 V j d G l v b j E v T 0 g x X 1 B N U 1 F 1 Z X J 5 L 3 B h c m F t V G F i b G U 8 L 0 l 0 Z W 1 Q Y X R o P j w v S X R l b U x v Y 2 F 0 a W 9 u P j x T d G F i b G V F b n R y a W V z I C 8 + P C 9 J d G V t P j x J d G V t P j x J d G V t T G 9 j Y X R p b 2 4 + P E l 0 Z W 1 U e X B l P k Z v c m 1 1 b G E 8 L 0 l 0 Z W 1 U e X B l P j x J d G V t U G F 0 a D 5 T Z W N 0 a W 9 u M S 9 P S D F f U E 1 T U X V l c n k v T k Z M S U Q 8 L 0 l 0 Z W 1 Q Y X R o P j w v S X R l b U x v Y 2 F 0 a W 9 u P j x T d G F i b G V F b n R y a W V z I C 8 + P C 9 J d G V t P j x J d G V t P j x J d G V t T G 9 j Y X R p b 2 4 + P E l 0 Z W 1 U e X B l P k Z v c m 1 1 b G E 8 L 0 l 0 Z W 1 U e X B l P j x J d G V t U G F 0 a D 5 T Z W N 0 a W 9 u M S 9 P S D F f U E 1 T U X V l c n k v Q 1 R M X 0 J F R 0 l O X 0 5 C U j w v S X R l b V B h d G g + P C 9 J d G V t T G 9 j Y X R p b 2 4 + P F N 0 Y W J s Z U V u d H J p Z X M g L z 4 8 L 0 l 0 Z W 0 + P E l 0 Z W 0 + P E l 0 Z W 1 M b 2 N h d G l v b j 4 8 S X R l b V R 5 c G U + R m 9 y b X V s Y T w v S X R l b V R 5 c G U + P E l 0 Z W 1 Q Y X R o P l N l Y 3 R p b 2 4 x L 0 9 I M V 9 Q T V N R d W V y e S 9 D V E x f R U 5 E X 0 5 C U j w v S X R l b V B h d G g + P C 9 J d G V t T G 9 j Y X R p b 2 4 + P F N 0 Y W J s Z U V u d H J p Z X M g L z 4 8 L 0 l 0 Z W 0 + P E l 0 Z W 0 + P E l 0 Z W 1 M b 2 N h d G l v b j 4 8 S X R l b V R 5 c G U + R m 9 y b X V s Y T w v S X R l b V R 5 c G U + P E l 0 Z W 1 Q Y X R o P l N l Y 3 R p b 2 4 x L 0 9 I M V 9 Q T V N R d W V y e S 9 C R U d J T l 9 Z U j w v S X R l b V B h d G g + P C 9 J d G V t T G 9 j Y X R p b 2 4 + P F N 0 Y W J s Z U V u d H J p Z X M g L z 4 8 L 0 l 0 Z W 0 + P E l 0 Z W 0 + P E l 0 Z W 1 M b 2 N h d G l v b j 4 8 S X R l b V R 5 c G U + R m 9 y b X V s Y T w v S X R l b V R 5 c G U + P E l 0 Z W 1 Q Y X R o P l N l Y 3 R p b 2 4 x L 0 9 I M V 9 Q T V N R d W V y e S 9 F T k R f W V I 8 L 0 l 0 Z W 1 Q Y X R o P j w v S X R l b U x v Y 2 F 0 a W 9 u P j x T d G F i b G V F b n R y a W V z I C 8 + P C 9 J d G V t P j x J d G V t P j x J d G V t T G 9 j Y X R p b 2 4 + P E l 0 Z W 1 U e X B l P k Z v c m 1 1 b G E 8 L 0 l 0 Z W 1 U e X B l P j x J d G V t U G F 0 a D 5 T Z W N 0 a W 9 u M S 9 P S D F f U E 1 T U X V l c n k v U V V B T E l G R V I 8 L 0 l 0 Z W 1 Q Y X R o P j w v S X R l b U x v Y 2 F 0 a W 9 u P j x T d G F i b G V F b n R y a W V z I C 8 + P C 9 J d G V t P j x J d G V t P j x J d G V t T G 9 j Y X R p b 2 4 + P E l 0 Z W 1 U e X B l P k Z v c m 1 1 b G E 8 L 0 l 0 Z W 1 U e X B l P j x J d G V t U G F 0 a D 5 T Z W N 0 a W 9 u M S 9 P S D F f U E 1 T U X V l c n k v U 2 9 1 c m N l P C 9 J d G V t U G F 0 a D 4 8 L 0 l 0 Z W 1 M b 2 N h d G l v b j 4 8 U 3 R h Y m x l R W 5 0 c m l l c y A v P j w v S X R l b T 4 8 S X R l b T 4 8 S X R l b U x v Y 2 F 0 a W 9 u P j x J d G V t V H l w Z T 5 G b 3 J t d W x h P C 9 J d G V t V H l w Z T 4 8 S X R l b V B h d G g + U 2 V j d G l v b j E v T 0 g x X 1 B y b 2 p l Y 3 R R d W V y e 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U Y X J n Z X Q i I F Z h b H V l P S J z T 0 g x X 1 B y b 2 p l Y 3 R R d W V y e S I g L z 4 8 R W 5 0 c n k g V H l w Z T 0 i U X V l c n l J R C I g V m F s d W U 9 I n N i Y j U 0 O T I 2 Y y 0 0 O T I 0 L T Q w N G I t O D A 5 N i 0 2 Z D c 2 M m N h Y T l j Y T U i I C 8 + P E V u d H J 5 I F R 5 c G U 9 I k Z p b G x l Z E N v b X B s Z X R l U m V z d W x 0 V G 9 X b 3 J r c 2 h l Z X Q i I F Z h b H V l P S J s M S I g L z 4 8 R W 5 0 c n k g V H l w Z T 0 i R m l s b E N v d W 5 0 I i B W Y W x 1 Z T 0 i b D A i I C 8 + P E V u d H J 5 I F R 5 c G U 9 I k Z p b G x F c n J v c k N v Z G U i I F Z h b H V l P S J z V W 5 r b m 9 3 b i I g L z 4 8 R W 5 0 c n k g V H l w Z T 0 i R m l s b E V y c m 9 y Q 2 9 1 b n Q i I F Z h b H V l P S J s M C I g L z 4 8 R W 5 0 c n k g V H l w Z T 0 i R m l s b E x h c 3 R V c G R h d G V k I i B W Y W x 1 Z T 0 i Z D I w M j U t M D Y t M z B U M T M 6 N T M 6 N D A u N j U 0 N T k x N l o i I C 8 + P E V u d H J 5 I F R 5 c G U 9 I k Z p b G x D b 2 x 1 b W 5 U e X B l c y I g V m F s d W U 9 I n N C Z z h Q Q m d Z Q 0 F n W U d C Z 1 l H Q m d Z R 0 J n W U d C Z 1 l Q R H c 4 U E R 3 W U h C d 2 N I Q n c 4 U E R 3 O F B E d z h Q R H d J R 0 J n W U d C Z 1 l H Q m d Z Q 0 R 3 W U d C Z 1 l H Q m d Z R 0 J n W U d C Z 1 l D I i A v P j x F b n R y e S B U e X B l P S J G a W x s Q 2 9 s d W 1 u T m F t Z X M i I F Z h b H V l P S J z W y Z x d W 9 0 O 0 5 M R l 9 J R C Z x d W 9 0 O y w m c X V v d D t M T 0 d Q T 0 l O V F 9 D T 1 V O V F l f Q k V H S U 5 f T k J S J n F 1 b 3 Q 7 L C Z x d W 9 0 O 0 x P R 1 B P S U 5 U X 0 N P V U 5 U W V 9 F T k R f T k J S J n F 1 b 3 Q 7 L C Z x d W 9 0 O 0 x P Q 0 F U S U 9 O X 1 R Z U E U m c X V v d D s s J n F 1 b 3 Q 7 U F J J T U F S W V 9 M T 0 N B V E l P T l 9 J T k Q m c X V v d D s s J n F 1 b 3 Q 7 U E l E X 0 5 C U i Z x d W 9 0 O y w m c X V v d D t E S V N U U k l D V F 9 O Q l I m c X V v d D s s J n F 1 b 3 Q 7 T E 9 D Q U x F X 1 N I T 1 J U X 0 5 N R S Z x d W 9 0 O y w m c X V v d D t Q U k 9 K R U N U X 0 5 N R S Z x d W 9 0 O y w m c X V v d D t Q U k 9 K X 1 N U Q V R V U 1 9 U W F Q m c X V v d D s s J n F 1 b 3 Q 7 U F J P S l 9 M R V R U S U 5 H X 1 R Z U E U m c X V v d D s s J n F 1 b 3 Q 7 U F J J T U F S W V 9 X T 1 J L X 0 N B V E V H T 1 J Z J n F 1 b 3 Q 7 L C Z x d W 9 0 O 1 R S Q U N f V E l F U l 9 T S E 9 S V F 9 O T U U m c X V v d D s s J n F 1 b 3 Q 7 U F J P R 1 J B T V 9 G Q U 1 J T F l f U 0 h P U l R f T k 1 F J n F 1 b 3 Q 7 L C Z x d W 9 0 O 1 B S T 0 p F Q 1 R f T U d S X 0 5 N R S Z x d W 9 0 O y w m c X V v d D t B U l J B X 1 B S T 0 p F Q 1 R f S U 5 E J n F 1 b 3 Q 7 L C Z x d W 9 0 O 0 1 Q T 1 9 T V E l N V U x V U 1 9 B T E x P Q y Z x d W 9 0 O y w m c X V v d D t P R E 9 U X 1 N U S U 1 V T F V T X 1 B S T 0 o m c X V v d D s s J n F 1 b 3 Q 7 U l V S Q U x f V F J B T l N J V F 9 T V E l N V U x V U 1 9 Q U k 9 K J n F 1 b 3 Q 7 L C Z x d W 9 0 O 1 V S Q k F O X 1 R S Q U 5 T S V R f U 1 R J T V V M V V N f U F J P S i Z x d W 9 0 O y w m c X V v d D t B V 0 F S R F 9 B T V Q m c X V v d D s s J n F 1 b 3 Q 7 Q 0 9 N T U l U V E V E X 0 V T V F 9 B T V Q m c X V v d D s s J n F 1 b 3 Q 7 V U 5 D T 0 1 N S V R U R U R f R V N U X 0 F N V C Z x d W 9 0 O y w m c X V v d D t U T 1 R B T F 9 F U 1 R f Q U 1 U J n F 1 b 3 Q 7 L C Z x d W 9 0 O 1 R P V E F M X 0 F X Q V J E X 0 V T V F 9 B T V Q m c X V v d D s s J n F 1 b 3 Q 7 Q 0 9 N T U l U V E V E X 0 l O R C Z x d W 9 0 O y w m c X V v d D t B Q 1 R f Q 1 V S X 0 F X Q V J E X 0 R U J n F 1 b 3 Q 7 L C Z x d W 9 0 O 1 B S T 0 p f U 1 R B U l R f Q U N U V U F M X 0 R U J n F 1 b 3 Q 7 L C Z x d W 9 0 O 1 B S T 0 p f U 1 R B U l R f R V N U X 0 R U J n F 1 b 3 Q 7 L C Z x d W 9 0 O 1 B S T 0 p f Q 0 9 N U E x f Q U N U V U F M X 0 R U J n F 1 b 3 Q 7 L C Z x d W 9 0 O 1 B S T 0 p f Q 0 9 N U E x f R V N U X 0 R U J n F 1 b 3 Q 7 L C Z x d W 9 0 O 0 x B V E l U V U R F X 0 J F R 0 l O X 0 5 C U i Z x d W 9 0 O y w m c X V v d D t M T 0 d Q T 0 l O V F 9 D T 1 V O V F l f R U 5 E X 0 5 C U j I m c X V v d D s s J n F 1 b 3 Q 7 T E 9 O R 0 l U V U R F X 0 V O R F 9 O Q l I m c X V v d D s s J n F 1 b 3 Q 7 T E F U S V R V R E V f R U 5 E X 0 5 C U i Z x d W 9 0 O y w m c X V v d D t B Q 1 R V Q U x f U F J J T 1 J J V F l f T U l M R V M m c X V v d D s s J n F 1 b 3 Q 7 Q U N U V U F M X 1 V S Q k F O X 0 1 J T E V T J n F 1 b 3 Q 7 L C Z x d W 9 0 O 0 F D V F V B T F 9 H R U 5 F U k F M X 0 1 J T E V T J n F 1 b 3 Q 7 L C Z x d W 9 0 O 1 R P V E F M X 0 x B T k V f T U l M R V M m c X V v d D s s J n F 1 b 3 Q 7 U 0 x N X 0 1 J T E V T J n F 1 b 3 Q 7 L C Z x d W 9 0 O 0 l N U F J P V k V E X 1 B D U i Z x d W 9 0 O y w m c X V v d D t Q V k 1 O V F 9 U U l R N T l R f Q 0 F U X 0 x P T k d f T k 1 F J n F 1 b 3 Q 7 L C Z x d W 9 0 O 1 N U U l V D V F V S R V 9 G S U x F X 0 5 C U i Z x d W 9 0 O y w m c X V v d D t C U k d f U 1 R B V F 9 E R V N D J n F 1 b 3 Q 7 L C Z x d W 9 0 O 0 1 B S k 9 S X 0 J S R 1 9 T V y Z x d W 9 0 O y w m c X V v d D t N Q U l O V F 9 S R V N Q X 0 R F U 0 M m c X V v d D s s J n F 1 b 3 Q 7 T U F J T l 9 T V F J V Q 1 9 U W V B F J n F 1 b 3 Q 7 L C Z x d W 9 0 O 0 1 B S U 5 f U 1 B B T l 9 N Q V R M X 0 R F U 0 M m c X V v d D s s J n F 1 b 3 Q 7 T U F J T l 9 T U E F O X 1 R Z U E V f R E V T Q y Z x d W 9 0 O y w m c X V v d D t N Q U l O X 1 N Q Q U 5 f R E V T Q y Z x d W 9 0 O y w m c X V v d D t E R U N L X 0 F S R U E m c X V v d D s s J n F 1 b 3 Q 7 T 1 Z S T F 9 T V F J f T E V O J n F 1 b 3 Q 7 L C Z x d W 9 0 O 1 N V R k Z f U k F U S U 5 H J n F 1 b 3 Q 7 L C Z x d W 9 0 O 0 R F R l 9 G V U 5 D X 1 J B V E l O R 1 9 E R V N D J n F 1 b 3 Q 7 L C Z x d W 9 0 O 0 J S R 1 9 E R U Z f Q 0 R f S U 5 E J n F 1 b 3 Q 7 L C Z x d W 9 0 O 0 d F T k V S Q U x f Q V B Q U k F J U 0 F M X 0 l O R C Z x d W 9 0 O y w m c X V v d D t G T E 9 P U l 9 D T 0 5 E S V R J T 0 5 f S U 5 E J n F 1 b 3 Q 7 L C Z x d W 9 0 O 1 d F Q V J J T k d f U 1 V S R k F D R V 9 J T k Q m c X V v d D s s J n F 1 b 3 Q 7 U E F J T l R f S U 5 E J n F 1 b 3 Q 7 L C Z x d W 9 0 O 0 d F T k V S Q U x f Q V B Q U k F J U 0 F M X 1 J B V E l O R y Z x d W 9 0 O y w m c X V v d D t G T E 9 P U l 9 D T 0 5 E S V R J T 0 5 f U k F U S U 5 H J n F 1 b 3 Q 7 L C Z x d W 9 0 O 1 d F Q V J J T k d f U 1 V S R k F D R V 9 S Q V R J T k c m c X V v d D s s J n F 1 b 3 Q 7 U E F J T l R f Q 0 9 O R E l U S U 9 O X 1 J B V E l O R y Z x d W 9 0 O y w m c X V v d D t T U E 9 U X 0 x P Q 0 F U S U 9 O X 1 R Z U E U m c X V v d D s s J n F 1 b 3 Q 7 U 1 B P V F 9 M T 0 N B V E l P T l 9 E R V N D J n F 1 b 3 Q 7 L C Z x d W 9 0 O 0 F X Q V J E X 0 V O Q 1 9 S R V F f U 0 Z Z J n F 1 b 3 Q 7 X S I g L z 4 8 R W 5 0 c n k g V H l w Z T 0 i R m l s b F N 0 Y X R 1 c y I g V m F s d W U 9 I n N X Y W l 0 a W 5 n R m 9 y R X h j Z W x S Z W Z y Z X N o I i A v P j x F b n R y e S B U e X B l P S J B Z G R l Z F R v R G F 0 Y U 1 v Z G V s I i B W Y W x 1 Z T 0 i b D A i I C 8 + P E V u d H J 5 I F R 5 c G U 9 I l J l b G F 0 a W 9 u c 2 h p c E l u Z m 9 D b 2 5 0 Y W l u Z X I i I F Z h b H V l P S J z e y Z x d W 9 0 O 2 N v b H V t b k N v d W 5 0 J n F 1 b 3 Q 7 O j Y 2 L C Z x d W 9 0 O 2 t l e U N v b H V t b k 5 h b W V z J n F 1 b 3 Q 7 O l t d L C Z x d W 9 0 O 3 F 1 Z X J 5 U m V s Y X R p b 2 5 z a G l w c y Z x d W 9 0 O z p b X S w m c X V v d D t j b 2 x 1 b W 5 J Z G V u d G l 0 a W V z J n F 1 b 3 Q 7 O l s m c X V v d D t T Z W N 0 a W 9 u M S 9 P S D F f U H J v a m V j d F F 1 Z X J 5 L 1 N v d X J j Z S 5 7 T k x G X 0 l E L D B 9 J n F 1 b 3 Q 7 L C Z x d W 9 0 O 1 N l Y 3 R p b 2 4 x L 0 9 I M V 9 Q c m 9 q Z W N 0 U X V l c n k v U 2 9 1 c m N l L n t M T 0 d Q T 0 l O V F 9 D T 1 V O V F l f Q k V H S U 5 f T k J S L D F 9 J n F 1 b 3 Q 7 L C Z x d W 9 0 O 1 N l Y 3 R p b 2 4 x L 0 9 I M V 9 Q c m 9 q Z W N 0 U X V l c n k v U 2 9 1 c m N l L n t M T 0 d Q T 0 l O V F 9 D T 1 V O V F l f R U 5 E X 0 5 C U i w y f S Z x d W 9 0 O y w m c X V v d D t T Z W N 0 a W 9 u M S 9 P S D F f U H J v a m V j d F F 1 Z X J 5 L 1 N v d X J j Z S 5 7 T E 9 D Q V R J T 0 5 f V F l Q R S w z f S Z x d W 9 0 O y w m c X V v d D t T Z W N 0 a W 9 u M S 9 P S D F f U H J v a m V j d F F 1 Z X J 5 L 1 N v d X J j Z S 5 7 U F J J T U F S W V 9 M T 0 N B V E l P T l 9 J T k Q s N H 0 m c X V v d D s s J n F 1 b 3 Q 7 U 2 V j d G l v b j E v T 0 g x X 1 B y b 2 p l Y 3 R R d W V y e S 9 T b 3 V y Y 2 U u e 1 B J R F 9 O Q l I s N X 0 m c X V v d D s s J n F 1 b 3 Q 7 U 2 V j d G l v b j E v T 0 g x X 1 B y b 2 p l Y 3 R R d W V y e S 9 T b 3 V y Y 2 U u e 0 R J U 1 R S S U N U X 0 5 C U i w 2 f S Z x d W 9 0 O y w m c X V v d D t T Z W N 0 a W 9 u M S 9 P S D F f U H J v a m V j d F F 1 Z X J 5 L 1 N v d X J j Z S 5 7 T E 9 D Q U x F X 1 N I T 1 J U X 0 5 N R S w 3 f S Z x d W 9 0 O y w m c X V v d D t T Z W N 0 a W 9 u M S 9 P S D F f U H J v a m V j d F F 1 Z X J 5 L 1 N v d X J j Z S 5 7 U F J P S k V D V F 9 O T U U s O H 0 m c X V v d D s s J n F 1 b 3 Q 7 U 2 V j d G l v b j E v T 0 g x X 1 B y b 2 p l Y 3 R R d W V y e S 9 T b 3 V y Y 2 U u e 1 B S T 0 p f U 1 R B V F V T X 1 R Y V C w 5 f S Z x d W 9 0 O y w m c X V v d D t T Z W N 0 a W 9 u M S 9 P S D F f U H J v a m V j d F F 1 Z X J 5 L 1 N v d X J j Z S 5 7 U F J P S l 9 M R V R U S U 5 H X 1 R Z U E U s M T B 9 J n F 1 b 3 Q 7 L C Z x d W 9 0 O 1 N l Y 3 R p b 2 4 x L 0 9 I M V 9 Q c m 9 q Z W N 0 U X V l c n k v U 2 9 1 c m N l L n t Q U k l N Q V J Z X 1 d P U k t f Q 0 F U R U d P U l k s M T F 9 J n F 1 b 3 Q 7 L C Z x d W 9 0 O 1 N l Y 3 R p b 2 4 x L 0 9 I M V 9 Q c m 9 q Z W N 0 U X V l c n k v U 2 9 1 c m N l L n t U U k F D X 1 R J R V J f U 0 h P U l R f T k 1 F L D E y f S Z x d W 9 0 O y w m c X V v d D t T Z W N 0 a W 9 u M S 9 P S D F f U H J v a m V j d F F 1 Z X J 5 L 1 N v d X J j Z S 5 7 U F J P R 1 J B T V 9 G Q U 1 J T F l f U 0 h P U l R f T k 1 F L D E z f S Z x d W 9 0 O y w m c X V v d D t T Z W N 0 a W 9 u M S 9 P S D F f U H J v a m V j d F F 1 Z X J 5 L 1 N v d X J j Z S 5 7 U F J P S k V D V F 9 N R 1 J f T k 1 F L D E 0 f S Z x d W 9 0 O y w m c X V v d D t T Z W N 0 a W 9 u M S 9 P S D F f U H J v a m V j d F F 1 Z X J 5 L 1 N v d X J j Z S 5 7 Q V J S Q V 9 Q U k 9 K R U N U X 0 l O R C w x N X 0 m c X V v d D s s J n F 1 b 3 Q 7 U 2 V j d G l v b j E v T 0 g x X 1 B y b 2 p l Y 3 R R d W V y e S 9 T b 3 V y Y 2 U u e 0 1 Q T 1 9 T V E l N V U x V U 1 9 B T E x P Q y w x N n 0 m c X V v d D s s J n F 1 b 3 Q 7 U 2 V j d G l v b j E v T 0 g x X 1 B y b 2 p l Y 3 R R d W V y e S 9 T b 3 V y Y 2 U u e 0 9 E T 1 R f U 1 R J T V V M V V N f U F J P S i w x N 3 0 m c X V v d D s s J n F 1 b 3 Q 7 U 2 V j d G l v b j E v T 0 g x X 1 B y b 2 p l Y 3 R R d W V y e S 9 T b 3 V y Y 2 U u e 1 J V U k F M X 1 R S Q U 5 T S V R f U 1 R J T V V M V V N f U F J P S i w x O H 0 m c X V v d D s s J n F 1 b 3 Q 7 U 2 V j d G l v b j E v T 0 g x X 1 B y b 2 p l Y 3 R R d W V y e S 9 T b 3 V y Y 2 U u e 1 V S Q k F O X 1 R S Q U 5 T S V R f U 1 R J T V V M V V N f U F J P S i w x O X 0 m c X V v d D s s J n F 1 b 3 Q 7 U 2 V j d G l v b j E v T 0 g x X 1 B y b 2 p l Y 3 R R d W V y e S 9 T b 3 V y Y 2 U u e 0 F X Q V J E X 0 F N V C w y M H 0 m c X V v d D s s J n F 1 b 3 Q 7 U 2 V j d G l v b j E v T 0 g x X 1 B y b 2 p l Y 3 R R d W V y e S 9 T b 3 V y Y 2 U u e 0 N P T U 1 J V F R F R F 9 F U 1 R f Q U 1 U L D I x f S Z x d W 9 0 O y w m c X V v d D t T Z W N 0 a W 9 u M S 9 P S D F f U H J v a m V j d F F 1 Z X J 5 L 1 N v d X J j Z S 5 7 V U 5 D T 0 1 N S V R U R U R f R V N U X 0 F N V C w y M n 0 m c X V v d D s s J n F 1 b 3 Q 7 U 2 V j d G l v b j E v T 0 g x X 1 B y b 2 p l Y 3 R R d W V y e S 9 T b 3 V y Y 2 U u e 1 R P V E F M X 0 V T V F 9 B T V Q s M j N 9 J n F 1 b 3 Q 7 L C Z x d W 9 0 O 1 N l Y 3 R p b 2 4 x L 0 9 I M V 9 Q c m 9 q Z W N 0 U X V l c n k v U 2 9 1 c m N l L n t U T 1 R B T F 9 B V 0 F S R F 9 F U 1 R f Q U 1 U L D I 0 f S Z x d W 9 0 O y w m c X V v d D t T Z W N 0 a W 9 u M S 9 P S D F f U H J v a m V j d F F 1 Z X J 5 L 1 N v d X J j Z S 5 7 Q 0 9 N T U l U V E V E X 0 l O R C w y N X 0 m c X V v d D s s J n F 1 b 3 Q 7 U 2 V j d G l v b j E v T 0 g x X 1 B y b 2 p l Y 3 R R d W V y e S 9 T b 3 V y Y 2 U u e 0 F D V F 9 D V V J f Q V d B U k R f R F Q s M j Z 9 J n F 1 b 3 Q 7 L C Z x d W 9 0 O 1 N l Y 3 R p b 2 4 x L 0 9 I M V 9 Q c m 9 q Z W N 0 U X V l c n k v U 2 9 1 c m N l L n t Q U k 9 K X 1 N U Q V J U X 0 F D V F V B T F 9 E V C w y N 3 0 m c X V v d D s s J n F 1 b 3 Q 7 U 2 V j d G l v b j E v T 0 g x X 1 B y b 2 p l Y 3 R R d W V y e S 9 T b 3 V y Y 2 U u e 1 B S T 0 p f U 1 R B U l R f R V N U X 0 R U L D I 4 f S Z x d W 9 0 O y w m c X V v d D t T Z W N 0 a W 9 u M S 9 P S D F f U H J v a m V j d F F 1 Z X J 5 L 1 N v d X J j Z S 5 7 U F J P S l 9 D T 0 1 Q T F 9 B Q 1 R V Q U x f R F Q s M j l 9 J n F 1 b 3 Q 7 L C Z x d W 9 0 O 1 N l Y 3 R p b 2 4 x L 0 9 I M V 9 Q c m 9 q Z W N 0 U X V l c n k v U 2 9 1 c m N l L n t Q U k 9 K X 0 N P T V B M X 0 V T V F 9 E V C w z M H 0 m c X V v d D s s J n F 1 b 3 Q 7 U 2 V j d G l v b j E v T 0 g x X 1 B y b 2 p l Y 3 R R d W V y e S 9 T b 3 V y Y 2 U u e 0 x B V E l U V U R F X 0 J F R 0 l O X 0 5 C U i w z M X 0 m c X V v d D s s J n F 1 b 3 Q 7 U 2 V j d G l v b j E v T 0 g x X 1 B y b 2 p l Y 3 R R d W V y e S 9 T b 3 V y Y 2 U u e 0 x P R 1 B P S U 5 U X 0 N P V U 5 U W V 9 F T k R f T k J S M i w z M n 0 m c X V v d D s s J n F 1 b 3 Q 7 U 2 V j d G l v b j E v T 0 g x X 1 B y b 2 p l Y 3 R R d W V y e S 9 T b 3 V y Y 2 U u e 0 x P T k d J V F V E R V 9 F T k R f T k J S L D M z f S Z x d W 9 0 O y w m c X V v d D t T Z W N 0 a W 9 u M S 9 P S D F f U H J v a m V j d F F 1 Z X J 5 L 1 N v d X J j Z S 5 7 T E F U S V R V R E V f R U 5 E X 0 5 C U i w z N H 0 m c X V v d D s s J n F 1 b 3 Q 7 U 2 V j d G l v b j E v T 0 g x X 1 B y b 2 p l Y 3 R R d W V y e S 9 T b 3 V y Y 2 U u e 0 F D V F V B T F 9 Q U k l P U k l U W V 9 N S U x F U y w z N X 0 m c X V v d D s s J n F 1 b 3 Q 7 U 2 V j d G l v b j E v T 0 g x X 1 B y b 2 p l Y 3 R R d W V y e S 9 T b 3 V y Y 2 U u e 0 F D V F V B T F 9 V U k J B T l 9 N S U x F U y w z N n 0 m c X V v d D s s J n F 1 b 3 Q 7 U 2 V j d G l v b j E v T 0 g x X 1 B y b 2 p l Y 3 R R d W V y e S 9 T b 3 V y Y 2 U u e 0 F D V F V B T F 9 H R U 5 F U k F M X 0 1 J T E V T L D M 3 f S Z x d W 9 0 O y w m c X V v d D t T Z W N 0 a W 9 u M S 9 P S D F f U H J v a m V j d F F 1 Z X J 5 L 1 N v d X J j Z S 5 7 V E 9 U Q U x f T E F O R V 9 N S U x F U y w z O H 0 m c X V v d D s s J n F 1 b 3 Q 7 U 2 V j d G l v b j E v T 0 g x X 1 B y b 2 p l Y 3 R R d W V y e S 9 T b 3 V y Y 2 U u e 1 N M T V 9 N S U x F U y w z O X 0 m c X V v d D s s J n F 1 b 3 Q 7 U 2 V j d G l v b j E v T 0 g x X 1 B y b 2 p l Y 3 R R d W V y e S 9 T b 3 V y Y 2 U u e 0 l N U F J P V k V E X 1 B D U i w 0 M H 0 m c X V v d D s s J n F 1 b 3 Q 7 U 2 V j d G l v b j E v T 0 g x X 1 B y b 2 p l Y 3 R R d W V y e S 9 T b 3 V y Y 2 U u e 1 B W T U 5 U X 1 R S V E 1 O V F 9 D Q V R f T E 9 O R 1 9 O T U U s N D F 9 J n F 1 b 3 Q 7 L C Z x d W 9 0 O 1 N l Y 3 R p b 2 4 x L 0 9 I M V 9 Q c m 9 q Z W N 0 U X V l c n k v U 2 9 1 c m N l L n t T V F J V Q 1 R V U k V f R k l M R V 9 O Q l I s N D J 9 J n F 1 b 3 Q 7 L C Z x d W 9 0 O 1 N l Y 3 R p b 2 4 x L 0 9 I M V 9 Q c m 9 q Z W N 0 U X V l c n k v U 2 9 1 c m N l L n t C U k d f U 1 R B V F 9 E R V N D L D Q z f S Z x d W 9 0 O y w m c X V v d D t T Z W N 0 a W 9 u M S 9 P S D F f U H J v a m V j d F F 1 Z X J 5 L 1 N v d X J j Z S 5 7 T U F K T 1 J f Q l J H X 1 N X L D Q 0 f S Z x d W 9 0 O y w m c X V v d D t T Z W N 0 a W 9 u M S 9 P S D F f U H J v a m V j d F F 1 Z X J 5 L 1 N v d X J j Z S 5 7 T U F J T l R f U k V T U F 9 E R V N D L D Q 1 f S Z x d W 9 0 O y w m c X V v d D t T Z W N 0 a W 9 u M S 9 P S D F f U H J v a m V j d F F 1 Z X J 5 L 1 N v d X J j Z S 5 7 T U F J T l 9 T V F J V Q 1 9 U W V B F L D Q 2 f S Z x d W 9 0 O y w m c X V v d D t T Z W N 0 a W 9 u M S 9 P S D F f U H J v a m V j d F F 1 Z X J 5 L 1 N v d X J j Z S 5 7 T U F J T l 9 T U E F O X 0 1 B V E x f R E V T Q y w 0 N 3 0 m c X V v d D s s J n F 1 b 3 Q 7 U 2 V j d G l v b j E v T 0 g x X 1 B y b 2 p l Y 3 R R d W V y e S 9 T b 3 V y Y 2 U u e 0 1 B S U 5 f U 1 B B T l 9 U W V B F X 0 R F U 0 M s N D h 9 J n F 1 b 3 Q 7 L C Z x d W 9 0 O 1 N l Y 3 R p b 2 4 x L 0 9 I M V 9 Q c m 9 q Z W N 0 U X V l c n k v U 2 9 1 c m N l L n t N Q U l O X 1 N Q Q U 5 f R E V T Q y w 0 O X 0 m c X V v d D s s J n F 1 b 3 Q 7 U 2 V j d G l v b j E v T 0 g x X 1 B y b 2 p l Y 3 R R d W V y e S 9 T b 3 V y Y 2 U u e 0 R F Q 0 t f Q V J F Q S w 1 M H 0 m c X V v d D s s J n F 1 b 3 Q 7 U 2 V j d G l v b j E v T 0 g x X 1 B y b 2 p l Y 3 R R d W V y e S 9 T b 3 V y Y 2 U u e 0 9 W U k x f U 1 R S X 0 x F T i w 1 M X 0 m c X V v d D s s J n F 1 b 3 Q 7 U 2 V j d G l v b j E v T 0 g x X 1 B y b 2 p l Y 3 R R d W V y e S 9 T b 3 V y Y 2 U u e 1 N V R k Z f U k F U S U 5 H L D U y f S Z x d W 9 0 O y w m c X V v d D t T Z W N 0 a W 9 u M S 9 P S D F f U H J v a m V j d F F 1 Z X J 5 L 1 N v d X J j Z S 5 7 R E V G X 0 Z V T k N f U k F U S U 5 H X 0 R F U 0 M s N T N 9 J n F 1 b 3 Q 7 L C Z x d W 9 0 O 1 N l Y 3 R p b 2 4 x L 0 9 I M V 9 Q c m 9 q Z W N 0 U X V l c n k v U 2 9 1 c m N l L n t C U k d f R E V G X 0 N E X 0 l O R C w 1 N H 0 m c X V v d D s s J n F 1 b 3 Q 7 U 2 V j d G l v b j E v T 0 g x X 1 B y b 2 p l Y 3 R R d W V y e S 9 T b 3 V y Y 2 U u e 0 d F T k V S Q U x f Q V B Q U k F J U 0 F M X 0 l O R C w 1 N X 0 m c X V v d D s s J n F 1 b 3 Q 7 U 2 V j d G l v b j E v T 0 g x X 1 B y b 2 p l Y 3 R R d W V y e S 9 T b 3 V y Y 2 U u e 0 Z M T 0 9 S X 0 N P T k R J V E l P T l 9 J T k Q s N T Z 9 J n F 1 b 3 Q 7 L C Z x d W 9 0 O 1 N l Y 3 R p b 2 4 x L 0 9 I M V 9 Q c m 9 q Z W N 0 U X V l c n k v U 2 9 1 c m N l L n t X R U F S S U 5 H X 1 N V U k Z B Q 0 V f S U 5 E L D U 3 f S Z x d W 9 0 O y w m c X V v d D t T Z W N 0 a W 9 u M S 9 P S D F f U H J v a m V j d F F 1 Z X J 5 L 1 N v d X J j Z S 5 7 U E F J T l R f S U 5 E L D U 4 f S Z x d W 9 0 O y w m c X V v d D t T Z W N 0 a W 9 u M S 9 P S D F f U H J v a m V j d F F 1 Z X J 5 L 1 N v d X J j Z S 5 7 R 0 V O R V J B T F 9 B U F B S Q U l T Q U x f U k F U S U 5 H L D U 5 f S Z x d W 9 0 O y w m c X V v d D t T Z W N 0 a W 9 u M S 9 P S D F f U H J v a m V j d F F 1 Z X J 5 L 1 N v d X J j Z S 5 7 R k x P T 1 J f Q 0 9 O R E l U S U 9 O X 1 J B V E l O R y w 2 M H 0 m c X V v d D s s J n F 1 b 3 Q 7 U 2 V j d G l v b j E v T 0 g x X 1 B y b 2 p l Y 3 R R d W V y e S 9 T b 3 V y Y 2 U u e 1 d F Q V J J T k d f U 1 V S R k F D R V 9 S Q V R J T k c s N j F 9 J n F 1 b 3 Q 7 L C Z x d W 9 0 O 1 N l Y 3 R p b 2 4 x L 0 9 I M V 9 Q c m 9 q Z W N 0 U X V l c n k v U 2 9 1 c m N l L n t Q Q U l O V F 9 D T 0 5 E S V R J T 0 5 f U k F U S U 5 H L D Y y f S Z x d W 9 0 O y w m c X V v d D t T Z W N 0 a W 9 u M S 9 P S D F f U H J v a m V j d F F 1 Z X J 5 L 1 N v d X J j Z S 5 7 U 1 B P V F 9 M T 0 N B V E l P T l 9 U W V B F L D Y z f S Z x d W 9 0 O y w m c X V v d D t T Z W N 0 a W 9 u M S 9 P S D F f U H J v a m V j d F F 1 Z X J 5 L 1 N v d X J j Z S 5 7 U 1 B P V F 9 M T 0 N B V E l P T l 9 E R V N D L D Y 0 f S Z x d W 9 0 O y w m c X V v d D t T Z W N 0 a W 9 u M S 9 P S D F f U H J v a m V j d F F 1 Z X J 5 L 1 N v d X J j Z S 5 7 Q V d B U k R f R U 5 D X 1 J F U V 9 T R l k s N j V 9 J n F 1 b 3 Q 7 X S w m c X V v d D t D b 2 x 1 b W 5 D b 3 V u d C Z x d W 9 0 O z o 2 N i w m c X V v d D t L Z X l D b 2 x 1 b W 5 O Y W 1 l c y Z x d W 9 0 O z p b X S w m c X V v d D t D b 2 x 1 b W 5 J Z G V u d G l 0 a W V z J n F 1 b 3 Q 7 O l s m c X V v d D t T Z W N 0 a W 9 u M S 9 P S D F f U H J v a m V j d F F 1 Z X J 5 L 1 N v d X J j Z S 5 7 T k x G X 0 l E L D B 9 J n F 1 b 3 Q 7 L C Z x d W 9 0 O 1 N l Y 3 R p b 2 4 x L 0 9 I M V 9 Q c m 9 q Z W N 0 U X V l c n k v U 2 9 1 c m N l L n t M T 0 d Q T 0 l O V F 9 D T 1 V O V F l f Q k V H S U 5 f T k J S L D F 9 J n F 1 b 3 Q 7 L C Z x d W 9 0 O 1 N l Y 3 R p b 2 4 x L 0 9 I M V 9 Q c m 9 q Z W N 0 U X V l c n k v U 2 9 1 c m N l L n t M T 0 d Q T 0 l O V F 9 D T 1 V O V F l f R U 5 E X 0 5 C U i w y f S Z x d W 9 0 O y w m c X V v d D t T Z W N 0 a W 9 u M S 9 P S D F f U H J v a m V j d F F 1 Z X J 5 L 1 N v d X J j Z S 5 7 T E 9 D Q V R J T 0 5 f V F l Q R S w z f S Z x d W 9 0 O y w m c X V v d D t T Z W N 0 a W 9 u M S 9 P S D F f U H J v a m V j d F F 1 Z X J 5 L 1 N v d X J j Z S 5 7 U F J J T U F S W V 9 M T 0 N B V E l P T l 9 J T k Q s N H 0 m c X V v d D s s J n F 1 b 3 Q 7 U 2 V j d G l v b j E v T 0 g x X 1 B y b 2 p l Y 3 R R d W V y e S 9 T b 3 V y Y 2 U u e 1 B J R F 9 O Q l I s N X 0 m c X V v d D s s J n F 1 b 3 Q 7 U 2 V j d G l v b j E v T 0 g x X 1 B y b 2 p l Y 3 R R d W V y e S 9 T b 3 V y Y 2 U u e 0 R J U 1 R S S U N U X 0 5 C U i w 2 f S Z x d W 9 0 O y w m c X V v d D t T Z W N 0 a W 9 u M S 9 P S D F f U H J v a m V j d F F 1 Z X J 5 L 1 N v d X J j Z S 5 7 T E 9 D Q U x F X 1 N I T 1 J U X 0 5 N R S w 3 f S Z x d W 9 0 O y w m c X V v d D t T Z W N 0 a W 9 u M S 9 P S D F f U H J v a m V j d F F 1 Z X J 5 L 1 N v d X J j Z S 5 7 U F J P S k V D V F 9 O T U U s O H 0 m c X V v d D s s J n F 1 b 3 Q 7 U 2 V j d G l v b j E v T 0 g x X 1 B y b 2 p l Y 3 R R d W V y e S 9 T b 3 V y Y 2 U u e 1 B S T 0 p f U 1 R B V F V T X 1 R Y V C w 5 f S Z x d W 9 0 O y w m c X V v d D t T Z W N 0 a W 9 u M S 9 P S D F f U H J v a m V j d F F 1 Z X J 5 L 1 N v d X J j Z S 5 7 U F J P S l 9 M R V R U S U 5 H X 1 R Z U E U s M T B 9 J n F 1 b 3 Q 7 L C Z x d W 9 0 O 1 N l Y 3 R p b 2 4 x L 0 9 I M V 9 Q c m 9 q Z W N 0 U X V l c n k v U 2 9 1 c m N l L n t Q U k l N Q V J Z X 1 d P U k t f Q 0 F U R U d P U l k s M T F 9 J n F 1 b 3 Q 7 L C Z x d W 9 0 O 1 N l Y 3 R p b 2 4 x L 0 9 I M V 9 Q c m 9 q Z W N 0 U X V l c n k v U 2 9 1 c m N l L n t U U k F D X 1 R J R V J f U 0 h P U l R f T k 1 F L D E y f S Z x d W 9 0 O y w m c X V v d D t T Z W N 0 a W 9 u M S 9 P S D F f U H J v a m V j d F F 1 Z X J 5 L 1 N v d X J j Z S 5 7 U F J P R 1 J B T V 9 G Q U 1 J T F l f U 0 h P U l R f T k 1 F L D E z f S Z x d W 9 0 O y w m c X V v d D t T Z W N 0 a W 9 u M S 9 P S D F f U H J v a m V j d F F 1 Z X J 5 L 1 N v d X J j Z S 5 7 U F J P S k V D V F 9 N R 1 J f T k 1 F L D E 0 f S Z x d W 9 0 O y w m c X V v d D t T Z W N 0 a W 9 u M S 9 P S D F f U H J v a m V j d F F 1 Z X J 5 L 1 N v d X J j Z S 5 7 Q V J S Q V 9 Q U k 9 K R U N U X 0 l O R C w x N X 0 m c X V v d D s s J n F 1 b 3 Q 7 U 2 V j d G l v b j E v T 0 g x X 1 B y b 2 p l Y 3 R R d W V y e S 9 T b 3 V y Y 2 U u e 0 1 Q T 1 9 T V E l N V U x V U 1 9 B T E x P Q y w x N n 0 m c X V v d D s s J n F 1 b 3 Q 7 U 2 V j d G l v b j E v T 0 g x X 1 B y b 2 p l Y 3 R R d W V y e S 9 T b 3 V y Y 2 U u e 0 9 E T 1 R f U 1 R J T V V M V V N f U F J P S i w x N 3 0 m c X V v d D s s J n F 1 b 3 Q 7 U 2 V j d G l v b j E v T 0 g x X 1 B y b 2 p l Y 3 R R d W V y e S 9 T b 3 V y Y 2 U u e 1 J V U k F M X 1 R S Q U 5 T S V R f U 1 R J T V V M V V N f U F J P S i w x O H 0 m c X V v d D s s J n F 1 b 3 Q 7 U 2 V j d G l v b j E v T 0 g x X 1 B y b 2 p l Y 3 R R d W V y e S 9 T b 3 V y Y 2 U u e 1 V S Q k F O X 1 R S Q U 5 T S V R f U 1 R J T V V M V V N f U F J P S i w x O X 0 m c X V v d D s s J n F 1 b 3 Q 7 U 2 V j d G l v b j E v T 0 g x X 1 B y b 2 p l Y 3 R R d W V y e S 9 T b 3 V y Y 2 U u e 0 F X Q V J E X 0 F N V C w y M H 0 m c X V v d D s s J n F 1 b 3 Q 7 U 2 V j d G l v b j E v T 0 g x X 1 B y b 2 p l Y 3 R R d W V y e S 9 T b 3 V y Y 2 U u e 0 N P T U 1 J V F R F R F 9 F U 1 R f Q U 1 U L D I x f S Z x d W 9 0 O y w m c X V v d D t T Z W N 0 a W 9 u M S 9 P S D F f U H J v a m V j d F F 1 Z X J 5 L 1 N v d X J j Z S 5 7 V U 5 D T 0 1 N S V R U R U R f R V N U X 0 F N V C w y M n 0 m c X V v d D s s J n F 1 b 3 Q 7 U 2 V j d G l v b j E v T 0 g x X 1 B y b 2 p l Y 3 R R d W V y e S 9 T b 3 V y Y 2 U u e 1 R P V E F M X 0 V T V F 9 B T V Q s M j N 9 J n F 1 b 3 Q 7 L C Z x d W 9 0 O 1 N l Y 3 R p b 2 4 x L 0 9 I M V 9 Q c m 9 q Z W N 0 U X V l c n k v U 2 9 1 c m N l L n t U T 1 R B T F 9 B V 0 F S R F 9 F U 1 R f Q U 1 U L D I 0 f S Z x d W 9 0 O y w m c X V v d D t T Z W N 0 a W 9 u M S 9 P S D F f U H J v a m V j d F F 1 Z X J 5 L 1 N v d X J j Z S 5 7 Q 0 9 N T U l U V E V E X 0 l O R C w y N X 0 m c X V v d D s s J n F 1 b 3 Q 7 U 2 V j d G l v b j E v T 0 g x X 1 B y b 2 p l Y 3 R R d W V y e S 9 T b 3 V y Y 2 U u e 0 F D V F 9 D V V J f Q V d B U k R f R F Q s M j Z 9 J n F 1 b 3 Q 7 L C Z x d W 9 0 O 1 N l Y 3 R p b 2 4 x L 0 9 I M V 9 Q c m 9 q Z W N 0 U X V l c n k v U 2 9 1 c m N l L n t Q U k 9 K X 1 N U Q V J U X 0 F D V F V B T F 9 E V C w y N 3 0 m c X V v d D s s J n F 1 b 3 Q 7 U 2 V j d G l v b j E v T 0 g x X 1 B y b 2 p l Y 3 R R d W V y e S 9 T b 3 V y Y 2 U u e 1 B S T 0 p f U 1 R B U l R f R V N U X 0 R U L D I 4 f S Z x d W 9 0 O y w m c X V v d D t T Z W N 0 a W 9 u M S 9 P S D F f U H J v a m V j d F F 1 Z X J 5 L 1 N v d X J j Z S 5 7 U F J P S l 9 D T 0 1 Q T F 9 B Q 1 R V Q U x f R F Q s M j l 9 J n F 1 b 3 Q 7 L C Z x d W 9 0 O 1 N l Y 3 R p b 2 4 x L 0 9 I M V 9 Q c m 9 q Z W N 0 U X V l c n k v U 2 9 1 c m N l L n t Q U k 9 K X 0 N P T V B M X 0 V T V F 9 E V C w z M H 0 m c X V v d D s s J n F 1 b 3 Q 7 U 2 V j d G l v b j E v T 0 g x X 1 B y b 2 p l Y 3 R R d W V y e S 9 T b 3 V y Y 2 U u e 0 x B V E l U V U R F X 0 J F R 0 l O X 0 5 C U i w z M X 0 m c X V v d D s s J n F 1 b 3 Q 7 U 2 V j d G l v b j E v T 0 g x X 1 B y b 2 p l Y 3 R R d W V y e S 9 T b 3 V y Y 2 U u e 0 x P R 1 B P S U 5 U X 0 N P V U 5 U W V 9 F T k R f T k J S M i w z M n 0 m c X V v d D s s J n F 1 b 3 Q 7 U 2 V j d G l v b j E v T 0 g x X 1 B y b 2 p l Y 3 R R d W V y e S 9 T b 3 V y Y 2 U u e 0 x P T k d J V F V E R V 9 F T k R f T k J S L D M z f S Z x d W 9 0 O y w m c X V v d D t T Z W N 0 a W 9 u M S 9 P S D F f U H J v a m V j d F F 1 Z X J 5 L 1 N v d X J j Z S 5 7 T E F U S V R V R E V f R U 5 E X 0 5 C U i w z N H 0 m c X V v d D s s J n F 1 b 3 Q 7 U 2 V j d G l v b j E v T 0 g x X 1 B y b 2 p l Y 3 R R d W V y e S 9 T b 3 V y Y 2 U u e 0 F D V F V B T F 9 Q U k l P U k l U W V 9 N S U x F U y w z N X 0 m c X V v d D s s J n F 1 b 3 Q 7 U 2 V j d G l v b j E v T 0 g x X 1 B y b 2 p l Y 3 R R d W V y e S 9 T b 3 V y Y 2 U u e 0 F D V F V B T F 9 V U k J B T l 9 N S U x F U y w z N n 0 m c X V v d D s s J n F 1 b 3 Q 7 U 2 V j d G l v b j E v T 0 g x X 1 B y b 2 p l Y 3 R R d W V y e S 9 T b 3 V y Y 2 U u e 0 F D V F V B T F 9 H R U 5 F U k F M X 0 1 J T E V T L D M 3 f S Z x d W 9 0 O y w m c X V v d D t T Z W N 0 a W 9 u M S 9 P S D F f U H J v a m V j d F F 1 Z X J 5 L 1 N v d X J j Z S 5 7 V E 9 U Q U x f T E F O R V 9 N S U x F U y w z O H 0 m c X V v d D s s J n F 1 b 3 Q 7 U 2 V j d G l v b j E v T 0 g x X 1 B y b 2 p l Y 3 R R d W V y e S 9 T b 3 V y Y 2 U u e 1 N M T V 9 N S U x F U y w z O X 0 m c X V v d D s s J n F 1 b 3 Q 7 U 2 V j d G l v b j E v T 0 g x X 1 B y b 2 p l Y 3 R R d W V y e S 9 T b 3 V y Y 2 U u e 0 l N U F J P V k V E X 1 B D U i w 0 M H 0 m c X V v d D s s J n F 1 b 3 Q 7 U 2 V j d G l v b j E v T 0 g x X 1 B y b 2 p l Y 3 R R d W V y e S 9 T b 3 V y Y 2 U u e 1 B W T U 5 U X 1 R S V E 1 O V F 9 D Q V R f T E 9 O R 1 9 O T U U s N D F 9 J n F 1 b 3 Q 7 L C Z x d W 9 0 O 1 N l Y 3 R p b 2 4 x L 0 9 I M V 9 Q c m 9 q Z W N 0 U X V l c n k v U 2 9 1 c m N l L n t T V F J V Q 1 R V U k V f R k l M R V 9 O Q l I s N D J 9 J n F 1 b 3 Q 7 L C Z x d W 9 0 O 1 N l Y 3 R p b 2 4 x L 0 9 I M V 9 Q c m 9 q Z W N 0 U X V l c n k v U 2 9 1 c m N l L n t C U k d f U 1 R B V F 9 E R V N D L D Q z f S Z x d W 9 0 O y w m c X V v d D t T Z W N 0 a W 9 u M S 9 P S D F f U H J v a m V j d F F 1 Z X J 5 L 1 N v d X J j Z S 5 7 T U F K T 1 J f Q l J H X 1 N X L D Q 0 f S Z x d W 9 0 O y w m c X V v d D t T Z W N 0 a W 9 u M S 9 P S D F f U H J v a m V j d F F 1 Z X J 5 L 1 N v d X J j Z S 5 7 T U F J T l R f U k V T U F 9 E R V N D L D Q 1 f S Z x d W 9 0 O y w m c X V v d D t T Z W N 0 a W 9 u M S 9 P S D F f U H J v a m V j d F F 1 Z X J 5 L 1 N v d X J j Z S 5 7 T U F J T l 9 T V F J V Q 1 9 U W V B F L D Q 2 f S Z x d W 9 0 O y w m c X V v d D t T Z W N 0 a W 9 u M S 9 P S D F f U H J v a m V j d F F 1 Z X J 5 L 1 N v d X J j Z S 5 7 T U F J T l 9 T U E F O X 0 1 B V E x f R E V T Q y w 0 N 3 0 m c X V v d D s s J n F 1 b 3 Q 7 U 2 V j d G l v b j E v T 0 g x X 1 B y b 2 p l Y 3 R R d W V y e S 9 T b 3 V y Y 2 U u e 0 1 B S U 5 f U 1 B B T l 9 U W V B F X 0 R F U 0 M s N D h 9 J n F 1 b 3 Q 7 L C Z x d W 9 0 O 1 N l Y 3 R p b 2 4 x L 0 9 I M V 9 Q c m 9 q Z W N 0 U X V l c n k v U 2 9 1 c m N l L n t N Q U l O X 1 N Q Q U 5 f R E V T Q y w 0 O X 0 m c X V v d D s s J n F 1 b 3 Q 7 U 2 V j d G l v b j E v T 0 g x X 1 B y b 2 p l Y 3 R R d W V y e S 9 T b 3 V y Y 2 U u e 0 R F Q 0 t f Q V J F Q S w 1 M H 0 m c X V v d D s s J n F 1 b 3 Q 7 U 2 V j d G l v b j E v T 0 g x X 1 B y b 2 p l Y 3 R R d W V y e S 9 T b 3 V y Y 2 U u e 0 9 W U k x f U 1 R S X 0 x F T i w 1 M X 0 m c X V v d D s s J n F 1 b 3 Q 7 U 2 V j d G l v b j E v T 0 g x X 1 B y b 2 p l Y 3 R R d W V y e S 9 T b 3 V y Y 2 U u e 1 N V R k Z f U k F U S U 5 H L D U y f S Z x d W 9 0 O y w m c X V v d D t T Z W N 0 a W 9 u M S 9 P S D F f U H J v a m V j d F F 1 Z X J 5 L 1 N v d X J j Z S 5 7 R E V G X 0 Z V T k N f U k F U S U 5 H X 0 R F U 0 M s N T N 9 J n F 1 b 3 Q 7 L C Z x d W 9 0 O 1 N l Y 3 R p b 2 4 x L 0 9 I M V 9 Q c m 9 q Z W N 0 U X V l c n k v U 2 9 1 c m N l L n t C U k d f R E V G X 0 N E X 0 l O R C w 1 N H 0 m c X V v d D s s J n F 1 b 3 Q 7 U 2 V j d G l v b j E v T 0 g x X 1 B y b 2 p l Y 3 R R d W V y e S 9 T b 3 V y Y 2 U u e 0 d F T k V S Q U x f Q V B Q U k F J U 0 F M X 0 l O R C w 1 N X 0 m c X V v d D s s J n F 1 b 3 Q 7 U 2 V j d G l v b j E v T 0 g x X 1 B y b 2 p l Y 3 R R d W V y e S 9 T b 3 V y Y 2 U u e 0 Z M T 0 9 S X 0 N P T k R J V E l P T l 9 J T k Q s N T Z 9 J n F 1 b 3 Q 7 L C Z x d W 9 0 O 1 N l Y 3 R p b 2 4 x L 0 9 I M V 9 Q c m 9 q Z W N 0 U X V l c n k v U 2 9 1 c m N l L n t X R U F S S U 5 H X 1 N V U k Z B Q 0 V f S U 5 E L D U 3 f S Z x d W 9 0 O y w m c X V v d D t T Z W N 0 a W 9 u M S 9 P S D F f U H J v a m V j d F F 1 Z X J 5 L 1 N v d X J j Z S 5 7 U E F J T l R f S U 5 E L D U 4 f S Z x d W 9 0 O y w m c X V v d D t T Z W N 0 a W 9 u M S 9 P S D F f U H J v a m V j d F F 1 Z X J 5 L 1 N v d X J j Z S 5 7 R 0 V O R V J B T F 9 B U F B S Q U l T Q U x f U k F U S U 5 H L D U 5 f S Z x d W 9 0 O y w m c X V v d D t T Z W N 0 a W 9 u M S 9 P S D F f U H J v a m V j d F F 1 Z X J 5 L 1 N v d X J j Z S 5 7 R k x P T 1 J f Q 0 9 O R E l U S U 9 O X 1 J B V E l O R y w 2 M H 0 m c X V v d D s s J n F 1 b 3 Q 7 U 2 V j d G l v b j E v T 0 g x X 1 B y b 2 p l Y 3 R R d W V y e S 9 T b 3 V y Y 2 U u e 1 d F Q V J J T k d f U 1 V S R k F D R V 9 S Q V R J T k c s N j F 9 J n F 1 b 3 Q 7 L C Z x d W 9 0 O 1 N l Y 3 R p b 2 4 x L 0 9 I M V 9 Q c m 9 q Z W N 0 U X V l c n k v U 2 9 1 c m N l L n t Q Q U l O V F 9 D T 0 5 E S V R J T 0 5 f U k F U S U 5 H L D Y y f S Z x d W 9 0 O y w m c X V v d D t T Z W N 0 a W 9 u M S 9 P S D F f U H J v a m V j d F F 1 Z X J 5 L 1 N v d X J j Z S 5 7 U 1 B P V F 9 M T 0 N B V E l P T l 9 U W V B F L D Y z f S Z x d W 9 0 O y w m c X V v d D t T Z W N 0 a W 9 u M S 9 P S D F f U H J v a m V j d F F 1 Z X J 5 L 1 N v d X J j Z S 5 7 U 1 B P V F 9 M T 0 N B V E l P T l 9 E R V N D L D Y 0 f S Z x d W 9 0 O y w m c X V v d D t T Z W N 0 a W 9 u M S 9 P S D F f U H J v a m V j d F F 1 Z X J 5 L 1 N v d X J j Z S 5 7 Q V d B U k R f R U 5 D X 1 J F U V 9 T R l k s N j V 9 J n F 1 b 3 Q 7 X S w m c X V v d D t S Z W x h d G l v b n N o a X B J b m Z v J n F 1 b 3 Q 7 O l t d f S I g L z 4 8 L 1 N 0 Y W J s Z U V u d H J p Z X M + P C 9 J d G V t P j x J d G V t P j x J d G V t T G 9 j Y X R p b 2 4 + P E l 0 Z W 1 U e X B l P k Z v c m 1 1 b G E 8 L 0 l 0 Z W 1 U e X B l P j x J d G V t U G F 0 a D 5 T Z W N 0 a W 9 u M S 9 P S D F f U H J v a m V j d F F 1 Z X J 5 L 3 B h c m F t V G F i b G U 8 L 0 l 0 Z W 1 Q Y X R o P j w v S X R l b U x v Y 2 F 0 a W 9 u P j x T d G F i b G V F b n R y a W V z I C 8 + P C 9 J d G V t P j x J d G V t P j x J d G V t T G 9 j Y X R p b 2 4 + P E l 0 Z W 1 U e X B l P k Z v c m 1 1 b G E 8 L 0 l 0 Z W 1 U e X B l P j x J d G V t U G F 0 a D 5 T Z W N 0 a W 9 u M S 9 P S D F f U H J v a m V j d F F 1 Z X J 5 L 0 5 G T E l E P C 9 J d G V t U G F 0 a D 4 8 L 0 l 0 Z W 1 M b 2 N h d G l v b j 4 8 U 3 R h Y m x l R W 5 0 c m l l c y A v P j w v S X R l b T 4 8 S X R l b T 4 8 S X R l b U x v Y 2 F 0 a W 9 u P j x J d G V t V H l w Z T 5 G b 3 J t d W x h P C 9 J d G V t V H l w Z T 4 8 S X R l b V B h d G g + U 2 V j d G l v b j E v T 0 g x X 1 B y b 2 p l Y 3 R R d W V y e S 9 D V E x f Q k V H S U 5 f T k J S P C 9 J d G V t U G F 0 a D 4 8 L 0 l 0 Z W 1 M b 2 N h d G l v b j 4 8 U 3 R h Y m x l R W 5 0 c m l l c y A v P j w v S X R l b T 4 8 S X R l b T 4 8 S X R l b U x v Y 2 F 0 a W 9 u P j x J d G V t V H l w Z T 5 G b 3 J t d W x h P C 9 J d G V t V H l w Z T 4 8 S X R l b V B h d G g + U 2 V j d G l v b j E v T 0 g x X 1 B y b 2 p l Y 3 R R d W V y e S 9 D V E x f R U 5 E X 0 5 C U j w v S X R l b V B h d G g + P C 9 J d G V t T G 9 j Y X R p b 2 4 + P F N 0 Y W J s Z U V u d H J p Z X M g L z 4 8 L 0 l 0 Z W 0 + P E l 0 Z W 0 + P E l 0 Z W 1 M b 2 N h d G l v b j 4 8 S X R l b V R 5 c G U + R m 9 y b X V s Y T w v S X R l b V R 5 c G U + P E l 0 Z W 1 Q Y X R o P l N l Y 3 R p b 2 4 x L 0 9 I M V 9 Q c m 9 q Z W N 0 U X V l c n k v Q k V H S U 5 f W V I 8 L 0 l 0 Z W 1 Q Y X R o P j w v S X R l b U x v Y 2 F 0 a W 9 u P j x T d G F i b G V F b n R y a W V z I C 8 + P C 9 J d G V t P j x J d G V t P j x J d G V t T G 9 j Y X R p b 2 4 + P E l 0 Z W 1 U e X B l P k Z v c m 1 1 b G E 8 L 0 l 0 Z W 1 U e X B l P j x J d G V t U G F 0 a D 5 T Z W N 0 a W 9 u M S 9 P S D F f U H J v a m V j d F F 1 Z X J 5 L 0 V O R F 9 Z U j w v S X R l b V B h d G g + P C 9 J d G V t T G 9 j Y X R p b 2 4 + P F N 0 Y W J s Z U V u d H J p Z X M g L z 4 8 L 0 l 0 Z W 0 + P E l 0 Z W 0 + P E l 0 Z W 1 M b 2 N h d G l v b j 4 8 S X R l b V R 5 c G U + R m 9 y b X V s Y T w v S X R l b V R 5 c G U + P E l 0 Z W 1 Q Y X R o P l N l Y 3 R p b 2 4 x L 0 9 I M V 9 Q c m 9 q Z W N 0 U X V l c n k v U V V B T E l G R V I 8 L 0 l 0 Z W 1 Q Y X R o P j w v S X R l b U x v Y 2 F 0 a W 9 u P j x T d G F i b G V F b n R y a W V z I C 8 + P C 9 J d G V t P j x J d G V t P j x J d G V t T G 9 j Y X R p b 2 4 + P E l 0 Z W 1 U e X B l P k Z v c m 1 1 b G E 8 L 0 l 0 Z W 1 U e X B l P j x J d G V t U G F 0 a D 5 T Z W N 0 a W 9 u M S 9 P S D F f U H J v a m V j d F F 1 Z X J 5 L 1 N v d X J j Z T w v S X R l b V B h d G g + P C 9 J d G V t T G 9 j Y X R p b 2 4 + P F N 0 Y W J s Z U V u d H J p Z X M g L z 4 8 L 0 l 0 Z W 0 + P C 9 J d G V t c z 4 8 L 0 x v Y 2 F s U G F j a 2 F n Z U 1 l d G F k Y X R h R m l s Z T 4 W A A A A U E s F B g A A A A A A A A A A A A A A A A A A A A A A A N o A A A A B A A A A 0 I y d 3 w E V 0 R G M e g D A T 8 K X 6 w E A A A D / Y K q D k g Y G R 7 P G F m o N j T X m A A A A A A I A A A A A A A N m A A D A A A A A E A A A A L t / 8 6 N f i U x i v f r a J G l q x 1 o A A A A A B I A A A K A A A A A Q A A A A v G / K Q Q R i y i r 6 9 Z n Y 4 E x P t l A A A A D C p Q S Z b 3 p N D + H f I V 4 I 2 Z m 1 o 9 V F z X i x p m Q D x 2 l g a 8 m w G E 5 e y Y v r e J R 9 r s N y L a l s + s s P z V 6 W Q R w C J A n s S 8 k V N f z p o 2 O p y w q T W O I 4 T i v G s Y v a O x Q A A A D x V R 4 s 3 C / x Y V w N 5 z 4 F f / J C o 4 B e b A = = < / D a t a M a s h u p > 
</file>

<file path=customXml/itemProps1.xml><?xml version="1.0" encoding="utf-8"?>
<ds:datastoreItem xmlns:ds="http://schemas.openxmlformats.org/officeDocument/2006/customXml" ds:itemID="{DAD5DFC2-7629-47D5-9EC6-530F1F043792}">
  <ds:schemaRefs>
    <ds:schemaRef ds:uri="http://schemas.microsoft.com/sharepoint/v3/contenttype/forms"/>
  </ds:schemaRefs>
</ds:datastoreItem>
</file>

<file path=customXml/itemProps2.xml><?xml version="1.0" encoding="utf-8"?>
<ds:datastoreItem xmlns:ds="http://schemas.openxmlformats.org/officeDocument/2006/customXml" ds:itemID="{9CAA85AB-8778-4FED-AEAA-37D5B86DEB04}">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 ds:uri="6fd8e848-80a6-4381-9ac6-eea0ede866b5"/>
  </ds:schemaRefs>
</ds:datastoreItem>
</file>

<file path=customXml/itemProps3.xml><?xml version="1.0" encoding="utf-8"?>
<ds:datastoreItem xmlns:ds="http://schemas.openxmlformats.org/officeDocument/2006/customXml" ds:itemID="{3A403543-A9C5-45D0-B1FB-E6AECE4549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d8e848-80a6-4381-9ac6-eea0ede866b5"/>
    <ds:schemaRef ds:uri="cdf5cfbf-cf86-4eb7-ac31-a9fd007554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C5D8C74-A62F-4051-A093-B233E9550E34}">
  <ds:schemaRefs>
    <ds:schemaRef ds:uri="http://schemas.microsoft.com/DataMashup"/>
  </ds:schemaRefs>
</ds:datastoreItem>
</file>

<file path=docMetadata/LabelInfo.xml><?xml version="1.0" encoding="utf-8"?>
<clbl:labelList xmlns:clbl="http://schemas.microsoft.com/office/2020/mipLabelMetadata">
  <clbl:label id="{f920f5b4-f35a-4bd1-ab57-79db69ad10fb}" enabled="1" method="Standard" siteId="{50f8fcc4-94d8-4f07-84eb-36ed57c7c8a2}"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22</vt:i4>
      </vt:variant>
      <vt:variant>
        <vt:lpstr>Named Ranges</vt:lpstr>
      </vt:variant>
      <vt:variant>
        <vt:i4>21</vt:i4>
      </vt:variant>
    </vt:vector>
  </HeadingPairs>
  <TitlesOfParts>
    <vt:vector size="43" baseType="lpstr">
      <vt:lpstr>RefTables</vt:lpstr>
      <vt:lpstr>Data</vt:lpstr>
      <vt:lpstr>Metadata</vt:lpstr>
      <vt:lpstr>Full Crash Data</vt:lpstr>
      <vt:lpstr>Quick Summary</vt:lpstr>
      <vt:lpstr>Crash Analysis</vt:lpstr>
      <vt:lpstr>Unit 1 Analysis</vt:lpstr>
      <vt:lpstr>RelativeSeverityIndex</vt:lpstr>
      <vt:lpstr>Emphasis Area</vt:lpstr>
      <vt:lpstr>Proportions</vt:lpstr>
      <vt:lpstr>ProportionsReference</vt:lpstr>
      <vt:lpstr>CrashTree</vt:lpstr>
      <vt:lpstr>Crash Data</vt:lpstr>
      <vt:lpstr>Data Analysis</vt:lpstr>
      <vt:lpstr>Graphical Analysis</vt:lpstr>
      <vt:lpstr>Histograms</vt:lpstr>
      <vt:lpstr>Collision Diagram</vt:lpstr>
      <vt:lpstr>Diagram Data</vt:lpstr>
      <vt:lpstr>Rate Calc Sheet</vt:lpstr>
      <vt:lpstr>Severity Calc Sheet</vt:lpstr>
      <vt:lpstr>RSI_Data</vt:lpstr>
      <vt:lpstr>CRF Table_Rev</vt:lpstr>
      <vt:lpstr>'Crash Data'!camtoolacc</vt:lpstr>
      <vt:lpstr>'Diagram Data'!camtoolacc</vt:lpstr>
      <vt:lpstr>'Collision Diagram'!Print_Area</vt:lpstr>
      <vt:lpstr>'Crash Analysis'!Print_Area</vt:lpstr>
      <vt:lpstr>'Data Analysis'!Print_Area</vt:lpstr>
      <vt:lpstr>'Diagram Data'!Print_Area</vt:lpstr>
      <vt:lpstr>'Graphical Analysis'!Print_Area</vt:lpstr>
      <vt:lpstr>Histograms!Print_Area</vt:lpstr>
      <vt:lpstr>'Quick Summary'!Print_Area</vt:lpstr>
      <vt:lpstr>'Rate Calc Sheet'!Print_Area</vt:lpstr>
      <vt:lpstr>'Severity Calc Sheet'!Print_Area</vt:lpstr>
      <vt:lpstr>'Unit 1 Analysis'!Print_Area</vt:lpstr>
      <vt:lpstr>'Crash Analysis'!Print_Titles</vt:lpstr>
      <vt:lpstr>'Data Analysis'!Print_Titles</vt:lpstr>
      <vt:lpstr>'Diagram Data'!Print_Titles</vt:lpstr>
      <vt:lpstr>'Graphical Analysis'!Print_Titles</vt:lpstr>
      <vt:lpstr>'Quick Summary'!Print_Titles</vt:lpstr>
      <vt:lpstr>'Unit 1 Analysis'!Print_Titles</vt:lpstr>
      <vt:lpstr>ImageQuery!Query_from_SYBIQ01PRD</vt:lpstr>
      <vt:lpstr>SafetySummary!Query_from_SYBIQ01PRD</vt:lpstr>
      <vt:lpstr>RSI_Types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jhughes3;Derek.Troyer@dot.ohio.gov</dc:creator>
  <cp:lastModifiedBy>Lane, Tori</cp:lastModifiedBy>
  <cp:lastPrinted>2025-07-24T14:30:50Z</cp:lastPrinted>
  <dcterms:created xsi:type="dcterms:W3CDTF">2008-05-06T12:27:32Z</dcterms:created>
  <dcterms:modified xsi:type="dcterms:W3CDTF">2026-02-23T18:46:04Z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0x010100600F78CE72816245A92E82C7F8B4FFD3</vt:lpwstr>
  </property>
</Properties>
</file>